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clramirez\Downloads\"/>
    </mc:Choice>
  </mc:AlternateContent>
  <bookViews>
    <workbookView xWindow="0" yWindow="0" windowWidth="20490" windowHeight="7755" activeTab="1"/>
  </bookViews>
  <sheets>
    <sheet name="Gordas" sheetId="1" r:id="rId1"/>
    <sheet name="Hoja1" sheetId="10" r:id="rId2"/>
    <sheet name="Flacas" sheetId="2" r:id="rId3"/>
    <sheet name="COMPRAS EN FINCA PARA AGUACHICA" sheetId="3" r:id="rId4"/>
    <sheet name="Coordinadores Finca" sheetId="4" r:id="rId5"/>
    <sheet name="Nacimiento" sheetId="5" r:id="rId6"/>
    <sheet name="Fincas" sheetId="6" r:id="rId7"/>
    <sheet name="Materiales" sheetId="7" r:id="rId8"/>
    <sheet name="Codigos materiales" sheetId="8" r:id="rId9"/>
    <sheet name="Costo de res por kilo" sheetId="9" r:id="rId10"/>
  </sheets>
  <definedNames>
    <definedName name="_xlnm._FilterDatabase" localSheetId="3" hidden="1">'COMPRAS EN FINCA PARA AGUACHICA'!$A$1:$T$118</definedName>
    <definedName name="_xlnm._FilterDatabase" localSheetId="4" hidden="1">'Coordinadores Finca'!$A$1:$D$106</definedName>
    <definedName name="_xlnm._FilterDatabase" localSheetId="6" hidden="1">Fincas!$A$1:$C$173</definedName>
    <definedName name="_xlnm._FilterDatabase" localSheetId="2" hidden="1">Flacas!$A$1:$P$960</definedName>
    <definedName name="_xlnm._FilterDatabase" localSheetId="0" hidden="1">Gordas!$A$1:$AB$3034</definedName>
    <definedName name="_xlnm._FilterDatabase" localSheetId="5" hidden="1">Nacimiento!$A$1:$AB$4</definedName>
    <definedName name="Z_13897EC5_53E2_46B3_AE6E_9A99F1D3E445_.wvu.FilterData" localSheetId="0" hidden="1">Gordas!$A$1:$AA$4529</definedName>
    <definedName name="Z_1503CF09_45A7_4E9B_9E94_CB98B0362283_.wvu.FilterData" localSheetId="0" hidden="1">Gordas!$A$1:$AA$4752</definedName>
    <definedName name="Z_39509CF3_9D2D_43D8_B3BA_66D22729E70F_.wvu.FilterData" localSheetId="0" hidden="1">Gordas!$A$1:$AB$5496</definedName>
    <definedName name="Z_443826B1_392E_4D1E_AC28_E0F1C71544E2_.wvu.FilterData" localSheetId="2" hidden="1">Flacas!$A$1:$P$960</definedName>
    <definedName name="Z_443826B1_392E_4D1E_AC28_E0F1C71544E2_.wvu.FilterData" localSheetId="0" hidden="1">Gordas!$A$1:$AA$1248</definedName>
    <definedName name="Z_5BFFE4F1_6512_4A43_A6E8_8E8A72197DCC_.wvu.FilterData" localSheetId="2" hidden="1">Flacas!$A$1:$P$1110</definedName>
    <definedName name="Z_5BFFE4F1_6512_4A43_A6E8_8E8A72197DCC_.wvu.FilterData" localSheetId="0" hidden="1">Gordas!$A$1:$Z$5496</definedName>
    <definedName name="Z_B0D94C60_A0E6_43E3_ABE0_6CB936F0E9A4_.wvu.FilterData" localSheetId="2" hidden="1">Flacas!$A$1:$P$960</definedName>
    <definedName name="Z_B0D94C60_A0E6_43E3_ABE0_6CB936F0E9A4_.wvu.FilterData" localSheetId="0" hidden="1">Gordas!$A$3144</definedName>
    <definedName name="Z_B36C514A_6750_4369_AE5B_77500BD1D7D8_.wvu.FilterData" localSheetId="3" hidden="1">'COMPRAS EN FINCA PARA AGUACHICA'!$B$1:$S$149</definedName>
    <definedName name="Z_B597680B_F640_4C2D_A0E8_D38FFE2A733E_.wvu.FilterData" localSheetId="0" hidden="1">Gordas!$A$1:$Z$231</definedName>
    <definedName name="Z_BE427B5A_B1AE_4755_855B_A33FFD784AAB_.wvu.FilterData" localSheetId="0" hidden="1">Gordas!$A$1:$AA$1365</definedName>
    <definedName name="Z_C8448F2F_1A73_48C1_B2C3_57CEA7A5F6E8_.wvu.FilterData" localSheetId="0" hidden="1">Gordas!$A$1:$Z$295</definedName>
    <definedName name="Z_F4C44891_1869_4B46_9876_D4A61EEFD6B7_.wvu.FilterData" localSheetId="2" hidden="1">Flacas!$A$1:$P$743</definedName>
    <definedName name="Z_F4C44891_1869_4B46_9876_D4A61EEFD6B7_.wvu.FilterData" localSheetId="0" hidden="1">Gordas!$A$1:$Z$3154</definedName>
  </definedNames>
  <calcPr calcId="152511"/>
  <customWorkbookViews>
    <customWorkbookView name="Filtro 3" guid="{B597680B-F640-4C2D-A0E8-D38FFE2A733E}" maximized="1" windowWidth="0" windowHeight="0" activeSheetId="0"/>
    <customWorkbookView name="Filtro 2" guid="{C8448F2F-1A73-48C1-B2C3-57CEA7A5F6E8}" maximized="1" windowWidth="0" windowHeight="0" activeSheetId="0"/>
    <customWorkbookView name="Jhonathan" guid="{B36C514A-6750-4369-AE5B-77500BD1D7D8}" maximized="1" windowWidth="0" windowHeight="0" activeSheetId="0"/>
    <customWorkbookView name="Filtro 1" guid="{B0D94C60-A0E6-43E3-ABE0-6CB936F0E9A4}" maximized="1" windowWidth="0" windowHeight="0" activeSheetId="0"/>
    <customWorkbookView name="Carolay" guid="{13897EC5-53E2-46B3-AE6E-9A99F1D3E445}" maximized="1" windowWidth="0" windowHeight="0" activeSheetId="0"/>
    <customWorkbookView name="Daniel" guid="{39509CF3-9D2D-43D8-B3BA-66D22729E70F}" maximized="1" windowWidth="0" windowHeight="0" activeSheetId="0"/>
    <customWorkbookView name="Filtro 6" guid="{1503CF09-45A7-4E9B-9E94-CB98B0362283}" maximized="1" windowWidth="0" windowHeight="0" activeSheetId="0"/>
    <customWorkbookView name="Filtro 5" guid="{443826B1-392E-4D1E-AC28-E0F1C71544E2}" maximized="1" windowWidth="0" windowHeight="0" activeSheetId="0"/>
    <customWorkbookView name="Filtro 4" guid="{BE427B5A-B1AE-4755-855B-A33FFD784AAB}" maximized="1" windowWidth="0" windowHeight="0" activeSheetId="0"/>
    <customWorkbookView name="Yane" guid="{F4C44891-1869-4B46-9876-D4A61EEFD6B7}" maximized="1" windowWidth="0" windowHeight="0" activeSheetId="0"/>
    <customWorkbookView name="Pablo" guid="{5BFFE4F1-6512-4A43-A6E8-8E8A72197DCC}" maximized="1" windowWidth="0" windowHeight="0" activeSheetId="0"/>
  </customWorkbookViews>
  <pivotCaches>
    <pivotCache cacheId="6" r:id="rId11"/>
    <pivotCache cacheId="30" r:id="rId12"/>
  </pivotCaches>
</workbook>
</file>

<file path=xl/calcChain.xml><?xml version="1.0" encoding="utf-8"?>
<calcChain xmlns="http://schemas.openxmlformats.org/spreadsheetml/2006/main">
  <c r="J960" i="2" l="1"/>
  <c r="J959" i="2"/>
  <c r="J958" i="2"/>
  <c r="J957" i="2"/>
  <c r="J956" i="2"/>
  <c r="J955" i="2"/>
  <c r="J954" i="2"/>
  <c r="J953" i="2"/>
  <c r="J952" i="2"/>
  <c r="J951" i="2"/>
  <c r="J950" i="2"/>
  <c r="J949" i="2"/>
  <c r="J948" i="2"/>
  <c r="J947" i="2"/>
  <c r="J946" i="2"/>
  <c r="J945" i="2"/>
  <c r="J944" i="2"/>
  <c r="J943" i="2"/>
  <c r="J942" i="2"/>
  <c r="J941" i="2"/>
  <c r="J940" i="2"/>
  <c r="J939" i="2"/>
  <c r="J938" i="2"/>
  <c r="J937" i="2"/>
  <c r="J936" i="2"/>
  <c r="J935" i="2"/>
  <c r="J934" i="2"/>
  <c r="J933" i="2"/>
  <c r="J932" i="2"/>
  <c r="J931" i="2"/>
  <c r="J930" i="2"/>
  <c r="J929" i="2"/>
  <c r="J928" i="2"/>
  <c r="J927" i="2"/>
  <c r="J926" i="2"/>
  <c r="J925" i="2"/>
  <c r="J924" i="2"/>
  <c r="J923" i="2"/>
  <c r="J922" i="2"/>
  <c r="J921" i="2"/>
  <c r="J920" i="2"/>
  <c r="J919" i="2"/>
  <c r="J918" i="2"/>
  <c r="J917" i="2"/>
  <c r="J916" i="2"/>
  <c r="J915" i="2"/>
  <c r="J914" i="2"/>
  <c r="J913" i="2"/>
  <c r="J912" i="2"/>
  <c r="J911" i="2"/>
  <c r="J910" i="2"/>
  <c r="J909" i="2"/>
  <c r="J908" i="2"/>
  <c r="J907" i="2"/>
  <c r="J906" i="2"/>
  <c r="J905" i="2"/>
  <c r="J904" i="2"/>
  <c r="J903" i="2"/>
  <c r="J902" i="2"/>
  <c r="J901" i="2"/>
  <c r="J900" i="2"/>
  <c r="J899" i="2"/>
  <c r="J898" i="2"/>
  <c r="J897" i="2"/>
  <c r="J896" i="2"/>
  <c r="J895" i="2"/>
  <c r="J894" i="2"/>
  <c r="J893" i="2"/>
  <c r="J892" i="2"/>
  <c r="J891" i="2"/>
  <c r="J890" i="2"/>
  <c r="J889" i="2"/>
  <c r="J888" i="2"/>
  <c r="J887" i="2"/>
  <c r="J886" i="2"/>
  <c r="J885" i="2"/>
  <c r="J884" i="2"/>
  <c r="J883" i="2"/>
  <c r="J882" i="2"/>
  <c r="J881" i="2"/>
  <c r="J880" i="2"/>
  <c r="J879" i="2"/>
  <c r="J878" i="2"/>
  <c r="J877" i="2"/>
  <c r="J876" i="2"/>
  <c r="J875" i="2"/>
  <c r="J874" i="2"/>
  <c r="J873" i="2"/>
  <c r="J872" i="2"/>
  <c r="J871" i="2"/>
  <c r="J870" i="2"/>
  <c r="J869" i="2"/>
  <c r="J868" i="2"/>
  <c r="J867" i="2"/>
  <c r="J866" i="2"/>
  <c r="J865" i="2"/>
  <c r="J864" i="2"/>
  <c r="J863" i="2"/>
  <c r="J862" i="2"/>
  <c r="J861" i="2"/>
  <c r="J860" i="2"/>
  <c r="J859" i="2"/>
  <c r="J858" i="2"/>
  <c r="J857" i="2"/>
  <c r="J856" i="2"/>
  <c r="J855" i="2"/>
  <c r="J854" i="2"/>
  <c r="J853" i="2"/>
  <c r="J852" i="2"/>
  <c r="J851" i="2"/>
  <c r="J850" i="2"/>
  <c r="J849" i="2"/>
  <c r="J848" i="2"/>
  <c r="J847" i="2"/>
  <c r="J846" i="2"/>
  <c r="J845" i="2"/>
  <c r="J844" i="2"/>
  <c r="J843" i="2"/>
  <c r="J842" i="2"/>
  <c r="J841" i="2"/>
  <c r="J840" i="2"/>
  <c r="J839" i="2"/>
  <c r="J838" i="2"/>
  <c r="J837" i="2"/>
  <c r="J836" i="2"/>
  <c r="J835" i="2"/>
  <c r="J834" i="2"/>
  <c r="J833" i="2"/>
  <c r="J832" i="2"/>
  <c r="J831" i="2"/>
  <c r="J830" i="2"/>
  <c r="J829" i="2"/>
  <c r="J828" i="2"/>
  <c r="J827" i="2"/>
  <c r="J826" i="2"/>
  <c r="J825" i="2"/>
  <c r="J824" i="2"/>
  <c r="J823" i="2"/>
  <c r="J822" i="2"/>
  <c r="J821" i="2"/>
  <c r="J820" i="2"/>
  <c r="J819" i="2"/>
  <c r="J818" i="2"/>
  <c r="J817" i="2"/>
  <c r="J816" i="2"/>
  <c r="J815" i="2"/>
  <c r="J814" i="2"/>
  <c r="J813" i="2"/>
  <c r="J812" i="2"/>
  <c r="J811" i="2"/>
  <c r="J810" i="2"/>
  <c r="J809" i="2"/>
  <c r="J808" i="2"/>
  <c r="J807" i="2"/>
  <c r="J806" i="2"/>
  <c r="J805" i="2"/>
  <c r="J804" i="2"/>
  <c r="J803" i="2"/>
  <c r="J802" i="2"/>
  <c r="J801" i="2"/>
  <c r="J800" i="2"/>
  <c r="J799" i="2"/>
  <c r="J798" i="2"/>
  <c r="J797" i="2"/>
  <c r="J796" i="2"/>
  <c r="J795" i="2"/>
  <c r="J794" i="2"/>
  <c r="J793" i="2"/>
  <c r="J792" i="2"/>
  <c r="J791" i="2"/>
  <c r="J790" i="2"/>
  <c r="J789" i="2"/>
  <c r="J788" i="2"/>
  <c r="J787" i="2"/>
  <c r="J786" i="2"/>
  <c r="J785" i="2"/>
  <c r="J784" i="2"/>
  <c r="J783" i="2"/>
  <c r="J782" i="2"/>
  <c r="J781" i="2"/>
  <c r="J780" i="2"/>
  <c r="J779" i="2"/>
  <c r="J778" i="2"/>
  <c r="J777" i="2"/>
  <c r="J776" i="2"/>
  <c r="J775" i="2"/>
  <c r="J774" i="2"/>
  <c r="J773" i="2"/>
  <c r="J772" i="2"/>
  <c r="J771" i="2"/>
  <c r="J770" i="2"/>
  <c r="J769" i="2"/>
  <c r="J768" i="2"/>
  <c r="J767" i="2"/>
  <c r="J766" i="2"/>
  <c r="J765" i="2"/>
  <c r="J764" i="2"/>
  <c r="J763" i="2"/>
  <c r="J762" i="2"/>
  <c r="J761" i="2"/>
  <c r="J760" i="2"/>
  <c r="J759" i="2"/>
  <c r="J758" i="2"/>
  <c r="J757" i="2"/>
  <c r="J756" i="2"/>
  <c r="J755" i="2"/>
  <c r="J754" i="2"/>
  <c r="J753" i="2"/>
  <c r="J752" i="2"/>
  <c r="J751" i="2"/>
  <c r="J750" i="2"/>
  <c r="J749" i="2"/>
  <c r="J748" i="2"/>
  <c r="J747" i="2"/>
  <c r="J746" i="2"/>
  <c r="J745" i="2"/>
  <c r="J744" i="2"/>
  <c r="J743" i="2"/>
  <c r="J742" i="2"/>
  <c r="J741" i="2"/>
  <c r="J740" i="2"/>
  <c r="J739" i="2"/>
  <c r="J738" i="2"/>
  <c r="J737" i="2"/>
  <c r="J736" i="2"/>
  <c r="J735" i="2"/>
  <c r="J734" i="2"/>
  <c r="J733" i="2"/>
  <c r="J732" i="2"/>
  <c r="J731" i="2"/>
  <c r="J730" i="2"/>
  <c r="J729" i="2"/>
  <c r="J728" i="2"/>
  <c r="J727" i="2"/>
  <c r="J726" i="2"/>
  <c r="J725" i="2"/>
  <c r="J724" i="2"/>
  <c r="J723" i="2"/>
  <c r="J722" i="2"/>
  <c r="J721" i="2"/>
  <c r="J720" i="2"/>
  <c r="J719" i="2"/>
  <c r="J718" i="2"/>
  <c r="J717" i="2"/>
  <c r="J716" i="2"/>
  <c r="J715" i="2"/>
  <c r="J714" i="2"/>
  <c r="J713" i="2"/>
  <c r="J712" i="2"/>
  <c r="J711" i="2"/>
  <c r="J710" i="2"/>
  <c r="J709" i="2"/>
  <c r="J708" i="2"/>
  <c r="J707" i="2"/>
  <c r="J706" i="2"/>
  <c r="J705" i="2"/>
  <c r="J704" i="2"/>
  <c r="J703" i="2"/>
  <c r="J702" i="2"/>
  <c r="J701" i="2"/>
  <c r="J700" i="2"/>
  <c r="J699" i="2"/>
  <c r="J698" i="2"/>
  <c r="J697" i="2"/>
  <c r="J696" i="2"/>
  <c r="J695" i="2"/>
  <c r="J694" i="2"/>
  <c r="J693" i="2"/>
  <c r="J692" i="2"/>
  <c r="J691" i="2"/>
  <c r="J690" i="2"/>
  <c r="J689" i="2"/>
  <c r="J688" i="2"/>
  <c r="J687" i="2"/>
  <c r="J686" i="2"/>
  <c r="J685" i="2"/>
  <c r="J684" i="2"/>
  <c r="J683" i="2"/>
  <c r="J682" i="2"/>
  <c r="J681" i="2"/>
  <c r="J680" i="2"/>
  <c r="J679" i="2"/>
  <c r="J678" i="2"/>
  <c r="J677" i="2"/>
  <c r="J676" i="2"/>
  <c r="J675" i="2"/>
  <c r="J674" i="2"/>
  <c r="J673" i="2"/>
  <c r="J672" i="2"/>
  <c r="J671" i="2"/>
  <c r="J670" i="2"/>
  <c r="J669" i="2"/>
  <c r="J668" i="2"/>
  <c r="J667" i="2"/>
  <c r="J666" i="2"/>
  <c r="J665" i="2"/>
  <c r="J664" i="2"/>
  <c r="J663" i="2"/>
  <c r="J662" i="2"/>
  <c r="J661" i="2"/>
  <c r="J660" i="2"/>
  <c r="J659" i="2"/>
  <c r="J658" i="2"/>
  <c r="J657" i="2"/>
  <c r="J656" i="2"/>
  <c r="J655" i="2"/>
  <c r="J654" i="2"/>
  <c r="J653" i="2"/>
  <c r="J652" i="2"/>
  <c r="J651" i="2"/>
  <c r="J650" i="2"/>
  <c r="J649" i="2"/>
  <c r="J648" i="2"/>
  <c r="J647" i="2"/>
  <c r="J646" i="2"/>
  <c r="J645" i="2"/>
  <c r="J644" i="2"/>
  <c r="J643" i="2"/>
  <c r="J642" i="2"/>
  <c r="J641" i="2"/>
  <c r="J640" i="2"/>
  <c r="J639" i="2"/>
  <c r="J638" i="2"/>
  <c r="J637" i="2"/>
  <c r="J636" i="2"/>
  <c r="J635" i="2"/>
  <c r="J634" i="2"/>
  <c r="J633" i="2"/>
  <c r="J632" i="2"/>
  <c r="J631" i="2"/>
  <c r="J630" i="2"/>
  <c r="J629" i="2"/>
  <c r="J628" i="2"/>
  <c r="J627" i="2"/>
  <c r="J626" i="2"/>
  <c r="J625" i="2"/>
  <c r="J624" i="2"/>
  <c r="J623" i="2"/>
  <c r="J622" i="2"/>
  <c r="J621" i="2"/>
  <c r="J620" i="2"/>
  <c r="J619" i="2"/>
  <c r="J618" i="2"/>
  <c r="J617" i="2"/>
  <c r="J616" i="2"/>
  <c r="J615" i="2"/>
  <c r="J614" i="2"/>
  <c r="J613" i="2"/>
  <c r="J612" i="2"/>
  <c r="J611" i="2"/>
  <c r="J610" i="2"/>
  <c r="J609" i="2"/>
  <c r="J608" i="2"/>
  <c r="J607" i="2"/>
  <c r="J606" i="2"/>
  <c r="J605" i="2"/>
  <c r="J604" i="2"/>
  <c r="J603" i="2"/>
  <c r="J602" i="2"/>
  <c r="J601" i="2"/>
  <c r="J600" i="2"/>
  <c r="J599" i="2"/>
  <c r="J598" i="2"/>
  <c r="J597" i="2"/>
  <c r="J596" i="2"/>
  <c r="J595" i="2"/>
  <c r="J594" i="2"/>
  <c r="J593" i="2"/>
  <c r="J592" i="2"/>
  <c r="J591" i="2"/>
  <c r="J590" i="2"/>
  <c r="J589" i="2"/>
  <c r="J588" i="2"/>
  <c r="J587" i="2"/>
  <c r="J586" i="2"/>
  <c r="J585" i="2"/>
  <c r="J584" i="2"/>
  <c r="J583" i="2"/>
  <c r="J582" i="2"/>
  <c r="J581" i="2"/>
  <c r="J580" i="2"/>
  <c r="J579" i="2"/>
  <c r="J578" i="2"/>
  <c r="J577" i="2"/>
  <c r="J576" i="2"/>
  <c r="J575" i="2"/>
  <c r="J574" i="2"/>
  <c r="J573" i="2"/>
  <c r="J572" i="2"/>
  <c r="J571" i="2"/>
  <c r="J570" i="2"/>
  <c r="J569" i="2"/>
  <c r="J568" i="2"/>
  <c r="J567" i="2"/>
  <c r="J566" i="2"/>
  <c r="J565" i="2"/>
  <c r="J564" i="2"/>
  <c r="J563" i="2"/>
  <c r="J562" i="2"/>
  <c r="J561" i="2"/>
  <c r="J560" i="2"/>
  <c r="J559" i="2"/>
  <c r="J558" i="2"/>
  <c r="J557" i="2"/>
  <c r="J556" i="2"/>
  <c r="J555" i="2"/>
  <c r="J554" i="2"/>
  <c r="J553" i="2"/>
  <c r="J552" i="2"/>
  <c r="J551" i="2"/>
  <c r="J550" i="2"/>
  <c r="J549" i="2"/>
  <c r="J548" i="2"/>
  <c r="J547" i="2"/>
  <c r="J546" i="2"/>
  <c r="J545" i="2"/>
  <c r="J544" i="2"/>
  <c r="J543" i="2"/>
  <c r="J542" i="2"/>
  <c r="J541" i="2"/>
  <c r="J540" i="2"/>
  <c r="J539" i="2"/>
  <c r="J538" i="2"/>
  <c r="J537" i="2"/>
  <c r="J536" i="2"/>
  <c r="J535" i="2"/>
  <c r="J534" i="2"/>
  <c r="J533" i="2"/>
  <c r="J532" i="2"/>
  <c r="J531" i="2"/>
  <c r="J530" i="2"/>
  <c r="J529" i="2"/>
  <c r="J528" i="2"/>
  <c r="J527" i="2"/>
  <c r="J526" i="2"/>
  <c r="J525" i="2"/>
  <c r="J524" i="2"/>
  <c r="J523" i="2"/>
  <c r="J522" i="2"/>
  <c r="J521" i="2"/>
  <c r="J520" i="2"/>
  <c r="J519" i="2"/>
  <c r="J518" i="2"/>
  <c r="J517" i="2"/>
  <c r="J516" i="2"/>
  <c r="J515" i="2"/>
  <c r="J514" i="2"/>
  <c r="J513" i="2"/>
  <c r="J512" i="2"/>
  <c r="J511" i="2"/>
  <c r="J510" i="2"/>
  <c r="J509" i="2"/>
  <c r="J508" i="2"/>
  <c r="J507" i="2"/>
  <c r="J506" i="2"/>
  <c r="J505" i="2"/>
  <c r="J504" i="2"/>
  <c r="J503" i="2"/>
  <c r="J502" i="2"/>
  <c r="J501" i="2"/>
  <c r="J500" i="2"/>
  <c r="J499" i="2"/>
  <c r="J498" i="2"/>
  <c r="J497" i="2"/>
  <c r="J496" i="2"/>
  <c r="J495" i="2"/>
  <c r="J494" i="2"/>
  <c r="J493" i="2"/>
  <c r="J492" i="2"/>
  <c r="J491" i="2"/>
  <c r="J490" i="2"/>
  <c r="J489" i="2"/>
  <c r="J488" i="2"/>
  <c r="J487" i="2"/>
  <c r="J486" i="2"/>
  <c r="J485" i="2"/>
  <c r="J484" i="2"/>
  <c r="J483" i="2"/>
  <c r="J482" i="2"/>
  <c r="J481" i="2"/>
  <c r="J480" i="2"/>
  <c r="J479" i="2"/>
  <c r="J478" i="2"/>
  <c r="J477" i="2"/>
  <c r="J476" i="2"/>
  <c r="J475" i="2"/>
  <c r="J474" i="2"/>
  <c r="J473" i="2"/>
  <c r="J472" i="2"/>
  <c r="J471" i="2"/>
  <c r="J470" i="2"/>
  <c r="J469" i="2"/>
  <c r="J468" i="2"/>
  <c r="J467" i="2"/>
  <c r="J466" i="2"/>
  <c r="J465" i="2"/>
  <c r="J464" i="2"/>
  <c r="J463" i="2"/>
  <c r="J462" i="2"/>
  <c r="J461" i="2"/>
  <c r="J460" i="2"/>
  <c r="J459" i="2"/>
  <c r="J458" i="2"/>
  <c r="J457" i="2"/>
  <c r="J456" i="2"/>
  <c r="J455" i="2"/>
  <c r="J454" i="2"/>
  <c r="J453" i="2"/>
  <c r="J452" i="2"/>
  <c r="J451" i="2"/>
  <c r="J450" i="2"/>
  <c r="J449" i="2"/>
  <c r="J448" i="2"/>
  <c r="J447" i="2"/>
  <c r="J446" i="2"/>
  <c r="J445" i="2"/>
  <c r="J444" i="2"/>
  <c r="J443" i="2"/>
  <c r="J442" i="2"/>
  <c r="J441" i="2"/>
  <c r="J440" i="2"/>
  <c r="J439" i="2"/>
  <c r="J438" i="2"/>
  <c r="J437" i="2"/>
  <c r="J436" i="2"/>
  <c r="J435" i="2"/>
  <c r="J434" i="2"/>
  <c r="J433" i="2"/>
  <c r="J432" i="2"/>
  <c r="J431" i="2"/>
  <c r="J430" i="2"/>
  <c r="J429" i="2"/>
  <c r="J428" i="2"/>
  <c r="J427" i="2"/>
  <c r="J426" i="2"/>
  <c r="J425" i="2"/>
  <c r="J424" i="2"/>
  <c r="J423" i="2"/>
  <c r="J422" i="2"/>
  <c r="J421" i="2"/>
  <c r="J420" i="2"/>
  <c r="J419" i="2"/>
  <c r="J418" i="2"/>
  <c r="J417" i="2"/>
  <c r="J416" i="2"/>
  <c r="J415" i="2"/>
  <c r="J414" i="2"/>
  <c r="J413" i="2"/>
  <c r="J412" i="2"/>
  <c r="J411" i="2"/>
  <c r="J410" i="2"/>
  <c r="J409" i="2"/>
  <c r="J408" i="2"/>
  <c r="J407" i="2"/>
  <c r="J406" i="2"/>
  <c r="J405" i="2"/>
  <c r="J404" i="2"/>
  <c r="J403" i="2"/>
  <c r="J402" i="2"/>
  <c r="J401" i="2"/>
  <c r="J400" i="2"/>
  <c r="J399" i="2"/>
  <c r="J398" i="2"/>
  <c r="J397" i="2"/>
  <c r="J396" i="2"/>
  <c r="J395" i="2"/>
  <c r="J394" i="2"/>
  <c r="J393" i="2"/>
  <c r="J392" i="2"/>
  <c r="J391" i="2"/>
  <c r="J390" i="2"/>
  <c r="J389" i="2"/>
  <c r="J388" i="2"/>
  <c r="J387" i="2"/>
  <c r="J386" i="2"/>
  <c r="J385" i="2"/>
  <c r="J384" i="2"/>
  <c r="J383" i="2"/>
  <c r="J382" i="2"/>
  <c r="J381" i="2"/>
  <c r="J380" i="2"/>
  <c r="J379" i="2"/>
  <c r="J378" i="2"/>
  <c r="J377" i="2"/>
  <c r="J376" i="2"/>
  <c r="J375" i="2"/>
  <c r="J374" i="2"/>
  <c r="J373" i="2"/>
  <c r="J372" i="2"/>
  <c r="J371" i="2"/>
  <c r="J370" i="2"/>
  <c r="J369" i="2"/>
  <c r="J368" i="2"/>
  <c r="J367" i="2"/>
  <c r="J366" i="2"/>
  <c r="J365" i="2"/>
  <c r="J364" i="2"/>
  <c r="J363" i="2"/>
  <c r="J362" i="2"/>
  <c r="J361" i="2"/>
  <c r="J360" i="2"/>
  <c r="J359" i="2"/>
  <c r="J358" i="2"/>
  <c r="J357" i="2"/>
  <c r="J356" i="2"/>
  <c r="J355" i="2"/>
  <c r="J354" i="2"/>
  <c r="J353" i="2"/>
  <c r="J352" i="2"/>
  <c r="J351" i="2"/>
  <c r="J350" i="2"/>
  <c r="J349" i="2"/>
  <c r="J348" i="2"/>
  <c r="J347" i="2"/>
  <c r="J346" i="2"/>
  <c r="J345" i="2"/>
  <c r="J344" i="2"/>
  <c r="J343" i="2"/>
  <c r="J342" i="2"/>
  <c r="J341" i="2"/>
  <c r="J340" i="2"/>
  <c r="J339" i="2"/>
  <c r="J338" i="2"/>
  <c r="J337" i="2"/>
  <c r="J336" i="2"/>
  <c r="J335" i="2"/>
  <c r="J334" i="2"/>
  <c r="J333" i="2"/>
  <c r="J332" i="2"/>
  <c r="J331" i="2"/>
  <c r="J330" i="2"/>
  <c r="J329" i="2"/>
  <c r="J328" i="2"/>
  <c r="J327" i="2"/>
  <c r="J326" i="2"/>
  <c r="J325" i="2"/>
  <c r="J324" i="2"/>
  <c r="J323" i="2"/>
  <c r="J322" i="2"/>
  <c r="J321" i="2"/>
  <c r="J320" i="2"/>
  <c r="J319" i="2"/>
  <c r="J318" i="2"/>
  <c r="J317" i="2"/>
  <c r="J316" i="2"/>
  <c r="J315" i="2"/>
  <c r="J314" i="2"/>
  <c r="J313" i="2"/>
  <c r="J312" i="2"/>
  <c r="J311" i="2"/>
  <c r="J310" i="2"/>
  <c r="J309" i="2"/>
  <c r="J308" i="2"/>
  <c r="J307" i="2"/>
  <c r="J306" i="2"/>
  <c r="J305" i="2"/>
  <c r="J304" i="2"/>
  <c r="J303" i="2"/>
  <c r="J302" i="2"/>
  <c r="J301" i="2"/>
  <c r="J300" i="2"/>
  <c r="J299" i="2"/>
  <c r="J298" i="2"/>
  <c r="J297" i="2"/>
  <c r="J296" i="2"/>
  <c r="J295" i="2"/>
  <c r="J294" i="2"/>
  <c r="J293" i="2"/>
  <c r="J292" i="2"/>
  <c r="J291" i="2"/>
  <c r="J290" i="2"/>
  <c r="J289" i="2"/>
  <c r="J288" i="2"/>
  <c r="J287" i="2"/>
  <c r="J286" i="2"/>
  <c r="J285" i="2"/>
  <c r="J284" i="2"/>
  <c r="J283" i="2"/>
  <c r="J282" i="2"/>
  <c r="J281" i="2"/>
  <c r="J280" i="2"/>
  <c r="J279" i="2"/>
  <c r="J278" i="2"/>
  <c r="J277" i="2"/>
  <c r="J276" i="2"/>
  <c r="J275" i="2"/>
  <c r="J274" i="2"/>
  <c r="J273" i="2"/>
  <c r="J272" i="2"/>
  <c r="J271" i="2"/>
  <c r="J270" i="2"/>
  <c r="J269" i="2"/>
  <c r="J268" i="2"/>
  <c r="J267" i="2"/>
  <c r="J266" i="2"/>
  <c r="J265" i="2"/>
  <c r="J264" i="2"/>
  <c r="J263" i="2"/>
  <c r="J262" i="2"/>
  <c r="J261" i="2"/>
  <c r="J260" i="2"/>
  <c r="J259" i="2"/>
  <c r="J258" i="2"/>
  <c r="J257" i="2"/>
  <c r="J256" i="2"/>
  <c r="J255" i="2"/>
  <c r="J254" i="2"/>
  <c r="J253" i="2"/>
  <c r="J252" i="2"/>
  <c r="J251" i="2"/>
  <c r="J250" i="2"/>
  <c r="J249" i="2"/>
  <c r="J248" i="2"/>
  <c r="J247" i="2"/>
  <c r="J246" i="2"/>
  <c r="J245" i="2"/>
  <c r="J244" i="2"/>
  <c r="J243" i="2"/>
  <c r="J242" i="2"/>
  <c r="J241" i="2"/>
  <c r="J240" i="2"/>
  <c r="J239" i="2"/>
  <c r="J238" i="2"/>
  <c r="J237" i="2"/>
  <c r="J236" i="2"/>
  <c r="J235" i="2"/>
  <c r="J234" i="2"/>
  <c r="J233" i="2"/>
  <c r="J232" i="2"/>
  <c r="J231" i="2"/>
  <c r="J230" i="2"/>
  <c r="J229" i="2"/>
  <c r="J228" i="2"/>
  <c r="J227" i="2"/>
  <c r="J226" i="2"/>
  <c r="J225" i="2"/>
  <c r="J224" i="2"/>
  <c r="J223" i="2"/>
  <c r="J222" i="2"/>
  <c r="J221" i="2"/>
  <c r="J220" i="2"/>
  <c r="J219" i="2"/>
  <c r="J218" i="2"/>
  <c r="J217" i="2"/>
  <c r="J216" i="2"/>
  <c r="J215" i="2"/>
  <c r="J214" i="2"/>
  <c r="J213" i="2"/>
  <c r="J212" i="2"/>
  <c r="J211" i="2"/>
  <c r="J210" i="2"/>
  <c r="J209" i="2"/>
  <c r="J208" i="2"/>
  <c r="J207" i="2"/>
  <c r="J206" i="2"/>
  <c r="J205" i="2"/>
  <c r="J204" i="2"/>
  <c r="J203" i="2"/>
  <c r="J202" i="2"/>
  <c r="J201" i="2"/>
  <c r="J200" i="2"/>
  <c r="J199" i="2"/>
  <c r="J198" i="2"/>
  <c r="J197" i="2"/>
  <c r="J196" i="2"/>
  <c r="J195" i="2"/>
  <c r="J194" i="2"/>
  <c r="J193" i="2"/>
  <c r="J192" i="2"/>
  <c r="J191" i="2"/>
  <c r="J190" i="2"/>
  <c r="J189" i="2"/>
  <c r="J188" i="2"/>
  <c r="J187" i="2"/>
  <c r="J186" i="2"/>
  <c r="J185" i="2"/>
  <c r="J184" i="2"/>
  <c r="J183" i="2"/>
  <c r="J182" i="2"/>
  <c r="J181" i="2"/>
  <c r="J180" i="2"/>
  <c r="J179" i="2"/>
  <c r="J178" i="2"/>
  <c r="J177" i="2"/>
  <c r="J176" i="2"/>
  <c r="J175" i="2"/>
  <c r="J174" i="2"/>
  <c r="J173" i="2"/>
  <c r="J172" i="2"/>
  <c r="J171" i="2"/>
  <c r="J170" i="2"/>
  <c r="J169" i="2"/>
  <c r="J168" i="2"/>
  <c r="J167" i="2"/>
  <c r="J166" i="2"/>
  <c r="J165" i="2"/>
  <c r="J164" i="2"/>
  <c r="J163" i="2"/>
  <c r="J162" i="2"/>
  <c r="J161" i="2"/>
  <c r="J160" i="2"/>
  <c r="J159" i="2"/>
  <c r="J158" i="2"/>
  <c r="J157" i="2"/>
  <c r="J156" i="2"/>
  <c r="J155" i="2"/>
  <c r="J154" i="2"/>
  <c r="J153" i="2"/>
  <c r="J152" i="2"/>
  <c r="J151" i="2"/>
  <c r="J150" i="2"/>
  <c r="J149" i="2"/>
  <c r="J148" i="2"/>
  <c r="J147" i="2"/>
  <c r="J146" i="2"/>
  <c r="J145" i="2"/>
  <c r="J144" i="2"/>
  <c r="J143" i="2"/>
  <c r="J142" i="2"/>
  <c r="J141" i="2"/>
  <c r="J140" i="2"/>
  <c r="J139" i="2"/>
  <c r="J138" i="2"/>
  <c r="J137" i="2"/>
  <c r="J136" i="2"/>
  <c r="J135" i="2"/>
  <c r="J134" i="2"/>
  <c r="J133" i="2"/>
  <c r="J132" i="2"/>
  <c r="J131" i="2"/>
  <c r="J130" i="2"/>
  <c r="J129" i="2"/>
  <c r="J128" i="2"/>
  <c r="J127" i="2"/>
  <c r="J126" i="2"/>
  <c r="J125" i="2"/>
  <c r="J124" i="2"/>
  <c r="J123" i="2"/>
  <c r="J122" i="2"/>
  <c r="J121" i="2"/>
  <c r="J120" i="2"/>
  <c r="J119" i="2"/>
  <c r="J118" i="2"/>
  <c r="J117" i="2"/>
  <c r="J116" i="2"/>
  <c r="J115" i="2"/>
  <c r="J114" i="2"/>
  <c r="J113" i="2"/>
  <c r="J112" i="2"/>
  <c r="J111" i="2"/>
  <c r="J110" i="2"/>
  <c r="J109" i="2"/>
  <c r="J108" i="2"/>
  <c r="J107" i="2"/>
  <c r="J106" i="2"/>
  <c r="J105" i="2"/>
  <c r="J104" i="2"/>
  <c r="J103" i="2"/>
  <c r="J102" i="2"/>
  <c r="J101" i="2"/>
  <c r="J100" i="2"/>
  <c r="J99" i="2"/>
  <c r="J98" i="2"/>
  <c r="J97" i="2"/>
  <c r="J96" i="2"/>
  <c r="J95" i="2"/>
  <c r="J94" i="2"/>
  <c r="J93" i="2"/>
  <c r="J92" i="2"/>
  <c r="J91" i="2"/>
  <c r="J90" i="2"/>
  <c r="J89" i="2"/>
  <c r="J88" i="2"/>
  <c r="J87" i="2"/>
  <c r="J86" i="2"/>
  <c r="J85" i="2"/>
  <c r="J84" i="2"/>
  <c r="J83" i="2"/>
  <c r="J82" i="2"/>
  <c r="J81" i="2"/>
  <c r="J80" i="2"/>
  <c r="J79" i="2"/>
  <c r="J78" i="2"/>
  <c r="J77" i="2"/>
  <c r="J76" i="2"/>
  <c r="J75" i="2"/>
  <c r="J74" i="2"/>
  <c r="J73" i="2"/>
  <c r="J72" i="2"/>
  <c r="J71" i="2"/>
  <c r="J70" i="2"/>
  <c r="J69" i="2"/>
  <c r="J68" i="2"/>
  <c r="J67" i="2"/>
  <c r="J66" i="2"/>
  <c r="J65" i="2"/>
  <c r="J64" i="2"/>
  <c r="J63" i="2"/>
  <c r="J62" i="2"/>
  <c r="J61" i="2"/>
  <c r="J60" i="2"/>
  <c r="J59" i="2"/>
  <c r="J58" i="2"/>
  <c r="J57" i="2"/>
  <c r="J56" i="2"/>
  <c r="J55" i="2"/>
  <c r="J54" i="2"/>
  <c r="J53" i="2"/>
  <c r="J52" i="2"/>
  <c r="J51" i="2"/>
  <c r="J50" i="2"/>
  <c r="J49" i="2"/>
  <c r="J48" i="2"/>
  <c r="J47" i="2"/>
  <c r="J46" i="2"/>
  <c r="J45" i="2"/>
  <c r="J44" i="2"/>
  <c r="J43" i="2"/>
  <c r="J42" i="2"/>
  <c r="J41" i="2"/>
  <c r="J40" i="2"/>
  <c r="J39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J11" i="2"/>
  <c r="J10" i="2"/>
  <c r="J9" i="2"/>
  <c r="J8" i="2"/>
  <c r="J7" i="2"/>
  <c r="J6" i="2"/>
  <c r="J5" i="2"/>
  <c r="J4" i="2"/>
  <c r="J3" i="2"/>
  <c r="J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2" i="2"/>
  <c r="P3" i="2"/>
  <c r="P14" i="2"/>
  <c r="P15" i="2"/>
  <c r="P31" i="2"/>
  <c r="P32" i="2"/>
  <c r="P38" i="2"/>
  <c r="P49" i="2"/>
  <c r="P62" i="2"/>
  <c r="P63" i="2"/>
  <c r="P64" i="2"/>
  <c r="P65" i="2"/>
  <c r="P66" i="2"/>
  <c r="P67" i="2"/>
  <c r="P68" i="2"/>
  <c r="P76" i="2"/>
  <c r="P85" i="2"/>
  <c r="P94" i="2"/>
  <c r="P96" i="2"/>
  <c r="P107" i="2"/>
  <c r="P108" i="2"/>
  <c r="P112" i="2"/>
  <c r="P113" i="2"/>
  <c r="P114" i="2"/>
  <c r="P115" i="2"/>
  <c r="P116" i="2"/>
  <c r="P117" i="2"/>
  <c r="P118" i="2"/>
  <c r="P119" i="2"/>
  <c r="P120" i="2"/>
  <c r="P138" i="2"/>
  <c r="P139" i="2"/>
  <c r="P142" i="2"/>
  <c r="P143" i="2"/>
  <c r="P144" i="2"/>
  <c r="P145" i="2"/>
  <c r="P146" i="2"/>
  <c r="P147" i="2"/>
  <c r="P148" i="2"/>
  <c r="P150" i="2"/>
  <c r="P162" i="2"/>
  <c r="P163" i="2"/>
  <c r="P164" i="2"/>
  <c r="P170" i="2"/>
  <c r="P180" i="2"/>
  <c r="P181" i="2"/>
  <c r="P183" i="2"/>
  <c r="P187" i="2"/>
  <c r="P189" i="2"/>
  <c r="P190" i="2"/>
  <c r="P195" i="2"/>
  <c r="P196" i="2"/>
  <c r="P197" i="2"/>
  <c r="P198" i="2"/>
  <c r="P216" i="2"/>
  <c r="P217" i="2"/>
  <c r="P218" i="2"/>
  <c r="P219" i="2"/>
  <c r="P222" i="2"/>
  <c r="P223" i="2"/>
  <c r="P224" i="2"/>
  <c r="P225" i="2"/>
  <c r="P226" i="2"/>
  <c r="P227" i="2"/>
  <c r="P237" i="2"/>
  <c r="P238" i="2"/>
  <c r="P239" i="2"/>
  <c r="P240" i="2"/>
  <c r="P241" i="2"/>
  <c r="P247" i="2"/>
  <c r="P248" i="2"/>
  <c r="P249" i="2"/>
  <c r="P257" i="2"/>
  <c r="P258" i="2"/>
  <c r="P262" i="2"/>
  <c r="P264" i="2"/>
  <c r="P265" i="2"/>
  <c r="P266" i="2"/>
  <c r="P269" i="2"/>
  <c r="P271" i="2"/>
  <c r="P272" i="2"/>
  <c r="P273" i="2"/>
  <c r="P274" i="2"/>
  <c r="P275" i="2"/>
  <c r="P279" i="2"/>
  <c r="P280" i="2"/>
  <c r="P281" i="2"/>
  <c r="P291" i="2"/>
  <c r="P302" i="2"/>
  <c r="P303" i="2"/>
  <c r="P304" i="2"/>
  <c r="P305" i="2"/>
  <c r="P306" i="2"/>
  <c r="P312" i="2"/>
  <c r="P313" i="2"/>
  <c r="P318" i="2"/>
  <c r="P319" i="2"/>
  <c r="P320" i="2"/>
  <c r="P321" i="2"/>
  <c r="P322" i="2"/>
  <c r="P323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43" i="2"/>
  <c r="P344" i="2"/>
  <c r="P345" i="2"/>
  <c r="P347" i="2"/>
  <c r="P348" i="2"/>
  <c r="P358" i="2"/>
  <c r="P359" i="2"/>
  <c r="P360" i="2"/>
  <c r="P364" i="2"/>
  <c r="P365" i="2"/>
  <c r="P379" i="2"/>
  <c r="P380" i="2"/>
  <c r="P382" i="2"/>
  <c r="P383" i="2"/>
  <c r="P384" i="2"/>
  <c r="P385" i="2"/>
  <c r="P389" i="2"/>
  <c r="P401" i="2"/>
  <c r="P402" i="2"/>
  <c r="P403" i="2"/>
  <c r="P404" i="2"/>
  <c r="P405" i="2"/>
  <c r="P406" i="2"/>
  <c r="P407" i="2"/>
  <c r="P432" i="2"/>
  <c r="P435" i="2"/>
  <c r="P436" i="2"/>
  <c r="P448" i="2"/>
  <c r="P452" i="2"/>
  <c r="P465" i="2"/>
  <c r="P466" i="2"/>
  <c r="P467" i="2"/>
  <c r="P468" i="2"/>
  <c r="P469" i="2"/>
  <c r="P470" i="2"/>
  <c r="P471" i="2"/>
  <c r="P472" i="2"/>
  <c r="P477" i="2"/>
  <c r="P478" i="2"/>
  <c r="P479" i="2"/>
  <c r="P485" i="2"/>
  <c r="P486" i="2"/>
  <c r="P487" i="2"/>
  <c r="P488" i="2"/>
  <c r="P489" i="2"/>
  <c r="P490" i="2"/>
  <c r="P491" i="2"/>
  <c r="P506" i="2"/>
  <c r="P512" i="2"/>
  <c r="P513" i="2"/>
  <c r="P514" i="2"/>
  <c r="P515" i="2"/>
  <c r="P517" i="2"/>
  <c r="P518" i="2"/>
  <c r="P520" i="2"/>
  <c r="P521" i="2"/>
  <c r="P522" i="2"/>
  <c r="P523" i="2"/>
  <c r="P524" i="2"/>
  <c r="P525" i="2"/>
  <c r="P529" i="2"/>
  <c r="P530" i="2"/>
  <c r="P531" i="2"/>
  <c r="P532" i="2"/>
  <c r="P533" i="2"/>
  <c r="P534" i="2"/>
  <c r="P536" i="2"/>
  <c r="P537" i="2"/>
  <c r="P538" i="2"/>
  <c r="P539" i="2"/>
  <c r="P560" i="2"/>
  <c r="P576" i="2"/>
  <c r="P577" i="2"/>
  <c r="P578" i="2"/>
  <c r="P579" i="2"/>
  <c r="P580" i="2"/>
  <c r="P581" i="2"/>
  <c r="P582" i="2"/>
  <c r="P583" i="2"/>
  <c r="P584" i="2"/>
  <c r="P600" i="2"/>
  <c r="P601" i="2"/>
  <c r="P602" i="2"/>
  <c r="P618" i="2"/>
  <c r="P626" i="2"/>
  <c r="P628" i="2"/>
  <c r="P629" i="2"/>
  <c r="P630" i="2"/>
  <c r="P647" i="2"/>
  <c r="P648" i="2"/>
  <c r="P662" i="2"/>
  <c r="P663" i="2"/>
  <c r="P664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6" i="2"/>
  <c r="P712" i="2"/>
  <c r="P713" i="2"/>
  <c r="P714" i="2"/>
  <c r="P715" i="2"/>
  <c r="P724" i="2"/>
  <c r="P725" i="2"/>
  <c r="P726" i="2"/>
  <c r="P738" i="2"/>
  <c r="P739" i="2"/>
  <c r="P741" i="2"/>
  <c r="P742" i="2"/>
  <c r="P744" i="2"/>
  <c r="P760" i="2"/>
  <c r="P761" i="2"/>
  <c r="P762" i="2"/>
  <c r="P765" i="2"/>
  <c r="P766" i="2"/>
  <c r="P775" i="2"/>
  <c r="P777" i="2"/>
  <c r="P779" i="2"/>
  <c r="P780" i="2"/>
  <c r="P781" i="2"/>
  <c r="P782" i="2"/>
  <c r="P783" i="2"/>
  <c r="P784" i="2"/>
  <c r="P785" i="2"/>
  <c r="P786" i="2"/>
  <c r="P787" i="2"/>
  <c r="P788" i="2"/>
  <c r="P789" i="2"/>
  <c r="P792" i="2"/>
  <c r="P793" i="2"/>
  <c r="P794" i="2"/>
  <c r="P795" i="2"/>
  <c r="P796" i="2"/>
  <c r="P797" i="2"/>
  <c r="P798" i="2"/>
  <c r="P799" i="2"/>
  <c r="P807" i="2"/>
  <c r="P808" i="2"/>
  <c r="P809" i="2"/>
  <c r="P810" i="2"/>
  <c r="P811" i="2"/>
  <c r="P812" i="2"/>
  <c r="P813" i="2"/>
  <c r="P814" i="2"/>
  <c r="P815" i="2"/>
  <c r="P816" i="2"/>
  <c r="P835" i="2"/>
  <c r="P836" i="2"/>
  <c r="P839" i="2"/>
  <c r="P854" i="2"/>
  <c r="P858" i="2"/>
  <c r="P859" i="2"/>
  <c r="P860" i="2"/>
  <c r="P861" i="2"/>
  <c r="P862" i="2"/>
  <c r="P863" i="2"/>
  <c r="P864" i="2"/>
  <c r="P865" i="2"/>
  <c r="P871" i="2"/>
  <c r="P872" i="2"/>
  <c r="P873" i="2"/>
  <c r="P877" i="2"/>
  <c r="P878" i="2"/>
  <c r="P879" i="2"/>
  <c r="P880" i="2"/>
  <c r="P881" i="2"/>
  <c r="P884" i="2"/>
  <c r="P889" i="2"/>
  <c r="P890" i="2"/>
  <c r="P912" i="2"/>
  <c r="P914" i="2"/>
  <c r="P915" i="2"/>
  <c r="P934" i="2"/>
  <c r="P945" i="2"/>
  <c r="P946" i="2"/>
  <c r="P947" i="2"/>
  <c r="P948" i="2"/>
  <c r="P949" i="2"/>
  <c r="P950" i="2"/>
  <c r="P951" i="2"/>
  <c r="P952" i="2"/>
  <c r="P953" i="2"/>
  <c r="P954" i="2"/>
  <c r="G14" i="5"/>
  <c r="C14" i="5"/>
  <c r="G13" i="5"/>
  <c r="C13" i="5"/>
  <c r="G12" i="5"/>
  <c r="C12" i="5"/>
  <c r="G11" i="5"/>
  <c r="C11" i="5"/>
  <c r="G10" i="5"/>
  <c r="C10" i="5"/>
  <c r="G9" i="5"/>
  <c r="C9" i="5"/>
  <c r="G8" i="5"/>
  <c r="C8" i="5"/>
  <c r="G7" i="5"/>
  <c r="C7" i="5"/>
  <c r="G6" i="5"/>
  <c r="C6" i="5"/>
  <c r="G5" i="5"/>
  <c r="C5" i="5"/>
  <c r="G4" i="5"/>
  <c r="C4" i="5"/>
  <c r="G3" i="5"/>
  <c r="C3" i="5"/>
  <c r="G2" i="5"/>
  <c r="C2" i="5"/>
  <c r="S241" i="3"/>
  <c r="P241" i="3"/>
  <c r="O241" i="3"/>
  <c r="S240" i="3"/>
  <c r="P240" i="3"/>
  <c r="O240" i="3"/>
  <c r="P238" i="3"/>
  <c r="O238" i="3"/>
  <c r="S237" i="3"/>
  <c r="P237" i="3"/>
  <c r="O237" i="3"/>
  <c r="S236" i="3"/>
  <c r="P236" i="3"/>
  <c r="O236" i="3"/>
  <c r="P235" i="3"/>
  <c r="O235" i="3"/>
  <c r="S234" i="3"/>
  <c r="P234" i="3"/>
  <c r="O234" i="3"/>
  <c r="S233" i="3"/>
  <c r="P233" i="3"/>
  <c r="O233" i="3"/>
  <c r="S232" i="3"/>
  <c r="P232" i="3"/>
  <c r="O232" i="3"/>
  <c r="S231" i="3"/>
  <c r="P231" i="3"/>
  <c r="O231" i="3"/>
  <c r="P230" i="3"/>
  <c r="O230" i="3"/>
  <c r="P229" i="3"/>
  <c r="O229" i="3"/>
  <c r="P228" i="3"/>
  <c r="O228" i="3"/>
  <c r="P227" i="3"/>
  <c r="O227" i="3"/>
  <c r="P226" i="3"/>
  <c r="O226" i="3"/>
  <c r="P225" i="3"/>
  <c r="O225" i="3"/>
  <c r="P224" i="3"/>
  <c r="O224" i="3"/>
  <c r="S223" i="3"/>
  <c r="P223" i="3"/>
  <c r="O223" i="3"/>
  <c r="S222" i="3"/>
  <c r="P222" i="3"/>
  <c r="O222" i="3"/>
  <c r="S221" i="3"/>
  <c r="P221" i="3"/>
  <c r="O221" i="3"/>
  <c r="S220" i="3"/>
  <c r="P220" i="3"/>
  <c r="O220" i="3"/>
  <c r="S219" i="3"/>
  <c r="P219" i="3"/>
  <c r="O219" i="3"/>
  <c r="P218" i="3"/>
  <c r="O218" i="3"/>
  <c r="P217" i="3"/>
  <c r="O217" i="3"/>
  <c r="S216" i="3"/>
  <c r="P216" i="3"/>
  <c r="O216" i="3"/>
  <c r="U215" i="3"/>
  <c r="P215" i="3"/>
  <c r="O215" i="3"/>
  <c r="P214" i="3"/>
  <c r="O214" i="3"/>
  <c r="P213" i="3"/>
  <c r="O213" i="3"/>
  <c r="S212" i="3"/>
  <c r="P212" i="3"/>
  <c r="O212" i="3"/>
  <c r="P211" i="3"/>
  <c r="O211" i="3"/>
  <c r="P210" i="3"/>
  <c r="O210" i="3"/>
  <c r="P209" i="3"/>
  <c r="O209" i="3"/>
  <c r="S208" i="3"/>
  <c r="P208" i="3"/>
  <c r="O208" i="3"/>
  <c r="S207" i="3"/>
  <c r="P207" i="3"/>
  <c r="O207" i="3"/>
  <c r="P206" i="3"/>
  <c r="O206" i="3"/>
  <c r="P205" i="3"/>
  <c r="O205" i="3"/>
  <c r="P204" i="3"/>
  <c r="O204" i="3"/>
  <c r="P203" i="3"/>
  <c r="O203" i="3"/>
  <c r="P202" i="3"/>
  <c r="O202" i="3"/>
  <c r="O201" i="3"/>
  <c r="P200" i="3"/>
  <c r="O200" i="3"/>
  <c r="P199" i="3"/>
  <c r="O199" i="3"/>
  <c r="P198" i="3"/>
  <c r="O198" i="3"/>
  <c r="S197" i="3"/>
  <c r="O197" i="3"/>
  <c r="P196" i="3"/>
  <c r="O196" i="3"/>
  <c r="O195" i="3"/>
  <c r="S194" i="3"/>
  <c r="P194" i="3"/>
  <c r="O194" i="3"/>
  <c r="O193" i="3"/>
  <c r="S192" i="3"/>
  <c r="P192" i="3"/>
  <c r="O192" i="3"/>
  <c r="S191" i="3"/>
  <c r="P191" i="3"/>
  <c r="O191" i="3"/>
  <c r="O190" i="3"/>
  <c r="P189" i="3"/>
  <c r="O189" i="3"/>
  <c r="P188" i="3"/>
  <c r="O188" i="3"/>
  <c r="P187" i="3"/>
  <c r="O187" i="3"/>
  <c r="P186" i="3"/>
  <c r="O186" i="3"/>
  <c r="O185" i="3"/>
  <c r="P184" i="3"/>
  <c r="O184" i="3"/>
  <c r="P183" i="3"/>
  <c r="O183" i="3"/>
  <c r="O182" i="3"/>
  <c r="P181" i="3"/>
  <c r="O181" i="3"/>
  <c r="P180" i="3"/>
  <c r="O180" i="3"/>
  <c r="P179" i="3"/>
  <c r="O179" i="3"/>
  <c r="P178" i="3"/>
  <c r="O178" i="3"/>
  <c r="P177" i="3"/>
  <c r="O177" i="3"/>
  <c r="P176" i="3"/>
  <c r="O176" i="3"/>
  <c r="P175" i="3"/>
  <c r="O175" i="3"/>
  <c r="P174" i="3"/>
  <c r="O174" i="3"/>
  <c r="O173" i="3"/>
  <c r="P172" i="3"/>
  <c r="O172" i="3"/>
  <c r="P171" i="3"/>
  <c r="O171" i="3"/>
  <c r="P170" i="3"/>
  <c r="O170" i="3"/>
  <c r="P169" i="3"/>
  <c r="O169" i="3"/>
  <c r="S168" i="3"/>
  <c r="P168" i="3"/>
  <c r="O168" i="3"/>
  <c r="S167" i="3"/>
  <c r="P167" i="3"/>
  <c r="O167" i="3"/>
  <c r="P166" i="3"/>
  <c r="O166" i="3"/>
  <c r="S165" i="3"/>
  <c r="P165" i="3"/>
  <c r="O165" i="3"/>
  <c r="S164" i="3"/>
  <c r="P164" i="3"/>
  <c r="O164" i="3"/>
  <c r="P163" i="3"/>
  <c r="O163" i="3"/>
  <c r="O162" i="3"/>
  <c r="P161" i="3"/>
  <c r="O161" i="3"/>
  <c r="P160" i="3"/>
  <c r="O160" i="3"/>
  <c r="P159" i="3"/>
  <c r="O159" i="3"/>
  <c r="P158" i="3"/>
  <c r="O158" i="3"/>
  <c r="P157" i="3"/>
  <c r="O157" i="3"/>
  <c r="P156" i="3"/>
  <c r="O156" i="3"/>
  <c r="P155" i="3"/>
  <c r="O155" i="3"/>
  <c r="P154" i="3"/>
  <c r="O154" i="3"/>
  <c r="P153" i="3"/>
  <c r="O153" i="3"/>
  <c r="P152" i="3"/>
  <c r="O152" i="3"/>
  <c r="P151" i="3"/>
  <c r="O151" i="3"/>
  <c r="P150" i="3"/>
  <c r="O150" i="3"/>
  <c r="P149" i="3"/>
  <c r="O149" i="3"/>
  <c r="P148" i="3"/>
  <c r="O148" i="3"/>
  <c r="P147" i="3"/>
  <c r="O147" i="3"/>
  <c r="P146" i="3"/>
  <c r="O146" i="3"/>
  <c r="P145" i="3"/>
  <c r="O145" i="3"/>
  <c r="P144" i="3"/>
  <c r="O144" i="3"/>
  <c r="P143" i="3"/>
  <c r="O143" i="3"/>
  <c r="P142" i="3"/>
  <c r="O142" i="3"/>
  <c r="P141" i="3"/>
  <c r="O141" i="3"/>
  <c r="O140" i="3"/>
  <c r="P139" i="3"/>
  <c r="O139" i="3"/>
  <c r="P138" i="3"/>
  <c r="O138" i="3"/>
  <c r="P137" i="3"/>
  <c r="O137" i="3"/>
  <c r="O136" i="3"/>
  <c r="P135" i="3"/>
  <c r="O135" i="3"/>
  <c r="P134" i="3"/>
  <c r="O134" i="3"/>
  <c r="P133" i="3"/>
  <c r="O133" i="3"/>
  <c r="P132" i="3"/>
  <c r="O132" i="3"/>
  <c r="P131" i="3"/>
  <c r="O131" i="3"/>
  <c r="P130" i="3"/>
  <c r="O130" i="3"/>
  <c r="O129" i="3"/>
  <c r="P128" i="3"/>
  <c r="O128" i="3"/>
  <c r="P127" i="3"/>
  <c r="O127" i="3"/>
  <c r="P126" i="3"/>
  <c r="O126" i="3"/>
  <c r="P125" i="3"/>
  <c r="O125" i="3"/>
  <c r="P124" i="3"/>
  <c r="O124" i="3"/>
  <c r="P123" i="3"/>
  <c r="O123" i="3"/>
  <c r="P122" i="3"/>
  <c r="O122" i="3"/>
  <c r="P121" i="3"/>
  <c r="O121" i="3"/>
  <c r="P119" i="3"/>
  <c r="O119" i="3"/>
  <c r="P118" i="3"/>
  <c r="O118" i="3"/>
  <c r="P117" i="3"/>
  <c r="O117" i="3"/>
  <c r="P116" i="3"/>
  <c r="O116" i="3"/>
  <c r="P115" i="3"/>
  <c r="O115" i="3"/>
  <c r="P114" i="3"/>
  <c r="O114" i="3"/>
  <c r="P113" i="3"/>
  <c r="O113" i="3"/>
  <c r="O112" i="3"/>
  <c r="O111" i="3"/>
  <c r="O110" i="3"/>
  <c r="O109" i="3"/>
  <c r="O108" i="3"/>
  <c r="O107" i="3"/>
  <c r="O106" i="3"/>
  <c r="O104" i="3"/>
  <c r="O103" i="3"/>
  <c r="O102" i="3"/>
  <c r="O101" i="3"/>
  <c r="O100" i="3"/>
  <c r="P99" i="3"/>
  <c r="O99" i="3"/>
  <c r="P98" i="3"/>
  <c r="O98" i="3"/>
  <c r="P97" i="3"/>
  <c r="O97" i="3"/>
  <c r="P96" i="3"/>
  <c r="O96" i="3"/>
  <c r="P95" i="3"/>
  <c r="O95" i="3"/>
  <c r="O94" i="3"/>
  <c r="P93" i="3"/>
  <c r="O93" i="3"/>
  <c r="P92" i="3"/>
  <c r="O92" i="3"/>
  <c r="P91" i="3"/>
  <c r="O91" i="3"/>
  <c r="P90" i="3"/>
  <c r="O90" i="3"/>
  <c r="S89" i="3"/>
  <c r="P89" i="3"/>
  <c r="O89" i="3"/>
  <c r="S88" i="3"/>
  <c r="P88" i="3"/>
  <c r="O88" i="3"/>
  <c r="S87" i="3"/>
  <c r="P87" i="3"/>
  <c r="O87" i="3"/>
  <c r="P86" i="3"/>
  <c r="O86" i="3"/>
  <c r="P85" i="3"/>
  <c r="O85" i="3"/>
  <c r="P84" i="3"/>
  <c r="O84" i="3"/>
  <c r="P83" i="3"/>
  <c r="O83" i="3"/>
  <c r="P82" i="3"/>
  <c r="O82" i="3"/>
  <c r="P81" i="3"/>
  <c r="O81" i="3"/>
  <c r="O80" i="3"/>
  <c r="S79" i="3"/>
  <c r="P79" i="3"/>
  <c r="O79" i="3"/>
  <c r="S78" i="3"/>
  <c r="P78" i="3"/>
  <c r="O78" i="3"/>
  <c r="S77" i="3"/>
  <c r="P77" i="3"/>
  <c r="O77" i="3"/>
  <c r="P76" i="3"/>
  <c r="O76" i="3"/>
  <c r="P75" i="3"/>
  <c r="O75" i="3"/>
  <c r="P74" i="3"/>
  <c r="O74" i="3"/>
  <c r="P73" i="3"/>
  <c r="O73" i="3"/>
  <c r="P72" i="3"/>
  <c r="O72" i="3"/>
  <c r="P71" i="3"/>
  <c r="O71" i="3"/>
  <c r="P70" i="3"/>
  <c r="O70" i="3"/>
  <c r="P69" i="3"/>
  <c r="O69" i="3"/>
  <c r="P67" i="3"/>
  <c r="O67" i="3"/>
  <c r="P66" i="3"/>
  <c r="O66" i="3"/>
  <c r="S65" i="3"/>
  <c r="P65" i="3"/>
  <c r="O65" i="3"/>
  <c r="P64" i="3"/>
  <c r="O64" i="3"/>
  <c r="O63" i="3"/>
  <c r="S62" i="3"/>
  <c r="P62" i="3"/>
  <c r="O62" i="3"/>
  <c r="S61" i="3"/>
  <c r="P61" i="3"/>
  <c r="O61" i="3"/>
  <c r="P60" i="3"/>
  <c r="O60" i="3"/>
  <c r="S59" i="3"/>
  <c r="P59" i="3"/>
  <c r="O59" i="3"/>
  <c r="S58" i="3"/>
  <c r="P58" i="3"/>
  <c r="O58" i="3"/>
  <c r="P57" i="3"/>
  <c r="S57" i="3" s="1"/>
  <c r="O57" i="3"/>
  <c r="S56" i="3"/>
  <c r="P56" i="3"/>
  <c r="O56" i="3"/>
  <c r="S55" i="3"/>
  <c r="P55" i="3"/>
  <c r="O55" i="3"/>
  <c r="S54" i="3"/>
  <c r="P54" i="3"/>
  <c r="O54" i="3"/>
  <c r="O53" i="3"/>
  <c r="S52" i="3"/>
  <c r="P52" i="3"/>
  <c r="O52" i="3"/>
  <c r="S51" i="3"/>
  <c r="P51" i="3"/>
  <c r="O51" i="3"/>
  <c r="P50" i="3"/>
  <c r="O50" i="3"/>
  <c r="S48" i="3"/>
  <c r="O48" i="3"/>
  <c r="S47" i="3"/>
  <c r="P47" i="3"/>
  <c r="O47" i="3"/>
  <c r="P46" i="3"/>
  <c r="S46" i="3" s="1"/>
  <c r="O46" i="3"/>
  <c r="P45" i="3"/>
  <c r="O45" i="3"/>
  <c r="P44" i="3"/>
  <c r="O44" i="3"/>
  <c r="S42" i="3"/>
  <c r="P42" i="3"/>
  <c r="O42" i="3"/>
  <c r="S41" i="3"/>
  <c r="P41" i="3"/>
  <c r="O41" i="3"/>
  <c r="S40" i="3"/>
  <c r="P40" i="3"/>
  <c r="O40" i="3"/>
  <c r="O39" i="3"/>
  <c r="S38" i="3"/>
  <c r="P38" i="3"/>
  <c r="O38" i="3"/>
  <c r="P37" i="3"/>
  <c r="O37" i="3"/>
  <c r="S36" i="3"/>
  <c r="P36" i="3"/>
  <c r="O36" i="3"/>
  <c r="P35" i="3"/>
  <c r="O35" i="3"/>
  <c r="P34" i="3"/>
  <c r="O34" i="3"/>
  <c r="S32" i="3"/>
  <c r="O32" i="3"/>
  <c r="H32" i="3"/>
  <c r="S31" i="3"/>
  <c r="O31" i="3"/>
  <c r="P30" i="3"/>
  <c r="O30" i="3"/>
  <c r="P29" i="3"/>
  <c r="O29" i="3"/>
  <c r="P28" i="3"/>
  <c r="O28" i="3"/>
  <c r="P27" i="3"/>
  <c r="O27" i="3"/>
  <c r="P26" i="3"/>
  <c r="O26" i="3"/>
  <c r="P25" i="3"/>
  <c r="O25" i="3"/>
  <c r="P24" i="3"/>
  <c r="O24" i="3"/>
  <c r="P23" i="3"/>
  <c r="O23" i="3"/>
  <c r="P22" i="3"/>
  <c r="O22" i="3"/>
  <c r="P21" i="3"/>
  <c r="O21" i="3"/>
  <c r="P20" i="3"/>
  <c r="O20" i="3"/>
  <c r="P19" i="3"/>
  <c r="O19" i="3"/>
  <c r="P18" i="3"/>
  <c r="O18" i="3"/>
  <c r="P17" i="3"/>
  <c r="O17" i="3"/>
  <c r="P16" i="3"/>
  <c r="O16" i="3"/>
  <c r="P15" i="3"/>
  <c r="S15" i="3" s="1"/>
  <c r="O15" i="3"/>
  <c r="S14" i="3"/>
  <c r="P14" i="3"/>
  <c r="O14" i="3"/>
  <c r="P13" i="3"/>
  <c r="O13" i="3"/>
  <c r="P12" i="3"/>
  <c r="O12" i="3"/>
  <c r="P11" i="3"/>
  <c r="O11" i="3"/>
  <c r="P9" i="3"/>
  <c r="O9" i="3"/>
  <c r="P8" i="3"/>
  <c r="O8" i="3"/>
  <c r="P7" i="3"/>
  <c r="S7" i="3" s="1"/>
  <c r="O7" i="3"/>
  <c r="S6" i="3"/>
  <c r="P6" i="3"/>
  <c r="O6" i="3"/>
  <c r="O5" i="3"/>
  <c r="O4" i="3"/>
  <c r="O3" i="3"/>
  <c r="O2" i="3"/>
  <c r="M960" i="2"/>
  <c r="P960" i="2" s="1"/>
  <c r="C960" i="2"/>
  <c r="M959" i="2"/>
  <c r="P959" i="2" s="1"/>
  <c r="C959" i="2"/>
  <c r="M958" i="2"/>
  <c r="P958" i="2" s="1"/>
  <c r="C958" i="2"/>
  <c r="M957" i="2"/>
  <c r="P957" i="2" s="1"/>
  <c r="C957" i="2"/>
  <c r="M956" i="2"/>
  <c r="P956" i="2" s="1"/>
  <c r="C956" i="2"/>
  <c r="M955" i="2"/>
  <c r="P955" i="2" s="1"/>
  <c r="C955" i="2"/>
  <c r="L954" i="2"/>
  <c r="C954" i="2"/>
  <c r="L953" i="2"/>
  <c r="C953" i="2"/>
  <c r="L952" i="2"/>
  <c r="C952" i="2"/>
  <c r="L951" i="2"/>
  <c r="C951" i="2"/>
  <c r="L950" i="2"/>
  <c r="C950" i="2"/>
  <c r="L949" i="2"/>
  <c r="C949" i="2"/>
  <c r="L948" i="2"/>
  <c r="C948" i="2"/>
  <c r="L947" i="2"/>
  <c r="C947" i="2"/>
  <c r="L946" i="2"/>
  <c r="C946" i="2"/>
  <c r="L945" i="2"/>
  <c r="C945" i="2"/>
  <c r="M944" i="2"/>
  <c r="P944" i="2" s="1"/>
  <c r="C944" i="2"/>
  <c r="M943" i="2"/>
  <c r="P943" i="2" s="1"/>
  <c r="C943" i="2"/>
  <c r="M942" i="2"/>
  <c r="P942" i="2" s="1"/>
  <c r="C942" i="2"/>
  <c r="M941" i="2"/>
  <c r="P941" i="2" s="1"/>
  <c r="C941" i="2"/>
  <c r="M940" i="2"/>
  <c r="P940" i="2" s="1"/>
  <c r="C940" i="2"/>
  <c r="M939" i="2"/>
  <c r="P939" i="2" s="1"/>
  <c r="C939" i="2"/>
  <c r="M938" i="2"/>
  <c r="P938" i="2" s="1"/>
  <c r="C938" i="2"/>
  <c r="M937" i="2"/>
  <c r="P937" i="2" s="1"/>
  <c r="C937" i="2"/>
  <c r="M936" i="2"/>
  <c r="P936" i="2" s="1"/>
  <c r="C936" i="2"/>
  <c r="M935" i="2"/>
  <c r="P935" i="2" s="1"/>
  <c r="C935" i="2"/>
  <c r="L934" i="2"/>
  <c r="C934" i="2"/>
  <c r="M933" i="2"/>
  <c r="P933" i="2" s="1"/>
  <c r="C933" i="2"/>
  <c r="M932" i="2"/>
  <c r="P932" i="2" s="1"/>
  <c r="C932" i="2"/>
  <c r="M931" i="2"/>
  <c r="P931" i="2" s="1"/>
  <c r="C931" i="2"/>
  <c r="M930" i="2"/>
  <c r="P930" i="2" s="1"/>
  <c r="C930" i="2"/>
  <c r="M929" i="2"/>
  <c r="P929" i="2" s="1"/>
  <c r="C929" i="2"/>
  <c r="M928" i="2"/>
  <c r="P928" i="2" s="1"/>
  <c r="C928" i="2"/>
  <c r="M927" i="2"/>
  <c r="P927" i="2" s="1"/>
  <c r="C927" i="2"/>
  <c r="M926" i="2"/>
  <c r="P926" i="2" s="1"/>
  <c r="C926" i="2"/>
  <c r="M925" i="2"/>
  <c r="P925" i="2" s="1"/>
  <c r="C925" i="2"/>
  <c r="M924" i="2"/>
  <c r="P924" i="2" s="1"/>
  <c r="C924" i="2"/>
  <c r="M923" i="2"/>
  <c r="P923" i="2" s="1"/>
  <c r="C923" i="2"/>
  <c r="M922" i="2"/>
  <c r="P922" i="2" s="1"/>
  <c r="C922" i="2"/>
  <c r="M921" i="2"/>
  <c r="P921" i="2" s="1"/>
  <c r="C921" i="2"/>
  <c r="M920" i="2"/>
  <c r="P920" i="2" s="1"/>
  <c r="C920" i="2"/>
  <c r="M919" i="2"/>
  <c r="P919" i="2" s="1"/>
  <c r="C919" i="2"/>
  <c r="M918" i="2"/>
  <c r="P918" i="2" s="1"/>
  <c r="C918" i="2"/>
  <c r="M917" i="2"/>
  <c r="P917" i="2" s="1"/>
  <c r="C917" i="2"/>
  <c r="M916" i="2"/>
  <c r="P916" i="2" s="1"/>
  <c r="C916" i="2"/>
  <c r="L915" i="2"/>
  <c r="C915" i="2"/>
  <c r="L914" i="2"/>
  <c r="C914" i="2"/>
  <c r="M913" i="2"/>
  <c r="P913" i="2" s="1"/>
  <c r="C913" i="2"/>
  <c r="L912" i="2"/>
  <c r="C912" i="2"/>
  <c r="M911" i="2"/>
  <c r="P911" i="2" s="1"/>
  <c r="C911" i="2"/>
  <c r="M910" i="2"/>
  <c r="P910" i="2" s="1"/>
  <c r="C910" i="2"/>
  <c r="M909" i="2"/>
  <c r="P909" i="2" s="1"/>
  <c r="C909" i="2"/>
  <c r="M908" i="2"/>
  <c r="P908" i="2" s="1"/>
  <c r="C908" i="2"/>
  <c r="M907" i="2"/>
  <c r="P907" i="2" s="1"/>
  <c r="C907" i="2"/>
  <c r="M906" i="2"/>
  <c r="P906" i="2" s="1"/>
  <c r="C906" i="2"/>
  <c r="M905" i="2"/>
  <c r="P905" i="2" s="1"/>
  <c r="C905" i="2"/>
  <c r="M904" i="2"/>
  <c r="P904" i="2" s="1"/>
  <c r="C904" i="2"/>
  <c r="M903" i="2"/>
  <c r="P903" i="2" s="1"/>
  <c r="C903" i="2"/>
  <c r="M902" i="2"/>
  <c r="P902" i="2" s="1"/>
  <c r="C902" i="2"/>
  <c r="M901" i="2"/>
  <c r="P901" i="2" s="1"/>
  <c r="C901" i="2"/>
  <c r="M900" i="2"/>
  <c r="P900" i="2" s="1"/>
  <c r="C900" i="2"/>
  <c r="M899" i="2"/>
  <c r="P899" i="2" s="1"/>
  <c r="C899" i="2"/>
  <c r="M898" i="2"/>
  <c r="P898" i="2" s="1"/>
  <c r="C898" i="2"/>
  <c r="M897" i="2"/>
  <c r="P897" i="2" s="1"/>
  <c r="C897" i="2"/>
  <c r="M896" i="2"/>
  <c r="P896" i="2" s="1"/>
  <c r="C896" i="2"/>
  <c r="M895" i="2"/>
  <c r="P895" i="2" s="1"/>
  <c r="C895" i="2"/>
  <c r="M894" i="2"/>
  <c r="P894" i="2" s="1"/>
  <c r="C894" i="2"/>
  <c r="M893" i="2"/>
  <c r="P893" i="2" s="1"/>
  <c r="C893" i="2"/>
  <c r="M892" i="2"/>
  <c r="P892" i="2" s="1"/>
  <c r="C892" i="2"/>
  <c r="M891" i="2"/>
  <c r="P891" i="2" s="1"/>
  <c r="C891" i="2"/>
  <c r="L890" i="2"/>
  <c r="C890" i="2"/>
  <c r="L889" i="2"/>
  <c r="C889" i="2"/>
  <c r="M888" i="2"/>
  <c r="P888" i="2" s="1"/>
  <c r="C888" i="2"/>
  <c r="M887" i="2"/>
  <c r="P887" i="2" s="1"/>
  <c r="C887" i="2"/>
  <c r="M886" i="2"/>
  <c r="P886" i="2" s="1"/>
  <c r="C886" i="2"/>
  <c r="M885" i="2"/>
  <c r="P885" i="2" s="1"/>
  <c r="C885" i="2"/>
  <c r="C884" i="2"/>
  <c r="M883" i="2"/>
  <c r="P883" i="2" s="1"/>
  <c r="C883" i="2"/>
  <c r="M882" i="2"/>
  <c r="P882" i="2" s="1"/>
  <c r="C882" i="2"/>
  <c r="L881" i="2"/>
  <c r="C881" i="2"/>
  <c r="L880" i="2"/>
  <c r="C880" i="2"/>
  <c r="L879" i="2"/>
  <c r="C879" i="2"/>
  <c r="L878" i="2"/>
  <c r="C878" i="2"/>
  <c r="L877" i="2"/>
  <c r="C877" i="2"/>
  <c r="M876" i="2"/>
  <c r="P876" i="2" s="1"/>
  <c r="C876" i="2"/>
  <c r="M875" i="2"/>
  <c r="P875" i="2" s="1"/>
  <c r="C875" i="2"/>
  <c r="M874" i="2"/>
  <c r="P874" i="2" s="1"/>
  <c r="C874" i="2"/>
  <c r="L873" i="2"/>
  <c r="C873" i="2"/>
  <c r="L872" i="2"/>
  <c r="C872" i="2"/>
  <c r="L871" i="2"/>
  <c r="C871" i="2"/>
  <c r="M870" i="2"/>
  <c r="P870" i="2" s="1"/>
  <c r="C870" i="2"/>
  <c r="M869" i="2"/>
  <c r="P869" i="2" s="1"/>
  <c r="C869" i="2"/>
  <c r="M868" i="2"/>
  <c r="P868" i="2" s="1"/>
  <c r="C868" i="2"/>
  <c r="M867" i="2"/>
  <c r="P867" i="2" s="1"/>
  <c r="C867" i="2"/>
  <c r="M866" i="2"/>
  <c r="P866" i="2" s="1"/>
  <c r="C866" i="2"/>
  <c r="L865" i="2"/>
  <c r="C865" i="2"/>
  <c r="L864" i="2"/>
  <c r="C864" i="2"/>
  <c r="L863" i="2"/>
  <c r="C863" i="2"/>
  <c r="L862" i="2"/>
  <c r="C862" i="2"/>
  <c r="L861" i="2"/>
  <c r="C861" i="2"/>
  <c r="L860" i="2"/>
  <c r="C860" i="2"/>
  <c r="L859" i="2"/>
  <c r="C859" i="2"/>
  <c r="L858" i="2"/>
  <c r="C858" i="2"/>
  <c r="M857" i="2"/>
  <c r="P857" i="2" s="1"/>
  <c r="C857" i="2"/>
  <c r="M856" i="2"/>
  <c r="P856" i="2" s="1"/>
  <c r="C856" i="2"/>
  <c r="M855" i="2"/>
  <c r="P855" i="2" s="1"/>
  <c r="C855" i="2"/>
  <c r="L854" i="2"/>
  <c r="C854" i="2"/>
  <c r="M853" i="2"/>
  <c r="P853" i="2" s="1"/>
  <c r="C853" i="2"/>
  <c r="M852" i="2"/>
  <c r="P852" i="2" s="1"/>
  <c r="C852" i="2"/>
  <c r="M851" i="2"/>
  <c r="P851" i="2" s="1"/>
  <c r="C851" i="2"/>
  <c r="M850" i="2"/>
  <c r="P850" i="2" s="1"/>
  <c r="C850" i="2"/>
  <c r="M849" i="2"/>
  <c r="P849" i="2" s="1"/>
  <c r="C849" i="2"/>
  <c r="M848" i="2"/>
  <c r="P848" i="2" s="1"/>
  <c r="C848" i="2"/>
  <c r="M847" i="2"/>
  <c r="P847" i="2" s="1"/>
  <c r="C847" i="2"/>
  <c r="M846" i="2"/>
  <c r="P846" i="2" s="1"/>
  <c r="C846" i="2"/>
  <c r="M845" i="2"/>
  <c r="P845" i="2" s="1"/>
  <c r="C845" i="2"/>
  <c r="M844" i="2"/>
  <c r="P844" i="2" s="1"/>
  <c r="C844" i="2"/>
  <c r="M843" i="2"/>
  <c r="P843" i="2" s="1"/>
  <c r="C843" i="2"/>
  <c r="M842" i="2"/>
  <c r="P842" i="2" s="1"/>
  <c r="C842" i="2"/>
  <c r="M841" i="2"/>
  <c r="P841" i="2" s="1"/>
  <c r="C841" i="2"/>
  <c r="M840" i="2"/>
  <c r="P840" i="2" s="1"/>
  <c r="C840" i="2"/>
  <c r="L839" i="2"/>
  <c r="C839" i="2"/>
  <c r="M838" i="2"/>
  <c r="P838" i="2" s="1"/>
  <c r="C838" i="2"/>
  <c r="M837" i="2"/>
  <c r="P837" i="2" s="1"/>
  <c r="C837" i="2"/>
  <c r="L836" i="2"/>
  <c r="C836" i="2"/>
  <c r="L835" i="2"/>
  <c r="C835" i="2"/>
  <c r="M834" i="2"/>
  <c r="P834" i="2" s="1"/>
  <c r="C834" i="2"/>
  <c r="M833" i="2"/>
  <c r="P833" i="2" s="1"/>
  <c r="C833" i="2"/>
  <c r="M832" i="2"/>
  <c r="P832" i="2" s="1"/>
  <c r="C832" i="2"/>
  <c r="M831" i="2"/>
  <c r="P831" i="2" s="1"/>
  <c r="C831" i="2"/>
  <c r="M830" i="2"/>
  <c r="P830" i="2" s="1"/>
  <c r="C830" i="2"/>
  <c r="M829" i="2"/>
  <c r="P829" i="2" s="1"/>
  <c r="C829" i="2"/>
  <c r="M828" i="2"/>
  <c r="P828" i="2" s="1"/>
  <c r="C828" i="2"/>
  <c r="M827" i="2"/>
  <c r="P827" i="2" s="1"/>
  <c r="C827" i="2"/>
  <c r="M826" i="2"/>
  <c r="P826" i="2" s="1"/>
  <c r="C826" i="2"/>
  <c r="M825" i="2"/>
  <c r="P825" i="2" s="1"/>
  <c r="C825" i="2"/>
  <c r="M824" i="2"/>
  <c r="P824" i="2" s="1"/>
  <c r="C824" i="2"/>
  <c r="M823" i="2"/>
  <c r="P823" i="2" s="1"/>
  <c r="C823" i="2"/>
  <c r="M822" i="2"/>
  <c r="P822" i="2" s="1"/>
  <c r="C822" i="2"/>
  <c r="M821" i="2"/>
  <c r="P821" i="2" s="1"/>
  <c r="C821" i="2"/>
  <c r="M820" i="2"/>
  <c r="P820" i="2" s="1"/>
  <c r="C820" i="2"/>
  <c r="M819" i="2"/>
  <c r="P819" i="2" s="1"/>
  <c r="C819" i="2"/>
  <c r="M818" i="2"/>
  <c r="P818" i="2" s="1"/>
  <c r="C818" i="2"/>
  <c r="M817" i="2"/>
  <c r="P817" i="2" s="1"/>
  <c r="C817" i="2"/>
  <c r="L816" i="2"/>
  <c r="C816" i="2"/>
  <c r="L815" i="2"/>
  <c r="C815" i="2"/>
  <c r="L814" i="2"/>
  <c r="C814" i="2"/>
  <c r="L813" i="2"/>
  <c r="C813" i="2"/>
  <c r="L812" i="2"/>
  <c r="C812" i="2"/>
  <c r="L811" i="2"/>
  <c r="C811" i="2"/>
  <c r="L810" i="2"/>
  <c r="C810" i="2"/>
  <c r="L809" i="2"/>
  <c r="C809" i="2"/>
  <c r="L808" i="2"/>
  <c r="C808" i="2"/>
  <c r="L807" i="2"/>
  <c r="C807" i="2"/>
  <c r="M806" i="2"/>
  <c r="P806" i="2" s="1"/>
  <c r="C806" i="2"/>
  <c r="M805" i="2"/>
  <c r="P805" i="2" s="1"/>
  <c r="C805" i="2"/>
  <c r="M804" i="2"/>
  <c r="P804" i="2" s="1"/>
  <c r="C804" i="2"/>
  <c r="M803" i="2"/>
  <c r="P803" i="2" s="1"/>
  <c r="C803" i="2"/>
  <c r="M802" i="2"/>
  <c r="P802" i="2" s="1"/>
  <c r="C802" i="2"/>
  <c r="M801" i="2"/>
  <c r="P801" i="2" s="1"/>
  <c r="C801" i="2"/>
  <c r="M800" i="2"/>
  <c r="P800" i="2" s="1"/>
  <c r="C800" i="2"/>
  <c r="L799" i="2"/>
  <c r="C799" i="2"/>
  <c r="L798" i="2"/>
  <c r="C798" i="2"/>
  <c r="L797" i="2"/>
  <c r="C797" i="2"/>
  <c r="L796" i="2"/>
  <c r="C796" i="2"/>
  <c r="L795" i="2"/>
  <c r="C795" i="2"/>
  <c r="L794" i="2"/>
  <c r="C794" i="2"/>
  <c r="L793" i="2"/>
  <c r="C793" i="2"/>
  <c r="L792" i="2"/>
  <c r="C792" i="2"/>
  <c r="M791" i="2"/>
  <c r="P791" i="2" s="1"/>
  <c r="C791" i="2"/>
  <c r="M790" i="2"/>
  <c r="P790" i="2" s="1"/>
  <c r="C790" i="2"/>
  <c r="L789" i="2"/>
  <c r="C789" i="2"/>
  <c r="L788" i="2"/>
  <c r="C788" i="2"/>
  <c r="L787" i="2"/>
  <c r="C787" i="2"/>
  <c r="L786" i="2"/>
  <c r="C786" i="2"/>
  <c r="L785" i="2"/>
  <c r="C785" i="2"/>
  <c r="L784" i="2"/>
  <c r="C784" i="2"/>
  <c r="L783" i="2"/>
  <c r="C783" i="2"/>
  <c r="L782" i="2"/>
  <c r="C782" i="2"/>
  <c r="L781" i="2"/>
  <c r="C781" i="2"/>
  <c r="L780" i="2"/>
  <c r="C780" i="2"/>
  <c r="L779" i="2"/>
  <c r="C779" i="2"/>
  <c r="M778" i="2"/>
  <c r="P778" i="2" s="1"/>
  <c r="C778" i="2"/>
  <c r="L777" i="2"/>
  <c r="C777" i="2"/>
  <c r="M776" i="2"/>
  <c r="P776" i="2" s="1"/>
  <c r="C776" i="2"/>
  <c r="L775" i="2"/>
  <c r="C775" i="2"/>
  <c r="M774" i="2"/>
  <c r="P774" i="2" s="1"/>
  <c r="C774" i="2"/>
  <c r="M773" i="2"/>
  <c r="P773" i="2" s="1"/>
  <c r="C773" i="2"/>
  <c r="M772" i="2"/>
  <c r="P772" i="2" s="1"/>
  <c r="C772" i="2"/>
  <c r="M771" i="2"/>
  <c r="P771" i="2" s="1"/>
  <c r="C771" i="2"/>
  <c r="M770" i="2"/>
  <c r="P770" i="2" s="1"/>
  <c r="C770" i="2"/>
  <c r="M769" i="2"/>
  <c r="P769" i="2" s="1"/>
  <c r="C769" i="2"/>
  <c r="M768" i="2"/>
  <c r="P768" i="2" s="1"/>
  <c r="C768" i="2"/>
  <c r="M767" i="2"/>
  <c r="P767" i="2" s="1"/>
  <c r="C767" i="2"/>
  <c r="L766" i="2"/>
  <c r="C766" i="2"/>
  <c r="L765" i="2"/>
  <c r="C765" i="2"/>
  <c r="M764" i="2"/>
  <c r="P764" i="2" s="1"/>
  <c r="C764" i="2"/>
  <c r="M763" i="2"/>
  <c r="P763" i="2" s="1"/>
  <c r="C763" i="2"/>
  <c r="L762" i="2"/>
  <c r="C762" i="2"/>
  <c r="L761" i="2"/>
  <c r="C761" i="2"/>
  <c r="L760" i="2"/>
  <c r="C760" i="2"/>
  <c r="M759" i="2"/>
  <c r="P759" i="2" s="1"/>
  <c r="C759" i="2"/>
  <c r="M758" i="2"/>
  <c r="P758" i="2" s="1"/>
  <c r="C758" i="2"/>
  <c r="M757" i="2"/>
  <c r="P757" i="2" s="1"/>
  <c r="C757" i="2"/>
  <c r="M756" i="2"/>
  <c r="P756" i="2" s="1"/>
  <c r="C756" i="2"/>
  <c r="M755" i="2"/>
  <c r="P755" i="2" s="1"/>
  <c r="C755" i="2"/>
  <c r="M754" i="2"/>
  <c r="P754" i="2" s="1"/>
  <c r="C754" i="2"/>
  <c r="M753" i="2"/>
  <c r="P753" i="2" s="1"/>
  <c r="C753" i="2"/>
  <c r="M752" i="2"/>
  <c r="P752" i="2" s="1"/>
  <c r="C752" i="2"/>
  <c r="M751" i="2"/>
  <c r="P751" i="2" s="1"/>
  <c r="C751" i="2"/>
  <c r="M750" i="2"/>
  <c r="P750" i="2" s="1"/>
  <c r="C750" i="2"/>
  <c r="M749" i="2"/>
  <c r="P749" i="2" s="1"/>
  <c r="C749" i="2"/>
  <c r="M748" i="2"/>
  <c r="P748" i="2" s="1"/>
  <c r="C748" i="2"/>
  <c r="M747" i="2"/>
  <c r="P747" i="2" s="1"/>
  <c r="C747" i="2"/>
  <c r="M746" i="2"/>
  <c r="P746" i="2" s="1"/>
  <c r="C746" i="2"/>
  <c r="M745" i="2"/>
  <c r="P745" i="2" s="1"/>
  <c r="C745" i="2"/>
  <c r="C744" i="2"/>
  <c r="M743" i="2"/>
  <c r="P743" i="2" s="1"/>
  <c r="C743" i="2"/>
  <c r="L742" i="2"/>
  <c r="C742" i="2"/>
  <c r="L741" i="2"/>
  <c r="C741" i="2"/>
  <c r="M740" i="2"/>
  <c r="P740" i="2" s="1"/>
  <c r="C740" i="2"/>
  <c r="L739" i="2"/>
  <c r="C739" i="2"/>
  <c r="L738" i="2"/>
  <c r="C738" i="2"/>
  <c r="M737" i="2"/>
  <c r="P737" i="2" s="1"/>
  <c r="C737" i="2"/>
  <c r="M736" i="2"/>
  <c r="P736" i="2" s="1"/>
  <c r="C736" i="2"/>
  <c r="M735" i="2"/>
  <c r="P735" i="2" s="1"/>
  <c r="C735" i="2"/>
  <c r="M734" i="2"/>
  <c r="P734" i="2" s="1"/>
  <c r="C734" i="2"/>
  <c r="M733" i="2"/>
  <c r="P733" i="2" s="1"/>
  <c r="C733" i="2"/>
  <c r="M732" i="2"/>
  <c r="P732" i="2" s="1"/>
  <c r="C732" i="2"/>
  <c r="M731" i="2"/>
  <c r="P731" i="2" s="1"/>
  <c r="C731" i="2"/>
  <c r="M730" i="2"/>
  <c r="P730" i="2" s="1"/>
  <c r="C730" i="2"/>
  <c r="M729" i="2"/>
  <c r="P729" i="2" s="1"/>
  <c r="C729" i="2"/>
  <c r="M728" i="2"/>
  <c r="P728" i="2" s="1"/>
  <c r="C728" i="2"/>
  <c r="M727" i="2"/>
  <c r="P727" i="2" s="1"/>
  <c r="C727" i="2"/>
  <c r="L726" i="2"/>
  <c r="C726" i="2"/>
  <c r="C725" i="2"/>
  <c r="L724" i="2"/>
  <c r="C724" i="2"/>
  <c r="M723" i="2"/>
  <c r="P723" i="2" s="1"/>
  <c r="C723" i="2"/>
  <c r="M722" i="2"/>
  <c r="P722" i="2" s="1"/>
  <c r="C722" i="2"/>
  <c r="M721" i="2"/>
  <c r="P721" i="2" s="1"/>
  <c r="C721" i="2"/>
  <c r="M720" i="2"/>
  <c r="P720" i="2" s="1"/>
  <c r="C720" i="2"/>
  <c r="M719" i="2"/>
  <c r="P719" i="2" s="1"/>
  <c r="C719" i="2"/>
  <c r="M718" i="2"/>
  <c r="P718" i="2" s="1"/>
  <c r="C718" i="2"/>
  <c r="M717" i="2"/>
  <c r="P717" i="2" s="1"/>
  <c r="C717" i="2"/>
  <c r="M716" i="2"/>
  <c r="P716" i="2" s="1"/>
  <c r="C716" i="2"/>
  <c r="L715" i="2"/>
  <c r="C715" i="2"/>
  <c r="L714" i="2"/>
  <c r="C714" i="2"/>
  <c r="L713" i="2"/>
  <c r="C713" i="2"/>
  <c r="L712" i="2"/>
  <c r="C712" i="2"/>
  <c r="M711" i="2"/>
  <c r="P711" i="2" s="1"/>
  <c r="C711" i="2"/>
  <c r="M710" i="2"/>
  <c r="P710" i="2" s="1"/>
  <c r="C710" i="2"/>
  <c r="M709" i="2"/>
  <c r="P709" i="2" s="1"/>
  <c r="C709" i="2"/>
  <c r="M708" i="2"/>
  <c r="P708" i="2" s="1"/>
  <c r="C708" i="2"/>
  <c r="M707" i="2"/>
  <c r="P707" i="2" s="1"/>
  <c r="C707" i="2"/>
  <c r="M706" i="2"/>
  <c r="P706" i="2" s="1"/>
  <c r="C706" i="2"/>
  <c r="M705" i="2"/>
  <c r="P705" i="2" s="1"/>
  <c r="C705" i="2"/>
  <c r="M704" i="2"/>
  <c r="P704" i="2" s="1"/>
  <c r="C704" i="2"/>
  <c r="M703" i="2"/>
  <c r="P703" i="2" s="1"/>
  <c r="C703" i="2"/>
  <c r="M702" i="2"/>
  <c r="P702" i="2" s="1"/>
  <c r="C702" i="2"/>
  <c r="M701" i="2"/>
  <c r="P701" i="2" s="1"/>
  <c r="C701" i="2"/>
  <c r="M700" i="2"/>
  <c r="P700" i="2" s="1"/>
  <c r="C700" i="2"/>
  <c r="M699" i="2"/>
  <c r="P699" i="2" s="1"/>
  <c r="C699" i="2"/>
  <c r="M698" i="2"/>
  <c r="P698" i="2" s="1"/>
  <c r="C698" i="2"/>
  <c r="M697" i="2"/>
  <c r="P697" i="2" s="1"/>
  <c r="C697" i="2"/>
  <c r="L696" i="2"/>
  <c r="C696" i="2"/>
  <c r="M695" i="2"/>
  <c r="P695" i="2" s="1"/>
  <c r="C695" i="2"/>
  <c r="M694" i="2"/>
  <c r="P694" i="2" s="1"/>
  <c r="C694" i="2"/>
  <c r="M693" i="2"/>
  <c r="P693" i="2" s="1"/>
  <c r="C693" i="2"/>
  <c r="M692" i="2"/>
  <c r="P692" i="2" s="1"/>
  <c r="C692" i="2"/>
  <c r="M691" i="2"/>
  <c r="P691" i="2" s="1"/>
  <c r="C691" i="2"/>
  <c r="L690" i="2"/>
  <c r="C690" i="2"/>
  <c r="L689" i="2"/>
  <c r="C689" i="2"/>
  <c r="L688" i="2"/>
  <c r="C688" i="2"/>
  <c r="L687" i="2"/>
  <c r="C687" i="2"/>
  <c r="L686" i="2"/>
  <c r="C686" i="2"/>
  <c r="L685" i="2"/>
  <c r="C685" i="2"/>
  <c r="L684" i="2"/>
  <c r="C684" i="2"/>
  <c r="L683" i="2"/>
  <c r="C683" i="2"/>
  <c r="L682" i="2"/>
  <c r="C682" i="2"/>
  <c r="L681" i="2"/>
  <c r="C681" i="2"/>
  <c r="L680" i="2"/>
  <c r="C680" i="2"/>
  <c r="L679" i="2"/>
  <c r="C679" i="2"/>
  <c r="M678" i="2"/>
  <c r="P678" i="2" s="1"/>
  <c r="C678" i="2"/>
  <c r="M677" i="2"/>
  <c r="P677" i="2" s="1"/>
  <c r="C677" i="2"/>
  <c r="M676" i="2"/>
  <c r="P676" i="2" s="1"/>
  <c r="C676" i="2"/>
  <c r="M675" i="2"/>
  <c r="P675" i="2" s="1"/>
  <c r="C675" i="2"/>
  <c r="M674" i="2"/>
  <c r="P674" i="2" s="1"/>
  <c r="C674" i="2"/>
  <c r="M673" i="2"/>
  <c r="P673" i="2" s="1"/>
  <c r="C673" i="2"/>
  <c r="M672" i="2"/>
  <c r="P672" i="2" s="1"/>
  <c r="C672" i="2"/>
  <c r="M671" i="2"/>
  <c r="P671" i="2" s="1"/>
  <c r="C671" i="2"/>
  <c r="M670" i="2"/>
  <c r="P670" i="2" s="1"/>
  <c r="C670" i="2"/>
  <c r="M669" i="2"/>
  <c r="P669" i="2" s="1"/>
  <c r="C669" i="2"/>
  <c r="M668" i="2"/>
  <c r="P668" i="2" s="1"/>
  <c r="C668" i="2"/>
  <c r="M667" i="2"/>
  <c r="P667" i="2" s="1"/>
  <c r="C667" i="2"/>
  <c r="M666" i="2"/>
  <c r="P666" i="2" s="1"/>
  <c r="C666" i="2"/>
  <c r="M665" i="2"/>
  <c r="P665" i="2" s="1"/>
  <c r="C665" i="2"/>
  <c r="L664" i="2"/>
  <c r="C664" i="2"/>
  <c r="L663" i="2"/>
  <c r="C663" i="2"/>
  <c r="L662" i="2"/>
  <c r="C662" i="2"/>
  <c r="M661" i="2"/>
  <c r="P661" i="2" s="1"/>
  <c r="C661" i="2"/>
  <c r="M660" i="2"/>
  <c r="P660" i="2" s="1"/>
  <c r="C660" i="2"/>
  <c r="M659" i="2"/>
  <c r="P659" i="2" s="1"/>
  <c r="C659" i="2"/>
  <c r="M658" i="2"/>
  <c r="P658" i="2" s="1"/>
  <c r="C658" i="2"/>
  <c r="M657" i="2"/>
  <c r="P657" i="2" s="1"/>
  <c r="C657" i="2"/>
  <c r="M656" i="2"/>
  <c r="P656" i="2" s="1"/>
  <c r="C656" i="2"/>
  <c r="M655" i="2"/>
  <c r="P655" i="2" s="1"/>
  <c r="C655" i="2"/>
  <c r="M654" i="2"/>
  <c r="P654" i="2" s="1"/>
  <c r="C654" i="2"/>
  <c r="M653" i="2"/>
  <c r="P653" i="2" s="1"/>
  <c r="C653" i="2"/>
  <c r="M652" i="2"/>
  <c r="P652" i="2" s="1"/>
  <c r="C652" i="2"/>
  <c r="M651" i="2"/>
  <c r="P651" i="2" s="1"/>
  <c r="C651" i="2"/>
  <c r="M650" i="2"/>
  <c r="P650" i="2" s="1"/>
  <c r="C650" i="2"/>
  <c r="M649" i="2"/>
  <c r="P649" i="2" s="1"/>
  <c r="C649" i="2"/>
  <c r="L648" i="2"/>
  <c r="C648" i="2"/>
  <c r="L647" i="2"/>
  <c r="C647" i="2"/>
  <c r="M646" i="2"/>
  <c r="P646" i="2" s="1"/>
  <c r="C646" i="2"/>
  <c r="M645" i="2"/>
  <c r="P645" i="2" s="1"/>
  <c r="C645" i="2"/>
  <c r="M644" i="2"/>
  <c r="P644" i="2" s="1"/>
  <c r="C644" i="2"/>
  <c r="M643" i="2"/>
  <c r="P643" i="2" s="1"/>
  <c r="C643" i="2"/>
  <c r="M642" i="2"/>
  <c r="P642" i="2" s="1"/>
  <c r="C642" i="2"/>
  <c r="M641" i="2"/>
  <c r="P641" i="2" s="1"/>
  <c r="C641" i="2"/>
  <c r="M640" i="2"/>
  <c r="P640" i="2" s="1"/>
  <c r="C640" i="2"/>
  <c r="M639" i="2"/>
  <c r="P639" i="2" s="1"/>
  <c r="C639" i="2"/>
  <c r="M638" i="2"/>
  <c r="P638" i="2" s="1"/>
  <c r="C638" i="2"/>
  <c r="M637" i="2"/>
  <c r="P637" i="2" s="1"/>
  <c r="C637" i="2"/>
  <c r="M636" i="2"/>
  <c r="P636" i="2" s="1"/>
  <c r="C636" i="2"/>
  <c r="M635" i="2"/>
  <c r="P635" i="2" s="1"/>
  <c r="C635" i="2"/>
  <c r="M634" i="2"/>
  <c r="P634" i="2" s="1"/>
  <c r="C634" i="2"/>
  <c r="M633" i="2"/>
  <c r="P633" i="2" s="1"/>
  <c r="C633" i="2"/>
  <c r="M632" i="2"/>
  <c r="P632" i="2" s="1"/>
  <c r="C632" i="2"/>
  <c r="M631" i="2"/>
  <c r="P631" i="2" s="1"/>
  <c r="C631" i="2"/>
  <c r="L630" i="2"/>
  <c r="C630" i="2"/>
  <c r="L629" i="2"/>
  <c r="C629" i="2"/>
  <c r="L628" i="2"/>
  <c r="C628" i="2"/>
  <c r="M627" i="2"/>
  <c r="P627" i="2" s="1"/>
  <c r="C627" i="2"/>
  <c r="L626" i="2"/>
  <c r="C626" i="2"/>
  <c r="M625" i="2"/>
  <c r="P625" i="2" s="1"/>
  <c r="C625" i="2"/>
  <c r="M624" i="2"/>
  <c r="P624" i="2" s="1"/>
  <c r="C624" i="2"/>
  <c r="M623" i="2"/>
  <c r="P623" i="2" s="1"/>
  <c r="C623" i="2"/>
  <c r="M622" i="2"/>
  <c r="P622" i="2" s="1"/>
  <c r="C622" i="2"/>
  <c r="M621" i="2"/>
  <c r="P621" i="2" s="1"/>
  <c r="C621" i="2"/>
  <c r="M620" i="2"/>
  <c r="P620" i="2" s="1"/>
  <c r="C620" i="2"/>
  <c r="M619" i="2"/>
  <c r="P619" i="2" s="1"/>
  <c r="C619" i="2"/>
  <c r="C618" i="2"/>
  <c r="M617" i="2"/>
  <c r="P617" i="2" s="1"/>
  <c r="C617" i="2"/>
  <c r="M616" i="2"/>
  <c r="P616" i="2" s="1"/>
  <c r="C616" i="2"/>
  <c r="M615" i="2"/>
  <c r="P615" i="2" s="1"/>
  <c r="C615" i="2"/>
  <c r="M614" i="2"/>
  <c r="P614" i="2" s="1"/>
  <c r="C614" i="2"/>
  <c r="M613" i="2"/>
  <c r="P613" i="2" s="1"/>
  <c r="C613" i="2"/>
  <c r="M612" i="2"/>
  <c r="P612" i="2" s="1"/>
  <c r="C612" i="2"/>
  <c r="M611" i="2"/>
  <c r="P611" i="2" s="1"/>
  <c r="C611" i="2"/>
  <c r="M610" i="2"/>
  <c r="P610" i="2" s="1"/>
  <c r="C610" i="2"/>
  <c r="M609" i="2"/>
  <c r="P609" i="2" s="1"/>
  <c r="C609" i="2"/>
  <c r="M608" i="2"/>
  <c r="P608" i="2" s="1"/>
  <c r="C608" i="2"/>
  <c r="M607" i="2"/>
  <c r="P607" i="2" s="1"/>
  <c r="C607" i="2"/>
  <c r="M606" i="2"/>
  <c r="P606" i="2" s="1"/>
  <c r="C606" i="2"/>
  <c r="M605" i="2"/>
  <c r="P605" i="2" s="1"/>
  <c r="C605" i="2"/>
  <c r="M604" i="2"/>
  <c r="P604" i="2" s="1"/>
  <c r="C604" i="2"/>
  <c r="M603" i="2"/>
  <c r="P603" i="2" s="1"/>
  <c r="C603" i="2"/>
  <c r="L602" i="2"/>
  <c r="C602" i="2"/>
  <c r="L601" i="2"/>
  <c r="C601" i="2"/>
  <c r="L600" i="2"/>
  <c r="C600" i="2"/>
  <c r="M599" i="2"/>
  <c r="P599" i="2" s="1"/>
  <c r="C599" i="2"/>
  <c r="M598" i="2"/>
  <c r="P598" i="2" s="1"/>
  <c r="C598" i="2"/>
  <c r="M597" i="2"/>
  <c r="P597" i="2" s="1"/>
  <c r="C597" i="2"/>
  <c r="M596" i="2"/>
  <c r="P596" i="2" s="1"/>
  <c r="C596" i="2"/>
  <c r="M595" i="2"/>
  <c r="P595" i="2" s="1"/>
  <c r="C595" i="2"/>
  <c r="M594" i="2"/>
  <c r="P594" i="2" s="1"/>
  <c r="C594" i="2"/>
  <c r="M593" i="2"/>
  <c r="P593" i="2" s="1"/>
  <c r="C593" i="2"/>
  <c r="M592" i="2"/>
  <c r="P592" i="2" s="1"/>
  <c r="C592" i="2"/>
  <c r="M591" i="2"/>
  <c r="P591" i="2" s="1"/>
  <c r="C591" i="2"/>
  <c r="M590" i="2"/>
  <c r="P590" i="2" s="1"/>
  <c r="C590" i="2"/>
  <c r="M589" i="2"/>
  <c r="P589" i="2" s="1"/>
  <c r="C589" i="2"/>
  <c r="M588" i="2"/>
  <c r="P588" i="2" s="1"/>
  <c r="C588" i="2"/>
  <c r="M587" i="2"/>
  <c r="P587" i="2" s="1"/>
  <c r="C587" i="2"/>
  <c r="M586" i="2"/>
  <c r="P586" i="2" s="1"/>
  <c r="C586" i="2"/>
  <c r="M585" i="2"/>
  <c r="P585" i="2" s="1"/>
  <c r="C585" i="2"/>
  <c r="L584" i="2"/>
  <c r="C584" i="2"/>
  <c r="L583" i="2"/>
  <c r="C583" i="2"/>
  <c r="L582" i="2"/>
  <c r="C582" i="2"/>
  <c r="L581" i="2"/>
  <c r="C581" i="2"/>
  <c r="L580" i="2"/>
  <c r="C580" i="2"/>
  <c r="L579" i="2"/>
  <c r="C579" i="2"/>
  <c r="L578" i="2"/>
  <c r="C578" i="2"/>
  <c r="L577" i="2"/>
  <c r="C577" i="2"/>
  <c r="L576" i="2"/>
  <c r="C576" i="2"/>
  <c r="M575" i="2"/>
  <c r="P575" i="2" s="1"/>
  <c r="C575" i="2"/>
  <c r="M574" i="2"/>
  <c r="P574" i="2" s="1"/>
  <c r="C574" i="2"/>
  <c r="M573" i="2"/>
  <c r="P573" i="2" s="1"/>
  <c r="C573" i="2"/>
  <c r="M572" i="2"/>
  <c r="P572" i="2" s="1"/>
  <c r="C572" i="2"/>
  <c r="M571" i="2"/>
  <c r="P571" i="2" s="1"/>
  <c r="C571" i="2"/>
  <c r="M570" i="2"/>
  <c r="P570" i="2" s="1"/>
  <c r="C570" i="2"/>
  <c r="M569" i="2"/>
  <c r="P569" i="2" s="1"/>
  <c r="C569" i="2"/>
  <c r="M568" i="2"/>
  <c r="P568" i="2" s="1"/>
  <c r="C568" i="2"/>
  <c r="M567" i="2"/>
  <c r="P567" i="2" s="1"/>
  <c r="C567" i="2"/>
  <c r="M566" i="2"/>
  <c r="P566" i="2" s="1"/>
  <c r="C566" i="2"/>
  <c r="M565" i="2"/>
  <c r="P565" i="2" s="1"/>
  <c r="C565" i="2"/>
  <c r="M564" i="2"/>
  <c r="P564" i="2" s="1"/>
  <c r="C564" i="2"/>
  <c r="M563" i="2"/>
  <c r="P563" i="2" s="1"/>
  <c r="C563" i="2"/>
  <c r="M562" i="2"/>
  <c r="P562" i="2" s="1"/>
  <c r="C562" i="2"/>
  <c r="M561" i="2"/>
  <c r="P561" i="2" s="1"/>
  <c r="C561" i="2"/>
  <c r="K560" i="2"/>
  <c r="C560" i="2"/>
  <c r="M559" i="2"/>
  <c r="P559" i="2" s="1"/>
  <c r="C559" i="2"/>
  <c r="M558" i="2"/>
  <c r="P558" i="2" s="1"/>
  <c r="C558" i="2"/>
  <c r="M557" i="2"/>
  <c r="P557" i="2" s="1"/>
  <c r="C557" i="2"/>
  <c r="M556" i="2"/>
  <c r="P556" i="2" s="1"/>
  <c r="C556" i="2"/>
  <c r="M555" i="2"/>
  <c r="P555" i="2" s="1"/>
  <c r="C555" i="2"/>
  <c r="M554" i="2"/>
  <c r="P554" i="2" s="1"/>
  <c r="C554" i="2"/>
  <c r="M553" i="2"/>
  <c r="P553" i="2" s="1"/>
  <c r="C553" i="2"/>
  <c r="M552" i="2"/>
  <c r="P552" i="2" s="1"/>
  <c r="C552" i="2"/>
  <c r="M551" i="2"/>
  <c r="P551" i="2" s="1"/>
  <c r="C551" i="2"/>
  <c r="M550" i="2"/>
  <c r="P550" i="2" s="1"/>
  <c r="C550" i="2"/>
  <c r="M549" i="2"/>
  <c r="P549" i="2" s="1"/>
  <c r="C549" i="2"/>
  <c r="M548" i="2"/>
  <c r="P548" i="2" s="1"/>
  <c r="C548" i="2"/>
  <c r="M547" i="2"/>
  <c r="P547" i="2" s="1"/>
  <c r="C547" i="2"/>
  <c r="M546" i="2"/>
  <c r="P546" i="2" s="1"/>
  <c r="C546" i="2"/>
  <c r="M545" i="2"/>
  <c r="P545" i="2" s="1"/>
  <c r="C545" i="2"/>
  <c r="M544" i="2"/>
  <c r="P544" i="2" s="1"/>
  <c r="C544" i="2"/>
  <c r="M543" i="2"/>
  <c r="P543" i="2" s="1"/>
  <c r="C543" i="2"/>
  <c r="M542" i="2"/>
  <c r="P542" i="2" s="1"/>
  <c r="C542" i="2"/>
  <c r="M541" i="2"/>
  <c r="P541" i="2" s="1"/>
  <c r="C541" i="2"/>
  <c r="M540" i="2"/>
  <c r="P540" i="2" s="1"/>
  <c r="C540" i="2"/>
  <c r="L539" i="2"/>
  <c r="C539" i="2"/>
  <c r="L538" i="2"/>
  <c r="C538" i="2"/>
  <c r="L537" i="2"/>
  <c r="C537" i="2"/>
  <c r="L536" i="2"/>
  <c r="C536" i="2"/>
  <c r="M535" i="2"/>
  <c r="P535" i="2" s="1"/>
  <c r="C535" i="2"/>
  <c r="L534" i="2"/>
  <c r="C534" i="2"/>
  <c r="L533" i="2"/>
  <c r="C533" i="2"/>
  <c r="L532" i="2"/>
  <c r="C532" i="2"/>
  <c r="L531" i="2"/>
  <c r="C531" i="2"/>
  <c r="L530" i="2"/>
  <c r="C530" i="2"/>
  <c r="L529" i="2"/>
  <c r="C529" i="2"/>
  <c r="M528" i="2"/>
  <c r="P528" i="2" s="1"/>
  <c r="C528" i="2"/>
  <c r="M527" i="2"/>
  <c r="P527" i="2" s="1"/>
  <c r="C527" i="2"/>
  <c r="M526" i="2"/>
  <c r="P526" i="2" s="1"/>
  <c r="C526" i="2"/>
  <c r="L525" i="2"/>
  <c r="C525" i="2"/>
  <c r="L524" i="2"/>
  <c r="C524" i="2"/>
  <c r="L523" i="2"/>
  <c r="C523" i="2"/>
  <c r="L522" i="2"/>
  <c r="C522" i="2"/>
  <c r="L521" i="2"/>
  <c r="C521" i="2"/>
  <c r="L520" i="2"/>
  <c r="C520" i="2"/>
  <c r="M519" i="2"/>
  <c r="P519" i="2" s="1"/>
  <c r="C519" i="2"/>
  <c r="L518" i="2"/>
  <c r="C518" i="2"/>
  <c r="L517" i="2"/>
  <c r="C517" i="2"/>
  <c r="M516" i="2"/>
  <c r="P516" i="2" s="1"/>
  <c r="C516" i="2"/>
  <c r="L515" i="2"/>
  <c r="C515" i="2"/>
  <c r="L514" i="2"/>
  <c r="C514" i="2"/>
  <c r="L513" i="2"/>
  <c r="C513" i="2"/>
  <c r="L512" i="2"/>
  <c r="C512" i="2"/>
  <c r="M511" i="2"/>
  <c r="P511" i="2" s="1"/>
  <c r="C511" i="2"/>
  <c r="M510" i="2"/>
  <c r="P510" i="2" s="1"/>
  <c r="C510" i="2"/>
  <c r="M509" i="2"/>
  <c r="P509" i="2" s="1"/>
  <c r="C509" i="2"/>
  <c r="M508" i="2"/>
  <c r="P508" i="2" s="1"/>
  <c r="C508" i="2"/>
  <c r="M507" i="2"/>
  <c r="P507" i="2" s="1"/>
  <c r="C507" i="2"/>
  <c r="C506" i="2"/>
  <c r="M505" i="2"/>
  <c r="P505" i="2" s="1"/>
  <c r="C505" i="2"/>
  <c r="M504" i="2"/>
  <c r="P504" i="2" s="1"/>
  <c r="C504" i="2"/>
  <c r="M503" i="2"/>
  <c r="P503" i="2" s="1"/>
  <c r="C503" i="2"/>
  <c r="M502" i="2"/>
  <c r="P502" i="2" s="1"/>
  <c r="C502" i="2"/>
  <c r="M501" i="2"/>
  <c r="P501" i="2" s="1"/>
  <c r="C501" i="2"/>
  <c r="M500" i="2"/>
  <c r="P500" i="2" s="1"/>
  <c r="C500" i="2"/>
  <c r="M499" i="2"/>
  <c r="P499" i="2" s="1"/>
  <c r="C499" i="2"/>
  <c r="M498" i="2"/>
  <c r="P498" i="2" s="1"/>
  <c r="C498" i="2"/>
  <c r="M497" i="2"/>
  <c r="P497" i="2" s="1"/>
  <c r="C497" i="2"/>
  <c r="M496" i="2"/>
  <c r="P496" i="2" s="1"/>
  <c r="C496" i="2"/>
  <c r="M495" i="2"/>
  <c r="P495" i="2" s="1"/>
  <c r="C495" i="2"/>
  <c r="M494" i="2"/>
  <c r="P494" i="2" s="1"/>
  <c r="C494" i="2"/>
  <c r="M493" i="2"/>
  <c r="P493" i="2" s="1"/>
  <c r="C493" i="2"/>
  <c r="M492" i="2"/>
  <c r="P492" i="2" s="1"/>
  <c r="C492" i="2"/>
  <c r="L491" i="2"/>
  <c r="C491" i="2"/>
  <c r="L490" i="2"/>
  <c r="C490" i="2"/>
  <c r="L489" i="2"/>
  <c r="C489" i="2"/>
  <c r="L488" i="2"/>
  <c r="C488" i="2"/>
  <c r="L487" i="2"/>
  <c r="C487" i="2"/>
  <c r="L486" i="2"/>
  <c r="C486" i="2"/>
  <c r="L485" i="2"/>
  <c r="C485" i="2"/>
  <c r="M484" i="2"/>
  <c r="P484" i="2" s="1"/>
  <c r="C484" i="2"/>
  <c r="M483" i="2"/>
  <c r="P483" i="2" s="1"/>
  <c r="C483" i="2"/>
  <c r="M482" i="2"/>
  <c r="P482" i="2" s="1"/>
  <c r="C482" i="2"/>
  <c r="M481" i="2"/>
  <c r="P481" i="2" s="1"/>
  <c r="C481" i="2"/>
  <c r="M480" i="2"/>
  <c r="P480" i="2" s="1"/>
  <c r="C480" i="2"/>
  <c r="L479" i="2"/>
  <c r="C479" i="2"/>
  <c r="L478" i="2"/>
  <c r="C478" i="2"/>
  <c r="L477" i="2"/>
  <c r="C477" i="2"/>
  <c r="M476" i="2"/>
  <c r="P476" i="2" s="1"/>
  <c r="C476" i="2"/>
  <c r="M475" i="2"/>
  <c r="P475" i="2" s="1"/>
  <c r="C475" i="2"/>
  <c r="M474" i="2"/>
  <c r="P474" i="2" s="1"/>
  <c r="C474" i="2"/>
  <c r="M473" i="2"/>
  <c r="P473" i="2" s="1"/>
  <c r="C473" i="2"/>
  <c r="L472" i="2"/>
  <c r="C472" i="2"/>
  <c r="L471" i="2"/>
  <c r="C471" i="2"/>
  <c r="L470" i="2"/>
  <c r="C470" i="2"/>
  <c r="L469" i="2"/>
  <c r="C469" i="2"/>
  <c r="L468" i="2"/>
  <c r="C468" i="2"/>
  <c r="L467" i="2"/>
  <c r="C467" i="2"/>
  <c r="L466" i="2"/>
  <c r="C466" i="2"/>
  <c r="L465" i="2"/>
  <c r="C465" i="2"/>
  <c r="M464" i="2"/>
  <c r="P464" i="2" s="1"/>
  <c r="C464" i="2"/>
  <c r="M463" i="2"/>
  <c r="P463" i="2" s="1"/>
  <c r="C463" i="2"/>
  <c r="M462" i="2"/>
  <c r="P462" i="2" s="1"/>
  <c r="C462" i="2"/>
  <c r="M461" i="2"/>
  <c r="P461" i="2" s="1"/>
  <c r="C461" i="2"/>
  <c r="M460" i="2"/>
  <c r="P460" i="2" s="1"/>
  <c r="C460" i="2"/>
  <c r="M459" i="2"/>
  <c r="P459" i="2" s="1"/>
  <c r="C459" i="2"/>
  <c r="M458" i="2"/>
  <c r="P458" i="2" s="1"/>
  <c r="C458" i="2"/>
  <c r="M457" i="2"/>
  <c r="P457" i="2" s="1"/>
  <c r="C457" i="2"/>
  <c r="M456" i="2"/>
  <c r="P456" i="2" s="1"/>
  <c r="C456" i="2"/>
  <c r="M455" i="2"/>
  <c r="P455" i="2" s="1"/>
  <c r="C455" i="2"/>
  <c r="M454" i="2"/>
  <c r="P454" i="2" s="1"/>
  <c r="C454" i="2"/>
  <c r="M453" i="2"/>
  <c r="P453" i="2" s="1"/>
  <c r="C453" i="2"/>
  <c r="L452" i="2"/>
  <c r="C452" i="2"/>
  <c r="M451" i="2"/>
  <c r="P451" i="2" s="1"/>
  <c r="C451" i="2"/>
  <c r="M450" i="2"/>
  <c r="P450" i="2" s="1"/>
  <c r="C450" i="2"/>
  <c r="M449" i="2"/>
  <c r="P449" i="2" s="1"/>
  <c r="C449" i="2"/>
  <c r="L448" i="2"/>
  <c r="C448" i="2"/>
  <c r="M447" i="2"/>
  <c r="P447" i="2" s="1"/>
  <c r="C447" i="2"/>
  <c r="M446" i="2"/>
  <c r="P446" i="2" s="1"/>
  <c r="C446" i="2"/>
  <c r="M445" i="2"/>
  <c r="P445" i="2" s="1"/>
  <c r="C445" i="2"/>
  <c r="M444" i="2"/>
  <c r="P444" i="2" s="1"/>
  <c r="C444" i="2"/>
  <c r="M443" i="2"/>
  <c r="P443" i="2" s="1"/>
  <c r="C443" i="2"/>
  <c r="M442" i="2"/>
  <c r="P442" i="2" s="1"/>
  <c r="C442" i="2"/>
  <c r="M441" i="2"/>
  <c r="P441" i="2" s="1"/>
  <c r="C441" i="2"/>
  <c r="M440" i="2"/>
  <c r="P440" i="2" s="1"/>
  <c r="C440" i="2"/>
  <c r="M439" i="2"/>
  <c r="P439" i="2" s="1"/>
  <c r="C439" i="2"/>
  <c r="M438" i="2"/>
  <c r="P438" i="2" s="1"/>
  <c r="C438" i="2"/>
  <c r="M437" i="2"/>
  <c r="P437" i="2" s="1"/>
  <c r="C437" i="2"/>
  <c r="L436" i="2"/>
  <c r="C436" i="2"/>
  <c r="K435" i="2"/>
  <c r="L435" i="2" s="1"/>
  <c r="C435" i="2"/>
  <c r="M434" i="2"/>
  <c r="P434" i="2" s="1"/>
  <c r="C434" i="2"/>
  <c r="M433" i="2"/>
  <c r="P433" i="2" s="1"/>
  <c r="C433" i="2"/>
  <c r="C432" i="2"/>
  <c r="M431" i="2"/>
  <c r="P431" i="2" s="1"/>
  <c r="C431" i="2"/>
  <c r="M430" i="2"/>
  <c r="P430" i="2" s="1"/>
  <c r="C430" i="2"/>
  <c r="M429" i="2"/>
  <c r="P429" i="2" s="1"/>
  <c r="C429" i="2"/>
  <c r="M428" i="2"/>
  <c r="P428" i="2" s="1"/>
  <c r="C428" i="2"/>
  <c r="M427" i="2"/>
  <c r="P427" i="2" s="1"/>
  <c r="C427" i="2"/>
  <c r="M426" i="2"/>
  <c r="P426" i="2" s="1"/>
  <c r="C426" i="2"/>
  <c r="M425" i="2"/>
  <c r="P425" i="2" s="1"/>
  <c r="C425" i="2"/>
  <c r="M424" i="2"/>
  <c r="P424" i="2" s="1"/>
  <c r="C424" i="2"/>
  <c r="M423" i="2"/>
  <c r="P423" i="2" s="1"/>
  <c r="C423" i="2"/>
  <c r="M422" i="2"/>
  <c r="P422" i="2" s="1"/>
  <c r="C422" i="2"/>
  <c r="M421" i="2"/>
  <c r="P421" i="2" s="1"/>
  <c r="C421" i="2"/>
  <c r="M420" i="2"/>
  <c r="P420" i="2" s="1"/>
  <c r="C420" i="2"/>
  <c r="M419" i="2"/>
  <c r="P419" i="2" s="1"/>
  <c r="C419" i="2"/>
  <c r="M418" i="2"/>
  <c r="P418" i="2" s="1"/>
  <c r="C418" i="2"/>
  <c r="M417" i="2"/>
  <c r="P417" i="2" s="1"/>
  <c r="C417" i="2"/>
  <c r="M416" i="2"/>
  <c r="P416" i="2" s="1"/>
  <c r="C416" i="2"/>
  <c r="M415" i="2"/>
  <c r="P415" i="2" s="1"/>
  <c r="C415" i="2"/>
  <c r="M414" i="2"/>
  <c r="P414" i="2" s="1"/>
  <c r="C414" i="2"/>
  <c r="M413" i="2"/>
  <c r="P413" i="2" s="1"/>
  <c r="C413" i="2"/>
  <c r="M412" i="2"/>
  <c r="P412" i="2" s="1"/>
  <c r="C412" i="2"/>
  <c r="M411" i="2"/>
  <c r="P411" i="2" s="1"/>
  <c r="C411" i="2"/>
  <c r="M410" i="2"/>
  <c r="P410" i="2" s="1"/>
  <c r="C410" i="2"/>
  <c r="M409" i="2"/>
  <c r="P409" i="2" s="1"/>
  <c r="C409" i="2"/>
  <c r="M408" i="2"/>
  <c r="P408" i="2" s="1"/>
  <c r="C408" i="2"/>
  <c r="L407" i="2"/>
  <c r="C407" i="2"/>
  <c r="L406" i="2"/>
  <c r="C406" i="2"/>
  <c r="L405" i="2"/>
  <c r="C405" i="2"/>
  <c r="L404" i="2"/>
  <c r="C404" i="2"/>
  <c r="L403" i="2"/>
  <c r="C403" i="2"/>
  <c r="L402" i="2"/>
  <c r="C402" i="2"/>
  <c r="L401" i="2"/>
  <c r="C401" i="2"/>
  <c r="M400" i="2"/>
  <c r="P400" i="2" s="1"/>
  <c r="C400" i="2"/>
  <c r="M399" i="2"/>
  <c r="P399" i="2" s="1"/>
  <c r="C399" i="2"/>
  <c r="M398" i="2"/>
  <c r="P398" i="2" s="1"/>
  <c r="C398" i="2"/>
  <c r="M397" i="2"/>
  <c r="P397" i="2" s="1"/>
  <c r="C397" i="2"/>
  <c r="M396" i="2"/>
  <c r="P396" i="2" s="1"/>
  <c r="C396" i="2"/>
  <c r="M395" i="2"/>
  <c r="P395" i="2" s="1"/>
  <c r="C395" i="2"/>
  <c r="M394" i="2"/>
  <c r="P394" i="2" s="1"/>
  <c r="C394" i="2"/>
  <c r="M393" i="2"/>
  <c r="P393" i="2" s="1"/>
  <c r="C393" i="2"/>
  <c r="M392" i="2"/>
  <c r="P392" i="2" s="1"/>
  <c r="C392" i="2"/>
  <c r="M391" i="2"/>
  <c r="P391" i="2" s="1"/>
  <c r="C391" i="2"/>
  <c r="M390" i="2"/>
  <c r="P390" i="2" s="1"/>
  <c r="C390" i="2"/>
  <c r="L389" i="2"/>
  <c r="C389" i="2"/>
  <c r="M388" i="2"/>
  <c r="P388" i="2" s="1"/>
  <c r="C388" i="2"/>
  <c r="M387" i="2"/>
  <c r="P387" i="2" s="1"/>
  <c r="C387" i="2"/>
  <c r="M386" i="2"/>
  <c r="P386" i="2" s="1"/>
  <c r="C386" i="2"/>
  <c r="L385" i="2"/>
  <c r="C385" i="2"/>
  <c r="L384" i="2"/>
  <c r="C384" i="2"/>
  <c r="L383" i="2"/>
  <c r="C383" i="2"/>
  <c r="L382" i="2"/>
  <c r="C382" i="2"/>
  <c r="M381" i="2"/>
  <c r="P381" i="2" s="1"/>
  <c r="C381" i="2"/>
  <c r="L380" i="2"/>
  <c r="C380" i="2"/>
  <c r="L379" i="2"/>
  <c r="C379" i="2"/>
  <c r="M378" i="2"/>
  <c r="P378" i="2" s="1"/>
  <c r="C378" i="2"/>
  <c r="M377" i="2"/>
  <c r="P377" i="2" s="1"/>
  <c r="C377" i="2"/>
  <c r="M376" i="2"/>
  <c r="P376" i="2" s="1"/>
  <c r="C376" i="2"/>
  <c r="M375" i="2"/>
  <c r="P375" i="2" s="1"/>
  <c r="C375" i="2"/>
  <c r="M374" i="2"/>
  <c r="P374" i="2" s="1"/>
  <c r="C374" i="2"/>
  <c r="M373" i="2"/>
  <c r="P373" i="2" s="1"/>
  <c r="C373" i="2"/>
  <c r="M372" i="2"/>
  <c r="P372" i="2" s="1"/>
  <c r="C372" i="2"/>
  <c r="M371" i="2"/>
  <c r="P371" i="2" s="1"/>
  <c r="C371" i="2"/>
  <c r="M370" i="2"/>
  <c r="P370" i="2" s="1"/>
  <c r="C370" i="2"/>
  <c r="M369" i="2"/>
  <c r="P369" i="2" s="1"/>
  <c r="C369" i="2"/>
  <c r="M368" i="2"/>
  <c r="P368" i="2" s="1"/>
  <c r="C368" i="2"/>
  <c r="M367" i="2"/>
  <c r="P367" i="2" s="1"/>
  <c r="C367" i="2"/>
  <c r="M366" i="2"/>
  <c r="P366" i="2" s="1"/>
  <c r="C366" i="2"/>
  <c r="L365" i="2"/>
  <c r="C365" i="2"/>
  <c r="L364" i="2"/>
  <c r="C364" i="2"/>
  <c r="M363" i="2"/>
  <c r="P363" i="2" s="1"/>
  <c r="C363" i="2"/>
  <c r="M362" i="2"/>
  <c r="P362" i="2" s="1"/>
  <c r="C362" i="2"/>
  <c r="M361" i="2"/>
  <c r="P361" i="2" s="1"/>
  <c r="C361" i="2"/>
  <c r="L360" i="2"/>
  <c r="C360" i="2"/>
  <c r="L359" i="2"/>
  <c r="C359" i="2"/>
  <c r="L358" i="2"/>
  <c r="C358" i="2"/>
  <c r="M357" i="2"/>
  <c r="P357" i="2" s="1"/>
  <c r="C357" i="2"/>
  <c r="M356" i="2"/>
  <c r="P356" i="2" s="1"/>
  <c r="C356" i="2"/>
  <c r="M355" i="2"/>
  <c r="P355" i="2" s="1"/>
  <c r="C355" i="2"/>
  <c r="M354" i="2"/>
  <c r="P354" i="2" s="1"/>
  <c r="C354" i="2"/>
  <c r="M353" i="2"/>
  <c r="P353" i="2" s="1"/>
  <c r="C353" i="2"/>
  <c r="M352" i="2"/>
  <c r="P352" i="2" s="1"/>
  <c r="C352" i="2"/>
  <c r="M351" i="2"/>
  <c r="P351" i="2" s="1"/>
  <c r="C351" i="2"/>
  <c r="M350" i="2"/>
  <c r="P350" i="2" s="1"/>
  <c r="C350" i="2"/>
  <c r="M349" i="2"/>
  <c r="P349" i="2" s="1"/>
  <c r="C349" i="2"/>
  <c r="L348" i="2"/>
  <c r="C348" i="2"/>
  <c r="L347" i="2"/>
  <c r="C347" i="2"/>
  <c r="M346" i="2"/>
  <c r="P346" i="2" s="1"/>
  <c r="C346" i="2"/>
  <c r="L345" i="2"/>
  <c r="C345" i="2"/>
  <c r="L344" i="2"/>
  <c r="C344" i="2"/>
  <c r="L343" i="2"/>
  <c r="C343" i="2"/>
  <c r="M342" i="2"/>
  <c r="P342" i="2" s="1"/>
  <c r="C342" i="2"/>
  <c r="M341" i="2"/>
  <c r="P341" i="2" s="1"/>
  <c r="C341" i="2"/>
  <c r="M340" i="2"/>
  <c r="P340" i="2" s="1"/>
  <c r="C340" i="2"/>
  <c r="M339" i="2"/>
  <c r="P339" i="2" s="1"/>
  <c r="C339" i="2"/>
  <c r="M338" i="2"/>
  <c r="P338" i="2" s="1"/>
  <c r="C338" i="2"/>
  <c r="M337" i="2"/>
  <c r="P337" i="2" s="1"/>
  <c r="C337" i="2"/>
  <c r="L336" i="2"/>
  <c r="C336" i="2"/>
  <c r="L335" i="2"/>
  <c r="C335" i="2"/>
  <c r="L334" i="2"/>
  <c r="C334" i="2"/>
  <c r="L333" i="2"/>
  <c r="C333" i="2"/>
  <c r="L332" i="2"/>
  <c r="C332" i="2"/>
  <c r="L331" i="2"/>
  <c r="C331" i="2"/>
  <c r="L330" i="2"/>
  <c r="C330" i="2"/>
  <c r="L329" i="2"/>
  <c r="C329" i="2"/>
  <c r="L328" i="2"/>
  <c r="C328" i="2"/>
  <c r="L327" i="2"/>
  <c r="C327" i="2"/>
  <c r="L326" i="2"/>
  <c r="C326" i="2"/>
  <c r="L325" i="2"/>
  <c r="C325" i="2"/>
  <c r="M324" i="2"/>
  <c r="P324" i="2" s="1"/>
  <c r="C324" i="2"/>
  <c r="L323" i="2"/>
  <c r="C323" i="2"/>
  <c r="L322" i="2"/>
  <c r="C322" i="2"/>
  <c r="L321" i="2"/>
  <c r="C321" i="2"/>
  <c r="L320" i="2"/>
  <c r="C320" i="2"/>
  <c r="L319" i="2"/>
  <c r="C319" i="2"/>
  <c r="L318" i="2"/>
  <c r="C318" i="2"/>
  <c r="M317" i="2"/>
  <c r="P317" i="2" s="1"/>
  <c r="C317" i="2"/>
  <c r="M316" i="2"/>
  <c r="P316" i="2" s="1"/>
  <c r="C316" i="2"/>
  <c r="M315" i="2"/>
  <c r="P315" i="2" s="1"/>
  <c r="C315" i="2"/>
  <c r="M314" i="2"/>
  <c r="P314" i="2" s="1"/>
  <c r="C314" i="2"/>
  <c r="L313" i="2"/>
  <c r="C313" i="2"/>
  <c r="L312" i="2"/>
  <c r="C312" i="2"/>
  <c r="M311" i="2"/>
  <c r="P311" i="2" s="1"/>
  <c r="C311" i="2"/>
  <c r="M310" i="2"/>
  <c r="P310" i="2" s="1"/>
  <c r="C310" i="2"/>
  <c r="M309" i="2"/>
  <c r="P309" i="2" s="1"/>
  <c r="C309" i="2"/>
  <c r="M308" i="2"/>
  <c r="P308" i="2" s="1"/>
  <c r="C308" i="2"/>
  <c r="M307" i="2"/>
  <c r="P307" i="2" s="1"/>
  <c r="C307" i="2"/>
  <c r="L306" i="2"/>
  <c r="C306" i="2"/>
  <c r="L305" i="2"/>
  <c r="C305" i="2"/>
  <c r="L304" i="2"/>
  <c r="C304" i="2"/>
  <c r="L303" i="2"/>
  <c r="C303" i="2"/>
  <c r="L302" i="2"/>
  <c r="C302" i="2"/>
  <c r="M301" i="2"/>
  <c r="P301" i="2" s="1"/>
  <c r="C301" i="2"/>
  <c r="M300" i="2"/>
  <c r="P300" i="2" s="1"/>
  <c r="C300" i="2"/>
  <c r="M299" i="2"/>
  <c r="P299" i="2" s="1"/>
  <c r="C299" i="2"/>
  <c r="M298" i="2"/>
  <c r="P298" i="2" s="1"/>
  <c r="C298" i="2"/>
  <c r="M297" i="2"/>
  <c r="P297" i="2" s="1"/>
  <c r="C297" i="2"/>
  <c r="M296" i="2"/>
  <c r="P296" i="2" s="1"/>
  <c r="C296" i="2"/>
  <c r="M295" i="2"/>
  <c r="P295" i="2" s="1"/>
  <c r="C295" i="2"/>
  <c r="M294" i="2"/>
  <c r="P294" i="2" s="1"/>
  <c r="C294" i="2"/>
  <c r="M293" i="2"/>
  <c r="P293" i="2" s="1"/>
  <c r="C293" i="2"/>
  <c r="M292" i="2"/>
  <c r="P292" i="2" s="1"/>
  <c r="C292" i="2"/>
  <c r="C291" i="2"/>
  <c r="M290" i="2"/>
  <c r="P290" i="2" s="1"/>
  <c r="C290" i="2"/>
  <c r="M289" i="2"/>
  <c r="P289" i="2" s="1"/>
  <c r="C289" i="2"/>
  <c r="M288" i="2"/>
  <c r="P288" i="2" s="1"/>
  <c r="C288" i="2"/>
  <c r="M287" i="2"/>
  <c r="P287" i="2" s="1"/>
  <c r="C287" i="2"/>
  <c r="M286" i="2"/>
  <c r="P286" i="2" s="1"/>
  <c r="C286" i="2"/>
  <c r="M285" i="2"/>
  <c r="P285" i="2" s="1"/>
  <c r="C285" i="2"/>
  <c r="M284" i="2"/>
  <c r="P284" i="2" s="1"/>
  <c r="C284" i="2"/>
  <c r="M283" i="2"/>
  <c r="P283" i="2" s="1"/>
  <c r="C283" i="2"/>
  <c r="M282" i="2"/>
  <c r="P282" i="2" s="1"/>
  <c r="C282" i="2"/>
  <c r="L281" i="2"/>
  <c r="C281" i="2"/>
  <c r="L280" i="2"/>
  <c r="C280" i="2"/>
  <c r="L279" i="2"/>
  <c r="C279" i="2"/>
  <c r="M278" i="2"/>
  <c r="P278" i="2" s="1"/>
  <c r="C278" i="2"/>
  <c r="M277" i="2"/>
  <c r="P277" i="2" s="1"/>
  <c r="C277" i="2"/>
  <c r="M276" i="2"/>
  <c r="P276" i="2" s="1"/>
  <c r="C276" i="2"/>
  <c r="L275" i="2"/>
  <c r="C275" i="2"/>
  <c r="L274" i="2"/>
  <c r="C274" i="2"/>
  <c r="L273" i="2"/>
  <c r="C273" i="2"/>
  <c r="L272" i="2"/>
  <c r="C272" i="2"/>
  <c r="L271" i="2"/>
  <c r="C271" i="2"/>
  <c r="M270" i="2"/>
  <c r="P270" i="2" s="1"/>
  <c r="C270" i="2"/>
  <c r="L269" i="2"/>
  <c r="C269" i="2"/>
  <c r="M268" i="2"/>
  <c r="P268" i="2" s="1"/>
  <c r="C268" i="2"/>
  <c r="M267" i="2"/>
  <c r="P267" i="2" s="1"/>
  <c r="C267" i="2"/>
  <c r="L266" i="2"/>
  <c r="C266" i="2"/>
  <c r="L265" i="2"/>
  <c r="C265" i="2"/>
  <c r="L264" i="2"/>
  <c r="C264" i="2"/>
  <c r="M263" i="2"/>
  <c r="P263" i="2" s="1"/>
  <c r="C263" i="2"/>
  <c r="L262" i="2"/>
  <c r="C262" i="2"/>
  <c r="M261" i="2"/>
  <c r="P261" i="2" s="1"/>
  <c r="C261" i="2"/>
  <c r="M260" i="2"/>
  <c r="P260" i="2" s="1"/>
  <c r="C260" i="2"/>
  <c r="M259" i="2"/>
  <c r="P259" i="2" s="1"/>
  <c r="C259" i="2"/>
  <c r="L258" i="2"/>
  <c r="C258" i="2"/>
  <c r="L257" i="2"/>
  <c r="C257" i="2"/>
  <c r="M256" i="2"/>
  <c r="P256" i="2" s="1"/>
  <c r="C256" i="2"/>
  <c r="M255" i="2"/>
  <c r="P255" i="2" s="1"/>
  <c r="C255" i="2"/>
  <c r="M254" i="2"/>
  <c r="P254" i="2" s="1"/>
  <c r="C254" i="2"/>
  <c r="M253" i="2"/>
  <c r="P253" i="2" s="1"/>
  <c r="C253" i="2"/>
  <c r="M252" i="2"/>
  <c r="P252" i="2" s="1"/>
  <c r="C252" i="2"/>
  <c r="M251" i="2"/>
  <c r="P251" i="2" s="1"/>
  <c r="C251" i="2"/>
  <c r="M250" i="2"/>
  <c r="P250" i="2" s="1"/>
  <c r="C250" i="2"/>
  <c r="L249" i="2"/>
  <c r="C249" i="2"/>
  <c r="L248" i="2"/>
  <c r="C248" i="2"/>
  <c r="L247" i="2"/>
  <c r="C247" i="2"/>
  <c r="M246" i="2"/>
  <c r="P246" i="2" s="1"/>
  <c r="C246" i="2"/>
  <c r="M245" i="2"/>
  <c r="P245" i="2" s="1"/>
  <c r="C245" i="2"/>
  <c r="M244" i="2"/>
  <c r="P244" i="2" s="1"/>
  <c r="C244" i="2"/>
  <c r="M243" i="2"/>
  <c r="P243" i="2" s="1"/>
  <c r="C243" i="2"/>
  <c r="M242" i="2"/>
  <c r="P242" i="2" s="1"/>
  <c r="C242" i="2"/>
  <c r="L241" i="2"/>
  <c r="C241" i="2"/>
  <c r="L240" i="2"/>
  <c r="C240" i="2"/>
  <c r="L239" i="2"/>
  <c r="C239" i="2"/>
  <c r="L238" i="2"/>
  <c r="C238" i="2"/>
  <c r="L237" i="2"/>
  <c r="C237" i="2"/>
  <c r="M236" i="2"/>
  <c r="P236" i="2" s="1"/>
  <c r="C236" i="2"/>
  <c r="M235" i="2"/>
  <c r="P235" i="2" s="1"/>
  <c r="C235" i="2"/>
  <c r="M234" i="2"/>
  <c r="P234" i="2" s="1"/>
  <c r="C234" i="2"/>
  <c r="M233" i="2"/>
  <c r="P233" i="2" s="1"/>
  <c r="C233" i="2"/>
  <c r="M232" i="2"/>
  <c r="P232" i="2" s="1"/>
  <c r="C232" i="2"/>
  <c r="M231" i="2"/>
  <c r="P231" i="2" s="1"/>
  <c r="C231" i="2"/>
  <c r="M230" i="2"/>
  <c r="P230" i="2" s="1"/>
  <c r="C230" i="2"/>
  <c r="M229" i="2"/>
  <c r="P229" i="2" s="1"/>
  <c r="C229" i="2"/>
  <c r="M228" i="2"/>
  <c r="P228" i="2" s="1"/>
  <c r="C228" i="2"/>
  <c r="L227" i="2"/>
  <c r="C227" i="2"/>
  <c r="L226" i="2"/>
  <c r="C226" i="2"/>
  <c r="L225" i="2"/>
  <c r="C225" i="2"/>
  <c r="L224" i="2"/>
  <c r="C224" i="2"/>
  <c r="L223" i="2"/>
  <c r="C223" i="2"/>
  <c r="L222" i="2"/>
  <c r="C222" i="2"/>
  <c r="M221" i="2"/>
  <c r="P221" i="2" s="1"/>
  <c r="C221" i="2"/>
  <c r="M220" i="2"/>
  <c r="P220" i="2" s="1"/>
  <c r="C220" i="2"/>
  <c r="L219" i="2"/>
  <c r="C219" i="2"/>
  <c r="L218" i="2"/>
  <c r="C218" i="2"/>
  <c r="L217" i="2"/>
  <c r="C217" i="2"/>
  <c r="L216" i="2"/>
  <c r="C216" i="2"/>
  <c r="M215" i="2"/>
  <c r="P215" i="2" s="1"/>
  <c r="C215" i="2"/>
  <c r="M214" i="2"/>
  <c r="P214" i="2" s="1"/>
  <c r="C214" i="2"/>
  <c r="M213" i="2"/>
  <c r="P213" i="2" s="1"/>
  <c r="C213" i="2"/>
  <c r="M212" i="2"/>
  <c r="P212" i="2" s="1"/>
  <c r="C212" i="2"/>
  <c r="M211" i="2"/>
  <c r="P211" i="2" s="1"/>
  <c r="C211" i="2"/>
  <c r="M210" i="2"/>
  <c r="P210" i="2" s="1"/>
  <c r="C210" i="2"/>
  <c r="M209" i="2"/>
  <c r="P209" i="2" s="1"/>
  <c r="C209" i="2"/>
  <c r="M208" i="2"/>
  <c r="P208" i="2" s="1"/>
  <c r="C208" i="2"/>
  <c r="M207" i="2"/>
  <c r="P207" i="2" s="1"/>
  <c r="C207" i="2"/>
  <c r="M206" i="2"/>
  <c r="P206" i="2" s="1"/>
  <c r="C206" i="2"/>
  <c r="M205" i="2"/>
  <c r="P205" i="2" s="1"/>
  <c r="C205" i="2"/>
  <c r="M204" i="2"/>
  <c r="P204" i="2" s="1"/>
  <c r="C204" i="2"/>
  <c r="M203" i="2"/>
  <c r="P203" i="2" s="1"/>
  <c r="C203" i="2"/>
  <c r="M202" i="2"/>
  <c r="P202" i="2" s="1"/>
  <c r="C202" i="2"/>
  <c r="M201" i="2"/>
  <c r="P201" i="2" s="1"/>
  <c r="C201" i="2"/>
  <c r="M200" i="2"/>
  <c r="P200" i="2" s="1"/>
  <c r="C200" i="2"/>
  <c r="M199" i="2"/>
  <c r="P199" i="2" s="1"/>
  <c r="C199" i="2"/>
  <c r="L198" i="2"/>
  <c r="C198" i="2"/>
  <c r="L197" i="2"/>
  <c r="C197" i="2"/>
  <c r="L196" i="2"/>
  <c r="C196" i="2"/>
  <c r="L195" i="2"/>
  <c r="C195" i="2"/>
  <c r="M194" i="2"/>
  <c r="P194" i="2" s="1"/>
  <c r="C194" i="2"/>
  <c r="M193" i="2"/>
  <c r="P193" i="2" s="1"/>
  <c r="C193" i="2"/>
  <c r="M192" i="2"/>
  <c r="P192" i="2" s="1"/>
  <c r="C192" i="2"/>
  <c r="M191" i="2"/>
  <c r="P191" i="2" s="1"/>
  <c r="C191" i="2"/>
  <c r="L190" i="2"/>
  <c r="C190" i="2"/>
  <c r="L189" i="2"/>
  <c r="C189" i="2"/>
  <c r="M188" i="2"/>
  <c r="P188" i="2" s="1"/>
  <c r="C188" i="2"/>
  <c r="L187" i="2"/>
  <c r="C187" i="2"/>
  <c r="M186" i="2"/>
  <c r="P186" i="2" s="1"/>
  <c r="C186" i="2"/>
  <c r="M185" i="2"/>
  <c r="P185" i="2" s="1"/>
  <c r="C185" i="2"/>
  <c r="M184" i="2"/>
  <c r="P184" i="2" s="1"/>
  <c r="C184" i="2"/>
  <c r="L183" i="2"/>
  <c r="C183" i="2"/>
  <c r="M182" i="2"/>
  <c r="P182" i="2" s="1"/>
  <c r="C182" i="2"/>
  <c r="L181" i="2"/>
  <c r="C181" i="2"/>
  <c r="L180" i="2"/>
  <c r="C180" i="2"/>
  <c r="M179" i="2"/>
  <c r="P179" i="2" s="1"/>
  <c r="C179" i="2"/>
  <c r="M178" i="2"/>
  <c r="P178" i="2" s="1"/>
  <c r="C178" i="2"/>
  <c r="M177" i="2"/>
  <c r="P177" i="2" s="1"/>
  <c r="C177" i="2"/>
  <c r="M176" i="2"/>
  <c r="P176" i="2" s="1"/>
  <c r="C176" i="2"/>
  <c r="M175" i="2"/>
  <c r="P175" i="2" s="1"/>
  <c r="C175" i="2"/>
  <c r="M174" i="2"/>
  <c r="P174" i="2" s="1"/>
  <c r="C174" i="2"/>
  <c r="M173" i="2"/>
  <c r="P173" i="2" s="1"/>
  <c r="C173" i="2"/>
  <c r="M172" i="2"/>
  <c r="P172" i="2" s="1"/>
  <c r="C172" i="2"/>
  <c r="M171" i="2"/>
  <c r="P171" i="2" s="1"/>
  <c r="C171" i="2"/>
  <c r="L170" i="2"/>
  <c r="C170" i="2"/>
  <c r="M169" i="2"/>
  <c r="P169" i="2" s="1"/>
  <c r="C169" i="2"/>
  <c r="M168" i="2"/>
  <c r="P168" i="2" s="1"/>
  <c r="C168" i="2"/>
  <c r="M167" i="2"/>
  <c r="P167" i="2" s="1"/>
  <c r="C167" i="2"/>
  <c r="M166" i="2"/>
  <c r="P166" i="2" s="1"/>
  <c r="C166" i="2"/>
  <c r="M165" i="2"/>
  <c r="P165" i="2" s="1"/>
  <c r="C165" i="2"/>
  <c r="C164" i="2"/>
  <c r="L163" i="2"/>
  <c r="C163" i="2"/>
  <c r="L162" i="2"/>
  <c r="C162" i="2"/>
  <c r="M161" i="2"/>
  <c r="P161" i="2" s="1"/>
  <c r="C161" i="2"/>
  <c r="M160" i="2"/>
  <c r="P160" i="2" s="1"/>
  <c r="C160" i="2"/>
  <c r="M159" i="2"/>
  <c r="P159" i="2" s="1"/>
  <c r="C159" i="2"/>
  <c r="M158" i="2"/>
  <c r="P158" i="2" s="1"/>
  <c r="C158" i="2"/>
  <c r="M157" i="2"/>
  <c r="P157" i="2" s="1"/>
  <c r="C157" i="2"/>
  <c r="M156" i="2"/>
  <c r="P156" i="2" s="1"/>
  <c r="C156" i="2"/>
  <c r="M155" i="2"/>
  <c r="P155" i="2" s="1"/>
  <c r="C155" i="2"/>
  <c r="M154" i="2"/>
  <c r="P154" i="2" s="1"/>
  <c r="C154" i="2"/>
  <c r="M153" i="2"/>
  <c r="P153" i="2" s="1"/>
  <c r="C153" i="2"/>
  <c r="M152" i="2"/>
  <c r="P152" i="2" s="1"/>
  <c r="C152" i="2"/>
  <c r="M151" i="2"/>
  <c r="P151" i="2" s="1"/>
  <c r="C151" i="2"/>
  <c r="C150" i="2"/>
  <c r="M149" i="2"/>
  <c r="P149" i="2" s="1"/>
  <c r="C149" i="2"/>
  <c r="L148" i="2"/>
  <c r="C148" i="2"/>
  <c r="L147" i="2"/>
  <c r="C147" i="2"/>
  <c r="L146" i="2"/>
  <c r="C146" i="2"/>
  <c r="L145" i="2"/>
  <c r="C145" i="2"/>
  <c r="L144" i="2"/>
  <c r="C144" i="2"/>
  <c r="L143" i="2"/>
  <c r="C143" i="2"/>
  <c r="L142" i="2"/>
  <c r="C142" i="2"/>
  <c r="M141" i="2"/>
  <c r="P141" i="2" s="1"/>
  <c r="C141" i="2"/>
  <c r="M140" i="2"/>
  <c r="P140" i="2" s="1"/>
  <c r="C140" i="2"/>
  <c r="L139" i="2"/>
  <c r="C139" i="2"/>
  <c r="L138" i="2"/>
  <c r="C138" i="2"/>
  <c r="M137" i="2"/>
  <c r="P137" i="2" s="1"/>
  <c r="C137" i="2"/>
  <c r="M136" i="2"/>
  <c r="P136" i="2" s="1"/>
  <c r="C136" i="2"/>
  <c r="M135" i="2"/>
  <c r="P135" i="2" s="1"/>
  <c r="C135" i="2"/>
  <c r="M134" i="2"/>
  <c r="P134" i="2" s="1"/>
  <c r="C134" i="2"/>
  <c r="M133" i="2"/>
  <c r="P133" i="2" s="1"/>
  <c r="C133" i="2"/>
  <c r="M132" i="2"/>
  <c r="P132" i="2" s="1"/>
  <c r="C132" i="2"/>
  <c r="M131" i="2"/>
  <c r="P131" i="2" s="1"/>
  <c r="C131" i="2"/>
  <c r="M130" i="2"/>
  <c r="P130" i="2" s="1"/>
  <c r="C130" i="2"/>
  <c r="M129" i="2"/>
  <c r="P129" i="2" s="1"/>
  <c r="C129" i="2"/>
  <c r="M128" i="2"/>
  <c r="P128" i="2" s="1"/>
  <c r="C128" i="2"/>
  <c r="M127" i="2"/>
  <c r="P127" i="2" s="1"/>
  <c r="C127" i="2"/>
  <c r="M126" i="2"/>
  <c r="P126" i="2" s="1"/>
  <c r="C126" i="2"/>
  <c r="M125" i="2"/>
  <c r="P125" i="2" s="1"/>
  <c r="C125" i="2"/>
  <c r="M124" i="2"/>
  <c r="P124" i="2" s="1"/>
  <c r="C124" i="2"/>
  <c r="M123" i="2"/>
  <c r="P123" i="2" s="1"/>
  <c r="C123" i="2"/>
  <c r="M122" i="2"/>
  <c r="P122" i="2" s="1"/>
  <c r="C122" i="2"/>
  <c r="M121" i="2"/>
  <c r="P121" i="2" s="1"/>
  <c r="C121" i="2"/>
  <c r="L120" i="2"/>
  <c r="C120" i="2"/>
  <c r="L119" i="2"/>
  <c r="C119" i="2"/>
  <c r="L118" i="2"/>
  <c r="C118" i="2"/>
  <c r="L117" i="2"/>
  <c r="C117" i="2"/>
  <c r="L116" i="2"/>
  <c r="C116" i="2"/>
  <c r="L115" i="2"/>
  <c r="C115" i="2"/>
  <c r="L114" i="2"/>
  <c r="C114" i="2"/>
  <c r="L113" i="2"/>
  <c r="C113" i="2"/>
  <c r="L112" i="2"/>
  <c r="C112" i="2"/>
  <c r="M111" i="2"/>
  <c r="P111" i="2" s="1"/>
  <c r="C111" i="2"/>
  <c r="M110" i="2"/>
  <c r="P110" i="2" s="1"/>
  <c r="C110" i="2"/>
  <c r="M109" i="2"/>
  <c r="P109" i="2" s="1"/>
  <c r="C109" i="2"/>
  <c r="L108" i="2"/>
  <c r="C108" i="2"/>
  <c r="L107" i="2"/>
  <c r="C107" i="2"/>
  <c r="M106" i="2"/>
  <c r="P106" i="2" s="1"/>
  <c r="C106" i="2"/>
  <c r="M105" i="2"/>
  <c r="P105" i="2" s="1"/>
  <c r="C105" i="2"/>
  <c r="M104" i="2"/>
  <c r="P104" i="2" s="1"/>
  <c r="C104" i="2"/>
  <c r="M103" i="2"/>
  <c r="P103" i="2" s="1"/>
  <c r="C103" i="2"/>
  <c r="M102" i="2"/>
  <c r="P102" i="2" s="1"/>
  <c r="C102" i="2"/>
  <c r="M101" i="2"/>
  <c r="P101" i="2" s="1"/>
  <c r="C101" i="2"/>
  <c r="M100" i="2"/>
  <c r="P100" i="2" s="1"/>
  <c r="C100" i="2"/>
  <c r="M99" i="2"/>
  <c r="P99" i="2" s="1"/>
  <c r="C99" i="2"/>
  <c r="M98" i="2"/>
  <c r="P98" i="2" s="1"/>
  <c r="C98" i="2"/>
  <c r="M97" i="2"/>
  <c r="P97" i="2" s="1"/>
  <c r="C97" i="2"/>
  <c r="C96" i="2"/>
  <c r="M95" i="2"/>
  <c r="P95" i="2" s="1"/>
  <c r="C95" i="2"/>
  <c r="L94" i="2"/>
  <c r="C94" i="2"/>
  <c r="M93" i="2"/>
  <c r="P93" i="2" s="1"/>
  <c r="C93" i="2"/>
  <c r="M92" i="2"/>
  <c r="P92" i="2" s="1"/>
  <c r="C92" i="2"/>
  <c r="M91" i="2"/>
  <c r="P91" i="2" s="1"/>
  <c r="C91" i="2"/>
  <c r="M90" i="2"/>
  <c r="P90" i="2" s="1"/>
  <c r="C90" i="2"/>
  <c r="M89" i="2"/>
  <c r="P89" i="2" s="1"/>
  <c r="C89" i="2"/>
  <c r="M88" i="2"/>
  <c r="P88" i="2" s="1"/>
  <c r="C88" i="2"/>
  <c r="M87" i="2"/>
  <c r="P87" i="2" s="1"/>
  <c r="C87" i="2"/>
  <c r="M86" i="2"/>
  <c r="P86" i="2" s="1"/>
  <c r="C86" i="2"/>
  <c r="L85" i="2"/>
  <c r="C85" i="2"/>
  <c r="M84" i="2"/>
  <c r="P84" i="2" s="1"/>
  <c r="C84" i="2"/>
  <c r="M83" i="2"/>
  <c r="P83" i="2" s="1"/>
  <c r="C83" i="2"/>
  <c r="M82" i="2"/>
  <c r="P82" i="2" s="1"/>
  <c r="C82" i="2"/>
  <c r="M81" i="2"/>
  <c r="P81" i="2" s="1"/>
  <c r="C81" i="2"/>
  <c r="M80" i="2"/>
  <c r="P80" i="2" s="1"/>
  <c r="C80" i="2"/>
  <c r="M79" i="2"/>
  <c r="P79" i="2" s="1"/>
  <c r="C79" i="2"/>
  <c r="M78" i="2"/>
  <c r="P78" i="2" s="1"/>
  <c r="C78" i="2"/>
  <c r="M77" i="2"/>
  <c r="P77" i="2" s="1"/>
  <c r="C77" i="2"/>
  <c r="L76" i="2"/>
  <c r="C76" i="2"/>
  <c r="M75" i="2"/>
  <c r="P75" i="2" s="1"/>
  <c r="C75" i="2"/>
  <c r="M74" i="2"/>
  <c r="P74" i="2" s="1"/>
  <c r="C74" i="2"/>
  <c r="M73" i="2"/>
  <c r="P73" i="2" s="1"/>
  <c r="C73" i="2"/>
  <c r="M72" i="2"/>
  <c r="P72" i="2" s="1"/>
  <c r="C72" i="2"/>
  <c r="M71" i="2"/>
  <c r="P71" i="2" s="1"/>
  <c r="C71" i="2"/>
  <c r="M70" i="2"/>
  <c r="P70" i="2" s="1"/>
  <c r="C70" i="2"/>
  <c r="M69" i="2"/>
  <c r="P69" i="2" s="1"/>
  <c r="C69" i="2"/>
  <c r="L68" i="2"/>
  <c r="C68" i="2"/>
  <c r="L67" i="2"/>
  <c r="C67" i="2"/>
  <c r="L66" i="2"/>
  <c r="C66" i="2"/>
  <c r="L65" i="2"/>
  <c r="C65" i="2"/>
  <c r="L64" i="2"/>
  <c r="C64" i="2"/>
  <c r="L63" i="2"/>
  <c r="C63" i="2"/>
  <c r="L62" i="2"/>
  <c r="C62" i="2"/>
  <c r="M61" i="2"/>
  <c r="P61" i="2" s="1"/>
  <c r="C61" i="2"/>
  <c r="M60" i="2"/>
  <c r="P60" i="2" s="1"/>
  <c r="C60" i="2"/>
  <c r="M59" i="2"/>
  <c r="P59" i="2" s="1"/>
  <c r="C59" i="2"/>
  <c r="M58" i="2"/>
  <c r="P58" i="2" s="1"/>
  <c r="C58" i="2"/>
  <c r="M57" i="2"/>
  <c r="P57" i="2" s="1"/>
  <c r="C57" i="2"/>
  <c r="M56" i="2"/>
  <c r="P56" i="2" s="1"/>
  <c r="C56" i="2"/>
  <c r="M55" i="2"/>
  <c r="P55" i="2" s="1"/>
  <c r="C55" i="2"/>
  <c r="M54" i="2"/>
  <c r="P54" i="2" s="1"/>
  <c r="C54" i="2"/>
  <c r="M53" i="2"/>
  <c r="P53" i="2" s="1"/>
  <c r="C53" i="2"/>
  <c r="M52" i="2"/>
  <c r="P52" i="2" s="1"/>
  <c r="C52" i="2"/>
  <c r="M51" i="2"/>
  <c r="P51" i="2" s="1"/>
  <c r="C51" i="2"/>
  <c r="M50" i="2"/>
  <c r="P50" i="2" s="1"/>
  <c r="C50" i="2"/>
  <c r="L49" i="2"/>
  <c r="C49" i="2"/>
  <c r="M48" i="2"/>
  <c r="P48" i="2" s="1"/>
  <c r="C48" i="2"/>
  <c r="M47" i="2"/>
  <c r="P47" i="2" s="1"/>
  <c r="C47" i="2"/>
  <c r="M46" i="2"/>
  <c r="P46" i="2" s="1"/>
  <c r="C46" i="2"/>
  <c r="M45" i="2"/>
  <c r="P45" i="2" s="1"/>
  <c r="C45" i="2"/>
  <c r="M44" i="2"/>
  <c r="P44" i="2" s="1"/>
  <c r="C44" i="2"/>
  <c r="M43" i="2"/>
  <c r="P43" i="2" s="1"/>
  <c r="C43" i="2"/>
  <c r="M42" i="2"/>
  <c r="P42" i="2" s="1"/>
  <c r="C42" i="2"/>
  <c r="M41" i="2"/>
  <c r="P41" i="2" s="1"/>
  <c r="C41" i="2"/>
  <c r="M40" i="2"/>
  <c r="P40" i="2" s="1"/>
  <c r="C40" i="2"/>
  <c r="M39" i="2"/>
  <c r="P39" i="2" s="1"/>
  <c r="C39" i="2"/>
  <c r="L38" i="2"/>
  <c r="C38" i="2"/>
  <c r="M37" i="2"/>
  <c r="P37" i="2" s="1"/>
  <c r="C37" i="2"/>
  <c r="M36" i="2"/>
  <c r="P36" i="2" s="1"/>
  <c r="C36" i="2"/>
  <c r="M35" i="2"/>
  <c r="P35" i="2" s="1"/>
  <c r="C35" i="2"/>
  <c r="M34" i="2"/>
  <c r="P34" i="2" s="1"/>
  <c r="C34" i="2"/>
  <c r="M33" i="2"/>
  <c r="P33" i="2" s="1"/>
  <c r="C33" i="2"/>
  <c r="L32" i="2"/>
  <c r="C32" i="2"/>
  <c r="L31" i="2"/>
  <c r="C31" i="2"/>
  <c r="M30" i="2"/>
  <c r="P30" i="2" s="1"/>
  <c r="C30" i="2"/>
  <c r="M29" i="2"/>
  <c r="P29" i="2" s="1"/>
  <c r="C29" i="2"/>
  <c r="M28" i="2"/>
  <c r="P28" i="2" s="1"/>
  <c r="C28" i="2"/>
  <c r="M27" i="2"/>
  <c r="P27" i="2" s="1"/>
  <c r="C27" i="2"/>
  <c r="M26" i="2"/>
  <c r="P26" i="2" s="1"/>
  <c r="C26" i="2"/>
  <c r="M25" i="2"/>
  <c r="P25" i="2" s="1"/>
  <c r="C25" i="2"/>
  <c r="M24" i="2"/>
  <c r="P24" i="2" s="1"/>
  <c r="C24" i="2"/>
  <c r="M23" i="2"/>
  <c r="P23" i="2" s="1"/>
  <c r="C23" i="2"/>
  <c r="M22" i="2"/>
  <c r="P22" i="2" s="1"/>
  <c r="C22" i="2"/>
  <c r="M21" i="2"/>
  <c r="P21" i="2" s="1"/>
  <c r="C21" i="2"/>
  <c r="M20" i="2"/>
  <c r="P20" i="2" s="1"/>
  <c r="C20" i="2"/>
  <c r="M19" i="2"/>
  <c r="P19" i="2" s="1"/>
  <c r="C19" i="2"/>
  <c r="M18" i="2"/>
  <c r="P18" i="2" s="1"/>
  <c r="C18" i="2"/>
  <c r="M17" i="2"/>
  <c r="P17" i="2" s="1"/>
  <c r="C17" i="2"/>
  <c r="M16" i="2"/>
  <c r="P16" i="2" s="1"/>
  <c r="C16" i="2"/>
  <c r="L15" i="2"/>
  <c r="C15" i="2"/>
  <c r="L14" i="2"/>
  <c r="C14" i="2"/>
  <c r="M13" i="2"/>
  <c r="P13" i="2" s="1"/>
  <c r="C13" i="2"/>
  <c r="M12" i="2"/>
  <c r="P12" i="2" s="1"/>
  <c r="C12" i="2"/>
  <c r="M11" i="2"/>
  <c r="P11" i="2" s="1"/>
  <c r="C11" i="2"/>
  <c r="M10" i="2"/>
  <c r="P10" i="2" s="1"/>
  <c r="C10" i="2"/>
  <c r="M9" i="2"/>
  <c r="P9" i="2" s="1"/>
  <c r="C9" i="2"/>
  <c r="M8" i="2"/>
  <c r="P8" i="2" s="1"/>
  <c r="C8" i="2"/>
  <c r="M7" i="2"/>
  <c r="P7" i="2" s="1"/>
  <c r="C7" i="2"/>
  <c r="M6" i="2"/>
  <c r="P6" i="2" s="1"/>
  <c r="C6" i="2"/>
  <c r="M5" i="2"/>
  <c r="P5" i="2" s="1"/>
  <c r="C5" i="2"/>
  <c r="M4" i="2"/>
  <c r="P4" i="2" s="1"/>
  <c r="C4" i="2"/>
  <c r="L3" i="2"/>
  <c r="C3" i="2"/>
  <c r="M2" i="2"/>
  <c r="P2" i="2" s="1"/>
  <c r="C2" i="2"/>
  <c r="AB3173" i="1"/>
  <c r="AB3172" i="1"/>
  <c r="AB3171" i="1"/>
  <c r="AB3170" i="1"/>
  <c r="AB3169" i="1"/>
  <c r="AB3168" i="1"/>
  <c r="AB3167" i="1"/>
  <c r="AB3166" i="1"/>
  <c r="AB3165" i="1"/>
  <c r="AB3164" i="1"/>
  <c r="AB3163" i="1"/>
  <c r="AB3162" i="1"/>
  <c r="AB3161" i="1"/>
  <c r="AB3160" i="1"/>
  <c r="AB3159" i="1"/>
  <c r="F3159" i="1"/>
  <c r="AB3158" i="1"/>
  <c r="F3158" i="1"/>
  <c r="AB3157" i="1"/>
  <c r="AB3156" i="1"/>
  <c r="AB3155" i="1"/>
  <c r="AB3154" i="1"/>
  <c r="AB3153" i="1"/>
  <c r="AB3152" i="1"/>
  <c r="AB3151" i="1"/>
  <c r="AB3150" i="1"/>
  <c r="AB3149" i="1"/>
  <c r="AB3148" i="1"/>
  <c r="AB3147" i="1"/>
  <c r="AB3146" i="1"/>
  <c r="AB3145" i="1"/>
  <c r="AB3144" i="1"/>
  <c r="AB3143" i="1"/>
  <c r="AB3142" i="1"/>
  <c r="AB3141" i="1"/>
  <c r="AB3140" i="1"/>
  <c r="AB3139" i="1"/>
  <c r="AB3138" i="1"/>
  <c r="AB3137" i="1"/>
  <c r="AA3029" i="1"/>
  <c r="AB3029" i="1" s="1"/>
  <c r="I3029" i="1"/>
  <c r="AA3028" i="1"/>
  <c r="AB3028" i="1" s="1"/>
  <c r="I3028" i="1"/>
  <c r="H3028" i="1"/>
  <c r="AA3027" i="1"/>
  <c r="AB3027" i="1" s="1"/>
  <c r="I3027" i="1"/>
  <c r="AA3026" i="1"/>
  <c r="AB3026" i="1" s="1"/>
  <c r="H3026" i="1"/>
  <c r="I3026" i="1" s="1"/>
  <c r="AB3025" i="1"/>
  <c r="AA3025" i="1"/>
  <c r="I3025" i="1"/>
  <c r="AA3024" i="1"/>
  <c r="AB3024" i="1" s="1"/>
  <c r="I3024" i="1"/>
  <c r="AA3023" i="1"/>
  <c r="AB3023" i="1" s="1"/>
  <c r="H3023" i="1"/>
  <c r="I3023" i="1" s="1"/>
  <c r="AB3022" i="1"/>
  <c r="AA3022" i="1"/>
  <c r="I3022" i="1"/>
  <c r="AA3021" i="1"/>
  <c r="AB3021" i="1" s="1"/>
  <c r="I3021" i="1"/>
  <c r="H3021" i="1"/>
  <c r="AB3020" i="1"/>
  <c r="AA3020" i="1"/>
  <c r="I3020" i="1"/>
  <c r="AA3019" i="1"/>
  <c r="AB3019" i="1" s="1"/>
  <c r="I3019" i="1"/>
  <c r="AA3018" i="1"/>
  <c r="AB3018" i="1" s="1"/>
  <c r="T3018" i="1"/>
  <c r="I3018" i="1"/>
  <c r="AA3017" i="1"/>
  <c r="AB3017" i="1" s="1"/>
  <c r="I3017" i="1"/>
  <c r="AA3016" i="1"/>
  <c r="AB3016" i="1" s="1"/>
  <c r="I3016" i="1"/>
  <c r="AA3015" i="1"/>
  <c r="AB3015" i="1" s="1"/>
  <c r="I3015" i="1"/>
  <c r="AB3014" i="1"/>
  <c r="AA3014" i="1"/>
  <c r="I3014" i="1"/>
  <c r="AA3013" i="1"/>
  <c r="AB3013" i="1" s="1"/>
  <c r="I3013" i="1"/>
  <c r="AA3012" i="1"/>
  <c r="AB3012" i="1" s="1"/>
  <c r="T3012" i="1"/>
  <c r="I3012" i="1"/>
  <c r="AA3011" i="1"/>
  <c r="AB3011" i="1" s="1"/>
  <c r="I3011" i="1"/>
  <c r="AA3010" i="1"/>
  <c r="AB3010" i="1" s="1"/>
  <c r="I3010" i="1"/>
  <c r="AA3009" i="1"/>
  <c r="AB3009" i="1" s="1"/>
  <c r="H3009" i="1"/>
  <c r="I3009" i="1" s="1"/>
  <c r="AA3008" i="1"/>
  <c r="AB3008" i="1" s="1"/>
  <c r="I3008" i="1"/>
  <c r="AA3007" i="1"/>
  <c r="AB3007" i="1" s="1"/>
  <c r="I3007" i="1"/>
  <c r="AA3006" i="1"/>
  <c r="AB3006" i="1" s="1"/>
  <c r="H3006" i="1"/>
  <c r="I3006" i="1" s="1"/>
  <c r="AB3005" i="1"/>
  <c r="AA3005" i="1"/>
  <c r="I3005" i="1"/>
  <c r="AA3004" i="1"/>
  <c r="AB3004" i="1" s="1"/>
  <c r="T3004" i="1"/>
  <c r="I3004" i="1"/>
  <c r="AA3003" i="1"/>
  <c r="AB3003" i="1" s="1"/>
  <c r="I3003" i="1"/>
  <c r="AA3002" i="1"/>
  <c r="AB3002" i="1" s="1"/>
  <c r="I3002" i="1"/>
  <c r="AA3001" i="1"/>
  <c r="AB3001" i="1" s="1"/>
  <c r="H3001" i="1"/>
  <c r="I3001" i="1" s="1"/>
  <c r="AA3000" i="1"/>
  <c r="AB3000" i="1" s="1"/>
  <c r="I3000" i="1"/>
  <c r="AB2999" i="1"/>
  <c r="AA2999" i="1"/>
  <c r="I2999" i="1"/>
  <c r="AB2998" i="1"/>
  <c r="AA2998" i="1"/>
  <c r="I2998" i="1"/>
  <c r="AB2997" i="1"/>
  <c r="AA2997" i="1"/>
  <c r="I2997" i="1"/>
  <c r="H2997" i="1"/>
  <c r="AA2996" i="1"/>
  <c r="AB2996" i="1" s="1"/>
  <c r="I2996" i="1"/>
  <c r="AA2995" i="1"/>
  <c r="AB2995" i="1" s="1"/>
  <c r="I2995" i="1"/>
  <c r="AA2994" i="1"/>
  <c r="AB2994" i="1" s="1"/>
  <c r="T2994" i="1"/>
  <c r="I2994" i="1"/>
  <c r="AB2993" i="1"/>
  <c r="AA2993" i="1"/>
  <c r="I2993" i="1"/>
  <c r="AA2992" i="1"/>
  <c r="AB2992" i="1" s="1"/>
  <c r="T2992" i="1"/>
  <c r="I2992" i="1"/>
  <c r="AA2991" i="1"/>
  <c r="AB2991" i="1" s="1"/>
  <c r="H2991" i="1"/>
  <c r="I2991" i="1" s="1"/>
  <c r="AA2990" i="1"/>
  <c r="AB2990" i="1" s="1"/>
  <c r="I2990" i="1"/>
  <c r="AB2989" i="1"/>
  <c r="AA2989" i="1"/>
  <c r="I2989" i="1"/>
  <c r="AA2988" i="1"/>
  <c r="AB2988" i="1" s="1"/>
  <c r="I2988" i="1"/>
  <c r="AA2987" i="1"/>
  <c r="AB2987" i="1" s="1"/>
  <c r="I2987" i="1"/>
  <c r="AB2986" i="1"/>
  <c r="AA2986" i="1"/>
  <c r="I2986" i="1"/>
  <c r="AB2985" i="1"/>
  <c r="AA2985" i="1"/>
  <c r="I2985" i="1"/>
  <c r="AB2984" i="1"/>
  <c r="AA2984" i="1"/>
  <c r="I2984" i="1"/>
  <c r="AB2983" i="1"/>
  <c r="AA2983" i="1"/>
  <c r="I2983" i="1"/>
  <c r="AA2982" i="1"/>
  <c r="AB2982" i="1" s="1"/>
  <c r="I2982" i="1"/>
  <c r="AA2981" i="1"/>
  <c r="AB2981" i="1" s="1"/>
  <c r="I2981" i="1"/>
  <c r="AA2980" i="1"/>
  <c r="AB2980" i="1" s="1"/>
  <c r="I2980" i="1"/>
  <c r="AA2979" i="1"/>
  <c r="AB2979" i="1" s="1"/>
  <c r="I2979" i="1"/>
  <c r="H2979" i="1"/>
  <c r="AB2978" i="1"/>
  <c r="AA2978" i="1"/>
  <c r="I2978" i="1"/>
  <c r="AA2977" i="1"/>
  <c r="AB2977" i="1" s="1"/>
  <c r="H2977" i="1"/>
  <c r="I2977" i="1" s="1"/>
  <c r="AA2976" i="1"/>
  <c r="AB2976" i="1" s="1"/>
  <c r="I2976" i="1"/>
  <c r="AA2975" i="1"/>
  <c r="AB2975" i="1" s="1"/>
  <c r="I2975" i="1"/>
  <c r="AA2974" i="1"/>
  <c r="AB2974" i="1" s="1"/>
  <c r="I2974" i="1"/>
  <c r="AA2973" i="1"/>
  <c r="AB2973" i="1" s="1"/>
  <c r="I2973" i="1"/>
  <c r="AA2972" i="1"/>
  <c r="AB2972" i="1" s="1"/>
  <c r="I2972" i="1"/>
  <c r="AB2971" i="1"/>
  <c r="AA2971" i="1"/>
  <c r="I2971" i="1"/>
  <c r="AA2970" i="1"/>
  <c r="AB2970" i="1" s="1"/>
  <c r="I2970" i="1"/>
  <c r="AA2969" i="1"/>
  <c r="AB2969" i="1" s="1"/>
  <c r="I2969" i="1"/>
  <c r="AB2968" i="1"/>
  <c r="AA2968" i="1"/>
  <c r="I2968" i="1"/>
  <c r="AA2967" i="1"/>
  <c r="AB2967" i="1" s="1"/>
  <c r="T2967" i="1"/>
  <c r="I2967" i="1"/>
  <c r="AA2966" i="1"/>
  <c r="AB2966" i="1" s="1"/>
  <c r="I2966" i="1"/>
  <c r="H2966" i="1"/>
  <c r="AA2965" i="1"/>
  <c r="AB2965" i="1" s="1"/>
  <c r="I2965" i="1"/>
  <c r="AA2964" i="1"/>
  <c r="AB2964" i="1" s="1"/>
  <c r="I2964" i="1"/>
  <c r="AA2963" i="1"/>
  <c r="AB2963" i="1" s="1"/>
  <c r="H2963" i="1"/>
  <c r="I2963" i="1" s="1"/>
  <c r="AA2962" i="1"/>
  <c r="AB2962" i="1" s="1"/>
  <c r="I2962" i="1"/>
  <c r="AA2961" i="1"/>
  <c r="AB2961" i="1" s="1"/>
  <c r="T2961" i="1"/>
  <c r="I2961" i="1"/>
  <c r="AA2960" i="1"/>
  <c r="AB2960" i="1" s="1"/>
  <c r="H2960" i="1"/>
  <c r="I2960" i="1" s="1"/>
  <c r="AB2959" i="1"/>
  <c r="AA2959" i="1"/>
  <c r="I2959" i="1"/>
  <c r="AA2958" i="1"/>
  <c r="AB2958" i="1" s="1"/>
  <c r="I2958" i="1"/>
  <c r="H2958" i="1"/>
  <c r="AA2957" i="1"/>
  <c r="AB2957" i="1" s="1"/>
  <c r="I2957" i="1"/>
  <c r="AA2956" i="1"/>
  <c r="AB2956" i="1" s="1"/>
  <c r="I2956" i="1"/>
  <c r="AA2955" i="1"/>
  <c r="AB2955" i="1" s="1"/>
  <c r="I2955" i="1"/>
  <c r="AA2954" i="1"/>
  <c r="AB2954" i="1" s="1"/>
  <c r="H2954" i="1"/>
  <c r="I2954" i="1" s="1"/>
  <c r="AB2953" i="1"/>
  <c r="AA2953" i="1"/>
  <c r="I2953" i="1"/>
  <c r="AB2952" i="1"/>
  <c r="AA2952" i="1"/>
  <c r="I2952" i="1"/>
  <c r="AA2951" i="1"/>
  <c r="AB2951" i="1" s="1"/>
  <c r="H2951" i="1"/>
  <c r="I2951" i="1" s="1"/>
  <c r="AA2950" i="1"/>
  <c r="AB2950" i="1" s="1"/>
  <c r="I2950" i="1"/>
  <c r="AB2949" i="1"/>
  <c r="AA2949" i="1"/>
  <c r="I2949" i="1"/>
  <c r="AA2948" i="1"/>
  <c r="AB2948" i="1" s="1"/>
  <c r="I2948" i="1"/>
  <c r="AA2947" i="1"/>
  <c r="AB2947" i="1" s="1"/>
  <c r="I2947" i="1"/>
  <c r="H2947" i="1"/>
  <c r="AB2946" i="1"/>
  <c r="AA2946" i="1"/>
  <c r="I2946" i="1"/>
  <c r="AA2945" i="1"/>
  <c r="AB2945" i="1" s="1"/>
  <c r="H2945" i="1"/>
  <c r="I2945" i="1" s="1"/>
  <c r="AA2944" i="1"/>
  <c r="AB2944" i="1" s="1"/>
  <c r="I2944" i="1"/>
  <c r="AA2943" i="1"/>
  <c r="AB2943" i="1" s="1"/>
  <c r="H2943" i="1"/>
  <c r="I2943" i="1" s="1"/>
  <c r="AB2942" i="1"/>
  <c r="AA2942" i="1"/>
  <c r="I2942" i="1"/>
  <c r="AB2941" i="1"/>
  <c r="AA2941" i="1"/>
  <c r="I2941" i="1"/>
  <c r="H2941" i="1"/>
  <c r="AA2940" i="1"/>
  <c r="AB2940" i="1" s="1"/>
  <c r="T2940" i="1"/>
  <c r="I2940" i="1"/>
  <c r="AB2939" i="1"/>
  <c r="AA2939" i="1"/>
  <c r="I2939" i="1"/>
  <c r="H2939" i="1"/>
  <c r="AA2938" i="1"/>
  <c r="AB2938" i="1" s="1"/>
  <c r="I2938" i="1"/>
  <c r="AB2937" i="1"/>
  <c r="AA2937" i="1"/>
  <c r="H2937" i="1"/>
  <c r="I2937" i="1" s="1"/>
  <c r="AA2936" i="1"/>
  <c r="AB2936" i="1" s="1"/>
  <c r="I2936" i="1"/>
  <c r="AA2935" i="1"/>
  <c r="AB2935" i="1" s="1"/>
  <c r="I2935" i="1"/>
  <c r="H2935" i="1"/>
  <c r="AA2934" i="1"/>
  <c r="AB2934" i="1" s="1"/>
  <c r="I2934" i="1"/>
  <c r="AB2933" i="1"/>
  <c r="AA2933" i="1"/>
  <c r="H2933" i="1"/>
  <c r="I2933" i="1" s="1"/>
  <c r="AB2932" i="1"/>
  <c r="AA2932" i="1"/>
  <c r="I2932" i="1"/>
  <c r="AA2931" i="1"/>
  <c r="AB2931" i="1" s="1"/>
  <c r="I2931" i="1"/>
  <c r="AB2930" i="1"/>
  <c r="AA2930" i="1"/>
  <c r="I2930" i="1"/>
  <c r="H2930" i="1"/>
  <c r="AA2929" i="1"/>
  <c r="AB2929" i="1" s="1"/>
  <c r="I2929" i="1"/>
  <c r="AA2928" i="1"/>
  <c r="AB2928" i="1" s="1"/>
  <c r="I2928" i="1"/>
  <c r="AA2927" i="1"/>
  <c r="AB2927" i="1" s="1"/>
  <c r="H2927" i="1"/>
  <c r="I2927" i="1" s="1"/>
  <c r="AB2926" i="1"/>
  <c r="AA2926" i="1"/>
  <c r="I2926" i="1"/>
  <c r="AA2925" i="1"/>
  <c r="AB2925" i="1" s="1"/>
  <c r="I2925" i="1"/>
  <c r="AA2924" i="1"/>
  <c r="AB2924" i="1" s="1"/>
  <c r="I2924" i="1"/>
  <c r="AA2923" i="1"/>
  <c r="AB2923" i="1" s="1"/>
  <c r="I2923" i="1"/>
  <c r="AA2922" i="1"/>
  <c r="AB2922" i="1" s="1"/>
  <c r="I2922" i="1"/>
  <c r="H2922" i="1"/>
  <c r="AA2921" i="1"/>
  <c r="AB2921" i="1" s="1"/>
  <c r="I2921" i="1"/>
  <c r="AA2920" i="1"/>
  <c r="AB2920" i="1" s="1"/>
  <c r="T2920" i="1"/>
  <c r="I2920" i="1"/>
  <c r="AA2919" i="1"/>
  <c r="AB2919" i="1" s="1"/>
  <c r="I2919" i="1"/>
  <c r="AA2918" i="1"/>
  <c r="AB2918" i="1" s="1"/>
  <c r="H2918" i="1"/>
  <c r="I2918" i="1" s="1"/>
  <c r="AA2917" i="1"/>
  <c r="AB2917" i="1" s="1"/>
  <c r="I2917" i="1"/>
  <c r="AA2916" i="1"/>
  <c r="AB2916" i="1" s="1"/>
  <c r="I2916" i="1"/>
  <c r="AA2915" i="1"/>
  <c r="AB2915" i="1" s="1"/>
  <c r="I2915" i="1"/>
  <c r="H2915" i="1"/>
  <c r="AA2914" i="1"/>
  <c r="AB2914" i="1" s="1"/>
  <c r="I2914" i="1"/>
  <c r="AA2913" i="1"/>
  <c r="AB2913" i="1" s="1"/>
  <c r="H2913" i="1"/>
  <c r="I2913" i="1" s="1"/>
  <c r="AA2912" i="1"/>
  <c r="AB2912" i="1" s="1"/>
  <c r="I2912" i="1"/>
  <c r="AA2911" i="1"/>
  <c r="AB2911" i="1" s="1"/>
  <c r="I2911" i="1"/>
  <c r="AA2910" i="1"/>
  <c r="AB2910" i="1" s="1"/>
  <c r="I2910" i="1"/>
  <c r="AB2909" i="1"/>
  <c r="AA2909" i="1"/>
  <c r="I2909" i="1"/>
  <c r="AA2908" i="1"/>
  <c r="AB2908" i="1" s="1"/>
  <c r="H2908" i="1"/>
  <c r="I2908" i="1" s="1"/>
  <c r="AB2907" i="1"/>
  <c r="AA2907" i="1"/>
  <c r="I2907" i="1"/>
  <c r="AA2906" i="1"/>
  <c r="AB2906" i="1" s="1"/>
  <c r="T2906" i="1"/>
  <c r="I2906" i="1"/>
  <c r="AA2905" i="1"/>
  <c r="AB2905" i="1" s="1"/>
  <c r="T2905" i="1"/>
  <c r="I2905" i="1"/>
  <c r="AA2904" i="1"/>
  <c r="AB2904" i="1" s="1"/>
  <c r="H2904" i="1"/>
  <c r="I2904" i="1" s="1"/>
  <c r="AB2903" i="1"/>
  <c r="AA2903" i="1"/>
  <c r="I2903" i="1"/>
  <c r="AA2902" i="1"/>
  <c r="AB2902" i="1" s="1"/>
  <c r="H2902" i="1"/>
  <c r="I2902" i="1" s="1"/>
  <c r="AB2901" i="1"/>
  <c r="AA2901" i="1"/>
  <c r="I2901" i="1"/>
  <c r="AB2900" i="1"/>
  <c r="AA2900" i="1"/>
  <c r="I2900" i="1"/>
  <c r="H2900" i="1"/>
  <c r="AA2899" i="1"/>
  <c r="AB2899" i="1" s="1"/>
  <c r="I2899" i="1"/>
  <c r="AA2898" i="1"/>
  <c r="AB2898" i="1" s="1"/>
  <c r="H2898" i="1"/>
  <c r="I2898" i="1" s="1"/>
  <c r="AB2897" i="1"/>
  <c r="AA2897" i="1"/>
  <c r="I2897" i="1"/>
  <c r="AA2896" i="1"/>
  <c r="AB2896" i="1" s="1"/>
  <c r="I2896" i="1"/>
  <c r="AA2895" i="1"/>
  <c r="AB2895" i="1" s="1"/>
  <c r="I2895" i="1"/>
  <c r="AB2894" i="1"/>
  <c r="AA2894" i="1"/>
  <c r="I2894" i="1"/>
  <c r="AA2893" i="1"/>
  <c r="AB2893" i="1" s="1"/>
  <c r="I2893" i="1"/>
  <c r="AA2892" i="1"/>
  <c r="AB2892" i="1" s="1"/>
  <c r="I2892" i="1"/>
  <c r="AA2891" i="1"/>
  <c r="AB2891" i="1" s="1"/>
  <c r="I2891" i="1"/>
  <c r="H2891" i="1"/>
  <c r="AA2890" i="1"/>
  <c r="AB2890" i="1" s="1"/>
  <c r="I2890" i="1"/>
  <c r="AA2889" i="1"/>
  <c r="AB2889" i="1" s="1"/>
  <c r="H2889" i="1"/>
  <c r="I2889" i="1" s="1"/>
  <c r="AA2888" i="1"/>
  <c r="AB2888" i="1" s="1"/>
  <c r="I2888" i="1"/>
  <c r="AA2887" i="1"/>
  <c r="AB2887" i="1" s="1"/>
  <c r="I2887" i="1"/>
  <c r="H2887" i="1"/>
  <c r="AA2886" i="1"/>
  <c r="AB2886" i="1" s="1"/>
  <c r="I2886" i="1"/>
  <c r="AB2885" i="1"/>
  <c r="AA2885" i="1"/>
  <c r="H2885" i="1"/>
  <c r="I2885" i="1" s="1"/>
  <c r="AA2884" i="1"/>
  <c r="AB2884" i="1" s="1"/>
  <c r="I2884" i="1"/>
  <c r="AA2883" i="1"/>
  <c r="AB2883" i="1" s="1"/>
  <c r="I2883" i="1"/>
  <c r="H2883" i="1"/>
  <c r="AA2882" i="1"/>
  <c r="AB2882" i="1" s="1"/>
  <c r="I2882" i="1"/>
  <c r="AA2881" i="1"/>
  <c r="AB2881" i="1" s="1"/>
  <c r="T2881" i="1"/>
  <c r="I2881" i="1"/>
  <c r="AB2880" i="1"/>
  <c r="AA2880" i="1"/>
  <c r="I2880" i="1"/>
  <c r="AA2879" i="1"/>
  <c r="AB2879" i="1" s="1"/>
  <c r="H2879" i="1"/>
  <c r="I2879" i="1" s="1"/>
  <c r="AB2878" i="1"/>
  <c r="AA2878" i="1"/>
  <c r="I2878" i="1"/>
  <c r="AA2877" i="1"/>
  <c r="AB2877" i="1" s="1"/>
  <c r="I2877" i="1"/>
  <c r="H2877" i="1"/>
  <c r="AB2876" i="1"/>
  <c r="AA2876" i="1"/>
  <c r="I2876" i="1"/>
  <c r="AB2875" i="1"/>
  <c r="AA2875" i="1"/>
  <c r="I2875" i="1"/>
  <c r="H2875" i="1"/>
  <c r="AA2874" i="1"/>
  <c r="AB2874" i="1" s="1"/>
  <c r="I2874" i="1"/>
  <c r="AA2873" i="1"/>
  <c r="AB2873" i="1" s="1"/>
  <c r="I2873" i="1"/>
  <c r="H2873" i="1"/>
  <c r="AA2872" i="1"/>
  <c r="AB2872" i="1" s="1"/>
  <c r="I2872" i="1"/>
  <c r="AB2871" i="1"/>
  <c r="AA2871" i="1"/>
  <c r="I2871" i="1"/>
  <c r="H2871" i="1"/>
  <c r="AA2870" i="1"/>
  <c r="AB2870" i="1" s="1"/>
  <c r="I2870" i="1"/>
  <c r="AA2869" i="1"/>
  <c r="AB2869" i="1" s="1"/>
  <c r="I2869" i="1"/>
  <c r="H2869" i="1"/>
  <c r="AB2868" i="1"/>
  <c r="AA2868" i="1"/>
  <c r="I2868" i="1"/>
  <c r="AA2867" i="1"/>
  <c r="AB2867" i="1" s="1"/>
  <c r="I2867" i="1"/>
  <c r="AA2866" i="1"/>
  <c r="AB2866" i="1" s="1"/>
  <c r="I2866" i="1"/>
  <c r="AB2865" i="1"/>
  <c r="AA2865" i="1"/>
  <c r="I2865" i="1"/>
  <c r="AA2864" i="1"/>
  <c r="AB2864" i="1" s="1"/>
  <c r="H2864" i="1"/>
  <c r="I2864" i="1" s="1"/>
  <c r="AA2863" i="1"/>
  <c r="AB2863" i="1" s="1"/>
  <c r="I2863" i="1"/>
  <c r="AA2862" i="1"/>
  <c r="AB2862" i="1" s="1"/>
  <c r="I2862" i="1"/>
  <c r="AB2861" i="1"/>
  <c r="AA2861" i="1"/>
  <c r="I2861" i="1"/>
  <c r="AA2860" i="1"/>
  <c r="AB2860" i="1" s="1"/>
  <c r="I2860" i="1"/>
  <c r="AB2859" i="1"/>
  <c r="AA2859" i="1"/>
  <c r="I2859" i="1"/>
  <c r="H2859" i="1"/>
  <c r="AA2858" i="1"/>
  <c r="AB2858" i="1" s="1"/>
  <c r="I2858" i="1"/>
  <c r="AA2857" i="1"/>
  <c r="AB2857" i="1" s="1"/>
  <c r="I2857" i="1"/>
  <c r="AA2856" i="1"/>
  <c r="AB2856" i="1" s="1"/>
  <c r="I2856" i="1"/>
  <c r="H2856" i="1"/>
  <c r="AA2855" i="1"/>
  <c r="AB2855" i="1" s="1"/>
  <c r="I2855" i="1"/>
  <c r="AA2854" i="1"/>
  <c r="AB2854" i="1" s="1"/>
  <c r="I2854" i="1"/>
  <c r="H2854" i="1"/>
  <c r="AA2853" i="1"/>
  <c r="AB2853" i="1" s="1"/>
  <c r="I2853" i="1"/>
  <c r="AA2852" i="1"/>
  <c r="AB2852" i="1" s="1"/>
  <c r="H2852" i="1"/>
  <c r="I2852" i="1" s="1"/>
  <c r="AA2851" i="1"/>
  <c r="AB2851" i="1" s="1"/>
  <c r="I2851" i="1"/>
  <c r="AA2850" i="1"/>
  <c r="AB2850" i="1" s="1"/>
  <c r="I2850" i="1"/>
  <c r="AB2849" i="1"/>
  <c r="AA2849" i="1"/>
  <c r="I2849" i="1"/>
  <c r="AA2848" i="1"/>
  <c r="AB2848" i="1" s="1"/>
  <c r="I2848" i="1"/>
  <c r="AB2847" i="1"/>
  <c r="AA2847" i="1"/>
  <c r="I2847" i="1"/>
  <c r="H2847" i="1"/>
  <c r="AA2846" i="1"/>
  <c r="AB2846" i="1" s="1"/>
  <c r="I2846" i="1"/>
  <c r="AA2845" i="1"/>
  <c r="AB2845" i="1" s="1"/>
  <c r="I2845" i="1"/>
  <c r="H2845" i="1"/>
  <c r="AB2844" i="1"/>
  <c r="AA2844" i="1"/>
  <c r="I2844" i="1"/>
  <c r="AB2843" i="1"/>
  <c r="AA2843" i="1"/>
  <c r="I2843" i="1"/>
  <c r="H2843" i="1"/>
  <c r="AA2842" i="1"/>
  <c r="AB2842" i="1" s="1"/>
  <c r="I2842" i="1"/>
  <c r="AB2841" i="1"/>
  <c r="AA2841" i="1"/>
  <c r="I2841" i="1"/>
  <c r="AB2840" i="1"/>
  <c r="AA2840" i="1"/>
  <c r="I2840" i="1"/>
  <c r="AA2839" i="1"/>
  <c r="AB2839" i="1" s="1"/>
  <c r="I2839" i="1"/>
  <c r="AA2838" i="1"/>
  <c r="AB2838" i="1" s="1"/>
  <c r="I2838" i="1"/>
  <c r="AA2837" i="1"/>
  <c r="AB2837" i="1" s="1"/>
  <c r="I2837" i="1"/>
  <c r="AA2836" i="1"/>
  <c r="AB2836" i="1" s="1"/>
  <c r="I2836" i="1"/>
  <c r="H2836" i="1"/>
  <c r="AA2835" i="1"/>
  <c r="AB2835" i="1" s="1"/>
  <c r="I2835" i="1"/>
  <c r="AA2834" i="1"/>
  <c r="AB2834" i="1" s="1"/>
  <c r="I2834" i="1"/>
  <c r="AB2833" i="1"/>
  <c r="AA2833" i="1"/>
  <c r="I2833" i="1"/>
  <c r="AB2832" i="1"/>
  <c r="AA2832" i="1"/>
  <c r="I2832" i="1"/>
  <c r="H2832" i="1"/>
  <c r="AA2831" i="1"/>
  <c r="AB2831" i="1" s="1"/>
  <c r="I2831" i="1"/>
  <c r="AA2830" i="1"/>
  <c r="AB2830" i="1" s="1"/>
  <c r="H2830" i="1"/>
  <c r="I2830" i="1" s="1"/>
  <c r="AA2829" i="1"/>
  <c r="AB2829" i="1" s="1"/>
  <c r="I2829" i="1"/>
  <c r="AA2828" i="1"/>
  <c r="AB2828" i="1" s="1"/>
  <c r="I2828" i="1"/>
  <c r="AB2827" i="1"/>
  <c r="AA2827" i="1"/>
  <c r="I2827" i="1"/>
  <c r="AA2826" i="1"/>
  <c r="AB2826" i="1" s="1"/>
  <c r="H2826" i="1"/>
  <c r="I2826" i="1" s="1"/>
  <c r="AA2825" i="1"/>
  <c r="AB2825" i="1" s="1"/>
  <c r="I2825" i="1"/>
  <c r="AA2824" i="1"/>
  <c r="AB2824" i="1" s="1"/>
  <c r="I2824" i="1"/>
  <c r="H2824" i="1"/>
  <c r="AB2823" i="1"/>
  <c r="AA2823" i="1"/>
  <c r="I2823" i="1"/>
  <c r="AB2822" i="1"/>
  <c r="AA2822" i="1"/>
  <c r="I2822" i="1"/>
  <c r="H2822" i="1"/>
  <c r="AA2821" i="1"/>
  <c r="AB2821" i="1" s="1"/>
  <c r="I2821" i="1"/>
  <c r="AA2820" i="1"/>
  <c r="AB2820" i="1" s="1"/>
  <c r="I2820" i="1"/>
  <c r="AA2819" i="1"/>
  <c r="AB2819" i="1" s="1"/>
  <c r="I2819" i="1"/>
  <c r="AA2818" i="1"/>
  <c r="AB2818" i="1" s="1"/>
  <c r="I2818" i="1"/>
  <c r="H2818" i="1"/>
  <c r="AB2817" i="1"/>
  <c r="AA2817" i="1"/>
  <c r="I2817" i="1"/>
  <c r="AA2816" i="1"/>
  <c r="AB2816" i="1" s="1"/>
  <c r="I2816" i="1"/>
  <c r="AA2815" i="1"/>
  <c r="AB2815" i="1" s="1"/>
  <c r="I2815" i="1"/>
  <c r="AA2814" i="1"/>
  <c r="AB2814" i="1" s="1"/>
  <c r="H2814" i="1"/>
  <c r="I2814" i="1" s="1"/>
  <c r="AA2813" i="1"/>
  <c r="AB2813" i="1" s="1"/>
  <c r="I2813" i="1"/>
  <c r="AA2812" i="1"/>
  <c r="AB2812" i="1" s="1"/>
  <c r="I2812" i="1"/>
  <c r="H2812" i="1"/>
  <c r="AA2811" i="1"/>
  <c r="AB2811" i="1" s="1"/>
  <c r="I2811" i="1"/>
  <c r="AA2810" i="1"/>
  <c r="AB2810" i="1" s="1"/>
  <c r="I2810" i="1"/>
  <c r="G2810" i="1"/>
  <c r="AA2809" i="1"/>
  <c r="AB2809" i="1" s="1"/>
  <c r="I2809" i="1"/>
  <c r="H2809" i="1"/>
  <c r="AB2808" i="1"/>
  <c r="AA2808" i="1"/>
  <c r="I2808" i="1"/>
  <c r="AB2807" i="1"/>
  <c r="AA2807" i="1"/>
  <c r="H2807" i="1"/>
  <c r="I2807" i="1" s="1"/>
  <c r="AA2806" i="1"/>
  <c r="AB2806" i="1" s="1"/>
  <c r="I2806" i="1"/>
  <c r="AB2805" i="1"/>
  <c r="AA2805" i="1"/>
  <c r="H2805" i="1"/>
  <c r="I2805" i="1" s="1"/>
  <c r="AA2804" i="1"/>
  <c r="AB2804" i="1" s="1"/>
  <c r="I2804" i="1"/>
  <c r="AA2803" i="1"/>
  <c r="AB2803" i="1" s="1"/>
  <c r="I2803" i="1"/>
  <c r="H2803" i="1"/>
  <c r="AB2802" i="1"/>
  <c r="AA2802" i="1"/>
  <c r="I2802" i="1"/>
  <c r="G2802" i="1"/>
  <c r="AA2801" i="1"/>
  <c r="AB2801" i="1" s="1"/>
  <c r="I2801" i="1"/>
  <c r="H2801" i="1"/>
  <c r="AA2800" i="1"/>
  <c r="AB2800" i="1" s="1"/>
  <c r="I2800" i="1"/>
  <c r="AA2799" i="1"/>
  <c r="AB2799" i="1" s="1"/>
  <c r="H2799" i="1"/>
  <c r="I2799" i="1" s="1"/>
  <c r="AA2798" i="1"/>
  <c r="AB2798" i="1" s="1"/>
  <c r="I2798" i="1"/>
  <c r="AA2797" i="1"/>
  <c r="AB2797" i="1" s="1"/>
  <c r="H2797" i="1"/>
  <c r="I2797" i="1" s="1"/>
  <c r="AB2796" i="1"/>
  <c r="AA2796" i="1"/>
  <c r="I2796" i="1"/>
  <c r="AB2795" i="1"/>
  <c r="AA2795" i="1"/>
  <c r="I2795" i="1"/>
  <c r="H2795" i="1"/>
  <c r="AA2794" i="1"/>
  <c r="AB2794" i="1" s="1"/>
  <c r="I2794" i="1"/>
  <c r="AA2793" i="1"/>
  <c r="AB2793" i="1" s="1"/>
  <c r="H2793" i="1"/>
  <c r="I2793" i="1" s="1"/>
  <c r="AA2792" i="1"/>
  <c r="AB2792" i="1" s="1"/>
  <c r="I2792" i="1"/>
  <c r="AA2791" i="1"/>
  <c r="AB2791" i="1" s="1"/>
  <c r="I2791" i="1"/>
  <c r="H2791" i="1"/>
  <c r="AA2790" i="1"/>
  <c r="AB2790" i="1" s="1"/>
  <c r="I2790" i="1"/>
  <c r="AB2789" i="1"/>
  <c r="AA2789" i="1"/>
  <c r="H2789" i="1"/>
  <c r="I2789" i="1" s="1"/>
  <c r="AB2788" i="1"/>
  <c r="AA2788" i="1"/>
  <c r="I2788" i="1"/>
  <c r="AA2787" i="1"/>
  <c r="AB2787" i="1" s="1"/>
  <c r="H2787" i="1"/>
  <c r="I2787" i="1" s="1"/>
  <c r="AB2786" i="1"/>
  <c r="AA2786" i="1"/>
  <c r="I2786" i="1"/>
  <c r="AA2785" i="1"/>
  <c r="AB2785" i="1" s="1"/>
  <c r="I2785" i="1"/>
  <c r="H2785" i="1"/>
  <c r="AA2784" i="1"/>
  <c r="AB2784" i="1" s="1"/>
  <c r="I2784" i="1"/>
  <c r="AB2783" i="1"/>
  <c r="AA2783" i="1"/>
  <c r="I2783" i="1"/>
  <c r="H2783" i="1"/>
  <c r="AA2782" i="1"/>
  <c r="AB2782" i="1" s="1"/>
  <c r="I2782" i="1"/>
  <c r="AB2781" i="1"/>
  <c r="AA2781" i="1"/>
  <c r="I2781" i="1"/>
  <c r="H2781" i="1"/>
  <c r="AB2780" i="1"/>
  <c r="AA2780" i="1"/>
  <c r="I2780" i="1"/>
  <c r="AA2779" i="1"/>
  <c r="AB2779" i="1" s="1"/>
  <c r="I2779" i="1"/>
  <c r="H2779" i="1"/>
  <c r="AA2778" i="1"/>
  <c r="AB2778" i="1" s="1"/>
  <c r="I2778" i="1"/>
  <c r="AA2777" i="1"/>
  <c r="AB2777" i="1" s="1"/>
  <c r="I2777" i="1"/>
  <c r="H2777" i="1"/>
  <c r="AB2776" i="1"/>
  <c r="AA2776" i="1"/>
  <c r="I2776" i="1"/>
  <c r="AA2775" i="1"/>
  <c r="AB2775" i="1" s="1"/>
  <c r="I2775" i="1"/>
  <c r="AA2774" i="1"/>
  <c r="AB2774" i="1" s="1"/>
  <c r="I2774" i="1"/>
  <c r="H2774" i="1"/>
  <c r="AB2773" i="1"/>
  <c r="AA2773" i="1"/>
  <c r="I2773" i="1"/>
  <c r="AA2772" i="1"/>
  <c r="AB2772" i="1" s="1"/>
  <c r="H2772" i="1"/>
  <c r="I2772" i="1" s="1"/>
  <c r="AB2771" i="1"/>
  <c r="AA2771" i="1"/>
  <c r="I2771" i="1"/>
  <c r="AA2770" i="1"/>
  <c r="AB2770" i="1" s="1"/>
  <c r="H2770" i="1"/>
  <c r="I2770" i="1" s="1"/>
  <c r="AA2769" i="1"/>
  <c r="AB2769" i="1" s="1"/>
  <c r="I2769" i="1"/>
  <c r="AA2768" i="1"/>
  <c r="AB2768" i="1" s="1"/>
  <c r="H2768" i="1"/>
  <c r="I2768" i="1" s="1"/>
  <c r="AA2767" i="1"/>
  <c r="AB2767" i="1" s="1"/>
  <c r="I2767" i="1"/>
  <c r="AA2766" i="1"/>
  <c r="AB2766" i="1" s="1"/>
  <c r="T2766" i="1"/>
  <c r="I2766" i="1"/>
  <c r="AB2765" i="1"/>
  <c r="AA2765" i="1"/>
  <c r="T2765" i="1"/>
  <c r="I2765" i="1"/>
  <c r="AA2764" i="1"/>
  <c r="AB2764" i="1" s="1"/>
  <c r="I2764" i="1"/>
  <c r="H2764" i="1"/>
  <c r="AB2763" i="1"/>
  <c r="AA2763" i="1"/>
  <c r="I2763" i="1"/>
  <c r="AA2762" i="1"/>
  <c r="AB2762" i="1" s="1"/>
  <c r="H2762" i="1"/>
  <c r="I2762" i="1" s="1"/>
  <c r="AB2761" i="1"/>
  <c r="AA2761" i="1"/>
  <c r="I2761" i="1"/>
  <c r="AB2760" i="1"/>
  <c r="AA2760" i="1"/>
  <c r="I2760" i="1"/>
  <c r="H2760" i="1"/>
  <c r="AA2759" i="1"/>
  <c r="AB2759" i="1" s="1"/>
  <c r="I2759" i="1"/>
  <c r="AA2758" i="1"/>
  <c r="AB2758" i="1" s="1"/>
  <c r="I2758" i="1"/>
  <c r="H2758" i="1"/>
  <c r="AA2757" i="1"/>
  <c r="AB2757" i="1" s="1"/>
  <c r="I2757" i="1"/>
  <c r="AB2756" i="1"/>
  <c r="AA2756" i="1"/>
  <c r="H2756" i="1"/>
  <c r="I2756" i="1" s="1"/>
  <c r="AA2755" i="1"/>
  <c r="AB2755" i="1" s="1"/>
  <c r="I2755" i="1"/>
  <c r="AA2754" i="1"/>
  <c r="AB2754" i="1" s="1"/>
  <c r="H2754" i="1"/>
  <c r="I2754" i="1" s="1"/>
  <c r="AB2753" i="1"/>
  <c r="AA2753" i="1"/>
  <c r="I2753" i="1"/>
  <c r="AA2752" i="1"/>
  <c r="AB2752" i="1" s="1"/>
  <c r="I2752" i="1"/>
  <c r="H2752" i="1"/>
  <c r="AA2751" i="1"/>
  <c r="AB2751" i="1" s="1"/>
  <c r="I2751" i="1"/>
  <c r="AA2750" i="1"/>
  <c r="AB2750" i="1" s="1"/>
  <c r="I2750" i="1"/>
  <c r="AA2749" i="1"/>
  <c r="AB2749" i="1" s="1"/>
  <c r="H2749" i="1"/>
  <c r="I2749" i="1" s="1"/>
  <c r="AB2748" i="1"/>
  <c r="AA2748" i="1"/>
  <c r="I2748" i="1"/>
  <c r="AB2747" i="1"/>
  <c r="AA2747" i="1"/>
  <c r="I2747" i="1"/>
  <c r="H2747" i="1"/>
  <c r="AB2746" i="1"/>
  <c r="AA2746" i="1"/>
  <c r="I2746" i="1"/>
  <c r="AB2745" i="1"/>
  <c r="AA2745" i="1"/>
  <c r="H2745" i="1"/>
  <c r="I2745" i="1" s="1"/>
  <c r="AA2744" i="1"/>
  <c r="AB2744" i="1" s="1"/>
  <c r="I2744" i="1"/>
  <c r="AA2743" i="1"/>
  <c r="AB2743" i="1" s="1"/>
  <c r="I2743" i="1"/>
  <c r="H2743" i="1"/>
  <c r="AA2742" i="1"/>
  <c r="AB2742" i="1" s="1"/>
  <c r="I2742" i="1"/>
  <c r="AA2741" i="1"/>
  <c r="AB2741" i="1" s="1"/>
  <c r="H2741" i="1"/>
  <c r="I2741" i="1" s="1"/>
  <c r="AB2740" i="1"/>
  <c r="AA2740" i="1"/>
  <c r="I2740" i="1"/>
  <c r="AA2739" i="1"/>
  <c r="AB2739" i="1" s="1"/>
  <c r="H2739" i="1"/>
  <c r="I2739" i="1" s="1"/>
  <c r="AA2738" i="1"/>
  <c r="AB2738" i="1" s="1"/>
  <c r="I2738" i="1"/>
  <c r="AA2737" i="1"/>
  <c r="AB2737" i="1" s="1"/>
  <c r="I2737" i="1"/>
  <c r="H2737" i="1"/>
  <c r="AA2736" i="1"/>
  <c r="AB2736" i="1" s="1"/>
  <c r="I2736" i="1"/>
  <c r="AA2735" i="1"/>
  <c r="AB2735" i="1" s="1"/>
  <c r="I2735" i="1"/>
  <c r="AB2734" i="1"/>
  <c r="AA2734" i="1"/>
  <c r="T2734" i="1"/>
  <c r="I2734" i="1"/>
  <c r="AB2733" i="1"/>
  <c r="AA2733" i="1"/>
  <c r="H2733" i="1"/>
  <c r="I2733" i="1" s="1"/>
  <c r="AA2732" i="1"/>
  <c r="AB2732" i="1" s="1"/>
  <c r="I2732" i="1"/>
  <c r="AA2731" i="1"/>
  <c r="AB2731" i="1" s="1"/>
  <c r="I2731" i="1"/>
  <c r="AA2730" i="1"/>
  <c r="AB2730" i="1" s="1"/>
  <c r="I2730" i="1"/>
  <c r="H2730" i="1"/>
  <c r="AA2729" i="1"/>
  <c r="AB2729" i="1" s="1"/>
  <c r="I2729" i="1"/>
  <c r="AB2728" i="1"/>
  <c r="AA2728" i="1"/>
  <c r="I2728" i="1"/>
  <c r="H2728" i="1"/>
  <c r="AA2727" i="1"/>
  <c r="AB2727" i="1" s="1"/>
  <c r="I2727" i="1"/>
  <c r="AA2726" i="1"/>
  <c r="AB2726" i="1" s="1"/>
  <c r="I2726" i="1"/>
  <c r="H2726" i="1"/>
  <c r="AB2725" i="1"/>
  <c r="AA2725" i="1"/>
  <c r="I2725" i="1"/>
  <c r="AA2724" i="1"/>
  <c r="AB2724" i="1" s="1"/>
  <c r="H2724" i="1"/>
  <c r="I2724" i="1" s="1"/>
  <c r="AA2723" i="1"/>
  <c r="AB2723" i="1" s="1"/>
  <c r="I2723" i="1"/>
  <c r="AA2722" i="1"/>
  <c r="AB2722" i="1" s="1"/>
  <c r="I2722" i="1"/>
  <c r="AB2721" i="1"/>
  <c r="AA2721" i="1"/>
  <c r="I2721" i="1"/>
  <c r="AA2720" i="1"/>
  <c r="AB2720" i="1" s="1"/>
  <c r="I2720" i="1"/>
  <c r="AA2719" i="1"/>
  <c r="AB2719" i="1" s="1"/>
  <c r="I2719" i="1"/>
  <c r="H2719" i="1"/>
  <c r="AA2718" i="1"/>
  <c r="AB2718" i="1" s="1"/>
  <c r="T2718" i="1"/>
  <c r="I2718" i="1"/>
  <c r="AA2717" i="1"/>
  <c r="AB2717" i="1" s="1"/>
  <c r="I2717" i="1"/>
  <c r="AB2716" i="1"/>
  <c r="AA2716" i="1"/>
  <c r="I2716" i="1"/>
  <c r="AA2715" i="1"/>
  <c r="AB2715" i="1" s="1"/>
  <c r="I2715" i="1"/>
  <c r="AA2714" i="1"/>
  <c r="AB2714" i="1" s="1"/>
  <c r="I2714" i="1"/>
  <c r="AA2713" i="1"/>
  <c r="AB2713" i="1" s="1"/>
  <c r="I2713" i="1"/>
  <c r="AA2712" i="1"/>
  <c r="AB2712" i="1" s="1"/>
  <c r="H2712" i="1"/>
  <c r="I2712" i="1" s="1"/>
  <c r="AA2711" i="1"/>
  <c r="AB2711" i="1" s="1"/>
  <c r="I2711" i="1"/>
  <c r="AA2710" i="1"/>
  <c r="AB2710" i="1" s="1"/>
  <c r="H2710" i="1"/>
  <c r="I2710" i="1" s="1"/>
  <c r="AB2709" i="1"/>
  <c r="AA2709" i="1"/>
  <c r="I2709" i="1"/>
  <c r="AB2708" i="1"/>
  <c r="AA2708" i="1"/>
  <c r="I2708" i="1"/>
  <c r="AA2707" i="1"/>
  <c r="AB2707" i="1" s="1"/>
  <c r="I2707" i="1"/>
  <c r="H2707" i="1"/>
  <c r="AA2706" i="1"/>
  <c r="AB2706" i="1" s="1"/>
  <c r="I2706" i="1"/>
  <c r="AB2705" i="1"/>
  <c r="AA2705" i="1"/>
  <c r="H2705" i="1"/>
  <c r="I2705" i="1" s="1"/>
  <c r="AB2704" i="1"/>
  <c r="AA2704" i="1"/>
  <c r="I2704" i="1"/>
  <c r="AA2703" i="1"/>
  <c r="AB2703" i="1" s="1"/>
  <c r="I2703" i="1"/>
  <c r="H2703" i="1"/>
  <c r="AA2702" i="1"/>
  <c r="AB2702" i="1" s="1"/>
  <c r="I2702" i="1"/>
  <c r="AB2701" i="1"/>
  <c r="AA2701" i="1"/>
  <c r="H2701" i="1"/>
  <c r="I2701" i="1" s="1"/>
  <c r="AA2700" i="1"/>
  <c r="AB2700" i="1" s="1"/>
  <c r="I2700" i="1"/>
  <c r="AA2699" i="1"/>
  <c r="AB2699" i="1" s="1"/>
  <c r="H2699" i="1"/>
  <c r="I2699" i="1" s="1"/>
  <c r="AA2698" i="1"/>
  <c r="AB2698" i="1" s="1"/>
  <c r="I2698" i="1"/>
  <c r="AA2697" i="1"/>
  <c r="AB2697" i="1" s="1"/>
  <c r="I2697" i="1"/>
  <c r="H2697" i="1"/>
  <c r="AB2696" i="1"/>
  <c r="AA2696" i="1"/>
  <c r="I2696" i="1"/>
  <c r="AA2695" i="1"/>
  <c r="AB2695" i="1" s="1"/>
  <c r="I2695" i="1"/>
  <c r="AB2694" i="1"/>
  <c r="AA2694" i="1"/>
  <c r="T2694" i="1"/>
  <c r="I2694" i="1"/>
  <c r="AA2693" i="1"/>
  <c r="AB2693" i="1" s="1"/>
  <c r="T2693" i="1"/>
  <c r="I2693" i="1"/>
  <c r="AB2692" i="1"/>
  <c r="AA2692" i="1"/>
  <c r="I2692" i="1"/>
  <c r="H2692" i="1"/>
  <c r="AA2691" i="1"/>
  <c r="AB2691" i="1" s="1"/>
  <c r="I2691" i="1"/>
  <c r="AA2690" i="1"/>
  <c r="AB2690" i="1" s="1"/>
  <c r="I2690" i="1"/>
  <c r="AA2689" i="1"/>
  <c r="AB2689" i="1" s="1"/>
  <c r="I2689" i="1"/>
  <c r="H2689" i="1"/>
  <c r="AB2688" i="1"/>
  <c r="AA2688" i="1"/>
  <c r="I2688" i="1"/>
  <c r="AA2687" i="1"/>
  <c r="AB2687" i="1" s="1"/>
  <c r="I2687" i="1"/>
  <c r="AA2686" i="1"/>
  <c r="AB2686" i="1" s="1"/>
  <c r="H2686" i="1"/>
  <c r="I2686" i="1" s="1"/>
  <c r="AB2685" i="1"/>
  <c r="AA2685" i="1"/>
  <c r="I2685" i="1"/>
  <c r="AB2684" i="1"/>
  <c r="AA2684" i="1"/>
  <c r="I2684" i="1"/>
  <c r="H2684" i="1"/>
  <c r="AA2683" i="1"/>
  <c r="AB2683" i="1" s="1"/>
  <c r="I2683" i="1"/>
  <c r="AA2682" i="1"/>
  <c r="AB2682" i="1" s="1"/>
  <c r="H2682" i="1"/>
  <c r="I2682" i="1" s="1"/>
  <c r="AA2681" i="1"/>
  <c r="AB2681" i="1" s="1"/>
  <c r="I2681" i="1"/>
  <c r="AA2680" i="1"/>
  <c r="AB2680" i="1" s="1"/>
  <c r="I2680" i="1"/>
  <c r="AB2679" i="1"/>
  <c r="AA2679" i="1"/>
  <c r="I2679" i="1"/>
  <c r="H2679" i="1"/>
  <c r="AA2678" i="1"/>
  <c r="AB2678" i="1" s="1"/>
  <c r="I2678" i="1"/>
  <c r="AA2677" i="1"/>
  <c r="AB2677" i="1" s="1"/>
  <c r="H2677" i="1"/>
  <c r="I2677" i="1" s="1"/>
  <c r="AA2676" i="1"/>
  <c r="AB2676" i="1" s="1"/>
  <c r="I2676" i="1"/>
  <c r="AA2675" i="1"/>
  <c r="AB2675" i="1" s="1"/>
  <c r="I2675" i="1"/>
  <c r="H2675" i="1"/>
  <c r="AA2674" i="1"/>
  <c r="AB2674" i="1" s="1"/>
  <c r="I2674" i="1"/>
  <c r="AA2673" i="1"/>
  <c r="AB2673" i="1" s="1"/>
  <c r="H2673" i="1"/>
  <c r="I2673" i="1" s="1"/>
  <c r="AB2672" i="1"/>
  <c r="AA2672" i="1"/>
  <c r="I2672" i="1"/>
  <c r="AA2671" i="1"/>
  <c r="AB2671" i="1" s="1"/>
  <c r="I2671" i="1"/>
  <c r="H2671" i="1"/>
  <c r="AB2670" i="1"/>
  <c r="AA2670" i="1"/>
  <c r="I2670" i="1"/>
  <c r="AB2669" i="1"/>
  <c r="AA2669" i="1"/>
  <c r="I2669" i="1"/>
  <c r="AB2668" i="1"/>
  <c r="AA2668" i="1"/>
  <c r="I2668" i="1"/>
  <c r="AB2667" i="1"/>
  <c r="AA2667" i="1"/>
  <c r="I2667" i="1"/>
  <c r="H2667" i="1"/>
  <c r="AA2666" i="1"/>
  <c r="AB2666" i="1" s="1"/>
  <c r="I2666" i="1"/>
  <c r="AA2665" i="1"/>
  <c r="AB2665" i="1" s="1"/>
  <c r="I2665" i="1"/>
  <c r="H2665" i="1"/>
  <c r="AA2664" i="1"/>
  <c r="AB2664" i="1" s="1"/>
  <c r="I2664" i="1"/>
  <c r="AB2663" i="1"/>
  <c r="AA2663" i="1"/>
  <c r="I2663" i="1"/>
  <c r="AB2662" i="1"/>
  <c r="AA2662" i="1"/>
  <c r="I2662" i="1"/>
  <c r="H2662" i="1"/>
  <c r="AA2661" i="1"/>
  <c r="AB2661" i="1" s="1"/>
  <c r="I2661" i="1"/>
  <c r="AA2660" i="1"/>
  <c r="AB2660" i="1" s="1"/>
  <c r="H2660" i="1"/>
  <c r="I2660" i="1" s="1"/>
  <c r="AA2659" i="1"/>
  <c r="AB2659" i="1" s="1"/>
  <c r="I2659" i="1"/>
  <c r="AA2658" i="1"/>
  <c r="AB2658" i="1" s="1"/>
  <c r="I2658" i="1"/>
  <c r="AA2657" i="1"/>
  <c r="AB2657" i="1" s="1"/>
  <c r="H2657" i="1"/>
  <c r="I2657" i="1" s="1"/>
  <c r="AA2656" i="1"/>
  <c r="AB2656" i="1" s="1"/>
  <c r="I2656" i="1"/>
  <c r="AA2655" i="1"/>
  <c r="AB2655" i="1" s="1"/>
  <c r="I2655" i="1"/>
  <c r="H2655" i="1"/>
  <c r="AB2654" i="1"/>
  <c r="AA2654" i="1"/>
  <c r="I2654" i="1"/>
  <c r="AA2653" i="1"/>
  <c r="AB2653" i="1" s="1"/>
  <c r="I2653" i="1"/>
  <c r="H2653" i="1"/>
  <c r="AA2652" i="1"/>
  <c r="AB2652" i="1" s="1"/>
  <c r="I2652" i="1"/>
  <c r="AA2651" i="1"/>
  <c r="AB2651" i="1" s="1"/>
  <c r="T2651" i="1"/>
  <c r="I2651" i="1"/>
  <c r="AB2650" i="1"/>
  <c r="AA2650" i="1"/>
  <c r="I2650" i="1"/>
  <c r="AB2649" i="1"/>
  <c r="AA2649" i="1"/>
  <c r="I2649" i="1"/>
  <c r="AB2648" i="1"/>
  <c r="AA2648" i="1"/>
  <c r="I2648" i="1"/>
  <c r="H2648" i="1"/>
  <c r="AA2647" i="1"/>
  <c r="AB2647" i="1" s="1"/>
  <c r="I2647" i="1"/>
  <c r="AA2646" i="1"/>
  <c r="AB2646" i="1" s="1"/>
  <c r="T2646" i="1"/>
  <c r="I2646" i="1"/>
  <c r="AA2645" i="1"/>
  <c r="AB2645" i="1" s="1"/>
  <c r="H2645" i="1"/>
  <c r="I2645" i="1" s="1"/>
  <c r="AA2644" i="1"/>
  <c r="AB2644" i="1" s="1"/>
  <c r="I2644" i="1"/>
  <c r="AA2643" i="1"/>
  <c r="AB2643" i="1" s="1"/>
  <c r="I2643" i="1"/>
  <c r="H2643" i="1"/>
  <c r="AB2642" i="1"/>
  <c r="AA2642" i="1"/>
  <c r="I2642" i="1"/>
  <c r="AB2641" i="1"/>
  <c r="AA2641" i="1"/>
  <c r="T2641" i="1"/>
  <c r="I2641" i="1"/>
  <c r="AA2640" i="1"/>
  <c r="AB2640" i="1" s="1"/>
  <c r="T2640" i="1"/>
  <c r="I2640" i="1"/>
  <c r="H2640" i="1"/>
  <c r="AB2639" i="1"/>
  <c r="AA2639" i="1"/>
  <c r="T2639" i="1"/>
  <c r="I2639" i="1"/>
  <c r="AA2638" i="1"/>
  <c r="AB2638" i="1" s="1"/>
  <c r="I2638" i="1"/>
  <c r="AA2637" i="1"/>
  <c r="AB2637" i="1" s="1"/>
  <c r="I2637" i="1"/>
  <c r="AA2636" i="1"/>
  <c r="AB2636" i="1" s="1"/>
  <c r="I2636" i="1"/>
  <c r="AA2635" i="1"/>
  <c r="AB2635" i="1" s="1"/>
  <c r="I2635" i="1"/>
  <c r="AA2634" i="1"/>
  <c r="AB2634" i="1" s="1"/>
  <c r="I2634" i="1"/>
  <c r="AA2633" i="1"/>
  <c r="AB2633" i="1" s="1"/>
  <c r="I2633" i="1"/>
  <c r="AB2632" i="1"/>
  <c r="AA2632" i="1"/>
  <c r="I2632" i="1"/>
  <c r="H2632" i="1"/>
  <c r="AB2631" i="1"/>
  <c r="AA2631" i="1"/>
  <c r="I2631" i="1"/>
  <c r="AA2630" i="1"/>
  <c r="AB2630" i="1" s="1"/>
  <c r="I2630" i="1"/>
  <c r="H2630" i="1"/>
  <c r="AA2629" i="1"/>
  <c r="AB2629" i="1" s="1"/>
  <c r="I2629" i="1"/>
  <c r="AA2628" i="1"/>
  <c r="AB2628" i="1" s="1"/>
  <c r="H2628" i="1"/>
  <c r="I2628" i="1" s="1"/>
  <c r="AA2627" i="1"/>
  <c r="AB2627" i="1" s="1"/>
  <c r="I2627" i="1"/>
  <c r="AA2626" i="1"/>
  <c r="AB2626" i="1" s="1"/>
  <c r="I2626" i="1"/>
  <c r="H2626" i="1"/>
  <c r="AB2625" i="1"/>
  <c r="AA2625" i="1"/>
  <c r="I2625" i="1"/>
  <c r="AB2624" i="1"/>
  <c r="AA2624" i="1"/>
  <c r="I2624" i="1"/>
  <c r="AA2623" i="1"/>
  <c r="AB2623" i="1" s="1"/>
  <c r="I2623" i="1"/>
  <c r="AA2622" i="1"/>
  <c r="AB2622" i="1" s="1"/>
  <c r="I2622" i="1"/>
  <c r="H2622" i="1"/>
  <c r="AA2621" i="1"/>
  <c r="AB2621" i="1" s="1"/>
  <c r="I2621" i="1"/>
  <c r="AA2620" i="1"/>
  <c r="AB2620" i="1" s="1"/>
  <c r="H2620" i="1"/>
  <c r="I2620" i="1" s="1"/>
  <c r="AA2619" i="1"/>
  <c r="AB2619" i="1" s="1"/>
  <c r="I2619" i="1"/>
  <c r="AB2618" i="1"/>
  <c r="AA2618" i="1"/>
  <c r="I2618" i="1"/>
  <c r="H2618" i="1"/>
  <c r="AA2617" i="1"/>
  <c r="AB2617" i="1" s="1"/>
  <c r="I2617" i="1"/>
  <c r="AA2616" i="1"/>
  <c r="AB2616" i="1" s="1"/>
  <c r="H2616" i="1"/>
  <c r="I2616" i="1" s="1"/>
  <c r="AA2615" i="1"/>
  <c r="AB2615" i="1" s="1"/>
  <c r="I2615" i="1"/>
  <c r="AB2614" i="1"/>
  <c r="AA2614" i="1"/>
  <c r="H2614" i="1"/>
  <c r="I2614" i="1" s="1"/>
  <c r="AB2613" i="1"/>
  <c r="AA2613" i="1"/>
  <c r="I2613" i="1"/>
  <c r="AA2612" i="1"/>
  <c r="AB2612" i="1" s="1"/>
  <c r="I2612" i="1"/>
  <c r="H2612" i="1"/>
  <c r="AA2611" i="1"/>
  <c r="AB2611" i="1" s="1"/>
  <c r="I2611" i="1"/>
  <c r="AA2610" i="1"/>
  <c r="AB2610" i="1" s="1"/>
  <c r="T2610" i="1"/>
  <c r="I2610" i="1"/>
  <c r="AA2609" i="1"/>
  <c r="AB2609" i="1" s="1"/>
  <c r="I2609" i="1"/>
  <c r="H2609" i="1"/>
  <c r="AA2608" i="1"/>
  <c r="AB2608" i="1" s="1"/>
  <c r="I2608" i="1"/>
  <c r="AB2607" i="1"/>
  <c r="AA2607" i="1"/>
  <c r="I2607" i="1"/>
  <c r="AB2606" i="1"/>
  <c r="AA2606" i="1"/>
  <c r="T2606" i="1"/>
  <c r="I2606" i="1"/>
  <c r="AA2605" i="1"/>
  <c r="AB2605" i="1" s="1"/>
  <c r="H2605" i="1"/>
  <c r="I2605" i="1" s="1"/>
  <c r="AB2604" i="1"/>
  <c r="AA2604" i="1"/>
  <c r="I2604" i="1"/>
  <c r="AA2603" i="1"/>
  <c r="AB2603" i="1" s="1"/>
  <c r="I2603" i="1"/>
  <c r="H2603" i="1"/>
  <c r="AB2602" i="1"/>
  <c r="AA2602" i="1"/>
  <c r="I2602" i="1"/>
  <c r="AB2601" i="1"/>
  <c r="AA2601" i="1"/>
  <c r="I2601" i="1"/>
  <c r="H2601" i="1"/>
  <c r="AA2600" i="1"/>
  <c r="AB2600" i="1" s="1"/>
  <c r="I2600" i="1"/>
  <c r="AA2599" i="1"/>
  <c r="AB2599" i="1" s="1"/>
  <c r="I2599" i="1"/>
  <c r="AB2598" i="1"/>
  <c r="AA2598" i="1"/>
  <c r="I2598" i="1"/>
  <c r="AA2597" i="1"/>
  <c r="AB2597" i="1" s="1"/>
  <c r="I2597" i="1"/>
  <c r="AB2596" i="1"/>
  <c r="AA2596" i="1"/>
  <c r="I2596" i="1"/>
  <c r="AB2595" i="1"/>
  <c r="AA2595" i="1"/>
  <c r="I2595" i="1"/>
  <c r="AB2594" i="1"/>
  <c r="AA2594" i="1"/>
  <c r="I2594" i="1"/>
  <c r="AA2593" i="1"/>
  <c r="AB2593" i="1" s="1"/>
  <c r="I2593" i="1"/>
  <c r="AB2592" i="1"/>
  <c r="AA2592" i="1"/>
  <c r="I2592" i="1"/>
  <c r="H2592" i="1"/>
  <c r="AA2591" i="1"/>
  <c r="AB2591" i="1" s="1"/>
  <c r="I2591" i="1"/>
  <c r="AA2590" i="1"/>
  <c r="AB2590" i="1" s="1"/>
  <c r="H2590" i="1"/>
  <c r="I2590" i="1" s="1"/>
  <c r="AA2589" i="1"/>
  <c r="AB2589" i="1" s="1"/>
  <c r="I2589" i="1"/>
  <c r="AA2588" i="1"/>
  <c r="AB2588" i="1" s="1"/>
  <c r="I2588" i="1"/>
  <c r="H2588" i="1"/>
  <c r="AB2587" i="1"/>
  <c r="AA2587" i="1"/>
  <c r="I2587" i="1"/>
  <c r="AB2586" i="1"/>
  <c r="AA2586" i="1"/>
  <c r="I2586" i="1"/>
  <c r="AB2585" i="1"/>
  <c r="AA2585" i="1"/>
  <c r="I2585" i="1"/>
  <c r="H2585" i="1"/>
  <c r="AA2584" i="1"/>
  <c r="AB2584" i="1" s="1"/>
  <c r="I2584" i="1"/>
  <c r="AA2583" i="1"/>
  <c r="AB2583" i="1" s="1"/>
  <c r="I2583" i="1"/>
  <c r="AA2582" i="1"/>
  <c r="AB2582" i="1" s="1"/>
  <c r="I2582" i="1"/>
  <c r="AA2581" i="1"/>
  <c r="AB2581" i="1" s="1"/>
  <c r="T2581" i="1"/>
  <c r="I2581" i="1"/>
  <c r="AB2580" i="1"/>
  <c r="AA2580" i="1"/>
  <c r="I2580" i="1"/>
  <c r="AA2579" i="1"/>
  <c r="AB2579" i="1" s="1"/>
  <c r="I2579" i="1"/>
  <c r="AA2578" i="1"/>
  <c r="AB2578" i="1" s="1"/>
  <c r="I2578" i="1"/>
  <c r="AA2577" i="1"/>
  <c r="AB2577" i="1" s="1"/>
  <c r="H2577" i="1"/>
  <c r="I2577" i="1" s="1"/>
  <c r="AA2576" i="1"/>
  <c r="AB2576" i="1" s="1"/>
  <c r="I2576" i="1"/>
  <c r="AB2575" i="1"/>
  <c r="AA2575" i="1"/>
  <c r="H2575" i="1"/>
  <c r="I2575" i="1" s="1"/>
  <c r="AA2574" i="1"/>
  <c r="AB2574" i="1" s="1"/>
  <c r="I2574" i="1"/>
  <c r="AA2573" i="1"/>
  <c r="AB2573" i="1" s="1"/>
  <c r="I2573" i="1"/>
  <c r="AA2572" i="1"/>
  <c r="AB2572" i="1" s="1"/>
  <c r="I2572" i="1"/>
  <c r="AA2571" i="1"/>
  <c r="AB2571" i="1" s="1"/>
  <c r="I2571" i="1"/>
  <c r="H2571" i="1"/>
  <c r="AA2570" i="1"/>
  <c r="AB2570" i="1" s="1"/>
  <c r="I2570" i="1"/>
  <c r="AB2569" i="1"/>
  <c r="AA2569" i="1"/>
  <c r="I2569" i="1"/>
  <c r="AB2568" i="1"/>
  <c r="AA2568" i="1"/>
  <c r="I2568" i="1"/>
  <c r="AA2567" i="1"/>
  <c r="AB2567" i="1" s="1"/>
  <c r="I2567" i="1"/>
  <c r="AB2566" i="1"/>
  <c r="AA2566" i="1"/>
  <c r="H2566" i="1"/>
  <c r="I2566" i="1" s="1"/>
  <c r="AB2565" i="1"/>
  <c r="AA2565" i="1"/>
  <c r="I2565" i="1"/>
  <c r="AA2564" i="1"/>
  <c r="AB2564" i="1" s="1"/>
  <c r="H2564" i="1"/>
  <c r="I2564" i="1" s="1"/>
  <c r="AA2563" i="1"/>
  <c r="AB2563" i="1" s="1"/>
  <c r="I2563" i="1"/>
  <c r="AA2562" i="1"/>
  <c r="AB2562" i="1" s="1"/>
  <c r="I2562" i="1"/>
  <c r="H2562" i="1"/>
  <c r="AB2561" i="1"/>
  <c r="AA2561" i="1"/>
  <c r="I2561" i="1"/>
  <c r="AA2560" i="1"/>
  <c r="AB2560" i="1" s="1"/>
  <c r="I2560" i="1"/>
  <c r="AA2559" i="1"/>
  <c r="AB2559" i="1" s="1"/>
  <c r="I2559" i="1"/>
  <c r="AA2558" i="1"/>
  <c r="AB2558" i="1" s="1"/>
  <c r="H2558" i="1"/>
  <c r="I2558" i="1" s="1"/>
  <c r="AA2557" i="1"/>
  <c r="AB2557" i="1" s="1"/>
  <c r="I2557" i="1"/>
  <c r="AA2556" i="1"/>
  <c r="AB2556" i="1" s="1"/>
  <c r="I2556" i="1"/>
  <c r="H2556" i="1"/>
  <c r="AA2555" i="1"/>
  <c r="AB2555" i="1" s="1"/>
  <c r="I2555" i="1"/>
  <c r="AA2554" i="1"/>
  <c r="AB2554" i="1" s="1"/>
  <c r="I2554" i="1"/>
  <c r="AA2553" i="1"/>
  <c r="AB2553" i="1" s="1"/>
  <c r="I2553" i="1"/>
  <c r="H2553" i="1"/>
  <c r="AB2552" i="1"/>
  <c r="AA2552" i="1"/>
  <c r="I2552" i="1"/>
  <c r="AA2551" i="1"/>
  <c r="AB2551" i="1" s="1"/>
  <c r="H2551" i="1"/>
  <c r="I2551" i="1" s="1"/>
  <c r="AB2550" i="1"/>
  <c r="AA2550" i="1"/>
  <c r="I2550" i="1"/>
  <c r="AA2549" i="1"/>
  <c r="AB2549" i="1" s="1"/>
  <c r="I2549" i="1"/>
  <c r="AA2548" i="1"/>
  <c r="AB2548" i="1" s="1"/>
  <c r="I2548" i="1"/>
  <c r="AA2547" i="1"/>
  <c r="AB2547" i="1" s="1"/>
  <c r="I2547" i="1"/>
  <c r="AA2546" i="1"/>
  <c r="AB2546" i="1" s="1"/>
  <c r="I2546" i="1"/>
  <c r="AB2545" i="1"/>
  <c r="AA2545" i="1"/>
  <c r="I2545" i="1"/>
  <c r="AA2544" i="1"/>
  <c r="AB2544" i="1" s="1"/>
  <c r="I2544" i="1"/>
  <c r="AB2543" i="1"/>
  <c r="AA2543" i="1"/>
  <c r="I2543" i="1"/>
  <c r="AB2542" i="1"/>
  <c r="AA2542" i="1"/>
  <c r="I2542" i="1"/>
  <c r="AB2541" i="1"/>
  <c r="AA2541" i="1"/>
  <c r="I2541" i="1"/>
  <c r="AA2540" i="1"/>
  <c r="AB2540" i="1" s="1"/>
  <c r="I2540" i="1"/>
  <c r="AB2539" i="1"/>
  <c r="AA2539" i="1"/>
  <c r="I2539" i="1"/>
  <c r="AB2538" i="1"/>
  <c r="AA2538" i="1"/>
  <c r="I2538" i="1"/>
  <c r="AA2537" i="1"/>
  <c r="AB2537" i="1" s="1"/>
  <c r="I2537" i="1"/>
  <c r="AB2536" i="1"/>
  <c r="AA2536" i="1"/>
  <c r="I2536" i="1"/>
  <c r="AB2535" i="1"/>
  <c r="AA2535" i="1"/>
  <c r="H2535" i="1"/>
  <c r="I2535" i="1" s="1"/>
  <c r="AB2534" i="1"/>
  <c r="AA2534" i="1"/>
  <c r="I2534" i="1"/>
  <c r="AA2533" i="1"/>
  <c r="AB2533" i="1" s="1"/>
  <c r="I2533" i="1"/>
  <c r="AA2532" i="1"/>
  <c r="AB2532" i="1" s="1"/>
  <c r="H2532" i="1"/>
  <c r="I2532" i="1" s="1"/>
  <c r="AB2531" i="1"/>
  <c r="AA2531" i="1"/>
  <c r="I2531" i="1"/>
  <c r="AA2530" i="1"/>
  <c r="AB2530" i="1" s="1"/>
  <c r="I2530" i="1"/>
  <c r="AB2529" i="1"/>
  <c r="AA2529" i="1"/>
  <c r="I2529" i="1"/>
  <c r="AB2528" i="1"/>
  <c r="AA2528" i="1"/>
  <c r="I2528" i="1"/>
  <c r="AA2527" i="1"/>
  <c r="AB2527" i="1" s="1"/>
  <c r="I2527" i="1"/>
  <c r="AA2526" i="1"/>
  <c r="AB2526" i="1" s="1"/>
  <c r="I2526" i="1"/>
  <c r="AB2525" i="1"/>
  <c r="AA2525" i="1"/>
  <c r="I2525" i="1"/>
  <c r="AA2524" i="1"/>
  <c r="AB2524" i="1" s="1"/>
  <c r="T2524" i="1"/>
  <c r="I2524" i="1"/>
  <c r="AA2523" i="1"/>
  <c r="AB2523" i="1" s="1"/>
  <c r="H2523" i="1"/>
  <c r="I2523" i="1" s="1"/>
  <c r="AB2522" i="1"/>
  <c r="AA2522" i="1"/>
  <c r="I2522" i="1"/>
  <c r="AA2521" i="1"/>
  <c r="AB2521" i="1" s="1"/>
  <c r="I2521" i="1"/>
  <c r="AA2520" i="1"/>
  <c r="AB2520" i="1" s="1"/>
  <c r="I2520" i="1"/>
  <c r="AB2519" i="1"/>
  <c r="AA2519" i="1"/>
  <c r="I2519" i="1"/>
  <c r="AA2518" i="1"/>
  <c r="AB2518" i="1" s="1"/>
  <c r="I2518" i="1"/>
  <c r="AA2517" i="1"/>
  <c r="AB2517" i="1" s="1"/>
  <c r="I2517" i="1"/>
  <c r="H2517" i="1"/>
  <c r="AA2516" i="1"/>
  <c r="AB2516" i="1" s="1"/>
  <c r="I2516" i="1"/>
  <c r="AA2515" i="1"/>
  <c r="AB2515" i="1" s="1"/>
  <c r="I2515" i="1"/>
  <c r="H2515" i="1"/>
  <c r="AB2514" i="1"/>
  <c r="AA2514" i="1"/>
  <c r="I2514" i="1"/>
  <c r="AB2513" i="1"/>
  <c r="AA2513" i="1"/>
  <c r="I2513" i="1"/>
  <c r="AB2512" i="1"/>
  <c r="AA2512" i="1"/>
  <c r="I2512" i="1"/>
  <c r="AA2511" i="1"/>
  <c r="AB2511" i="1" s="1"/>
  <c r="T2511" i="1"/>
  <c r="I2511" i="1"/>
  <c r="AA2510" i="1"/>
  <c r="AB2510" i="1" s="1"/>
  <c r="H2510" i="1"/>
  <c r="I2510" i="1" s="1"/>
  <c r="AA2509" i="1"/>
  <c r="AB2509" i="1" s="1"/>
  <c r="I2509" i="1"/>
  <c r="AA2508" i="1"/>
  <c r="AB2508" i="1" s="1"/>
  <c r="I2508" i="1"/>
  <c r="AA2507" i="1"/>
  <c r="AB2507" i="1" s="1"/>
  <c r="I2507" i="1"/>
  <c r="AA2506" i="1"/>
  <c r="AB2506" i="1" s="1"/>
  <c r="H2506" i="1"/>
  <c r="I2506" i="1" s="1"/>
  <c r="AA2505" i="1"/>
  <c r="AB2505" i="1" s="1"/>
  <c r="I2505" i="1"/>
  <c r="AA2504" i="1"/>
  <c r="AB2504" i="1" s="1"/>
  <c r="I2504" i="1"/>
  <c r="AA2503" i="1"/>
  <c r="AB2503" i="1" s="1"/>
  <c r="I2503" i="1"/>
  <c r="AA2502" i="1"/>
  <c r="AB2502" i="1" s="1"/>
  <c r="I2502" i="1"/>
  <c r="AA2501" i="1"/>
  <c r="AB2501" i="1" s="1"/>
  <c r="I2501" i="1"/>
  <c r="AA2500" i="1"/>
  <c r="AB2500" i="1" s="1"/>
  <c r="I2500" i="1"/>
  <c r="H2500" i="1"/>
  <c r="AB2499" i="1"/>
  <c r="AA2499" i="1"/>
  <c r="I2499" i="1"/>
  <c r="AA2498" i="1"/>
  <c r="AB2498" i="1" s="1"/>
  <c r="H2498" i="1"/>
  <c r="I2498" i="1" s="1"/>
  <c r="AA2497" i="1"/>
  <c r="AB2497" i="1" s="1"/>
  <c r="I2497" i="1"/>
  <c r="AB2496" i="1"/>
  <c r="AA2496" i="1"/>
  <c r="I2496" i="1"/>
  <c r="AA2495" i="1"/>
  <c r="AB2495" i="1" s="1"/>
  <c r="I2495" i="1"/>
  <c r="AA2494" i="1"/>
  <c r="AB2494" i="1" s="1"/>
  <c r="I2494" i="1"/>
  <c r="AA2493" i="1"/>
  <c r="AB2493" i="1" s="1"/>
  <c r="I2493" i="1"/>
  <c r="AA2492" i="1"/>
  <c r="AB2492" i="1" s="1"/>
  <c r="I2492" i="1"/>
  <c r="AA2491" i="1"/>
  <c r="AB2491" i="1" s="1"/>
  <c r="I2491" i="1"/>
  <c r="AB2490" i="1"/>
  <c r="AA2490" i="1"/>
  <c r="I2490" i="1"/>
  <c r="AA2489" i="1"/>
  <c r="AB2489" i="1" s="1"/>
  <c r="I2489" i="1"/>
  <c r="AB2488" i="1"/>
  <c r="AA2488" i="1"/>
  <c r="I2488" i="1"/>
  <c r="AA2487" i="1"/>
  <c r="AB2487" i="1" s="1"/>
  <c r="I2487" i="1"/>
  <c r="AA2486" i="1"/>
  <c r="AB2486" i="1" s="1"/>
  <c r="I2486" i="1"/>
  <c r="AA2485" i="1"/>
  <c r="AB2485" i="1" s="1"/>
  <c r="T2485" i="1"/>
  <c r="I2485" i="1"/>
  <c r="AA2484" i="1"/>
  <c r="AB2484" i="1" s="1"/>
  <c r="H2484" i="1"/>
  <c r="I2484" i="1" s="1"/>
  <c r="AA2483" i="1"/>
  <c r="AB2483" i="1" s="1"/>
  <c r="I2483" i="1"/>
  <c r="AA2482" i="1"/>
  <c r="AB2482" i="1" s="1"/>
  <c r="I2482" i="1"/>
  <c r="H2482" i="1"/>
  <c r="AB2481" i="1"/>
  <c r="AA2481" i="1"/>
  <c r="I2481" i="1"/>
  <c r="AA2480" i="1"/>
  <c r="AB2480" i="1" s="1"/>
  <c r="T2480" i="1"/>
  <c r="I2480" i="1"/>
  <c r="AB2479" i="1"/>
  <c r="AA2479" i="1"/>
  <c r="I2479" i="1"/>
  <c r="AA2478" i="1"/>
  <c r="AB2478" i="1" s="1"/>
  <c r="I2478" i="1"/>
  <c r="AA2477" i="1"/>
  <c r="AB2477" i="1" s="1"/>
  <c r="I2477" i="1"/>
  <c r="AB2476" i="1"/>
  <c r="AA2476" i="1"/>
  <c r="I2476" i="1"/>
  <c r="AA2475" i="1"/>
  <c r="AB2475" i="1" s="1"/>
  <c r="I2475" i="1"/>
  <c r="AB2474" i="1"/>
  <c r="AA2474" i="1"/>
  <c r="I2474" i="1"/>
  <c r="AA2473" i="1"/>
  <c r="AB2473" i="1" s="1"/>
  <c r="I2473" i="1"/>
  <c r="AA2472" i="1"/>
  <c r="AB2472" i="1" s="1"/>
  <c r="I2472" i="1"/>
  <c r="AA2471" i="1"/>
  <c r="AB2471" i="1" s="1"/>
  <c r="I2471" i="1"/>
  <c r="AA2470" i="1"/>
  <c r="AB2470" i="1" s="1"/>
  <c r="I2470" i="1"/>
  <c r="AA2469" i="1"/>
  <c r="AB2469" i="1" s="1"/>
  <c r="H2469" i="1"/>
  <c r="I2469" i="1" s="1"/>
  <c r="AA2468" i="1"/>
  <c r="AB2468" i="1" s="1"/>
  <c r="I2468" i="1"/>
  <c r="AA2467" i="1"/>
  <c r="AB2467" i="1" s="1"/>
  <c r="I2467" i="1"/>
  <c r="AB2466" i="1"/>
  <c r="AA2466" i="1"/>
  <c r="I2466" i="1"/>
  <c r="AA2465" i="1"/>
  <c r="AB2465" i="1" s="1"/>
  <c r="T2465" i="1"/>
  <c r="I2465" i="1"/>
  <c r="AA2464" i="1"/>
  <c r="AB2464" i="1" s="1"/>
  <c r="I2464" i="1"/>
  <c r="H2464" i="1"/>
  <c r="AA2463" i="1"/>
  <c r="AB2463" i="1" s="1"/>
  <c r="I2463" i="1"/>
  <c r="AA2462" i="1"/>
  <c r="AB2462" i="1" s="1"/>
  <c r="H2462" i="1"/>
  <c r="I2462" i="1" s="1"/>
  <c r="AA2461" i="1"/>
  <c r="AB2461" i="1" s="1"/>
  <c r="I2461" i="1"/>
  <c r="AA2460" i="1"/>
  <c r="AB2460" i="1" s="1"/>
  <c r="H2460" i="1"/>
  <c r="I2460" i="1" s="1"/>
  <c r="AA2459" i="1"/>
  <c r="AB2459" i="1" s="1"/>
  <c r="I2459" i="1"/>
  <c r="AA2458" i="1"/>
  <c r="AB2458" i="1" s="1"/>
  <c r="I2458" i="1"/>
  <c r="AA2457" i="1"/>
  <c r="AB2457" i="1" s="1"/>
  <c r="I2457" i="1"/>
  <c r="AA2456" i="1"/>
  <c r="AB2456" i="1" s="1"/>
  <c r="I2456" i="1"/>
  <c r="AB2455" i="1"/>
  <c r="AA2455" i="1"/>
  <c r="I2455" i="1"/>
  <c r="AB2454" i="1"/>
  <c r="AA2454" i="1"/>
  <c r="I2454" i="1"/>
  <c r="AB2453" i="1"/>
  <c r="AA2453" i="1"/>
  <c r="I2453" i="1"/>
  <c r="AA2452" i="1"/>
  <c r="AB2452" i="1" s="1"/>
  <c r="I2452" i="1"/>
  <c r="H2452" i="1"/>
  <c r="AA2451" i="1"/>
  <c r="AB2451" i="1" s="1"/>
  <c r="I2451" i="1"/>
  <c r="AA2450" i="1"/>
  <c r="AB2450" i="1" s="1"/>
  <c r="I2450" i="1"/>
  <c r="AB2449" i="1"/>
  <c r="AA2449" i="1"/>
  <c r="T2449" i="1"/>
  <c r="I2449" i="1"/>
  <c r="AA2448" i="1"/>
  <c r="AB2448" i="1" s="1"/>
  <c r="I2448" i="1"/>
  <c r="AA2447" i="1"/>
  <c r="AB2447" i="1" s="1"/>
  <c r="I2447" i="1"/>
  <c r="H2447" i="1"/>
  <c r="AA2446" i="1"/>
  <c r="AB2446" i="1" s="1"/>
  <c r="I2446" i="1"/>
  <c r="AA2445" i="1"/>
  <c r="AB2445" i="1" s="1"/>
  <c r="I2445" i="1"/>
  <c r="AB2444" i="1"/>
  <c r="AA2444" i="1"/>
  <c r="H2444" i="1"/>
  <c r="I2444" i="1" s="1"/>
  <c r="AA2443" i="1"/>
  <c r="AB2443" i="1" s="1"/>
  <c r="J2443" i="1"/>
  <c r="I2443" i="1"/>
  <c r="AB2442" i="1"/>
  <c r="AA2442" i="1"/>
  <c r="I2442" i="1"/>
  <c r="AA2441" i="1"/>
  <c r="AB2441" i="1" s="1"/>
  <c r="I2441" i="1"/>
  <c r="AA2440" i="1"/>
  <c r="AB2440" i="1" s="1"/>
  <c r="I2440" i="1"/>
  <c r="AB2439" i="1"/>
  <c r="AA2439" i="1"/>
  <c r="I2439" i="1"/>
  <c r="AA2438" i="1"/>
  <c r="AB2438" i="1" s="1"/>
  <c r="I2438" i="1"/>
  <c r="AA2437" i="1"/>
  <c r="AB2437" i="1" s="1"/>
  <c r="I2437" i="1"/>
  <c r="AA2436" i="1"/>
  <c r="AB2436" i="1" s="1"/>
  <c r="I2436" i="1"/>
  <c r="AB2435" i="1"/>
  <c r="AA2435" i="1"/>
  <c r="I2435" i="1"/>
  <c r="AA2434" i="1"/>
  <c r="AB2434" i="1" s="1"/>
  <c r="I2434" i="1"/>
  <c r="AA2433" i="1"/>
  <c r="AB2433" i="1" s="1"/>
  <c r="I2433" i="1"/>
  <c r="AA2432" i="1"/>
  <c r="AB2432" i="1" s="1"/>
  <c r="I2432" i="1"/>
  <c r="AA2431" i="1"/>
  <c r="AB2431" i="1" s="1"/>
  <c r="H2431" i="1"/>
  <c r="I2431" i="1" s="1"/>
  <c r="AA2430" i="1"/>
  <c r="AB2430" i="1" s="1"/>
  <c r="I2430" i="1"/>
  <c r="AA2429" i="1"/>
  <c r="AB2429" i="1" s="1"/>
  <c r="I2429" i="1"/>
  <c r="AA2428" i="1"/>
  <c r="AB2428" i="1" s="1"/>
  <c r="I2428" i="1"/>
  <c r="AA2427" i="1"/>
  <c r="AB2427" i="1" s="1"/>
  <c r="H2427" i="1"/>
  <c r="I2427" i="1" s="1"/>
  <c r="AA2426" i="1"/>
  <c r="AB2426" i="1" s="1"/>
  <c r="I2426" i="1"/>
  <c r="AA2425" i="1"/>
  <c r="AB2425" i="1" s="1"/>
  <c r="I2425" i="1"/>
  <c r="H2425" i="1"/>
  <c r="AB2424" i="1"/>
  <c r="AA2424" i="1"/>
  <c r="I2424" i="1"/>
  <c r="AA2423" i="1"/>
  <c r="AB2423" i="1" s="1"/>
  <c r="H2423" i="1"/>
  <c r="I2423" i="1" s="1"/>
  <c r="AB2422" i="1"/>
  <c r="AA2422" i="1"/>
  <c r="I2422" i="1"/>
  <c r="AB2421" i="1"/>
  <c r="AA2421" i="1"/>
  <c r="I2421" i="1"/>
  <c r="H2421" i="1"/>
  <c r="AA2420" i="1"/>
  <c r="AB2420" i="1" s="1"/>
  <c r="I2420" i="1"/>
  <c r="AA2419" i="1"/>
  <c r="AB2419" i="1" s="1"/>
  <c r="I2419" i="1"/>
  <c r="AA2418" i="1"/>
  <c r="AB2418" i="1" s="1"/>
  <c r="I2418" i="1"/>
  <c r="AA2417" i="1"/>
  <c r="AB2417" i="1" s="1"/>
  <c r="T2417" i="1"/>
  <c r="I2417" i="1"/>
  <c r="AB2416" i="1"/>
  <c r="AA2416" i="1"/>
  <c r="I2416" i="1"/>
  <c r="AA2415" i="1"/>
  <c r="AB2415" i="1" s="1"/>
  <c r="I2415" i="1"/>
  <c r="H2415" i="1"/>
  <c r="AA2414" i="1"/>
  <c r="AB2414" i="1" s="1"/>
  <c r="I2414" i="1"/>
  <c r="AA2413" i="1"/>
  <c r="AB2413" i="1" s="1"/>
  <c r="I2413" i="1"/>
  <c r="AB2412" i="1"/>
  <c r="AA2412" i="1"/>
  <c r="I2412" i="1"/>
  <c r="AA2411" i="1"/>
  <c r="AB2411" i="1" s="1"/>
  <c r="I2411" i="1"/>
  <c r="AA2410" i="1"/>
  <c r="AB2410" i="1" s="1"/>
  <c r="I2410" i="1"/>
  <c r="AA2409" i="1"/>
  <c r="AB2409" i="1" s="1"/>
  <c r="I2409" i="1"/>
  <c r="H2409" i="1"/>
  <c r="AA2408" i="1"/>
  <c r="AB2408" i="1" s="1"/>
  <c r="I2408" i="1"/>
  <c r="AA2407" i="1"/>
  <c r="AB2407" i="1" s="1"/>
  <c r="I2407" i="1"/>
  <c r="H2407" i="1"/>
  <c r="AB2406" i="1"/>
  <c r="AA2406" i="1"/>
  <c r="I2406" i="1"/>
  <c r="AB2405" i="1"/>
  <c r="AA2405" i="1"/>
  <c r="I2405" i="1"/>
  <c r="H2405" i="1"/>
  <c r="AA2404" i="1"/>
  <c r="AB2404" i="1" s="1"/>
  <c r="I2404" i="1"/>
  <c r="AA2403" i="1"/>
  <c r="AB2403" i="1" s="1"/>
  <c r="I2403" i="1"/>
  <c r="H2403" i="1"/>
  <c r="AA2402" i="1"/>
  <c r="AB2402" i="1" s="1"/>
  <c r="I2402" i="1"/>
  <c r="AA2401" i="1"/>
  <c r="AB2401" i="1" s="1"/>
  <c r="H2401" i="1"/>
  <c r="I2401" i="1" s="1"/>
  <c r="AA2400" i="1"/>
  <c r="AB2400" i="1" s="1"/>
  <c r="I2400" i="1"/>
  <c r="AB2399" i="1"/>
  <c r="AA2399" i="1"/>
  <c r="I2399" i="1"/>
  <c r="AA2398" i="1"/>
  <c r="AB2398" i="1" s="1"/>
  <c r="T2398" i="1"/>
  <c r="I2398" i="1"/>
  <c r="AB2397" i="1"/>
  <c r="AA2397" i="1"/>
  <c r="I2397" i="1"/>
  <c r="AB2396" i="1"/>
  <c r="AA2396" i="1"/>
  <c r="I2396" i="1"/>
  <c r="AA2395" i="1"/>
  <c r="AB2395" i="1" s="1"/>
  <c r="H2395" i="1"/>
  <c r="I2395" i="1" s="1"/>
  <c r="AA2394" i="1"/>
  <c r="AB2394" i="1" s="1"/>
  <c r="I2394" i="1"/>
  <c r="AA2393" i="1"/>
  <c r="AB2393" i="1" s="1"/>
  <c r="I2393" i="1"/>
  <c r="H2393" i="1"/>
  <c r="AB2392" i="1"/>
  <c r="AA2392" i="1"/>
  <c r="I2392" i="1"/>
  <c r="AB2391" i="1"/>
  <c r="AA2391" i="1"/>
  <c r="T2391" i="1"/>
  <c r="I2391" i="1"/>
  <c r="AA2390" i="1"/>
  <c r="AB2390" i="1" s="1"/>
  <c r="I2390" i="1"/>
  <c r="AA2389" i="1"/>
  <c r="AB2389" i="1" s="1"/>
  <c r="I2389" i="1"/>
  <c r="AA2388" i="1"/>
  <c r="AB2388" i="1" s="1"/>
  <c r="I2388" i="1"/>
  <c r="AB2387" i="1"/>
  <c r="AA2387" i="1"/>
  <c r="I2387" i="1"/>
  <c r="AB2386" i="1"/>
  <c r="AA2386" i="1"/>
  <c r="I2386" i="1"/>
  <c r="AB2385" i="1"/>
  <c r="AA2385" i="1"/>
  <c r="I2385" i="1"/>
  <c r="H2385" i="1"/>
  <c r="AA2384" i="1"/>
  <c r="AB2384" i="1" s="1"/>
  <c r="I2384" i="1"/>
  <c r="AA2383" i="1"/>
  <c r="AB2383" i="1" s="1"/>
  <c r="I2383" i="1"/>
  <c r="AA2382" i="1"/>
  <c r="AB2382" i="1" s="1"/>
  <c r="H2382" i="1"/>
  <c r="I2382" i="1" s="1"/>
  <c r="AA2381" i="1"/>
  <c r="AB2381" i="1" s="1"/>
  <c r="I2381" i="1"/>
  <c r="AB2380" i="1"/>
  <c r="AA2380" i="1"/>
  <c r="H2380" i="1"/>
  <c r="I2380" i="1" s="1"/>
  <c r="AA2379" i="1"/>
  <c r="AB2379" i="1" s="1"/>
  <c r="I2379" i="1"/>
  <c r="AA2378" i="1"/>
  <c r="AB2378" i="1" s="1"/>
  <c r="I2378" i="1"/>
  <c r="AA2377" i="1"/>
  <c r="AB2377" i="1" s="1"/>
  <c r="T2377" i="1"/>
  <c r="I2377" i="1"/>
  <c r="AA2376" i="1"/>
  <c r="AB2376" i="1" s="1"/>
  <c r="I2376" i="1"/>
  <c r="AA2375" i="1"/>
  <c r="AB2375" i="1" s="1"/>
  <c r="I2375" i="1"/>
  <c r="AB2374" i="1"/>
  <c r="AA2374" i="1"/>
  <c r="I2374" i="1"/>
  <c r="AA2373" i="1"/>
  <c r="AB2373" i="1" s="1"/>
  <c r="I2373" i="1"/>
  <c r="AA2372" i="1"/>
  <c r="AB2372" i="1" s="1"/>
  <c r="I2372" i="1"/>
  <c r="AA2371" i="1"/>
  <c r="AB2371" i="1" s="1"/>
  <c r="I2371" i="1"/>
  <c r="AA2370" i="1"/>
  <c r="AB2370" i="1" s="1"/>
  <c r="H2370" i="1"/>
  <c r="I2370" i="1" s="1"/>
  <c r="AB2369" i="1"/>
  <c r="AA2369" i="1"/>
  <c r="I2369" i="1"/>
  <c r="AA2368" i="1"/>
  <c r="AB2368" i="1" s="1"/>
  <c r="I2368" i="1"/>
  <c r="H2368" i="1"/>
  <c r="AA2367" i="1"/>
  <c r="AB2367" i="1" s="1"/>
  <c r="I2367" i="1"/>
  <c r="AA2366" i="1"/>
  <c r="AB2366" i="1" s="1"/>
  <c r="I2366" i="1"/>
  <c r="H2366" i="1"/>
  <c r="AA2365" i="1"/>
  <c r="AB2365" i="1" s="1"/>
  <c r="I2365" i="1"/>
  <c r="AA2364" i="1"/>
  <c r="AB2364" i="1" s="1"/>
  <c r="I2364" i="1"/>
  <c r="H2364" i="1"/>
  <c r="AB2363" i="1"/>
  <c r="AA2363" i="1"/>
  <c r="I2363" i="1"/>
  <c r="AA2362" i="1"/>
  <c r="AB2362" i="1" s="1"/>
  <c r="H2362" i="1"/>
  <c r="I2362" i="1" s="1"/>
  <c r="AA2361" i="1"/>
  <c r="AB2361" i="1" s="1"/>
  <c r="I2361" i="1"/>
  <c r="AB2360" i="1"/>
  <c r="AA2360" i="1"/>
  <c r="I2360" i="1"/>
  <c r="AA2359" i="1"/>
  <c r="AB2359" i="1" s="1"/>
  <c r="I2359" i="1"/>
  <c r="AB2358" i="1"/>
  <c r="AA2358" i="1"/>
  <c r="I2358" i="1"/>
  <c r="AB2357" i="1"/>
  <c r="AA2357" i="1"/>
  <c r="T2357" i="1"/>
  <c r="I2357" i="1"/>
  <c r="AA2356" i="1"/>
  <c r="AB2356" i="1" s="1"/>
  <c r="H2356" i="1"/>
  <c r="I2356" i="1" s="1"/>
  <c r="AA2355" i="1"/>
  <c r="AB2355" i="1" s="1"/>
  <c r="I2355" i="1"/>
  <c r="AA2354" i="1"/>
  <c r="AB2354" i="1" s="1"/>
  <c r="I2354" i="1"/>
  <c r="AA2353" i="1"/>
  <c r="AB2353" i="1" s="1"/>
  <c r="I2353" i="1"/>
  <c r="AB2352" i="1"/>
  <c r="AA2352" i="1"/>
  <c r="T2352" i="1"/>
  <c r="I2352" i="1"/>
  <c r="AA2351" i="1"/>
  <c r="AB2351" i="1" s="1"/>
  <c r="I2351" i="1"/>
  <c r="H2351" i="1"/>
  <c r="AB2350" i="1"/>
  <c r="AA2350" i="1"/>
  <c r="I2350" i="1"/>
  <c r="AA2349" i="1"/>
  <c r="AB2349" i="1" s="1"/>
  <c r="I2349" i="1"/>
  <c r="AB2348" i="1"/>
  <c r="AA2348" i="1"/>
  <c r="H2348" i="1"/>
  <c r="I2348" i="1" s="1"/>
  <c r="AB2347" i="1"/>
  <c r="AA2347" i="1"/>
  <c r="I2347" i="1"/>
  <c r="AA2346" i="1"/>
  <c r="AB2346" i="1" s="1"/>
  <c r="I2346" i="1"/>
  <c r="AB2345" i="1"/>
  <c r="AA2345" i="1"/>
  <c r="I2345" i="1"/>
  <c r="AB2344" i="1"/>
  <c r="AA2344" i="1"/>
  <c r="I2344" i="1"/>
  <c r="AA2343" i="1"/>
  <c r="AB2343" i="1" s="1"/>
  <c r="I2343" i="1"/>
  <c r="AB2342" i="1"/>
  <c r="AA2342" i="1"/>
  <c r="I2342" i="1"/>
  <c r="AB2341" i="1"/>
  <c r="AA2341" i="1"/>
  <c r="H2341" i="1"/>
  <c r="I2341" i="1" s="1"/>
  <c r="AA2340" i="1"/>
  <c r="AB2340" i="1" s="1"/>
  <c r="I2340" i="1"/>
  <c r="AB2339" i="1"/>
  <c r="AA2339" i="1"/>
  <c r="I2339" i="1"/>
  <c r="AA2338" i="1"/>
  <c r="AB2338" i="1" s="1"/>
  <c r="I2338" i="1"/>
  <c r="AA2337" i="1"/>
  <c r="AB2337" i="1" s="1"/>
  <c r="I2337" i="1"/>
  <c r="H2337" i="1"/>
  <c r="AA2336" i="1"/>
  <c r="AB2336" i="1" s="1"/>
  <c r="I2336" i="1"/>
  <c r="AA2335" i="1"/>
  <c r="AB2335" i="1" s="1"/>
  <c r="I2335" i="1"/>
  <c r="AA2334" i="1"/>
  <c r="AB2334" i="1" s="1"/>
  <c r="I2334" i="1"/>
  <c r="AB2333" i="1"/>
  <c r="AA2333" i="1"/>
  <c r="I2333" i="1"/>
  <c r="AB2332" i="1"/>
  <c r="AA2332" i="1"/>
  <c r="I2332" i="1"/>
  <c r="H2332" i="1"/>
  <c r="AA2331" i="1"/>
  <c r="AB2331" i="1" s="1"/>
  <c r="I2331" i="1"/>
  <c r="AA2330" i="1"/>
  <c r="AB2330" i="1" s="1"/>
  <c r="I2330" i="1"/>
  <c r="AB2329" i="1"/>
  <c r="AA2329" i="1"/>
  <c r="H2329" i="1"/>
  <c r="I2329" i="1" s="1"/>
  <c r="AA2328" i="1"/>
  <c r="AB2328" i="1" s="1"/>
  <c r="I2328" i="1"/>
  <c r="AA2327" i="1"/>
  <c r="AB2327" i="1" s="1"/>
  <c r="I2327" i="1"/>
  <c r="AA2326" i="1"/>
  <c r="AB2326" i="1" s="1"/>
  <c r="I2326" i="1"/>
  <c r="AA2325" i="1"/>
  <c r="AB2325" i="1" s="1"/>
  <c r="I2325" i="1"/>
  <c r="AA2324" i="1"/>
  <c r="AB2324" i="1" s="1"/>
  <c r="H2324" i="1"/>
  <c r="I2324" i="1" s="1"/>
  <c r="AB2323" i="1"/>
  <c r="AA2323" i="1"/>
  <c r="I2323" i="1"/>
  <c r="AB2322" i="1"/>
  <c r="AA2322" i="1"/>
  <c r="I2322" i="1"/>
  <c r="H2322" i="1"/>
  <c r="AA2321" i="1"/>
  <c r="AB2321" i="1" s="1"/>
  <c r="I2321" i="1"/>
  <c r="AA2320" i="1"/>
  <c r="AB2320" i="1" s="1"/>
  <c r="I2320" i="1"/>
  <c r="AB2319" i="1"/>
  <c r="AA2319" i="1"/>
  <c r="I2319" i="1"/>
  <c r="AA2318" i="1"/>
  <c r="AB2318" i="1" s="1"/>
  <c r="I2318" i="1"/>
  <c r="AB2317" i="1"/>
  <c r="AA2317" i="1"/>
  <c r="I2317" i="1"/>
  <c r="AA2316" i="1"/>
  <c r="AB2316" i="1" s="1"/>
  <c r="I2316" i="1"/>
  <c r="AA2315" i="1"/>
  <c r="AB2315" i="1" s="1"/>
  <c r="I2315" i="1"/>
  <c r="AA2314" i="1"/>
  <c r="AB2314" i="1" s="1"/>
  <c r="I2314" i="1"/>
  <c r="AA2313" i="1"/>
  <c r="AB2313" i="1" s="1"/>
  <c r="I2313" i="1"/>
  <c r="AA2312" i="1"/>
  <c r="AB2312" i="1" s="1"/>
  <c r="I2312" i="1"/>
  <c r="H2312" i="1"/>
  <c r="AA2311" i="1"/>
  <c r="AB2311" i="1" s="1"/>
  <c r="I2311" i="1"/>
  <c r="AB2310" i="1"/>
  <c r="AA2310" i="1"/>
  <c r="I2310" i="1"/>
  <c r="AA2309" i="1"/>
  <c r="AB2309" i="1" s="1"/>
  <c r="I2309" i="1"/>
  <c r="AA2308" i="1"/>
  <c r="AB2308" i="1" s="1"/>
  <c r="H2308" i="1"/>
  <c r="I2308" i="1" s="1"/>
  <c r="AA2307" i="1"/>
  <c r="AB2307" i="1" s="1"/>
  <c r="I2307" i="1"/>
  <c r="AA2306" i="1"/>
  <c r="AB2306" i="1" s="1"/>
  <c r="I2306" i="1"/>
  <c r="AA2305" i="1"/>
  <c r="AB2305" i="1" s="1"/>
  <c r="I2305" i="1"/>
  <c r="AB2304" i="1"/>
  <c r="AA2304" i="1"/>
  <c r="I2304" i="1"/>
  <c r="AA2303" i="1"/>
  <c r="AB2303" i="1" s="1"/>
  <c r="I2303" i="1"/>
  <c r="H2303" i="1"/>
  <c r="AA2302" i="1"/>
  <c r="AB2302" i="1" s="1"/>
  <c r="I2302" i="1"/>
  <c r="AA2301" i="1"/>
  <c r="AB2301" i="1" s="1"/>
  <c r="H2301" i="1"/>
  <c r="I2301" i="1" s="1"/>
  <c r="AA2300" i="1"/>
  <c r="AB2300" i="1" s="1"/>
  <c r="I2300" i="1"/>
  <c r="AB2299" i="1"/>
  <c r="AA2299" i="1"/>
  <c r="I2299" i="1"/>
  <c r="AA2298" i="1"/>
  <c r="AB2298" i="1" s="1"/>
  <c r="I2298" i="1"/>
  <c r="AA2297" i="1"/>
  <c r="AB2297" i="1" s="1"/>
  <c r="T2297" i="1"/>
  <c r="I2297" i="1"/>
  <c r="AB2296" i="1"/>
  <c r="AA2296" i="1"/>
  <c r="I2296" i="1"/>
  <c r="H2296" i="1"/>
  <c r="AA2295" i="1"/>
  <c r="AB2295" i="1" s="1"/>
  <c r="I2295" i="1"/>
  <c r="AA2294" i="1"/>
  <c r="AB2294" i="1" s="1"/>
  <c r="J2294" i="1"/>
  <c r="G2294" i="1"/>
  <c r="I2294" i="1" s="1"/>
  <c r="AA2293" i="1"/>
  <c r="AB2293" i="1" s="1"/>
  <c r="I2293" i="1"/>
  <c r="H2293" i="1"/>
  <c r="AA2292" i="1"/>
  <c r="AB2292" i="1" s="1"/>
  <c r="I2292" i="1"/>
  <c r="AA2291" i="1"/>
  <c r="AB2291" i="1" s="1"/>
  <c r="I2291" i="1"/>
  <c r="AA2290" i="1"/>
  <c r="AB2290" i="1" s="1"/>
  <c r="T2290" i="1"/>
  <c r="I2290" i="1"/>
  <c r="AA2289" i="1"/>
  <c r="AB2289" i="1" s="1"/>
  <c r="T2289" i="1"/>
  <c r="I2289" i="1"/>
  <c r="AB2288" i="1"/>
  <c r="AA2288" i="1"/>
  <c r="H2288" i="1"/>
  <c r="I2288" i="1" s="1"/>
  <c r="AA2287" i="1"/>
  <c r="AB2287" i="1" s="1"/>
  <c r="I2287" i="1"/>
  <c r="AA2286" i="1"/>
  <c r="AB2286" i="1" s="1"/>
  <c r="I2286" i="1"/>
  <c r="AA2285" i="1"/>
  <c r="AB2285" i="1" s="1"/>
  <c r="I2285" i="1"/>
  <c r="AA2284" i="1"/>
  <c r="AB2284" i="1" s="1"/>
  <c r="I2284" i="1"/>
  <c r="H2284" i="1"/>
  <c r="AA2283" i="1"/>
  <c r="AB2283" i="1" s="1"/>
  <c r="I2283" i="1"/>
  <c r="AA2282" i="1"/>
  <c r="AB2282" i="1" s="1"/>
  <c r="H2282" i="1"/>
  <c r="I2282" i="1" s="1"/>
  <c r="AA2281" i="1"/>
  <c r="AB2281" i="1" s="1"/>
  <c r="I2281" i="1"/>
  <c r="AA2280" i="1"/>
  <c r="AB2280" i="1" s="1"/>
  <c r="H2280" i="1"/>
  <c r="I2280" i="1" s="1"/>
  <c r="AA2279" i="1"/>
  <c r="AB2279" i="1" s="1"/>
  <c r="I2279" i="1"/>
  <c r="AA2278" i="1"/>
  <c r="AB2278" i="1" s="1"/>
  <c r="I2278" i="1"/>
  <c r="H2278" i="1"/>
  <c r="AB2277" i="1"/>
  <c r="AA2277" i="1"/>
  <c r="I2277" i="1"/>
  <c r="AA2276" i="1"/>
  <c r="AB2276" i="1" s="1"/>
  <c r="I2276" i="1"/>
  <c r="AA2275" i="1"/>
  <c r="AB2275" i="1" s="1"/>
  <c r="I2275" i="1"/>
  <c r="AB2274" i="1"/>
  <c r="AA2274" i="1"/>
  <c r="T2274" i="1"/>
  <c r="I2274" i="1"/>
  <c r="AB2273" i="1"/>
  <c r="AA2273" i="1"/>
  <c r="I2273" i="1"/>
  <c r="AA2272" i="1"/>
  <c r="AB2272" i="1" s="1"/>
  <c r="I2272" i="1"/>
  <c r="AA2271" i="1"/>
  <c r="AB2271" i="1" s="1"/>
  <c r="I2271" i="1"/>
  <c r="AB2270" i="1"/>
  <c r="AA2270" i="1"/>
  <c r="I2270" i="1"/>
  <c r="AA2269" i="1"/>
  <c r="AB2269" i="1" s="1"/>
  <c r="I2269" i="1"/>
  <c r="AB2268" i="1"/>
  <c r="AA2268" i="1"/>
  <c r="T2268" i="1"/>
  <c r="I2268" i="1"/>
  <c r="AB2267" i="1"/>
  <c r="AA2267" i="1"/>
  <c r="I2267" i="1"/>
  <c r="AA2266" i="1"/>
  <c r="AB2266" i="1" s="1"/>
  <c r="I2266" i="1"/>
  <c r="AB2265" i="1"/>
  <c r="AA2265" i="1"/>
  <c r="I2265" i="1"/>
  <c r="AB2264" i="1"/>
  <c r="AA2264" i="1"/>
  <c r="I2264" i="1"/>
  <c r="AA2263" i="1"/>
  <c r="AB2263" i="1" s="1"/>
  <c r="I2263" i="1"/>
  <c r="AA2262" i="1"/>
  <c r="AB2262" i="1" s="1"/>
  <c r="I2262" i="1"/>
  <c r="AA2261" i="1"/>
  <c r="AB2261" i="1" s="1"/>
  <c r="I2261" i="1"/>
  <c r="AA2260" i="1"/>
  <c r="AB2260" i="1" s="1"/>
  <c r="I2260" i="1"/>
  <c r="H2260" i="1"/>
  <c r="AB2259" i="1"/>
  <c r="AA2259" i="1"/>
  <c r="I2259" i="1"/>
  <c r="AA2258" i="1"/>
  <c r="AB2258" i="1" s="1"/>
  <c r="I2258" i="1"/>
  <c r="AA2257" i="1"/>
  <c r="AB2257" i="1" s="1"/>
  <c r="I2257" i="1"/>
  <c r="H2257" i="1"/>
  <c r="AA2256" i="1"/>
  <c r="AB2256" i="1" s="1"/>
  <c r="I2256" i="1"/>
  <c r="AB2255" i="1"/>
  <c r="AA2255" i="1"/>
  <c r="I2255" i="1"/>
  <c r="H2255" i="1"/>
  <c r="AB2254" i="1"/>
  <c r="AA2254" i="1"/>
  <c r="I2254" i="1"/>
  <c r="AA2253" i="1"/>
  <c r="AB2253" i="1" s="1"/>
  <c r="I2253" i="1"/>
  <c r="AA2252" i="1"/>
  <c r="AB2252" i="1" s="1"/>
  <c r="I2252" i="1"/>
  <c r="H2252" i="1"/>
  <c r="AA2251" i="1"/>
  <c r="AB2251" i="1" s="1"/>
  <c r="I2251" i="1"/>
  <c r="AA2250" i="1"/>
  <c r="AB2250" i="1" s="1"/>
  <c r="I2250" i="1"/>
  <c r="AB2249" i="1"/>
  <c r="AA2249" i="1"/>
  <c r="T2249" i="1"/>
  <c r="I2249" i="1"/>
  <c r="AA2248" i="1"/>
  <c r="AB2248" i="1" s="1"/>
  <c r="T2248" i="1"/>
  <c r="I2248" i="1"/>
  <c r="AB2247" i="1"/>
  <c r="AA2247" i="1"/>
  <c r="I2247" i="1"/>
  <c r="AA2246" i="1"/>
  <c r="AB2246" i="1" s="1"/>
  <c r="I2246" i="1"/>
  <c r="AB2245" i="1"/>
  <c r="AA2245" i="1"/>
  <c r="I2245" i="1"/>
  <c r="H2245" i="1"/>
  <c r="AA2244" i="1"/>
  <c r="AB2244" i="1" s="1"/>
  <c r="I2244" i="1"/>
  <c r="AB2243" i="1"/>
  <c r="AA2243" i="1"/>
  <c r="H2243" i="1"/>
  <c r="I2243" i="1" s="1"/>
  <c r="AA2242" i="1"/>
  <c r="AB2242" i="1" s="1"/>
  <c r="I2242" i="1"/>
  <c r="AA2241" i="1"/>
  <c r="AB2241" i="1" s="1"/>
  <c r="I2241" i="1"/>
  <c r="AA2240" i="1"/>
  <c r="AB2240" i="1" s="1"/>
  <c r="T2240" i="1"/>
  <c r="I2240" i="1"/>
  <c r="AB2239" i="1"/>
  <c r="AA2239" i="1"/>
  <c r="I2239" i="1"/>
  <c r="AB2238" i="1"/>
  <c r="AA2238" i="1"/>
  <c r="T2238" i="1"/>
  <c r="I2238" i="1"/>
  <c r="AA2237" i="1"/>
  <c r="AB2237" i="1" s="1"/>
  <c r="I2237" i="1"/>
  <c r="H2237" i="1"/>
  <c r="AA2236" i="1"/>
  <c r="AB2236" i="1" s="1"/>
  <c r="I2236" i="1"/>
  <c r="AA2235" i="1"/>
  <c r="AB2235" i="1" s="1"/>
  <c r="H2235" i="1"/>
  <c r="I2235" i="1" s="1"/>
  <c r="AA2234" i="1"/>
  <c r="AB2234" i="1" s="1"/>
  <c r="I2234" i="1"/>
  <c r="AA2233" i="1"/>
  <c r="AB2233" i="1" s="1"/>
  <c r="I2233" i="1"/>
  <c r="AA2232" i="1"/>
  <c r="AB2232" i="1" s="1"/>
  <c r="H2232" i="1"/>
  <c r="I2232" i="1" s="1"/>
  <c r="AA2231" i="1"/>
  <c r="AB2231" i="1" s="1"/>
  <c r="I2231" i="1"/>
  <c r="AA2230" i="1"/>
  <c r="AB2230" i="1" s="1"/>
  <c r="I2230" i="1"/>
  <c r="AA2229" i="1"/>
  <c r="AB2229" i="1" s="1"/>
  <c r="I2229" i="1"/>
  <c r="AA2228" i="1"/>
  <c r="AB2228" i="1" s="1"/>
  <c r="I2228" i="1"/>
  <c r="AA2227" i="1"/>
  <c r="AB2227" i="1" s="1"/>
  <c r="I2227" i="1"/>
  <c r="H2227" i="1"/>
  <c r="AA2226" i="1"/>
  <c r="AB2226" i="1" s="1"/>
  <c r="I2226" i="1"/>
  <c r="AA2225" i="1"/>
  <c r="AB2225" i="1" s="1"/>
  <c r="I2225" i="1"/>
  <c r="AA2224" i="1"/>
  <c r="AB2224" i="1" s="1"/>
  <c r="T2224" i="1"/>
  <c r="I2224" i="1"/>
  <c r="AA2223" i="1"/>
  <c r="AB2223" i="1" s="1"/>
  <c r="I2223" i="1"/>
  <c r="AA2222" i="1"/>
  <c r="AB2222" i="1" s="1"/>
  <c r="I2222" i="1"/>
  <c r="AA2221" i="1"/>
  <c r="AB2221" i="1" s="1"/>
  <c r="I2221" i="1"/>
  <c r="AA2220" i="1"/>
  <c r="AB2220" i="1" s="1"/>
  <c r="I2220" i="1"/>
  <c r="AA2219" i="1"/>
  <c r="AB2219" i="1" s="1"/>
  <c r="I2219" i="1"/>
  <c r="AA2218" i="1"/>
  <c r="AB2218" i="1" s="1"/>
  <c r="I2218" i="1"/>
  <c r="AA2217" i="1"/>
  <c r="AB2217" i="1" s="1"/>
  <c r="H2217" i="1"/>
  <c r="I2217" i="1" s="1"/>
  <c r="AB2216" i="1"/>
  <c r="AA2216" i="1"/>
  <c r="I2216" i="1"/>
  <c r="AA2215" i="1"/>
  <c r="AB2215" i="1" s="1"/>
  <c r="I2215" i="1"/>
  <c r="AA2214" i="1"/>
  <c r="AB2214" i="1" s="1"/>
  <c r="I2214" i="1"/>
  <c r="AA2213" i="1"/>
  <c r="AB2213" i="1" s="1"/>
  <c r="I2213" i="1"/>
  <c r="AA2212" i="1"/>
  <c r="AB2212" i="1" s="1"/>
  <c r="I2212" i="1"/>
  <c r="AA2211" i="1"/>
  <c r="AB2211" i="1" s="1"/>
  <c r="I2211" i="1"/>
  <c r="AA2210" i="1"/>
  <c r="AB2210" i="1" s="1"/>
  <c r="I2210" i="1"/>
  <c r="AB2209" i="1"/>
  <c r="AA2209" i="1"/>
  <c r="I2209" i="1"/>
  <c r="AA2208" i="1"/>
  <c r="AB2208" i="1" s="1"/>
  <c r="I2208" i="1"/>
  <c r="AB2207" i="1"/>
  <c r="AA2207" i="1"/>
  <c r="I2207" i="1"/>
  <c r="AA2206" i="1"/>
  <c r="AB2206" i="1" s="1"/>
  <c r="I2206" i="1"/>
  <c r="AA2205" i="1"/>
  <c r="AB2205" i="1" s="1"/>
  <c r="I2205" i="1"/>
  <c r="H2205" i="1"/>
  <c r="AA2204" i="1"/>
  <c r="AB2204" i="1" s="1"/>
  <c r="I2204" i="1"/>
  <c r="AA2203" i="1"/>
  <c r="AB2203" i="1" s="1"/>
  <c r="H2203" i="1"/>
  <c r="I2203" i="1" s="1"/>
  <c r="AB2202" i="1"/>
  <c r="AA2202" i="1"/>
  <c r="I2202" i="1"/>
  <c r="AA2201" i="1"/>
  <c r="AB2201" i="1" s="1"/>
  <c r="T2201" i="1"/>
  <c r="I2201" i="1"/>
  <c r="AA2200" i="1"/>
  <c r="AB2200" i="1" s="1"/>
  <c r="H2200" i="1"/>
  <c r="I2200" i="1" s="1"/>
  <c r="AA2199" i="1"/>
  <c r="AB2199" i="1" s="1"/>
  <c r="I2199" i="1"/>
  <c r="AA2198" i="1"/>
  <c r="AB2198" i="1" s="1"/>
  <c r="I2198" i="1"/>
  <c r="AB2197" i="1"/>
  <c r="AA2197" i="1"/>
  <c r="I2197" i="1"/>
  <c r="H2197" i="1"/>
  <c r="AA2196" i="1"/>
  <c r="AB2196" i="1" s="1"/>
  <c r="I2196" i="1"/>
  <c r="AB2195" i="1"/>
  <c r="AA2195" i="1"/>
  <c r="T2195" i="1"/>
  <c r="I2195" i="1"/>
  <c r="AA2194" i="1"/>
  <c r="AB2194" i="1" s="1"/>
  <c r="H2194" i="1"/>
  <c r="I2194" i="1" s="1"/>
  <c r="AA2193" i="1"/>
  <c r="AB2193" i="1" s="1"/>
  <c r="I2193" i="1"/>
  <c r="AA2192" i="1"/>
  <c r="AB2192" i="1" s="1"/>
  <c r="I2192" i="1"/>
  <c r="AA2191" i="1"/>
  <c r="AB2191" i="1" s="1"/>
  <c r="I2191" i="1"/>
  <c r="AB2190" i="1"/>
  <c r="AA2190" i="1"/>
  <c r="I2190" i="1"/>
  <c r="AA2189" i="1"/>
  <c r="AB2189" i="1" s="1"/>
  <c r="I2189" i="1"/>
  <c r="AB2188" i="1"/>
  <c r="AA2188" i="1"/>
  <c r="I2188" i="1"/>
  <c r="H2188" i="1"/>
  <c r="AA2187" i="1"/>
  <c r="AB2187" i="1" s="1"/>
  <c r="I2187" i="1"/>
  <c r="AA2186" i="1"/>
  <c r="AB2186" i="1" s="1"/>
  <c r="I2186" i="1"/>
  <c r="AA2185" i="1"/>
  <c r="AB2185" i="1" s="1"/>
  <c r="I2185" i="1"/>
  <c r="AA2184" i="1"/>
  <c r="AB2184" i="1" s="1"/>
  <c r="T2184" i="1"/>
  <c r="I2184" i="1"/>
  <c r="AB2183" i="1"/>
  <c r="AA2183" i="1"/>
  <c r="I2183" i="1"/>
  <c r="H2183" i="1"/>
  <c r="AA2182" i="1"/>
  <c r="AB2182" i="1" s="1"/>
  <c r="I2182" i="1"/>
  <c r="AA2181" i="1"/>
  <c r="AB2181" i="1" s="1"/>
  <c r="I2181" i="1"/>
  <c r="AA2180" i="1"/>
  <c r="AB2180" i="1" s="1"/>
  <c r="I2180" i="1"/>
  <c r="H2180" i="1"/>
  <c r="AA2179" i="1"/>
  <c r="AB2179" i="1" s="1"/>
  <c r="I2179" i="1"/>
  <c r="AA2178" i="1"/>
  <c r="AB2178" i="1" s="1"/>
  <c r="T2178" i="1"/>
  <c r="I2178" i="1"/>
  <c r="AA2177" i="1"/>
  <c r="AB2177" i="1" s="1"/>
  <c r="I2177" i="1"/>
  <c r="H2177" i="1"/>
  <c r="AA2176" i="1"/>
  <c r="AB2176" i="1" s="1"/>
  <c r="I2176" i="1"/>
  <c r="AB2175" i="1"/>
  <c r="AA2175" i="1"/>
  <c r="I2175" i="1"/>
  <c r="AB2174" i="1"/>
  <c r="AA2174" i="1"/>
  <c r="H2174" i="1"/>
  <c r="I2174" i="1" s="1"/>
  <c r="AA2173" i="1"/>
  <c r="AB2173" i="1" s="1"/>
  <c r="I2173" i="1"/>
  <c r="AA2172" i="1"/>
  <c r="AB2172" i="1" s="1"/>
  <c r="I2172" i="1"/>
  <c r="AA2171" i="1"/>
  <c r="AB2171" i="1" s="1"/>
  <c r="I2171" i="1"/>
  <c r="AB2170" i="1"/>
  <c r="AA2170" i="1"/>
  <c r="I2170" i="1"/>
  <c r="AA2169" i="1"/>
  <c r="AB2169" i="1" s="1"/>
  <c r="T2169" i="1"/>
  <c r="I2169" i="1"/>
  <c r="AB2168" i="1"/>
  <c r="AA2168" i="1"/>
  <c r="T2168" i="1"/>
  <c r="I2168" i="1"/>
  <c r="AA2167" i="1"/>
  <c r="AB2167" i="1" s="1"/>
  <c r="I2167" i="1"/>
  <c r="AA2166" i="1"/>
  <c r="AB2166" i="1" s="1"/>
  <c r="I2166" i="1"/>
  <c r="AA2165" i="1"/>
  <c r="AB2165" i="1" s="1"/>
  <c r="H2165" i="1"/>
  <c r="I2165" i="1" s="1"/>
  <c r="AA2164" i="1"/>
  <c r="AB2164" i="1" s="1"/>
  <c r="I2164" i="1"/>
  <c r="AA2163" i="1"/>
  <c r="AB2163" i="1" s="1"/>
  <c r="I2163" i="1"/>
  <c r="AA2162" i="1"/>
  <c r="AB2162" i="1" s="1"/>
  <c r="I2162" i="1"/>
  <c r="AA2161" i="1"/>
  <c r="AB2161" i="1" s="1"/>
  <c r="I2161" i="1"/>
  <c r="H2161" i="1"/>
  <c r="AA2160" i="1"/>
  <c r="AB2160" i="1" s="1"/>
  <c r="I2160" i="1"/>
  <c r="AB2159" i="1"/>
  <c r="AA2159" i="1"/>
  <c r="I2159" i="1"/>
  <c r="AB2158" i="1"/>
  <c r="AA2158" i="1"/>
  <c r="I2158" i="1"/>
  <c r="AB2157" i="1"/>
  <c r="AA2157" i="1"/>
  <c r="I2157" i="1"/>
  <c r="AB2156" i="1"/>
  <c r="AA2156" i="1"/>
  <c r="I2156" i="1"/>
  <c r="H2156" i="1"/>
  <c r="AA2155" i="1"/>
  <c r="AB2155" i="1" s="1"/>
  <c r="I2155" i="1"/>
  <c r="AA2154" i="1"/>
  <c r="AB2154" i="1" s="1"/>
  <c r="I2154" i="1"/>
  <c r="AB2153" i="1"/>
  <c r="AA2153" i="1"/>
  <c r="I2153" i="1"/>
  <c r="AA2152" i="1"/>
  <c r="AB2152" i="1" s="1"/>
  <c r="H2152" i="1"/>
  <c r="I2152" i="1" s="1"/>
  <c r="AA2151" i="1"/>
  <c r="AB2151" i="1" s="1"/>
  <c r="I2151" i="1"/>
  <c r="AA2150" i="1"/>
  <c r="AB2150" i="1" s="1"/>
  <c r="I2150" i="1"/>
  <c r="H2150" i="1"/>
  <c r="AA2149" i="1"/>
  <c r="AB2149" i="1" s="1"/>
  <c r="I2149" i="1"/>
  <c r="AA2148" i="1"/>
  <c r="AB2148" i="1" s="1"/>
  <c r="I2148" i="1"/>
  <c r="AA2147" i="1"/>
  <c r="AB2147" i="1" s="1"/>
  <c r="T2147" i="1"/>
  <c r="I2147" i="1"/>
  <c r="AA2146" i="1"/>
  <c r="AB2146" i="1" s="1"/>
  <c r="I2146" i="1"/>
  <c r="AA2145" i="1"/>
  <c r="AB2145" i="1" s="1"/>
  <c r="I2145" i="1"/>
  <c r="AA2144" i="1"/>
  <c r="AB2144" i="1" s="1"/>
  <c r="I2144" i="1"/>
  <c r="AA2143" i="1"/>
  <c r="AB2143" i="1" s="1"/>
  <c r="I2143" i="1"/>
  <c r="AA2142" i="1"/>
  <c r="AB2142" i="1" s="1"/>
  <c r="I2142" i="1"/>
  <c r="AA2141" i="1"/>
  <c r="AB2141" i="1" s="1"/>
  <c r="I2141" i="1"/>
  <c r="AA2140" i="1"/>
  <c r="AB2140" i="1" s="1"/>
  <c r="I2140" i="1"/>
  <c r="H2140" i="1"/>
  <c r="AA2139" i="1"/>
  <c r="AB2139" i="1" s="1"/>
  <c r="I2139" i="1"/>
  <c r="AB2138" i="1"/>
  <c r="AA2138" i="1"/>
  <c r="H2138" i="1"/>
  <c r="I2138" i="1" s="1"/>
  <c r="AB2137" i="1"/>
  <c r="AA2137" i="1"/>
  <c r="I2137" i="1"/>
  <c r="AB2136" i="1"/>
  <c r="AA2136" i="1"/>
  <c r="T2136" i="1"/>
  <c r="I2136" i="1"/>
  <c r="AB2135" i="1"/>
  <c r="AA2135" i="1"/>
  <c r="I2135" i="1"/>
  <c r="AA2134" i="1"/>
  <c r="AB2134" i="1" s="1"/>
  <c r="I2134" i="1"/>
  <c r="AA2133" i="1"/>
  <c r="AB2133" i="1" s="1"/>
  <c r="I2133" i="1"/>
  <c r="AA2132" i="1"/>
  <c r="AB2132" i="1" s="1"/>
  <c r="I2132" i="1"/>
  <c r="AA2131" i="1"/>
  <c r="AB2131" i="1" s="1"/>
  <c r="H2131" i="1"/>
  <c r="I2131" i="1" s="1"/>
  <c r="AA2130" i="1"/>
  <c r="AB2130" i="1" s="1"/>
  <c r="I2130" i="1"/>
  <c r="AA2129" i="1"/>
  <c r="AB2129" i="1" s="1"/>
  <c r="I2129" i="1"/>
  <c r="H2129" i="1"/>
  <c r="AA2128" i="1"/>
  <c r="AB2128" i="1" s="1"/>
  <c r="I2128" i="1"/>
  <c r="AA2127" i="1"/>
  <c r="AB2127" i="1" s="1"/>
  <c r="I2127" i="1"/>
  <c r="AA2126" i="1"/>
  <c r="AB2126" i="1" s="1"/>
  <c r="I2126" i="1"/>
  <c r="AB2125" i="1"/>
  <c r="AA2125" i="1"/>
  <c r="I2125" i="1"/>
  <c r="AA2124" i="1"/>
  <c r="AB2124" i="1" s="1"/>
  <c r="I2124" i="1"/>
  <c r="H2124" i="1"/>
  <c r="AA2123" i="1"/>
  <c r="AB2123" i="1" s="1"/>
  <c r="I2123" i="1"/>
  <c r="AA2122" i="1"/>
  <c r="AB2122" i="1" s="1"/>
  <c r="I2122" i="1"/>
  <c r="AA2121" i="1"/>
  <c r="AB2121" i="1" s="1"/>
  <c r="I2121" i="1"/>
  <c r="AA2120" i="1"/>
  <c r="AB2120" i="1" s="1"/>
  <c r="I2120" i="1"/>
  <c r="AA2119" i="1"/>
  <c r="AB2119" i="1" s="1"/>
  <c r="I2119" i="1"/>
  <c r="AA2118" i="1"/>
  <c r="AB2118" i="1" s="1"/>
  <c r="H2118" i="1"/>
  <c r="I2118" i="1" s="1"/>
  <c r="AA2117" i="1"/>
  <c r="AB2117" i="1" s="1"/>
  <c r="I2117" i="1"/>
  <c r="AB2116" i="1"/>
  <c r="AA2116" i="1"/>
  <c r="T2116" i="1"/>
  <c r="I2116" i="1"/>
  <c r="AA2115" i="1"/>
  <c r="AB2115" i="1" s="1"/>
  <c r="I2115" i="1"/>
  <c r="AA2114" i="1"/>
  <c r="AB2114" i="1" s="1"/>
  <c r="I2114" i="1"/>
  <c r="AA2113" i="1"/>
  <c r="AB2113" i="1" s="1"/>
  <c r="I2113" i="1"/>
  <c r="AA2112" i="1"/>
  <c r="AB2112" i="1" s="1"/>
  <c r="T2112" i="1"/>
  <c r="I2112" i="1"/>
  <c r="AA2111" i="1"/>
  <c r="AB2111" i="1" s="1"/>
  <c r="I2111" i="1"/>
  <c r="AB2110" i="1"/>
  <c r="AA2110" i="1"/>
  <c r="I2110" i="1"/>
  <c r="AA2109" i="1"/>
  <c r="AB2109" i="1" s="1"/>
  <c r="I2109" i="1"/>
  <c r="AA2108" i="1"/>
  <c r="AB2108" i="1" s="1"/>
  <c r="H2108" i="1"/>
  <c r="I2108" i="1" s="1"/>
  <c r="AA2107" i="1"/>
  <c r="AB2107" i="1" s="1"/>
  <c r="I2107" i="1"/>
  <c r="AA2106" i="1"/>
  <c r="AB2106" i="1" s="1"/>
  <c r="I2106" i="1"/>
  <c r="AA2105" i="1"/>
  <c r="AB2105" i="1" s="1"/>
  <c r="I2105" i="1"/>
  <c r="AA2104" i="1"/>
  <c r="AB2104" i="1" s="1"/>
  <c r="I2104" i="1"/>
  <c r="AA2103" i="1"/>
  <c r="AB2103" i="1" s="1"/>
  <c r="I2103" i="1"/>
  <c r="AA2102" i="1"/>
  <c r="AB2102" i="1" s="1"/>
  <c r="I2102" i="1"/>
  <c r="AA2101" i="1"/>
  <c r="AB2101" i="1" s="1"/>
  <c r="I2101" i="1"/>
  <c r="AA2100" i="1"/>
  <c r="AB2100" i="1" s="1"/>
  <c r="I2100" i="1"/>
  <c r="AA2099" i="1"/>
  <c r="AB2099" i="1" s="1"/>
  <c r="I2099" i="1"/>
  <c r="AA2098" i="1"/>
  <c r="AB2098" i="1" s="1"/>
  <c r="I2098" i="1"/>
  <c r="H2098" i="1"/>
  <c r="AA2097" i="1"/>
  <c r="AB2097" i="1" s="1"/>
  <c r="I2097" i="1"/>
  <c r="AA2096" i="1"/>
  <c r="AB2096" i="1" s="1"/>
  <c r="T2096" i="1"/>
  <c r="I2096" i="1"/>
  <c r="AA2095" i="1"/>
  <c r="AB2095" i="1" s="1"/>
  <c r="I2095" i="1"/>
  <c r="AA2094" i="1"/>
  <c r="AB2094" i="1" s="1"/>
  <c r="I2094" i="1"/>
  <c r="AA2093" i="1"/>
  <c r="AB2093" i="1" s="1"/>
  <c r="H2093" i="1"/>
  <c r="I2093" i="1" s="1"/>
  <c r="AB2092" i="1"/>
  <c r="AA2092" i="1"/>
  <c r="I2092" i="1"/>
  <c r="AA2091" i="1"/>
  <c r="AB2091" i="1" s="1"/>
  <c r="I2091" i="1"/>
  <c r="AA2090" i="1"/>
  <c r="AB2090" i="1" s="1"/>
  <c r="I2090" i="1"/>
  <c r="AB2089" i="1"/>
  <c r="AA2089" i="1"/>
  <c r="H2089" i="1"/>
  <c r="I2089" i="1" s="1"/>
  <c r="AA2088" i="1"/>
  <c r="AB2088" i="1" s="1"/>
  <c r="I2088" i="1"/>
  <c r="AA2087" i="1"/>
  <c r="AB2087" i="1" s="1"/>
  <c r="I2087" i="1"/>
  <c r="H2087" i="1"/>
  <c r="AB2086" i="1"/>
  <c r="AA2086" i="1"/>
  <c r="I2086" i="1"/>
  <c r="AB2085" i="1"/>
  <c r="AA2085" i="1"/>
  <c r="H2085" i="1"/>
  <c r="I2085" i="1" s="1"/>
  <c r="AA2084" i="1"/>
  <c r="AB2084" i="1" s="1"/>
  <c r="I2084" i="1"/>
  <c r="AB2083" i="1"/>
  <c r="AA2083" i="1"/>
  <c r="I2083" i="1"/>
  <c r="AA2082" i="1"/>
  <c r="AB2082" i="1" s="1"/>
  <c r="H2082" i="1"/>
  <c r="I2082" i="1" s="1"/>
  <c r="AA2081" i="1"/>
  <c r="AB2081" i="1" s="1"/>
  <c r="I2081" i="1"/>
  <c r="AA2080" i="1"/>
  <c r="AB2080" i="1" s="1"/>
  <c r="T2080" i="1"/>
  <c r="I2080" i="1"/>
  <c r="AA2079" i="1"/>
  <c r="AB2079" i="1" s="1"/>
  <c r="H2079" i="1"/>
  <c r="I2079" i="1" s="1"/>
  <c r="AB2078" i="1"/>
  <c r="AA2078" i="1"/>
  <c r="I2078" i="1"/>
  <c r="AA2077" i="1"/>
  <c r="AB2077" i="1" s="1"/>
  <c r="H2077" i="1"/>
  <c r="I2077" i="1" s="1"/>
  <c r="AB2076" i="1"/>
  <c r="AA2076" i="1"/>
  <c r="I2076" i="1"/>
  <c r="AB2075" i="1"/>
  <c r="AA2075" i="1"/>
  <c r="I2075" i="1"/>
  <c r="AA2074" i="1"/>
  <c r="AB2074" i="1" s="1"/>
  <c r="I2074" i="1"/>
  <c r="AB2073" i="1"/>
  <c r="AA2073" i="1"/>
  <c r="I2073" i="1"/>
  <c r="AA2072" i="1"/>
  <c r="AB2072" i="1" s="1"/>
  <c r="I2072" i="1"/>
  <c r="AA2071" i="1"/>
  <c r="AB2071" i="1" s="1"/>
  <c r="H2071" i="1"/>
  <c r="I2071" i="1" s="1"/>
  <c r="AA2070" i="1"/>
  <c r="AB2070" i="1" s="1"/>
  <c r="I2070" i="1"/>
  <c r="AA2069" i="1"/>
  <c r="AB2069" i="1" s="1"/>
  <c r="I2069" i="1"/>
  <c r="AA2068" i="1"/>
  <c r="AB2068" i="1" s="1"/>
  <c r="I2068" i="1"/>
  <c r="AA2067" i="1"/>
  <c r="AB2067" i="1" s="1"/>
  <c r="I2067" i="1"/>
  <c r="H2067" i="1"/>
  <c r="AA2066" i="1"/>
  <c r="AB2066" i="1" s="1"/>
  <c r="I2066" i="1"/>
  <c r="AA2065" i="1"/>
  <c r="AB2065" i="1" s="1"/>
  <c r="I2065" i="1"/>
  <c r="AA2064" i="1"/>
  <c r="AB2064" i="1" s="1"/>
  <c r="I2064" i="1"/>
  <c r="AA2063" i="1"/>
  <c r="AB2063" i="1" s="1"/>
  <c r="I2063" i="1"/>
  <c r="AA2062" i="1"/>
  <c r="AB2062" i="1" s="1"/>
  <c r="I2062" i="1"/>
  <c r="AA2061" i="1"/>
  <c r="AB2061" i="1" s="1"/>
  <c r="H2061" i="1"/>
  <c r="I2061" i="1" s="1"/>
  <c r="AA2060" i="1"/>
  <c r="AB2060" i="1" s="1"/>
  <c r="I2060" i="1"/>
  <c r="AA2059" i="1"/>
  <c r="AB2059" i="1" s="1"/>
  <c r="I2059" i="1"/>
  <c r="H2059" i="1"/>
  <c r="AA2058" i="1"/>
  <c r="AB2058" i="1" s="1"/>
  <c r="I2058" i="1"/>
  <c r="AA2057" i="1"/>
  <c r="AB2057" i="1" s="1"/>
  <c r="I2057" i="1"/>
  <c r="H2057" i="1"/>
  <c r="AB2056" i="1"/>
  <c r="AA2056" i="1"/>
  <c r="I2056" i="1"/>
  <c r="AB2055" i="1"/>
  <c r="AA2055" i="1"/>
  <c r="I2055" i="1"/>
  <c r="AB2054" i="1"/>
  <c r="AA2054" i="1"/>
  <c r="I2054" i="1"/>
  <c r="AA2053" i="1"/>
  <c r="AB2053" i="1" s="1"/>
  <c r="I2053" i="1"/>
  <c r="AA2052" i="1"/>
  <c r="AB2052" i="1" s="1"/>
  <c r="I2052" i="1"/>
  <c r="AA2051" i="1"/>
  <c r="AB2051" i="1" s="1"/>
  <c r="T2051" i="1"/>
  <c r="I2051" i="1"/>
  <c r="AA2050" i="1"/>
  <c r="AB2050" i="1" s="1"/>
  <c r="T2050" i="1"/>
  <c r="I2050" i="1"/>
  <c r="AB2049" i="1"/>
  <c r="AA2049" i="1"/>
  <c r="I2049" i="1"/>
  <c r="AA2048" i="1"/>
  <c r="AB2048" i="1" s="1"/>
  <c r="H2048" i="1"/>
  <c r="I2048" i="1" s="1"/>
  <c r="AA2047" i="1"/>
  <c r="AB2047" i="1" s="1"/>
  <c r="I2047" i="1"/>
  <c r="AA2046" i="1"/>
  <c r="AB2046" i="1" s="1"/>
  <c r="I2046" i="1"/>
  <c r="AA2045" i="1"/>
  <c r="AB2045" i="1" s="1"/>
  <c r="I2045" i="1"/>
  <c r="AA2044" i="1"/>
  <c r="AB2044" i="1" s="1"/>
  <c r="I2044" i="1"/>
  <c r="AA2043" i="1"/>
  <c r="AB2043" i="1" s="1"/>
  <c r="H2043" i="1"/>
  <c r="I2043" i="1" s="1"/>
  <c r="AA2042" i="1"/>
  <c r="AB2042" i="1" s="1"/>
  <c r="I2042" i="1"/>
  <c r="AA2041" i="1"/>
  <c r="AB2041" i="1" s="1"/>
  <c r="I2041" i="1"/>
  <c r="AA2040" i="1"/>
  <c r="AB2040" i="1" s="1"/>
  <c r="I2040" i="1"/>
  <c r="AA2039" i="1"/>
  <c r="AB2039" i="1" s="1"/>
  <c r="H2039" i="1"/>
  <c r="I2039" i="1" s="1"/>
  <c r="AA2038" i="1"/>
  <c r="AB2038" i="1" s="1"/>
  <c r="I2038" i="1"/>
  <c r="AA2037" i="1"/>
  <c r="AB2037" i="1" s="1"/>
  <c r="I2037" i="1"/>
  <c r="H2037" i="1"/>
  <c r="AB2036" i="1"/>
  <c r="AA2036" i="1"/>
  <c r="I2036" i="1"/>
  <c r="AB2035" i="1"/>
  <c r="AA2035" i="1"/>
  <c r="H2035" i="1"/>
  <c r="I2035" i="1" s="1"/>
  <c r="AA2034" i="1"/>
  <c r="AB2034" i="1" s="1"/>
  <c r="I2034" i="1"/>
  <c r="AA2033" i="1"/>
  <c r="AB2033" i="1" s="1"/>
  <c r="I2033" i="1"/>
  <c r="AA2032" i="1"/>
  <c r="AB2032" i="1" s="1"/>
  <c r="I2032" i="1"/>
  <c r="AA2031" i="1"/>
  <c r="AB2031" i="1" s="1"/>
  <c r="T2031" i="1"/>
  <c r="I2031" i="1"/>
  <c r="AA2030" i="1"/>
  <c r="AB2030" i="1" s="1"/>
  <c r="I2030" i="1"/>
  <c r="AA2029" i="1"/>
  <c r="AB2029" i="1" s="1"/>
  <c r="I2029" i="1"/>
  <c r="AA2028" i="1"/>
  <c r="AB2028" i="1" s="1"/>
  <c r="I2028" i="1"/>
  <c r="AA2027" i="1"/>
  <c r="AB2027" i="1" s="1"/>
  <c r="I2027" i="1"/>
  <c r="H2027" i="1"/>
  <c r="AA2026" i="1"/>
  <c r="AB2026" i="1" s="1"/>
  <c r="I2026" i="1"/>
  <c r="AA2025" i="1"/>
  <c r="AB2025" i="1" s="1"/>
  <c r="H2025" i="1"/>
  <c r="I2025" i="1" s="1"/>
  <c r="AA2024" i="1"/>
  <c r="AB2024" i="1" s="1"/>
  <c r="I2024" i="1"/>
  <c r="AA2023" i="1"/>
  <c r="AB2023" i="1" s="1"/>
  <c r="I2023" i="1"/>
  <c r="AA2022" i="1"/>
  <c r="AB2022" i="1" s="1"/>
  <c r="I2022" i="1"/>
  <c r="H2022" i="1"/>
  <c r="AA2021" i="1"/>
  <c r="AB2021" i="1" s="1"/>
  <c r="I2021" i="1"/>
  <c r="AA2020" i="1"/>
  <c r="AB2020" i="1" s="1"/>
  <c r="I2020" i="1"/>
  <c r="AA2019" i="1"/>
  <c r="AB2019" i="1" s="1"/>
  <c r="H2019" i="1"/>
  <c r="I2019" i="1" s="1"/>
  <c r="AA2018" i="1"/>
  <c r="AB2018" i="1" s="1"/>
  <c r="I2018" i="1"/>
  <c r="AA2017" i="1"/>
  <c r="AB2017" i="1" s="1"/>
  <c r="I2017" i="1"/>
  <c r="AA2016" i="1"/>
  <c r="AB2016" i="1" s="1"/>
  <c r="H2016" i="1"/>
  <c r="I2016" i="1" s="1"/>
  <c r="AA2015" i="1"/>
  <c r="AB2015" i="1" s="1"/>
  <c r="I2015" i="1"/>
  <c r="AA2014" i="1"/>
  <c r="AB2014" i="1" s="1"/>
  <c r="I2014" i="1"/>
  <c r="AA2013" i="1"/>
  <c r="AB2013" i="1" s="1"/>
  <c r="I2013" i="1"/>
  <c r="AA2012" i="1"/>
  <c r="AB2012" i="1" s="1"/>
  <c r="I2012" i="1"/>
  <c r="AA2011" i="1"/>
  <c r="AB2011" i="1" s="1"/>
  <c r="I2011" i="1"/>
  <c r="H2011" i="1"/>
  <c r="AA2010" i="1"/>
  <c r="AB2010" i="1" s="1"/>
  <c r="I2010" i="1"/>
  <c r="AB2009" i="1"/>
  <c r="AA2009" i="1"/>
  <c r="H2009" i="1"/>
  <c r="I2009" i="1" s="1"/>
  <c r="AA2008" i="1"/>
  <c r="AB2008" i="1" s="1"/>
  <c r="I2008" i="1"/>
  <c r="AA2007" i="1"/>
  <c r="AB2007" i="1" s="1"/>
  <c r="H2007" i="1"/>
  <c r="I2007" i="1" s="1"/>
  <c r="AA2006" i="1"/>
  <c r="AB2006" i="1" s="1"/>
  <c r="I2006" i="1"/>
  <c r="AA2005" i="1"/>
  <c r="AB2005" i="1" s="1"/>
  <c r="I2005" i="1"/>
  <c r="AA2004" i="1"/>
  <c r="AB2004" i="1" s="1"/>
  <c r="I2004" i="1"/>
  <c r="AA2003" i="1"/>
  <c r="AB2003" i="1" s="1"/>
  <c r="I2003" i="1"/>
  <c r="AB2002" i="1"/>
  <c r="AA2002" i="1"/>
  <c r="I2002" i="1"/>
  <c r="AA2001" i="1"/>
  <c r="AB2001" i="1" s="1"/>
  <c r="T2001" i="1"/>
  <c r="I2001" i="1"/>
  <c r="AA2000" i="1"/>
  <c r="AB2000" i="1" s="1"/>
  <c r="I2000" i="1"/>
  <c r="AA1999" i="1"/>
  <c r="AB1999" i="1" s="1"/>
  <c r="I1999" i="1"/>
  <c r="AA1998" i="1"/>
  <c r="AB1998" i="1" s="1"/>
  <c r="I1998" i="1"/>
  <c r="AA1997" i="1"/>
  <c r="AB1997" i="1" s="1"/>
  <c r="I1997" i="1"/>
  <c r="AA1996" i="1"/>
  <c r="AB1996" i="1" s="1"/>
  <c r="I1996" i="1"/>
  <c r="AA1995" i="1"/>
  <c r="AB1995" i="1" s="1"/>
  <c r="I1995" i="1"/>
  <c r="AA1994" i="1"/>
  <c r="AB1994" i="1" s="1"/>
  <c r="I1994" i="1"/>
  <c r="AA1993" i="1"/>
  <c r="AB1993" i="1" s="1"/>
  <c r="H1993" i="1"/>
  <c r="I1993" i="1" s="1"/>
  <c r="AA1992" i="1"/>
  <c r="AB1992" i="1" s="1"/>
  <c r="I1992" i="1"/>
  <c r="AA1991" i="1"/>
  <c r="AB1991" i="1" s="1"/>
  <c r="I1991" i="1"/>
  <c r="AB1990" i="1"/>
  <c r="AA1990" i="1"/>
  <c r="I1990" i="1"/>
  <c r="AA1989" i="1"/>
  <c r="AB1989" i="1" s="1"/>
  <c r="I1989" i="1"/>
  <c r="AA1988" i="1"/>
  <c r="AB1988" i="1" s="1"/>
  <c r="I1988" i="1"/>
  <c r="AB1987" i="1"/>
  <c r="AA1987" i="1"/>
  <c r="I1987" i="1"/>
  <c r="AA1986" i="1"/>
  <c r="AB1986" i="1" s="1"/>
  <c r="I1986" i="1"/>
  <c r="AA1985" i="1"/>
  <c r="AB1985" i="1" s="1"/>
  <c r="I1985" i="1"/>
  <c r="AB1984" i="1"/>
  <c r="AA1984" i="1"/>
  <c r="I1984" i="1"/>
  <c r="AB1983" i="1"/>
  <c r="AA1983" i="1"/>
  <c r="H1983" i="1"/>
  <c r="I1983" i="1" s="1"/>
  <c r="AB1982" i="1"/>
  <c r="AA1982" i="1"/>
  <c r="I1982" i="1"/>
  <c r="AA1981" i="1"/>
  <c r="AB1981" i="1" s="1"/>
  <c r="I1981" i="1"/>
  <c r="H1981" i="1"/>
  <c r="AA1980" i="1"/>
  <c r="AB1980" i="1" s="1"/>
  <c r="I1980" i="1"/>
  <c r="AB1979" i="1"/>
  <c r="AA1979" i="1"/>
  <c r="I1979" i="1"/>
  <c r="AB1978" i="1"/>
  <c r="AA1978" i="1"/>
  <c r="I1978" i="1"/>
  <c r="AA1977" i="1"/>
  <c r="AB1977" i="1" s="1"/>
  <c r="I1977" i="1"/>
  <c r="AA1976" i="1"/>
  <c r="AB1976" i="1" s="1"/>
  <c r="H1976" i="1"/>
  <c r="I1976" i="1" s="1"/>
  <c r="AA1975" i="1"/>
  <c r="AB1975" i="1" s="1"/>
  <c r="I1975" i="1"/>
  <c r="AA1974" i="1"/>
  <c r="AB1974" i="1" s="1"/>
  <c r="T1974" i="1"/>
  <c r="I1974" i="1"/>
  <c r="AB1973" i="1"/>
  <c r="AA1973" i="1"/>
  <c r="I1973" i="1"/>
  <c r="H1973" i="1"/>
  <c r="AA1972" i="1"/>
  <c r="AB1972" i="1" s="1"/>
  <c r="I1972" i="1"/>
  <c r="AA1971" i="1"/>
  <c r="AB1971" i="1" s="1"/>
  <c r="I1971" i="1"/>
  <c r="AA1970" i="1"/>
  <c r="AB1970" i="1" s="1"/>
  <c r="I1970" i="1"/>
  <c r="AA1969" i="1"/>
  <c r="AB1969" i="1" s="1"/>
  <c r="I1969" i="1"/>
  <c r="AA1968" i="1"/>
  <c r="AB1968" i="1" s="1"/>
  <c r="I1968" i="1"/>
  <c r="AB1967" i="1"/>
  <c r="AA1967" i="1"/>
  <c r="I1967" i="1"/>
  <c r="AB1966" i="1"/>
  <c r="AA1966" i="1"/>
  <c r="H1966" i="1"/>
  <c r="I1966" i="1" s="1"/>
  <c r="AA1965" i="1"/>
  <c r="AB1965" i="1" s="1"/>
  <c r="I1965" i="1"/>
  <c r="G1965" i="1"/>
  <c r="AA1964" i="1"/>
  <c r="AB1964" i="1" s="1"/>
  <c r="I1964" i="1"/>
  <c r="AA1963" i="1"/>
  <c r="AB1963" i="1" s="1"/>
  <c r="I1963" i="1"/>
  <c r="AB1962" i="1"/>
  <c r="AA1962" i="1"/>
  <c r="I1962" i="1"/>
  <c r="AA1961" i="1"/>
  <c r="AB1961" i="1" s="1"/>
  <c r="I1961" i="1"/>
  <c r="AA1960" i="1"/>
  <c r="AB1960" i="1" s="1"/>
  <c r="I1960" i="1"/>
  <c r="AA1959" i="1"/>
  <c r="AB1959" i="1" s="1"/>
  <c r="I1959" i="1"/>
  <c r="AA1958" i="1"/>
  <c r="AB1958" i="1" s="1"/>
  <c r="I1958" i="1"/>
  <c r="H1958" i="1"/>
  <c r="AB1957" i="1"/>
  <c r="AA1957" i="1"/>
  <c r="I1957" i="1"/>
  <c r="AA1956" i="1"/>
  <c r="AB1956" i="1" s="1"/>
  <c r="H1956" i="1"/>
  <c r="I1956" i="1" s="1"/>
  <c r="AA1955" i="1"/>
  <c r="AB1955" i="1" s="1"/>
  <c r="I1955" i="1"/>
  <c r="AA1954" i="1"/>
  <c r="AB1954" i="1" s="1"/>
  <c r="H1954" i="1"/>
  <c r="I1954" i="1" s="1"/>
  <c r="AB1953" i="1"/>
  <c r="AA1953" i="1"/>
  <c r="I1953" i="1"/>
  <c r="AA1952" i="1"/>
  <c r="AB1952" i="1" s="1"/>
  <c r="I1952" i="1"/>
  <c r="AB1951" i="1"/>
  <c r="AA1951" i="1"/>
  <c r="I1951" i="1"/>
  <c r="AB1950" i="1"/>
  <c r="AA1950" i="1"/>
  <c r="I1950" i="1"/>
  <c r="AB1949" i="1"/>
  <c r="AA1949" i="1"/>
  <c r="I1949" i="1"/>
  <c r="AA1948" i="1"/>
  <c r="AB1948" i="1" s="1"/>
  <c r="I1948" i="1"/>
  <c r="AB1947" i="1"/>
  <c r="AA1947" i="1"/>
  <c r="I1947" i="1"/>
  <c r="AB1946" i="1"/>
  <c r="AA1946" i="1"/>
  <c r="I1946" i="1"/>
  <c r="AA1945" i="1"/>
  <c r="AB1945" i="1" s="1"/>
  <c r="I1945" i="1"/>
  <c r="AA1944" i="1"/>
  <c r="AB1944" i="1" s="1"/>
  <c r="H1944" i="1"/>
  <c r="I1944" i="1" s="1"/>
  <c r="AB1943" i="1"/>
  <c r="AA1943" i="1"/>
  <c r="I1943" i="1"/>
  <c r="AB1942" i="1"/>
  <c r="AA1942" i="1"/>
  <c r="H1942" i="1"/>
  <c r="I1942" i="1" s="1"/>
  <c r="AB1941" i="1"/>
  <c r="AA1941" i="1"/>
  <c r="I1941" i="1"/>
  <c r="AA1940" i="1"/>
  <c r="AB1940" i="1" s="1"/>
  <c r="I1940" i="1"/>
  <c r="AA1939" i="1"/>
  <c r="AB1939" i="1" s="1"/>
  <c r="I1939" i="1"/>
  <c r="AA1938" i="1"/>
  <c r="AB1938" i="1" s="1"/>
  <c r="T1938" i="1"/>
  <c r="I1938" i="1"/>
  <c r="AA1937" i="1"/>
  <c r="AB1937" i="1" s="1"/>
  <c r="I1937" i="1"/>
  <c r="AA1936" i="1"/>
  <c r="AB1936" i="1" s="1"/>
  <c r="I1936" i="1"/>
  <c r="AA1935" i="1"/>
  <c r="AB1935" i="1" s="1"/>
  <c r="H1935" i="1"/>
  <c r="I1935" i="1" s="1"/>
  <c r="AA1934" i="1"/>
  <c r="AB1934" i="1" s="1"/>
  <c r="I1934" i="1"/>
  <c r="AA1933" i="1"/>
  <c r="AB1933" i="1" s="1"/>
  <c r="H1933" i="1"/>
  <c r="I1933" i="1" s="1"/>
  <c r="AA1932" i="1"/>
  <c r="AB1932" i="1" s="1"/>
  <c r="I1932" i="1"/>
  <c r="AB1931" i="1"/>
  <c r="AA1931" i="1"/>
  <c r="I1931" i="1"/>
  <c r="AA1930" i="1"/>
  <c r="AB1930" i="1" s="1"/>
  <c r="I1930" i="1"/>
  <c r="AA1929" i="1"/>
  <c r="AB1929" i="1" s="1"/>
  <c r="H1929" i="1"/>
  <c r="I1929" i="1" s="1"/>
  <c r="AA1928" i="1"/>
  <c r="AB1928" i="1" s="1"/>
  <c r="I1928" i="1"/>
  <c r="AB1927" i="1"/>
  <c r="AA1927" i="1"/>
  <c r="I1927" i="1"/>
  <c r="AA1926" i="1"/>
  <c r="AB1926" i="1" s="1"/>
  <c r="I1926" i="1"/>
  <c r="AA1925" i="1"/>
  <c r="AB1925" i="1" s="1"/>
  <c r="I1925" i="1"/>
  <c r="AA1924" i="1"/>
  <c r="AB1924" i="1" s="1"/>
  <c r="I1924" i="1"/>
  <c r="AB1923" i="1"/>
  <c r="AA1923" i="1"/>
  <c r="T1923" i="1"/>
  <c r="I1923" i="1"/>
  <c r="AA1922" i="1"/>
  <c r="AB1922" i="1" s="1"/>
  <c r="I1922" i="1"/>
  <c r="AA1921" i="1"/>
  <c r="AB1921" i="1" s="1"/>
  <c r="I1921" i="1"/>
  <c r="AA1920" i="1"/>
  <c r="AB1920" i="1" s="1"/>
  <c r="I1920" i="1"/>
  <c r="H1920" i="1"/>
  <c r="AA1919" i="1"/>
  <c r="AB1919" i="1" s="1"/>
  <c r="I1919" i="1"/>
  <c r="AA1918" i="1"/>
  <c r="AB1918" i="1" s="1"/>
  <c r="I1918" i="1"/>
  <c r="AB1917" i="1"/>
  <c r="AA1917" i="1"/>
  <c r="I1917" i="1"/>
  <c r="AA1916" i="1"/>
  <c r="AB1916" i="1" s="1"/>
  <c r="I1916" i="1"/>
  <c r="H1916" i="1"/>
  <c r="AA1915" i="1"/>
  <c r="AB1915" i="1" s="1"/>
  <c r="I1915" i="1"/>
  <c r="AA1914" i="1"/>
  <c r="AB1914" i="1" s="1"/>
  <c r="I1914" i="1"/>
  <c r="AA1913" i="1"/>
  <c r="AB1913" i="1" s="1"/>
  <c r="I1913" i="1"/>
  <c r="AB1912" i="1"/>
  <c r="AA1912" i="1"/>
  <c r="H1912" i="1"/>
  <c r="I1912" i="1" s="1"/>
  <c r="AA1911" i="1"/>
  <c r="AB1911" i="1" s="1"/>
  <c r="I1911" i="1"/>
  <c r="AA1910" i="1"/>
  <c r="AB1910" i="1" s="1"/>
  <c r="I1910" i="1"/>
  <c r="AA1909" i="1"/>
  <c r="AB1909" i="1" s="1"/>
  <c r="I1909" i="1"/>
  <c r="AA1908" i="1"/>
  <c r="AB1908" i="1" s="1"/>
  <c r="I1908" i="1"/>
  <c r="AA1907" i="1"/>
  <c r="AB1907" i="1" s="1"/>
  <c r="H1907" i="1"/>
  <c r="I1907" i="1" s="1"/>
  <c r="AA1906" i="1"/>
  <c r="AB1906" i="1" s="1"/>
  <c r="I1906" i="1"/>
  <c r="AA1905" i="1"/>
  <c r="AB1905" i="1" s="1"/>
  <c r="H1905" i="1"/>
  <c r="I1905" i="1" s="1"/>
  <c r="AA1904" i="1"/>
  <c r="AB1904" i="1" s="1"/>
  <c r="I1904" i="1"/>
  <c r="AA1903" i="1"/>
  <c r="AB1903" i="1" s="1"/>
  <c r="I1903" i="1"/>
  <c r="AA1902" i="1"/>
  <c r="AB1902" i="1" s="1"/>
  <c r="I1902" i="1"/>
  <c r="AA1901" i="1"/>
  <c r="AB1901" i="1" s="1"/>
  <c r="H1901" i="1"/>
  <c r="I1901" i="1" s="1"/>
  <c r="AB1900" i="1"/>
  <c r="AA1900" i="1"/>
  <c r="I1900" i="1"/>
  <c r="AA1899" i="1"/>
  <c r="AB1899" i="1" s="1"/>
  <c r="I1899" i="1"/>
  <c r="H1899" i="1"/>
  <c r="AA1898" i="1"/>
  <c r="AB1898" i="1" s="1"/>
  <c r="I1898" i="1"/>
  <c r="AA1897" i="1"/>
  <c r="AB1897" i="1" s="1"/>
  <c r="I1897" i="1"/>
  <c r="AA1896" i="1"/>
  <c r="AB1896" i="1" s="1"/>
  <c r="I1896" i="1"/>
  <c r="AA1895" i="1"/>
  <c r="AB1895" i="1" s="1"/>
  <c r="I1895" i="1"/>
  <c r="AA1894" i="1"/>
  <c r="AB1894" i="1" s="1"/>
  <c r="I1894" i="1"/>
  <c r="AA1893" i="1"/>
  <c r="AB1893" i="1" s="1"/>
  <c r="I1893" i="1"/>
  <c r="AA1892" i="1"/>
  <c r="AB1892" i="1" s="1"/>
  <c r="I1892" i="1"/>
  <c r="AA1891" i="1"/>
  <c r="AB1891" i="1" s="1"/>
  <c r="H1891" i="1"/>
  <c r="I1891" i="1" s="1"/>
  <c r="AB1890" i="1"/>
  <c r="AA1890" i="1"/>
  <c r="I1890" i="1"/>
  <c r="AB1889" i="1"/>
  <c r="AA1889" i="1"/>
  <c r="I1889" i="1"/>
  <c r="H1889" i="1"/>
  <c r="AA1888" i="1"/>
  <c r="AB1888" i="1" s="1"/>
  <c r="I1888" i="1"/>
  <c r="AA1887" i="1"/>
  <c r="AB1887" i="1" s="1"/>
  <c r="I1887" i="1"/>
  <c r="AA1886" i="1"/>
  <c r="AB1886" i="1" s="1"/>
  <c r="I1886" i="1"/>
  <c r="AA1885" i="1"/>
  <c r="AB1885" i="1" s="1"/>
  <c r="I1885" i="1"/>
  <c r="AA1884" i="1"/>
  <c r="AB1884" i="1" s="1"/>
  <c r="I1884" i="1"/>
  <c r="AA1883" i="1"/>
  <c r="AB1883" i="1" s="1"/>
  <c r="I1883" i="1"/>
  <c r="AA1882" i="1"/>
  <c r="AB1882" i="1" s="1"/>
  <c r="H1882" i="1"/>
  <c r="I1882" i="1" s="1"/>
  <c r="AA1881" i="1"/>
  <c r="AB1881" i="1" s="1"/>
  <c r="I1881" i="1"/>
  <c r="AA1880" i="1"/>
  <c r="AB1880" i="1" s="1"/>
  <c r="I1880" i="1"/>
  <c r="AA1879" i="1"/>
  <c r="AB1879" i="1" s="1"/>
  <c r="I1879" i="1"/>
  <c r="AA1878" i="1"/>
  <c r="AB1878" i="1" s="1"/>
  <c r="I1878" i="1"/>
  <c r="AA1877" i="1"/>
  <c r="AB1877" i="1" s="1"/>
  <c r="I1877" i="1"/>
  <c r="H1877" i="1"/>
  <c r="AB1876" i="1"/>
  <c r="AA1876" i="1"/>
  <c r="I1876" i="1"/>
  <c r="AA1875" i="1"/>
  <c r="AB1875" i="1" s="1"/>
  <c r="T1875" i="1"/>
  <c r="I1875" i="1"/>
  <c r="AA1874" i="1"/>
  <c r="AB1874" i="1" s="1"/>
  <c r="I1874" i="1"/>
  <c r="AB1873" i="1"/>
  <c r="AA1873" i="1"/>
  <c r="I1873" i="1"/>
  <c r="AA1872" i="1"/>
  <c r="AB1872" i="1" s="1"/>
  <c r="I1872" i="1"/>
  <c r="H1872" i="1"/>
  <c r="AA1871" i="1"/>
  <c r="AB1871" i="1" s="1"/>
  <c r="I1871" i="1"/>
  <c r="AA1870" i="1"/>
  <c r="AB1870" i="1" s="1"/>
  <c r="I1870" i="1"/>
  <c r="AA1869" i="1"/>
  <c r="AB1869" i="1" s="1"/>
  <c r="T1869" i="1"/>
  <c r="I1869" i="1"/>
  <c r="AA1868" i="1"/>
  <c r="AB1868" i="1" s="1"/>
  <c r="I1868" i="1"/>
  <c r="AA1867" i="1"/>
  <c r="AB1867" i="1" s="1"/>
  <c r="I1867" i="1"/>
  <c r="AA1866" i="1"/>
  <c r="AB1866" i="1" s="1"/>
  <c r="I1866" i="1"/>
  <c r="AA1865" i="1"/>
  <c r="AB1865" i="1" s="1"/>
  <c r="I1865" i="1"/>
  <c r="AB1864" i="1"/>
  <c r="AA1864" i="1"/>
  <c r="I1864" i="1"/>
  <c r="AA1863" i="1"/>
  <c r="AB1863" i="1" s="1"/>
  <c r="I1863" i="1"/>
  <c r="AA1862" i="1"/>
  <c r="AB1862" i="1" s="1"/>
  <c r="I1862" i="1"/>
  <c r="AB1861" i="1"/>
  <c r="AA1861" i="1"/>
  <c r="I1861" i="1"/>
  <c r="AA1860" i="1"/>
  <c r="AB1860" i="1" s="1"/>
  <c r="I1860" i="1"/>
  <c r="AA1859" i="1"/>
  <c r="AB1859" i="1" s="1"/>
  <c r="I1859" i="1"/>
  <c r="AA1858" i="1"/>
  <c r="AB1858" i="1" s="1"/>
  <c r="T1858" i="1"/>
  <c r="I1858" i="1"/>
  <c r="AA1857" i="1"/>
  <c r="AB1857" i="1" s="1"/>
  <c r="I1857" i="1"/>
  <c r="H1857" i="1"/>
  <c r="AA1856" i="1"/>
  <c r="AB1856" i="1" s="1"/>
  <c r="I1856" i="1"/>
  <c r="AA1855" i="1"/>
  <c r="AB1855" i="1" s="1"/>
  <c r="I1855" i="1"/>
  <c r="AA1854" i="1"/>
  <c r="AB1854" i="1" s="1"/>
  <c r="I1854" i="1"/>
  <c r="AB1853" i="1"/>
  <c r="AA1853" i="1"/>
  <c r="I1853" i="1"/>
  <c r="AB1852" i="1"/>
  <c r="AA1852" i="1"/>
  <c r="I1852" i="1"/>
  <c r="AA1851" i="1"/>
  <c r="AB1851" i="1" s="1"/>
  <c r="I1851" i="1"/>
  <c r="AA1850" i="1"/>
  <c r="AB1850" i="1" s="1"/>
  <c r="I1850" i="1"/>
  <c r="AA1849" i="1"/>
  <c r="AB1849" i="1" s="1"/>
  <c r="I1849" i="1"/>
  <c r="AA1848" i="1"/>
  <c r="AB1848" i="1" s="1"/>
  <c r="I1848" i="1"/>
  <c r="AA1847" i="1"/>
  <c r="AB1847" i="1" s="1"/>
  <c r="I1847" i="1"/>
  <c r="AA1846" i="1"/>
  <c r="AB1846" i="1" s="1"/>
  <c r="I1846" i="1"/>
  <c r="AA1845" i="1"/>
  <c r="AB1845" i="1" s="1"/>
  <c r="H1845" i="1"/>
  <c r="I1845" i="1" s="1"/>
  <c r="AA1844" i="1"/>
  <c r="AB1844" i="1" s="1"/>
  <c r="I1844" i="1"/>
  <c r="AA1843" i="1"/>
  <c r="AB1843" i="1" s="1"/>
  <c r="I1843" i="1"/>
  <c r="AA1842" i="1"/>
  <c r="AB1842" i="1" s="1"/>
  <c r="I1842" i="1"/>
  <c r="H1842" i="1"/>
  <c r="AB1841" i="1"/>
  <c r="AA1841" i="1"/>
  <c r="I1841" i="1"/>
  <c r="AB1840" i="1"/>
  <c r="AA1840" i="1"/>
  <c r="H1840" i="1"/>
  <c r="I1840" i="1" s="1"/>
  <c r="AB1839" i="1"/>
  <c r="AA1839" i="1"/>
  <c r="I1839" i="1"/>
  <c r="AB1838" i="1"/>
  <c r="AA1838" i="1"/>
  <c r="I1838" i="1"/>
  <c r="AA1837" i="1"/>
  <c r="AB1837" i="1" s="1"/>
  <c r="I1837" i="1"/>
  <c r="AB1836" i="1"/>
  <c r="AA1836" i="1"/>
  <c r="T1836" i="1"/>
  <c r="I1836" i="1"/>
  <c r="AA1835" i="1"/>
  <c r="AB1835" i="1" s="1"/>
  <c r="I1835" i="1"/>
  <c r="AA1834" i="1"/>
  <c r="AB1834" i="1" s="1"/>
  <c r="I1834" i="1"/>
  <c r="AA1833" i="1"/>
  <c r="AB1833" i="1" s="1"/>
  <c r="I1833" i="1"/>
  <c r="AA1832" i="1"/>
  <c r="AB1832" i="1" s="1"/>
  <c r="I1832" i="1"/>
  <c r="H1832" i="1"/>
  <c r="AA1831" i="1"/>
  <c r="AB1831" i="1" s="1"/>
  <c r="I1831" i="1"/>
  <c r="AA1830" i="1"/>
  <c r="AB1830" i="1" s="1"/>
  <c r="I1830" i="1"/>
  <c r="H1830" i="1"/>
  <c r="AA1829" i="1"/>
  <c r="AB1829" i="1" s="1"/>
  <c r="I1829" i="1"/>
  <c r="AA1828" i="1"/>
  <c r="AB1828" i="1" s="1"/>
  <c r="I1828" i="1"/>
  <c r="AA1827" i="1"/>
  <c r="AB1827" i="1" s="1"/>
  <c r="I1827" i="1"/>
  <c r="AA1826" i="1"/>
  <c r="AB1826" i="1" s="1"/>
  <c r="I1826" i="1"/>
  <c r="AA1825" i="1"/>
  <c r="AB1825" i="1" s="1"/>
  <c r="H1825" i="1"/>
  <c r="I1825" i="1" s="1"/>
  <c r="AB1824" i="1"/>
  <c r="AA1824" i="1"/>
  <c r="I1824" i="1"/>
  <c r="AA1823" i="1"/>
  <c r="AB1823" i="1" s="1"/>
  <c r="T1823" i="1"/>
  <c r="I1823" i="1"/>
  <c r="AB1822" i="1"/>
  <c r="AA1822" i="1"/>
  <c r="T1822" i="1"/>
  <c r="I1822" i="1"/>
  <c r="AA1821" i="1"/>
  <c r="AB1821" i="1" s="1"/>
  <c r="H1821" i="1"/>
  <c r="I1821" i="1" s="1"/>
  <c r="AA1820" i="1"/>
  <c r="AB1820" i="1" s="1"/>
  <c r="I1820" i="1"/>
  <c r="AA1819" i="1"/>
  <c r="AB1819" i="1" s="1"/>
  <c r="H1819" i="1"/>
  <c r="I1819" i="1" s="1"/>
  <c r="AA1818" i="1"/>
  <c r="AB1818" i="1" s="1"/>
  <c r="I1818" i="1"/>
  <c r="AA1817" i="1"/>
  <c r="AB1817" i="1" s="1"/>
  <c r="I1817" i="1"/>
  <c r="AA1816" i="1"/>
  <c r="AB1816" i="1" s="1"/>
  <c r="T1816" i="1"/>
  <c r="I1816" i="1"/>
  <c r="AB1815" i="1"/>
  <c r="AA1815" i="1"/>
  <c r="I1815" i="1"/>
  <c r="AB1814" i="1"/>
  <c r="AA1814" i="1"/>
  <c r="H1814" i="1"/>
  <c r="I1814" i="1" s="1"/>
  <c r="AB1813" i="1"/>
  <c r="AA1813" i="1"/>
  <c r="I1813" i="1"/>
  <c r="AA1812" i="1"/>
  <c r="AB1812" i="1" s="1"/>
  <c r="I1812" i="1"/>
  <c r="AA1811" i="1"/>
  <c r="AB1811" i="1" s="1"/>
  <c r="I1811" i="1"/>
  <c r="AB1810" i="1"/>
  <c r="AA1810" i="1"/>
  <c r="I1810" i="1"/>
  <c r="AA1809" i="1"/>
  <c r="AB1809" i="1" s="1"/>
  <c r="I1809" i="1"/>
  <c r="AA1808" i="1"/>
  <c r="AB1808" i="1" s="1"/>
  <c r="I1808" i="1"/>
  <c r="AA1807" i="1"/>
  <c r="AB1807" i="1" s="1"/>
  <c r="I1807" i="1"/>
  <c r="AA1806" i="1"/>
  <c r="AB1806" i="1" s="1"/>
  <c r="H1806" i="1"/>
  <c r="I1806" i="1" s="1"/>
  <c r="AB1805" i="1"/>
  <c r="AA1805" i="1"/>
  <c r="I1805" i="1"/>
  <c r="AB1804" i="1"/>
  <c r="AA1804" i="1"/>
  <c r="T1804" i="1"/>
  <c r="I1804" i="1"/>
  <c r="AA1803" i="1"/>
  <c r="AB1803" i="1" s="1"/>
  <c r="H1803" i="1"/>
  <c r="I1803" i="1" s="1"/>
  <c r="AA1802" i="1"/>
  <c r="AB1802" i="1" s="1"/>
  <c r="I1802" i="1"/>
  <c r="AA1801" i="1"/>
  <c r="AB1801" i="1" s="1"/>
  <c r="I1801" i="1"/>
  <c r="AA1800" i="1"/>
  <c r="AB1800" i="1" s="1"/>
  <c r="I1800" i="1"/>
  <c r="H1800" i="1"/>
  <c r="AA1799" i="1"/>
  <c r="AB1799" i="1" s="1"/>
  <c r="I1799" i="1"/>
  <c r="AA1798" i="1"/>
  <c r="AB1798" i="1" s="1"/>
  <c r="T1798" i="1"/>
  <c r="I1798" i="1"/>
  <c r="AA1797" i="1"/>
  <c r="AB1797" i="1" s="1"/>
  <c r="I1797" i="1"/>
  <c r="AB1796" i="1"/>
  <c r="AA1796" i="1"/>
  <c r="I1796" i="1"/>
  <c r="AA1795" i="1"/>
  <c r="AB1795" i="1" s="1"/>
  <c r="I1795" i="1"/>
  <c r="AB1794" i="1"/>
  <c r="AA1794" i="1"/>
  <c r="I1794" i="1"/>
  <c r="AB1793" i="1"/>
  <c r="AA1793" i="1"/>
  <c r="I1793" i="1"/>
  <c r="AB1792" i="1"/>
  <c r="AA1792" i="1"/>
  <c r="I1792" i="1"/>
  <c r="AA1791" i="1"/>
  <c r="AB1791" i="1" s="1"/>
  <c r="I1791" i="1"/>
  <c r="AA1790" i="1"/>
  <c r="AB1790" i="1" s="1"/>
  <c r="I1790" i="1"/>
  <c r="AA1789" i="1"/>
  <c r="AB1789" i="1" s="1"/>
  <c r="I1789" i="1"/>
  <c r="AA1788" i="1"/>
  <c r="AB1788" i="1" s="1"/>
  <c r="I1788" i="1"/>
  <c r="AA1787" i="1"/>
  <c r="AB1787" i="1" s="1"/>
  <c r="I1787" i="1"/>
  <c r="AA1786" i="1"/>
  <c r="AB1786" i="1" s="1"/>
  <c r="I1786" i="1"/>
  <c r="AB1785" i="1"/>
  <c r="AA1785" i="1"/>
  <c r="I1785" i="1"/>
  <c r="AB1784" i="1"/>
  <c r="AA1784" i="1"/>
  <c r="I1784" i="1"/>
  <c r="H1784" i="1"/>
  <c r="AA1783" i="1"/>
  <c r="AB1783" i="1" s="1"/>
  <c r="I1783" i="1"/>
  <c r="AA1782" i="1"/>
  <c r="AB1782" i="1" s="1"/>
  <c r="H1782" i="1"/>
  <c r="I1782" i="1" s="1"/>
  <c r="AA1781" i="1"/>
  <c r="AB1781" i="1" s="1"/>
  <c r="I1781" i="1"/>
  <c r="AA1780" i="1"/>
  <c r="AB1780" i="1" s="1"/>
  <c r="I1780" i="1"/>
  <c r="AA1779" i="1"/>
  <c r="AB1779" i="1" s="1"/>
  <c r="H1779" i="1"/>
  <c r="I1779" i="1" s="1"/>
  <c r="AB1778" i="1"/>
  <c r="AA1778" i="1"/>
  <c r="I1778" i="1"/>
  <c r="AA1777" i="1"/>
  <c r="AB1777" i="1" s="1"/>
  <c r="T1777" i="1"/>
  <c r="I1777" i="1"/>
  <c r="AA1776" i="1"/>
  <c r="AB1776" i="1" s="1"/>
  <c r="I1776" i="1"/>
  <c r="AA1775" i="1"/>
  <c r="AB1775" i="1" s="1"/>
  <c r="H1775" i="1"/>
  <c r="I1775" i="1" s="1"/>
  <c r="AB1774" i="1"/>
  <c r="AA1774" i="1"/>
  <c r="I1774" i="1"/>
  <c r="AA1773" i="1"/>
  <c r="AB1773" i="1" s="1"/>
  <c r="I1773" i="1"/>
  <c r="AA1772" i="1"/>
  <c r="AB1772" i="1" s="1"/>
  <c r="H1772" i="1"/>
  <c r="I1772" i="1" s="1"/>
  <c r="AA1771" i="1"/>
  <c r="AB1771" i="1" s="1"/>
  <c r="I1771" i="1"/>
  <c r="AA1770" i="1"/>
  <c r="AB1770" i="1" s="1"/>
  <c r="I1770" i="1"/>
  <c r="AA1769" i="1"/>
  <c r="AB1769" i="1" s="1"/>
  <c r="I1769" i="1"/>
  <c r="AA1768" i="1"/>
  <c r="AB1768" i="1" s="1"/>
  <c r="I1768" i="1"/>
  <c r="AA1767" i="1"/>
  <c r="AB1767" i="1" s="1"/>
  <c r="I1767" i="1"/>
  <c r="H1767" i="1"/>
  <c r="AB1766" i="1"/>
  <c r="AA1766" i="1"/>
  <c r="I1766" i="1"/>
  <c r="AA1765" i="1"/>
  <c r="AB1765" i="1" s="1"/>
  <c r="I1765" i="1"/>
  <c r="H1765" i="1"/>
  <c r="AB1764" i="1"/>
  <c r="AA1764" i="1"/>
  <c r="I1764" i="1"/>
  <c r="AB1763" i="1"/>
  <c r="AA1763" i="1"/>
  <c r="T1763" i="1"/>
  <c r="I1763" i="1"/>
  <c r="AA1762" i="1"/>
  <c r="AB1762" i="1" s="1"/>
  <c r="I1762" i="1"/>
  <c r="AA1761" i="1"/>
  <c r="AB1761" i="1" s="1"/>
  <c r="I1761" i="1"/>
  <c r="AA1760" i="1"/>
  <c r="AB1760" i="1" s="1"/>
  <c r="I1760" i="1"/>
  <c r="AB1759" i="1"/>
  <c r="AA1759" i="1"/>
  <c r="H1759" i="1"/>
  <c r="I1759" i="1" s="1"/>
  <c r="AB1758" i="1"/>
  <c r="AA1758" i="1"/>
  <c r="I1758" i="1"/>
  <c r="AA1757" i="1"/>
  <c r="AB1757" i="1" s="1"/>
  <c r="I1757" i="1"/>
  <c r="AA1756" i="1"/>
  <c r="AB1756" i="1" s="1"/>
  <c r="T1756" i="1"/>
  <c r="I1756" i="1"/>
  <c r="AB1755" i="1"/>
  <c r="AA1755" i="1"/>
  <c r="I1755" i="1"/>
  <c r="AA1754" i="1"/>
  <c r="AB1754" i="1" s="1"/>
  <c r="I1754" i="1"/>
  <c r="AA1753" i="1"/>
  <c r="AB1753" i="1" s="1"/>
  <c r="I1753" i="1"/>
  <c r="H1753" i="1"/>
  <c r="AA1752" i="1"/>
  <c r="AB1752" i="1" s="1"/>
  <c r="I1752" i="1"/>
  <c r="AB1751" i="1"/>
  <c r="AA1751" i="1"/>
  <c r="T1751" i="1"/>
  <c r="I1751" i="1"/>
  <c r="AB1750" i="1"/>
  <c r="AA1750" i="1"/>
  <c r="I1750" i="1"/>
  <c r="H1750" i="1"/>
  <c r="AB1749" i="1"/>
  <c r="AA1749" i="1"/>
  <c r="I1749" i="1"/>
  <c r="AB1748" i="1"/>
  <c r="AA1748" i="1"/>
  <c r="I1748" i="1"/>
  <c r="AB1747" i="1"/>
  <c r="AA1747" i="1"/>
  <c r="I1747" i="1"/>
  <c r="AB1746" i="1"/>
  <c r="AA1746" i="1"/>
  <c r="I1746" i="1"/>
  <c r="AB1745" i="1"/>
  <c r="AA1745" i="1"/>
  <c r="I1745" i="1"/>
  <c r="AA1744" i="1"/>
  <c r="AB1744" i="1" s="1"/>
  <c r="I1744" i="1"/>
  <c r="AA1743" i="1"/>
  <c r="AB1743" i="1" s="1"/>
  <c r="I1743" i="1"/>
  <c r="AB1742" i="1"/>
  <c r="AA1742" i="1"/>
  <c r="I1742" i="1"/>
  <c r="AA1741" i="1"/>
  <c r="AB1741" i="1" s="1"/>
  <c r="I1741" i="1"/>
  <c r="AB1740" i="1"/>
  <c r="AA1740" i="1"/>
  <c r="I1740" i="1"/>
  <c r="AB1739" i="1"/>
  <c r="AA1739" i="1"/>
  <c r="I1739" i="1"/>
  <c r="AB1738" i="1"/>
  <c r="AA1738" i="1"/>
  <c r="I1738" i="1"/>
  <c r="H1738" i="1"/>
  <c r="AA1737" i="1"/>
  <c r="AB1737" i="1" s="1"/>
  <c r="I1737" i="1"/>
  <c r="AA1736" i="1"/>
  <c r="AB1736" i="1" s="1"/>
  <c r="I1736" i="1"/>
  <c r="AA1735" i="1"/>
  <c r="AB1735" i="1" s="1"/>
  <c r="I1735" i="1"/>
  <c r="AA1734" i="1"/>
  <c r="AB1734" i="1" s="1"/>
  <c r="H1734" i="1"/>
  <c r="I1734" i="1" s="1"/>
  <c r="AA1733" i="1"/>
  <c r="AB1733" i="1" s="1"/>
  <c r="I1733" i="1"/>
  <c r="AA1732" i="1"/>
  <c r="AB1732" i="1" s="1"/>
  <c r="I1732" i="1"/>
  <c r="AA1731" i="1"/>
  <c r="AB1731" i="1" s="1"/>
  <c r="I1731" i="1"/>
  <c r="AB1730" i="1"/>
  <c r="AA1730" i="1"/>
  <c r="I1730" i="1"/>
  <c r="AB1729" i="1"/>
  <c r="AA1729" i="1"/>
  <c r="H1729" i="1"/>
  <c r="I1729" i="1" s="1"/>
  <c r="AA1728" i="1"/>
  <c r="AB1728" i="1" s="1"/>
  <c r="I1728" i="1"/>
  <c r="AB1727" i="1"/>
  <c r="AA1727" i="1"/>
  <c r="H1727" i="1"/>
  <c r="I1727" i="1" s="1"/>
  <c r="AB1726" i="1"/>
  <c r="AA1726" i="1"/>
  <c r="I1726" i="1"/>
  <c r="AB1725" i="1"/>
  <c r="AA1725" i="1"/>
  <c r="I1725" i="1"/>
  <c r="AA1724" i="1"/>
  <c r="AB1724" i="1" s="1"/>
  <c r="I1724" i="1"/>
  <c r="AA1723" i="1"/>
  <c r="AB1723" i="1" s="1"/>
  <c r="I1723" i="1"/>
  <c r="AA1722" i="1"/>
  <c r="AB1722" i="1" s="1"/>
  <c r="H1722" i="1"/>
  <c r="I1722" i="1" s="1"/>
  <c r="AA1721" i="1"/>
  <c r="AB1721" i="1" s="1"/>
  <c r="I1721" i="1"/>
  <c r="AA1720" i="1"/>
  <c r="AB1720" i="1" s="1"/>
  <c r="I1720" i="1"/>
  <c r="AA1719" i="1"/>
  <c r="AB1719" i="1" s="1"/>
  <c r="I1719" i="1"/>
  <c r="AA1718" i="1"/>
  <c r="AB1718" i="1" s="1"/>
  <c r="I1718" i="1"/>
  <c r="AB1717" i="1"/>
  <c r="AA1717" i="1"/>
  <c r="I1717" i="1"/>
  <c r="AA1716" i="1"/>
  <c r="AB1716" i="1" s="1"/>
  <c r="I1716" i="1"/>
  <c r="AB1715" i="1"/>
  <c r="AA1715" i="1"/>
  <c r="I1715" i="1"/>
  <c r="AB1714" i="1"/>
  <c r="AA1714" i="1"/>
  <c r="T1714" i="1"/>
  <c r="I1714" i="1"/>
  <c r="AA1713" i="1"/>
  <c r="AB1713" i="1" s="1"/>
  <c r="I1713" i="1"/>
  <c r="AA1712" i="1"/>
  <c r="AB1712" i="1" s="1"/>
  <c r="I1712" i="1"/>
  <c r="AA1711" i="1"/>
  <c r="AB1711" i="1" s="1"/>
  <c r="I1711" i="1"/>
  <c r="AB1710" i="1"/>
  <c r="AA1710" i="1"/>
  <c r="I1710" i="1"/>
  <c r="AB1709" i="1"/>
  <c r="AA1709" i="1"/>
  <c r="I1709" i="1"/>
  <c r="AB1708" i="1"/>
  <c r="AA1708" i="1"/>
  <c r="I1708" i="1"/>
  <c r="H1708" i="1"/>
  <c r="AA1707" i="1"/>
  <c r="AB1707" i="1" s="1"/>
  <c r="I1707" i="1"/>
  <c r="AA1706" i="1"/>
  <c r="AB1706" i="1" s="1"/>
  <c r="I1706" i="1"/>
  <c r="AB1705" i="1"/>
  <c r="AA1705" i="1"/>
  <c r="T1705" i="1"/>
  <c r="I1705" i="1"/>
  <c r="AA1704" i="1"/>
  <c r="AB1704" i="1" s="1"/>
  <c r="I1704" i="1"/>
  <c r="H1704" i="1"/>
  <c r="AB1703" i="1"/>
  <c r="AA1703" i="1"/>
  <c r="I1703" i="1"/>
  <c r="AB1702" i="1"/>
  <c r="AA1702" i="1"/>
  <c r="I1702" i="1"/>
  <c r="H1702" i="1"/>
  <c r="AA1701" i="1"/>
  <c r="AB1701" i="1" s="1"/>
  <c r="I1701" i="1"/>
  <c r="AB1700" i="1"/>
  <c r="AA1700" i="1"/>
  <c r="I1700" i="1"/>
  <c r="AA1699" i="1"/>
  <c r="AB1699" i="1" s="1"/>
  <c r="I1699" i="1"/>
  <c r="AA1698" i="1"/>
  <c r="AB1698" i="1" s="1"/>
  <c r="I1698" i="1"/>
  <c r="H1698" i="1"/>
  <c r="AA1697" i="1"/>
  <c r="AB1697" i="1" s="1"/>
  <c r="I1697" i="1"/>
  <c r="AA1696" i="1"/>
  <c r="AB1696" i="1" s="1"/>
  <c r="H1696" i="1"/>
  <c r="I1696" i="1" s="1"/>
  <c r="AB1695" i="1"/>
  <c r="AA1695" i="1"/>
  <c r="I1695" i="1"/>
  <c r="AB1694" i="1"/>
  <c r="AA1694" i="1"/>
  <c r="I1694" i="1"/>
  <c r="AA1693" i="1"/>
  <c r="AB1693" i="1" s="1"/>
  <c r="I1693" i="1"/>
  <c r="AA1692" i="1"/>
  <c r="AB1692" i="1" s="1"/>
  <c r="I1692" i="1"/>
  <c r="AA1691" i="1"/>
  <c r="AB1691" i="1" s="1"/>
  <c r="I1691" i="1"/>
  <c r="H1691" i="1"/>
  <c r="AB1690" i="1"/>
  <c r="AA1690" i="1"/>
  <c r="I1690" i="1"/>
  <c r="AB1689" i="1"/>
  <c r="AA1689" i="1"/>
  <c r="I1689" i="1"/>
  <c r="AB1688" i="1"/>
  <c r="AA1688" i="1"/>
  <c r="I1688" i="1"/>
  <c r="AA1687" i="1"/>
  <c r="AB1687" i="1" s="1"/>
  <c r="I1687" i="1"/>
  <c r="AA1686" i="1"/>
  <c r="AB1686" i="1" s="1"/>
  <c r="T1686" i="1"/>
  <c r="I1686" i="1"/>
  <c r="AB1685" i="1"/>
  <c r="AA1685" i="1"/>
  <c r="I1685" i="1"/>
  <c r="AA1684" i="1"/>
  <c r="AB1684" i="1" s="1"/>
  <c r="I1684" i="1"/>
  <c r="AA1683" i="1"/>
  <c r="AB1683" i="1" s="1"/>
  <c r="I1683" i="1"/>
  <c r="AA1682" i="1"/>
  <c r="AB1682" i="1" s="1"/>
  <c r="I1682" i="1"/>
  <c r="AA1681" i="1"/>
  <c r="AB1681" i="1" s="1"/>
  <c r="I1681" i="1"/>
  <c r="AB1680" i="1"/>
  <c r="AA1680" i="1"/>
  <c r="I1680" i="1"/>
  <c r="AB1679" i="1"/>
  <c r="AA1679" i="1"/>
  <c r="I1679" i="1"/>
  <c r="AA1678" i="1"/>
  <c r="AB1678" i="1" s="1"/>
  <c r="T1678" i="1"/>
  <c r="I1678" i="1"/>
  <c r="AA1677" i="1"/>
  <c r="AB1677" i="1" s="1"/>
  <c r="I1677" i="1"/>
  <c r="AA1676" i="1"/>
  <c r="AB1676" i="1" s="1"/>
  <c r="I1676" i="1"/>
  <c r="AA1675" i="1"/>
  <c r="AB1675" i="1" s="1"/>
  <c r="I1675" i="1"/>
  <c r="AB1674" i="1"/>
  <c r="AA1674" i="1"/>
  <c r="T1674" i="1"/>
  <c r="I1674" i="1"/>
  <c r="AA1673" i="1"/>
  <c r="AB1673" i="1" s="1"/>
  <c r="I1673" i="1"/>
  <c r="AA1672" i="1"/>
  <c r="AB1672" i="1" s="1"/>
  <c r="I1672" i="1"/>
  <c r="AA1671" i="1"/>
  <c r="AB1671" i="1" s="1"/>
  <c r="I1671" i="1"/>
  <c r="AA1670" i="1"/>
  <c r="AB1670" i="1" s="1"/>
  <c r="I1670" i="1"/>
  <c r="AA1669" i="1"/>
  <c r="AB1669" i="1" s="1"/>
  <c r="H1669" i="1"/>
  <c r="I1669" i="1" s="1"/>
  <c r="AA1668" i="1"/>
  <c r="AB1668" i="1" s="1"/>
  <c r="I1668" i="1"/>
  <c r="AA1667" i="1"/>
  <c r="AB1667" i="1" s="1"/>
  <c r="I1667" i="1"/>
  <c r="AA1666" i="1"/>
  <c r="AB1666" i="1" s="1"/>
  <c r="I1666" i="1"/>
  <c r="AB1665" i="1"/>
  <c r="AA1665" i="1"/>
  <c r="I1665" i="1"/>
  <c r="AB1664" i="1"/>
  <c r="AA1664" i="1"/>
  <c r="I1664" i="1"/>
  <c r="AB1663" i="1"/>
  <c r="AA1663" i="1"/>
  <c r="I1663" i="1"/>
  <c r="AA1662" i="1"/>
  <c r="AB1662" i="1" s="1"/>
  <c r="I1662" i="1"/>
  <c r="AA1661" i="1"/>
  <c r="AB1661" i="1" s="1"/>
  <c r="I1661" i="1"/>
  <c r="AA1660" i="1"/>
  <c r="AB1660" i="1" s="1"/>
  <c r="I1660" i="1"/>
  <c r="H1660" i="1"/>
  <c r="AB1659" i="1"/>
  <c r="AA1659" i="1"/>
  <c r="I1659" i="1"/>
  <c r="AB1658" i="1"/>
  <c r="AA1658" i="1"/>
  <c r="I1658" i="1"/>
  <c r="AA1657" i="1"/>
  <c r="AB1657" i="1" s="1"/>
  <c r="I1657" i="1"/>
  <c r="AA1656" i="1"/>
  <c r="AB1656" i="1" s="1"/>
  <c r="I1656" i="1"/>
  <c r="AA1655" i="1"/>
  <c r="AB1655" i="1" s="1"/>
  <c r="I1655" i="1"/>
  <c r="AA1654" i="1"/>
  <c r="AB1654" i="1" s="1"/>
  <c r="I1654" i="1"/>
  <c r="AA1653" i="1"/>
  <c r="AB1653" i="1" s="1"/>
  <c r="H1653" i="1"/>
  <c r="I1653" i="1" s="1"/>
  <c r="AB1652" i="1"/>
  <c r="AA1652" i="1"/>
  <c r="I1652" i="1"/>
  <c r="AA1651" i="1"/>
  <c r="AB1651" i="1" s="1"/>
  <c r="I1651" i="1"/>
  <c r="AA1650" i="1"/>
  <c r="AB1650" i="1" s="1"/>
  <c r="I1650" i="1"/>
  <c r="AA1649" i="1"/>
  <c r="AB1649" i="1" s="1"/>
  <c r="I1649" i="1"/>
  <c r="AA1648" i="1"/>
  <c r="AB1648" i="1" s="1"/>
  <c r="I1648" i="1"/>
  <c r="AA1647" i="1"/>
  <c r="AB1647" i="1" s="1"/>
  <c r="H1647" i="1"/>
  <c r="I1647" i="1" s="1"/>
  <c r="AA1646" i="1"/>
  <c r="AB1646" i="1" s="1"/>
  <c r="I1646" i="1"/>
  <c r="AA1645" i="1"/>
  <c r="AB1645" i="1" s="1"/>
  <c r="I1645" i="1"/>
  <c r="H1645" i="1"/>
  <c r="AB1644" i="1"/>
  <c r="AA1644" i="1"/>
  <c r="I1644" i="1"/>
  <c r="AA1643" i="1"/>
  <c r="AB1643" i="1" s="1"/>
  <c r="I1643" i="1"/>
  <c r="H1643" i="1"/>
  <c r="AA1642" i="1"/>
  <c r="AB1642" i="1" s="1"/>
  <c r="I1642" i="1"/>
  <c r="AA1641" i="1"/>
  <c r="AB1641" i="1" s="1"/>
  <c r="I1641" i="1"/>
  <c r="AA1640" i="1"/>
  <c r="AB1640" i="1" s="1"/>
  <c r="I1640" i="1"/>
  <c r="AA1639" i="1"/>
  <c r="AB1639" i="1" s="1"/>
  <c r="I1639" i="1"/>
  <c r="AA1638" i="1"/>
  <c r="AB1638" i="1" s="1"/>
  <c r="I1638" i="1"/>
  <c r="AA1637" i="1"/>
  <c r="AB1637" i="1" s="1"/>
  <c r="I1637" i="1"/>
  <c r="AA1636" i="1"/>
  <c r="AB1636" i="1" s="1"/>
  <c r="I1636" i="1"/>
  <c r="AB1635" i="1"/>
  <c r="AA1635" i="1"/>
  <c r="I1635" i="1"/>
  <c r="H1635" i="1"/>
  <c r="AA1634" i="1"/>
  <c r="AB1634" i="1" s="1"/>
  <c r="I1634" i="1"/>
  <c r="AB1633" i="1"/>
  <c r="AA1633" i="1"/>
  <c r="I1633" i="1"/>
  <c r="AB1632" i="1"/>
  <c r="AA1632" i="1"/>
  <c r="I1632" i="1"/>
  <c r="AB1631" i="1"/>
  <c r="AA1631" i="1"/>
  <c r="I1631" i="1"/>
  <c r="AA1630" i="1"/>
  <c r="AB1630" i="1" s="1"/>
  <c r="I1630" i="1"/>
  <c r="H1630" i="1"/>
  <c r="AA1629" i="1"/>
  <c r="AB1629" i="1" s="1"/>
  <c r="I1629" i="1"/>
  <c r="AA1628" i="1"/>
  <c r="AB1628" i="1" s="1"/>
  <c r="I1628" i="1"/>
  <c r="AB1627" i="1"/>
  <c r="AA1627" i="1"/>
  <c r="I1627" i="1"/>
  <c r="AB1626" i="1"/>
  <c r="AA1626" i="1"/>
  <c r="I1626" i="1"/>
  <c r="AB1625" i="1"/>
  <c r="AA1625" i="1"/>
  <c r="I1625" i="1"/>
  <c r="H1625" i="1"/>
  <c r="AA1624" i="1"/>
  <c r="AB1624" i="1" s="1"/>
  <c r="I1624" i="1"/>
  <c r="AB1623" i="1"/>
  <c r="AA1623" i="1"/>
  <c r="H1623" i="1"/>
  <c r="I1623" i="1" s="1"/>
  <c r="AA1622" i="1"/>
  <c r="AB1622" i="1" s="1"/>
  <c r="I1622" i="1"/>
  <c r="AA1621" i="1"/>
  <c r="AB1621" i="1" s="1"/>
  <c r="I1621" i="1"/>
  <c r="AB1620" i="1"/>
  <c r="AA1620" i="1"/>
  <c r="I1620" i="1"/>
  <c r="AB1619" i="1"/>
  <c r="AA1619" i="1"/>
  <c r="I1619" i="1"/>
  <c r="AA1618" i="1"/>
  <c r="AB1618" i="1" s="1"/>
  <c r="I1618" i="1"/>
  <c r="AB1617" i="1"/>
  <c r="AA1617" i="1"/>
  <c r="I1617" i="1"/>
  <c r="AB1616" i="1"/>
  <c r="AA1616" i="1"/>
  <c r="I1616" i="1"/>
  <c r="AB1615" i="1"/>
  <c r="AA1615" i="1"/>
  <c r="I1615" i="1"/>
  <c r="H1615" i="1"/>
  <c r="AA1614" i="1"/>
  <c r="AB1614" i="1" s="1"/>
  <c r="I1614" i="1"/>
  <c r="AA1613" i="1"/>
  <c r="AB1613" i="1" s="1"/>
  <c r="I1613" i="1"/>
  <c r="AA1612" i="1"/>
  <c r="AB1612" i="1" s="1"/>
  <c r="I1612" i="1"/>
  <c r="AA1611" i="1"/>
  <c r="AB1611" i="1" s="1"/>
  <c r="I1611" i="1"/>
  <c r="AB1610" i="1"/>
  <c r="AA1610" i="1"/>
  <c r="I1610" i="1"/>
  <c r="AA1609" i="1"/>
  <c r="AB1609" i="1" s="1"/>
  <c r="I1609" i="1"/>
  <c r="AA1608" i="1"/>
  <c r="AB1608" i="1" s="1"/>
  <c r="I1608" i="1"/>
  <c r="AA1607" i="1"/>
  <c r="AB1607" i="1" s="1"/>
  <c r="I1607" i="1"/>
  <c r="AB1606" i="1"/>
  <c r="AA1606" i="1"/>
  <c r="I1606" i="1"/>
  <c r="AB1605" i="1"/>
  <c r="AA1605" i="1"/>
  <c r="I1605" i="1"/>
  <c r="AA1604" i="1"/>
  <c r="AB1604" i="1" s="1"/>
  <c r="I1604" i="1"/>
  <c r="AA1603" i="1"/>
  <c r="AB1603" i="1" s="1"/>
  <c r="I1603" i="1"/>
  <c r="AA1602" i="1"/>
  <c r="AB1602" i="1" s="1"/>
  <c r="I1602" i="1"/>
  <c r="AA1601" i="1"/>
  <c r="AB1601" i="1" s="1"/>
  <c r="I1601" i="1"/>
  <c r="AA1600" i="1"/>
  <c r="AB1600" i="1" s="1"/>
  <c r="H1600" i="1"/>
  <c r="I1600" i="1" s="1"/>
  <c r="AB1599" i="1"/>
  <c r="AA1599" i="1"/>
  <c r="I1599" i="1"/>
  <c r="AB1598" i="1"/>
  <c r="AA1598" i="1"/>
  <c r="I1598" i="1"/>
  <c r="AA1597" i="1"/>
  <c r="AB1597" i="1" s="1"/>
  <c r="I1597" i="1"/>
  <c r="AA1596" i="1"/>
  <c r="AB1596" i="1" s="1"/>
  <c r="I1596" i="1"/>
  <c r="H1596" i="1"/>
  <c r="AB1595" i="1"/>
  <c r="AA1595" i="1"/>
  <c r="I1595" i="1"/>
  <c r="AB1594" i="1"/>
  <c r="AA1594" i="1"/>
  <c r="I1594" i="1"/>
  <c r="AB1593" i="1"/>
  <c r="AA1593" i="1"/>
  <c r="I1593" i="1"/>
  <c r="AA1592" i="1"/>
  <c r="AB1592" i="1" s="1"/>
  <c r="I1592" i="1"/>
  <c r="AA1591" i="1"/>
  <c r="AB1591" i="1" s="1"/>
  <c r="I1591" i="1"/>
  <c r="AA1590" i="1"/>
  <c r="AB1590" i="1" s="1"/>
  <c r="I1590" i="1"/>
  <c r="AA1589" i="1"/>
  <c r="AB1589" i="1" s="1"/>
  <c r="I1589" i="1"/>
  <c r="AB1588" i="1"/>
  <c r="AA1588" i="1"/>
  <c r="I1588" i="1"/>
  <c r="AA1587" i="1"/>
  <c r="AB1587" i="1" s="1"/>
  <c r="I1587" i="1"/>
  <c r="H1587" i="1"/>
  <c r="AA1586" i="1"/>
  <c r="AB1586" i="1" s="1"/>
  <c r="I1586" i="1"/>
  <c r="AA1585" i="1"/>
  <c r="AB1585" i="1" s="1"/>
  <c r="I1585" i="1"/>
  <c r="AA1584" i="1"/>
  <c r="AB1584" i="1" s="1"/>
  <c r="I1584" i="1"/>
  <c r="AA1583" i="1"/>
  <c r="AB1583" i="1" s="1"/>
  <c r="H1583" i="1"/>
  <c r="I1583" i="1" s="1"/>
  <c r="AA1582" i="1"/>
  <c r="AB1582" i="1" s="1"/>
  <c r="I1582" i="1"/>
  <c r="AA1581" i="1"/>
  <c r="AB1581" i="1" s="1"/>
  <c r="I1581" i="1"/>
  <c r="H1581" i="1"/>
  <c r="AA1580" i="1"/>
  <c r="AB1580" i="1" s="1"/>
  <c r="I1580" i="1"/>
  <c r="AA1579" i="1"/>
  <c r="AB1579" i="1" s="1"/>
  <c r="I1579" i="1"/>
  <c r="AB1578" i="1"/>
  <c r="AA1578" i="1"/>
  <c r="I1578" i="1"/>
  <c r="AB1577" i="1"/>
  <c r="AA1577" i="1"/>
  <c r="I1577" i="1"/>
  <c r="H1577" i="1"/>
  <c r="AA1576" i="1"/>
  <c r="AB1576" i="1" s="1"/>
  <c r="I1576" i="1"/>
  <c r="AA1575" i="1"/>
  <c r="AB1575" i="1" s="1"/>
  <c r="H1575" i="1"/>
  <c r="I1575" i="1" s="1"/>
  <c r="AA1574" i="1"/>
  <c r="AB1574" i="1" s="1"/>
  <c r="I1574" i="1"/>
  <c r="AA1573" i="1"/>
  <c r="AB1573" i="1" s="1"/>
  <c r="I1573" i="1"/>
  <c r="AA1572" i="1"/>
  <c r="AB1572" i="1" s="1"/>
  <c r="I1572" i="1"/>
  <c r="AA1571" i="1"/>
  <c r="AB1571" i="1" s="1"/>
  <c r="H1571" i="1"/>
  <c r="I1571" i="1" s="1"/>
  <c r="AB1570" i="1"/>
  <c r="AA1570" i="1"/>
  <c r="I1570" i="1"/>
  <c r="AA1569" i="1"/>
  <c r="AB1569" i="1" s="1"/>
  <c r="I1569" i="1"/>
  <c r="H1569" i="1"/>
  <c r="AA1568" i="1"/>
  <c r="AB1568" i="1" s="1"/>
  <c r="I1568" i="1"/>
  <c r="AA1567" i="1"/>
  <c r="AB1567" i="1" s="1"/>
  <c r="I1567" i="1"/>
  <c r="AB1566" i="1"/>
  <c r="AA1566" i="1"/>
  <c r="I1566" i="1"/>
  <c r="AB1565" i="1"/>
  <c r="AA1565" i="1"/>
  <c r="I1565" i="1"/>
  <c r="H1565" i="1"/>
  <c r="AA1564" i="1"/>
  <c r="AB1564" i="1" s="1"/>
  <c r="I1564" i="1"/>
  <c r="AA1563" i="1"/>
  <c r="AB1563" i="1" s="1"/>
  <c r="I1563" i="1"/>
  <c r="AA1562" i="1"/>
  <c r="AB1562" i="1" s="1"/>
  <c r="I1562" i="1"/>
  <c r="AB1561" i="1"/>
  <c r="AA1561" i="1"/>
  <c r="T1561" i="1"/>
  <c r="I1561" i="1"/>
  <c r="AB1560" i="1"/>
  <c r="AA1560" i="1"/>
  <c r="T1560" i="1"/>
  <c r="I1560" i="1"/>
  <c r="AB1559" i="1"/>
  <c r="AA1559" i="1"/>
  <c r="T1559" i="1"/>
  <c r="I1559" i="1"/>
  <c r="AB1558" i="1"/>
  <c r="AA1558" i="1"/>
  <c r="I1558" i="1"/>
  <c r="AA1557" i="1"/>
  <c r="AB1557" i="1" s="1"/>
  <c r="I1557" i="1"/>
  <c r="AA1556" i="1"/>
  <c r="AB1556" i="1" s="1"/>
  <c r="T1556" i="1"/>
  <c r="I1556" i="1"/>
  <c r="AA1555" i="1"/>
  <c r="AB1555" i="1" s="1"/>
  <c r="I1555" i="1"/>
  <c r="H1555" i="1"/>
  <c r="AA1554" i="1"/>
  <c r="AB1554" i="1" s="1"/>
  <c r="I1554" i="1"/>
  <c r="AB1553" i="1"/>
  <c r="AA1553" i="1"/>
  <c r="I1553" i="1"/>
  <c r="H1553" i="1"/>
  <c r="AA1552" i="1"/>
  <c r="AB1552" i="1" s="1"/>
  <c r="I1552" i="1"/>
  <c r="AB1551" i="1"/>
  <c r="AA1551" i="1"/>
  <c r="I1551" i="1"/>
  <c r="AA1550" i="1"/>
  <c r="AB1550" i="1" s="1"/>
  <c r="I1550" i="1"/>
  <c r="AA1549" i="1"/>
  <c r="AB1549" i="1" s="1"/>
  <c r="I1549" i="1"/>
  <c r="AB1548" i="1"/>
  <c r="AA1548" i="1"/>
  <c r="I1548" i="1"/>
  <c r="AB1547" i="1"/>
  <c r="AA1547" i="1"/>
  <c r="H1547" i="1"/>
  <c r="I1547" i="1" s="1"/>
  <c r="AA1546" i="1"/>
  <c r="AB1546" i="1" s="1"/>
  <c r="I1546" i="1"/>
  <c r="AA1545" i="1"/>
  <c r="AB1545" i="1" s="1"/>
  <c r="H1545" i="1"/>
  <c r="I1545" i="1" s="1"/>
  <c r="AA1544" i="1"/>
  <c r="AB1544" i="1" s="1"/>
  <c r="I1544" i="1"/>
  <c r="AA1543" i="1"/>
  <c r="AB1543" i="1" s="1"/>
  <c r="I1543" i="1"/>
  <c r="H1543" i="1"/>
  <c r="AA1542" i="1"/>
  <c r="AB1542" i="1" s="1"/>
  <c r="I1542" i="1"/>
  <c r="AB1541" i="1"/>
  <c r="AA1541" i="1"/>
  <c r="I1541" i="1"/>
  <c r="H1541" i="1"/>
  <c r="AA1540" i="1"/>
  <c r="AB1540" i="1" s="1"/>
  <c r="I1540" i="1"/>
  <c r="AA1539" i="1"/>
  <c r="AB1539" i="1" s="1"/>
  <c r="I1539" i="1"/>
  <c r="AA1538" i="1"/>
  <c r="AB1538" i="1" s="1"/>
  <c r="I1538" i="1"/>
  <c r="AA1537" i="1"/>
  <c r="AB1537" i="1" s="1"/>
  <c r="T1537" i="1"/>
  <c r="I1537" i="1"/>
  <c r="AA1536" i="1"/>
  <c r="AB1536" i="1" s="1"/>
  <c r="I1536" i="1"/>
  <c r="AA1535" i="1"/>
  <c r="AB1535" i="1" s="1"/>
  <c r="I1535" i="1"/>
  <c r="AA1534" i="1"/>
  <c r="AB1534" i="1" s="1"/>
  <c r="I1534" i="1"/>
  <c r="AA1533" i="1"/>
  <c r="AB1533" i="1" s="1"/>
  <c r="I1533" i="1"/>
  <c r="AA1532" i="1"/>
  <c r="AB1532" i="1" s="1"/>
  <c r="H1532" i="1"/>
  <c r="I1532" i="1" s="1"/>
  <c r="AA1531" i="1"/>
  <c r="AB1531" i="1" s="1"/>
  <c r="I1531" i="1"/>
  <c r="AA1530" i="1"/>
  <c r="AB1530" i="1" s="1"/>
  <c r="I1530" i="1"/>
  <c r="AB1529" i="1"/>
  <c r="AA1529" i="1"/>
  <c r="I1529" i="1"/>
  <c r="AA1528" i="1"/>
  <c r="AB1528" i="1" s="1"/>
  <c r="H1528" i="1"/>
  <c r="I1528" i="1" s="1"/>
  <c r="AA1527" i="1"/>
  <c r="AB1527" i="1" s="1"/>
  <c r="I1527" i="1"/>
  <c r="AA1526" i="1"/>
  <c r="AB1526" i="1" s="1"/>
  <c r="I1526" i="1"/>
  <c r="AA1525" i="1"/>
  <c r="AB1525" i="1" s="1"/>
  <c r="I1525" i="1"/>
  <c r="AA1524" i="1"/>
  <c r="AB1524" i="1" s="1"/>
  <c r="I1524" i="1"/>
  <c r="AB1523" i="1"/>
  <c r="AA1523" i="1"/>
  <c r="I1523" i="1"/>
  <c r="AB1522" i="1"/>
  <c r="AA1522" i="1"/>
  <c r="I1522" i="1"/>
  <c r="AB1521" i="1"/>
  <c r="AA1521" i="1"/>
  <c r="T1521" i="1"/>
  <c r="I1521" i="1"/>
  <c r="AA1520" i="1"/>
  <c r="AB1520" i="1" s="1"/>
  <c r="I1520" i="1"/>
  <c r="AA1519" i="1"/>
  <c r="AB1519" i="1" s="1"/>
  <c r="I1519" i="1"/>
  <c r="AA1518" i="1"/>
  <c r="AB1518" i="1" s="1"/>
  <c r="I1518" i="1"/>
  <c r="AA1517" i="1"/>
  <c r="AB1517" i="1" s="1"/>
  <c r="I1517" i="1"/>
  <c r="AB1516" i="1"/>
  <c r="AA1516" i="1"/>
  <c r="I1516" i="1"/>
  <c r="H1516" i="1"/>
  <c r="AA1515" i="1"/>
  <c r="AB1515" i="1" s="1"/>
  <c r="I1515" i="1"/>
  <c r="AA1514" i="1"/>
  <c r="AB1514" i="1" s="1"/>
  <c r="I1514" i="1"/>
  <c r="AA1513" i="1"/>
  <c r="AB1513" i="1" s="1"/>
  <c r="I1513" i="1"/>
  <c r="AB1512" i="1"/>
  <c r="AA1512" i="1"/>
  <c r="T1512" i="1"/>
  <c r="I1512" i="1"/>
  <c r="AA1511" i="1"/>
  <c r="AB1511" i="1" s="1"/>
  <c r="I1511" i="1"/>
  <c r="H1511" i="1"/>
  <c r="AA1510" i="1"/>
  <c r="AB1510" i="1" s="1"/>
  <c r="I1510" i="1"/>
  <c r="AA1509" i="1"/>
  <c r="AB1509" i="1" s="1"/>
  <c r="I1509" i="1"/>
  <c r="AA1508" i="1"/>
  <c r="AB1508" i="1" s="1"/>
  <c r="I1508" i="1"/>
  <c r="AB1507" i="1"/>
  <c r="AA1507" i="1"/>
  <c r="I1507" i="1"/>
  <c r="AA1506" i="1"/>
  <c r="AB1506" i="1" s="1"/>
  <c r="I1506" i="1"/>
  <c r="AA1505" i="1"/>
  <c r="AB1505" i="1" s="1"/>
  <c r="I1505" i="1"/>
  <c r="AA1504" i="1"/>
  <c r="AB1504" i="1" s="1"/>
  <c r="I1504" i="1"/>
  <c r="AA1503" i="1"/>
  <c r="AB1503" i="1" s="1"/>
  <c r="I1503" i="1"/>
  <c r="AA1502" i="1"/>
  <c r="AB1502" i="1" s="1"/>
  <c r="I1502" i="1"/>
  <c r="AB1501" i="1"/>
  <c r="AA1501" i="1"/>
  <c r="I1501" i="1"/>
  <c r="AB1500" i="1"/>
  <c r="AA1500" i="1"/>
  <c r="I1500" i="1"/>
  <c r="AB1499" i="1"/>
  <c r="AA1499" i="1"/>
  <c r="I1499" i="1"/>
  <c r="AA1498" i="1"/>
  <c r="AB1498" i="1" s="1"/>
  <c r="I1498" i="1"/>
  <c r="AA1497" i="1"/>
  <c r="AB1497" i="1" s="1"/>
  <c r="I1497" i="1"/>
  <c r="AA1496" i="1"/>
  <c r="AB1496" i="1" s="1"/>
  <c r="I1496" i="1"/>
  <c r="AA1495" i="1"/>
  <c r="AB1495" i="1" s="1"/>
  <c r="H1495" i="1"/>
  <c r="I1495" i="1" s="1"/>
  <c r="AB1494" i="1"/>
  <c r="AA1494" i="1"/>
  <c r="I1494" i="1"/>
  <c r="AA1493" i="1"/>
  <c r="AB1493" i="1" s="1"/>
  <c r="I1493" i="1"/>
  <c r="AA1492" i="1"/>
  <c r="AB1492" i="1" s="1"/>
  <c r="I1492" i="1"/>
  <c r="AA1491" i="1"/>
  <c r="AB1491" i="1" s="1"/>
  <c r="I1491" i="1"/>
  <c r="AA1490" i="1"/>
  <c r="AB1490" i="1" s="1"/>
  <c r="I1490" i="1"/>
  <c r="AB1489" i="1"/>
  <c r="AA1489" i="1"/>
  <c r="I1489" i="1"/>
  <c r="AB1488" i="1"/>
  <c r="AA1488" i="1"/>
  <c r="T1488" i="1"/>
  <c r="I1488" i="1"/>
  <c r="AA1487" i="1"/>
  <c r="AB1487" i="1" s="1"/>
  <c r="I1487" i="1"/>
  <c r="AA1486" i="1"/>
  <c r="AB1486" i="1" s="1"/>
  <c r="H1486" i="1"/>
  <c r="I1486" i="1" s="1"/>
  <c r="AB1485" i="1"/>
  <c r="AA1485" i="1"/>
  <c r="I1485" i="1"/>
  <c r="AB1484" i="1"/>
  <c r="AA1484" i="1"/>
  <c r="I1484" i="1"/>
  <c r="H1484" i="1"/>
  <c r="AA1483" i="1"/>
  <c r="AB1483" i="1" s="1"/>
  <c r="I1483" i="1"/>
  <c r="AA1482" i="1"/>
  <c r="AB1482" i="1" s="1"/>
  <c r="I1482" i="1"/>
  <c r="AA1481" i="1"/>
  <c r="AB1481" i="1" s="1"/>
  <c r="I1481" i="1"/>
  <c r="AA1480" i="1"/>
  <c r="AB1480" i="1" s="1"/>
  <c r="I1480" i="1"/>
  <c r="AB1479" i="1"/>
  <c r="AA1479" i="1"/>
  <c r="I1479" i="1"/>
  <c r="AA1478" i="1"/>
  <c r="AB1478" i="1" s="1"/>
  <c r="I1478" i="1"/>
  <c r="AA1477" i="1"/>
  <c r="AB1477" i="1" s="1"/>
  <c r="T1477" i="1"/>
  <c r="I1477" i="1"/>
  <c r="AB1476" i="1"/>
  <c r="AA1476" i="1"/>
  <c r="I1476" i="1"/>
  <c r="AB1475" i="1"/>
  <c r="AA1475" i="1"/>
  <c r="I1475" i="1"/>
  <c r="AA1474" i="1"/>
  <c r="AB1474" i="1" s="1"/>
  <c r="I1474" i="1"/>
  <c r="AA1473" i="1"/>
  <c r="AB1473" i="1" s="1"/>
  <c r="I1473" i="1"/>
  <c r="AA1472" i="1"/>
  <c r="AB1472" i="1" s="1"/>
  <c r="I1472" i="1"/>
  <c r="AA1471" i="1"/>
  <c r="AB1471" i="1" s="1"/>
  <c r="I1471" i="1"/>
  <c r="AB1470" i="1"/>
  <c r="AA1470" i="1"/>
  <c r="I1470" i="1"/>
  <c r="AB1469" i="1"/>
  <c r="AA1469" i="1"/>
  <c r="T1469" i="1"/>
  <c r="I1469" i="1"/>
  <c r="AA1468" i="1"/>
  <c r="AB1468" i="1" s="1"/>
  <c r="I1468" i="1"/>
  <c r="H1468" i="1"/>
  <c r="AA1467" i="1"/>
  <c r="AB1467" i="1" s="1"/>
  <c r="I1467" i="1"/>
  <c r="AA1466" i="1"/>
  <c r="AB1466" i="1" s="1"/>
  <c r="I1466" i="1"/>
  <c r="AA1465" i="1"/>
  <c r="AB1465" i="1" s="1"/>
  <c r="I1465" i="1"/>
  <c r="AB1464" i="1"/>
  <c r="AA1464" i="1"/>
  <c r="I1464" i="1"/>
  <c r="AA1463" i="1"/>
  <c r="AB1463" i="1" s="1"/>
  <c r="I1463" i="1"/>
  <c r="H1463" i="1"/>
  <c r="AB1462" i="1"/>
  <c r="AA1462" i="1"/>
  <c r="I1462" i="1"/>
  <c r="AB1461" i="1"/>
  <c r="AA1461" i="1"/>
  <c r="I1461" i="1"/>
  <c r="AB1460" i="1"/>
  <c r="AA1460" i="1"/>
  <c r="I1460" i="1"/>
  <c r="H1460" i="1"/>
  <c r="AB1459" i="1"/>
  <c r="AA1459" i="1"/>
  <c r="I1459" i="1"/>
  <c r="AA1458" i="1"/>
  <c r="AB1458" i="1" s="1"/>
  <c r="I1458" i="1"/>
  <c r="AA1457" i="1"/>
  <c r="AB1457" i="1" s="1"/>
  <c r="I1457" i="1"/>
  <c r="AB1456" i="1"/>
  <c r="AA1456" i="1"/>
  <c r="I1456" i="1"/>
  <c r="AB1455" i="1"/>
  <c r="AA1455" i="1"/>
  <c r="I1455" i="1"/>
  <c r="AA1454" i="1"/>
  <c r="AB1454" i="1" s="1"/>
  <c r="I1454" i="1"/>
  <c r="H1454" i="1"/>
  <c r="AA1453" i="1"/>
  <c r="AB1453" i="1" s="1"/>
  <c r="I1453" i="1"/>
  <c r="AB1452" i="1"/>
  <c r="AA1452" i="1"/>
  <c r="I1452" i="1"/>
  <c r="AB1451" i="1"/>
  <c r="AA1451" i="1"/>
  <c r="I1451" i="1"/>
  <c r="AB1450" i="1"/>
  <c r="AA1450" i="1"/>
  <c r="I1450" i="1"/>
  <c r="H1450" i="1"/>
  <c r="AA1449" i="1"/>
  <c r="AB1449" i="1" s="1"/>
  <c r="I1449" i="1"/>
  <c r="AA1448" i="1"/>
  <c r="AB1448" i="1" s="1"/>
  <c r="I1448" i="1"/>
  <c r="AB1447" i="1"/>
  <c r="AA1447" i="1"/>
  <c r="I1447" i="1"/>
  <c r="AB1446" i="1"/>
  <c r="AA1446" i="1"/>
  <c r="T1446" i="1"/>
  <c r="I1446" i="1"/>
  <c r="AA1445" i="1"/>
  <c r="AB1445" i="1" s="1"/>
  <c r="T1445" i="1"/>
  <c r="I1445" i="1"/>
  <c r="AB1444" i="1"/>
  <c r="AA1444" i="1"/>
  <c r="I1444" i="1"/>
  <c r="AB1443" i="1"/>
  <c r="AA1443" i="1"/>
  <c r="I1443" i="1"/>
  <c r="AB1442" i="1"/>
  <c r="AA1442" i="1"/>
  <c r="I1442" i="1"/>
  <c r="AA1441" i="1"/>
  <c r="AB1441" i="1" s="1"/>
  <c r="I1441" i="1"/>
  <c r="AA1440" i="1"/>
  <c r="AB1440" i="1" s="1"/>
  <c r="I1440" i="1"/>
  <c r="AB1439" i="1"/>
  <c r="AA1439" i="1"/>
  <c r="H1439" i="1"/>
  <c r="I1439" i="1" s="1"/>
  <c r="AB1438" i="1"/>
  <c r="AA1438" i="1"/>
  <c r="I1438" i="1"/>
  <c r="AA1437" i="1"/>
  <c r="AB1437" i="1" s="1"/>
  <c r="I1437" i="1"/>
  <c r="AA1436" i="1"/>
  <c r="AB1436" i="1" s="1"/>
  <c r="I1436" i="1"/>
  <c r="AA1435" i="1"/>
  <c r="AB1435" i="1" s="1"/>
  <c r="I1435" i="1"/>
  <c r="AA1434" i="1"/>
  <c r="AB1434" i="1" s="1"/>
  <c r="I1434" i="1"/>
  <c r="AB1433" i="1"/>
  <c r="AA1433" i="1"/>
  <c r="I1433" i="1"/>
  <c r="AA1432" i="1"/>
  <c r="AB1432" i="1" s="1"/>
  <c r="I1432" i="1"/>
  <c r="AB1431" i="1"/>
  <c r="AA1431" i="1"/>
  <c r="I1431" i="1"/>
  <c r="AB1430" i="1"/>
  <c r="AA1430" i="1"/>
  <c r="I1430" i="1"/>
  <c r="AB1429" i="1"/>
  <c r="AA1429" i="1"/>
  <c r="T1429" i="1"/>
  <c r="I1429" i="1"/>
  <c r="AA1428" i="1"/>
  <c r="AB1428" i="1" s="1"/>
  <c r="I1428" i="1"/>
  <c r="AA1427" i="1"/>
  <c r="AB1427" i="1" s="1"/>
  <c r="H1427" i="1"/>
  <c r="I1427" i="1" s="1"/>
  <c r="AA1426" i="1"/>
  <c r="AB1426" i="1" s="1"/>
  <c r="I1426" i="1"/>
  <c r="AA1425" i="1"/>
  <c r="AB1425" i="1" s="1"/>
  <c r="H1425" i="1"/>
  <c r="I1425" i="1" s="1"/>
  <c r="AB1424" i="1"/>
  <c r="AA1424" i="1"/>
  <c r="I1424" i="1"/>
  <c r="AB1423" i="1"/>
  <c r="AA1423" i="1"/>
  <c r="I1423" i="1"/>
  <c r="AA1422" i="1"/>
  <c r="AB1422" i="1" s="1"/>
  <c r="I1422" i="1"/>
  <c r="AA1421" i="1"/>
  <c r="AB1421" i="1" s="1"/>
  <c r="I1421" i="1"/>
  <c r="H1421" i="1"/>
  <c r="AB1420" i="1"/>
  <c r="AA1420" i="1"/>
  <c r="I1420" i="1"/>
  <c r="AB1419" i="1"/>
  <c r="AA1419" i="1"/>
  <c r="T1419" i="1"/>
  <c r="I1419" i="1"/>
  <c r="AA1418" i="1"/>
  <c r="AB1418" i="1" s="1"/>
  <c r="I1418" i="1"/>
  <c r="H1418" i="1"/>
  <c r="AB1417" i="1"/>
  <c r="AA1417" i="1"/>
  <c r="I1417" i="1"/>
  <c r="AB1416" i="1"/>
  <c r="AA1416" i="1"/>
  <c r="I1416" i="1"/>
  <c r="AB1415" i="1"/>
  <c r="AA1415" i="1"/>
  <c r="I1415" i="1"/>
  <c r="AA1414" i="1"/>
  <c r="AB1414" i="1" s="1"/>
  <c r="I1414" i="1"/>
  <c r="AA1413" i="1"/>
  <c r="AB1413" i="1" s="1"/>
  <c r="I1413" i="1"/>
  <c r="AA1412" i="1"/>
  <c r="AB1412" i="1" s="1"/>
  <c r="H1412" i="1"/>
  <c r="I1412" i="1" s="1"/>
  <c r="AA1411" i="1"/>
  <c r="AB1411" i="1" s="1"/>
  <c r="I1411" i="1"/>
  <c r="AA1410" i="1"/>
  <c r="AB1410" i="1" s="1"/>
  <c r="I1410" i="1"/>
  <c r="AA1409" i="1"/>
  <c r="AB1409" i="1" s="1"/>
  <c r="T1409" i="1"/>
  <c r="I1409" i="1"/>
  <c r="AA1408" i="1"/>
  <c r="AB1408" i="1" s="1"/>
  <c r="I1408" i="1"/>
  <c r="AB1407" i="1"/>
  <c r="AA1407" i="1"/>
  <c r="I1407" i="1"/>
  <c r="AA1406" i="1"/>
  <c r="AB1406" i="1" s="1"/>
  <c r="I1406" i="1"/>
  <c r="AA1405" i="1"/>
  <c r="AB1405" i="1" s="1"/>
  <c r="I1405" i="1"/>
  <c r="AA1404" i="1"/>
  <c r="AB1404" i="1" s="1"/>
  <c r="I1404" i="1"/>
  <c r="AA1403" i="1"/>
  <c r="AB1403" i="1" s="1"/>
  <c r="I1403" i="1"/>
  <c r="AA1402" i="1"/>
  <c r="AB1402" i="1" s="1"/>
  <c r="H1402" i="1"/>
  <c r="I1402" i="1" s="1"/>
  <c r="AB1401" i="1"/>
  <c r="AA1401" i="1"/>
  <c r="I1401" i="1"/>
  <c r="AB1400" i="1"/>
  <c r="AA1400" i="1"/>
  <c r="I1400" i="1"/>
  <c r="AA1399" i="1"/>
  <c r="AB1399" i="1" s="1"/>
  <c r="I1399" i="1"/>
  <c r="AA1398" i="1"/>
  <c r="AB1398" i="1" s="1"/>
  <c r="T1398" i="1"/>
  <c r="I1398" i="1"/>
  <c r="AB1397" i="1"/>
  <c r="AA1397" i="1"/>
  <c r="I1397" i="1"/>
  <c r="AB1396" i="1"/>
  <c r="AA1396" i="1"/>
  <c r="H1396" i="1"/>
  <c r="I1396" i="1" s="1"/>
  <c r="AB1395" i="1"/>
  <c r="AA1395" i="1"/>
  <c r="I1395" i="1"/>
  <c r="AA1394" i="1"/>
  <c r="AB1394" i="1" s="1"/>
  <c r="I1394" i="1"/>
  <c r="AA1393" i="1"/>
  <c r="AB1393" i="1" s="1"/>
  <c r="I1393" i="1"/>
  <c r="AB1392" i="1"/>
  <c r="AA1392" i="1"/>
  <c r="I1392" i="1"/>
  <c r="AB1391" i="1"/>
  <c r="AA1391" i="1"/>
  <c r="I1391" i="1"/>
  <c r="AB1390" i="1"/>
  <c r="AA1390" i="1"/>
  <c r="I1390" i="1"/>
  <c r="AA1389" i="1"/>
  <c r="AB1389" i="1" s="1"/>
  <c r="T1389" i="1"/>
  <c r="I1389" i="1"/>
  <c r="AA1388" i="1"/>
  <c r="AB1388" i="1" s="1"/>
  <c r="I1388" i="1"/>
  <c r="AB1387" i="1"/>
  <c r="AA1387" i="1"/>
  <c r="H1387" i="1"/>
  <c r="I1387" i="1" s="1"/>
  <c r="AA1386" i="1"/>
  <c r="AB1386" i="1" s="1"/>
  <c r="I1386" i="1"/>
  <c r="AA1385" i="1"/>
  <c r="AB1385" i="1" s="1"/>
  <c r="H1385" i="1"/>
  <c r="I1385" i="1" s="1"/>
  <c r="AA1384" i="1"/>
  <c r="AB1384" i="1" s="1"/>
  <c r="I1384" i="1"/>
  <c r="AB1383" i="1"/>
  <c r="AA1383" i="1"/>
  <c r="I1383" i="1"/>
  <c r="AA1382" i="1"/>
  <c r="AB1382" i="1" s="1"/>
  <c r="I1382" i="1"/>
  <c r="H1382" i="1"/>
  <c r="AA1381" i="1"/>
  <c r="AB1381" i="1" s="1"/>
  <c r="I1381" i="1"/>
  <c r="AB1380" i="1"/>
  <c r="AA1380" i="1"/>
  <c r="I1380" i="1"/>
  <c r="AB1379" i="1"/>
  <c r="AA1379" i="1"/>
  <c r="I1379" i="1"/>
  <c r="AB1378" i="1"/>
  <c r="AA1378" i="1"/>
  <c r="I1378" i="1"/>
  <c r="H1378" i="1"/>
  <c r="AA1377" i="1"/>
  <c r="AB1377" i="1" s="1"/>
  <c r="I1377" i="1"/>
  <c r="AA1376" i="1"/>
  <c r="AB1376" i="1" s="1"/>
  <c r="I1376" i="1"/>
  <c r="AA1375" i="1"/>
  <c r="AB1375" i="1" s="1"/>
  <c r="H1375" i="1"/>
  <c r="I1375" i="1" s="1"/>
  <c r="AA1374" i="1"/>
  <c r="AB1374" i="1" s="1"/>
  <c r="I1374" i="1"/>
  <c r="AA1373" i="1"/>
  <c r="AB1373" i="1" s="1"/>
  <c r="I1373" i="1"/>
  <c r="AA1372" i="1"/>
  <c r="AB1372" i="1" s="1"/>
  <c r="H1372" i="1"/>
  <c r="I1372" i="1" s="1"/>
  <c r="AB1371" i="1"/>
  <c r="AA1371" i="1"/>
  <c r="I1371" i="1"/>
  <c r="AA1370" i="1"/>
  <c r="AB1370" i="1" s="1"/>
  <c r="I1370" i="1"/>
  <c r="H1370" i="1"/>
  <c r="AA1369" i="1"/>
  <c r="AB1369" i="1" s="1"/>
  <c r="I1369" i="1"/>
  <c r="AB1368" i="1"/>
  <c r="AA1368" i="1"/>
  <c r="I1368" i="1"/>
  <c r="AB1367" i="1"/>
  <c r="AA1367" i="1"/>
  <c r="H1367" i="1"/>
  <c r="I1367" i="1" s="1"/>
  <c r="AB1366" i="1"/>
  <c r="AA1366" i="1"/>
  <c r="I1366" i="1"/>
  <c r="AB1365" i="1"/>
  <c r="AA1365" i="1"/>
  <c r="T1365" i="1"/>
  <c r="I1365" i="1"/>
  <c r="AA1364" i="1"/>
  <c r="AB1364" i="1" s="1"/>
  <c r="T1364" i="1"/>
  <c r="I1364" i="1"/>
  <c r="AB1363" i="1"/>
  <c r="AA1363" i="1"/>
  <c r="I1363" i="1"/>
  <c r="AA1362" i="1"/>
  <c r="AB1362" i="1" s="1"/>
  <c r="I1362" i="1"/>
  <c r="AA1361" i="1"/>
  <c r="AB1361" i="1" s="1"/>
  <c r="I1361" i="1"/>
  <c r="AB1360" i="1"/>
  <c r="AA1360" i="1"/>
  <c r="H1360" i="1"/>
  <c r="I1360" i="1" s="1"/>
  <c r="AB1359" i="1"/>
  <c r="AA1359" i="1"/>
  <c r="I1359" i="1"/>
  <c r="AB1358" i="1"/>
  <c r="AA1358" i="1"/>
  <c r="I1358" i="1"/>
  <c r="AA1357" i="1"/>
  <c r="AB1357" i="1" s="1"/>
  <c r="I1357" i="1"/>
  <c r="AB1356" i="1"/>
  <c r="AA1356" i="1"/>
  <c r="I1356" i="1"/>
  <c r="AB1355" i="1"/>
  <c r="AA1355" i="1"/>
  <c r="H1355" i="1"/>
  <c r="I1355" i="1" s="1"/>
  <c r="AB1354" i="1"/>
  <c r="AA1354" i="1"/>
  <c r="I1354" i="1"/>
  <c r="AA1353" i="1"/>
  <c r="AB1353" i="1" s="1"/>
  <c r="I1353" i="1"/>
  <c r="AA1352" i="1"/>
  <c r="AB1352" i="1" s="1"/>
  <c r="I1352" i="1"/>
  <c r="AB1351" i="1"/>
  <c r="AA1351" i="1"/>
  <c r="T1351" i="1"/>
  <c r="I1351" i="1"/>
  <c r="AA1350" i="1"/>
  <c r="AB1350" i="1" s="1"/>
  <c r="I1350" i="1"/>
  <c r="AA1349" i="1"/>
  <c r="AB1349" i="1" s="1"/>
  <c r="I1349" i="1"/>
  <c r="AA1348" i="1"/>
  <c r="AB1348" i="1" s="1"/>
  <c r="I1348" i="1"/>
  <c r="AA1347" i="1"/>
  <c r="AB1347" i="1" s="1"/>
  <c r="I1347" i="1"/>
  <c r="AA1346" i="1"/>
  <c r="AB1346" i="1" s="1"/>
  <c r="I1346" i="1"/>
  <c r="AB1345" i="1"/>
  <c r="AA1345" i="1"/>
  <c r="I1345" i="1"/>
  <c r="AB1344" i="1"/>
  <c r="AA1344" i="1"/>
  <c r="I1344" i="1"/>
  <c r="AA1343" i="1"/>
  <c r="AB1343" i="1" s="1"/>
  <c r="I1343" i="1"/>
  <c r="AA1342" i="1"/>
  <c r="AB1342" i="1" s="1"/>
  <c r="T1342" i="1"/>
  <c r="I1342" i="1"/>
  <c r="AB1341" i="1"/>
  <c r="AA1341" i="1"/>
  <c r="I1341" i="1"/>
  <c r="AB1340" i="1"/>
  <c r="AA1340" i="1"/>
  <c r="I1340" i="1"/>
  <c r="AA1339" i="1"/>
  <c r="AB1339" i="1" s="1"/>
  <c r="I1339" i="1"/>
  <c r="AA1338" i="1"/>
  <c r="AB1338" i="1" s="1"/>
  <c r="I1338" i="1"/>
  <c r="AA1337" i="1"/>
  <c r="AB1337" i="1" s="1"/>
  <c r="I1337" i="1"/>
  <c r="H1337" i="1"/>
  <c r="AB1336" i="1"/>
  <c r="AA1336" i="1"/>
  <c r="I1336" i="1"/>
  <c r="AB1335" i="1"/>
  <c r="AA1335" i="1"/>
  <c r="I1335" i="1"/>
  <c r="AB1334" i="1"/>
  <c r="AA1334" i="1"/>
  <c r="I1334" i="1"/>
  <c r="AA1333" i="1"/>
  <c r="AB1333" i="1" s="1"/>
  <c r="I1333" i="1"/>
  <c r="H1333" i="1"/>
  <c r="AA1332" i="1"/>
  <c r="AB1332" i="1" s="1"/>
  <c r="I1332" i="1"/>
  <c r="AA1331" i="1"/>
  <c r="AB1331" i="1" s="1"/>
  <c r="I1331" i="1"/>
  <c r="AA1330" i="1"/>
  <c r="AB1330" i="1" s="1"/>
  <c r="I1330" i="1"/>
  <c r="AA1329" i="1"/>
  <c r="AB1329" i="1" s="1"/>
  <c r="I1329" i="1"/>
  <c r="AA1328" i="1"/>
  <c r="AB1328" i="1" s="1"/>
  <c r="I1328" i="1"/>
  <c r="AA1327" i="1"/>
  <c r="AB1327" i="1" s="1"/>
  <c r="T1327" i="1"/>
  <c r="I1327" i="1"/>
  <c r="AA1326" i="1"/>
  <c r="AB1326" i="1" s="1"/>
  <c r="I1326" i="1"/>
  <c r="H1326" i="1"/>
  <c r="AA1325" i="1"/>
  <c r="AB1325" i="1" s="1"/>
  <c r="I1325" i="1"/>
  <c r="AA1324" i="1"/>
  <c r="AB1324" i="1" s="1"/>
  <c r="I1324" i="1"/>
  <c r="AA1323" i="1"/>
  <c r="AB1323" i="1" s="1"/>
  <c r="I1323" i="1"/>
  <c r="AA1322" i="1"/>
  <c r="AB1322" i="1" s="1"/>
  <c r="I1322" i="1"/>
  <c r="AB1321" i="1"/>
  <c r="AA1321" i="1"/>
  <c r="I1321" i="1"/>
  <c r="AB1320" i="1"/>
  <c r="AA1320" i="1"/>
  <c r="H1320" i="1"/>
  <c r="I1320" i="1" s="1"/>
  <c r="AA1319" i="1"/>
  <c r="AB1319" i="1" s="1"/>
  <c r="I1319" i="1"/>
  <c r="AB1318" i="1"/>
  <c r="AA1318" i="1"/>
  <c r="H1318" i="1"/>
  <c r="I1318" i="1" s="1"/>
  <c r="AA1317" i="1"/>
  <c r="AB1317" i="1" s="1"/>
  <c r="I1317" i="1"/>
  <c r="AA1316" i="1"/>
  <c r="AB1316" i="1" s="1"/>
  <c r="I1316" i="1"/>
  <c r="AA1315" i="1"/>
  <c r="AB1315" i="1" s="1"/>
  <c r="I1315" i="1"/>
  <c r="AA1314" i="1"/>
  <c r="AB1314" i="1" s="1"/>
  <c r="I1314" i="1"/>
  <c r="AB1313" i="1"/>
  <c r="AA1313" i="1"/>
  <c r="I1313" i="1"/>
  <c r="AA1312" i="1"/>
  <c r="AB1312" i="1" s="1"/>
  <c r="I1312" i="1"/>
  <c r="AB1311" i="1"/>
  <c r="AA1311" i="1"/>
  <c r="I1311" i="1"/>
  <c r="H1311" i="1"/>
  <c r="AA1310" i="1"/>
  <c r="AB1310" i="1" s="1"/>
  <c r="I1310" i="1"/>
  <c r="AB1309" i="1"/>
  <c r="AA1309" i="1"/>
  <c r="I1309" i="1"/>
  <c r="AA1308" i="1"/>
  <c r="AB1308" i="1" s="1"/>
  <c r="H1308" i="1"/>
  <c r="I1308" i="1" s="1"/>
  <c r="AA1307" i="1"/>
  <c r="AB1307" i="1" s="1"/>
  <c r="I1307" i="1"/>
  <c r="AA1306" i="1"/>
  <c r="AB1306" i="1" s="1"/>
  <c r="I1306" i="1"/>
  <c r="AA1305" i="1"/>
  <c r="AB1305" i="1" s="1"/>
  <c r="I1305" i="1"/>
  <c r="AB1304" i="1"/>
  <c r="AA1304" i="1"/>
  <c r="I1304" i="1"/>
  <c r="AA1303" i="1"/>
  <c r="AB1303" i="1" s="1"/>
  <c r="I1303" i="1"/>
  <c r="AA1302" i="1"/>
  <c r="AB1302" i="1" s="1"/>
  <c r="I1302" i="1"/>
  <c r="H1302" i="1"/>
  <c r="AA1301" i="1"/>
  <c r="AB1301" i="1" s="1"/>
  <c r="I1301" i="1"/>
  <c r="AA1300" i="1"/>
  <c r="AB1300" i="1" s="1"/>
  <c r="H1300" i="1"/>
  <c r="I1300" i="1" s="1"/>
  <c r="AB1299" i="1"/>
  <c r="AA1299" i="1"/>
  <c r="I1299" i="1"/>
  <c r="AB1298" i="1"/>
  <c r="AA1298" i="1"/>
  <c r="I1298" i="1"/>
  <c r="AA1297" i="1"/>
  <c r="AB1297" i="1" s="1"/>
  <c r="I1297" i="1"/>
  <c r="AA1296" i="1"/>
  <c r="AB1296" i="1" s="1"/>
  <c r="I1296" i="1"/>
  <c r="H1296" i="1"/>
  <c r="AB1295" i="1"/>
  <c r="AA1295" i="1"/>
  <c r="I1295" i="1"/>
  <c r="AA1294" i="1"/>
  <c r="AB1294" i="1" s="1"/>
  <c r="I1294" i="1"/>
  <c r="H1294" i="1"/>
  <c r="AA1293" i="1"/>
  <c r="AB1293" i="1" s="1"/>
  <c r="I1293" i="1"/>
  <c r="AA1292" i="1"/>
  <c r="AB1292" i="1" s="1"/>
  <c r="H1292" i="1"/>
  <c r="I1292" i="1" s="1"/>
  <c r="AA1291" i="1"/>
  <c r="AB1291" i="1" s="1"/>
  <c r="I1291" i="1"/>
  <c r="AA1290" i="1"/>
  <c r="AB1290" i="1" s="1"/>
  <c r="T1290" i="1"/>
  <c r="I1290" i="1"/>
  <c r="AA1289" i="1"/>
  <c r="AB1289" i="1" s="1"/>
  <c r="T1289" i="1"/>
  <c r="I1289" i="1"/>
  <c r="AA1288" i="1"/>
  <c r="AB1288" i="1" s="1"/>
  <c r="I1288" i="1"/>
  <c r="H1288" i="1"/>
  <c r="AA1287" i="1"/>
  <c r="AB1287" i="1" s="1"/>
  <c r="I1287" i="1"/>
  <c r="AA1286" i="1"/>
  <c r="AB1286" i="1" s="1"/>
  <c r="I1286" i="1"/>
  <c r="H1286" i="1"/>
  <c r="AA1285" i="1"/>
  <c r="AB1285" i="1" s="1"/>
  <c r="I1285" i="1"/>
  <c r="AA1284" i="1"/>
  <c r="AB1284" i="1" s="1"/>
  <c r="I1284" i="1"/>
  <c r="H1284" i="1"/>
  <c r="AA1283" i="1"/>
  <c r="AB1283" i="1" s="1"/>
  <c r="I1283" i="1"/>
  <c r="AA1282" i="1"/>
  <c r="AB1282" i="1" s="1"/>
  <c r="T1282" i="1"/>
  <c r="I1282" i="1"/>
  <c r="AA1281" i="1"/>
  <c r="AB1281" i="1" s="1"/>
  <c r="I1281" i="1"/>
  <c r="AA1280" i="1"/>
  <c r="AB1280" i="1" s="1"/>
  <c r="I1280" i="1"/>
  <c r="AA1279" i="1"/>
  <c r="AB1279" i="1" s="1"/>
  <c r="I1279" i="1"/>
  <c r="AA1278" i="1"/>
  <c r="AB1278" i="1" s="1"/>
  <c r="H1278" i="1"/>
  <c r="I1278" i="1" s="1"/>
  <c r="AA1277" i="1"/>
  <c r="AB1277" i="1" s="1"/>
  <c r="I1277" i="1"/>
  <c r="AA1276" i="1"/>
  <c r="AB1276" i="1" s="1"/>
  <c r="I1276" i="1"/>
  <c r="AA1275" i="1"/>
  <c r="AB1275" i="1" s="1"/>
  <c r="I1275" i="1"/>
  <c r="AA1274" i="1"/>
  <c r="AB1274" i="1" s="1"/>
  <c r="I1274" i="1"/>
  <c r="AA1273" i="1"/>
  <c r="AB1273" i="1" s="1"/>
  <c r="I1273" i="1"/>
  <c r="AA1272" i="1"/>
  <c r="AB1272" i="1" s="1"/>
  <c r="I1272" i="1"/>
  <c r="AA1271" i="1"/>
  <c r="AB1271" i="1" s="1"/>
  <c r="I1271" i="1"/>
  <c r="H1271" i="1"/>
  <c r="AB1270" i="1"/>
  <c r="AA1270" i="1"/>
  <c r="I1270" i="1"/>
  <c r="AA1269" i="1"/>
  <c r="AB1269" i="1" s="1"/>
  <c r="I1269" i="1"/>
  <c r="AB1268" i="1"/>
  <c r="AA1268" i="1"/>
  <c r="I1268" i="1"/>
  <c r="AB1267" i="1"/>
  <c r="AA1267" i="1"/>
  <c r="I1267" i="1"/>
  <c r="AB1266" i="1"/>
  <c r="AA1266" i="1"/>
  <c r="I1266" i="1"/>
  <c r="AA1265" i="1"/>
  <c r="AB1265" i="1" s="1"/>
  <c r="I1265" i="1"/>
  <c r="AA1264" i="1"/>
  <c r="AB1264" i="1" s="1"/>
  <c r="I1264" i="1"/>
  <c r="AA1263" i="1"/>
  <c r="AB1263" i="1" s="1"/>
  <c r="H1263" i="1"/>
  <c r="I1263" i="1" s="1"/>
  <c r="AA1262" i="1"/>
  <c r="AB1262" i="1" s="1"/>
  <c r="I1262" i="1"/>
  <c r="AA1261" i="1"/>
  <c r="AB1261" i="1" s="1"/>
  <c r="I1261" i="1"/>
  <c r="AA1260" i="1"/>
  <c r="AB1260" i="1" s="1"/>
  <c r="I1260" i="1"/>
  <c r="AA1259" i="1"/>
  <c r="AB1259" i="1" s="1"/>
  <c r="T1259" i="1"/>
  <c r="I1259" i="1"/>
  <c r="AA1258" i="1"/>
  <c r="AB1258" i="1" s="1"/>
  <c r="H1258" i="1"/>
  <c r="I1258" i="1" s="1"/>
  <c r="AA1257" i="1"/>
  <c r="AB1257" i="1" s="1"/>
  <c r="I1257" i="1"/>
  <c r="AA1256" i="1"/>
  <c r="AB1256" i="1" s="1"/>
  <c r="I1256" i="1"/>
  <c r="AA1255" i="1"/>
  <c r="AB1255" i="1" s="1"/>
  <c r="I1255" i="1"/>
  <c r="AA1254" i="1"/>
  <c r="AB1254" i="1" s="1"/>
  <c r="I1254" i="1"/>
  <c r="AB1253" i="1"/>
  <c r="AA1253" i="1"/>
  <c r="H1253" i="1"/>
  <c r="I1253" i="1" s="1"/>
  <c r="AA1252" i="1"/>
  <c r="AB1252" i="1" s="1"/>
  <c r="I1252" i="1"/>
  <c r="AA1251" i="1"/>
  <c r="AB1251" i="1" s="1"/>
  <c r="I1251" i="1"/>
  <c r="AA1250" i="1"/>
  <c r="AB1250" i="1" s="1"/>
  <c r="I1250" i="1"/>
  <c r="AA1249" i="1"/>
  <c r="AB1249" i="1" s="1"/>
  <c r="I1249" i="1"/>
  <c r="AB1248" i="1"/>
  <c r="AA1248" i="1"/>
  <c r="I1248" i="1"/>
  <c r="AB1247" i="1"/>
  <c r="AA1247" i="1"/>
  <c r="I1247" i="1"/>
  <c r="AB1246" i="1"/>
  <c r="AA1246" i="1"/>
  <c r="I1246" i="1"/>
  <c r="H1246" i="1"/>
  <c r="AA1245" i="1"/>
  <c r="AB1245" i="1" s="1"/>
  <c r="I1245" i="1"/>
  <c r="AA1244" i="1"/>
  <c r="AB1244" i="1" s="1"/>
  <c r="H1244" i="1"/>
  <c r="I1244" i="1" s="1"/>
  <c r="AA1243" i="1"/>
  <c r="AB1243" i="1" s="1"/>
  <c r="I1243" i="1"/>
  <c r="AA1242" i="1"/>
  <c r="AB1242" i="1" s="1"/>
  <c r="I1242" i="1"/>
  <c r="AA1241" i="1"/>
  <c r="AB1241" i="1" s="1"/>
  <c r="I1241" i="1"/>
  <c r="AA1240" i="1"/>
  <c r="AB1240" i="1" s="1"/>
  <c r="I1240" i="1"/>
  <c r="AA1239" i="1"/>
  <c r="AB1239" i="1" s="1"/>
  <c r="I1239" i="1"/>
  <c r="AA1238" i="1"/>
  <c r="AB1238" i="1" s="1"/>
  <c r="I1238" i="1"/>
  <c r="AA1237" i="1"/>
  <c r="AB1237" i="1" s="1"/>
  <c r="I1237" i="1"/>
  <c r="AA1236" i="1"/>
  <c r="AB1236" i="1" s="1"/>
  <c r="I1236" i="1"/>
  <c r="AA1235" i="1"/>
  <c r="AB1235" i="1" s="1"/>
  <c r="I1235" i="1"/>
  <c r="AA1234" i="1"/>
  <c r="AB1234" i="1" s="1"/>
  <c r="I1234" i="1"/>
  <c r="AA1233" i="1"/>
  <c r="AB1233" i="1" s="1"/>
  <c r="H1233" i="1"/>
  <c r="I1233" i="1" s="1"/>
  <c r="AA1232" i="1"/>
  <c r="AB1232" i="1" s="1"/>
  <c r="I1232" i="1"/>
  <c r="AA1231" i="1"/>
  <c r="AB1231" i="1" s="1"/>
  <c r="I1231" i="1"/>
  <c r="AA1230" i="1"/>
  <c r="AB1230" i="1" s="1"/>
  <c r="I1230" i="1"/>
  <c r="AA1229" i="1"/>
  <c r="AB1229" i="1" s="1"/>
  <c r="I1229" i="1"/>
  <c r="AA1228" i="1"/>
  <c r="AB1228" i="1" s="1"/>
  <c r="H1228" i="1"/>
  <c r="I1228" i="1" s="1"/>
  <c r="AB1227" i="1"/>
  <c r="AA1227" i="1"/>
  <c r="I1227" i="1"/>
  <c r="AB1226" i="1"/>
  <c r="AA1226" i="1"/>
  <c r="I1226" i="1"/>
  <c r="H1226" i="1"/>
  <c r="AA1225" i="1"/>
  <c r="AB1225" i="1" s="1"/>
  <c r="I1225" i="1"/>
  <c r="AA1224" i="1"/>
  <c r="AB1224" i="1" s="1"/>
  <c r="I1224" i="1"/>
  <c r="AB1223" i="1"/>
  <c r="AA1223" i="1"/>
  <c r="H1223" i="1"/>
  <c r="I1223" i="1" s="1"/>
  <c r="AA1222" i="1"/>
  <c r="AB1222" i="1" s="1"/>
  <c r="I1222" i="1"/>
  <c r="AB1221" i="1"/>
  <c r="AA1221" i="1"/>
  <c r="I1221" i="1"/>
  <c r="AB1220" i="1"/>
  <c r="AA1220" i="1"/>
  <c r="I1220" i="1"/>
  <c r="AA1219" i="1"/>
  <c r="AB1219" i="1" s="1"/>
  <c r="I1219" i="1"/>
  <c r="AA1218" i="1"/>
  <c r="AB1218" i="1" s="1"/>
  <c r="I1218" i="1"/>
  <c r="AA1217" i="1"/>
  <c r="AB1217" i="1" s="1"/>
  <c r="I1217" i="1"/>
  <c r="AB1216" i="1"/>
  <c r="AA1216" i="1"/>
  <c r="I1216" i="1"/>
  <c r="AA1215" i="1"/>
  <c r="AB1215" i="1" s="1"/>
  <c r="I1215" i="1"/>
  <c r="AA1214" i="1"/>
  <c r="AB1214" i="1" s="1"/>
  <c r="T1214" i="1"/>
  <c r="I1214" i="1"/>
  <c r="AB1213" i="1"/>
  <c r="AA1213" i="1"/>
  <c r="I1213" i="1"/>
  <c r="AA1212" i="1"/>
  <c r="AB1212" i="1" s="1"/>
  <c r="I1212" i="1"/>
  <c r="AA1211" i="1"/>
  <c r="AB1211" i="1" s="1"/>
  <c r="I1211" i="1"/>
  <c r="AA1210" i="1"/>
  <c r="AB1210" i="1" s="1"/>
  <c r="I1210" i="1"/>
  <c r="AA1209" i="1"/>
  <c r="AB1209" i="1" s="1"/>
  <c r="I1209" i="1"/>
  <c r="H1209" i="1"/>
  <c r="AA1208" i="1"/>
  <c r="AB1208" i="1" s="1"/>
  <c r="I1208" i="1"/>
  <c r="AB1207" i="1"/>
  <c r="AA1207" i="1"/>
  <c r="H1207" i="1"/>
  <c r="I1207" i="1" s="1"/>
  <c r="AA1206" i="1"/>
  <c r="AB1206" i="1" s="1"/>
  <c r="I1206" i="1"/>
  <c r="AA1205" i="1"/>
  <c r="AB1205" i="1" s="1"/>
  <c r="I1205" i="1"/>
  <c r="AA1204" i="1"/>
  <c r="AB1204" i="1" s="1"/>
  <c r="I1204" i="1"/>
  <c r="AB1203" i="1"/>
  <c r="AA1203" i="1"/>
  <c r="T1203" i="1"/>
  <c r="I1203" i="1"/>
  <c r="AA1202" i="1"/>
  <c r="AB1202" i="1" s="1"/>
  <c r="H1202" i="1"/>
  <c r="I1202" i="1" s="1"/>
  <c r="AA1201" i="1"/>
  <c r="AB1201" i="1" s="1"/>
  <c r="I1201" i="1"/>
  <c r="AA1200" i="1"/>
  <c r="AB1200" i="1" s="1"/>
  <c r="H1200" i="1"/>
  <c r="I1200" i="1" s="1"/>
  <c r="AA1199" i="1"/>
  <c r="AB1199" i="1" s="1"/>
  <c r="I1199" i="1"/>
  <c r="AA1198" i="1"/>
  <c r="AB1198" i="1" s="1"/>
  <c r="H1198" i="1"/>
  <c r="I1198" i="1" s="1"/>
  <c r="AA1197" i="1"/>
  <c r="AB1197" i="1" s="1"/>
  <c r="I1197" i="1"/>
  <c r="AA1196" i="1"/>
  <c r="AB1196" i="1" s="1"/>
  <c r="I1196" i="1"/>
  <c r="H1196" i="1"/>
  <c r="AA1195" i="1"/>
  <c r="AB1195" i="1" s="1"/>
  <c r="I1195" i="1"/>
  <c r="AB1194" i="1"/>
  <c r="AA1194" i="1"/>
  <c r="I1194" i="1"/>
  <c r="AB1193" i="1"/>
  <c r="AA1193" i="1"/>
  <c r="I1193" i="1"/>
  <c r="AA1192" i="1"/>
  <c r="AB1192" i="1" s="1"/>
  <c r="I1192" i="1"/>
  <c r="AA1191" i="1"/>
  <c r="AB1191" i="1" s="1"/>
  <c r="I1191" i="1"/>
  <c r="AA1190" i="1"/>
  <c r="AB1190" i="1" s="1"/>
  <c r="I1190" i="1"/>
  <c r="AA1189" i="1"/>
  <c r="AB1189" i="1" s="1"/>
  <c r="I1189" i="1"/>
  <c r="AA1188" i="1"/>
  <c r="AB1188" i="1" s="1"/>
  <c r="I1188" i="1"/>
  <c r="AA1187" i="1"/>
  <c r="AB1187" i="1" s="1"/>
  <c r="I1187" i="1"/>
  <c r="AA1186" i="1"/>
  <c r="AB1186" i="1" s="1"/>
  <c r="I1186" i="1"/>
  <c r="H1186" i="1"/>
  <c r="AA1185" i="1"/>
  <c r="AB1185" i="1" s="1"/>
  <c r="I1185" i="1"/>
  <c r="AA1184" i="1"/>
  <c r="AB1184" i="1" s="1"/>
  <c r="H1184" i="1"/>
  <c r="I1184" i="1" s="1"/>
  <c r="AB1183" i="1"/>
  <c r="AA1183" i="1"/>
  <c r="I1183" i="1"/>
  <c r="AA1182" i="1"/>
  <c r="AB1182" i="1" s="1"/>
  <c r="I1182" i="1"/>
  <c r="H1182" i="1"/>
  <c r="AB1181" i="1"/>
  <c r="AA1181" i="1"/>
  <c r="I1181" i="1"/>
  <c r="AA1180" i="1"/>
  <c r="AB1180" i="1" s="1"/>
  <c r="T1180" i="1"/>
  <c r="I1180" i="1"/>
  <c r="AA1179" i="1"/>
  <c r="AB1179" i="1" s="1"/>
  <c r="I1179" i="1"/>
  <c r="AA1178" i="1"/>
  <c r="AB1178" i="1" s="1"/>
  <c r="T1178" i="1"/>
  <c r="I1178" i="1"/>
  <c r="AA1177" i="1"/>
  <c r="AB1177" i="1" s="1"/>
  <c r="AA1176" i="1"/>
  <c r="AB1176" i="1" s="1"/>
  <c r="H1176" i="1"/>
  <c r="I1176" i="1" s="1"/>
  <c r="AA1175" i="1"/>
  <c r="AB1175" i="1" s="1"/>
  <c r="I1175" i="1"/>
  <c r="AA1174" i="1"/>
  <c r="AB1174" i="1" s="1"/>
  <c r="I1174" i="1"/>
  <c r="AA1173" i="1"/>
  <c r="AB1173" i="1" s="1"/>
  <c r="I1173" i="1"/>
  <c r="AA1172" i="1"/>
  <c r="AB1172" i="1" s="1"/>
  <c r="I1172" i="1"/>
  <c r="AA1171" i="1"/>
  <c r="AB1171" i="1" s="1"/>
  <c r="I1171" i="1"/>
  <c r="AA1170" i="1"/>
  <c r="AB1170" i="1" s="1"/>
  <c r="I1170" i="1"/>
  <c r="AA1169" i="1"/>
  <c r="AB1169" i="1" s="1"/>
  <c r="I1169" i="1"/>
  <c r="AA1168" i="1"/>
  <c r="AB1168" i="1" s="1"/>
  <c r="I1168" i="1"/>
  <c r="AA1167" i="1"/>
  <c r="AB1167" i="1" s="1"/>
  <c r="T1167" i="1"/>
  <c r="I1167" i="1"/>
  <c r="AB1166" i="1"/>
  <c r="AA1166" i="1"/>
  <c r="I1166" i="1"/>
  <c r="AA1165" i="1"/>
  <c r="AB1165" i="1" s="1"/>
  <c r="I1165" i="1"/>
  <c r="AA1164" i="1"/>
  <c r="AB1164" i="1" s="1"/>
  <c r="I1164" i="1"/>
  <c r="AB1163" i="1"/>
  <c r="AA1163" i="1"/>
  <c r="I1163" i="1"/>
  <c r="AA1162" i="1"/>
  <c r="AB1162" i="1" s="1"/>
  <c r="AA1161" i="1"/>
  <c r="AB1161" i="1" s="1"/>
  <c r="I1161" i="1"/>
  <c r="AA1160" i="1"/>
  <c r="AB1160" i="1" s="1"/>
  <c r="I1160" i="1"/>
  <c r="AA1159" i="1"/>
  <c r="AB1159" i="1" s="1"/>
  <c r="T1159" i="1"/>
  <c r="I1159" i="1"/>
  <c r="AA1158" i="1"/>
  <c r="AB1158" i="1" s="1"/>
  <c r="I1158" i="1"/>
  <c r="AA1157" i="1"/>
  <c r="AB1157" i="1" s="1"/>
  <c r="I1157" i="1"/>
  <c r="AA1156" i="1"/>
  <c r="AB1156" i="1" s="1"/>
  <c r="I1156" i="1"/>
  <c r="AA1155" i="1"/>
  <c r="AB1155" i="1" s="1"/>
  <c r="T1155" i="1"/>
  <c r="I1155" i="1"/>
  <c r="AB1154" i="1"/>
  <c r="AA1154" i="1"/>
  <c r="H1154" i="1"/>
  <c r="I1154" i="1" s="1"/>
  <c r="AA1153" i="1"/>
  <c r="AB1153" i="1" s="1"/>
  <c r="I1153" i="1"/>
  <c r="AA1152" i="1"/>
  <c r="AB1152" i="1" s="1"/>
  <c r="I1152" i="1"/>
  <c r="AA1151" i="1"/>
  <c r="AB1151" i="1" s="1"/>
  <c r="I1151" i="1"/>
  <c r="AA1150" i="1"/>
  <c r="AB1150" i="1" s="1"/>
  <c r="I1150" i="1"/>
  <c r="AA1149" i="1"/>
  <c r="AB1149" i="1" s="1"/>
  <c r="I1149" i="1"/>
  <c r="AB1148" i="1"/>
  <c r="AA1148" i="1"/>
  <c r="I1148" i="1"/>
  <c r="AB1147" i="1"/>
  <c r="AA1147" i="1"/>
  <c r="I1147" i="1"/>
  <c r="AB1146" i="1"/>
  <c r="AA1146" i="1"/>
  <c r="I1146" i="1"/>
  <c r="AB1145" i="1"/>
  <c r="AA1145" i="1"/>
  <c r="I1145" i="1"/>
  <c r="AA1144" i="1"/>
  <c r="AB1144" i="1" s="1"/>
  <c r="I1144" i="1"/>
  <c r="AA1143" i="1"/>
  <c r="AB1143" i="1" s="1"/>
  <c r="I1143" i="1"/>
  <c r="AA1142" i="1"/>
  <c r="AB1142" i="1" s="1"/>
  <c r="I1142" i="1"/>
  <c r="AA1141" i="1"/>
  <c r="AB1141" i="1" s="1"/>
  <c r="H1141" i="1"/>
  <c r="I1141" i="1" s="1"/>
  <c r="AB1140" i="1"/>
  <c r="AA1140" i="1"/>
  <c r="I1140" i="1"/>
  <c r="AA1139" i="1"/>
  <c r="AB1139" i="1" s="1"/>
  <c r="I1139" i="1"/>
  <c r="H1139" i="1"/>
  <c r="AA1138" i="1"/>
  <c r="AB1138" i="1" s="1"/>
  <c r="I1138" i="1"/>
  <c r="AA1137" i="1"/>
  <c r="AB1137" i="1" s="1"/>
  <c r="H1137" i="1"/>
  <c r="I1137" i="1" s="1"/>
  <c r="AA1136" i="1"/>
  <c r="AB1136" i="1" s="1"/>
  <c r="I1136" i="1"/>
  <c r="AA1135" i="1"/>
  <c r="AB1135" i="1" s="1"/>
  <c r="I1135" i="1"/>
  <c r="AA1134" i="1"/>
  <c r="AB1134" i="1" s="1"/>
  <c r="I1134" i="1"/>
  <c r="AA1133" i="1"/>
  <c r="AB1133" i="1" s="1"/>
  <c r="H1133" i="1"/>
  <c r="I1133" i="1" s="1"/>
  <c r="AA1132" i="1"/>
  <c r="AB1132" i="1" s="1"/>
  <c r="I1132" i="1"/>
  <c r="AA1131" i="1"/>
  <c r="AB1131" i="1" s="1"/>
  <c r="I1131" i="1"/>
  <c r="AA1130" i="1"/>
  <c r="AB1130" i="1" s="1"/>
  <c r="I1130" i="1"/>
  <c r="AB1129" i="1"/>
  <c r="AA1129" i="1"/>
  <c r="H1129" i="1"/>
  <c r="I1129" i="1" s="1"/>
  <c r="AA1128" i="1"/>
  <c r="AB1128" i="1" s="1"/>
  <c r="I1128" i="1"/>
  <c r="AA1127" i="1"/>
  <c r="AB1127" i="1" s="1"/>
  <c r="I1127" i="1"/>
  <c r="AA1126" i="1"/>
  <c r="AB1126" i="1" s="1"/>
  <c r="I1126" i="1"/>
  <c r="AA1125" i="1"/>
  <c r="AB1125" i="1" s="1"/>
  <c r="I1125" i="1"/>
  <c r="AA1124" i="1"/>
  <c r="AB1124" i="1" s="1"/>
  <c r="I1124" i="1"/>
  <c r="AA1123" i="1"/>
  <c r="AB1123" i="1" s="1"/>
  <c r="I1123" i="1"/>
  <c r="AA1122" i="1"/>
  <c r="AB1122" i="1" s="1"/>
  <c r="I1122" i="1"/>
  <c r="AA1121" i="1"/>
  <c r="AB1121" i="1" s="1"/>
  <c r="I1121" i="1"/>
  <c r="AA1120" i="1"/>
  <c r="AB1120" i="1" s="1"/>
  <c r="H1120" i="1"/>
  <c r="I1120" i="1" s="1"/>
  <c r="AA1119" i="1"/>
  <c r="AB1119" i="1" s="1"/>
  <c r="I1119" i="1"/>
  <c r="AA1118" i="1"/>
  <c r="AB1118" i="1" s="1"/>
  <c r="H1118" i="1"/>
  <c r="AA1117" i="1"/>
  <c r="AB1117" i="1" s="1"/>
  <c r="I1117" i="1"/>
  <c r="AB1116" i="1"/>
  <c r="AA1116" i="1"/>
  <c r="I1116" i="1"/>
  <c r="AA1115" i="1"/>
  <c r="AB1115" i="1" s="1"/>
  <c r="I1115" i="1"/>
  <c r="AA1114" i="1"/>
  <c r="AB1114" i="1" s="1"/>
  <c r="I1114" i="1"/>
  <c r="AA1113" i="1"/>
  <c r="AB1113" i="1" s="1"/>
  <c r="I1113" i="1"/>
  <c r="AA1112" i="1"/>
  <c r="AB1112" i="1" s="1"/>
  <c r="I1112" i="1"/>
  <c r="AA1111" i="1"/>
  <c r="AB1111" i="1" s="1"/>
  <c r="H1111" i="1"/>
  <c r="I1111" i="1" s="1"/>
  <c r="AA1110" i="1"/>
  <c r="AB1110" i="1" s="1"/>
  <c r="I1110" i="1"/>
  <c r="AB1109" i="1"/>
  <c r="AA1109" i="1"/>
  <c r="I1109" i="1"/>
  <c r="AA1108" i="1"/>
  <c r="AB1108" i="1" s="1"/>
  <c r="I1108" i="1"/>
  <c r="AA1107" i="1"/>
  <c r="AB1107" i="1" s="1"/>
  <c r="H1107" i="1"/>
  <c r="I1107" i="1" s="1"/>
  <c r="AA1106" i="1"/>
  <c r="AB1106" i="1" s="1"/>
  <c r="I1106" i="1"/>
  <c r="AA1105" i="1"/>
  <c r="AB1105" i="1" s="1"/>
  <c r="T1105" i="1"/>
  <c r="I1105" i="1"/>
  <c r="AA1104" i="1"/>
  <c r="AB1104" i="1" s="1"/>
  <c r="I1104" i="1"/>
  <c r="AA1103" i="1"/>
  <c r="AB1103" i="1" s="1"/>
  <c r="H1103" i="1"/>
  <c r="AA1102" i="1"/>
  <c r="AB1102" i="1" s="1"/>
  <c r="T1102" i="1"/>
  <c r="I1102" i="1"/>
  <c r="AA1101" i="1"/>
  <c r="AB1101" i="1" s="1"/>
  <c r="I1101" i="1"/>
  <c r="H1101" i="1"/>
  <c r="AA1100" i="1"/>
  <c r="AB1100" i="1" s="1"/>
  <c r="I1100" i="1"/>
  <c r="AA1099" i="1"/>
  <c r="AB1099" i="1" s="1"/>
  <c r="T1099" i="1"/>
  <c r="I1099" i="1"/>
  <c r="AA1098" i="1"/>
  <c r="AB1098" i="1" s="1"/>
  <c r="I1098" i="1"/>
  <c r="AA1097" i="1"/>
  <c r="AB1097" i="1" s="1"/>
  <c r="I1097" i="1"/>
  <c r="AA1096" i="1"/>
  <c r="AB1096" i="1" s="1"/>
  <c r="H1096" i="1"/>
  <c r="I1096" i="1" s="1"/>
  <c r="AA1095" i="1"/>
  <c r="AB1095" i="1" s="1"/>
  <c r="I1095" i="1"/>
  <c r="AA1094" i="1"/>
  <c r="AB1094" i="1" s="1"/>
  <c r="I1094" i="1"/>
  <c r="AA1093" i="1"/>
  <c r="AB1093" i="1" s="1"/>
  <c r="I1093" i="1"/>
  <c r="AA1092" i="1"/>
  <c r="AB1092" i="1" s="1"/>
  <c r="I1092" i="1"/>
  <c r="AA1091" i="1"/>
  <c r="AB1091" i="1" s="1"/>
  <c r="H1091" i="1"/>
  <c r="I1091" i="1" s="1"/>
  <c r="AA1090" i="1"/>
  <c r="AB1090" i="1" s="1"/>
  <c r="I1090" i="1"/>
  <c r="AA1089" i="1"/>
  <c r="AB1089" i="1" s="1"/>
  <c r="I1089" i="1"/>
  <c r="AA1088" i="1"/>
  <c r="AB1088" i="1" s="1"/>
  <c r="H1088" i="1"/>
  <c r="I1088" i="1" s="1"/>
  <c r="AA1087" i="1"/>
  <c r="AB1087" i="1" s="1"/>
  <c r="I1087" i="1"/>
  <c r="AA1086" i="1"/>
  <c r="AB1086" i="1" s="1"/>
  <c r="I1086" i="1"/>
  <c r="AA1085" i="1"/>
  <c r="AB1085" i="1" s="1"/>
  <c r="I1085" i="1"/>
  <c r="AA1084" i="1"/>
  <c r="AB1084" i="1" s="1"/>
  <c r="I1084" i="1"/>
  <c r="H1084" i="1"/>
  <c r="AA1083" i="1"/>
  <c r="AB1083" i="1" s="1"/>
  <c r="I1083" i="1"/>
  <c r="AA1082" i="1"/>
  <c r="AB1082" i="1" s="1"/>
  <c r="H1082" i="1"/>
  <c r="I1082" i="1" s="1"/>
  <c r="AA1081" i="1"/>
  <c r="AB1081" i="1" s="1"/>
  <c r="I1081" i="1"/>
  <c r="AB1080" i="1"/>
  <c r="AA1080" i="1"/>
  <c r="I1080" i="1"/>
  <c r="AA1079" i="1"/>
  <c r="AB1079" i="1" s="1"/>
  <c r="I1079" i="1"/>
  <c r="AA1078" i="1"/>
  <c r="AB1078" i="1" s="1"/>
  <c r="I1078" i="1"/>
  <c r="AA1077" i="1"/>
  <c r="AB1077" i="1" s="1"/>
  <c r="I1077" i="1"/>
  <c r="AA1076" i="1"/>
  <c r="AB1076" i="1" s="1"/>
  <c r="T1076" i="1"/>
  <c r="I1076" i="1"/>
  <c r="AA1075" i="1"/>
  <c r="AB1075" i="1" s="1"/>
  <c r="T1075" i="1"/>
  <c r="I1075" i="1"/>
  <c r="AA1074" i="1"/>
  <c r="AB1074" i="1" s="1"/>
  <c r="I1074" i="1"/>
  <c r="AB1073" i="1"/>
  <c r="AA1073" i="1"/>
  <c r="H1073" i="1"/>
  <c r="I1073" i="1" s="1"/>
  <c r="AB1072" i="1"/>
  <c r="AA1072" i="1"/>
  <c r="I1072" i="1"/>
  <c r="AA1071" i="1"/>
  <c r="AB1071" i="1" s="1"/>
  <c r="I1071" i="1"/>
  <c r="H1071" i="1"/>
  <c r="AA1070" i="1"/>
  <c r="AB1070" i="1" s="1"/>
  <c r="I1070" i="1"/>
  <c r="AA1069" i="1"/>
  <c r="AB1069" i="1" s="1"/>
  <c r="H1069" i="1"/>
  <c r="I1069" i="1" s="1"/>
  <c r="AA1068" i="1"/>
  <c r="AB1068" i="1" s="1"/>
  <c r="I1068" i="1"/>
  <c r="AA1067" i="1"/>
  <c r="AB1067" i="1" s="1"/>
  <c r="I1067" i="1"/>
  <c r="AA1066" i="1"/>
  <c r="AB1066" i="1" s="1"/>
  <c r="G1066" i="1"/>
  <c r="AA1065" i="1"/>
  <c r="AB1065" i="1" s="1"/>
  <c r="I1065" i="1"/>
  <c r="AA1064" i="1"/>
  <c r="AB1064" i="1" s="1"/>
  <c r="I1064" i="1"/>
  <c r="AB1063" i="1"/>
  <c r="AA1063" i="1"/>
  <c r="I1063" i="1"/>
  <c r="AA1062" i="1"/>
  <c r="AB1062" i="1" s="1"/>
  <c r="I1062" i="1"/>
  <c r="AA1061" i="1"/>
  <c r="AB1061" i="1" s="1"/>
  <c r="I1061" i="1"/>
  <c r="AA1060" i="1"/>
  <c r="AB1060" i="1" s="1"/>
  <c r="I1060" i="1"/>
  <c r="AA1059" i="1"/>
  <c r="AB1059" i="1" s="1"/>
  <c r="H1059" i="1"/>
  <c r="I1059" i="1" s="1"/>
  <c r="AB1058" i="1"/>
  <c r="AA1058" i="1"/>
  <c r="I1058" i="1"/>
  <c r="AA1057" i="1"/>
  <c r="AB1057" i="1" s="1"/>
  <c r="I1057" i="1"/>
  <c r="AA1056" i="1"/>
  <c r="AB1056" i="1" s="1"/>
  <c r="I1056" i="1"/>
  <c r="AA1055" i="1"/>
  <c r="AB1055" i="1" s="1"/>
  <c r="I1055" i="1"/>
  <c r="AA1054" i="1"/>
  <c r="AB1054" i="1" s="1"/>
  <c r="I1054" i="1"/>
  <c r="AA1053" i="1"/>
  <c r="AB1053" i="1" s="1"/>
  <c r="H1053" i="1"/>
  <c r="I1053" i="1" s="1"/>
  <c r="AB1052" i="1"/>
  <c r="AA1052" i="1"/>
  <c r="I1052" i="1"/>
  <c r="AA1051" i="1"/>
  <c r="AB1051" i="1" s="1"/>
  <c r="I1051" i="1"/>
  <c r="AA1050" i="1"/>
  <c r="AB1050" i="1" s="1"/>
  <c r="I1050" i="1"/>
  <c r="AA1049" i="1"/>
  <c r="AB1049" i="1" s="1"/>
  <c r="H1049" i="1"/>
  <c r="I1049" i="1" s="1"/>
  <c r="AB1048" i="1"/>
  <c r="AA1048" i="1"/>
  <c r="I1048" i="1"/>
  <c r="AA1047" i="1"/>
  <c r="AB1047" i="1" s="1"/>
  <c r="I1047" i="1"/>
  <c r="AA1046" i="1"/>
  <c r="AB1046" i="1" s="1"/>
  <c r="I1046" i="1"/>
  <c r="AA1045" i="1"/>
  <c r="AB1045" i="1" s="1"/>
  <c r="I1045" i="1"/>
  <c r="AA1044" i="1"/>
  <c r="AB1044" i="1" s="1"/>
  <c r="I1044" i="1"/>
  <c r="AA1043" i="1"/>
  <c r="AB1043" i="1" s="1"/>
  <c r="I1043" i="1"/>
  <c r="AA1042" i="1"/>
  <c r="AB1042" i="1" s="1"/>
  <c r="H1042" i="1"/>
  <c r="I1042" i="1" s="1"/>
  <c r="AB1041" i="1"/>
  <c r="AA1041" i="1"/>
  <c r="I1041" i="1"/>
  <c r="AA1040" i="1"/>
  <c r="AB1040" i="1" s="1"/>
  <c r="I1040" i="1"/>
  <c r="AA1039" i="1"/>
  <c r="AB1039" i="1" s="1"/>
  <c r="I1039" i="1"/>
  <c r="AA1038" i="1"/>
  <c r="AB1038" i="1" s="1"/>
  <c r="I1038" i="1"/>
  <c r="AA1037" i="1"/>
  <c r="AB1037" i="1" s="1"/>
  <c r="I1037" i="1"/>
  <c r="AA1036" i="1"/>
  <c r="AB1036" i="1" s="1"/>
  <c r="I1036" i="1"/>
  <c r="H1036" i="1"/>
  <c r="AA1035" i="1"/>
  <c r="AB1035" i="1" s="1"/>
  <c r="I1035" i="1"/>
  <c r="AA1034" i="1"/>
  <c r="AB1034" i="1" s="1"/>
  <c r="I1034" i="1"/>
  <c r="AA1033" i="1"/>
  <c r="AB1033" i="1" s="1"/>
  <c r="I1033" i="1"/>
  <c r="AA1032" i="1"/>
  <c r="AB1032" i="1" s="1"/>
  <c r="H1032" i="1"/>
  <c r="I1032" i="1" s="1"/>
  <c r="AA1031" i="1"/>
  <c r="AB1031" i="1" s="1"/>
  <c r="I1031" i="1"/>
  <c r="AA1030" i="1"/>
  <c r="AB1030" i="1" s="1"/>
  <c r="I1030" i="1"/>
  <c r="AA1029" i="1"/>
  <c r="AB1029" i="1" s="1"/>
  <c r="I1029" i="1"/>
  <c r="AA1028" i="1"/>
  <c r="AB1028" i="1" s="1"/>
  <c r="I1028" i="1"/>
  <c r="AA1027" i="1"/>
  <c r="AB1027" i="1" s="1"/>
  <c r="H1027" i="1"/>
  <c r="AA1026" i="1"/>
  <c r="AB1026" i="1" s="1"/>
  <c r="H1026" i="1"/>
  <c r="AA1025" i="1"/>
  <c r="AB1025" i="1" s="1"/>
  <c r="T1025" i="1"/>
  <c r="AA1024" i="1"/>
  <c r="AB1024" i="1" s="1"/>
  <c r="I1024" i="1"/>
  <c r="AA1023" i="1"/>
  <c r="AB1023" i="1" s="1"/>
  <c r="I1023" i="1"/>
  <c r="H1023" i="1"/>
  <c r="AA1022" i="1"/>
  <c r="AB1022" i="1" s="1"/>
  <c r="I1022" i="1"/>
  <c r="AA1021" i="1"/>
  <c r="AB1021" i="1" s="1"/>
  <c r="H1021" i="1"/>
  <c r="I1021" i="1" s="1"/>
  <c r="AA1020" i="1"/>
  <c r="AB1020" i="1" s="1"/>
  <c r="I1020" i="1"/>
  <c r="AA1019" i="1"/>
  <c r="AB1019" i="1" s="1"/>
  <c r="H1019" i="1"/>
  <c r="I1019" i="1" s="1"/>
  <c r="AA1018" i="1"/>
  <c r="AB1018" i="1" s="1"/>
  <c r="I1018" i="1"/>
  <c r="AA1017" i="1"/>
  <c r="AB1017" i="1" s="1"/>
  <c r="I1017" i="1"/>
  <c r="AA1016" i="1"/>
  <c r="AB1016" i="1" s="1"/>
  <c r="I1016" i="1"/>
  <c r="AA1015" i="1"/>
  <c r="AB1015" i="1" s="1"/>
  <c r="I1015" i="1"/>
  <c r="AA1014" i="1"/>
  <c r="AB1014" i="1" s="1"/>
  <c r="I1014" i="1"/>
  <c r="AA1013" i="1"/>
  <c r="AB1013" i="1" s="1"/>
  <c r="I1013" i="1"/>
  <c r="AA1012" i="1"/>
  <c r="AB1012" i="1" s="1"/>
  <c r="I1012" i="1"/>
  <c r="AA1011" i="1"/>
  <c r="AB1011" i="1" s="1"/>
  <c r="H1011" i="1"/>
  <c r="I1011" i="1" s="1"/>
  <c r="AA1010" i="1"/>
  <c r="AB1010" i="1" s="1"/>
  <c r="I1010" i="1"/>
  <c r="AB1009" i="1"/>
  <c r="AA1009" i="1"/>
  <c r="H1009" i="1"/>
  <c r="I1009" i="1" s="1"/>
  <c r="AA1008" i="1"/>
  <c r="AB1008" i="1" s="1"/>
  <c r="I1008" i="1"/>
  <c r="AA1007" i="1"/>
  <c r="AB1007" i="1" s="1"/>
  <c r="H1007" i="1"/>
  <c r="I1007" i="1" s="1"/>
  <c r="AA1006" i="1"/>
  <c r="AB1006" i="1" s="1"/>
  <c r="I1006" i="1"/>
  <c r="AA1005" i="1"/>
  <c r="AB1005" i="1" s="1"/>
  <c r="I1005" i="1"/>
  <c r="AA1004" i="1"/>
  <c r="AB1004" i="1" s="1"/>
  <c r="I1004" i="1"/>
  <c r="AB1003" i="1"/>
  <c r="AA1003" i="1"/>
  <c r="I1003" i="1"/>
  <c r="AA1002" i="1"/>
  <c r="AB1002" i="1" s="1"/>
  <c r="I1002" i="1"/>
  <c r="AA1001" i="1"/>
  <c r="AB1001" i="1" s="1"/>
  <c r="I1001" i="1"/>
  <c r="H1001" i="1"/>
  <c r="AA1000" i="1"/>
  <c r="AB1000" i="1" s="1"/>
  <c r="I1000" i="1"/>
  <c r="AA999" i="1"/>
  <c r="AB999" i="1" s="1"/>
  <c r="I999" i="1"/>
  <c r="AB998" i="1"/>
  <c r="AA998" i="1"/>
  <c r="I998" i="1"/>
  <c r="AA997" i="1"/>
  <c r="AB997" i="1" s="1"/>
  <c r="I997" i="1"/>
  <c r="AA996" i="1"/>
  <c r="AB996" i="1" s="1"/>
  <c r="I996" i="1"/>
  <c r="H996" i="1"/>
  <c r="AA995" i="1"/>
  <c r="AB995" i="1" s="1"/>
  <c r="I995" i="1"/>
  <c r="AA994" i="1"/>
  <c r="AB994" i="1" s="1"/>
  <c r="I994" i="1"/>
  <c r="AB993" i="1"/>
  <c r="AA993" i="1"/>
  <c r="H993" i="1"/>
  <c r="I993" i="1" s="1"/>
  <c r="AA992" i="1"/>
  <c r="AB992" i="1" s="1"/>
  <c r="I992" i="1"/>
  <c r="AA991" i="1"/>
  <c r="AB991" i="1" s="1"/>
  <c r="I991" i="1"/>
  <c r="AA990" i="1"/>
  <c r="AB990" i="1" s="1"/>
  <c r="I990" i="1"/>
  <c r="H990" i="1"/>
  <c r="AA989" i="1"/>
  <c r="AB989" i="1" s="1"/>
  <c r="I989" i="1"/>
  <c r="AA988" i="1"/>
  <c r="AB988" i="1" s="1"/>
  <c r="I988" i="1"/>
  <c r="AA987" i="1"/>
  <c r="AB987" i="1" s="1"/>
  <c r="I987" i="1"/>
  <c r="AA986" i="1"/>
  <c r="AB986" i="1" s="1"/>
  <c r="H986" i="1"/>
  <c r="I986" i="1" s="1"/>
  <c r="AA985" i="1"/>
  <c r="AB985" i="1" s="1"/>
  <c r="I985" i="1"/>
  <c r="AA984" i="1"/>
  <c r="AB984" i="1" s="1"/>
  <c r="I984" i="1"/>
  <c r="AA983" i="1"/>
  <c r="AB983" i="1" s="1"/>
  <c r="I983" i="1"/>
  <c r="AA982" i="1"/>
  <c r="AB982" i="1" s="1"/>
  <c r="T982" i="1"/>
  <c r="I982" i="1"/>
  <c r="AA981" i="1"/>
  <c r="AB981" i="1" s="1"/>
  <c r="I981" i="1"/>
  <c r="AA980" i="1"/>
  <c r="AB980" i="1" s="1"/>
  <c r="I980" i="1"/>
  <c r="AA979" i="1"/>
  <c r="AB979" i="1" s="1"/>
  <c r="I979" i="1"/>
  <c r="AA978" i="1"/>
  <c r="AB978" i="1" s="1"/>
  <c r="I978" i="1"/>
  <c r="AA977" i="1"/>
  <c r="AB977" i="1" s="1"/>
  <c r="T977" i="1"/>
  <c r="I977" i="1"/>
  <c r="AA976" i="1"/>
  <c r="AB976" i="1" s="1"/>
  <c r="I976" i="1"/>
  <c r="AA975" i="1"/>
  <c r="AB975" i="1" s="1"/>
  <c r="H975" i="1"/>
  <c r="I975" i="1" s="1"/>
  <c r="AA974" i="1"/>
  <c r="AB974" i="1" s="1"/>
  <c r="I974" i="1"/>
  <c r="AA973" i="1"/>
  <c r="AB973" i="1" s="1"/>
  <c r="I973" i="1"/>
  <c r="AA972" i="1"/>
  <c r="AB972" i="1" s="1"/>
  <c r="I972" i="1"/>
  <c r="AA971" i="1"/>
  <c r="AB971" i="1" s="1"/>
  <c r="I971" i="1"/>
  <c r="AB970" i="1"/>
  <c r="AA970" i="1"/>
  <c r="T970" i="1"/>
  <c r="I970" i="1"/>
  <c r="AA969" i="1"/>
  <c r="AB969" i="1" s="1"/>
  <c r="H969" i="1"/>
  <c r="I969" i="1" s="1"/>
  <c r="AA968" i="1"/>
  <c r="AB968" i="1" s="1"/>
  <c r="I968" i="1"/>
  <c r="AA967" i="1"/>
  <c r="AB967" i="1" s="1"/>
  <c r="I967" i="1"/>
  <c r="AA966" i="1"/>
  <c r="AB966" i="1" s="1"/>
  <c r="I966" i="1"/>
  <c r="AA965" i="1"/>
  <c r="AB965" i="1" s="1"/>
  <c r="I965" i="1"/>
  <c r="AA964" i="1"/>
  <c r="AB964" i="1" s="1"/>
  <c r="H964" i="1"/>
  <c r="I964" i="1" s="1"/>
  <c r="AB963" i="1"/>
  <c r="AA963" i="1"/>
  <c r="I963" i="1"/>
  <c r="AB962" i="1"/>
  <c r="AA962" i="1"/>
  <c r="I962" i="1"/>
  <c r="AA961" i="1"/>
  <c r="AB961" i="1" s="1"/>
  <c r="I961" i="1"/>
  <c r="AB960" i="1"/>
  <c r="AA960" i="1"/>
  <c r="H960" i="1"/>
  <c r="I960" i="1" s="1"/>
  <c r="AB959" i="1"/>
  <c r="AA959" i="1"/>
  <c r="I959" i="1"/>
  <c r="AA958" i="1"/>
  <c r="AB958" i="1" s="1"/>
  <c r="H958" i="1"/>
  <c r="I958" i="1" s="1"/>
  <c r="AB957" i="1"/>
  <c r="AA957" i="1"/>
  <c r="I957" i="1"/>
  <c r="AA956" i="1"/>
  <c r="AB956" i="1" s="1"/>
  <c r="I956" i="1"/>
  <c r="H956" i="1"/>
  <c r="AA955" i="1"/>
  <c r="AB955" i="1" s="1"/>
  <c r="I955" i="1"/>
  <c r="AA954" i="1"/>
  <c r="AB954" i="1" s="1"/>
  <c r="H954" i="1"/>
  <c r="I954" i="1" s="1"/>
  <c r="AA953" i="1"/>
  <c r="AB953" i="1" s="1"/>
  <c r="I953" i="1"/>
  <c r="AA952" i="1"/>
  <c r="AB952" i="1" s="1"/>
  <c r="I952" i="1"/>
  <c r="AA951" i="1"/>
  <c r="AB951" i="1" s="1"/>
  <c r="I951" i="1"/>
  <c r="AA950" i="1"/>
  <c r="AB950" i="1" s="1"/>
  <c r="I950" i="1"/>
  <c r="H950" i="1"/>
  <c r="AA949" i="1"/>
  <c r="AB949" i="1" s="1"/>
  <c r="I949" i="1"/>
  <c r="AA948" i="1"/>
  <c r="AB948" i="1" s="1"/>
  <c r="H948" i="1"/>
  <c r="I948" i="1" s="1"/>
  <c r="AA947" i="1"/>
  <c r="AB947" i="1" s="1"/>
  <c r="I947" i="1"/>
  <c r="AA946" i="1"/>
  <c r="AB946" i="1" s="1"/>
  <c r="T946" i="1"/>
  <c r="I946" i="1"/>
  <c r="AA945" i="1"/>
  <c r="AB945" i="1" s="1"/>
  <c r="T945" i="1"/>
  <c r="I945" i="1"/>
  <c r="AA944" i="1"/>
  <c r="AB944" i="1" s="1"/>
  <c r="T944" i="1"/>
  <c r="I944" i="1"/>
  <c r="AB943" i="1"/>
  <c r="AA943" i="1"/>
  <c r="T943" i="1"/>
  <c r="I943" i="1"/>
  <c r="AA942" i="1"/>
  <c r="AB942" i="1" s="1"/>
  <c r="T942" i="1"/>
  <c r="I942" i="1"/>
  <c r="AB941" i="1"/>
  <c r="AA941" i="1"/>
  <c r="I941" i="1"/>
  <c r="AA940" i="1"/>
  <c r="AB940" i="1" s="1"/>
  <c r="I940" i="1"/>
  <c r="AA939" i="1"/>
  <c r="AB939" i="1" s="1"/>
  <c r="I939" i="1"/>
  <c r="AA938" i="1"/>
  <c r="AB938" i="1" s="1"/>
  <c r="I938" i="1"/>
  <c r="AA937" i="1"/>
  <c r="AB937" i="1" s="1"/>
  <c r="H937" i="1"/>
  <c r="I937" i="1" s="1"/>
  <c r="AA936" i="1"/>
  <c r="AB936" i="1" s="1"/>
  <c r="I936" i="1"/>
  <c r="AA935" i="1"/>
  <c r="AB935" i="1" s="1"/>
  <c r="H935" i="1"/>
  <c r="I935" i="1" s="1"/>
  <c r="AB934" i="1"/>
  <c r="AA934" i="1"/>
  <c r="I934" i="1"/>
  <c r="AA933" i="1"/>
  <c r="AB933" i="1" s="1"/>
  <c r="I933" i="1"/>
  <c r="AA932" i="1"/>
  <c r="AB932" i="1" s="1"/>
  <c r="I932" i="1"/>
  <c r="AB931" i="1"/>
  <c r="AA931" i="1"/>
  <c r="I931" i="1"/>
  <c r="AA930" i="1"/>
  <c r="AB930" i="1" s="1"/>
  <c r="H930" i="1"/>
  <c r="I930" i="1" s="1"/>
  <c r="AB929" i="1"/>
  <c r="AA929" i="1"/>
  <c r="I929" i="1"/>
  <c r="AB928" i="1"/>
  <c r="AA928" i="1"/>
  <c r="I928" i="1"/>
  <c r="AA927" i="1"/>
  <c r="AB927" i="1" s="1"/>
  <c r="I927" i="1"/>
  <c r="AB926" i="1"/>
  <c r="AA926" i="1"/>
  <c r="I926" i="1"/>
  <c r="AA925" i="1"/>
  <c r="AB925" i="1" s="1"/>
  <c r="I925" i="1"/>
  <c r="AB924" i="1"/>
  <c r="AA924" i="1"/>
  <c r="T924" i="1"/>
  <c r="I924" i="1"/>
  <c r="AA923" i="1"/>
  <c r="AB923" i="1" s="1"/>
  <c r="H923" i="1"/>
  <c r="I923" i="1" s="1"/>
  <c r="AA922" i="1"/>
  <c r="AB922" i="1" s="1"/>
  <c r="I922" i="1"/>
  <c r="AA921" i="1"/>
  <c r="AB921" i="1" s="1"/>
  <c r="I921" i="1"/>
  <c r="AA920" i="1"/>
  <c r="AB920" i="1" s="1"/>
  <c r="I920" i="1"/>
  <c r="AA919" i="1"/>
  <c r="AB919" i="1" s="1"/>
  <c r="H919" i="1"/>
  <c r="I919" i="1" s="1"/>
  <c r="AA918" i="1"/>
  <c r="AB918" i="1" s="1"/>
  <c r="I918" i="1"/>
  <c r="AA917" i="1"/>
  <c r="AB917" i="1" s="1"/>
  <c r="I917" i="1"/>
  <c r="AA916" i="1"/>
  <c r="AB916" i="1" s="1"/>
  <c r="I916" i="1"/>
  <c r="AA915" i="1"/>
  <c r="AB915" i="1" s="1"/>
  <c r="T915" i="1"/>
  <c r="I915" i="1"/>
  <c r="AA914" i="1"/>
  <c r="AB914" i="1" s="1"/>
  <c r="AB913" i="1"/>
  <c r="AA913" i="1"/>
  <c r="I913" i="1"/>
  <c r="AB912" i="1"/>
  <c r="AA912" i="1"/>
  <c r="H912" i="1"/>
  <c r="I912" i="1" s="1"/>
  <c r="AA911" i="1"/>
  <c r="AB911" i="1" s="1"/>
  <c r="I911" i="1"/>
  <c r="AA910" i="1"/>
  <c r="AB910" i="1" s="1"/>
  <c r="T910" i="1"/>
  <c r="I910" i="1"/>
  <c r="AB909" i="1"/>
  <c r="AA909" i="1"/>
  <c r="I909" i="1"/>
  <c r="AA908" i="1"/>
  <c r="AB908" i="1" s="1"/>
  <c r="I908" i="1"/>
  <c r="AA907" i="1"/>
  <c r="AB907" i="1" s="1"/>
  <c r="I907" i="1"/>
  <c r="AA906" i="1"/>
  <c r="AB906" i="1" s="1"/>
  <c r="I906" i="1"/>
  <c r="AA905" i="1"/>
  <c r="AB905" i="1" s="1"/>
  <c r="I905" i="1"/>
  <c r="AA904" i="1"/>
  <c r="AB904" i="1" s="1"/>
  <c r="T904" i="1"/>
  <c r="I904" i="1"/>
  <c r="AA903" i="1"/>
  <c r="AB903" i="1" s="1"/>
  <c r="T903" i="1"/>
  <c r="I903" i="1"/>
  <c r="AB902" i="1"/>
  <c r="AA902" i="1"/>
  <c r="I902" i="1"/>
  <c r="AA901" i="1"/>
  <c r="AB901" i="1" s="1"/>
  <c r="I901" i="1"/>
  <c r="H901" i="1"/>
  <c r="AA900" i="1"/>
  <c r="AB900" i="1" s="1"/>
  <c r="I900" i="1"/>
  <c r="AA899" i="1"/>
  <c r="AB899" i="1" s="1"/>
  <c r="I899" i="1"/>
  <c r="AA898" i="1"/>
  <c r="AB898" i="1" s="1"/>
  <c r="T898" i="1"/>
  <c r="I898" i="1"/>
  <c r="AB897" i="1"/>
  <c r="AA897" i="1"/>
  <c r="T897" i="1"/>
  <c r="I897" i="1"/>
  <c r="AA896" i="1"/>
  <c r="AB896" i="1" s="1"/>
  <c r="I896" i="1"/>
  <c r="AA895" i="1"/>
  <c r="AB895" i="1" s="1"/>
  <c r="I895" i="1"/>
  <c r="AA894" i="1"/>
  <c r="AB894" i="1" s="1"/>
  <c r="I894" i="1"/>
  <c r="H894" i="1"/>
  <c r="AA893" i="1"/>
  <c r="AB893" i="1" s="1"/>
  <c r="I893" i="1"/>
  <c r="AA892" i="1"/>
  <c r="AB892" i="1" s="1"/>
  <c r="I892" i="1"/>
  <c r="AA891" i="1"/>
  <c r="AB891" i="1" s="1"/>
  <c r="I891" i="1"/>
  <c r="AA890" i="1"/>
  <c r="AB890" i="1" s="1"/>
  <c r="I890" i="1"/>
  <c r="AA889" i="1"/>
  <c r="AB889" i="1" s="1"/>
  <c r="H889" i="1"/>
  <c r="I889" i="1" s="1"/>
  <c r="AB888" i="1"/>
  <c r="AA888" i="1"/>
  <c r="I888" i="1"/>
  <c r="AA887" i="1"/>
  <c r="AB887" i="1" s="1"/>
  <c r="H887" i="1"/>
  <c r="I887" i="1" s="1"/>
  <c r="AA886" i="1"/>
  <c r="AB886" i="1" s="1"/>
  <c r="I886" i="1"/>
  <c r="AA885" i="1"/>
  <c r="AB885" i="1" s="1"/>
  <c r="I885" i="1"/>
  <c r="H885" i="1"/>
  <c r="AA884" i="1"/>
  <c r="AB884" i="1" s="1"/>
  <c r="I884" i="1"/>
  <c r="AB883" i="1"/>
  <c r="AA883" i="1"/>
  <c r="I883" i="1"/>
  <c r="AA882" i="1"/>
  <c r="AB882" i="1" s="1"/>
  <c r="I882" i="1"/>
  <c r="AA881" i="1"/>
  <c r="AB881" i="1" s="1"/>
  <c r="I881" i="1"/>
  <c r="AB880" i="1"/>
  <c r="AA880" i="1"/>
  <c r="I880" i="1"/>
  <c r="AA879" i="1"/>
  <c r="AB879" i="1" s="1"/>
  <c r="I879" i="1"/>
  <c r="AA878" i="1"/>
  <c r="AB878" i="1" s="1"/>
  <c r="I878" i="1"/>
  <c r="AA877" i="1"/>
  <c r="AB877" i="1" s="1"/>
  <c r="I877" i="1"/>
  <c r="AA876" i="1"/>
  <c r="AB876" i="1" s="1"/>
  <c r="T876" i="1"/>
  <c r="I876" i="1"/>
  <c r="AB875" i="1"/>
  <c r="AA875" i="1"/>
  <c r="H875" i="1"/>
  <c r="I875" i="1" s="1"/>
  <c r="AA874" i="1"/>
  <c r="AB874" i="1" s="1"/>
  <c r="I874" i="1"/>
  <c r="AB873" i="1"/>
  <c r="AA873" i="1"/>
  <c r="H873" i="1"/>
  <c r="I873" i="1" s="1"/>
  <c r="AA872" i="1"/>
  <c r="AB872" i="1" s="1"/>
  <c r="I872" i="1"/>
  <c r="AA871" i="1"/>
  <c r="AB871" i="1" s="1"/>
  <c r="T871" i="1"/>
  <c r="I871" i="1"/>
  <c r="AB870" i="1"/>
  <c r="AA870" i="1"/>
  <c r="I870" i="1"/>
  <c r="H870" i="1"/>
  <c r="AA869" i="1"/>
  <c r="AB869" i="1" s="1"/>
  <c r="I869" i="1"/>
  <c r="AA868" i="1"/>
  <c r="AB868" i="1" s="1"/>
  <c r="I868" i="1"/>
  <c r="AA867" i="1"/>
  <c r="AB867" i="1" s="1"/>
  <c r="I867" i="1"/>
  <c r="AA866" i="1"/>
  <c r="AB866" i="1" s="1"/>
  <c r="I866" i="1"/>
  <c r="AA865" i="1"/>
  <c r="AB865" i="1" s="1"/>
  <c r="T865" i="1"/>
  <c r="I865" i="1"/>
  <c r="AA864" i="1"/>
  <c r="AB864" i="1" s="1"/>
  <c r="I864" i="1"/>
  <c r="AA863" i="1"/>
  <c r="AB863" i="1" s="1"/>
  <c r="I863" i="1"/>
  <c r="AA862" i="1"/>
  <c r="AB862" i="1" s="1"/>
  <c r="I862" i="1"/>
  <c r="H862" i="1"/>
  <c r="AB861" i="1"/>
  <c r="AA861" i="1"/>
  <c r="I861" i="1"/>
  <c r="AB860" i="1"/>
  <c r="AA860" i="1"/>
  <c r="H860" i="1"/>
  <c r="I860" i="1" s="1"/>
  <c r="AA859" i="1"/>
  <c r="AB859" i="1" s="1"/>
  <c r="I859" i="1"/>
  <c r="AB858" i="1"/>
  <c r="AA858" i="1"/>
  <c r="I858" i="1"/>
  <c r="H858" i="1"/>
  <c r="AA857" i="1"/>
  <c r="AB857" i="1" s="1"/>
  <c r="I857" i="1"/>
  <c r="AA856" i="1"/>
  <c r="AB856" i="1" s="1"/>
  <c r="I856" i="1"/>
  <c r="H856" i="1"/>
  <c r="AB855" i="1"/>
  <c r="AA855" i="1"/>
  <c r="I855" i="1"/>
  <c r="AB854" i="1"/>
  <c r="AA854" i="1"/>
  <c r="I854" i="1"/>
  <c r="AB853" i="1"/>
  <c r="AA853" i="1"/>
  <c r="I853" i="1"/>
  <c r="H853" i="1"/>
  <c r="AA852" i="1"/>
  <c r="AB852" i="1" s="1"/>
  <c r="I852" i="1"/>
  <c r="AA851" i="1"/>
  <c r="AB851" i="1" s="1"/>
  <c r="I851" i="1"/>
  <c r="H851" i="1"/>
  <c r="AA850" i="1"/>
  <c r="AB850" i="1" s="1"/>
  <c r="I850" i="1"/>
  <c r="AA849" i="1"/>
  <c r="AB849" i="1" s="1"/>
  <c r="I849" i="1"/>
  <c r="AA848" i="1"/>
  <c r="AB848" i="1" s="1"/>
  <c r="I848" i="1"/>
  <c r="H848" i="1"/>
  <c r="AA847" i="1"/>
  <c r="AB847" i="1" s="1"/>
  <c r="I847" i="1"/>
  <c r="AA846" i="1"/>
  <c r="AB846" i="1" s="1"/>
  <c r="I846" i="1"/>
  <c r="AA845" i="1"/>
  <c r="AB845" i="1" s="1"/>
  <c r="I845" i="1"/>
  <c r="AA844" i="1"/>
  <c r="AB844" i="1" s="1"/>
  <c r="T844" i="1"/>
  <c r="I844" i="1"/>
  <c r="AB843" i="1"/>
  <c r="AA843" i="1"/>
  <c r="I843" i="1"/>
  <c r="AB842" i="1"/>
  <c r="AA842" i="1"/>
  <c r="I842" i="1"/>
  <c r="AA841" i="1"/>
  <c r="AB841" i="1" s="1"/>
  <c r="H841" i="1"/>
  <c r="I841" i="1" s="1"/>
  <c r="AB840" i="1"/>
  <c r="AA840" i="1"/>
  <c r="I840" i="1"/>
  <c r="AA839" i="1"/>
  <c r="AB839" i="1" s="1"/>
  <c r="I839" i="1"/>
  <c r="AA838" i="1"/>
  <c r="AB838" i="1" s="1"/>
  <c r="I838" i="1"/>
  <c r="AA837" i="1"/>
  <c r="AB837" i="1" s="1"/>
  <c r="I837" i="1"/>
  <c r="AA836" i="1"/>
  <c r="AB836" i="1" s="1"/>
  <c r="I836" i="1"/>
  <c r="H836" i="1"/>
  <c r="AA835" i="1"/>
  <c r="AB835" i="1" s="1"/>
  <c r="I835" i="1"/>
  <c r="AA834" i="1"/>
  <c r="AB834" i="1" s="1"/>
  <c r="I834" i="1"/>
  <c r="AA833" i="1"/>
  <c r="AB833" i="1" s="1"/>
  <c r="I833" i="1"/>
  <c r="AA832" i="1"/>
  <c r="AB832" i="1" s="1"/>
  <c r="I832" i="1"/>
  <c r="AA831" i="1"/>
  <c r="AB831" i="1" s="1"/>
  <c r="I831" i="1"/>
  <c r="H831" i="1"/>
  <c r="AA830" i="1"/>
  <c r="AB830" i="1" s="1"/>
  <c r="I830" i="1"/>
  <c r="AA829" i="1"/>
  <c r="AB829" i="1" s="1"/>
  <c r="I829" i="1"/>
  <c r="AA828" i="1"/>
  <c r="AB828" i="1" s="1"/>
  <c r="I828" i="1"/>
  <c r="AA827" i="1"/>
  <c r="AB827" i="1" s="1"/>
  <c r="I827" i="1"/>
  <c r="AA826" i="1"/>
  <c r="AB826" i="1" s="1"/>
  <c r="I826" i="1"/>
  <c r="H826" i="1"/>
  <c r="AA825" i="1"/>
  <c r="AB825" i="1" s="1"/>
  <c r="I825" i="1"/>
  <c r="AA824" i="1"/>
  <c r="AB824" i="1" s="1"/>
  <c r="I824" i="1"/>
  <c r="AA823" i="1"/>
  <c r="AB823" i="1" s="1"/>
  <c r="I823" i="1"/>
  <c r="AA822" i="1"/>
  <c r="AB822" i="1" s="1"/>
  <c r="H822" i="1"/>
  <c r="I822" i="1" s="1"/>
  <c r="AA821" i="1"/>
  <c r="AB821" i="1" s="1"/>
  <c r="I821" i="1"/>
  <c r="AA820" i="1"/>
  <c r="AB820" i="1" s="1"/>
  <c r="H820" i="1"/>
  <c r="I820" i="1" s="1"/>
  <c r="AA819" i="1"/>
  <c r="AB819" i="1" s="1"/>
  <c r="I819" i="1"/>
  <c r="AA818" i="1"/>
  <c r="AB818" i="1" s="1"/>
  <c r="I818" i="1"/>
  <c r="H818" i="1"/>
  <c r="AA817" i="1"/>
  <c r="AB817" i="1" s="1"/>
  <c r="I817" i="1"/>
  <c r="AA816" i="1"/>
  <c r="AB816" i="1" s="1"/>
  <c r="I816" i="1"/>
  <c r="AA815" i="1"/>
  <c r="AB815" i="1" s="1"/>
  <c r="I815" i="1"/>
  <c r="AA814" i="1"/>
  <c r="AB814" i="1" s="1"/>
  <c r="T814" i="1"/>
  <c r="I814" i="1"/>
  <c r="AB813" i="1"/>
  <c r="AA813" i="1"/>
  <c r="T813" i="1"/>
  <c r="I813" i="1"/>
  <c r="AA812" i="1"/>
  <c r="AB812" i="1" s="1"/>
  <c r="I812" i="1"/>
  <c r="AA811" i="1"/>
  <c r="AB811" i="1" s="1"/>
  <c r="I811" i="1"/>
  <c r="AA810" i="1"/>
  <c r="AB810" i="1" s="1"/>
  <c r="I810" i="1"/>
  <c r="AA809" i="1"/>
  <c r="AB809" i="1" s="1"/>
  <c r="I809" i="1"/>
  <c r="AA808" i="1"/>
  <c r="AB808" i="1" s="1"/>
  <c r="I808" i="1"/>
  <c r="AA807" i="1"/>
  <c r="AB807" i="1" s="1"/>
  <c r="I807" i="1"/>
  <c r="AA806" i="1"/>
  <c r="AB806" i="1" s="1"/>
  <c r="I806" i="1"/>
  <c r="AB805" i="1"/>
  <c r="AA805" i="1"/>
  <c r="I805" i="1"/>
  <c r="AB804" i="1"/>
  <c r="AA804" i="1"/>
  <c r="I804" i="1"/>
  <c r="AA803" i="1"/>
  <c r="AB803" i="1" s="1"/>
  <c r="I803" i="1"/>
  <c r="H803" i="1"/>
  <c r="AA802" i="1"/>
  <c r="AB802" i="1" s="1"/>
  <c r="I802" i="1"/>
  <c r="AA801" i="1"/>
  <c r="AB801" i="1" s="1"/>
  <c r="H801" i="1"/>
  <c r="I801" i="1" s="1"/>
  <c r="AA800" i="1"/>
  <c r="AB800" i="1" s="1"/>
  <c r="I800" i="1"/>
  <c r="AB799" i="1"/>
  <c r="AA799" i="1"/>
  <c r="I799" i="1"/>
  <c r="AA798" i="1"/>
  <c r="AB798" i="1" s="1"/>
  <c r="I798" i="1"/>
  <c r="AA797" i="1"/>
  <c r="AB797" i="1" s="1"/>
  <c r="T797" i="1"/>
  <c r="I797" i="1"/>
  <c r="AA796" i="1"/>
  <c r="AB796" i="1" s="1"/>
  <c r="T796" i="1"/>
  <c r="I796" i="1"/>
  <c r="AB795" i="1"/>
  <c r="AA795" i="1"/>
  <c r="T795" i="1"/>
  <c r="I795" i="1"/>
  <c r="AA794" i="1"/>
  <c r="AB794" i="1" s="1"/>
  <c r="I794" i="1"/>
  <c r="AA793" i="1"/>
  <c r="AB793" i="1" s="1"/>
  <c r="I793" i="1"/>
  <c r="AA792" i="1"/>
  <c r="AB792" i="1" s="1"/>
  <c r="I792" i="1"/>
  <c r="AA791" i="1"/>
  <c r="AB791" i="1" s="1"/>
  <c r="H791" i="1"/>
  <c r="I791" i="1" s="1"/>
  <c r="AA790" i="1"/>
  <c r="AB790" i="1" s="1"/>
  <c r="I790" i="1"/>
  <c r="AB789" i="1"/>
  <c r="AA789" i="1"/>
  <c r="I789" i="1"/>
  <c r="AA788" i="1"/>
  <c r="AB788" i="1" s="1"/>
  <c r="I788" i="1"/>
  <c r="AA787" i="1"/>
  <c r="AB787" i="1" s="1"/>
  <c r="H787" i="1"/>
  <c r="I787" i="1" s="1"/>
  <c r="AB786" i="1"/>
  <c r="AA786" i="1"/>
  <c r="I786" i="1"/>
  <c r="AA785" i="1"/>
  <c r="AB785" i="1" s="1"/>
  <c r="I785" i="1"/>
  <c r="H785" i="1"/>
  <c r="AB784" i="1"/>
  <c r="AA784" i="1"/>
  <c r="I784" i="1"/>
  <c r="AA783" i="1"/>
  <c r="AB783" i="1" s="1"/>
  <c r="I783" i="1"/>
  <c r="H783" i="1"/>
  <c r="AA782" i="1"/>
  <c r="AB782" i="1" s="1"/>
  <c r="I782" i="1"/>
  <c r="AA781" i="1"/>
  <c r="AB781" i="1" s="1"/>
  <c r="H781" i="1"/>
  <c r="I781" i="1" s="1"/>
  <c r="AB780" i="1"/>
  <c r="AA780" i="1"/>
  <c r="I780" i="1"/>
  <c r="AB779" i="1"/>
  <c r="AA779" i="1"/>
  <c r="H779" i="1"/>
  <c r="I779" i="1" s="1"/>
  <c r="AA778" i="1"/>
  <c r="AB778" i="1" s="1"/>
  <c r="I778" i="1"/>
  <c r="AA777" i="1"/>
  <c r="AB777" i="1" s="1"/>
  <c r="I777" i="1"/>
  <c r="AA776" i="1"/>
  <c r="AB776" i="1" s="1"/>
  <c r="I776" i="1"/>
  <c r="AA775" i="1"/>
  <c r="AB775" i="1" s="1"/>
  <c r="I775" i="1"/>
  <c r="AA774" i="1"/>
  <c r="AB774" i="1" s="1"/>
  <c r="T774" i="1"/>
  <c r="I774" i="1"/>
  <c r="AB773" i="1"/>
  <c r="AA773" i="1"/>
  <c r="I773" i="1"/>
  <c r="AA772" i="1"/>
  <c r="AB772" i="1" s="1"/>
  <c r="T772" i="1"/>
  <c r="I772" i="1"/>
  <c r="AA771" i="1"/>
  <c r="AB771" i="1" s="1"/>
  <c r="T771" i="1"/>
  <c r="I771" i="1"/>
  <c r="AA770" i="1"/>
  <c r="AB770" i="1" s="1"/>
  <c r="I770" i="1"/>
  <c r="AA769" i="1"/>
  <c r="AB769" i="1" s="1"/>
  <c r="I769" i="1"/>
  <c r="AB768" i="1"/>
  <c r="AA768" i="1"/>
  <c r="I768" i="1"/>
  <c r="AB767" i="1"/>
  <c r="AA767" i="1"/>
  <c r="I767" i="1"/>
  <c r="AA766" i="1"/>
  <c r="AB766" i="1" s="1"/>
  <c r="I766" i="1"/>
  <c r="AB765" i="1"/>
  <c r="AA765" i="1"/>
  <c r="T765" i="1"/>
  <c r="I765" i="1"/>
  <c r="AA764" i="1"/>
  <c r="AB764" i="1" s="1"/>
  <c r="I764" i="1"/>
  <c r="AB763" i="1"/>
  <c r="AA763" i="1"/>
  <c r="T763" i="1"/>
  <c r="I763" i="1"/>
  <c r="AA762" i="1"/>
  <c r="AB762" i="1" s="1"/>
  <c r="I762" i="1"/>
  <c r="AA761" i="1"/>
  <c r="AB761" i="1" s="1"/>
  <c r="I761" i="1"/>
  <c r="AB760" i="1"/>
  <c r="AA760" i="1"/>
  <c r="T760" i="1"/>
  <c r="I760" i="1"/>
  <c r="AA759" i="1"/>
  <c r="AB759" i="1" s="1"/>
  <c r="I759" i="1"/>
  <c r="AA758" i="1"/>
  <c r="AB758" i="1" s="1"/>
  <c r="I758" i="1"/>
  <c r="AA757" i="1"/>
  <c r="AB757" i="1" s="1"/>
  <c r="I757" i="1"/>
  <c r="AA756" i="1"/>
  <c r="AB756" i="1" s="1"/>
  <c r="H756" i="1"/>
  <c r="I756" i="1" s="1"/>
  <c r="AB755" i="1"/>
  <c r="AA755" i="1"/>
  <c r="I755" i="1"/>
  <c r="AA754" i="1"/>
  <c r="AB754" i="1" s="1"/>
  <c r="H754" i="1"/>
  <c r="I754" i="1" s="1"/>
  <c r="AA753" i="1"/>
  <c r="AB753" i="1" s="1"/>
  <c r="I753" i="1"/>
  <c r="AB752" i="1"/>
  <c r="AA752" i="1"/>
  <c r="I752" i="1"/>
  <c r="AA751" i="1"/>
  <c r="AB751" i="1" s="1"/>
  <c r="I751" i="1"/>
  <c r="AA750" i="1"/>
  <c r="AB750" i="1" s="1"/>
  <c r="I750" i="1"/>
  <c r="AA749" i="1"/>
  <c r="AB749" i="1" s="1"/>
  <c r="T749" i="1"/>
  <c r="I749" i="1"/>
  <c r="AB748" i="1"/>
  <c r="AA748" i="1"/>
  <c r="T748" i="1"/>
  <c r="I748" i="1"/>
  <c r="AA747" i="1"/>
  <c r="AB747" i="1" s="1"/>
  <c r="I747" i="1"/>
  <c r="AA746" i="1"/>
  <c r="AB746" i="1" s="1"/>
  <c r="I746" i="1"/>
  <c r="AA745" i="1"/>
  <c r="AB745" i="1" s="1"/>
  <c r="I745" i="1"/>
  <c r="AA744" i="1"/>
  <c r="AB744" i="1" s="1"/>
  <c r="I744" i="1"/>
  <c r="AA743" i="1"/>
  <c r="AB743" i="1" s="1"/>
  <c r="I743" i="1"/>
  <c r="AA742" i="1"/>
  <c r="AB742" i="1" s="1"/>
  <c r="I742" i="1"/>
  <c r="AA741" i="1"/>
  <c r="AB741" i="1" s="1"/>
  <c r="I741" i="1"/>
  <c r="AB740" i="1"/>
  <c r="AA740" i="1"/>
  <c r="I740" i="1"/>
  <c r="AA739" i="1"/>
  <c r="AB739" i="1" s="1"/>
  <c r="H739" i="1"/>
  <c r="I739" i="1" s="1"/>
  <c r="AA738" i="1"/>
  <c r="AB738" i="1" s="1"/>
  <c r="I738" i="1"/>
  <c r="AA737" i="1"/>
  <c r="AB737" i="1" s="1"/>
  <c r="I737" i="1"/>
  <c r="AA736" i="1"/>
  <c r="AB736" i="1" s="1"/>
  <c r="I736" i="1"/>
  <c r="AB735" i="1"/>
  <c r="AA735" i="1"/>
  <c r="I735" i="1"/>
  <c r="AA734" i="1"/>
  <c r="AB734" i="1" s="1"/>
  <c r="I734" i="1"/>
  <c r="AB733" i="1"/>
  <c r="AA733" i="1"/>
  <c r="I733" i="1"/>
  <c r="AA732" i="1"/>
  <c r="AB732" i="1" s="1"/>
  <c r="H732" i="1"/>
  <c r="I732" i="1" s="1"/>
  <c r="AA731" i="1"/>
  <c r="AB731" i="1" s="1"/>
  <c r="I731" i="1"/>
  <c r="AA730" i="1"/>
  <c r="AB730" i="1" s="1"/>
  <c r="I730" i="1"/>
  <c r="AA729" i="1"/>
  <c r="AB729" i="1" s="1"/>
  <c r="I729" i="1"/>
  <c r="AA728" i="1"/>
  <c r="AB728" i="1" s="1"/>
  <c r="I728" i="1"/>
  <c r="AA727" i="1"/>
  <c r="AB727" i="1" s="1"/>
  <c r="I727" i="1"/>
  <c r="AA726" i="1"/>
  <c r="AB726" i="1" s="1"/>
  <c r="I726" i="1"/>
  <c r="AA725" i="1"/>
  <c r="AB725" i="1" s="1"/>
  <c r="H725" i="1"/>
  <c r="I725" i="1" s="1"/>
  <c r="AB724" i="1"/>
  <c r="AA724" i="1"/>
  <c r="I724" i="1"/>
  <c r="AA723" i="1"/>
  <c r="AB723" i="1" s="1"/>
  <c r="I723" i="1"/>
  <c r="AA722" i="1"/>
  <c r="AB722" i="1" s="1"/>
  <c r="I722" i="1"/>
  <c r="AB721" i="1"/>
  <c r="AA721" i="1"/>
  <c r="I721" i="1"/>
  <c r="AA720" i="1"/>
  <c r="AB720" i="1" s="1"/>
  <c r="I720" i="1"/>
  <c r="AA719" i="1"/>
  <c r="AB719" i="1" s="1"/>
  <c r="I719" i="1"/>
  <c r="AB718" i="1"/>
  <c r="AA718" i="1"/>
  <c r="I718" i="1"/>
  <c r="H718" i="1"/>
  <c r="AA717" i="1"/>
  <c r="AB717" i="1" s="1"/>
  <c r="I717" i="1"/>
  <c r="AA716" i="1"/>
  <c r="AB716" i="1" s="1"/>
  <c r="I716" i="1"/>
  <c r="H716" i="1"/>
  <c r="AB715" i="1"/>
  <c r="AA715" i="1"/>
  <c r="I715" i="1"/>
  <c r="AA714" i="1"/>
  <c r="AB714" i="1" s="1"/>
  <c r="T714" i="1"/>
  <c r="I714" i="1"/>
  <c r="AA713" i="1"/>
  <c r="AB713" i="1" s="1"/>
  <c r="I713" i="1"/>
  <c r="AA712" i="1"/>
  <c r="AB712" i="1" s="1"/>
  <c r="I712" i="1"/>
  <c r="AA711" i="1"/>
  <c r="AB711" i="1" s="1"/>
  <c r="I711" i="1"/>
  <c r="AA710" i="1"/>
  <c r="AB710" i="1" s="1"/>
  <c r="I710" i="1"/>
  <c r="AA709" i="1"/>
  <c r="AB709" i="1" s="1"/>
  <c r="I709" i="1"/>
  <c r="AA708" i="1"/>
  <c r="AB708" i="1" s="1"/>
  <c r="I708" i="1"/>
  <c r="AA707" i="1"/>
  <c r="AB707" i="1" s="1"/>
  <c r="H707" i="1"/>
  <c r="I707" i="1" s="1"/>
  <c r="AA706" i="1"/>
  <c r="AB706" i="1" s="1"/>
  <c r="I706" i="1"/>
  <c r="AB705" i="1"/>
  <c r="AA705" i="1"/>
  <c r="H705" i="1"/>
  <c r="I705" i="1" s="1"/>
  <c r="AB704" i="1"/>
  <c r="AA704" i="1"/>
  <c r="I704" i="1"/>
  <c r="AB703" i="1"/>
  <c r="AA703" i="1"/>
  <c r="I703" i="1"/>
  <c r="AA702" i="1"/>
  <c r="AB702" i="1" s="1"/>
  <c r="I702" i="1"/>
  <c r="AB701" i="1"/>
  <c r="AA701" i="1"/>
  <c r="I701" i="1"/>
  <c r="H701" i="1"/>
  <c r="AA700" i="1"/>
  <c r="AB700" i="1" s="1"/>
  <c r="I700" i="1"/>
  <c r="AA699" i="1"/>
  <c r="AB699" i="1" s="1"/>
  <c r="I699" i="1"/>
  <c r="H699" i="1"/>
  <c r="AB698" i="1"/>
  <c r="AA698" i="1"/>
  <c r="I698" i="1"/>
  <c r="AA697" i="1"/>
  <c r="AB697" i="1" s="1"/>
  <c r="H697" i="1"/>
  <c r="I697" i="1" s="1"/>
  <c r="AA696" i="1"/>
  <c r="AB696" i="1" s="1"/>
  <c r="I696" i="1"/>
  <c r="AB695" i="1"/>
  <c r="AA695" i="1"/>
  <c r="AA694" i="1"/>
  <c r="AB694" i="1" s="1"/>
  <c r="I694" i="1"/>
  <c r="AB693" i="1"/>
  <c r="AA693" i="1"/>
  <c r="I693" i="1"/>
  <c r="AB692" i="1"/>
  <c r="AA692" i="1"/>
  <c r="H692" i="1"/>
  <c r="I692" i="1" s="1"/>
  <c r="AB691" i="1"/>
  <c r="AA691" i="1"/>
  <c r="I691" i="1"/>
  <c r="AA690" i="1"/>
  <c r="AB690" i="1" s="1"/>
  <c r="I690" i="1"/>
  <c r="H690" i="1"/>
  <c r="AA689" i="1"/>
  <c r="AB689" i="1" s="1"/>
  <c r="I689" i="1"/>
  <c r="AB688" i="1"/>
  <c r="AA688" i="1"/>
  <c r="H688" i="1"/>
  <c r="I688" i="1" s="1"/>
  <c r="AA687" i="1"/>
  <c r="AB687" i="1" s="1"/>
  <c r="I687" i="1"/>
  <c r="AA686" i="1"/>
  <c r="AB686" i="1" s="1"/>
  <c r="H686" i="1"/>
  <c r="I686" i="1" s="1"/>
  <c r="AA685" i="1"/>
  <c r="AB685" i="1" s="1"/>
  <c r="I685" i="1"/>
  <c r="AA684" i="1"/>
  <c r="AB684" i="1" s="1"/>
  <c r="I684" i="1"/>
  <c r="AA683" i="1"/>
  <c r="AB683" i="1" s="1"/>
  <c r="I683" i="1"/>
  <c r="H683" i="1"/>
  <c r="AB682" i="1"/>
  <c r="AA682" i="1"/>
  <c r="I682" i="1"/>
  <c r="AA681" i="1"/>
  <c r="AB681" i="1" s="1"/>
  <c r="I681" i="1"/>
  <c r="H681" i="1"/>
  <c r="AA680" i="1"/>
  <c r="AB680" i="1" s="1"/>
  <c r="I680" i="1"/>
  <c r="AA679" i="1"/>
  <c r="AB679" i="1" s="1"/>
  <c r="I679" i="1"/>
  <c r="AA678" i="1"/>
  <c r="AB678" i="1" s="1"/>
  <c r="I678" i="1"/>
  <c r="AB677" i="1"/>
  <c r="AA677" i="1"/>
  <c r="I677" i="1"/>
  <c r="AA676" i="1"/>
  <c r="AB676" i="1" s="1"/>
  <c r="I676" i="1"/>
  <c r="AB675" i="1"/>
  <c r="AA675" i="1"/>
  <c r="I675" i="1"/>
  <c r="AA674" i="1"/>
  <c r="AB674" i="1" s="1"/>
  <c r="AB673" i="1"/>
  <c r="AA673" i="1"/>
  <c r="I673" i="1"/>
  <c r="H673" i="1"/>
  <c r="AA672" i="1"/>
  <c r="AB672" i="1" s="1"/>
  <c r="I672" i="1"/>
  <c r="AA671" i="1"/>
  <c r="AB671" i="1" s="1"/>
  <c r="I671" i="1"/>
  <c r="AB670" i="1"/>
  <c r="AA670" i="1"/>
  <c r="I670" i="1"/>
  <c r="AA669" i="1"/>
  <c r="AB669" i="1" s="1"/>
  <c r="I669" i="1"/>
  <c r="AA668" i="1"/>
  <c r="AB668" i="1" s="1"/>
  <c r="I668" i="1"/>
  <c r="AA667" i="1"/>
  <c r="AB667" i="1" s="1"/>
  <c r="I667" i="1"/>
  <c r="AA666" i="1"/>
  <c r="AB666" i="1" s="1"/>
  <c r="I666" i="1"/>
  <c r="H666" i="1"/>
  <c r="AA665" i="1"/>
  <c r="AB665" i="1" s="1"/>
  <c r="I665" i="1"/>
  <c r="AB664" i="1"/>
  <c r="AA664" i="1"/>
  <c r="I664" i="1"/>
  <c r="AA663" i="1"/>
  <c r="AB663" i="1" s="1"/>
  <c r="I663" i="1"/>
  <c r="H663" i="1"/>
  <c r="AA662" i="1"/>
  <c r="AB662" i="1" s="1"/>
  <c r="I662" i="1"/>
  <c r="AA661" i="1"/>
  <c r="AB661" i="1" s="1"/>
  <c r="I661" i="1"/>
  <c r="AA660" i="1"/>
  <c r="AB660" i="1" s="1"/>
  <c r="I660" i="1"/>
  <c r="AB659" i="1"/>
  <c r="AA659" i="1"/>
  <c r="I659" i="1"/>
  <c r="AA658" i="1"/>
  <c r="AB658" i="1" s="1"/>
  <c r="I658" i="1"/>
  <c r="AA657" i="1"/>
  <c r="AB657" i="1" s="1"/>
  <c r="I657" i="1"/>
  <c r="H657" i="1"/>
  <c r="AA656" i="1"/>
  <c r="AB656" i="1" s="1"/>
  <c r="I656" i="1"/>
  <c r="AA655" i="1"/>
  <c r="AB655" i="1" s="1"/>
  <c r="I655" i="1"/>
  <c r="AB654" i="1"/>
  <c r="AA654" i="1"/>
  <c r="I654" i="1"/>
  <c r="AB653" i="1"/>
  <c r="AA653" i="1"/>
  <c r="I653" i="1"/>
  <c r="H653" i="1"/>
  <c r="AA652" i="1"/>
  <c r="AB652" i="1" s="1"/>
  <c r="I652" i="1"/>
  <c r="AA651" i="1"/>
  <c r="AB651" i="1" s="1"/>
  <c r="H651" i="1"/>
  <c r="I651" i="1" s="1"/>
  <c r="AA650" i="1"/>
  <c r="AB650" i="1" s="1"/>
  <c r="I650" i="1"/>
  <c r="AA649" i="1"/>
  <c r="AB649" i="1" s="1"/>
  <c r="I649" i="1"/>
  <c r="AA648" i="1"/>
  <c r="AB648" i="1" s="1"/>
  <c r="I648" i="1"/>
  <c r="AA647" i="1"/>
  <c r="AB647" i="1" s="1"/>
  <c r="I647" i="1"/>
  <c r="AA646" i="1"/>
  <c r="AB646" i="1" s="1"/>
  <c r="I646" i="1"/>
  <c r="AA645" i="1"/>
  <c r="AB645" i="1" s="1"/>
  <c r="H645" i="1"/>
  <c r="I645" i="1" s="1"/>
  <c r="AA644" i="1"/>
  <c r="AB644" i="1" s="1"/>
  <c r="I644" i="1"/>
  <c r="AA643" i="1"/>
  <c r="AB643" i="1" s="1"/>
  <c r="I643" i="1"/>
  <c r="AA642" i="1"/>
  <c r="AB642" i="1" s="1"/>
  <c r="I642" i="1"/>
  <c r="H642" i="1"/>
  <c r="AA641" i="1"/>
  <c r="AB641" i="1" s="1"/>
  <c r="I641" i="1"/>
  <c r="AB640" i="1"/>
  <c r="AA640" i="1"/>
  <c r="I640" i="1"/>
  <c r="AA639" i="1"/>
  <c r="AB639" i="1" s="1"/>
  <c r="I639" i="1"/>
  <c r="AA638" i="1"/>
  <c r="AB638" i="1" s="1"/>
  <c r="I638" i="1"/>
  <c r="AB637" i="1"/>
  <c r="AA637" i="1"/>
  <c r="I637" i="1"/>
  <c r="AA636" i="1"/>
  <c r="AB636" i="1" s="1"/>
  <c r="I636" i="1"/>
  <c r="AA635" i="1"/>
  <c r="AB635" i="1" s="1"/>
  <c r="I635" i="1"/>
  <c r="AB634" i="1"/>
  <c r="AA634" i="1"/>
  <c r="T634" i="1"/>
  <c r="I634" i="1"/>
  <c r="AA633" i="1"/>
  <c r="AB633" i="1" s="1"/>
  <c r="H633" i="1"/>
  <c r="I633" i="1" s="1"/>
  <c r="AB632" i="1"/>
  <c r="AA632" i="1"/>
  <c r="I632" i="1"/>
  <c r="AB631" i="1"/>
  <c r="AA631" i="1"/>
  <c r="I631" i="1"/>
  <c r="H631" i="1"/>
  <c r="AA630" i="1"/>
  <c r="AB630" i="1" s="1"/>
  <c r="I630" i="1"/>
  <c r="AA629" i="1"/>
  <c r="AB629" i="1" s="1"/>
  <c r="H629" i="1"/>
  <c r="I629" i="1" s="1"/>
  <c r="AB628" i="1"/>
  <c r="AA628" i="1"/>
  <c r="I628" i="1"/>
  <c r="AB627" i="1"/>
  <c r="AA627" i="1"/>
  <c r="I627" i="1"/>
  <c r="H627" i="1"/>
  <c r="AA626" i="1"/>
  <c r="AB626" i="1" s="1"/>
  <c r="I626" i="1"/>
  <c r="AA625" i="1"/>
  <c r="AB625" i="1" s="1"/>
  <c r="H625" i="1"/>
  <c r="I625" i="1" s="1"/>
  <c r="AA624" i="1"/>
  <c r="AB624" i="1" s="1"/>
  <c r="I624" i="1"/>
  <c r="AB623" i="1"/>
  <c r="AA623" i="1"/>
  <c r="I623" i="1"/>
  <c r="AA622" i="1"/>
  <c r="AB622" i="1" s="1"/>
  <c r="H622" i="1"/>
  <c r="I622" i="1" s="1"/>
  <c r="AA621" i="1"/>
  <c r="AB621" i="1" s="1"/>
  <c r="I621" i="1"/>
  <c r="AA620" i="1"/>
  <c r="AB620" i="1" s="1"/>
  <c r="I620" i="1"/>
  <c r="H620" i="1"/>
  <c r="AA619" i="1"/>
  <c r="AB619" i="1" s="1"/>
  <c r="I619" i="1"/>
  <c r="AA618" i="1"/>
  <c r="AB618" i="1" s="1"/>
  <c r="I618" i="1"/>
  <c r="AB617" i="1"/>
  <c r="AA617" i="1"/>
  <c r="I617" i="1"/>
  <c r="AB616" i="1"/>
  <c r="AA616" i="1"/>
  <c r="I616" i="1"/>
  <c r="AA615" i="1"/>
  <c r="AB615" i="1" s="1"/>
  <c r="I615" i="1"/>
  <c r="AA614" i="1"/>
  <c r="AB614" i="1" s="1"/>
  <c r="I614" i="1"/>
  <c r="AB613" i="1"/>
  <c r="AA613" i="1"/>
  <c r="I613" i="1"/>
  <c r="AA612" i="1"/>
  <c r="AB612" i="1" s="1"/>
  <c r="H612" i="1"/>
  <c r="I612" i="1" s="1"/>
  <c r="AA611" i="1"/>
  <c r="AB611" i="1" s="1"/>
  <c r="I611" i="1"/>
  <c r="AA610" i="1"/>
  <c r="AB610" i="1" s="1"/>
  <c r="I610" i="1"/>
  <c r="AA609" i="1"/>
  <c r="AB609" i="1" s="1"/>
  <c r="I609" i="1"/>
  <c r="AA608" i="1"/>
  <c r="AB608" i="1" s="1"/>
  <c r="I608" i="1"/>
  <c r="AA607" i="1"/>
  <c r="AB607" i="1" s="1"/>
  <c r="I607" i="1"/>
  <c r="AA606" i="1"/>
  <c r="AB606" i="1" s="1"/>
  <c r="I606" i="1"/>
  <c r="AA605" i="1"/>
  <c r="AB605" i="1" s="1"/>
  <c r="H605" i="1"/>
  <c r="I605" i="1" s="1"/>
  <c r="AA604" i="1"/>
  <c r="AB604" i="1" s="1"/>
  <c r="I604" i="1"/>
  <c r="AA603" i="1"/>
  <c r="AB603" i="1" s="1"/>
  <c r="I603" i="1"/>
  <c r="H603" i="1"/>
  <c r="AB602" i="1"/>
  <c r="AA602" i="1"/>
  <c r="I602" i="1"/>
  <c r="AA601" i="1"/>
  <c r="AB601" i="1" s="1"/>
  <c r="H601" i="1"/>
  <c r="I601" i="1" s="1"/>
  <c r="AB600" i="1"/>
  <c r="AA600" i="1"/>
  <c r="I600" i="1"/>
  <c r="AA599" i="1"/>
  <c r="AB599" i="1" s="1"/>
  <c r="I599" i="1"/>
  <c r="H599" i="1"/>
  <c r="AA598" i="1"/>
  <c r="AB598" i="1" s="1"/>
  <c r="I598" i="1"/>
  <c r="AA597" i="1"/>
  <c r="AB597" i="1" s="1"/>
  <c r="I597" i="1"/>
  <c r="AA596" i="1"/>
  <c r="AB596" i="1" s="1"/>
  <c r="I596" i="1"/>
  <c r="AA595" i="1"/>
  <c r="AB595" i="1" s="1"/>
  <c r="I595" i="1"/>
  <c r="AB594" i="1"/>
  <c r="AA594" i="1"/>
  <c r="I594" i="1"/>
  <c r="AA593" i="1"/>
  <c r="AB593" i="1" s="1"/>
  <c r="H593" i="1"/>
  <c r="I593" i="1" s="1"/>
  <c r="AA592" i="1"/>
  <c r="AB592" i="1" s="1"/>
  <c r="I592" i="1"/>
  <c r="AA591" i="1"/>
  <c r="AB591" i="1" s="1"/>
  <c r="I591" i="1"/>
  <c r="H591" i="1"/>
  <c r="AB590" i="1"/>
  <c r="AA590" i="1"/>
  <c r="I590" i="1"/>
  <c r="AB589" i="1"/>
  <c r="AA589" i="1"/>
  <c r="I589" i="1"/>
  <c r="AB588" i="1"/>
  <c r="AA588" i="1"/>
  <c r="I588" i="1"/>
  <c r="AA587" i="1"/>
  <c r="AB587" i="1" s="1"/>
  <c r="I587" i="1"/>
  <c r="AB586" i="1"/>
  <c r="AA586" i="1"/>
  <c r="I586" i="1"/>
  <c r="AB585" i="1"/>
  <c r="AA585" i="1"/>
  <c r="I585" i="1"/>
  <c r="AA584" i="1"/>
  <c r="AB584" i="1" s="1"/>
  <c r="I584" i="1"/>
  <c r="AA583" i="1"/>
  <c r="AB583" i="1" s="1"/>
  <c r="I583" i="1"/>
  <c r="AB582" i="1"/>
  <c r="AA582" i="1"/>
  <c r="I582" i="1"/>
  <c r="AA581" i="1"/>
  <c r="AB581" i="1" s="1"/>
  <c r="I581" i="1"/>
  <c r="AA580" i="1"/>
  <c r="AB580" i="1" s="1"/>
  <c r="I580" i="1"/>
  <c r="H580" i="1"/>
  <c r="AB579" i="1"/>
  <c r="AA579" i="1"/>
  <c r="I579" i="1"/>
  <c r="AA578" i="1"/>
  <c r="AB578" i="1" s="1"/>
  <c r="I578" i="1"/>
  <c r="AB577" i="1"/>
  <c r="AA577" i="1"/>
  <c r="I577" i="1"/>
  <c r="AA576" i="1"/>
  <c r="AB576" i="1" s="1"/>
  <c r="H576" i="1"/>
  <c r="I576" i="1" s="1"/>
  <c r="AB575" i="1"/>
  <c r="AA575" i="1"/>
  <c r="I575" i="1"/>
  <c r="AB574" i="1"/>
  <c r="AA574" i="1"/>
  <c r="I574" i="1"/>
  <c r="AA573" i="1"/>
  <c r="AB573" i="1" s="1"/>
  <c r="I573" i="1"/>
  <c r="AB572" i="1"/>
  <c r="AA572" i="1"/>
  <c r="I572" i="1"/>
  <c r="AA571" i="1"/>
  <c r="AB571" i="1" s="1"/>
  <c r="T571" i="1"/>
  <c r="I571" i="1"/>
  <c r="AB570" i="1"/>
  <c r="AA570" i="1"/>
  <c r="T570" i="1"/>
  <c r="I570" i="1"/>
  <c r="AA569" i="1"/>
  <c r="AB569" i="1" s="1"/>
  <c r="I569" i="1"/>
  <c r="AA568" i="1"/>
  <c r="AB568" i="1" s="1"/>
  <c r="I568" i="1"/>
  <c r="H568" i="1"/>
  <c r="AA567" i="1"/>
  <c r="AB567" i="1" s="1"/>
  <c r="I567" i="1"/>
  <c r="AA566" i="1"/>
  <c r="AB566" i="1" s="1"/>
  <c r="I566" i="1"/>
  <c r="H566" i="1"/>
  <c r="AA565" i="1"/>
  <c r="AB565" i="1" s="1"/>
  <c r="I565" i="1"/>
  <c r="AA564" i="1"/>
  <c r="AB564" i="1" s="1"/>
  <c r="I564" i="1"/>
  <c r="AA563" i="1"/>
  <c r="AB563" i="1" s="1"/>
  <c r="I563" i="1"/>
  <c r="AB562" i="1"/>
  <c r="AA562" i="1"/>
  <c r="I562" i="1"/>
  <c r="AB561" i="1"/>
  <c r="AA561" i="1"/>
  <c r="H561" i="1"/>
  <c r="AA560" i="1"/>
  <c r="AB560" i="1" s="1"/>
  <c r="I560" i="1"/>
  <c r="AA559" i="1"/>
  <c r="AB559" i="1" s="1"/>
  <c r="I559" i="1"/>
  <c r="AA558" i="1"/>
  <c r="AB558" i="1" s="1"/>
  <c r="I558" i="1"/>
  <c r="AA557" i="1"/>
  <c r="AB557" i="1" s="1"/>
  <c r="I557" i="1"/>
  <c r="AB556" i="1"/>
  <c r="AA556" i="1"/>
  <c r="I556" i="1"/>
  <c r="AA555" i="1"/>
  <c r="AB555" i="1" s="1"/>
  <c r="I555" i="1"/>
  <c r="AB554" i="1"/>
  <c r="AA554" i="1"/>
  <c r="I554" i="1"/>
  <c r="AA553" i="1"/>
  <c r="AB553" i="1" s="1"/>
  <c r="H553" i="1"/>
  <c r="I553" i="1" s="1"/>
  <c r="AA552" i="1"/>
  <c r="AB552" i="1" s="1"/>
  <c r="I552" i="1"/>
  <c r="AA551" i="1"/>
  <c r="AB551" i="1" s="1"/>
  <c r="I551" i="1"/>
  <c r="AA550" i="1"/>
  <c r="AB550" i="1" s="1"/>
  <c r="I550" i="1"/>
  <c r="AA549" i="1"/>
  <c r="AB549" i="1" s="1"/>
  <c r="H549" i="1"/>
  <c r="I549" i="1" s="1"/>
  <c r="AA548" i="1"/>
  <c r="AB548" i="1" s="1"/>
  <c r="I548" i="1"/>
  <c r="AA547" i="1"/>
  <c r="AB547" i="1" s="1"/>
  <c r="I547" i="1"/>
  <c r="AA546" i="1"/>
  <c r="AB546" i="1" s="1"/>
  <c r="I546" i="1"/>
  <c r="AA545" i="1"/>
  <c r="AB545" i="1" s="1"/>
  <c r="I545" i="1"/>
  <c r="AA544" i="1"/>
  <c r="AB544" i="1" s="1"/>
  <c r="I544" i="1"/>
  <c r="AB543" i="1"/>
  <c r="AA543" i="1"/>
  <c r="I543" i="1"/>
  <c r="AB542" i="1"/>
  <c r="AA542" i="1"/>
  <c r="I542" i="1"/>
  <c r="AA541" i="1"/>
  <c r="AB541" i="1" s="1"/>
  <c r="I541" i="1"/>
  <c r="H541" i="1"/>
  <c r="AA540" i="1"/>
  <c r="AB540" i="1" s="1"/>
  <c r="I540" i="1"/>
  <c r="AA539" i="1"/>
  <c r="AB539" i="1" s="1"/>
  <c r="H539" i="1"/>
  <c r="I539" i="1" s="1"/>
  <c r="AA538" i="1"/>
  <c r="AB538" i="1" s="1"/>
  <c r="I538" i="1"/>
  <c r="AA537" i="1"/>
  <c r="AB537" i="1" s="1"/>
  <c r="I537" i="1"/>
  <c r="AB536" i="1"/>
  <c r="AA536" i="1"/>
  <c r="I536" i="1"/>
  <c r="AA535" i="1"/>
  <c r="AB535" i="1" s="1"/>
  <c r="I535" i="1"/>
  <c r="AA534" i="1"/>
  <c r="AB534" i="1" s="1"/>
  <c r="I534" i="1"/>
  <c r="AB533" i="1"/>
  <c r="AA533" i="1"/>
  <c r="T533" i="1"/>
  <c r="I533" i="1"/>
  <c r="AA532" i="1"/>
  <c r="AB532" i="1" s="1"/>
  <c r="I532" i="1"/>
  <c r="AA531" i="1"/>
  <c r="AB531" i="1" s="1"/>
  <c r="I531" i="1"/>
  <c r="AB530" i="1"/>
  <c r="AA530" i="1"/>
  <c r="I530" i="1"/>
  <c r="AA529" i="1"/>
  <c r="AB529" i="1" s="1"/>
  <c r="T529" i="1"/>
  <c r="I529" i="1"/>
  <c r="AA528" i="1"/>
  <c r="AB528" i="1" s="1"/>
  <c r="I528" i="1"/>
  <c r="H528" i="1"/>
  <c r="AA527" i="1"/>
  <c r="AB527" i="1" s="1"/>
  <c r="I527" i="1"/>
  <c r="AA526" i="1"/>
  <c r="AB526" i="1" s="1"/>
  <c r="I526" i="1"/>
  <c r="AB525" i="1"/>
  <c r="AA525" i="1"/>
  <c r="I525" i="1"/>
  <c r="AA524" i="1"/>
  <c r="AB524" i="1" s="1"/>
  <c r="I524" i="1"/>
  <c r="AA523" i="1"/>
  <c r="AB523" i="1" s="1"/>
  <c r="I523" i="1"/>
  <c r="AA522" i="1"/>
  <c r="AB522" i="1" s="1"/>
  <c r="I522" i="1"/>
  <c r="AA521" i="1"/>
  <c r="AB521" i="1" s="1"/>
  <c r="I521" i="1"/>
  <c r="AA520" i="1"/>
  <c r="AB520" i="1" s="1"/>
  <c r="I520" i="1"/>
  <c r="AA519" i="1"/>
  <c r="AB519" i="1" s="1"/>
  <c r="I519" i="1"/>
  <c r="AA518" i="1"/>
  <c r="AB518" i="1" s="1"/>
  <c r="T518" i="1"/>
  <c r="I518" i="1"/>
  <c r="AA517" i="1"/>
  <c r="AB517" i="1" s="1"/>
  <c r="I517" i="1"/>
  <c r="AA516" i="1"/>
  <c r="AB516" i="1" s="1"/>
  <c r="H516" i="1"/>
  <c r="I516" i="1" s="1"/>
  <c r="AB515" i="1"/>
  <c r="AA515" i="1"/>
  <c r="I515" i="1"/>
  <c r="AA514" i="1"/>
  <c r="AB514" i="1" s="1"/>
  <c r="I514" i="1"/>
  <c r="AA513" i="1"/>
  <c r="AB513" i="1" s="1"/>
  <c r="I513" i="1"/>
  <c r="AA512" i="1"/>
  <c r="AB512" i="1" s="1"/>
  <c r="I512" i="1"/>
  <c r="H512" i="1"/>
  <c r="AA511" i="1"/>
  <c r="AB511" i="1" s="1"/>
  <c r="I511" i="1"/>
  <c r="AA510" i="1"/>
  <c r="AB510" i="1" s="1"/>
  <c r="I510" i="1"/>
  <c r="AB509" i="1"/>
  <c r="AA509" i="1"/>
  <c r="I509" i="1"/>
  <c r="AA508" i="1"/>
  <c r="AB508" i="1" s="1"/>
  <c r="I508" i="1"/>
  <c r="H508" i="1"/>
  <c r="AB507" i="1"/>
  <c r="AA507" i="1"/>
  <c r="I507" i="1"/>
  <c r="AB506" i="1"/>
  <c r="AA506" i="1"/>
  <c r="H506" i="1"/>
  <c r="I506" i="1" s="1"/>
  <c r="AA505" i="1"/>
  <c r="AB505" i="1" s="1"/>
  <c r="I505" i="1"/>
  <c r="AB504" i="1"/>
  <c r="AA504" i="1"/>
  <c r="I504" i="1"/>
  <c r="H504" i="1"/>
  <c r="AA503" i="1"/>
  <c r="AB503" i="1" s="1"/>
  <c r="I503" i="1"/>
  <c r="AA502" i="1"/>
  <c r="AB502" i="1" s="1"/>
  <c r="I502" i="1"/>
  <c r="AA501" i="1"/>
  <c r="AB501" i="1" s="1"/>
  <c r="I501" i="1"/>
  <c r="AA500" i="1"/>
  <c r="AB500" i="1" s="1"/>
  <c r="I500" i="1"/>
  <c r="AA499" i="1"/>
  <c r="AB499" i="1" s="1"/>
  <c r="I499" i="1"/>
  <c r="AB498" i="1"/>
  <c r="AA498" i="1"/>
  <c r="I498" i="1"/>
  <c r="AA497" i="1"/>
  <c r="AB497" i="1" s="1"/>
  <c r="H497" i="1"/>
  <c r="I497" i="1" s="1"/>
  <c r="AA496" i="1"/>
  <c r="AB496" i="1" s="1"/>
  <c r="I496" i="1"/>
  <c r="AA495" i="1"/>
  <c r="AB495" i="1" s="1"/>
  <c r="I495" i="1"/>
  <c r="AA494" i="1"/>
  <c r="AB494" i="1" s="1"/>
  <c r="I494" i="1"/>
  <c r="H494" i="1"/>
  <c r="AA493" i="1"/>
  <c r="AB493" i="1" s="1"/>
  <c r="I493" i="1"/>
  <c r="AA492" i="1"/>
  <c r="AB492" i="1" s="1"/>
  <c r="I492" i="1"/>
  <c r="H492" i="1"/>
  <c r="AA491" i="1"/>
  <c r="AB491" i="1" s="1"/>
  <c r="I491" i="1"/>
  <c r="AA490" i="1"/>
  <c r="AB490" i="1" s="1"/>
  <c r="I490" i="1"/>
  <c r="AA489" i="1"/>
  <c r="AB489" i="1" s="1"/>
  <c r="I489" i="1"/>
  <c r="AB488" i="1"/>
  <c r="AA488" i="1"/>
  <c r="I488" i="1"/>
  <c r="AA487" i="1"/>
  <c r="AB487" i="1" s="1"/>
  <c r="T487" i="1"/>
  <c r="I487" i="1"/>
  <c r="AA486" i="1"/>
  <c r="AB486" i="1" s="1"/>
  <c r="T486" i="1"/>
  <c r="I486" i="1"/>
  <c r="AA485" i="1"/>
  <c r="AB485" i="1" s="1"/>
  <c r="I485" i="1"/>
  <c r="AA484" i="1"/>
  <c r="AB484" i="1" s="1"/>
  <c r="I484" i="1"/>
  <c r="AA483" i="1"/>
  <c r="AB483" i="1" s="1"/>
  <c r="H483" i="1"/>
  <c r="I483" i="1" s="1"/>
  <c r="AA482" i="1"/>
  <c r="AB482" i="1" s="1"/>
  <c r="I482" i="1"/>
  <c r="AA481" i="1"/>
  <c r="AB481" i="1" s="1"/>
  <c r="I481" i="1"/>
  <c r="AA480" i="1"/>
  <c r="AB480" i="1" s="1"/>
  <c r="I480" i="1"/>
  <c r="AA479" i="1"/>
  <c r="AB479" i="1" s="1"/>
  <c r="I479" i="1"/>
  <c r="AA478" i="1"/>
  <c r="AB478" i="1" s="1"/>
  <c r="T478" i="1"/>
  <c r="I478" i="1"/>
  <c r="AA477" i="1"/>
  <c r="AB477" i="1" s="1"/>
  <c r="I477" i="1"/>
  <c r="AB476" i="1"/>
  <c r="AA476" i="1"/>
  <c r="I476" i="1"/>
  <c r="AA475" i="1"/>
  <c r="AB475" i="1" s="1"/>
  <c r="I475" i="1"/>
  <c r="H475" i="1"/>
  <c r="AB474" i="1"/>
  <c r="AA474" i="1"/>
  <c r="I474" i="1"/>
  <c r="AA473" i="1"/>
  <c r="AB473" i="1" s="1"/>
  <c r="H473" i="1"/>
  <c r="I473" i="1" s="1"/>
  <c r="AA472" i="1"/>
  <c r="AB472" i="1" s="1"/>
  <c r="I472" i="1"/>
  <c r="AA471" i="1"/>
  <c r="AB471" i="1" s="1"/>
  <c r="I471" i="1"/>
  <c r="AA470" i="1"/>
  <c r="AB470" i="1" s="1"/>
  <c r="I470" i="1"/>
  <c r="AA469" i="1"/>
  <c r="AB469" i="1" s="1"/>
  <c r="T469" i="1"/>
  <c r="I469" i="1"/>
  <c r="AB468" i="1"/>
  <c r="AA468" i="1"/>
  <c r="I468" i="1"/>
  <c r="AA467" i="1"/>
  <c r="AB467" i="1" s="1"/>
  <c r="I467" i="1"/>
  <c r="AA466" i="1"/>
  <c r="AB466" i="1" s="1"/>
  <c r="I466" i="1"/>
  <c r="AA465" i="1"/>
  <c r="AB465" i="1" s="1"/>
  <c r="I465" i="1"/>
  <c r="AA464" i="1"/>
  <c r="AB464" i="1" s="1"/>
  <c r="I464" i="1"/>
  <c r="AA463" i="1"/>
  <c r="AB463" i="1" s="1"/>
  <c r="H463" i="1"/>
  <c r="I463" i="1" s="1"/>
  <c r="AA462" i="1"/>
  <c r="AB462" i="1" s="1"/>
  <c r="I462" i="1"/>
  <c r="AB461" i="1"/>
  <c r="AA461" i="1"/>
  <c r="I461" i="1"/>
  <c r="AA460" i="1"/>
  <c r="AB460" i="1" s="1"/>
  <c r="I460" i="1"/>
  <c r="AA459" i="1"/>
  <c r="AB459" i="1" s="1"/>
  <c r="I459" i="1"/>
  <c r="H459" i="1"/>
  <c r="AB458" i="1"/>
  <c r="AA458" i="1"/>
  <c r="I458" i="1"/>
  <c r="AB457" i="1"/>
  <c r="AA457" i="1"/>
  <c r="H457" i="1"/>
  <c r="I457" i="1" s="1"/>
  <c r="AA456" i="1"/>
  <c r="AB456" i="1" s="1"/>
  <c r="I456" i="1"/>
  <c r="AA455" i="1"/>
  <c r="AB455" i="1" s="1"/>
  <c r="T455" i="1"/>
  <c r="I455" i="1"/>
  <c r="AB454" i="1"/>
  <c r="AA454" i="1"/>
  <c r="I454" i="1"/>
  <c r="AA453" i="1"/>
  <c r="AB453" i="1" s="1"/>
  <c r="I453" i="1"/>
  <c r="AB452" i="1"/>
  <c r="AA452" i="1"/>
  <c r="I452" i="1"/>
  <c r="H452" i="1"/>
  <c r="AA451" i="1"/>
  <c r="AB451" i="1" s="1"/>
  <c r="I451" i="1"/>
  <c r="AA450" i="1"/>
  <c r="AB450" i="1" s="1"/>
  <c r="H450" i="1"/>
  <c r="I450" i="1" s="1"/>
  <c r="AA449" i="1"/>
  <c r="AB449" i="1" s="1"/>
  <c r="I449" i="1"/>
  <c r="AA448" i="1"/>
  <c r="AB448" i="1" s="1"/>
  <c r="I448" i="1"/>
  <c r="AA447" i="1"/>
  <c r="AB447" i="1" s="1"/>
  <c r="I447" i="1"/>
  <c r="AA446" i="1"/>
  <c r="AB446" i="1" s="1"/>
  <c r="I446" i="1"/>
  <c r="AB445" i="1"/>
  <c r="AA445" i="1"/>
  <c r="I445" i="1"/>
  <c r="AA444" i="1"/>
  <c r="AB444" i="1" s="1"/>
  <c r="I444" i="1"/>
  <c r="AA443" i="1"/>
  <c r="AB443" i="1" s="1"/>
  <c r="H443" i="1"/>
  <c r="I443" i="1" s="1"/>
  <c r="AB442" i="1"/>
  <c r="AA442" i="1"/>
  <c r="I442" i="1"/>
  <c r="AA441" i="1"/>
  <c r="AB441" i="1" s="1"/>
  <c r="H441" i="1"/>
  <c r="I441" i="1" s="1"/>
  <c r="AA440" i="1"/>
  <c r="AB440" i="1" s="1"/>
  <c r="I440" i="1"/>
  <c r="AA439" i="1"/>
  <c r="AB439" i="1" s="1"/>
  <c r="I439" i="1"/>
  <c r="AA438" i="1"/>
  <c r="AB438" i="1" s="1"/>
  <c r="I438" i="1"/>
  <c r="AA437" i="1"/>
  <c r="AB437" i="1" s="1"/>
  <c r="H437" i="1"/>
  <c r="I437" i="1" s="1"/>
  <c r="AA436" i="1"/>
  <c r="AB436" i="1" s="1"/>
  <c r="I436" i="1"/>
  <c r="AB435" i="1"/>
  <c r="AA435" i="1"/>
  <c r="I435" i="1"/>
  <c r="AA434" i="1"/>
  <c r="AB434" i="1" s="1"/>
  <c r="H434" i="1"/>
  <c r="I434" i="1" s="1"/>
  <c r="AA433" i="1"/>
  <c r="AB433" i="1" s="1"/>
  <c r="I433" i="1"/>
  <c r="AB432" i="1"/>
  <c r="AA432" i="1"/>
  <c r="T432" i="1"/>
  <c r="I432" i="1"/>
  <c r="AA431" i="1"/>
  <c r="AB431" i="1" s="1"/>
  <c r="I431" i="1"/>
  <c r="AB430" i="1"/>
  <c r="AA430" i="1"/>
  <c r="I430" i="1"/>
  <c r="AB429" i="1"/>
  <c r="AA429" i="1"/>
  <c r="I429" i="1"/>
  <c r="AA428" i="1"/>
  <c r="AB428" i="1" s="1"/>
  <c r="I428" i="1"/>
  <c r="H428" i="1"/>
  <c r="AA427" i="1"/>
  <c r="AB427" i="1" s="1"/>
  <c r="I427" i="1"/>
  <c r="AA426" i="1"/>
  <c r="AB426" i="1" s="1"/>
  <c r="I426" i="1"/>
  <c r="AA425" i="1"/>
  <c r="AB425" i="1" s="1"/>
  <c r="H425" i="1"/>
  <c r="I425" i="1" s="1"/>
  <c r="AA424" i="1"/>
  <c r="AB424" i="1" s="1"/>
  <c r="I424" i="1"/>
  <c r="AA423" i="1"/>
  <c r="AB423" i="1" s="1"/>
  <c r="I423" i="1"/>
  <c r="H423" i="1"/>
  <c r="AA422" i="1"/>
  <c r="AB422" i="1" s="1"/>
  <c r="I422" i="1"/>
  <c r="AA421" i="1"/>
  <c r="AB421" i="1" s="1"/>
  <c r="I421" i="1"/>
  <c r="AB420" i="1"/>
  <c r="AA420" i="1"/>
  <c r="I420" i="1"/>
  <c r="AA419" i="1"/>
  <c r="AB419" i="1" s="1"/>
  <c r="I419" i="1"/>
  <c r="AA418" i="1"/>
  <c r="AB418" i="1" s="1"/>
  <c r="I418" i="1"/>
  <c r="AA417" i="1"/>
  <c r="AB417" i="1" s="1"/>
  <c r="I417" i="1"/>
  <c r="AA416" i="1"/>
  <c r="AB416" i="1" s="1"/>
  <c r="I416" i="1"/>
  <c r="H416" i="1"/>
  <c r="AA415" i="1"/>
  <c r="AB415" i="1" s="1"/>
  <c r="I415" i="1"/>
  <c r="AA414" i="1"/>
  <c r="AB414" i="1" s="1"/>
  <c r="H414" i="1"/>
  <c r="I414" i="1" s="1"/>
  <c r="AA413" i="1"/>
  <c r="AB413" i="1" s="1"/>
  <c r="I413" i="1"/>
  <c r="AA412" i="1"/>
  <c r="AB412" i="1" s="1"/>
  <c r="I412" i="1"/>
  <c r="AA411" i="1"/>
  <c r="AB411" i="1" s="1"/>
  <c r="I411" i="1"/>
  <c r="AA410" i="1"/>
  <c r="AB410" i="1" s="1"/>
  <c r="I410" i="1"/>
  <c r="AA409" i="1"/>
  <c r="AB409" i="1" s="1"/>
  <c r="I409" i="1"/>
  <c r="AA408" i="1"/>
  <c r="AB408" i="1" s="1"/>
  <c r="I408" i="1"/>
  <c r="H408" i="1"/>
  <c r="AA407" i="1"/>
  <c r="AB407" i="1" s="1"/>
  <c r="I407" i="1"/>
  <c r="AA406" i="1"/>
  <c r="AB406" i="1" s="1"/>
  <c r="I406" i="1"/>
  <c r="H406" i="1"/>
  <c r="AA405" i="1"/>
  <c r="AB405" i="1" s="1"/>
  <c r="I405" i="1"/>
  <c r="AA404" i="1"/>
  <c r="AB404" i="1" s="1"/>
  <c r="I404" i="1"/>
  <c r="AA403" i="1"/>
  <c r="AB403" i="1" s="1"/>
  <c r="I403" i="1"/>
  <c r="AB402" i="1"/>
  <c r="AA402" i="1"/>
  <c r="I402" i="1"/>
  <c r="AA401" i="1"/>
  <c r="AB401" i="1" s="1"/>
  <c r="I401" i="1"/>
  <c r="AA400" i="1"/>
  <c r="AB400" i="1" s="1"/>
  <c r="I400" i="1"/>
  <c r="H400" i="1"/>
  <c r="AA399" i="1"/>
  <c r="AB399" i="1" s="1"/>
  <c r="I399" i="1"/>
  <c r="AB398" i="1"/>
  <c r="AA398" i="1"/>
  <c r="I398" i="1"/>
  <c r="AB397" i="1"/>
  <c r="AA397" i="1"/>
  <c r="I397" i="1"/>
  <c r="AA396" i="1"/>
  <c r="AB396" i="1" s="1"/>
  <c r="I396" i="1"/>
  <c r="AA395" i="1"/>
  <c r="AB395" i="1" s="1"/>
  <c r="I395" i="1"/>
  <c r="AA394" i="1"/>
  <c r="AB394" i="1" s="1"/>
  <c r="H394" i="1"/>
  <c r="I394" i="1" s="1"/>
  <c r="AA393" i="1"/>
  <c r="AB393" i="1" s="1"/>
  <c r="I393" i="1"/>
  <c r="AB392" i="1"/>
  <c r="AA392" i="1"/>
  <c r="I392" i="1"/>
  <c r="AA391" i="1"/>
  <c r="AB391" i="1" s="1"/>
  <c r="I391" i="1"/>
  <c r="AB390" i="1"/>
  <c r="AA390" i="1"/>
  <c r="H390" i="1"/>
  <c r="AA389" i="1"/>
  <c r="AB389" i="1" s="1"/>
  <c r="I389" i="1"/>
  <c r="AA388" i="1"/>
  <c r="AB388" i="1" s="1"/>
  <c r="I388" i="1"/>
  <c r="AA387" i="1"/>
  <c r="AB387" i="1" s="1"/>
  <c r="I387" i="1"/>
  <c r="AA386" i="1"/>
  <c r="AB386" i="1" s="1"/>
  <c r="I386" i="1"/>
  <c r="AB385" i="1"/>
  <c r="AA385" i="1"/>
  <c r="I385" i="1"/>
  <c r="AB384" i="1"/>
  <c r="AA384" i="1"/>
  <c r="H384" i="1"/>
  <c r="I384" i="1" s="1"/>
  <c r="AA383" i="1"/>
  <c r="AB383" i="1" s="1"/>
  <c r="I383" i="1"/>
  <c r="AA382" i="1"/>
  <c r="AB382" i="1" s="1"/>
  <c r="H382" i="1"/>
  <c r="I382" i="1" s="1"/>
  <c r="AA381" i="1"/>
  <c r="AB381" i="1" s="1"/>
  <c r="I381" i="1"/>
  <c r="AA380" i="1"/>
  <c r="AB380" i="1" s="1"/>
  <c r="I380" i="1"/>
  <c r="AA379" i="1"/>
  <c r="AB379" i="1" s="1"/>
  <c r="I379" i="1"/>
  <c r="AA378" i="1"/>
  <c r="AB378" i="1" s="1"/>
  <c r="I378" i="1"/>
  <c r="AA377" i="1"/>
  <c r="AB377" i="1" s="1"/>
  <c r="H377" i="1"/>
  <c r="I377" i="1" s="1"/>
  <c r="AB376" i="1"/>
  <c r="AA376" i="1"/>
  <c r="I376" i="1"/>
  <c r="AB375" i="1"/>
  <c r="AA375" i="1"/>
  <c r="I375" i="1"/>
  <c r="AA374" i="1"/>
  <c r="AB374" i="1" s="1"/>
  <c r="I374" i="1"/>
  <c r="AB373" i="1"/>
  <c r="AA373" i="1"/>
  <c r="I373" i="1"/>
  <c r="AA372" i="1"/>
  <c r="AB372" i="1" s="1"/>
  <c r="I372" i="1"/>
  <c r="AA371" i="1"/>
  <c r="AB371" i="1" s="1"/>
  <c r="T371" i="1"/>
  <c r="I371" i="1"/>
  <c r="AB370" i="1"/>
  <c r="AA370" i="1"/>
  <c r="I370" i="1"/>
  <c r="AA369" i="1"/>
  <c r="AB369" i="1" s="1"/>
  <c r="I369" i="1"/>
  <c r="H369" i="1"/>
  <c r="AA368" i="1"/>
  <c r="AB368" i="1" s="1"/>
  <c r="I368" i="1"/>
  <c r="AB367" i="1"/>
  <c r="AA367" i="1"/>
  <c r="I367" i="1"/>
  <c r="AB366" i="1"/>
  <c r="AA366" i="1"/>
  <c r="H366" i="1"/>
  <c r="I366" i="1" s="1"/>
  <c r="AA365" i="1"/>
  <c r="AB365" i="1" s="1"/>
  <c r="I365" i="1"/>
  <c r="AA364" i="1"/>
  <c r="AB364" i="1" s="1"/>
  <c r="I364" i="1"/>
  <c r="AB363" i="1"/>
  <c r="AA363" i="1"/>
  <c r="H363" i="1"/>
  <c r="I363" i="1" s="1"/>
  <c r="AA362" i="1"/>
  <c r="AB362" i="1" s="1"/>
  <c r="I362" i="1"/>
  <c r="AA361" i="1"/>
  <c r="AB361" i="1" s="1"/>
  <c r="I361" i="1"/>
  <c r="AA360" i="1"/>
  <c r="AB360" i="1" s="1"/>
  <c r="I360" i="1"/>
  <c r="AA359" i="1"/>
  <c r="AB359" i="1" s="1"/>
  <c r="I359" i="1"/>
  <c r="H359" i="1"/>
  <c r="AB358" i="1"/>
  <c r="AA358" i="1"/>
  <c r="I358" i="1"/>
  <c r="AA357" i="1"/>
  <c r="AB357" i="1" s="1"/>
  <c r="H357" i="1"/>
  <c r="I357" i="1" s="1"/>
  <c r="AB356" i="1"/>
  <c r="AA356" i="1"/>
  <c r="I356" i="1"/>
  <c r="AB355" i="1"/>
  <c r="AA355" i="1"/>
  <c r="I355" i="1"/>
  <c r="AA354" i="1"/>
  <c r="AB354" i="1" s="1"/>
  <c r="I354" i="1"/>
  <c r="H354" i="1"/>
  <c r="AA353" i="1"/>
  <c r="AB353" i="1" s="1"/>
  <c r="I353" i="1"/>
  <c r="AA352" i="1"/>
  <c r="AB352" i="1" s="1"/>
  <c r="I352" i="1"/>
  <c r="H352" i="1"/>
  <c r="AA351" i="1"/>
  <c r="AB351" i="1" s="1"/>
  <c r="I351" i="1"/>
  <c r="AA350" i="1"/>
  <c r="AB350" i="1" s="1"/>
  <c r="I350" i="1"/>
  <c r="AA349" i="1"/>
  <c r="AB349" i="1" s="1"/>
  <c r="I349" i="1"/>
  <c r="AA348" i="1"/>
  <c r="AB348" i="1" s="1"/>
  <c r="I348" i="1"/>
  <c r="AA347" i="1"/>
  <c r="AB347" i="1" s="1"/>
  <c r="I347" i="1"/>
  <c r="AA346" i="1"/>
  <c r="AB346" i="1" s="1"/>
  <c r="T346" i="1"/>
  <c r="I346" i="1"/>
  <c r="AA345" i="1"/>
  <c r="AB345" i="1" s="1"/>
  <c r="I345" i="1"/>
  <c r="AB344" i="1"/>
  <c r="AA344" i="1"/>
  <c r="I344" i="1"/>
  <c r="AA343" i="1"/>
  <c r="AB343" i="1" s="1"/>
  <c r="H343" i="1"/>
  <c r="I343" i="1" s="1"/>
  <c r="AA342" i="1"/>
  <c r="AB342" i="1" s="1"/>
  <c r="I342" i="1"/>
  <c r="AA341" i="1"/>
  <c r="AB341" i="1" s="1"/>
  <c r="I341" i="1"/>
  <c r="H341" i="1"/>
  <c r="AA340" i="1"/>
  <c r="AB340" i="1" s="1"/>
  <c r="I340" i="1"/>
  <c r="AA339" i="1"/>
  <c r="AB339" i="1" s="1"/>
  <c r="I339" i="1"/>
  <c r="AA338" i="1"/>
  <c r="AB338" i="1" s="1"/>
  <c r="I338" i="1"/>
  <c r="AA337" i="1"/>
  <c r="AB337" i="1" s="1"/>
  <c r="I337" i="1"/>
  <c r="AA336" i="1"/>
  <c r="AB336" i="1" s="1"/>
  <c r="I336" i="1"/>
  <c r="AA335" i="1"/>
  <c r="AB335" i="1" s="1"/>
  <c r="I335" i="1"/>
  <c r="AA334" i="1"/>
  <c r="AB334" i="1" s="1"/>
  <c r="I334" i="1"/>
  <c r="H334" i="1"/>
  <c r="AB333" i="1"/>
  <c r="AA333" i="1"/>
  <c r="I333" i="1"/>
  <c r="AA332" i="1"/>
  <c r="AB332" i="1" s="1"/>
  <c r="H332" i="1"/>
  <c r="AA331" i="1"/>
  <c r="AB331" i="1" s="1"/>
  <c r="I331" i="1"/>
  <c r="AA330" i="1"/>
  <c r="AB330" i="1" s="1"/>
  <c r="I330" i="1"/>
  <c r="H330" i="1"/>
  <c r="AB329" i="1"/>
  <c r="AA329" i="1"/>
  <c r="I329" i="1"/>
  <c r="AB328" i="1"/>
  <c r="AA328" i="1"/>
  <c r="T328" i="1"/>
  <c r="I328" i="1"/>
  <c r="AA327" i="1"/>
  <c r="AB327" i="1" s="1"/>
  <c r="I327" i="1"/>
  <c r="H327" i="1"/>
  <c r="AA326" i="1"/>
  <c r="AB326" i="1" s="1"/>
  <c r="I326" i="1"/>
  <c r="AB325" i="1"/>
  <c r="AA325" i="1"/>
  <c r="I325" i="1"/>
  <c r="H325" i="1"/>
  <c r="AA324" i="1"/>
  <c r="AB324" i="1" s="1"/>
  <c r="I324" i="1"/>
  <c r="AA323" i="1"/>
  <c r="AB323" i="1" s="1"/>
  <c r="H323" i="1"/>
  <c r="I323" i="1" s="1"/>
  <c r="AB322" i="1"/>
  <c r="AA322" i="1"/>
  <c r="I322" i="1"/>
  <c r="AA321" i="1"/>
  <c r="AB321" i="1" s="1"/>
  <c r="T321" i="1"/>
  <c r="I321" i="1"/>
  <c r="AA320" i="1"/>
  <c r="AB320" i="1" s="1"/>
  <c r="T320" i="1"/>
  <c r="I320" i="1"/>
  <c r="AA319" i="1"/>
  <c r="AB319" i="1" s="1"/>
  <c r="I319" i="1"/>
  <c r="AB318" i="1"/>
  <c r="AA318" i="1"/>
  <c r="I318" i="1"/>
  <c r="AA317" i="1"/>
  <c r="AB317" i="1" s="1"/>
  <c r="H317" i="1"/>
  <c r="I317" i="1" s="1"/>
  <c r="AB316" i="1"/>
  <c r="AA316" i="1"/>
  <c r="I316" i="1"/>
  <c r="AB315" i="1"/>
  <c r="AA315" i="1"/>
  <c r="I315" i="1"/>
  <c r="AA314" i="1"/>
  <c r="AB314" i="1" s="1"/>
  <c r="H314" i="1"/>
  <c r="I314" i="1" s="1"/>
  <c r="AA313" i="1"/>
  <c r="AB313" i="1" s="1"/>
  <c r="I313" i="1"/>
  <c r="AB312" i="1"/>
  <c r="AA312" i="1"/>
  <c r="H312" i="1"/>
  <c r="I312" i="1" s="1"/>
  <c r="AA311" i="1"/>
  <c r="AB311" i="1" s="1"/>
  <c r="I311" i="1"/>
  <c r="AA310" i="1"/>
  <c r="AB310" i="1" s="1"/>
  <c r="H310" i="1"/>
  <c r="I310" i="1" s="1"/>
  <c r="AA309" i="1"/>
  <c r="AB309" i="1" s="1"/>
  <c r="I309" i="1"/>
  <c r="AA308" i="1"/>
  <c r="AB308" i="1" s="1"/>
  <c r="I308" i="1"/>
  <c r="H308" i="1"/>
  <c r="AA307" i="1"/>
  <c r="AB307" i="1" s="1"/>
  <c r="I307" i="1"/>
  <c r="AA306" i="1"/>
  <c r="AB306" i="1" s="1"/>
  <c r="I306" i="1"/>
  <c r="AA305" i="1"/>
  <c r="AB305" i="1" s="1"/>
  <c r="I305" i="1"/>
  <c r="AA304" i="1"/>
  <c r="AB304" i="1" s="1"/>
  <c r="H304" i="1"/>
  <c r="I304" i="1" s="1"/>
  <c r="AA303" i="1"/>
  <c r="AB303" i="1" s="1"/>
  <c r="I303" i="1"/>
  <c r="AA302" i="1"/>
  <c r="AB302" i="1" s="1"/>
  <c r="H302" i="1"/>
  <c r="I302" i="1" s="1"/>
  <c r="AB301" i="1"/>
  <c r="AA301" i="1"/>
  <c r="I301" i="1"/>
  <c r="AA300" i="1"/>
  <c r="AB300" i="1" s="1"/>
  <c r="I300" i="1"/>
  <c r="H300" i="1"/>
  <c r="AA299" i="1"/>
  <c r="AB299" i="1" s="1"/>
  <c r="I299" i="1"/>
  <c r="AB298" i="1"/>
  <c r="AA298" i="1"/>
  <c r="I298" i="1"/>
  <c r="AA297" i="1"/>
  <c r="AB297" i="1" s="1"/>
  <c r="H297" i="1"/>
  <c r="I297" i="1" s="1"/>
  <c r="AA296" i="1"/>
  <c r="AB296" i="1" s="1"/>
  <c r="I296" i="1"/>
  <c r="AA295" i="1"/>
  <c r="AB295" i="1" s="1"/>
  <c r="I295" i="1"/>
  <c r="AB294" i="1"/>
  <c r="AA294" i="1"/>
  <c r="I294" i="1"/>
  <c r="AB293" i="1"/>
  <c r="AA293" i="1"/>
  <c r="I293" i="1"/>
  <c r="AB292" i="1"/>
  <c r="AA292" i="1"/>
  <c r="I292" i="1"/>
  <c r="H292" i="1"/>
  <c r="AA291" i="1"/>
  <c r="AB291" i="1" s="1"/>
  <c r="I291" i="1"/>
  <c r="AA290" i="1"/>
  <c r="AB290" i="1" s="1"/>
  <c r="H290" i="1"/>
  <c r="I290" i="1" s="1"/>
  <c r="AB289" i="1"/>
  <c r="AA289" i="1"/>
  <c r="I289" i="1"/>
  <c r="AA288" i="1"/>
  <c r="AB288" i="1" s="1"/>
  <c r="I288" i="1"/>
  <c r="H288" i="1"/>
  <c r="AA287" i="1"/>
  <c r="AB287" i="1" s="1"/>
  <c r="I287" i="1"/>
  <c r="AB286" i="1"/>
  <c r="AA286" i="1"/>
  <c r="T286" i="1"/>
  <c r="I286" i="1"/>
  <c r="AB285" i="1"/>
  <c r="AA285" i="1"/>
  <c r="I285" i="1"/>
  <c r="AA284" i="1"/>
  <c r="AB284" i="1" s="1"/>
  <c r="I284" i="1"/>
  <c r="AA283" i="1"/>
  <c r="AB283" i="1" s="1"/>
  <c r="H283" i="1"/>
  <c r="I283" i="1" s="1"/>
  <c r="AA282" i="1"/>
  <c r="AB282" i="1" s="1"/>
  <c r="I282" i="1"/>
  <c r="AA281" i="1"/>
  <c r="AB281" i="1" s="1"/>
  <c r="I281" i="1"/>
  <c r="H281" i="1"/>
  <c r="AA280" i="1"/>
  <c r="AB280" i="1" s="1"/>
  <c r="I280" i="1"/>
  <c r="AA279" i="1"/>
  <c r="AB279" i="1" s="1"/>
  <c r="I279" i="1"/>
  <c r="AA278" i="1"/>
  <c r="AB278" i="1" s="1"/>
  <c r="I278" i="1"/>
  <c r="AA277" i="1"/>
  <c r="AB277" i="1" s="1"/>
  <c r="I277" i="1"/>
  <c r="AA276" i="1"/>
  <c r="AB276" i="1" s="1"/>
  <c r="I276" i="1"/>
  <c r="AA275" i="1"/>
  <c r="AB275" i="1" s="1"/>
  <c r="I275" i="1"/>
  <c r="H275" i="1"/>
  <c r="AB274" i="1"/>
  <c r="AA274" i="1"/>
  <c r="I274" i="1"/>
  <c r="AA273" i="1"/>
  <c r="AB273" i="1" s="1"/>
  <c r="H273" i="1"/>
  <c r="I273" i="1" s="1"/>
  <c r="AA272" i="1"/>
  <c r="AB272" i="1" s="1"/>
  <c r="I272" i="1"/>
  <c r="AA271" i="1"/>
  <c r="AB271" i="1" s="1"/>
  <c r="I271" i="1"/>
  <c r="AA270" i="1"/>
  <c r="AB270" i="1" s="1"/>
  <c r="I270" i="1"/>
  <c r="AB269" i="1"/>
  <c r="AA269" i="1"/>
  <c r="I269" i="1"/>
  <c r="AA268" i="1"/>
  <c r="AB268" i="1" s="1"/>
  <c r="I268" i="1"/>
  <c r="AB267" i="1"/>
  <c r="AA267" i="1"/>
  <c r="I267" i="1"/>
  <c r="AA266" i="1"/>
  <c r="AB266" i="1" s="1"/>
  <c r="I266" i="1"/>
  <c r="AA265" i="1"/>
  <c r="AB265" i="1" s="1"/>
  <c r="I265" i="1"/>
  <c r="AA264" i="1"/>
  <c r="AB264" i="1" s="1"/>
  <c r="H264" i="1"/>
  <c r="I264" i="1" s="1"/>
  <c r="AA263" i="1"/>
  <c r="AB263" i="1" s="1"/>
  <c r="I263" i="1"/>
  <c r="AB262" i="1"/>
  <c r="AA262" i="1"/>
  <c r="I262" i="1"/>
  <c r="H262" i="1"/>
  <c r="AA261" i="1"/>
  <c r="AB261" i="1" s="1"/>
  <c r="I261" i="1"/>
  <c r="AA260" i="1"/>
  <c r="AB260" i="1" s="1"/>
  <c r="H260" i="1"/>
  <c r="I260" i="1" s="1"/>
  <c r="AA259" i="1"/>
  <c r="AB259" i="1" s="1"/>
  <c r="I259" i="1"/>
  <c r="AB258" i="1"/>
  <c r="AA258" i="1"/>
  <c r="I258" i="1"/>
  <c r="AA257" i="1"/>
  <c r="AB257" i="1" s="1"/>
  <c r="I257" i="1"/>
  <c r="AA256" i="1"/>
  <c r="AB256" i="1" s="1"/>
  <c r="I256" i="1"/>
  <c r="AA255" i="1"/>
  <c r="AB255" i="1" s="1"/>
  <c r="I255" i="1"/>
  <c r="AA254" i="1"/>
  <c r="AB254" i="1" s="1"/>
  <c r="I254" i="1"/>
  <c r="AA253" i="1"/>
  <c r="AB253" i="1" s="1"/>
  <c r="I253" i="1"/>
  <c r="AA252" i="1"/>
  <c r="AB252" i="1" s="1"/>
  <c r="I252" i="1"/>
  <c r="AA251" i="1"/>
  <c r="AB251" i="1" s="1"/>
  <c r="I251" i="1"/>
  <c r="AA250" i="1"/>
  <c r="AB250" i="1" s="1"/>
  <c r="I250" i="1"/>
  <c r="AA249" i="1"/>
  <c r="AB249" i="1" s="1"/>
  <c r="H249" i="1"/>
  <c r="I249" i="1" s="1"/>
  <c r="AA248" i="1"/>
  <c r="AB248" i="1" s="1"/>
  <c r="I248" i="1"/>
  <c r="AA247" i="1"/>
  <c r="AB247" i="1" s="1"/>
  <c r="I247" i="1"/>
  <c r="AA246" i="1"/>
  <c r="AB246" i="1" s="1"/>
  <c r="I246" i="1"/>
  <c r="AA245" i="1"/>
  <c r="AB245" i="1" s="1"/>
  <c r="I245" i="1"/>
  <c r="AA244" i="1"/>
  <c r="AB244" i="1" s="1"/>
  <c r="I244" i="1"/>
  <c r="AA243" i="1"/>
  <c r="AB243" i="1" s="1"/>
  <c r="I243" i="1"/>
  <c r="H243" i="1"/>
  <c r="AB242" i="1"/>
  <c r="AA242" i="1"/>
  <c r="I242" i="1"/>
  <c r="AA241" i="1"/>
  <c r="AB241" i="1" s="1"/>
  <c r="I241" i="1"/>
  <c r="AA240" i="1"/>
  <c r="AB240" i="1" s="1"/>
  <c r="I240" i="1"/>
  <c r="H240" i="1"/>
  <c r="AB239" i="1"/>
  <c r="AA239" i="1"/>
  <c r="I239" i="1"/>
  <c r="AB238" i="1"/>
  <c r="AA238" i="1"/>
  <c r="I238" i="1"/>
  <c r="AA237" i="1"/>
  <c r="AB237" i="1" s="1"/>
  <c r="I237" i="1"/>
  <c r="AA236" i="1"/>
  <c r="AB236" i="1" s="1"/>
  <c r="I236" i="1"/>
  <c r="AB235" i="1"/>
  <c r="AA235" i="1"/>
  <c r="I235" i="1"/>
  <c r="AA234" i="1"/>
  <c r="AB234" i="1" s="1"/>
  <c r="H234" i="1"/>
  <c r="I234" i="1" s="1"/>
  <c r="AB233" i="1"/>
  <c r="AA233" i="1"/>
  <c r="I233" i="1"/>
  <c r="AB232" i="1"/>
  <c r="AA232" i="1"/>
  <c r="I232" i="1"/>
  <c r="AA231" i="1"/>
  <c r="AB231" i="1" s="1"/>
  <c r="I231" i="1"/>
  <c r="AB230" i="1"/>
  <c r="AA230" i="1"/>
  <c r="T230" i="1"/>
  <c r="I230" i="1"/>
  <c r="AA229" i="1"/>
  <c r="AB229" i="1" s="1"/>
  <c r="I229" i="1"/>
  <c r="AA228" i="1"/>
  <c r="AB228" i="1" s="1"/>
  <c r="I228" i="1"/>
  <c r="AA227" i="1"/>
  <c r="AB227" i="1" s="1"/>
  <c r="I227" i="1"/>
  <c r="AA226" i="1"/>
  <c r="AB226" i="1" s="1"/>
  <c r="H226" i="1"/>
  <c r="I226" i="1" s="1"/>
  <c r="AA225" i="1"/>
  <c r="AB225" i="1" s="1"/>
  <c r="I225" i="1"/>
  <c r="AA224" i="1"/>
  <c r="AB224" i="1" s="1"/>
  <c r="I224" i="1"/>
  <c r="AA223" i="1"/>
  <c r="AB223" i="1" s="1"/>
  <c r="I223" i="1"/>
  <c r="H223" i="1"/>
  <c r="AA222" i="1"/>
  <c r="AB222" i="1" s="1"/>
  <c r="I222" i="1"/>
  <c r="AA221" i="1"/>
  <c r="AB221" i="1" s="1"/>
  <c r="I221" i="1"/>
  <c r="AA220" i="1"/>
  <c r="AB220" i="1" s="1"/>
  <c r="I220" i="1"/>
  <c r="AB219" i="1"/>
  <c r="AA219" i="1"/>
  <c r="H219" i="1"/>
  <c r="I219" i="1" s="1"/>
  <c r="AA218" i="1"/>
  <c r="AB218" i="1" s="1"/>
  <c r="I218" i="1"/>
  <c r="AA217" i="1"/>
  <c r="AB217" i="1" s="1"/>
  <c r="I217" i="1"/>
  <c r="AA216" i="1"/>
  <c r="AB216" i="1" s="1"/>
  <c r="I216" i="1"/>
  <c r="AA215" i="1"/>
  <c r="AB215" i="1" s="1"/>
  <c r="I215" i="1"/>
  <c r="AA214" i="1"/>
  <c r="AB214" i="1" s="1"/>
  <c r="H214" i="1"/>
  <c r="I214" i="1" s="1"/>
  <c r="AA213" i="1"/>
  <c r="AB213" i="1" s="1"/>
  <c r="I213" i="1"/>
  <c r="AA212" i="1"/>
  <c r="AB212" i="1" s="1"/>
  <c r="H212" i="1"/>
  <c r="I212" i="1" s="1"/>
  <c r="AA211" i="1"/>
  <c r="AB211" i="1" s="1"/>
  <c r="I211" i="1"/>
  <c r="AB210" i="1"/>
  <c r="AA210" i="1"/>
  <c r="I210" i="1"/>
  <c r="AA209" i="1"/>
  <c r="AB209" i="1" s="1"/>
  <c r="I209" i="1"/>
  <c r="AA208" i="1"/>
  <c r="AB208" i="1" s="1"/>
  <c r="I208" i="1"/>
  <c r="AA207" i="1"/>
  <c r="AB207" i="1" s="1"/>
  <c r="T207" i="1"/>
  <c r="I207" i="1"/>
  <c r="AA206" i="1"/>
  <c r="AB206" i="1" s="1"/>
  <c r="T206" i="1"/>
  <c r="I206" i="1"/>
  <c r="AA205" i="1"/>
  <c r="AB205" i="1" s="1"/>
  <c r="H205" i="1"/>
  <c r="I205" i="1" s="1"/>
  <c r="AA204" i="1"/>
  <c r="AB204" i="1" s="1"/>
  <c r="I204" i="1"/>
  <c r="AA203" i="1"/>
  <c r="AB203" i="1" s="1"/>
  <c r="I203" i="1"/>
  <c r="AA202" i="1"/>
  <c r="AB202" i="1" s="1"/>
  <c r="I202" i="1"/>
  <c r="AA201" i="1"/>
  <c r="AB201" i="1" s="1"/>
  <c r="I201" i="1"/>
  <c r="AA200" i="1"/>
  <c r="AB200" i="1" s="1"/>
  <c r="I200" i="1"/>
  <c r="AA199" i="1"/>
  <c r="AB199" i="1" s="1"/>
  <c r="I199" i="1"/>
  <c r="AB198" i="1"/>
  <c r="AA198" i="1"/>
  <c r="H198" i="1"/>
  <c r="I198" i="1" s="1"/>
  <c r="AA197" i="1"/>
  <c r="AB197" i="1" s="1"/>
  <c r="I197" i="1"/>
  <c r="AA196" i="1"/>
  <c r="AB196" i="1" s="1"/>
  <c r="I196" i="1"/>
  <c r="AA195" i="1"/>
  <c r="AB195" i="1" s="1"/>
  <c r="I195" i="1"/>
  <c r="AA194" i="1"/>
  <c r="AB194" i="1" s="1"/>
  <c r="H194" i="1"/>
  <c r="I194" i="1" s="1"/>
  <c r="AA193" i="1"/>
  <c r="AB193" i="1" s="1"/>
  <c r="I193" i="1"/>
  <c r="AA192" i="1"/>
  <c r="AB192" i="1" s="1"/>
  <c r="H192" i="1"/>
  <c r="I192" i="1" s="1"/>
  <c r="AA191" i="1"/>
  <c r="AB191" i="1" s="1"/>
  <c r="I191" i="1"/>
  <c r="AA190" i="1"/>
  <c r="AB190" i="1" s="1"/>
  <c r="I190" i="1"/>
  <c r="AA189" i="1"/>
  <c r="AB189" i="1" s="1"/>
  <c r="T189" i="1"/>
  <c r="I189" i="1"/>
  <c r="AA188" i="1"/>
  <c r="AB188" i="1" s="1"/>
  <c r="T188" i="1"/>
  <c r="I188" i="1"/>
  <c r="AA187" i="1"/>
  <c r="AB187" i="1" s="1"/>
  <c r="I187" i="1"/>
  <c r="H187" i="1"/>
  <c r="AA186" i="1"/>
  <c r="AB186" i="1" s="1"/>
  <c r="I186" i="1"/>
  <c r="AA185" i="1"/>
  <c r="AB185" i="1" s="1"/>
  <c r="I185" i="1"/>
  <c r="AA184" i="1"/>
  <c r="AB184" i="1" s="1"/>
  <c r="T184" i="1"/>
  <c r="I184" i="1"/>
  <c r="AA183" i="1"/>
  <c r="AB183" i="1" s="1"/>
  <c r="T183" i="1"/>
  <c r="I183" i="1"/>
  <c r="AA182" i="1"/>
  <c r="AB182" i="1" s="1"/>
  <c r="H182" i="1"/>
  <c r="I182" i="1" s="1"/>
  <c r="AA181" i="1"/>
  <c r="AB181" i="1" s="1"/>
  <c r="I181" i="1"/>
  <c r="AA180" i="1"/>
  <c r="AB180" i="1" s="1"/>
  <c r="I180" i="1"/>
  <c r="H180" i="1"/>
  <c r="AA179" i="1"/>
  <c r="AB179" i="1" s="1"/>
  <c r="I179" i="1"/>
  <c r="AA178" i="1"/>
  <c r="AB178" i="1" s="1"/>
  <c r="H178" i="1"/>
  <c r="I178" i="1" s="1"/>
  <c r="AA177" i="1"/>
  <c r="AB177" i="1" s="1"/>
  <c r="I177" i="1"/>
  <c r="AA176" i="1"/>
  <c r="AB176" i="1" s="1"/>
  <c r="T176" i="1"/>
  <c r="I176" i="1"/>
  <c r="AA175" i="1"/>
  <c r="AB175" i="1" s="1"/>
  <c r="I175" i="1"/>
  <c r="AA174" i="1"/>
  <c r="AB174" i="1" s="1"/>
  <c r="H174" i="1"/>
  <c r="I174" i="1" s="1"/>
  <c r="AA173" i="1"/>
  <c r="AB173" i="1" s="1"/>
  <c r="I173" i="1"/>
  <c r="AB172" i="1"/>
  <c r="AA172" i="1"/>
  <c r="I172" i="1"/>
  <c r="AA171" i="1"/>
  <c r="AB171" i="1" s="1"/>
  <c r="I171" i="1"/>
  <c r="AB170" i="1"/>
  <c r="AA170" i="1"/>
  <c r="I170" i="1"/>
  <c r="AA169" i="1"/>
  <c r="AB169" i="1" s="1"/>
  <c r="H169" i="1"/>
  <c r="AA168" i="1"/>
  <c r="AB168" i="1" s="1"/>
  <c r="I168" i="1"/>
  <c r="AA167" i="1"/>
  <c r="AB167" i="1" s="1"/>
  <c r="I167" i="1"/>
  <c r="AA166" i="1"/>
  <c r="AB166" i="1" s="1"/>
  <c r="I166" i="1"/>
  <c r="AA165" i="1"/>
  <c r="AB165" i="1" s="1"/>
  <c r="I165" i="1"/>
  <c r="AB164" i="1"/>
  <c r="AA164" i="1"/>
  <c r="I164" i="1"/>
  <c r="AB163" i="1"/>
  <c r="AA163" i="1"/>
  <c r="I163" i="1"/>
  <c r="AB162" i="1"/>
  <c r="AA162" i="1"/>
  <c r="I162" i="1"/>
  <c r="AA161" i="1"/>
  <c r="AB161" i="1" s="1"/>
  <c r="I161" i="1"/>
  <c r="AB160" i="1"/>
  <c r="AA160" i="1"/>
  <c r="I160" i="1"/>
  <c r="AA159" i="1"/>
  <c r="AB159" i="1" s="1"/>
  <c r="I159" i="1"/>
  <c r="AB158" i="1"/>
  <c r="AA158" i="1"/>
  <c r="H158" i="1"/>
  <c r="I158" i="1" s="1"/>
  <c r="AB157" i="1"/>
  <c r="AA157" i="1"/>
  <c r="I157" i="1"/>
  <c r="AA156" i="1"/>
  <c r="AB156" i="1" s="1"/>
  <c r="I156" i="1"/>
  <c r="AA155" i="1"/>
  <c r="AB155" i="1" s="1"/>
  <c r="I155" i="1"/>
  <c r="H155" i="1"/>
  <c r="AB154" i="1"/>
  <c r="AA154" i="1"/>
  <c r="I154" i="1"/>
  <c r="AB153" i="1"/>
  <c r="AA153" i="1"/>
  <c r="I153" i="1"/>
  <c r="AA152" i="1"/>
  <c r="AB152" i="1" s="1"/>
  <c r="I152" i="1"/>
  <c r="AA151" i="1"/>
  <c r="AB151" i="1" s="1"/>
  <c r="H151" i="1"/>
  <c r="I151" i="1" s="1"/>
  <c r="AA150" i="1"/>
  <c r="AB150" i="1" s="1"/>
  <c r="I150" i="1"/>
  <c r="AB149" i="1"/>
  <c r="AA149" i="1"/>
  <c r="I149" i="1"/>
  <c r="H149" i="1"/>
  <c r="AA148" i="1"/>
  <c r="AB148" i="1" s="1"/>
  <c r="I148" i="1"/>
  <c r="AA147" i="1"/>
  <c r="AB147" i="1" s="1"/>
  <c r="H147" i="1"/>
  <c r="I147" i="1" s="1"/>
  <c r="AA146" i="1"/>
  <c r="AB146" i="1" s="1"/>
  <c r="I146" i="1"/>
  <c r="AB145" i="1"/>
  <c r="AA145" i="1"/>
  <c r="I145" i="1"/>
  <c r="H145" i="1"/>
  <c r="AA144" i="1"/>
  <c r="AB144" i="1" s="1"/>
  <c r="I144" i="1"/>
  <c r="AA143" i="1"/>
  <c r="AB143" i="1" s="1"/>
  <c r="H143" i="1"/>
  <c r="I143" i="1" s="1"/>
  <c r="AA142" i="1"/>
  <c r="AB142" i="1" s="1"/>
  <c r="I142" i="1"/>
  <c r="AB141" i="1"/>
  <c r="AA141" i="1"/>
  <c r="I141" i="1"/>
  <c r="AA140" i="1"/>
  <c r="AB140" i="1" s="1"/>
  <c r="H140" i="1"/>
  <c r="I140" i="1" s="1"/>
  <c r="AA139" i="1"/>
  <c r="AB139" i="1" s="1"/>
  <c r="I139" i="1"/>
  <c r="AA138" i="1"/>
  <c r="AB138" i="1" s="1"/>
  <c r="I138" i="1"/>
  <c r="AA137" i="1"/>
  <c r="AB137" i="1" s="1"/>
  <c r="I137" i="1"/>
  <c r="AA136" i="1"/>
  <c r="AB136" i="1" s="1"/>
  <c r="I136" i="1"/>
  <c r="AA135" i="1"/>
  <c r="AB135" i="1" s="1"/>
  <c r="T135" i="1"/>
  <c r="I135" i="1"/>
  <c r="AA134" i="1"/>
  <c r="AB134" i="1" s="1"/>
  <c r="I134" i="1"/>
  <c r="AA133" i="1"/>
  <c r="AB133" i="1" s="1"/>
  <c r="I133" i="1"/>
  <c r="AA132" i="1"/>
  <c r="AB132" i="1" s="1"/>
  <c r="I132" i="1"/>
  <c r="AA131" i="1"/>
  <c r="AB131" i="1" s="1"/>
  <c r="I131" i="1"/>
  <c r="AA130" i="1"/>
  <c r="AB130" i="1" s="1"/>
  <c r="I130" i="1"/>
  <c r="AA129" i="1"/>
  <c r="AB129" i="1" s="1"/>
  <c r="I129" i="1"/>
  <c r="H129" i="1"/>
  <c r="AB128" i="1"/>
  <c r="AA128" i="1"/>
  <c r="I128" i="1"/>
  <c r="AA127" i="1"/>
  <c r="AB127" i="1" s="1"/>
  <c r="I127" i="1"/>
  <c r="AA126" i="1"/>
  <c r="AB126" i="1" s="1"/>
  <c r="I126" i="1"/>
  <c r="AA125" i="1"/>
  <c r="AB125" i="1" s="1"/>
  <c r="T125" i="1"/>
  <c r="I125" i="1"/>
  <c r="AB124" i="1"/>
  <c r="AA124" i="1"/>
  <c r="I124" i="1"/>
  <c r="AB123" i="1"/>
  <c r="AA123" i="1"/>
  <c r="I123" i="1"/>
  <c r="H123" i="1"/>
  <c r="AA122" i="1"/>
  <c r="AB122" i="1" s="1"/>
  <c r="I122" i="1"/>
  <c r="AA121" i="1"/>
  <c r="AB121" i="1" s="1"/>
  <c r="I121" i="1"/>
  <c r="AB120" i="1"/>
  <c r="AA120" i="1"/>
  <c r="I120" i="1"/>
  <c r="AB119" i="1"/>
  <c r="AA119" i="1"/>
  <c r="I119" i="1"/>
  <c r="AA118" i="1"/>
  <c r="AB118" i="1" s="1"/>
  <c r="I118" i="1"/>
  <c r="AA117" i="1"/>
  <c r="AB117" i="1" s="1"/>
  <c r="I117" i="1"/>
  <c r="AB116" i="1"/>
  <c r="AA116" i="1"/>
  <c r="I116" i="1"/>
  <c r="AA115" i="1"/>
  <c r="AB115" i="1" s="1"/>
  <c r="I115" i="1"/>
  <c r="AB114" i="1"/>
  <c r="AA114" i="1"/>
  <c r="I114" i="1"/>
  <c r="AB113" i="1"/>
  <c r="AA113" i="1"/>
  <c r="H113" i="1"/>
  <c r="I113" i="1" s="1"/>
  <c r="AA112" i="1"/>
  <c r="AB112" i="1" s="1"/>
  <c r="I112" i="1"/>
  <c r="AB111" i="1"/>
  <c r="AA111" i="1"/>
  <c r="I111" i="1"/>
  <c r="AA110" i="1"/>
  <c r="AB110" i="1" s="1"/>
  <c r="I110" i="1"/>
  <c r="AA109" i="1"/>
  <c r="AB109" i="1" s="1"/>
  <c r="H109" i="1"/>
  <c r="I109" i="1" s="1"/>
  <c r="AA108" i="1"/>
  <c r="AB108" i="1" s="1"/>
  <c r="I108" i="1"/>
  <c r="AA107" i="1"/>
  <c r="AB107" i="1" s="1"/>
  <c r="I107" i="1"/>
  <c r="AA106" i="1"/>
  <c r="AB106" i="1" s="1"/>
  <c r="I106" i="1"/>
  <c r="AA105" i="1"/>
  <c r="AB105" i="1" s="1"/>
  <c r="I105" i="1"/>
  <c r="AA104" i="1"/>
  <c r="AB104" i="1" s="1"/>
  <c r="I104" i="1"/>
  <c r="AA103" i="1"/>
  <c r="AB103" i="1" s="1"/>
  <c r="H103" i="1"/>
  <c r="I103" i="1" s="1"/>
  <c r="AA102" i="1"/>
  <c r="AB102" i="1" s="1"/>
  <c r="I102" i="1"/>
  <c r="AA101" i="1"/>
  <c r="AB101" i="1" s="1"/>
  <c r="I101" i="1"/>
  <c r="AA100" i="1"/>
  <c r="AB100" i="1" s="1"/>
  <c r="I100" i="1"/>
  <c r="AA99" i="1"/>
  <c r="AB99" i="1" s="1"/>
  <c r="I99" i="1"/>
  <c r="AA98" i="1"/>
  <c r="AB98" i="1" s="1"/>
  <c r="H98" i="1"/>
  <c r="I98" i="1" s="1"/>
  <c r="AA97" i="1"/>
  <c r="AB97" i="1" s="1"/>
  <c r="I97" i="1"/>
  <c r="AA96" i="1"/>
  <c r="AB96" i="1" s="1"/>
  <c r="I96" i="1"/>
  <c r="AA95" i="1"/>
  <c r="AB95" i="1" s="1"/>
  <c r="I95" i="1"/>
  <c r="AA94" i="1"/>
  <c r="AB94" i="1" s="1"/>
  <c r="I94" i="1"/>
  <c r="AB93" i="1"/>
  <c r="AA93" i="1"/>
  <c r="H93" i="1"/>
  <c r="I93" i="1" s="1"/>
  <c r="AA92" i="1"/>
  <c r="AB92" i="1" s="1"/>
  <c r="I92" i="1"/>
  <c r="AA91" i="1"/>
  <c r="AB91" i="1" s="1"/>
  <c r="I91" i="1"/>
  <c r="AA90" i="1"/>
  <c r="AB90" i="1" s="1"/>
  <c r="H90" i="1"/>
  <c r="I90" i="1" s="1"/>
  <c r="AA89" i="1"/>
  <c r="AB89" i="1" s="1"/>
  <c r="I89" i="1"/>
  <c r="AB88" i="1"/>
  <c r="AA88" i="1"/>
  <c r="I88" i="1"/>
  <c r="H88" i="1"/>
  <c r="AA87" i="1"/>
  <c r="AB87" i="1" s="1"/>
  <c r="I87" i="1"/>
  <c r="AA86" i="1"/>
  <c r="AB86" i="1" s="1"/>
  <c r="H86" i="1"/>
  <c r="I86" i="1" s="1"/>
  <c r="AA85" i="1"/>
  <c r="AB85" i="1" s="1"/>
  <c r="I85" i="1"/>
  <c r="AA84" i="1"/>
  <c r="AB84" i="1" s="1"/>
  <c r="I84" i="1"/>
  <c r="AA83" i="1"/>
  <c r="AB83" i="1" s="1"/>
  <c r="I83" i="1"/>
  <c r="AA82" i="1"/>
  <c r="AB82" i="1" s="1"/>
  <c r="I82" i="1"/>
  <c r="H82" i="1"/>
  <c r="AB81" i="1"/>
  <c r="AA81" i="1"/>
  <c r="I81" i="1"/>
  <c r="AA80" i="1"/>
  <c r="AB80" i="1" s="1"/>
  <c r="T80" i="1"/>
  <c r="I80" i="1"/>
  <c r="AA79" i="1"/>
  <c r="AB79" i="1" s="1"/>
  <c r="I79" i="1"/>
  <c r="AA78" i="1"/>
  <c r="AB78" i="1" s="1"/>
  <c r="I78" i="1"/>
  <c r="AA77" i="1"/>
  <c r="AB77" i="1" s="1"/>
  <c r="I77" i="1"/>
  <c r="AA76" i="1"/>
  <c r="AB76" i="1" s="1"/>
  <c r="I76" i="1"/>
  <c r="H76" i="1"/>
  <c r="AA75" i="1"/>
  <c r="AB75" i="1" s="1"/>
  <c r="I75" i="1"/>
  <c r="AB74" i="1"/>
  <c r="AA74" i="1"/>
  <c r="I74" i="1"/>
  <c r="AB73" i="1"/>
  <c r="AA73" i="1"/>
  <c r="H73" i="1"/>
  <c r="I73" i="1" s="1"/>
  <c r="AA72" i="1"/>
  <c r="AB72" i="1" s="1"/>
  <c r="I72" i="1"/>
  <c r="AA71" i="1"/>
  <c r="AB71" i="1" s="1"/>
  <c r="T71" i="1"/>
  <c r="I71" i="1"/>
  <c r="AA70" i="1"/>
  <c r="AB70" i="1" s="1"/>
  <c r="I70" i="1"/>
  <c r="AB69" i="1"/>
  <c r="AA69" i="1"/>
  <c r="I69" i="1"/>
  <c r="AA68" i="1"/>
  <c r="AB68" i="1" s="1"/>
  <c r="I68" i="1"/>
  <c r="AA67" i="1"/>
  <c r="AB67" i="1" s="1"/>
  <c r="I67" i="1"/>
  <c r="H67" i="1"/>
  <c r="AB66" i="1"/>
  <c r="AA66" i="1"/>
  <c r="I66" i="1"/>
  <c r="AB65" i="1"/>
  <c r="AA65" i="1"/>
  <c r="I65" i="1"/>
  <c r="AB64" i="1"/>
  <c r="AA64" i="1"/>
  <c r="I64" i="1"/>
  <c r="H64" i="1"/>
  <c r="AA63" i="1"/>
  <c r="AB63" i="1" s="1"/>
  <c r="I63" i="1"/>
  <c r="AA62" i="1"/>
  <c r="AB62" i="1" s="1"/>
  <c r="H62" i="1"/>
  <c r="I62" i="1" s="1"/>
  <c r="AA61" i="1"/>
  <c r="AB61" i="1" s="1"/>
  <c r="I61" i="1"/>
  <c r="AA60" i="1"/>
  <c r="AB60" i="1" s="1"/>
  <c r="I60" i="1"/>
  <c r="H60" i="1"/>
  <c r="AA59" i="1"/>
  <c r="AB59" i="1" s="1"/>
  <c r="I59" i="1"/>
  <c r="AA58" i="1"/>
  <c r="AB58" i="1" s="1"/>
  <c r="I58" i="1"/>
  <c r="AA57" i="1"/>
  <c r="AB57" i="1" s="1"/>
  <c r="I57" i="1"/>
  <c r="AA56" i="1"/>
  <c r="AB56" i="1" s="1"/>
  <c r="I56" i="1"/>
  <c r="AA55" i="1"/>
  <c r="AB55" i="1" s="1"/>
  <c r="I55" i="1"/>
  <c r="H55" i="1"/>
  <c r="AA54" i="1"/>
  <c r="AB54" i="1" s="1"/>
  <c r="I54" i="1"/>
  <c r="AA53" i="1"/>
  <c r="AB53" i="1" s="1"/>
  <c r="I53" i="1"/>
  <c r="AB52" i="1"/>
  <c r="AA52" i="1"/>
  <c r="I52" i="1"/>
  <c r="AA51" i="1"/>
  <c r="AB51" i="1" s="1"/>
  <c r="I51" i="1"/>
  <c r="H51" i="1"/>
  <c r="AA50" i="1"/>
  <c r="AB50" i="1" s="1"/>
  <c r="I50" i="1"/>
  <c r="AB49" i="1"/>
  <c r="AA49" i="1"/>
  <c r="T49" i="1"/>
  <c r="I49" i="1"/>
  <c r="AA48" i="1"/>
  <c r="AB48" i="1" s="1"/>
  <c r="I48" i="1"/>
  <c r="H48" i="1"/>
  <c r="AA47" i="1"/>
  <c r="AB47" i="1" s="1"/>
  <c r="I47" i="1"/>
  <c r="AB46" i="1"/>
  <c r="AA46" i="1"/>
  <c r="I46" i="1"/>
  <c r="AB45" i="1"/>
  <c r="AA45" i="1"/>
  <c r="I45" i="1"/>
  <c r="AA44" i="1"/>
  <c r="AB44" i="1" s="1"/>
  <c r="H44" i="1"/>
  <c r="I44" i="1" s="1"/>
  <c r="AA43" i="1"/>
  <c r="AB43" i="1" s="1"/>
  <c r="I43" i="1"/>
  <c r="AA42" i="1"/>
  <c r="AB42" i="1" s="1"/>
  <c r="I42" i="1"/>
  <c r="H42" i="1"/>
  <c r="AB41" i="1"/>
  <c r="AA41" i="1"/>
  <c r="I41" i="1"/>
  <c r="AA40" i="1"/>
  <c r="AB40" i="1" s="1"/>
  <c r="I40" i="1"/>
  <c r="AA39" i="1"/>
  <c r="AB39" i="1" s="1"/>
  <c r="I39" i="1"/>
  <c r="AA38" i="1"/>
  <c r="AB38" i="1" s="1"/>
  <c r="H38" i="1"/>
  <c r="I38" i="1" s="1"/>
  <c r="AA37" i="1"/>
  <c r="AB37" i="1" s="1"/>
  <c r="I37" i="1"/>
  <c r="AA36" i="1"/>
  <c r="AB36" i="1" s="1"/>
  <c r="I36" i="1"/>
  <c r="H36" i="1"/>
  <c r="AA35" i="1"/>
  <c r="AB35" i="1" s="1"/>
  <c r="I35" i="1"/>
  <c r="AB34" i="1"/>
  <c r="AA34" i="1"/>
  <c r="I34" i="1"/>
  <c r="AB33" i="1"/>
  <c r="AA33" i="1"/>
  <c r="I33" i="1"/>
  <c r="AA32" i="1"/>
  <c r="AB32" i="1" s="1"/>
  <c r="I32" i="1"/>
  <c r="AB31" i="1"/>
  <c r="AA31" i="1"/>
  <c r="I31" i="1"/>
  <c r="AA30" i="1"/>
  <c r="AB30" i="1" s="1"/>
  <c r="I30" i="1"/>
  <c r="AA29" i="1"/>
  <c r="AB29" i="1" s="1"/>
  <c r="I29" i="1"/>
  <c r="AA28" i="1"/>
  <c r="AB28" i="1" s="1"/>
  <c r="I28" i="1"/>
  <c r="AA27" i="1"/>
  <c r="AB27" i="1" s="1"/>
  <c r="I27" i="1"/>
  <c r="AA26" i="1"/>
  <c r="AB26" i="1" s="1"/>
  <c r="I26" i="1"/>
  <c r="H26" i="1"/>
  <c r="AA25" i="1"/>
  <c r="AB25" i="1" s="1"/>
  <c r="I25" i="1"/>
  <c r="AA24" i="1"/>
  <c r="AB24" i="1" s="1"/>
  <c r="H24" i="1"/>
  <c r="AA23" i="1"/>
  <c r="AB23" i="1" s="1"/>
  <c r="I23" i="1"/>
  <c r="AA22" i="1"/>
  <c r="AB22" i="1" s="1"/>
  <c r="I22" i="1"/>
  <c r="AA21" i="1"/>
  <c r="AB21" i="1" s="1"/>
  <c r="H21" i="1"/>
  <c r="I21" i="1" s="1"/>
  <c r="AA20" i="1"/>
  <c r="AB20" i="1" s="1"/>
  <c r="I20" i="1"/>
  <c r="AA19" i="1"/>
  <c r="AB19" i="1" s="1"/>
  <c r="I19" i="1"/>
  <c r="AA18" i="1"/>
  <c r="AB18" i="1" s="1"/>
  <c r="I18" i="1"/>
  <c r="AA17" i="1"/>
  <c r="I17" i="1"/>
  <c r="AA16" i="1"/>
  <c r="I16" i="1"/>
  <c r="AA15" i="1"/>
  <c r="I15" i="1"/>
  <c r="AA14" i="1"/>
  <c r="H14" i="1"/>
  <c r="I14" i="1" s="1"/>
  <c r="AA13" i="1"/>
  <c r="I13" i="1"/>
  <c r="AA12" i="1"/>
  <c r="T12" i="1"/>
  <c r="I12" i="1"/>
  <c r="AA11" i="1"/>
  <c r="T11" i="1"/>
  <c r="I11" i="1"/>
  <c r="AA10" i="1"/>
  <c r="I10" i="1"/>
  <c r="H10" i="1"/>
  <c r="AA9" i="1"/>
  <c r="I9" i="1"/>
  <c r="AA8" i="1"/>
  <c r="H8" i="1"/>
  <c r="I8" i="1" s="1"/>
  <c r="AA7" i="1"/>
  <c r="I7" i="1"/>
  <c r="AA6" i="1"/>
  <c r="H6" i="1"/>
  <c r="I6" i="1" s="1"/>
  <c r="AA5" i="1"/>
  <c r="I5" i="1"/>
  <c r="AA4" i="1"/>
  <c r="I4" i="1"/>
  <c r="AA3" i="1"/>
  <c r="I3" i="1"/>
  <c r="AA2" i="1"/>
  <c r="I2" i="1"/>
</calcChain>
</file>

<file path=xl/comments1.xml><?xml version="1.0" encoding="utf-8"?>
<comments xmlns="http://schemas.openxmlformats.org/spreadsheetml/2006/main">
  <authors>
    <author/>
  </authors>
  <commentList>
    <comment ref="J49" authorId="0" shapeId="0">
      <text>
        <r>
          <rPr>
            <sz val="10"/>
            <color rgb="FF000000"/>
            <rFont val="Arial"/>
            <scheme val="minor"/>
          </rPr>
          <t>98 reses, 420 reses son el total
	-Jhonathan Usuga Gutiérrez</t>
        </r>
      </text>
    </comment>
    <comment ref="S373" authorId="0" shapeId="0">
      <text>
        <r>
          <rPr>
            <sz val="10"/>
            <color rgb="FF000000"/>
            <rFont val="Arial"/>
            <scheme val="minor"/>
          </rPr>
          <t>Pedido que falto consumirse de un traslado 4902207761 por un 1850000
	-Jhonathan Usuga Gutiérrez</t>
        </r>
      </text>
    </comment>
    <comment ref="H613" authorId="0" shapeId="0">
      <text>
        <r>
          <rPr>
            <sz val="10"/>
            <color rgb="FF000000"/>
            <rFont val="Arial"/>
            <scheme val="minor"/>
          </rPr>
          <t>Cambiar pedido ya que hubo cambio de precio en la liquidación
	-Jhonathan Usuga Gutiérrez</t>
        </r>
      </text>
    </comment>
    <comment ref="I613" authorId="0" shapeId="0">
      <text>
        <r>
          <rPr>
            <sz val="10"/>
            <color rgb="FF000000"/>
            <rFont val="Arial"/>
            <scheme val="minor"/>
          </rPr>
          <t>Borrar pedido 4502294628 no deja
	-Jhonathan Usuga Gutiérrez</t>
        </r>
      </text>
    </comment>
    <comment ref="W708" authorId="0" shapeId="0">
      <text>
        <r>
          <rPr>
            <sz val="10"/>
            <color rgb="FF000000"/>
            <rFont val="Arial"/>
            <scheme val="minor"/>
          </rPr>
          <t>Factura correspondiente, a un viaje que le toco devolverse al conductor con las reses ya que no coincidía la licencia con los papeles
	-Jhonathan Usuga Gutiérrez</t>
        </r>
      </text>
    </comment>
    <comment ref="A1410" authorId="0" shapeId="0">
      <text>
        <r>
          <rPr>
            <sz val="10"/>
            <color rgb="FF000000"/>
            <rFont val="Arial"/>
            <scheme val="minor"/>
          </rPr>
          <t>cuadrar pedido ya que quedo con código de Lina Maria Pelaez
	-Jhonathan Usuga Gutiérrez</t>
        </r>
      </text>
    </comment>
    <comment ref="W2248" authorId="0" shapeId="0">
      <text>
        <r>
          <rPr>
            <sz val="10"/>
            <color rgb="FF000000"/>
            <rFont val="Arial"/>
            <scheme val="minor"/>
          </rPr>
          <t>Factura de transporte adicional debido a que habían reses que iban caídas, se autorizo un viaje de mas para que las reses viajaran con mas espacio
	-Jhonathan Usuga Gutiérrez</t>
        </r>
      </text>
    </comment>
    <comment ref="Y2449" authorId="0" shapeId="0">
      <text>
        <r>
          <rPr>
            <sz val="10"/>
            <color rgb="FF000000"/>
            <rFont val="Arial"/>
            <scheme val="minor"/>
          </rPr>
          <t>Transbordo de la finca Quirimara hacia Medellín (CG)
	-Jhonathan Usuga Gutiérrez</t>
        </r>
      </text>
    </comment>
    <comment ref="A2610" authorId="0" shapeId="0">
      <text>
        <r>
          <rPr>
            <sz val="10"/>
            <color rgb="FF000000"/>
            <rFont val="Arial"/>
            <scheme val="minor"/>
          </rPr>
          <t>Flete
	-Jhonathan Usuga Gutiérrez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H87" authorId="0" shapeId="0">
      <text>
        <r>
          <rPr>
            <sz val="10"/>
            <color rgb="FF000000"/>
            <rFont val="Arial"/>
            <scheme val="minor"/>
          </rPr>
          <t>Se envía en la liquidación con FELE44 pero la imagen de la factura es la FELE50
	-Jhonathan Usuga Gutiérrez</t>
        </r>
      </text>
    </comment>
    <comment ref="H212" authorId="0" shapeId="0">
      <text>
        <r>
          <rPr>
            <sz val="10"/>
            <color rgb="FF000000"/>
            <rFont val="Arial"/>
            <scheme val="minor"/>
          </rPr>
          <t>Nota crédito P3167, ya que falto un animal
	-Jhonathan Usuga Gutiérrez</t>
        </r>
      </text>
    </comment>
    <comment ref="K212" authorId="0" shapeId="0">
      <text>
        <r>
          <rPr>
            <sz val="10"/>
            <color rgb="FF000000"/>
            <rFont val="Arial"/>
            <scheme val="minor"/>
          </rPr>
          <t>Se deben descontar 159 KG
	-Jhonathan Usuga Gutiérrez</t>
        </r>
      </text>
    </comment>
    <comment ref="N212" authorId="0" shapeId="0">
      <text>
        <r>
          <rPr>
            <sz val="10"/>
            <color rgb="FF000000"/>
            <rFont val="Arial"/>
            <scheme val="minor"/>
          </rPr>
          <t>Factura por 8, nota crédito descuenta 1
	-Jhonathan Usuga Gutiérrez</t>
        </r>
      </text>
    </comment>
    <comment ref="A213" authorId="0" shapeId="0">
      <text>
        <r>
          <rPr>
            <sz val="10"/>
            <color rgb="FF000000"/>
            <rFont val="Arial"/>
            <scheme val="minor"/>
          </rPr>
          <t>Nota crédito
	-Jhonathan Usuga Gutiérrez</t>
        </r>
      </text>
    </comment>
    <comment ref="H213" authorId="0" shapeId="0">
      <text>
        <r>
          <rPr>
            <sz val="10"/>
            <color rgb="FF000000"/>
            <rFont val="Arial"/>
            <scheme val="minor"/>
          </rPr>
          <t>Nota Crédito
	-Jhonathan Usuga Gutiérrez</t>
        </r>
      </text>
    </comment>
    <comment ref="A506" authorId="0" shapeId="0">
      <text>
        <r>
          <rPr>
            <sz val="10"/>
            <color rgb="FF000000"/>
            <rFont val="Arial"/>
            <scheme val="minor"/>
          </rPr>
          <t>La liquidación dice que va para la finca San Miguel pero tiene almacén de la fortuna, en conversación con Faber aclara que la compra se realizo fue para la fortuna
	-Jhonathan Usuga Gutiérrez</t>
        </r>
      </text>
    </comment>
    <comment ref="K559" authorId="0" shapeId="0">
      <text>
        <r>
          <rPr>
            <sz val="10"/>
            <color rgb="FF000000"/>
            <rFont val="Arial"/>
            <scheme val="minor"/>
          </rPr>
          <t>Se deben descontar unos kilos con NC que van a enviar
	-Jhonathan Usuga Gutiérrez</t>
        </r>
      </text>
    </comment>
    <comment ref="N559" authorId="0" shapeId="0">
      <text>
        <r>
          <rPr>
            <sz val="10"/>
            <color rgb="FF000000"/>
            <rFont val="Arial"/>
            <scheme val="minor"/>
          </rPr>
          <t>Se ingresan en el pedido 20 unidades ya que hay que realizar una nota crédito descontando unos kilos de mas facturados
	-Jhonathan Usuga Gutiérrez</t>
        </r>
      </text>
    </comment>
    <comment ref="H560" authorId="0" shapeId="0">
      <text>
        <r>
          <rPr>
            <sz val="10"/>
            <color rgb="FF000000"/>
            <rFont val="Arial"/>
            <scheme val="minor"/>
          </rPr>
          <t>Nota Crédito
	-Jhonathan Usuga Gutiérrez</t>
        </r>
      </text>
    </comment>
    <comment ref="N560" authorId="0" shapeId="0">
      <text>
        <r>
          <rPr>
            <sz val="10"/>
            <color rgb="FF000000"/>
            <rFont val="Arial"/>
            <scheme val="minor"/>
          </rPr>
          <t>Nota crédito
	-Jhonathan Usuga Gutiérrez</t>
        </r>
      </text>
    </comment>
    <comment ref="H805" authorId="0" shapeId="0">
      <text>
        <r>
          <rPr>
            <sz val="10"/>
            <color rgb="FF000000"/>
            <rFont val="Arial"/>
            <scheme val="minor"/>
          </rPr>
          <t>Revisar imagen
	-Jhonathan Usuga Gutiérrez</t>
        </r>
      </text>
    </comment>
    <comment ref="H944" authorId="0" shapeId="0">
      <text>
        <r>
          <rPr>
            <sz val="10"/>
            <color rgb="FF000000"/>
            <rFont val="Arial"/>
            <scheme val="minor"/>
          </rPr>
          <t>5113835138 RP de la factura FEG-17666 por ICA
	-Jhonathan Usuga Gutiérrez</t>
        </r>
      </text>
    </comment>
  </commentList>
</comments>
</file>

<file path=xl/sharedStrings.xml><?xml version="1.0" encoding="utf-8"?>
<sst xmlns="http://schemas.openxmlformats.org/spreadsheetml/2006/main" count="16937" uniqueCount="4896">
  <si>
    <t>Proveedores</t>
  </si>
  <si>
    <t xml:space="preserve"> Fecha</t>
  </si>
  <si>
    <t>Fecha llegada correo</t>
  </si>
  <si>
    <t>Semana</t>
  </si>
  <si>
    <t>Factura</t>
  </si>
  <si>
    <t>Material</t>
  </si>
  <si>
    <t>kilos</t>
  </si>
  <si>
    <t>Valor Und</t>
  </si>
  <si>
    <t>Valor</t>
  </si>
  <si>
    <t>Und</t>
  </si>
  <si>
    <t>N° Pedido</t>
  </si>
  <si>
    <t>Migo</t>
  </si>
  <si>
    <t>RP</t>
  </si>
  <si>
    <t>Tablero</t>
  </si>
  <si>
    <t>Observaciones</t>
  </si>
  <si>
    <t>Observaciones Compras</t>
  </si>
  <si>
    <t>Destino</t>
  </si>
  <si>
    <t xml:space="preserve">Fecha de entrada a corrales </t>
  </si>
  <si>
    <t>Pedido</t>
  </si>
  <si>
    <t>Valor Flete</t>
  </si>
  <si>
    <t>Fac flete</t>
  </si>
  <si>
    <t>RP flete</t>
  </si>
  <si>
    <t>Fac 2 flete</t>
  </si>
  <si>
    <t>RP 2 flete</t>
  </si>
  <si>
    <t>Fac flete 3</t>
  </si>
  <si>
    <t>RP 3 flete</t>
  </si>
  <si>
    <t>Fecha</t>
  </si>
  <si>
    <t>Mes</t>
  </si>
  <si>
    <t>Luis Fernando Rojas Prada</t>
  </si>
  <si>
    <t>FELC-727</t>
  </si>
  <si>
    <t>EJ 3062400*4 2982600*1</t>
  </si>
  <si>
    <t>AGUACHICA</t>
  </si>
  <si>
    <t>FEMD-3020*1</t>
  </si>
  <si>
    <t>FEMD-3019*3</t>
  </si>
  <si>
    <t>FEMD-3034</t>
  </si>
  <si>
    <t>Celso Jose Osorio Duarte</t>
  </si>
  <si>
    <t>FE-16</t>
  </si>
  <si>
    <t>TIENE BL</t>
  </si>
  <si>
    <t xml:space="preserve">La hizo manual le explique que la debe generar electronica </t>
  </si>
  <si>
    <t>Lina Maria Pelaez Gomez</t>
  </si>
  <si>
    <t>LP-62</t>
  </si>
  <si>
    <t>NC45</t>
  </si>
  <si>
    <t>Envie correo a David Martinez</t>
  </si>
  <si>
    <t>Inversiones Castilla Barbosa S.A.S.</t>
  </si>
  <si>
    <t>FE63</t>
  </si>
  <si>
    <t>DF227</t>
  </si>
  <si>
    <t>Multicarnicos S.A</t>
  </si>
  <si>
    <t>MUL263</t>
  </si>
  <si>
    <t>NC38</t>
  </si>
  <si>
    <t>HEVLA S.A.S</t>
  </si>
  <si>
    <t>FE-468</t>
  </si>
  <si>
    <t>EJ 3282600*4</t>
  </si>
  <si>
    <t>Se envia correo a recepcion</t>
  </si>
  <si>
    <t>FEMD-3021*4</t>
  </si>
  <si>
    <t>JERAL S.A.S</t>
  </si>
  <si>
    <t>JFEV-33</t>
  </si>
  <si>
    <t>EJ  2979200*5</t>
  </si>
  <si>
    <t>FEMD-3022*5</t>
  </si>
  <si>
    <t>Sociedad Comercializadora Ganadera</t>
  </si>
  <si>
    <t>FEDV149</t>
  </si>
  <si>
    <t>NC46</t>
  </si>
  <si>
    <t>Margie Rodriguez Rodriguez</t>
  </si>
  <si>
    <t>FE-42</t>
  </si>
  <si>
    <t>CON RETEN</t>
  </si>
  <si>
    <t>NC221</t>
  </si>
  <si>
    <t>Angela Maria Restrepo Diaz</t>
  </si>
  <si>
    <t>AR-55</t>
  </si>
  <si>
    <t>La OKA S.A.S.</t>
  </si>
  <si>
    <t>FEOK-50</t>
  </si>
  <si>
    <t>NC28</t>
  </si>
  <si>
    <t>La envio nuevamente</t>
  </si>
  <si>
    <t>FEDV150</t>
  </si>
  <si>
    <t>NC51</t>
  </si>
  <si>
    <t>Inversiones y Negocios V&amp;V S.A.S</t>
  </si>
  <si>
    <t>FE1564</t>
  </si>
  <si>
    <t>Inversiones Caucaman S.A.S</t>
  </si>
  <si>
    <t>IC36</t>
  </si>
  <si>
    <t>NC10</t>
  </si>
  <si>
    <t>FEDV151</t>
  </si>
  <si>
    <t>NC50</t>
  </si>
  <si>
    <t>Agropecuaria Tabaida S.A.S</t>
  </si>
  <si>
    <t>MT1207</t>
  </si>
  <si>
    <t>FRIGOSINU</t>
  </si>
  <si>
    <t>Surtidora Agropecuaria De Colombia</t>
  </si>
  <si>
    <t>FESA-19</t>
  </si>
  <si>
    <t>Inversiones Valle Del Canalete S.A.S</t>
  </si>
  <si>
    <t>IVC92</t>
  </si>
  <si>
    <t>Agropastoril De Colombia S.A.S.</t>
  </si>
  <si>
    <t>AP-56</t>
  </si>
  <si>
    <t>Agropecuaria El Uberrimo S.A.S</t>
  </si>
  <si>
    <t>FE191</t>
  </si>
  <si>
    <t>No contesta se envia correo nuevamente</t>
  </si>
  <si>
    <t>Julio Cesar Mejía Mejía</t>
  </si>
  <si>
    <t>FE-8</t>
  </si>
  <si>
    <t>Mauricio De Jesús Bernal Jaramillo</t>
  </si>
  <si>
    <t>FE-163</t>
  </si>
  <si>
    <t>La Ceiba S.A</t>
  </si>
  <si>
    <t>FE-1786</t>
  </si>
  <si>
    <t xml:space="preserve">envie correo solicitando factura </t>
  </si>
  <si>
    <t>Miguel Antonio Carrascal Pacheco</t>
  </si>
  <si>
    <t>MCFE-12</t>
  </si>
  <si>
    <t>NCR33</t>
  </si>
  <si>
    <t>FEDV152</t>
  </si>
  <si>
    <t>NC49</t>
  </si>
  <si>
    <t>Agroinversiones RG S.A.S</t>
  </si>
  <si>
    <t>FE-55</t>
  </si>
  <si>
    <t>FE-1785</t>
  </si>
  <si>
    <t>FE-56</t>
  </si>
  <si>
    <t>NC216</t>
  </si>
  <si>
    <t>MCFE-13</t>
  </si>
  <si>
    <t>NCR34</t>
  </si>
  <si>
    <t>Andres Jaramillo Bernal</t>
  </si>
  <si>
    <t>FEVA-5124</t>
  </si>
  <si>
    <t>FEVA-5125</t>
  </si>
  <si>
    <t>FEDV153</t>
  </si>
  <si>
    <t>NC52</t>
  </si>
  <si>
    <t>Agropecuaria los Molinos S.A.S</t>
  </si>
  <si>
    <t>FEMO1010000478</t>
  </si>
  <si>
    <t>EJ 1650000*6 1490000*1</t>
  </si>
  <si>
    <t>FEMD-3031*6</t>
  </si>
  <si>
    <t>FEMD-3032</t>
  </si>
  <si>
    <t>LP63</t>
  </si>
  <si>
    <t>Comercializadora Ganadera Las Palmas (COGAPAL S.A.S)</t>
  </si>
  <si>
    <t>ND1</t>
  </si>
  <si>
    <t>SR2354033 caso para pago</t>
  </si>
  <si>
    <t>Organización Empresarial Blanco Hernandez Y CIA. S.C.A.</t>
  </si>
  <si>
    <t>ORG-77</t>
  </si>
  <si>
    <t>NC210</t>
  </si>
  <si>
    <t>Marcela la envia nuevamente - deben llegar 2 NC y 1 ND</t>
  </si>
  <si>
    <t>Carnicos AGB S.A.S</t>
  </si>
  <si>
    <t>FE-38</t>
  </si>
  <si>
    <t xml:space="preserve">Apenas la van a generar la secretaria no estaba </t>
  </si>
  <si>
    <t>Jose Elias Sarquis Matta</t>
  </si>
  <si>
    <t>EF-29</t>
  </si>
  <si>
    <t>NC21</t>
  </si>
  <si>
    <t>Andres Felipe Vasquez Velez</t>
  </si>
  <si>
    <t>FE-11</t>
  </si>
  <si>
    <t xml:space="preserve">SI </t>
  </si>
  <si>
    <t>Le envie correo con la solicitud de BL y NC</t>
  </si>
  <si>
    <t>NC6</t>
  </si>
  <si>
    <t>FEDV154</t>
  </si>
  <si>
    <t>SR2336173</t>
  </si>
  <si>
    <t>NC53</t>
  </si>
  <si>
    <t>FEDV155</t>
  </si>
  <si>
    <t>NC54</t>
  </si>
  <si>
    <t>Primavera del Magdalena S.A.S.</t>
  </si>
  <si>
    <t>PRI-51</t>
  </si>
  <si>
    <t>MCFE-14</t>
  </si>
  <si>
    <t xml:space="preserve">Envie correo solicitando el BL </t>
  </si>
  <si>
    <t>NCR35</t>
  </si>
  <si>
    <t>MT1210</t>
  </si>
  <si>
    <t xml:space="preserve">Envie correo </t>
  </si>
  <si>
    <t>FESA-20</t>
  </si>
  <si>
    <t>IVC93</t>
  </si>
  <si>
    <t>SI</t>
  </si>
  <si>
    <t xml:space="preserve">La enviaron nuevamente </t>
  </si>
  <si>
    <t>FELC-730</t>
  </si>
  <si>
    <t>EJ*5 2982600*5</t>
  </si>
  <si>
    <t>SR2336167 Reque pago</t>
  </si>
  <si>
    <t>FEMD-3053*5</t>
  </si>
  <si>
    <t>Distrimora Limitada</t>
  </si>
  <si>
    <t>FE97</t>
  </si>
  <si>
    <t xml:space="preserve">Valida con el contador y me llama </t>
  </si>
  <si>
    <t>ND3</t>
  </si>
  <si>
    <t xml:space="preserve">envio los documentos por correo dieron autorizacion de radicar manual en mesa de ayuda </t>
  </si>
  <si>
    <t>FE1567</t>
  </si>
  <si>
    <t>FEDV156</t>
  </si>
  <si>
    <t>NC55</t>
  </si>
  <si>
    <t>Industria Ganadera Hato Cebu S.A.</t>
  </si>
  <si>
    <t>FEHC231</t>
  </si>
  <si>
    <t>FEDV157</t>
  </si>
  <si>
    <t>JFEV-35</t>
  </si>
  <si>
    <t>EJ*4 2979200*4</t>
  </si>
  <si>
    <t>Solicitud de pago</t>
  </si>
  <si>
    <t>FEMD-3057</t>
  </si>
  <si>
    <t>FEMD-3058*3</t>
  </si>
  <si>
    <t>FE-1787</t>
  </si>
  <si>
    <t>NC10026</t>
  </si>
  <si>
    <t>FEVA-5126</t>
  </si>
  <si>
    <t>AR58</t>
  </si>
  <si>
    <t>Jorge Luis Reyes Vargas</t>
  </si>
  <si>
    <t>FE-49</t>
  </si>
  <si>
    <t xml:space="preserve">Que hoy envia la factura esta accidentado el contador </t>
  </si>
  <si>
    <t>NCRE10</t>
  </si>
  <si>
    <t xml:space="preserve">Envie correo con la liquidacion nuevamente </t>
  </si>
  <si>
    <t>Luis Jose Jaramillo Mejia</t>
  </si>
  <si>
    <t>LJM43</t>
  </si>
  <si>
    <t>CON RETE</t>
  </si>
  <si>
    <t>NCR4</t>
  </si>
  <si>
    <t>FEDV158</t>
  </si>
  <si>
    <t>NC56</t>
  </si>
  <si>
    <t>Ganadera Yalu S En C.</t>
  </si>
  <si>
    <t>GY-8</t>
  </si>
  <si>
    <t>CON RETENCION</t>
  </si>
  <si>
    <t>FE64</t>
  </si>
  <si>
    <t>DF228</t>
  </si>
  <si>
    <t>Carlos Mario Duque Cadavid</t>
  </si>
  <si>
    <t>CD-95</t>
  </si>
  <si>
    <t>FE192</t>
  </si>
  <si>
    <t>31416 S.A.S</t>
  </si>
  <si>
    <t>PI115</t>
  </si>
  <si>
    <t>LP64</t>
  </si>
  <si>
    <t>NC47</t>
  </si>
  <si>
    <t>Rafael Ignacio Jaramillo Londoño</t>
  </si>
  <si>
    <t>GAN-57</t>
  </si>
  <si>
    <t>EJ*9 1650000*3 1490000*2 1580000*4</t>
  </si>
  <si>
    <t>FEMD-3063*3</t>
  </si>
  <si>
    <t>FEMD-3064*2</t>
  </si>
  <si>
    <t>FEMD-3065*4</t>
  </si>
  <si>
    <t>Guamal S EN C</t>
  </si>
  <si>
    <t xml:space="preserve">Estaba de viaje hoy factura </t>
  </si>
  <si>
    <t>FEDV159</t>
  </si>
  <si>
    <t>NC57</t>
  </si>
  <si>
    <t>Fernando Arevalo Reyes</t>
  </si>
  <si>
    <t>FVE-104</t>
  </si>
  <si>
    <t>Edwar Florez Zabaleta</t>
  </si>
  <si>
    <t>GANA-9</t>
  </si>
  <si>
    <t>Le puse mensaje por ws</t>
  </si>
  <si>
    <t xml:space="preserve">Le pedi a Manu q me ayude </t>
  </si>
  <si>
    <t>DF26</t>
  </si>
  <si>
    <t>No contesta 10:07 am 20/01</t>
  </si>
  <si>
    <t>FEDV160</t>
  </si>
  <si>
    <t>NC58</t>
  </si>
  <si>
    <t>Rafael Alfonso Castillo Labarces</t>
  </si>
  <si>
    <t>FE-3</t>
  </si>
  <si>
    <t>Q habla con el contador porque la gestiono 18/01</t>
  </si>
  <si>
    <t>NC2</t>
  </si>
  <si>
    <t>Manual</t>
  </si>
  <si>
    <t xml:space="preserve">Caso # IN208270 </t>
  </si>
  <si>
    <t xml:space="preserve">Se envio documentos pdf y xml a recepcion </t>
  </si>
  <si>
    <t>Angel David Castilla Sanchez</t>
  </si>
  <si>
    <t>FED-471</t>
  </si>
  <si>
    <t>EC9</t>
  </si>
  <si>
    <t>Lismenia Torcoroma Rincon Hernandez</t>
  </si>
  <si>
    <t>GANA-120</t>
  </si>
  <si>
    <t xml:space="preserve">Envie correo solicitando BL </t>
  </si>
  <si>
    <t>FEDV161</t>
  </si>
  <si>
    <t>MT-1218</t>
  </si>
  <si>
    <t>EJ*3 y TYC 1857700*3 y 4200000</t>
  </si>
  <si>
    <t>EJ - 5573100 y TYC 4200000</t>
  </si>
  <si>
    <t>FEMD-3081*3</t>
  </si>
  <si>
    <t>ETE-2561</t>
  </si>
  <si>
    <t>Oscar Fabian Quintero Ardila</t>
  </si>
  <si>
    <t>FE34</t>
  </si>
  <si>
    <t>NC11</t>
  </si>
  <si>
    <t>Maria Victoria Yepes Garcia</t>
  </si>
  <si>
    <t>MVYG27</t>
  </si>
  <si>
    <t>Robinson Jose Chica Vega</t>
  </si>
  <si>
    <t>FEC-457</t>
  </si>
  <si>
    <t>NC213</t>
  </si>
  <si>
    <t>Luis Francisco Pereira Florez</t>
  </si>
  <si>
    <t>FP2</t>
  </si>
  <si>
    <t>FP1</t>
  </si>
  <si>
    <t>GANADERIA MANZANARES S.A.S</t>
  </si>
  <si>
    <t>FA-5905</t>
  </si>
  <si>
    <t>AP-58</t>
  </si>
  <si>
    <t>EJ*4 1638223*4</t>
  </si>
  <si>
    <t>FEMD-3083*4</t>
  </si>
  <si>
    <t>FEDV162</t>
  </si>
  <si>
    <t>FEDV163</t>
  </si>
  <si>
    <t>Diomar Ibañez Criado</t>
  </si>
  <si>
    <t>FE-165</t>
  </si>
  <si>
    <t xml:space="preserve">Lo llame y le envie correo solicitando NC </t>
  </si>
  <si>
    <t>MV00V22</t>
  </si>
  <si>
    <t>Inversiones El Rezago y CIA LTDA</t>
  </si>
  <si>
    <t>RZO15</t>
  </si>
  <si>
    <t>Hugo Alfonso Portillo Rodriguez</t>
  </si>
  <si>
    <t>E104</t>
  </si>
  <si>
    <t>LP65</t>
  </si>
  <si>
    <t>NC48</t>
  </si>
  <si>
    <t>FEDV-164</t>
  </si>
  <si>
    <t>IVC95</t>
  </si>
  <si>
    <t>EJ*3 1793900*3</t>
  </si>
  <si>
    <t>FEMD-3103*3</t>
  </si>
  <si>
    <t>Jorge Ignacio Sanchez Restrepo</t>
  </si>
  <si>
    <t>FEJS-22</t>
  </si>
  <si>
    <t>Agroindustria Ganadera Valle Del Cesar</t>
  </si>
  <si>
    <t>FE-39</t>
  </si>
  <si>
    <t>EJ*6 1580000*1 1490000*5</t>
  </si>
  <si>
    <t>FEMD-3105</t>
  </si>
  <si>
    <t>FEMD-3106*5</t>
  </si>
  <si>
    <t>FEDV166</t>
  </si>
  <si>
    <t>NC59</t>
  </si>
  <si>
    <t>FEOK-52</t>
  </si>
  <si>
    <t>GANA-123</t>
  </si>
  <si>
    <t>NC000031</t>
  </si>
  <si>
    <t>Carlos Andres Castilla Angarita</t>
  </si>
  <si>
    <t>CACA-15</t>
  </si>
  <si>
    <t>NC8</t>
  </si>
  <si>
    <t>Rodolfo De Jesus Jaramillo Calle</t>
  </si>
  <si>
    <t>FE-79</t>
  </si>
  <si>
    <t>NC249</t>
  </si>
  <si>
    <t>Contacto mesa de ayuda  IN208270 - se envia correo a recepcion con xml y pdf</t>
  </si>
  <si>
    <t>LP-66</t>
  </si>
  <si>
    <t xml:space="preserve">Correo solicitando BL </t>
  </si>
  <si>
    <t>NC212</t>
  </si>
  <si>
    <t>Inversiones El Cruce S.A.</t>
  </si>
  <si>
    <t>E-138</t>
  </si>
  <si>
    <t>GANA-125</t>
  </si>
  <si>
    <t>FE-57</t>
  </si>
  <si>
    <t>NC217</t>
  </si>
  <si>
    <t>Invegarey S.A.S</t>
  </si>
  <si>
    <t>INV-46</t>
  </si>
  <si>
    <t>FEDV-167</t>
  </si>
  <si>
    <t>NC60</t>
  </si>
  <si>
    <t>Gentil Antonio Osorio Aguilar</t>
  </si>
  <si>
    <t>FEG-3</t>
  </si>
  <si>
    <t>NCR2</t>
  </si>
  <si>
    <t>AR59</t>
  </si>
  <si>
    <t>FEVA-5127</t>
  </si>
  <si>
    <t>MT-1232</t>
  </si>
  <si>
    <t>FESA-21</t>
  </si>
  <si>
    <t>CD-96</t>
  </si>
  <si>
    <t xml:space="preserve">CON RETEN </t>
  </si>
  <si>
    <t>Maria Ines Saade Mejia</t>
  </si>
  <si>
    <t>FE-91</t>
  </si>
  <si>
    <t>PI-118</t>
  </si>
  <si>
    <t>FE-196</t>
  </si>
  <si>
    <t>Manzur Aldana y CIA S. En C.</t>
  </si>
  <si>
    <t>MAFE28</t>
  </si>
  <si>
    <t xml:space="preserve">Q la genero hoy </t>
  </si>
  <si>
    <t>FEG-4</t>
  </si>
  <si>
    <t>GANA-126</t>
  </si>
  <si>
    <t>FE-58</t>
  </si>
  <si>
    <t>FEDV168</t>
  </si>
  <si>
    <t>NC61</t>
  </si>
  <si>
    <t>s</t>
  </si>
  <si>
    <t>FELC -753</t>
  </si>
  <si>
    <t>EJ*7 2982600*7</t>
  </si>
  <si>
    <t>4902197258 y 4902198597</t>
  </si>
  <si>
    <t xml:space="preserve"> FEMD-3129*7</t>
  </si>
  <si>
    <t>Jaime Angel Botero</t>
  </si>
  <si>
    <t>JAB-16</t>
  </si>
  <si>
    <t xml:space="preserve">Se envio el correo a la asistente </t>
  </si>
  <si>
    <t>NC25</t>
  </si>
  <si>
    <t>Se envio correo a facturacion con la carpeta comprimida</t>
  </si>
  <si>
    <t>FEDV171</t>
  </si>
  <si>
    <t>NC62</t>
  </si>
  <si>
    <t>Rafael Francisco Delgado Serrano</t>
  </si>
  <si>
    <t>RFDS-113</t>
  </si>
  <si>
    <t>NCR19</t>
  </si>
  <si>
    <t xml:space="preserve">LLame Damaris - Carolina - Envio correo con pdf xml a recepcion </t>
  </si>
  <si>
    <t>JFEV-39</t>
  </si>
  <si>
    <t>EJ*2 2979200*2</t>
  </si>
  <si>
    <t xml:space="preserve">  FEMD-3132*1</t>
  </si>
  <si>
    <t xml:space="preserve">  FEMD-3133*1</t>
  </si>
  <si>
    <t>FEMD-3131*4</t>
  </si>
  <si>
    <t>IVC96</t>
  </si>
  <si>
    <t>Tanagro S.A.S Zomac</t>
  </si>
  <si>
    <t>Z-90</t>
  </si>
  <si>
    <t>NCR75</t>
  </si>
  <si>
    <r>
      <rPr>
        <sz val="9"/>
        <color theme="1"/>
        <rFont val="Arial"/>
        <family val="2"/>
      </rPr>
      <t>EJ*3 1590000</t>
    </r>
    <r>
      <rPr>
        <sz val="9"/>
        <color theme="1"/>
        <rFont val="Arial"/>
        <family val="2"/>
      </rPr>
      <t>*3</t>
    </r>
  </si>
  <si>
    <t>FEMD-3169*1</t>
  </si>
  <si>
    <t>FEMD-3167*2</t>
  </si>
  <si>
    <t>EJ*5 1590000*6</t>
  </si>
  <si>
    <t>FEMD-3168*6</t>
  </si>
  <si>
    <t>FEDV172</t>
  </si>
  <si>
    <t>CENTRAL GANADERA</t>
  </si>
  <si>
    <t>FE-51</t>
  </si>
  <si>
    <t>Q esta caida la pagina de la DIAN</t>
  </si>
  <si>
    <t>NCRE11</t>
  </si>
  <si>
    <t>FEDV176</t>
  </si>
  <si>
    <t>NC63</t>
  </si>
  <si>
    <t>IC-38</t>
  </si>
  <si>
    <t>MCFE-16</t>
  </si>
  <si>
    <t>NCR36</t>
  </si>
  <si>
    <t>Se envio carpete .zip</t>
  </si>
  <si>
    <t>FE-1571</t>
  </si>
  <si>
    <t>Guillermo Acevedo Plata</t>
  </si>
  <si>
    <t>FVE-5</t>
  </si>
  <si>
    <t>NO contesta</t>
  </si>
  <si>
    <t>GANA-134</t>
  </si>
  <si>
    <t>NC000032</t>
  </si>
  <si>
    <t>IC-39</t>
  </si>
  <si>
    <t>FEDV177</t>
  </si>
  <si>
    <t>NC64</t>
  </si>
  <si>
    <t>JFEV-40</t>
  </si>
  <si>
    <t>FEMD-3188</t>
  </si>
  <si>
    <t>FEMD-3187</t>
  </si>
  <si>
    <t>CD-97</t>
  </si>
  <si>
    <t>FEMD-3189*4</t>
  </si>
  <si>
    <t>FESA-22</t>
  </si>
  <si>
    <t xml:space="preserve">TIENE BL </t>
  </si>
  <si>
    <t>MAFE-29</t>
  </si>
  <si>
    <t>FELC-757</t>
  </si>
  <si>
    <t>EJ*5 2982600*2 y 3060400*3</t>
  </si>
  <si>
    <t>FEMD-3205*1</t>
  </si>
  <si>
    <t>FEMD-3204*4</t>
  </si>
  <si>
    <t>FEDV179</t>
  </si>
  <si>
    <t>NC65</t>
  </si>
  <si>
    <t>FEDV180</t>
  </si>
  <si>
    <t>NC66</t>
  </si>
  <si>
    <t>FEC-480</t>
  </si>
  <si>
    <t>Z-92</t>
  </si>
  <si>
    <t xml:space="preserve">NO la ha realizado por un cambio de contadora </t>
  </si>
  <si>
    <t>FEVA-5130</t>
  </si>
  <si>
    <t>FVE-105</t>
  </si>
  <si>
    <t>NC18</t>
  </si>
  <si>
    <t>FE-44</t>
  </si>
  <si>
    <t xml:space="preserve">Cambio de contadora va a validar </t>
  </si>
  <si>
    <t>NC222</t>
  </si>
  <si>
    <t>FE-1796</t>
  </si>
  <si>
    <t>Va a validar con Ivan</t>
  </si>
  <si>
    <t>NC10028</t>
  </si>
  <si>
    <t>David Martinez Jaramillo</t>
  </si>
  <si>
    <t>DM138</t>
  </si>
  <si>
    <t>LP67</t>
  </si>
  <si>
    <t>AR-61</t>
  </si>
  <si>
    <t>IVC97</t>
  </si>
  <si>
    <t>PI-121</t>
  </si>
  <si>
    <t>Lafe Sierra S.A.S</t>
  </si>
  <si>
    <t>FELS260</t>
  </si>
  <si>
    <t>EJ*2 910200*2</t>
  </si>
  <si>
    <t>FEMD-3255</t>
  </si>
  <si>
    <t>MT-1240</t>
  </si>
  <si>
    <t>FEVA-5133</t>
  </si>
  <si>
    <t>Juan Pablo Sierra Cardona</t>
  </si>
  <si>
    <t>JPS-940</t>
  </si>
  <si>
    <t>NC75</t>
  </si>
  <si>
    <t>FE1584</t>
  </si>
  <si>
    <t>ND004</t>
  </si>
  <si>
    <t>MUL281</t>
  </si>
  <si>
    <t>ND5</t>
  </si>
  <si>
    <t>FEDV183</t>
  </si>
  <si>
    <t>NC68</t>
  </si>
  <si>
    <t>PRI-55</t>
  </si>
  <si>
    <t>FVE-106</t>
  </si>
  <si>
    <t>NC19</t>
  </si>
  <si>
    <t>Alexander Bautista Perez</t>
  </si>
  <si>
    <t>FACE-220</t>
  </si>
  <si>
    <t>GANA-137</t>
  </si>
  <si>
    <t>ND000006</t>
  </si>
  <si>
    <t>Z-93</t>
  </si>
  <si>
    <t>FEDV184</t>
  </si>
  <si>
    <t>NC69</t>
  </si>
  <si>
    <t>PRI-56</t>
  </si>
  <si>
    <t>D0026</t>
  </si>
  <si>
    <t>MT-1242</t>
  </si>
  <si>
    <t xml:space="preserve">Se solicito a Esther </t>
  </si>
  <si>
    <t>FESA-23</t>
  </si>
  <si>
    <t>CD-98</t>
  </si>
  <si>
    <t>IVC98</t>
  </si>
  <si>
    <t>PI-122</t>
  </si>
  <si>
    <t>Misionagro S.A.S</t>
  </si>
  <si>
    <t>MISI63</t>
  </si>
  <si>
    <t>FE-166</t>
  </si>
  <si>
    <t>FEDV185</t>
  </si>
  <si>
    <t>NC70</t>
  </si>
  <si>
    <t>GANA-139</t>
  </si>
  <si>
    <t>ND000007</t>
  </si>
  <si>
    <t>LP-68</t>
  </si>
  <si>
    <t>MVYG-28</t>
  </si>
  <si>
    <t>Ciro Alfonso Castilla Baez</t>
  </si>
  <si>
    <t>FE-6</t>
  </si>
  <si>
    <t xml:space="preserve">S solicito por correo </t>
  </si>
  <si>
    <t>Palmas La Guaira S.A.S</t>
  </si>
  <si>
    <t>FEV55</t>
  </si>
  <si>
    <t>lo solicito Manu</t>
  </si>
  <si>
    <t>FELC -769</t>
  </si>
  <si>
    <t>EJ*6 2982600*2 3062400*4</t>
  </si>
  <si>
    <t>4902205973 y 4902207768</t>
  </si>
  <si>
    <t>FEMD-3274*3</t>
  </si>
  <si>
    <t>FEMD-3276*1</t>
  </si>
  <si>
    <t>FEMD-3275*2</t>
  </si>
  <si>
    <t>GAN-58</t>
  </si>
  <si>
    <t>NC227</t>
  </si>
  <si>
    <t>FE-81</t>
  </si>
  <si>
    <t xml:space="preserve">lo pedi por correo </t>
  </si>
  <si>
    <t>NC250</t>
  </si>
  <si>
    <t>Pedro Alirio Barajas Gomez</t>
  </si>
  <si>
    <t>FE-214</t>
  </si>
  <si>
    <t>Jairo De Jesus Restrepo Gonzalez</t>
  </si>
  <si>
    <t>FEV-6</t>
  </si>
  <si>
    <t xml:space="preserve">Don Oscar llama a la oficina a solicitarla </t>
  </si>
  <si>
    <t>FE-40</t>
  </si>
  <si>
    <t xml:space="preserve"> </t>
  </si>
  <si>
    <t>D00213</t>
  </si>
  <si>
    <t>Marco Antonio Trillos Criado</t>
  </si>
  <si>
    <t>M22</t>
  </si>
  <si>
    <t xml:space="preserve">Q mañana la envia </t>
  </si>
  <si>
    <t>JAB-18</t>
  </si>
  <si>
    <t>NC26</t>
  </si>
  <si>
    <t>MUL-285</t>
  </si>
  <si>
    <t>NC40</t>
  </si>
  <si>
    <t>AR63</t>
  </si>
  <si>
    <t>Gonzalo Hoyos Pulido</t>
  </si>
  <si>
    <t>FELE-48</t>
  </si>
  <si>
    <t>JFEV-44</t>
  </si>
  <si>
    <t>FEMD-3300*4</t>
  </si>
  <si>
    <t>Luis Guillermo Vasquez Velez</t>
  </si>
  <si>
    <t>FE-14</t>
  </si>
  <si>
    <t>FE-13</t>
  </si>
  <si>
    <t>Juan Camilo Vasquez Velez</t>
  </si>
  <si>
    <t>FE-9</t>
  </si>
  <si>
    <t>FEHC-245</t>
  </si>
  <si>
    <t>Palmas Cañon Jaime S.A.S</t>
  </si>
  <si>
    <t>FEP-60</t>
  </si>
  <si>
    <t>DF27</t>
  </si>
  <si>
    <t>GANA-141</t>
  </si>
  <si>
    <t>NC000033</t>
  </si>
  <si>
    <t>FVE-107</t>
  </si>
  <si>
    <t>Olger Fernando Rojas Angarita</t>
  </si>
  <si>
    <t>OR-153</t>
  </si>
  <si>
    <t>NDE2</t>
  </si>
  <si>
    <t>FACE-223</t>
  </si>
  <si>
    <t>DF21</t>
  </si>
  <si>
    <t>GANA-142</t>
  </si>
  <si>
    <t>NC000034</t>
  </si>
  <si>
    <t>FVE-108</t>
  </si>
  <si>
    <t>FEDV188</t>
  </si>
  <si>
    <t>NC71</t>
  </si>
  <si>
    <t>FEDV189</t>
  </si>
  <si>
    <t>NC72</t>
  </si>
  <si>
    <t>FEC-504</t>
  </si>
  <si>
    <t>NC214</t>
  </si>
  <si>
    <t>LP69</t>
  </si>
  <si>
    <t>FE-1587</t>
  </si>
  <si>
    <t>Se envia nuevamente carpeta zip al recepcion FE</t>
  </si>
  <si>
    <t>RFDS-119</t>
  </si>
  <si>
    <t>NCR20</t>
  </si>
  <si>
    <t>MT-1251</t>
  </si>
  <si>
    <t>EJ*3 1274600*3 TYC 3690000</t>
  </si>
  <si>
    <t>COLANTA</t>
  </si>
  <si>
    <t>Ej 3823800 y TYC 3690000</t>
  </si>
  <si>
    <t>FEMD-3332*3</t>
  </si>
  <si>
    <t>ETE-2654</t>
  </si>
  <si>
    <t>FESA-24</t>
  </si>
  <si>
    <t>EJ*3 1243800*2 1086600</t>
  </si>
  <si>
    <t>FEMD-3333*3</t>
  </si>
  <si>
    <t>CD-99</t>
  </si>
  <si>
    <t>EJ*4 1266900*4</t>
  </si>
  <si>
    <t>FEMD-3334*4</t>
  </si>
  <si>
    <t>IVC99</t>
  </si>
  <si>
    <t>EJ*3 1371100*3</t>
  </si>
  <si>
    <t>FEMD-3335*3</t>
  </si>
  <si>
    <t>LP70</t>
  </si>
  <si>
    <t>DM141</t>
  </si>
  <si>
    <t>NC13</t>
  </si>
  <si>
    <t>FEDV191</t>
  </si>
  <si>
    <t>NC73</t>
  </si>
  <si>
    <t>FELC-779</t>
  </si>
  <si>
    <t>EJ*4 3132800*4</t>
  </si>
  <si>
    <t>FEMD-3337*4</t>
  </si>
  <si>
    <t>MCFE-17</t>
  </si>
  <si>
    <t>NCR37</t>
  </si>
  <si>
    <t>FEDV190</t>
  </si>
  <si>
    <t>ND9</t>
  </si>
  <si>
    <t>Z-94</t>
  </si>
  <si>
    <t>NCR77</t>
  </si>
  <si>
    <t>FEVA-5139</t>
  </si>
  <si>
    <t>FE-41</t>
  </si>
  <si>
    <t>D00214</t>
  </si>
  <si>
    <t>AR64</t>
  </si>
  <si>
    <t>JPS-958</t>
  </si>
  <si>
    <t>NC77</t>
  </si>
  <si>
    <t xml:space="preserve">Correo solicitando la ND </t>
  </si>
  <si>
    <t>FA-5961</t>
  </si>
  <si>
    <t>FA13</t>
  </si>
  <si>
    <t>FEDV192</t>
  </si>
  <si>
    <t>ND10</t>
  </si>
  <si>
    <t>FELC-784</t>
  </si>
  <si>
    <t>EJ*2 3132800*2</t>
  </si>
  <si>
    <t>FEMD-3348*2</t>
  </si>
  <si>
    <t>FP3</t>
  </si>
  <si>
    <t>AR65</t>
  </si>
  <si>
    <t>FEOK-54</t>
  </si>
  <si>
    <t>FEDV193</t>
  </si>
  <si>
    <t>Inversiones Agropecuaria Triplesiete S.A.S.</t>
  </si>
  <si>
    <t>FEVM-363</t>
  </si>
  <si>
    <t>ND7</t>
  </si>
  <si>
    <t>FACE-226</t>
  </si>
  <si>
    <t>DF22</t>
  </si>
  <si>
    <t>FACE-227</t>
  </si>
  <si>
    <t>DF23</t>
  </si>
  <si>
    <t>FVE-109</t>
  </si>
  <si>
    <t>NC20</t>
  </si>
  <si>
    <t>GANA-146</t>
  </si>
  <si>
    <t>ND000008</t>
  </si>
  <si>
    <t>FEDV195</t>
  </si>
  <si>
    <t>ND11</t>
  </si>
  <si>
    <t>Luis Eduardo Sanchez Ruedas</t>
  </si>
  <si>
    <t>FE-134</t>
  </si>
  <si>
    <t>DF25</t>
  </si>
  <si>
    <t>AR67</t>
  </si>
  <si>
    <t>FE-135</t>
  </si>
  <si>
    <t>FEDV-194</t>
  </si>
  <si>
    <t>FEMO-1010000547</t>
  </si>
  <si>
    <t>EJ*15 920000</t>
  </si>
  <si>
    <t>FEMD-3384*2 y FEMD-3385*4</t>
  </si>
  <si>
    <t>5113118903 y 511311893</t>
  </si>
  <si>
    <t>FEMD-3387*7</t>
  </si>
  <si>
    <t>FEMD-3386*2</t>
  </si>
  <si>
    <t>MAFE-32</t>
  </si>
  <si>
    <t>FESA-25</t>
  </si>
  <si>
    <t>EJ*3 789300*2 590000*1</t>
  </si>
  <si>
    <t>4902207761 y 4502276646</t>
  </si>
  <si>
    <t>FEMD-3388*3</t>
  </si>
  <si>
    <t>IVC101</t>
  </si>
  <si>
    <t>FE-137</t>
  </si>
  <si>
    <t>FE-136</t>
  </si>
  <si>
    <t>NC29</t>
  </si>
  <si>
    <t>FACE-230</t>
  </si>
  <si>
    <t>DF24</t>
  </si>
  <si>
    <t>LP-71</t>
  </si>
  <si>
    <t>FEDV196</t>
  </si>
  <si>
    <t>NC74</t>
  </si>
  <si>
    <t>Jose Ignacio Cruz Mendoza</t>
  </si>
  <si>
    <t>FEJI-1</t>
  </si>
  <si>
    <t>FEDV198</t>
  </si>
  <si>
    <t>FEDV199</t>
  </si>
  <si>
    <t>FEDV200</t>
  </si>
  <si>
    <t>MT1269</t>
  </si>
  <si>
    <t>CD-101</t>
  </si>
  <si>
    <t>PI-129</t>
  </si>
  <si>
    <t>FEDV201</t>
  </si>
  <si>
    <t>FEDV202</t>
  </si>
  <si>
    <t>FEDV203</t>
  </si>
  <si>
    <t>NC78</t>
  </si>
  <si>
    <t>DM143</t>
  </si>
  <si>
    <t>Z-95</t>
  </si>
  <si>
    <t>NCR78</t>
  </si>
  <si>
    <t>Carlos Enrique Galan Prada</t>
  </si>
  <si>
    <t>FVEC-10</t>
  </si>
  <si>
    <t>NCEE6</t>
  </si>
  <si>
    <t>FE-1590</t>
  </si>
  <si>
    <t>NC13036</t>
  </si>
  <si>
    <t>NCRE12</t>
  </si>
  <si>
    <t>Ecoagro Bonanza S.A.S</t>
  </si>
  <si>
    <t>FVE-91</t>
  </si>
  <si>
    <t>NCR11</t>
  </si>
  <si>
    <t>FEVA-5141</t>
  </si>
  <si>
    <t>FE-192</t>
  </si>
  <si>
    <t>MV00V23</t>
  </si>
  <si>
    <t>Carnes La Italiana L S S A S</t>
  </si>
  <si>
    <t>FVE2730</t>
  </si>
  <si>
    <t>SR2444571</t>
  </si>
  <si>
    <t>FE-1815</t>
  </si>
  <si>
    <t>NC10029</t>
  </si>
  <si>
    <t>MUL-291</t>
  </si>
  <si>
    <t>NC41</t>
  </si>
  <si>
    <t>FE-48</t>
  </si>
  <si>
    <t>NC223</t>
  </si>
  <si>
    <t>Jorge Armando Ortega Trigos</t>
  </si>
  <si>
    <t>FVE-20</t>
  </si>
  <si>
    <t>FEDV205</t>
  </si>
  <si>
    <t>FACE-234</t>
  </si>
  <si>
    <t xml:space="preserve">Ya la va a generar </t>
  </si>
  <si>
    <t>FEDV206</t>
  </si>
  <si>
    <t>NC79</t>
  </si>
  <si>
    <t>FEHC-251</t>
  </si>
  <si>
    <t>Z-96</t>
  </si>
  <si>
    <t>NCR79</t>
  </si>
  <si>
    <t>FP-4</t>
  </si>
  <si>
    <t xml:space="preserve">FP2 </t>
  </si>
  <si>
    <t>AR-69</t>
  </si>
  <si>
    <t>FESA-26</t>
  </si>
  <si>
    <t>EJ*3 1816100 1863200*2</t>
  </si>
  <si>
    <t>FEMD-3460</t>
  </si>
  <si>
    <t>FEMD-3461*2</t>
  </si>
  <si>
    <t>FEDV207</t>
  </si>
  <si>
    <t>NC80</t>
  </si>
  <si>
    <t>GANA-151</t>
  </si>
  <si>
    <t>GANA-152</t>
  </si>
  <si>
    <t>NC000036</t>
  </si>
  <si>
    <t>FEVA-5144</t>
  </si>
  <si>
    <t>FEJS-24</t>
  </si>
  <si>
    <t>DM144</t>
  </si>
  <si>
    <t>NC14</t>
  </si>
  <si>
    <t>FACE-235</t>
  </si>
  <si>
    <t>C0028</t>
  </si>
  <si>
    <t>FELC-796</t>
  </si>
  <si>
    <t>VILLAVICENCIO</t>
  </si>
  <si>
    <t>Jaime Enrique Ardila Quintero</t>
  </si>
  <si>
    <t>FE-159</t>
  </si>
  <si>
    <t>FACE-237</t>
  </si>
  <si>
    <t>FACE-236</t>
  </si>
  <si>
    <t>LP72</t>
  </si>
  <si>
    <t>FE-167</t>
  </si>
  <si>
    <t>EJ*3 1623900*3</t>
  </si>
  <si>
    <t>FEMD-3470*3</t>
  </si>
  <si>
    <t>FEDV208</t>
  </si>
  <si>
    <t>NC81</t>
  </si>
  <si>
    <t>FEDV209</t>
  </si>
  <si>
    <t>NC82</t>
  </si>
  <si>
    <t>Inversiones Estrada Zuluaga S.C.A</t>
  </si>
  <si>
    <t>FV-38</t>
  </si>
  <si>
    <t>NDE1</t>
  </si>
  <si>
    <t>FEDV210</t>
  </si>
  <si>
    <t>NC83</t>
  </si>
  <si>
    <t xml:space="preserve">Le envie correo a yulieth no contesta </t>
  </si>
  <si>
    <t>GANA-153</t>
  </si>
  <si>
    <t>ND000010</t>
  </si>
  <si>
    <t>FE-66</t>
  </si>
  <si>
    <t>DF229</t>
  </si>
  <si>
    <t>CD-102</t>
  </si>
  <si>
    <t>FEMD-3476*4</t>
  </si>
  <si>
    <t>FEDV211</t>
  </si>
  <si>
    <t>MT-1271</t>
  </si>
  <si>
    <t>EJ*3 1857700*3 TYC 4500000</t>
  </si>
  <si>
    <t>4902221357 y 4902219302</t>
  </si>
  <si>
    <t>EJ 5573100 y TYC 4500000</t>
  </si>
  <si>
    <t>FEMD-3477*3</t>
  </si>
  <si>
    <t>ETE-2724</t>
  </si>
  <si>
    <t>LP73</t>
  </si>
  <si>
    <t>Almadar LTDA</t>
  </si>
  <si>
    <t>FEAL-22</t>
  </si>
  <si>
    <t>NCR3</t>
  </si>
  <si>
    <t>GY-9</t>
  </si>
  <si>
    <t>DM146</t>
  </si>
  <si>
    <t>IVC102</t>
  </si>
  <si>
    <t>FEMD-3511*3</t>
  </si>
  <si>
    <t>FE-101</t>
  </si>
  <si>
    <t>EJ*1 1771100</t>
  </si>
  <si>
    <t>FEMD-3514</t>
  </si>
  <si>
    <t>RFDS-127</t>
  </si>
  <si>
    <t>MCFE-18</t>
  </si>
  <si>
    <t>SR2438974</t>
  </si>
  <si>
    <t>FEDV212</t>
  </si>
  <si>
    <t>NC84</t>
  </si>
  <si>
    <t>Andres Felipe Mantilla Acosta</t>
  </si>
  <si>
    <t>FEFE11</t>
  </si>
  <si>
    <t xml:space="preserve">Esta esperando el registro de bolsa </t>
  </si>
  <si>
    <t>NC1</t>
  </si>
  <si>
    <t xml:space="preserve">Se dejo mensaje por ws </t>
  </si>
  <si>
    <t>CD-103</t>
  </si>
  <si>
    <t>FEMD-3520*3</t>
  </si>
  <si>
    <t>FEMD-3583*1</t>
  </si>
  <si>
    <t>FESA-27</t>
  </si>
  <si>
    <t>EJ*2 1816100*1 1633100*1</t>
  </si>
  <si>
    <t>FEMD-3537*2</t>
  </si>
  <si>
    <t>MUL-295</t>
  </si>
  <si>
    <t>Z-97</t>
  </si>
  <si>
    <t>NCR80</t>
  </si>
  <si>
    <t>ORG-82</t>
  </si>
  <si>
    <t>Se envia correo a recepcion_fe</t>
  </si>
  <si>
    <t>FEDV214</t>
  </si>
  <si>
    <t>NC85</t>
  </si>
  <si>
    <t>LP74</t>
  </si>
  <si>
    <t>EJ*15 990000*6 1070000*6 920000*3</t>
  </si>
  <si>
    <t>FEMD-3543*2 y FEMD-3540*6</t>
  </si>
  <si>
    <t>5113152520 y 5113152559</t>
  </si>
  <si>
    <t>FEMD-3542*3</t>
  </si>
  <si>
    <t>FEMD-3541*4</t>
  </si>
  <si>
    <t>FEDV213</t>
  </si>
  <si>
    <t>FEDV215</t>
  </si>
  <si>
    <t>FEDV217</t>
  </si>
  <si>
    <t>NC86</t>
  </si>
  <si>
    <t>FEDV218</t>
  </si>
  <si>
    <t>NC87</t>
  </si>
  <si>
    <t>FEDV219</t>
  </si>
  <si>
    <t>NC88</t>
  </si>
  <si>
    <t>FEDV220</t>
  </si>
  <si>
    <t>FEVA-5147</t>
  </si>
  <si>
    <t>FACE-250</t>
  </si>
  <si>
    <t>DM148</t>
  </si>
  <si>
    <t>SR2456683</t>
  </si>
  <si>
    <t>NC15</t>
  </si>
  <si>
    <t>FEJS-25</t>
  </si>
  <si>
    <t>Gilberto Echeverri Jaramillo</t>
  </si>
  <si>
    <t>FE-75</t>
  </si>
  <si>
    <t>MT-1288</t>
  </si>
  <si>
    <t xml:space="preserve">Ever va a enviar el XML </t>
  </si>
  <si>
    <t>FEMD-3553*3</t>
  </si>
  <si>
    <t>TYC 4200000</t>
  </si>
  <si>
    <t>ETE-2750</t>
  </si>
  <si>
    <t>FEVM-385</t>
  </si>
  <si>
    <t>Natalia que la envia el dia de hoy</t>
  </si>
  <si>
    <t>ND8</t>
  </si>
  <si>
    <t>JAB-21</t>
  </si>
  <si>
    <t>SR2457122</t>
  </si>
  <si>
    <t>NC27</t>
  </si>
  <si>
    <t>FVE-110</t>
  </si>
  <si>
    <t>ND4</t>
  </si>
  <si>
    <t>PRI-58</t>
  </si>
  <si>
    <t>Inversiones Urbagro S.A.S</t>
  </si>
  <si>
    <t xml:space="preserve">No contesta mensaje ws </t>
  </si>
  <si>
    <t>NC9</t>
  </si>
  <si>
    <t>SR2457171</t>
  </si>
  <si>
    <t>FELC-805</t>
  </si>
  <si>
    <t>EJ*7 3062400*7</t>
  </si>
  <si>
    <t>FEMD-3579*7</t>
  </si>
  <si>
    <t>FE-84</t>
  </si>
  <si>
    <t>NC251</t>
  </si>
  <si>
    <t>FA-6013</t>
  </si>
  <si>
    <t>IVC103</t>
  </si>
  <si>
    <t>FEMD-3573*3</t>
  </si>
  <si>
    <t>PRI-59</t>
  </si>
  <si>
    <t>FE-212</t>
  </si>
  <si>
    <t xml:space="preserve">Se envia mensaje a Adriana Escudero </t>
  </si>
  <si>
    <t>FE-104</t>
  </si>
  <si>
    <t>FE-169</t>
  </si>
  <si>
    <t>FEDV221</t>
  </si>
  <si>
    <t>NC89</t>
  </si>
  <si>
    <t>FEDV222</t>
  </si>
  <si>
    <t>NC90</t>
  </si>
  <si>
    <t>FEVA-5152</t>
  </si>
  <si>
    <t>FEVA-5153</t>
  </si>
  <si>
    <t>GAN-60</t>
  </si>
  <si>
    <t>FE-85</t>
  </si>
  <si>
    <t>NC252</t>
  </si>
  <si>
    <t>FEJS26</t>
  </si>
  <si>
    <t>SR2457167</t>
  </si>
  <si>
    <t>Z-99</t>
  </si>
  <si>
    <t>NCR81</t>
  </si>
  <si>
    <t>Maria Victoria Martinez Jaramillo</t>
  </si>
  <si>
    <t>FE-21</t>
  </si>
  <si>
    <t>E-151</t>
  </si>
  <si>
    <t>FEDV224</t>
  </si>
  <si>
    <t>LLEGO POR CORREO</t>
  </si>
  <si>
    <t>NC92</t>
  </si>
  <si>
    <t>FEDV223</t>
  </si>
  <si>
    <t>NC91</t>
  </si>
  <si>
    <t>RFDS-128</t>
  </si>
  <si>
    <t>NDB3</t>
  </si>
  <si>
    <t>MT-1292</t>
  </si>
  <si>
    <t>EJ*3 1793900*3 TYC 4473000</t>
  </si>
  <si>
    <t>FEMD-3597*3</t>
  </si>
  <si>
    <t>ETE-2768</t>
  </si>
  <si>
    <t>FE-1604</t>
  </si>
  <si>
    <t>Juan Alberto Saldarriaga Marin</t>
  </si>
  <si>
    <t>FELC-814</t>
  </si>
  <si>
    <t>SR2457187</t>
  </si>
  <si>
    <t>RFDS-129</t>
  </si>
  <si>
    <t>FE-1605</t>
  </si>
  <si>
    <t>FEDV225</t>
  </si>
  <si>
    <t>NC93</t>
  </si>
  <si>
    <t>FEDV226</t>
  </si>
  <si>
    <t>NC94</t>
  </si>
  <si>
    <t>CD-105</t>
  </si>
  <si>
    <t>EJ*2 1771100*2</t>
  </si>
  <si>
    <t>FEMD-3603*4</t>
  </si>
  <si>
    <t>LP76</t>
  </si>
  <si>
    <t>SR2456688</t>
  </si>
  <si>
    <t>NC224</t>
  </si>
  <si>
    <t>GANA-156</t>
  </si>
  <si>
    <t>SR2456674</t>
  </si>
  <si>
    <t>NC000037</t>
  </si>
  <si>
    <t>International Systems And Designs S.A.S</t>
  </si>
  <si>
    <t>ISD-1118</t>
  </si>
  <si>
    <t xml:space="preserve">Nohora esta revisando </t>
  </si>
  <si>
    <t>C00327</t>
  </si>
  <si>
    <t>FE-15</t>
  </si>
  <si>
    <t>GANA-157</t>
  </si>
  <si>
    <t>FE-67</t>
  </si>
  <si>
    <t>FEC-582</t>
  </si>
  <si>
    <t>NC215</t>
  </si>
  <si>
    <t>FVE-2841</t>
  </si>
  <si>
    <t>FEDV227</t>
  </si>
  <si>
    <t>NC95</t>
  </si>
  <si>
    <t>FEDV228</t>
  </si>
  <si>
    <t>DM151</t>
  </si>
  <si>
    <t>SR2456683 -SR2465774</t>
  </si>
  <si>
    <t>LP-75</t>
  </si>
  <si>
    <t>FA-6016</t>
  </si>
  <si>
    <t>SR2465752</t>
  </si>
  <si>
    <t>FA-14</t>
  </si>
  <si>
    <t>IVC105</t>
  </si>
  <si>
    <t>FE-219</t>
  </si>
  <si>
    <t>Se solicita nuevamente por correo</t>
  </si>
  <si>
    <t>FE-170</t>
  </si>
  <si>
    <t xml:space="preserve">Q va a llamar a la contadora </t>
  </si>
  <si>
    <t>MVYG29</t>
  </si>
  <si>
    <t>FE-10</t>
  </si>
  <si>
    <t>ND2</t>
  </si>
  <si>
    <t>FEDV231</t>
  </si>
  <si>
    <t>NC96</t>
  </si>
  <si>
    <t>FEDV232</t>
  </si>
  <si>
    <t>SR2466948</t>
  </si>
  <si>
    <t>NC97</t>
  </si>
  <si>
    <t>FA-6025</t>
  </si>
  <si>
    <t>FA-15</t>
  </si>
  <si>
    <t>MUL-303</t>
  </si>
  <si>
    <t>Se envia nuevamente al correo de recepcion</t>
  </si>
  <si>
    <t>Agropecuaria 3H Blanco S.A.S</t>
  </si>
  <si>
    <t>A3H-30</t>
  </si>
  <si>
    <t>Se envia nuevamente al correo de recepcion_fe</t>
  </si>
  <si>
    <t>NC-21</t>
  </si>
  <si>
    <t>Se envio correo a FE</t>
  </si>
  <si>
    <t>SR2482293</t>
  </si>
  <si>
    <t>FEDV230</t>
  </si>
  <si>
    <t>FEMO-1010000585</t>
  </si>
  <si>
    <t>EJ*15 990000*11 1137000*3 1070000</t>
  </si>
  <si>
    <t>FEMD-3632*3 y FEMD-3634*3</t>
  </si>
  <si>
    <t>5113186444 y 5113188614</t>
  </si>
  <si>
    <t>FEMD-3633*3 y FEMD-3635*2</t>
  </si>
  <si>
    <t>5113186446 y 5113188616</t>
  </si>
  <si>
    <t>FEMD-3631*3 y FEMD-3636*1</t>
  </si>
  <si>
    <t>5113188612 y 5113188659</t>
  </si>
  <si>
    <t>MISI85</t>
  </si>
  <si>
    <t>MT-1299</t>
  </si>
  <si>
    <t>PI-136</t>
  </si>
  <si>
    <t>Juan Manuel Gomez Gomez</t>
  </si>
  <si>
    <t>FEVJ-20</t>
  </si>
  <si>
    <t>NC5</t>
  </si>
  <si>
    <t>DM152</t>
  </si>
  <si>
    <t>NC16</t>
  </si>
  <si>
    <t>Henry Alonso Pacheco Peñaranda</t>
  </si>
  <si>
    <t>1PAC11</t>
  </si>
  <si>
    <t>LA REGISTRAN esperar BL</t>
  </si>
  <si>
    <t>FEDV233</t>
  </si>
  <si>
    <t>NC98</t>
  </si>
  <si>
    <t>FEDV234</t>
  </si>
  <si>
    <t>NC99</t>
  </si>
  <si>
    <t>Z101</t>
  </si>
  <si>
    <t>SR2475627</t>
  </si>
  <si>
    <t>NCR82</t>
  </si>
  <si>
    <t>FEDV235</t>
  </si>
  <si>
    <t>NC104</t>
  </si>
  <si>
    <t>FEDV236</t>
  </si>
  <si>
    <t>NC101</t>
  </si>
  <si>
    <t>FELC-825</t>
  </si>
  <si>
    <t>EJ*5 3062400*5</t>
  </si>
  <si>
    <t xml:space="preserve"> FEMD-3639*5</t>
  </si>
  <si>
    <t>LP-77</t>
  </si>
  <si>
    <t>FEVA-5155</t>
  </si>
  <si>
    <t>FEVA-5156</t>
  </si>
  <si>
    <t>FEV63</t>
  </si>
  <si>
    <t>DM153</t>
  </si>
  <si>
    <t>NC17</t>
  </si>
  <si>
    <t>MCFE-19</t>
  </si>
  <si>
    <t>FEDV237</t>
  </si>
  <si>
    <t>NC102</t>
  </si>
  <si>
    <t>MT-1306</t>
  </si>
  <si>
    <t>IVC106</t>
  </si>
  <si>
    <t>FE-171</t>
  </si>
  <si>
    <t>FEDV238</t>
  </si>
  <si>
    <t>FEVJ-21</t>
  </si>
  <si>
    <t>LP78</t>
  </si>
  <si>
    <t xml:space="preserve">Se solicito por correo </t>
  </si>
  <si>
    <t>FE-1608</t>
  </si>
  <si>
    <t>FEDV239</t>
  </si>
  <si>
    <t>FEDV240</t>
  </si>
  <si>
    <t>NC105</t>
  </si>
  <si>
    <t>MT-1301</t>
  </si>
  <si>
    <t>EJ 1857700*3 TYC 4500000</t>
  </si>
  <si>
    <t xml:space="preserve">Se solicita por correo </t>
  </si>
  <si>
    <t>5573100 y 4500000</t>
  </si>
  <si>
    <t>ETE-2816</t>
  </si>
  <si>
    <t>FEMD-3657*3</t>
  </si>
  <si>
    <t>FE-1609</t>
  </si>
  <si>
    <t>GAN-61</t>
  </si>
  <si>
    <t>Botero S.A.S.</t>
  </si>
  <si>
    <t>P-159</t>
  </si>
  <si>
    <t>FEDV242</t>
  </si>
  <si>
    <t>NC107</t>
  </si>
  <si>
    <t>GANA-161</t>
  </si>
  <si>
    <t>Z102</t>
  </si>
  <si>
    <t>NCR83</t>
  </si>
  <si>
    <t>FEVA-5158</t>
  </si>
  <si>
    <t>Agropecuaria Lobo Berbesi S.A.S</t>
  </si>
  <si>
    <t>LB-97</t>
  </si>
  <si>
    <t xml:space="preserve">REGISTRA EN BOLSA </t>
  </si>
  <si>
    <t>LB-98</t>
  </si>
  <si>
    <t>FEDV243</t>
  </si>
  <si>
    <t>NC108</t>
  </si>
  <si>
    <t>FEDV244</t>
  </si>
  <si>
    <t>NC109</t>
  </si>
  <si>
    <t>FELC-830</t>
  </si>
  <si>
    <t>FEDV247</t>
  </si>
  <si>
    <t>FEDV251</t>
  </si>
  <si>
    <t xml:space="preserve">Le escribi a Duberney </t>
  </si>
  <si>
    <t>NC112</t>
  </si>
  <si>
    <t>FVE-111</t>
  </si>
  <si>
    <t>GANA-162</t>
  </si>
  <si>
    <t>SR2483192</t>
  </si>
  <si>
    <t>NC000038</t>
  </si>
  <si>
    <t>FEDV249</t>
  </si>
  <si>
    <t>NC111</t>
  </si>
  <si>
    <t>FEDV250</t>
  </si>
  <si>
    <t>FEDV246</t>
  </si>
  <si>
    <t>NC110</t>
  </si>
  <si>
    <t>NC1105</t>
  </si>
  <si>
    <t>LP79</t>
  </si>
  <si>
    <t>FE-68</t>
  </si>
  <si>
    <t>DF230</t>
  </si>
  <si>
    <t>FE1817</t>
  </si>
  <si>
    <t>Savanna &amp; Compañia S.A.S ZOMAC</t>
  </si>
  <si>
    <t>S-35</t>
  </si>
  <si>
    <t>SR2505585</t>
  </si>
  <si>
    <t>FELC-833</t>
  </si>
  <si>
    <t>FVE-112</t>
  </si>
  <si>
    <t>NC1106</t>
  </si>
  <si>
    <t>FACE-274</t>
  </si>
  <si>
    <t>Atria Ganaderia S.A.S.</t>
  </si>
  <si>
    <t>FE-24</t>
  </si>
  <si>
    <t>FE-25</t>
  </si>
  <si>
    <t>Juan Camilo q ya mismo llama a la secretaria  q cambio de software</t>
  </si>
  <si>
    <t>LP-80</t>
  </si>
  <si>
    <t>NC-62</t>
  </si>
  <si>
    <t>DM155</t>
  </si>
  <si>
    <t>Subasta Ganadera de Puerto Berrio</t>
  </si>
  <si>
    <t>FBC-13296</t>
  </si>
  <si>
    <t>EJ 948980</t>
  </si>
  <si>
    <t>FEMD-3679</t>
  </si>
  <si>
    <t>FEMD-3699*2</t>
  </si>
  <si>
    <t>FBC-13292</t>
  </si>
  <si>
    <t>Wilson Antonio Montes Lopez</t>
  </si>
  <si>
    <t>MAML-8</t>
  </si>
  <si>
    <t>No tiene internet no pudo hacer el BL</t>
  </si>
  <si>
    <t>NDEB2</t>
  </si>
  <si>
    <t>SR2505735 SR2525617</t>
  </si>
  <si>
    <t>FEDV248</t>
  </si>
  <si>
    <t>AP-64</t>
  </si>
  <si>
    <t>EJ*4 1771100*4</t>
  </si>
  <si>
    <t xml:space="preserve">Se envio correo nuevamente - llame a Carlos Duque </t>
  </si>
  <si>
    <t>FEMD-3692*2</t>
  </si>
  <si>
    <t>FEMD-3691*2</t>
  </si>
  <si>
    <t>DM156</t>
  </si>
  <si>
    <t>SR2507587</t>
  </si>
  <si>
    <t>DM158</t>
  </si>
  <si>
    <t>SR2523303</t>
  </si>
  <si>
    <t>GY-11</t>
  </si>
  <si>
    <t>MUL307</t>
  </si>
  <si>
    <t>ND6</t>
  </si>
  <si>
    <t>MUL308</t>
  </si>
  <si>
    <t>DM157</t>
  </si>
  <si>
    <t>FEDV252</t>
  </si>
  <si>
    <t>SR2507597 SR2513621</t>
  </si>
  <si>
    <t>ND16</t>
  </si>
  <si>
    <t>FE-1611</t>
  </si>
  <si>
    <t>SSR2513580 correo nuevamente a recepcion_fe</t>
  </si>
  <si>
    <t>FEJS-28</t>
  </si>
  <si>
    <t xml:space="preserve">Inconformidad -D Angela que habla con la secretaria </t>
  </si>
  <si>
    <t>FEDV254</t>
  </si>
  <si>
    <t>SR2513621</t>
  </si>
  <si>
    <t>NC113</t>
  </si>
  <si>
    <t>FEDV253</t>
  </si>
  <si>
    <t>ND17</t>
  </si>
  <si>
    <t xml:space="preserve">Se le solicito a Daniela </t>
  </si>
  <si>
    <t>FEHC275</t>
  </si>
  <si>
    <t>FVE-113</t>
  </si>
  <si>
    <t>NC22</t>
  </si>
  <si>
    <t>MCFE-20</t>
  </si>
  <si>
    <t xml:space="preserve">SR2513709 Q va a hablar con sigifredo </t>
  </si>
  <si>
    <t>NCR38</t>
  </si>
  <si>
    <t>FEMO-1010000603</t>
  </si>
  <si>
    <t>EJ*10 1070000*1 990000*9</t>
  </si>
  <si>
    <t>FEMD-3734*7</t>
  </si>
  <si>
    <t>FEMD-3735*2</t>
  </si>
  <si>
    <t>FEMD-3736*1</t>
  </si>
  <si>
    <t>FEDV255</t>
  </si>
  <si>
    <t>JPS-1051</t>
  </si>
  <si>
    <t>FEDV256</t>
  </si>
  <si>
    <t>ND18</t>
  </si>
  <si>
    <t>FEDV257</t>
  </si>
  <si>
    <t>FE-173</t>
  </si>
  <si>
    <t>EJ*2 1623900*2</t>
  </si>
  <si>
    <t>SR2507714</t>
  </si>
  <si>
    <t>FEMD-3739*2</t>
  </si>
  <si>
    <t>AP-67</t>
  </si>
  <si>
    <t>EJ*2 1638223*2</t>
  </si>
  <si>
    <t>FEMD-3747*2</t>
  </si>
  <si>
    <t>Z103</t>
  </si>
  <si>
    <t xml:space="preserve">D Alejandro llamada - correo </t>
  </si>
  <si>
    <t>NCR84</t>
  </si>
  <si>
    <t>DM159</t>
  </si>
  <si>
    <t>MT-1318</t>
  </si>
  <si>
    <t>TYC 4792500</t>
  </si>
  <si>
    <t>ETE-2861</t>
  </si>
  <si>
    <t>FELC-840</t>
  </si>
  <si>
    <t>EJ*6 3062400*6</t>
  </si>
  <si>
    <t>SR2513638</t>
  </si>
  <si>
    <t>FEMD-3746*6</t>
  </si>
  <si>
    <t>FE-43</t>
  </si>
  <si>
    <t>D00215</t>
  </si>
  <si>
    <t>AP-68</t>
  </si>
  <si>
    <t>EJ*2 1638226*2</t>
  </si>
  <si>
    <t>FEMD-3738*2</t>
  </si>
  <si>
    <t>DM-160</t>
  </si>
  <si>
    <t>MT-1319</t>
  </si>
  <si>
    <t>SR2513583</t>
  </si>
  <si>
    <t>4902242381 y 4902244515</t>
  </si>
  <si>
    <t>FEMD-3749*1</t>
  </si>
  <si>
    <t>FEMD-3748*2</t>
  </si>
  <si>
    <t>FEDV262</t>
  </si>
  <si>
    <t>SR2524450</t>
  </si>
  <si>
    <t>ND19</t>
  </si>
  <si>
    <t>Caso IN22889</t>
  </si>
  <si>
    <t xml:space="preserve">SR2516846 Esta pendiente validar precio </t>
  </si>
  <si>
    <t>LP81</t>
  </si>
  <si>
    <t>JFEV-51</t>
  </si>
  <si>
    <t xml:space="preserve">No contesta se dejo mensaje de vos - correo </t>
  </si>
  <si>
    <t>FEMD-3753*4</t>
  </si>
  <si>
    <t>Gloria Helena Gutierrez Gomez</t>
  </si>
  <si>
    <t>EJ*2 1793900*2</t>
  </si>
  <si>
    <t>FEMD-3756*2</t>
  </si>
  <si>
    <t>FELE-56</t>
  </si>
  <si>
    <t>SR2512963 Miguel Va a validar con la conta</t>
  </si>
  <si>
    <t>IVC107</t>
  </si>
  <si>
    <t>FEMD-3754*3</t>
  </si>
  <si>
    <t>FEVM-416</t>
  </si>
  <si>
    <t xml:space="preserve">Ramon no contesta le deje mensaje ws </t>
  </si>
  <si>
    <t>GANA-176</t>
  </si>
  <si>
    <t>ND 000013</t>
  </si>
  <si>
    <t xml:space="preserve">SR2530150 Se solicito por correo </t>
  </si>
  <si>
    <t>DM163</t>
  </si>
  <si>
    <t>FEDV263</t>
  </si>
  <si>
    <t>SR2524454</t>
  </si>
  <si>
    <t>NC116</t>
  </si>
  <si>
    <t>FEDV264</t>
  </si>
  <si>
    <t>SR2524457</t>
  </si>
  <si>
    <t>NC117</t>
  </si>
  <si>
    <t>Adrian Alberto Alvarez Henao</t>
  </si>
  <si>
    <t>AAAH-29</t>
  </si>
  <si>
    <t xml:space="preserve">Se solicita por correo no contestan el celular </t>
  </si>
  <si>
    <t>AD5</t>
  </si>
  <si>
    <t>SR2530918</t>
  </si>
  <si>
    <t>FEDV265</t>
  </si>
  <si>
    <t>SR2524459</t>
  </si>
  <si>
    <t>NC118</t>
  </si>
  <si>
    <t>FE-1624</t>
  </si>
  <si>
    <t>SR2513580</t>
  </si>
  <si>
    <t>Luis Felipe Acevedo</t>
  </si>
  <si>
    <t>FE-162</t>
  </si>
  <si>
    <t>EJ 1245600</t>
  </si>
  <si>
    <t>SR2530164 CON RETE</t>
  </si>
  <si>
    <t>FEMD-3800</t>
  </si>
  <si>
    <t>GANA-178</t>
  </si>
  <si>
    <t>NC000042</t>
  </si>
  <si>
    <t>MT-1327</t>
  </si>
  <si>
    <t>Agropecuaria Bajogrande S.A.</t>
  </si>
  <si>
    <t>AB571</t>
  </si>
  <si>
    <t>FE174</t>
  </si>
  <si>
    <t>FELS312</t>
  </si>
  <si>
    <t>FEMD-3801*4</t>
  </si>
  <si>
    <t>FELS311</t>
  </si>
  <si>
    <t>FE-106</t>
  </si>
  <si>
    <t>EJ*2 624200*2</t>
  </si>
  <si>
    <t>SR2516754 CON RETEN</t>
  </si>
  <si>
    <t>FEMD-3805*2</t>
  </si>
  <si>
    <t>PI 138</t>
  </si>
  <si>
    <t>IVC108</t>
  </si>
  <si>
    <t>FEDV266</t>
  </si>
  <si>
    <t>SR2532712</t>
  </si>
  <si>
    <t>NC119</t>
  </si>
  <si>
    <t>FEDV267</t>
  </si>
  <si>
    <t>NC120</t>
  </si>
  <si>
    <t>FE-26</t>
  </si>
  <si>
    <t>FE-27</t>
  </si>
  <si>
    <t>FE-45</t>
  </si>
  <si>
    <t>D00216</t>
  </si>
  <si>
    <t>Yoan Andres Carrascal Sanchez</t>
  </si>
  <si>
    <t>FEYC-3</t>
  </si>
  <si>
    <t>REGISTRA</t>
  </si>
  <si>
    <t>SR2536398</t>
  </si>
  <si>
    <t>FELC-850</t>
  </si>
  <si>
    <t>EJ*3 2979200*3</t>
  </si>
  <si>
    <t>FEMD-3844*3</t>
  </si>
  <si>
    <t>EJ*3 3062400*3</t>
  </si>
  <si>
    <t>FEMD-3820*3</t>
  </si>
  <si>
    <t>LP83</t>
  </si>
  <si>
    <t>SR2530194</t>
  </si>
  <si>
    <t>NC1108</t>
  </si>
  <si>
    <t>LP82</t>
  </si>
  <si>
    <t>SR2530184</t>
  </si>
  <si>
    <t>FEDV268</t>
  </si>
  <si>
    <t>NC121</t>
  </si>
  <si>
    <t>JPS-1069</t>
  </si>
  <si>
    <t>FEDV269</t>
  </si>
  <si>
    <t>FEDV272</t>
  </si>
  <si>
    <t>NC122</t>
  </si>
  <si>
    <t>DM164</t>
  </si>
  <si>
    <t>SR2523315</t>
  </si>
  <si>
    <t>FEDV273</t>
  </si>
  <si>
    <t>NC123</t>
  </si>
  <si>
    <t>MT-1341</t>
  </si>
  <si>
    <t>FE-176</t>
  </si>
  <si>
    <t>AP-69</t>
  </si>
  <si>
    <t>FEDV274</t>
  </si>
  <si>
    <t>NC124</t>
  </si>
  <si>
    <t>RFDS-136</t>
  </si>
  <si>
    <t>FE-17</t>
  </si>
  <si>
    <t>AAAH-30</t>
  </si>
  <si>
    <t>AD6</t>
  </si>
  <si>
    <t>DM167</t>
  </si>
  <si>
    <t>FELC-856</t>
  </si>
  <si>
    <t>EJ*4 2982600*4</t>
  </si>
  <si>
    <t>FEMD-3841*4</t>
  </si>
  <si>
    <t>FEJI-2</t>
  </si>
  <si>
    <t>ND-2</t>
  </si>
  <si>
    <t>FVEC-11</t>
  </si>
  <si>
    <t>NCEE7</t>
  </si>
  <si>
    <t>E-159</t>
  </si>
  <si>
    <t>Comercializadora Delirio S.A.S</t>
  </si>
  <si>
    <t>FE-191</t>
  </si>
  <si>
    <t>NC219</t>
  </si>
  <si>
    <t>DM168</t>
  </si>
  <si>
    <t>DM169</t>
  </si>
  <si>
    <t>DM170</t>
  </si>
  <si>
    <t>NC23</t>
  </si>
  <si>
    <t>FEDV278</t>
  </si>
  <si>
    <t xml:space="preserve">Le escribi por WA </t>
  </si>
  <si>
    <t>NC125</t>
  </si>
  <si>
    <t>AAAH-31</t>
  </si>
  <si>
    <t>AD7</t>
  </si>
  <si>
    <t>LP84</t>
  </si>
  <si>
    <t>FELC-861</t>
  </si>
  <si>
    <t>S-37</t>
  </si>
  <si>
    <t xml:space="preserve">ESPERAR BL </t>
  </si>
  <si>
    <t>FESA-33</t>
  </si>
  <si>
    <t>EJ*2 744800*1 789800*1</t>
  </si>
  <si>
    <t>FEMD-3848*2</t>
  </si>
  <si>
    <t>FEDV279</t>
  </si>
  <si>
    <t>FAMC1</t>
  </si>
  <si>
    <t>Le escribi por WA  a wilfredo</t>
  </si>
  <si>
    <t>NDE8</t>
  </si>
  <si>
    <t>DM-171</t>
  </si>
  <si>
    <t>NC24</t>
  </si>
  <si>
    <t>NUMA 1152250*3</t>
  </si>
  <si>
    <t>MOVI-1380*3</t>
  </si>
  <si>
    <t>FEDV280</t>
  </si>
  <si>
    <t>NC126</t>
  </si>
  <si>
    <t>Rafael Prieto Ortiz</t>
  </si>
  <si>
    <t>FER-4</t>
  </si>
  <si>
    <t>FER5</t>
  </si>
  <si>
    <t xml:space="preserve">No contesta le envie correo </t>
  </si>
  <si>
    <t>FE-530</t>
  </si>
  <si>
    <t>EJ*2 2982600*2</t>
  </si>
  <si>
    <t xml:space="preserve">Roberto que va a revisar el correo </t>
  </si>
  <si>
    <t>FEMD-3857*2</t>
  </si>
  <si>
    <t>FELC-868</t>
  </si>
  <si>
    <t>EJ*7 3132800*2 2979200*2 3132800*3</t>
  </si>
  <si>
    <t>FEMD-3889*4</t>
  </si>
  <si>
    <t>FEMD-3887*2</t>
  </si>
  <si>
    <t>FEMD-3888*1</t>
  </si>
  <si>
    <t>FVE-114</t>
  </si>
  <si>
    <t>FE-1628</t>
  </si>
  <si>
    <t>FEDV283</t>
  </si>
  <si>
    <t>ND21</t>
  </si>
  <si>
    <t>DM172</t>
  </si>
  <si>
    <t>FEDV281</t>
  </si>
  <si>
    <t>NC127</t>
  </si>
  <si>
    <t>FEDV282</t>
  </si>
  <si>
    <t>NC128</t>
  </si>
  <si>
    <t>FEDV284</t>
  </si>
  <si>
    <t>FEDV285</t>
  </si>
  <si>
    <t>NC129</t>
  </si>
  <si>
    <t>FEDV286</t>
  </si>
  <si>
    <t>NC130</t>
  </si>
  <si>
    <t>A3H-34</t>
  </si>
  <si>
    <t>A3H-40</t>
  </si>
  <si>
    <t>FE-70</t>
  </si>
  <si>
    <t>NUMA*2 509600*2</t>
  </si>
  <si>
    <t>MOVI-1396*2</t>
  </si>
  <si>
    <t>Agropecuaria El Barzal S.A.S</t>
  </si>
  <si>
    <t>NUMA*3 510000*3</t>
  </si>
  <si>
    <t>MOVI-1401*4</t>
  </si>
  <si>
    <t>NUMA*1 510000</t>
  </si>
  <si>
    <t>Leonardo Pitta Peñaranda</t>
  </si>
  <si>
    <t>ARF-156</t>
  </si>
  <si>
    <t xml:space="preserve">Va a validar con la oficina </t>
  </si>
  <si>
    <t>CRARF-5</t>
  </si>
  <si>
    <t>MT-1355</t>
  </si>
  <si>
    <t>COROZAL</t>
  </si>
  <si>
    <t>MISI99</t>
  </si>
  <si>
    <t>EJ*3 890800*3</t>
  </si>
  <si>
    <t>FEMD-3897*3</t>
  </si>
  <si>
    <t>FESA-34</t>
  </si>
  <si>
    <t>EJ*2 730600*1 900600*1</t>
  </si>
  <si>
    <t xml:space="preserve">Se envio por correo </t>
  </si>
  <si>
    <t>FEMD-3864*1</t>
  </si>
  <si>
    <t>FEMD-3904*1</t>
  </si>
  <si>
    <t>FBC-13668</t>
  </si>
  <si>
    <t>NUMA*1 931500</t>
  </si>
  <si>
    <t>MOVI-1394*4</t>
  </si>
  <si>
    <t>FBC-13670</t>
  </si>
  <si>
    <t>FBC-13669</t>
  </si>
  <si>
    <t>FBC-13671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</si>
  <si>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</si>
  <si>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PRI-65</t>
  </si>
  <si>
    <t>Luis Manuel Urrego Ortiz</t>
  </si>
  <si>
    <t>FE-74</t>
  </si>
  <si>
    <t>NUMA*4 376800*4</t>
  </si>
  <si>
    <t>MOVI-1399*4</t>
  </si>
  <si>
    <t>AAAH-32</t>
  </si>
  <si>
    <t xml:space="preserve">Esta pendiente que el contador facture </t>
  </si>
  <si>
    <t>AD8</t>
  </si>
  <si>
    <t>FEP-72</t>
  </si>
  <si>
    <t>FEP-73</t>
  </si>
  <si>
    <t>AR80</t>
  </si>
  <si>
    <t>NUMA*3 920000*3</t>
  </si>
  <si>
    <t>MOVI-1398*3</t>
  </si>
  <si>
    <t>LP85</t>
  </si>
  <si>
    <t>FEC-728</t>
  </si>
  <si>
    <t>LP86</t>
  </si>
  <si>
    <t>AAAH-34</t>
  </si>
  <si>
    <t>PER2</t>
  </si>
  <si>
    <t>AAAH-33</t>
  </si>
  <si>
    <t>AD9</t>
  </si>
  <si>
    <t>Ayura S.A.S</t>
  </si>
  <si>
    <t>GTE2416</t>
  </si>
  <si>
    <t>FEMD-3906*4</t>
  </si>
  <si>
    <t>MVYG30</t>
  </si>
  <si>
    <t>FEFE13</t>
  </si>
  <si>
    <t>SR2569560</t>
  </si>
  <si>
    <t>DM176</t>
  </si>
  <si>
    <t>SR2560577</t>
  </si>
  <si>
    <t>FEVA-5168</t>
  </si>
  <si>
    <t>FEOK-61</t>
  </si>
  <si>
    <t xml:space="preserve">Se envio correo nuevamente a recepcion </t>
  </si>
  <si>
    <t>FEDV288</t>
  </si>
  <si>
    <t>SR2564699</t>
  </si>
  <si>
    <t>NC131</t>
  </si>
  <si>
    <t>FEDV290</t>
  </si>
  <si>
    <t>NC133</t>
  </si>
  <si>
    <t xml:space="preserve">Ya la van a enviar </t>
  </si>
  <si>
    <t>FEDV289</t>
  </si>
  <si>
    <t>NC132</t>
  </si>
  <si>
    <t>FACE-317</t>
  </si>
  <si>
    <t>MT-1364</t>
  </si>
  <si>
    <t>EJ*3 1262300*3 TYC 3600000</t>
  </si>
  <si>
    <t>FEMD-3956*3</t>
  </si>
  <si>
    <t>ETE-2981</t>
  </si>
  <si>
    <t>FESA-35</t>
  </si>
  <si>
    <t>EJ*2 1162700*2</t>
  </si>
  <si>
    <t>FEMD-3957*2</t>
  </si>
  <si>
    <t>IVC110</t>
  </si>
  <si>
    <t>FEMD-3958*3</t>
  </si>
  <si>
    <t>AP-71</t>
  </si>
  <si>
    <t>EJ*4 1348980*4</t>
  </si>
  <si>
    <t>FEMD-3959*4</t>
  </si>
  <si>
    <t>FE-178</t>
  </si>
  <si>
    <t>EJ*2 1262800*2</t>
  </si>
  <si>
    <t xml:space="preserve">No contesta se solicita por correo que va a hablar con la contadora </t>
  </si>
  <si>
    <t>FEMD-3960*2</t>
  </si>
  <si>
    <t>DM179</t>
  </si>
  <si>
    <t>FEDV291</t>
  </si>
  <si>
    <t>NC134</t>
  </si>
  <si>
    <t>FEDV292</t>
  </si>
  <si>
    <t>NC135</t>
  </si>
  <si>
    <t>Neftali Gutierrez Jerez</t>
  </si>
  <si>
    <t>NGJ-22</t>
  </si>
  <si>
    <t>NGJ-23</t>
  </si>
  <si>
    <t>FEDV294</t>
  </si>
  <si>
    <t>Se pidio el BL por correo y por WA</t>
  </si>
  <si>
    <t>NC136</t>
  </si>
  <si>
    <t>FACE-318</t>
  </si>
  <si>
    <t>NC226</t>
  </si>
  <si>
    <t>OR-165</t>
  </si>
  <si>
    <t>FEMD-3970</t>
  </si>
  <si>
    <t>FE-1631</t>
  </si>
  <si>
    <t>GAN-63</t>
  </si>
  <si>
    <t>NC228</t>
  </si>
  <si>
    <t>NC253</t>
  </si>
  <si>
    <t>IN226718</t>
  </si>
  <si>
    <t>FELC-881</t>
  </si>
  <si>
    <t>EJ*6 2720980*4 3042980*1 2979200*1</t>
  </si>
  <si>
    <t>4902258587 4902261101</t>
  </si>
  <si>
    <t>FEMD-3946*4</t>
  </si>
  <si>
    <t>FEMD-3947*1</t>
  </si>
  <si>
    <t>FEMD-3948*1</t>
  </si>
  <si>
    <t>DM181</t>
  </si>
  <si>
    <t>RZO21</t>
  </si>
  <si>
    <t>NUMA*2 920000*2</t>
  </si>
  <si>
    <t>MOVI-1419*2</t>
  </si>
  <si>
    <t>FEJS-29</t>
  </si>
  <si>
    <t>NC12</t>
  </si>
  <si>
    <t>LP87</t>
  </si>
  <si>
    <t>INV-61</t>
  </si>
  <si>
    <t>JFEV-55</t>
  </si>
  <si>
    <t>FEMD-3974*2</t>
  </si>
  <si>
    <t>PRI-66</t>
  </si>
  <si>
    <t>D0028</t>
  </si>
  <si>
    <t>GANA-13</t>
  </si>
  <si>
    <t>DF28</t>
  </si>
  <si>
    <t xml:space="preserve">IN226704 Se envia nuevamente a recepcion fe </t>
  </si>
  <si>
    <t>S-38</t>
  </si>
  <si>
    <t>EJ*2 3562300*2</t>
  </si>
  <si>
    <t>SR2564779</t>
  </si>
  <si>
    <t>FEMD-3987*2</t>
  </si>
  <si>
    <t>MAML-11</t>
  </si>
  <si>
    <t>FEDV295</t>
  </si>
  <si>
    <t>AAAH-35</t>
  </si>
  <si>
    <t xml:space="preserve">SR2578370 Le escribi a doña Fernanda </t>
  </si>
  <si>
    <t>AD12</t>
  </si>
  <si>
    <t xml:space="preserve">que hoy las envian </t>
  </si>
  <si>
    <t>GANA-194</t>
  </si>
  <si>
    <t xml:space="preserve">SR2569560 Se solicito por correo  - 13/05 va a llamar a la contadora </t>
  </si>
  <si>
    <t>ND000014</t>
  </si>
  <si>
    <t>LB-101</t>
  </si>
  <si>
    <t xml:space="preserve">Yemsin lobo q mañana 11 envia el registro </t>
  </si>
  <si>
    <t>NCR1</t>
  </si>
  <si>
    <t>FEVA-5170</t>
  </si>
  <si>
    <t xml:space="preserve">Q va a hablar con Clemencia </t>
  </si>
  <si>
    <t>DM184</t>
  </si>
  <si>
    <t>FVE3217</t>
  </si>
  <si>
    <t>Don Luis q la envia mañana 11</t>
  </si>
  <si>
    <t>AAAH-36</t>
  </si>
  <si>
    <t>SR2578370</t>
  </si>
  <si>
    <t>AD11</t>
  </si>
  <si>
    <t>FE-1646</t>
  </si>
  <si>
    <t>E-164</t>
  </si>
  <si>
    <t xml:space="preserve">D JOrge va a validar con la oficina </t>
  </si>
  <si>
    <t>FEDV296</t>
  </si>
  <si>
    <t>SR2582071</t>
  </si>
  <si>
    <t>NC137</t>
  </si>
  <si>
    <t>FEV 73</t>
  </si>
  <si>
    <t>NDENDE2</t>
  </si>
  <si>
    <t>DM185</t>
  </si>
  <si>
    <t>NC30</t>
  </si>
  <si>
    <t>DM186</t>
  </si>
  <si>
    <t>NC31</t>
  </si>
  <si>
    <t>FEDV297</t>
  </si>
  <si>
    <t>NC138</t>
  </si>
  <si>
    <t>FEDV298</t>
  </si>
  <si>
    <t>NC139</t>
  </si>
  <si>
    <t>FELC-886</t>
  </si>
  <si>
    <t>EJ*12 2792400*10 2870900*2</t>
  </si>
  <si>
    <t>COLBEEF</t>
  </si>
  <si>
    <t>FEMD-4048*10</t>
  </si>
  <si>
    <t>FEMD-4049*2</t>
  </si>
  <si>
    <t>LP88</t>
  </si>
  <si>
    <t>Inversiones Tres P &amp; CIA S. En C</t>
  </si>
  <si>
    <t>FEDV300</t>
  </si>
  <si>
    <t>NC140</t>
  </si>
  <si>
    <t>FEDV301</t>
  </si>
  <si>
    <t>NC141</t>
  </si>
  <si>
    <t>FVE-115</t>
  </si>
  <si>
    <t xml:space="preserve">Se reenvio al correo de recepcion </t>
  </si>
  <si>
    <t>Subasta Ganadera Casanare S.A</t>
  </si>
  <si>
    <t>FEC23384</t>
  </si>
  <si>
    <t>EJ*3 3350800*3</t>
  </si>
  <si>
    <t>FEMD-4051*3</t>
  </si>
  <si>
    <t>FEC23383</t>
  </si>
  <si>
    <t>FEC23385</t>
  </si>
  <si>
    <t>JFEV-56</t>
  </si>
  <si>
    <t>EJ*2 2979200*1 3252980*1</t>
  </si>
  <si>
    <t xml:space="preserve">  FEMD-4052</t>
  </si>
  <si>
    <t>FEMD-4053</t>
  </si>
  <si>
    <t>Henry Humberto Cano Avila</t>
  </si>
  <si>
    <t>FEHC-505</t>
  </si>
  <si>
    <t>EJ 2580400</t>
  </si>
  <si>
    <t>FEMD-4054</t>
  </si>
  <si>
    <t>FEDV304</t>
  </si>
  <si>
    <t>AAAH-39</t>
  </si>
  <si>
    <t xml:space="preserve">SR2593126 Le escribi a Adrian y a Fernanda </t>
  </si>
  <si>
    <t>AD15</t>
  </si>
  <si>
    <t>OR171</t>
  </si>
  <si>
    <t>NDE3</t>
  </si>
  <si>
    <t>NC67</t>
  </si>
  <si>
    <t>LP89</t>
  </si>
  <si>
    <t>PRI67</t>
  </si>
  <si>
    <t>D0029</t>
  </si>
  <si>
    <t>Mario Balmiro Pacheco Claro</t>
  </si>
  <si>
    <t>FE-33</t>
  </si>
  <si>
    <t xml:space="preserve">Esta pendiente q le envie el registro de bolsa para enviar todo junto </t>
  </si>
  <si>
    <t xml:space="preserve">NO ha enviado el xml esta hablando con la contadora </t>
  </si>
  <si>
    <t>FE-155</t>
  </si>
  <si>
    <t>FE-154</t>
  </si>
  <si>
    <t>FESG-76</t>
  </si>
  <si>
    <t xml:space="preserve">Le escribi a jorge armando </t>
  </si>
  <si>
    <t xml:space="preserve">tiene rollo con la cta - NO contesta </t>
  </si>
  <si>
    <t>FEDV305</t>
  </si>
  <si>
    <t>FEDV307</t>
  </si>
  <si>
    <t>NC143</t>
  </si>
  <si>
    <t>FEVA-5173</t>
  </si>
  <si>
    <t>Lo pedi por WA</t>
  </si>
  <si>
    <t>FE-46</t>
  </si>
  <si>
    <t>D00217</t>
  </si>
  <si>
    <t>DM187</t>
  </si>
  <si>
    <t>NC32</t>
  </si>
  <si>
    <t>FACE-336</t>
  </si>
  <si>
    <t>SR2598385</t>
  </si>
  <si>
    <t>FE-551</t>
  </si>
  <si>
    <t xml:space="preserve">SR2593126 se envia al correo de recepcion </t>
  </si>
  <si>
    <t>S-39</t>
  </si>
  <si>
    <t>FELC-891</t>
  </si>
  <si>
    <t>FACE-337</t>
  </si>
  <si>
    <t>AAAH-40</t>
  </si>
  <si>
    <t>SR2593126</t>
  </si>
  <si>
    <t>AD16</t>
  </si>
  <si>
    <t>FEDV309</t>
  </si>
  <si>
    <t>Duberney WA</t>
  </si>
  <si>
    <t>NC144</t>
  </si>
  <si>
    <t>FEDV310</t>
  </si>
  <si>
    <t xml:space="preserve">Duberney </t>
  </si>
  <si>
    <t>NC145</t>
  </si>
  <si>
    <t>MT-1384</t>
  </si>
  <si>
    <t xml:space="preserve">EJ*3 1274600*3 TYC </t>
  </si>
  <si>
    <t>3823800 y 3690000</t>
  </si>
  <si>
    <t>FEMD-4115*3</t>
  </si>
  <si>
    <t>ETE-3031</t>
  </si>
  <si>
    <t>IVC111</t>
  </si>
  <si>
    <t>EJ* 1371100*3</t>
  </si>
  <si>
    <t xml:space="preserve">Carlos la va a enviar </t>
  </si>
  <si>
    <t>FEMD-4116*3</t>
  </si>
  <si>
    <t>AP-73</t>
  </si>
  <si>
    <t>EJ*3 1266900*3</t>
  </si>
  <si>
    <t>FEMD-4117*3</t>
  </si>
  <si>
    <t>FE-181</t>
  </si>
  <si>
    <t>EJ 1262800</t>
  </si>
  <si>
    <t>FEMD-4118</t>
  </si>
  <si>
    <t>FEDV308</t>
  </si>
  <si>
    <t>ND22</t>
  </si>
  <si>
    <t>FVEC12</t>
  </si>
  <si>
    <t>DM189</t>
  </si>
  <si>
    <t>SR2598155</t>
  </si>
  <si>
    <t>NC34</t>
  </si>
  <si>
    <t>FACE-339</t>
  </si>
  <si>
    <t>NC235</t>
  </si>
  <si>
    <t>DF29</t>
  </si>
  <si>
    <t>FEDV312</t>
  </si>
  <si>
    <t>NC147</t>
  </si>
  <si>
    <t>FEDV311</t>
  </si>
  <si>
    <t>NC146</t>
  </si>
  <si>
    <t>Z104</t>
  </si>
  <si>
    <t>FE-1647</t>
  </si>
  <si>
    <t xml:space="preserve">Se envia al correo de recepcion </t>
  </si>
  <si>
    <t>FE-94</t>
  </si>
  <si>
    <t>DM188</t>
  </si>
  <si>
    <t>NC33</t>
  </si>
  <si>
    <t>FAMC-2</t>
  </si>
  <si>
    <t>FELC-892</t>
  </si>
  <si>
    <t>EJ*12 2878500*8 2988600*2 2878500*2</t>
  </si>
  <si>
    <t>FEMD-4126*2</t>
  </si>
  <si>
    <t>FEMD-4125*2</t>
  </si>
  <si>
    <t xml:space="preserve"> FEMD-4124*8</t>
  </si>
  <si>
    <t>JFEV-57</t>
  </si>
  <si>
    <t>EJ*4 3252980*4</t>
  </si>
  <si>
    <t>FEMD-4127*4</t>
  </si>
  <si>
    <t>LP90</t>
  </si>
  <si>
    <t>Soc.Ganadera Suprema De Oriente S.A.S</t>
  </si>
  <si>
    <t>FVE507</t>
  </si>
  <si>
    <t>EJ*3 2792400*3</t>
  </si>
  <si>
    <t>FEMD-4131*3</t>
  </si>
  <si>
    <t>FACE-340</t>
  </si>
  <si>
    <t>FEDV313</t>
  </si>
  <si>
    <t>ICL Rio Grande S.A.S</t>
  </si>
  <si>
    <t>ICL-54</t>
  </si>
  <si>
    <t>NUMA*10 787200*10</t>
  </si>
  <si>
    <t>MOVI-1464*10</t>
  </si>
  <si>
    <t>LP91</t>
  </si>
  <si>
    <t>DM192</t>
  </si>
  <si>
    <t>NC36</t>
  </si>
  <si>
    <t>FE-1823</t>
  </si>
  <si>
    <t>NC10030</t>
  </si>
  <si>
    <t>MT-1393</t>
  </si>
  <si>
    <t>FESA-37</t>
  </si>
  <si>
    <t>EJ*4 744800*1 624200*2 789800*1</t>
  </si>
  <si>
    <t>FEMD-4138*1 y FEMD-4139*1</t>
  </si>
  <si>
    <t>5113313749 y 5113313751</t>
  </si>
  <si>
    <t>FEMD-4136*1</t>
  </si>
  <si>
    <t>FEMD-4137*1</t>
  </si>
  <si>
    <t>IVC112</t>
  </si>
  <si>
    <t>AP-75</t>
  </si>
  <si>
    <t>PI-152</t>
  </si>
  <si>
    <t>MAFE-36</t>
  </si>
  <si>
    <t>FE-182</t>
  </si>
  <si>
    <t>SR2617009</t>
  </si>
  <si>
    <t>DM193</t>
  </si>
  <si>
    <t>David WA</t>
  </si>
  <si>
    <t>NC37</t>
  </si>
  <si>
    <t>GANA-198</t>
  </si>
  <si>
    <t>FEDV314</t>
  </si>
  <si>
    <t>FEDV328</t>
  </si>
  <si>
    <t>se anula la 315</t>
  </si>
  <si>
    <t>NC154</t>
  </si>
  <si>
    <t>FVE-3324</t>
  </si>
  <si>
    <t>ND51</t>
  </si>
  <si>
    <t>FELE-58</t>
  </si>
  <si>
    <t>AAAH-41</t>
  </si>
  <si>
    <t>AD17</t>
  </si>
  <si>
    <t>PRI-68</t>
  </si>
  <si>
    <t>DM194</t>
  </si>
  <si>
    <t>AAAH-42</t>
  </si>
  <si>
    <t>AD18</t>
  </si>
  <si>
    <t>FEJS-31</t>
  </si>
  <si>
    <t>FEHC297</t>
  </si>
  <si>
    <t>FEDV316</t>
  </si>
  <si>
    <t>NC149</t>
  </si>
  <si>
    <t>FEDV317</t>
  </si>
  <si>
    <t>NC150</t>
  </si>
  <si>
    <t>FVE-150</t>
  </si>
  <si>
    <t>MT-1396</t>
  </si>
  <si>
    <t>FESA-38</t>
  </si>
  <si>
    <t>EJ*4 624200*3 390800*1</t>
  </si>
  <si>
    <t>FEMD-4235</t>
  </si>
  <si>
    <t>FEMD-4234</t>
  </si>
  <si>
    <t>FEMD-4233*2</t>
  </si>
  <si>
    <t>CD-109</t>
  </si>
  <si>
    <t>IVC113</t>
  </si>
  <si>
    <t>Plenty Investment S.A.S</t>
  </si>
  <si>
    <t>FEDV319</t>
  </si>
  <si>
    <t>NC151</t>
  </si>
  <si>
    <t>Z105</t>
  </si>
  <si>
    <t>NCR85</t>
  </si>
  <si>
    <t>JAB-24</t>
  </si>
  <si>
    <t>FACE-344</t>
  </si>
  <si>
    <t>FE-198</t>
  </si>
  <si>
    <t>NC220</t>
  </si>
  <si>
    <t>MISI-106</t>
  </si>
  <si>
    <t>EJ*3 1792800*3</t>
  </si>
  <si>
    <t>FEMD-4275*3</t>
  </si>
  <si>
    <t>GAN-64</t>
  </si>
  <si>
    <t>NO contesta le hable por WA</t>
  </si>
  <si>
    <t>NC229</t>
  </si>
  <si>
    <t>FACE-345</t>
  </si>
  <si>
    <t>FELC-906</t>
  </si>
  <si>
    <t>EJ *12 2878500*12</t>
  </si>
  <si>
    <t xml:space="preserve">NO CONTESTA </t>
  </si>
  <si>
    <t>FEMD-4251*4</t>
  </si>
  <si>
    <t>FEMD-4250*8</t>
  </si>
  <si>
    <t>S-40</t>
  </si>
  <si>
    <t>EJ 3597980</t>
  </si>
  <si>
    <t>FEMD-4248</t>
  </si>
  <si>
    <t>DORADA</t>
  </si>
  <si>
    <t>Nestor De Jesus Buitrago Trujillo</t>
  </si>
  <si>
    <t>NGAE 25</t>
  </si>
  <si>
    <t xml:space="preserve">Fernando Sierra Lopez </t>
  </si>
  <si>
    <t>A-442</t>
  </si>
  <si>
    <t>FEDV320</t>
  </si>
  <si>
    <t>SR2621052</t>
  </si>
  <si>
    <t>LP92</t>
  </si>
  <si>
    <t>Hacienda El Retaque y CIA. LTDA</t>
  </si>
  <si>
    <t>HRT13</t>
  </si>
  <si>
    <t>NUMA*4 920000*4</t>
  </si>
  <si>
    <t>MOVI-1480*4</t>
  </si>
  <si>
    <t>FE-125</t>
  </si>
  <si>
    <t xml:space="preserve">Se pidio por correo no contestan </t>
  </si>
  <si>
    <t>A3H-42</t>
  </si>
  <si>
    <t xml:space="preserve">Se envia correo a recepcion </t>
  </si>
  <si>
    <t>DF-22</t>
  </si>
  <si>
    <t>FE-63</t>
  </si>
  <si>
    <t xml:space="preserve">Q tenia problemas con los contadores pero ya la  hicieron </t>
  </si>
  <si>
    <t>P-172</t>
  </si>
  <si>
    <t>FE-30</t>
  </si>
  <si>
    <t>FE-59</t>
  </si>
  <si>
    <t>FEDV321</t>
  </si>
  <si>
    <t>FE-552</t>
  </si>
  <si>
    <t>FEMD-4257*2</t>
  </si>
  <si>
    <t>FEDV318</t>
  </si>
  <si>
    <t>MISI-107</t>
  </si>
  <si>
    <t>FEMD-4244*3</t>
  </si>
  <si>
    <t>SR2636581</t>
  </si>
  <si>
    <t>NC225</t>
  </si>
  <si>
    <t>La pedi por WA</t>
  </si>
  <si>
    <t>Gerardo Junco Espinosa</t>
  </si>
  <si>
    <t>FVE-418</t>
  </si>
  <si>
    <t>NCE19</t>
  </si>
  <si>
    <t>FACE-347</t>
  </si>
  <si>
    <t>NC237</t>
  </si>
  <si>
    <t>FE-95</t>
  </si>
  <si>
    <t>NC254</t>
  </si>
  <si>
    <t>GANA-16</t>
  </si>
  <si>
    <t>Se solicito por correo no contesta</t>
  </si>
  <si>
    <t>LP93</t>
  </si>
  <si>
    <t>FE-71</t>
  </si>
  <si>
    <t>DF231</t>
  </si>
  <si>
    <t>Lo va a enviar nuevamente - LO ENVIE AL CORREO RECEP</t>
  </si>
  <si>
    <t>FEDV322</t>
  </si>
  <si>
    <t xml:space="preserve">se  solicita por correo </t>
  </si>
  <si>
    <t>NC1115</t>
  </si>
  <si>
    <t>AAAH-43</t>
  </si>
  <si>
    <t>AD19</t>
  </si>
  <si>
    <t>GANA-201</t>
  </si>
  <si>
    <t>NC000046</t>
  </si>
  <si>
    <t>MUL336</t>
  </si>
  <si>
    <t>NC43</t>
  </si>
  <si>
    <t>FE-31</t>
  </si>
  <si>
    <t>NUMA*2 1152250*2</t>
  </si>
  <si>
    <t>MOVI-1493*2</t>
  </si>
  <si>
    <t>FELE59</t>
  </si>
  <si>
    <t>SR2640866</t>
  </si>
  <si>
    <t>FEYC-4</t>
  </si>
  <si>
    <t>NC3</t>
  </si>
  <si>
    <t>DM195</t>
  </si>
  <si>
    <t>SR</t>
  </si>
  <si>
    <t>DM196</t>
  </si>
  <si>
    <t>MAML-12</t>
  </si>
  <si>
    <t>FEDV324</t>
  </si>
  <si>
    <t>FEDV323</t>
  </si>
  <si>
    <t>Se envia nuevamente a recep</t>
  </si>
  <si>
    <t>FELC-908</t>
  </si>
  <si>
    <t>EJ*5 3039600*5</t>
  </si>
  <si>
    <t>FEMD-4284*5</t>
  </si>
  <si>
    <t>FACE-348</t>
  </si>
  <si>
    <t>IVC114</t>
  </si>
  <si>
    <t>MAFE-37</t>
  </si>
  <si>
    <t>FESA-39</t>
  </si>
  <si>
    <t>EJ*4 624200*1 789800*2 744800*1</t>
  </si>
  <si>
    <t>IN235243</t>
  </si>
  <si>
    <t>FEMD-4299*2</t>
  </si>
  <si>
    <t>FEMD-4300</t>
  </si>
  <si>
    <t>FEMD-4295</t>
  </si>
  <si>
    <t>CD-110</t>
  </si>
  <si>
    <t>PI-154</t>
  </si>
  <si>
    <t>MT-1403</t>
  </si>
  <si>
    <t>AAAH-44</t>
  </si>
  <si>
    <t>AD20</t>
  </si>
  <si>
    <t>FEDV327</t>
  </si>
  <si>
    <t>NC152</t>
  </si>
  <si>
    <t>Z106</t>
  </si>
  <si>
    <t>NC39</t>
  </si>
  <si>
    <t>DM197</t>
  </si>
  <si>
    <t>FE-126</t>
  </si>
  <si>
    <t>GANA-203</t>
  </si>
  <si>
    <t xml:space="preserve">SR2640866 se solicito por correo </t>
  </si>
  <si>
    <t>NC000047</t>
  </si>
  <si>
    <t>FACE-349</t>
  </si>
  <si>
    <t>F-124</t>
  </si>
  <si>
    <t>RFDS-148</t>
  </si>
  <si>
    <t>FEOK-66</t>
  </si>
  <si>
    <t>FVE-24</t>
  </si>
  <si>
    <t xml:space="preserve">Se envio a recepcion </t>
  </si>
  <si>
    <t>GAN-65</t>
  </si>
  <si>
    <t>NC230</t>
  </si>
  <si>
    <t>FE-96</t>
  </si>
  <si>
    <t>NC255</t>
  </si>
  <si>
    <t>DM-198</t>
  </si>
  <si>
    <t>FELC-911</t>
  </si>
  <si>
    <t>S-41</t>
  </si>
  <si>
    <t>MT-1407</t>
  </si>
  <si>
    <t>FEDV325</t>
  </si>
  <si>
    <t>FEDV330</t>
  </si>
  <si>
    <t>NC155</t>
  </si>
  <si>
    <t>FEDV329</t>
  </si>
  <si>
    <t>LP94</t>
  </si>
  <si>
    <t>HRT14</t>
  </si>
  <si>
    <t>NUMA*3 1092500*3</t>
  </si>
  <si>
    <t>MOVI-1502*3</t>
  </si>
  <si>
    <t>GY-12</t>
  </si>
  <si>
    <t>Agropecuaria Aldana S.A.S</t>
  </si>
  <si>
    <t>FE-12</t>
  </si>
  <si>
    <t xml:space="preserve">IN232135 no llego el xml </t>
  </si>
  <si>
    <t>FEDV326</t>
  </si>
  <si>
    <t>FE183</t>
  </si>
  <si>
    <t>Manuel Antonio Anniccharico Vuelva</t>
  </si>
  <si>
    <t>FMA-24</t>
  </si>
  <si>
    <t>Gustavo Adolfo Puello Montoya</t>
  </si>
  <si>
    <t>GAP-84</t>
  </si>
  <si>
    <t>FEDV334</t>
  </si>
  <si>
    <t>NC159</t>
  </si>
  <si>
    <t>FEDV335</t>
  </si>
  <si>
    <t xml:space="preserve"> SR2655264</t>
  </si>
  <si>
    <t>NC160</t>
  </si>
  <si>
    <t>FEFE15</t>
  </si>
  <si>
    <t>F-125</t>
  </si>
  <si>
    <t>F102</t>
  </si>
  <si>
    <t>M23</t>
  </si>
  <si>
    <t>LP95</t>
  </si>
  <si>
    <t>MT-1413</t>
  </si>
  <si>
    <t>EJ*6 1857700*3 1793900*3</t>
  </si>
  <si>
    <t>FEMD-4315*3</t>
  </si>
  <si>
    <t>FEMD-4314*3</t>
  </si>
  <si>
    <t>FEDV331</t>
  </si>
  <si>
    <t>IVC116</t>
  </si>
  <si>
    <t>EJ*4 1793900*4</t>
  </si>
  <si>
    <t>FEMD-4335*4</t>
  </si>
  <si>
    <t>NC156</t>
  </si>
  <si>
    <t>FEDV332</t>
  </si>
  <si>
    <t>NC157</t>
  </si>
  <si>
    <t>DM199</t>
  </si>
  <si>
    <t>AR87</t>
  </si>
  <si>
    <t>MOVI-1519*3</t>
  </si>
  <si>
    <t>CD-111</t>
  </si>
  <si>
    <t>EJ*3 1771100*3</t>
  </si>
  <si>
    <t>FEMD-4349*3</t>
  </si>
  <si>
    <t>GANA210</t>
  </si>
  <si>
    <t>NC000048</t>
  </si>
  <si>
    <t>FE-272</t>
  </si>
  <si>
    <t>E-137</t>
  </si>
  <si>
    <t>DM200</t>
  </si>
  <si>
    <t>NC42</t>
  </si>
  <si>
    <t>FEDV333</t>
  </si>
  <si>
    <t>NC158</t>
  </si>
  <si>
    <t>GANA211</t>
  </si>
  <si>
    <t>NC000049</t>
  </si>
  <si>
    <t>FVE-6</t>
  </si>
  <si>
    <t>DM201</t>
  </si>
  <si>
    <t xml:space="preserve">SR2655264 la pedi por WA </t>
  </si>
  <si>
    <t>FAMC3</t>
  </si>
  <si>
    <t>NCR39</t>
  </si>
  <si>
    <t>DM202</t>
  </si>
  <si>
    <t>FEDV336</t>
  </si>
  <si>
    <t>FEDV337</t>
  </si>
  <si>
    <t>1PAC-12</t>
  </si>
  <si>
    <t>SR2636581 LA REGISTRAN esperar BL</t>
  </si>
  <si>
    <t>FE-60</t>
  </si>
  <si>
    <t>ND12</t>
  </si>
  <si>
    <t>FE-47</t>
  </si>
  <si>
    <t>Se solicito por WA Armando S</t>
  </si>
  <si>
    <t>C0029</t>
  </si>
  <si>
    <t>AAAH-45</t>
  </si>
  <si>
    <t>AD21</t>
  </si>
  <si>
    <t>FESA-40</t>
  </si>
  <si>
    <t>EJ*3  1863200*2 1633100*1</t>
  </si>
  <si>
    <t xml:space="preserve">SR2655264 TIENE BL </t>
  </si>
  <si>
    <t>FEMD-4374*3</t>
  </si>
  <si>
    <t>FEVA-5177</t>
  </si>
  <si>
    <t>SR2655264 se solicito por WA</t>
  </si>
  <si>
    <t>NCE31</t>
  </si>
  <si>
    <t>DM203</t>
  </si>
  <si>
    <t>NC44</t>
  </si>
  <si>
    <t>CD-112</t>
  </si>
  <si>
    <t>EJ*3 1638223*3</t>
  </si>
  <si>
    <t xml:space="preserve">hoy la envian </t>
  </si>
  <si>
    <t>FEMD-4375*3</t>
  </si>
  <si>
    <t>FEDV339</t>
  </si>
  <si>
    <t>FE-1662</t>
  </si>
  <si>
    <t>FED-741</t>
  </si>
  <si>
    <t>FEDV340</t>
  </si>
  <si>
    <t>FEDV341</t>
  </si>
  <si>
    <t>NC161</t>
  </si>
  <si>
    <t>FE-160</t>
  </si>
  <si>
    <t>SR2655264</t>
  </si>
  <si>
    <t>DF210</t>
  </si>
  <si>
    <t>AAAH-46</t>
  </si>
  <si>
    <t>AD22</t>
  </si>
  <si>
    <t>FEDV343</t>
  </si>
  <si>
    <t>NC162</t>
  </si>
  <si>
    <t>FEDV342</t>
  </si>
  <si>
    <t>FE-186</t>
  </si>
  <si>
    <t>FEMD-4396*3</t>
  </si>
  <si>
    <t>FEDV344</t>
  </si>
  <si>
    <t>ND23</t>
  </si>
  <si>
    <t>FE-61</t>
  </si>
  <si>
    <t xml:space="preserve">TABLERO SI </t>
  </si>
  <si>
    <t>LP96</t>
  </si>
  <si>
    <t>RFDS-149</t>
  </si>
  <si>
    <t>NCR-23</t>
  </si>
  <si>
    <t>AR88</t>
  </si>
  <si>
    <t>MOVI-1540*4</t>
  </si>
  <si>
    <t>FEVA-5178</t>
  </si>
  <si>
    <t>NCE32</t>
  </si>
  <si>
    <t>FVE-25</t>
  </si>
  <si>
    <t>IN235052</t>
  </si>
  <si>
    <t>NCV5</t>
  </si>
  <si>
    <t xml:space="preserve">En revision por parte de mesa de ayuda </t>
  </si>
  <si>
    <t>FE-97</t>
  </si>
  <si>
    <t>NC256</t>
  </si>
  <si>
    <t>MT1430</t>
  </si>
  <si>
    <t>ETE-3153</t>
  </si>
  <si>
    <t>C00210</t>
  </si>
  <si>
    <t>F-126</t>
  </si>
  <si>
    <t>F103</t>
  </si>
  <si>
    <t>IVC-117</t>
  </si>
  <si>
    <t>EJ 1793900</t>
  </si>
  <si>
    <t>FEMD-4424*3</t>
  </si>
  <si>
    <t>MT1429</t>
  </si>
  <si>
    <t>EJ*3 1776100*3</t>
  </si>
  <si>
    <t>FEMD-4423*3</t>
  </si>
  <si>
    <t>FEC-946</t>
  </si>
  <si>
    <t>A3H-45</t>
  </si>
  <si>
    <t xml:space="preserve">Se reenvia a recepcion </t>
  </si>
  <si>
    <t>FEDV345</t>
  </si>
  <si>
    <t>NC163</t>
  </si>
  <si>
    <t>FEDV346</t>
  </si>
  <si>
    <t>NC164</t>
  </si>
  <si>
    <t>DM204</t>
  </si>
  <si>
    <t>DM205</t>
  </si>
  <si>
    <t>LP97</t>
  </si>
  <si>
    <t>FE-72</t>
  </si>
  <si>
    <t>DF232</t>
  </si>
  <si>
    <t>Se solicito por correo - Llego por wa se envia al correo recep</t>
  </si>
  <si>
    <t>FEDV347</t>
  </si>
  <si>
    <t>NC165</t>
  </si>
  <si>
    <t>FEDV348</t>
  </si>
  <si>
    <t>AAAH-48</t>
  </si>
  <si>
    <t>AD24</t>
  </si>
  <si>
    <t>AAAH-47</t>
  </si>
  <si>
    <t>AD23</t>
  </si>
  <si>
    <t>GAN-66</t>
  </si>
  <si>
    <t>RZO23</t>
  </si>
  <si>
    <t>MOVI-1552*4</t>
  </si>
  <si>
    <t>FEOK-69</t>
  </si>
  <si>
    <t>Laura Susana Pino Amaya</t>
  </si>
  <si>
    <t>S-107</t>
  </si>
  <si>
    <t>Con retencion</t>
  </si>
  <si>
    <t>S-108</t>
  </si>
  <si>
    <t>Estan tramitando la bolsa le martes confirma</t>
  </si>
  <si>
    <t>OR182</t>
  </si>
  <si>
    <t>NDE4</t>
  </si>
  <si>
    <t>FEJS-32</t>
  </si>
  <si>
    <t>FEHC311</t>
  </si>
  <si>
    <t>MT-1437</t>
  </si>
  <si>
    <t>FEMD-4455*3</t>
  </si>
  <si>
    <t>FE-1664</t>
  </si>
  <si>
    <t>Se envio correo a facturación</t>
  </si>
  <si>
    <t>NC13045</t>
  </si>
  <si>
    <t>FEFE17</t>
  </si>
  <si>
    <t>MT-1438</t>
  </si>
  <si>
    <t>ETE-3177</t>
  </si>
  <si>
    <t>FE-1826</t>
  </si>
  <si>
    <t xml:space="preserve">Nicolas valida </t>
  </si>
  <si>
    <t>FEDV349</t>
  </si>
  <si>
    <t>PRI-75</t>
  </si>
  <si>
    <t>D00210</t>
  </si>
  <si>
    <t>FELE-61</t>
  </si>
  <si>
    <t>FE-189</t>
  </si>
  <si>
    <t>FEMD-4471*2</t>
  </si>
  <si>
    <t>DM-207</t>
  </si>
  <si>
    <t>FEDV350</t>
  </si>
  <si>
    <t>NC166</t>
  </si>
  <si>
    <t>FE-1665</t>
  </si>
  <si>
    <t>Z107</t>
  </si>
  <si>
    <t>FEV-9</t>
  </si>
  <si>
    <t xml:space="preserve">se solicito por correo </t>
  </si>
  <si>
    <t>SR2686881</t>
  </si>
  <si>
    <t xml:space="preserve">Se solicito nuevamente por correo va a validar Oscar Rpo </t>
  </si>
  <si>
    <t>Se pidio por wa 2 veces</t>
  </si>
  <si>
    <t>MISI-115</t>
  </si>
  <si>
    <t>EJ*2 1638500*2</t>
  </si>
  <si>
    <t>FEMD-4482*2</t>
  </si>
  <si>
    <t>FEDV351</t>
  </si>
  <si>
    <t>NC167</t>
  </si>
  <si>
    <t>DM-208</t>
  </si>
  <si>
    <t>LP-98</t>
  </si>
  <si>
    <t>FEDV352</t>
  </si>
  <si>
    <t>NC168</t>
  </si>
  <si>
    <t>FEDV353</t>
  </si>
  <si>
    <t>FELC -938</t>
  </si>
  <si>
    <t>RETENCION</t>
  </si>
  <si>
    <t>FEMD-4485*2</t>
  </si>
  <si>
    <t>FVE-26</t>
  </si>
  <si>
    <t>NCV6</t>
  </si>
  <si>
    <t xml:space="preserve">Se pido por correo y por wa </t>
  </si>
  <si>
    <t>FE-73</t>
  </si>
  <si>
    <t>DF233</t>
  </si>
  <si>
    <t>MT-1445</t>
  </si>
  <si>
    <t>EJ*2 1793900*2  TYC 4792500</t>
  </si>
  <si>
    <t>3587800y 4792500</t>
  </si>
  <si>
    <t>FEMD-4486*2</t>
  </si>
  <si>
    <t>ETE-3201</t>
  </si>
  <si>
    <t>Itakia S.A.S. ZOMAC</t>
  </si>
  <si>
    <t>FE-100027</t>
  </si>
  <si>
    <t>FE-1827</t>
  </si>
  <si>
    <t>FE-1828</t>
  </si>
  <si>
    <t>FEYC-5</t>
  </si>
  <si>
    <t>NC4</t>
  </si>
  <si>
    <t>MVYG32</t>
  </si>
  <si>
    <t>FEDV354</t>
  </si>
  <si>
    <t>PRI-76</t>
  </si>
  <si>
    <t>D00211</t>
  </si>
  <si>
    <t>IVC118</t>
  </si>
  <si>
    <t>FEMD-4494*2</t>
  </si>
  <si>
    <t>CD-113</t>
  </si>
  <si>
    <t>FEMD-4495*2</t>
  </si>
  <si>
    <t>FVE-156</t>
  </si>
  <si>
    <t xml:space="preserve">Se pidio por correo </t>
  </si>
  <si>
    <t>FAMC-4</t>
  </si>
  <si>
    <t>NCR40</t>
  </si>
  <si>
    <t>FP1-1</t>
  </si>
  <si>
    <t>FEDV355</t>
  </si>
  <si>
    <t>NC169</t>
  </si>
  <si>
    <t>FE-1677</t>
  </si>
  <si>
    <t>NC13046</t>
  </si>
  <si>
    <t>FE-99</t>
  </si>
  <si>
    <t>NC257</t>
  </si>
  <si>
    <t>AAAH-49</t>
  </si>
  <si>
    <t>AD25</t>
  </si>
  <si>
    <t>FEV-10</t>
  </si>
  <si>
    <t>FE-64</t>
  </si>
  <si>
    <t>FVE-157</t>
  </si>
  <si>
    <t>Andres Jose Peña Rodriguez</t>
  </si>
  <si>
    <t xml:space="preserve">Esta en el proceso del registro </t>
  </si>
  <si>
    <t>ORG-94</t>
  </si>
  <si>
    <t>Se envia nuevamente al correo recep</t>
  </si>
  <si>
    <t xml:space="preserve">Se solicito por WA </t>
  </si>
  <si>
    <t>CD-114</t>
  </si>
  <si>
    <t>FEMD-4522*2</t>
  </si>
  <si>
    <t>FEVA-5184</t>
  </si>
  <si>
    <t>NCE33</t>
  </si>
  <si>
    <t>RFDS-157</t>
  </si>
  <si>
    <t>NCR24</t>
  </si>
  <si>
    <t>FEDV356</t>
  </si>
  <si>
    <t>NC170</t>
  </si>
  <si>
    <t>FEDV357</t>
  </si>
  <si>
    <t>PI 156</t>
  </si>
  <si>
    <t>EJ*2 1648800*2</t>
  </si>
  <si>
    <t>FEMD-4541*2</t>
  </si>
  <si>
    <t>Z108</t>
  </si>
  <si>
    <t>NCR86</t>
  </si>
  <si>
    <t>Z109</t>
  </si>
  <si>
    <t>NCR87</t>
  </si>
  <si>
    <t>MT1455</t>
  </si>
  <si>
    <t>ETE-3225</t>
  </si>
  <si>
    <t>GANA-221</t>
  </si>
  <si>
    <t>FEDV358</t>
  </si>
  <si>
    <t>NC171</t>
  </si>
  <si>
    <t>MT1457</t>
  </si>
  <si>
    <t>TYC 4473000</t>
  </si>
  <si>
    <t>ETE-3226</t>
  </si>
  <si>
    <t>IVC119</t>
  </si>
  <si>
    <t>FEMD-4552*2</t>
  </si>
  <si>
    <t>Agropecuaria Hacienda Manzanares S.A.S ZOMAC</t>
  </si>
  <si>
    <t>AHM-2</t>
  </si>
  <si>
    <t>PRI-77</t>
  </si>
  <si>
    <t>C0025</t>
  </si>
  <si>
    <t>LP101</t>
  </si>
  <si>
    <t>LP102</t>
  </si>
  <si>
    <t>NC76</t>
  </si>
  <si>
    <t>DM210</t>
  </si>
  <si>
    <t>FEDV359</t>
  </si>
  <si>
    <t>LP103</t>
  </si>
  <si>
    <t>MT-1464</t>
  </si>
  <si>
    <t>ETE-3235</t>
  </si>
  <si>
    <t>FE-1679</t>
  </si>
  <si>
    <t xml:space="preserve">Se envia nuevamente </t>
  </si>
  <si>
    <t>NC13049</t>
  </si>
  <si>
    <t>GANA-224</t>
  </si>
  <si>
    <t>FVE27</t>
  </si>
  <si>
    <t xml:space="preserve">Se solicita por WA </t>
  </si>
  <si>
    <t>NCV7</t>
  </si>
  <si>
    <t>Se envia nuevamente a recepcion</t>
  </si>
  <si>
    <t>FEFE20</t>
  </si>
  <si>
    <t>FE-19</t>
  </si>
  <si>
    <t>CD-116</t>
  </si>
  <si>
    <t>FEMD-4582*2</t>
  </si>
  <si>
    <t>FEMD-4583*2</t>
  </si>
  <si>
    <t>FELC -952</t>
  </si>
  <si>
    <t>FE-1832</t>
  </si>
  <si>
    <t>FE-172</t>
  </si>
  <si>
    <t>FEJS-34</t>
  </si>
  <si>
    <t>FEOK-71</t>
  </si>
  <si>
    <t>MT-1459</t>
  </si>
  <si>
    <t>EJ*3 1857700*3</t>
  </si>
  <si>
    <t>FEMD-4589*3</t>
  </si>
  <si>
    <t>DM211</t>
  </si>
  <si>
    <t>FVE-158</t>
  </si>
  <si>
    <t xml:space="preserve">q lo envia el dia de hoy </t>
  </si>
  <si>
    <t>FVE-7</t>
  </si>
  <si>
    <t>NCRE14</t>
  </si>
  <si>
    <t>FVE-3597</t>
  </si>
  <si>
    <t>Z110</t>
  </si>
  <si>
    <t>NCR88</t>
  </si>
  <si>
    <t>FESA-44</t>
  </si>
  <si>
    <t>PI 157</t>
  </si>
  <si>
    <t>S-42</t>
  </si>
  <si>
    <t xml:space="preserve">Se pidio por WA </t>
  </si>
  <si>
    <t>IVC120</t>
  </si>
  <si>
    <t>EJ *4 1793900*4</t>
  </si>
  <si>
    <t>FEMD-4593*4</t>
  </si>
  <si>
    <t>FEVA-5186</t>
  </si>
  <si>
    <t>NCE34</t>
  </si>
  <si>
    <t>FEDV360</t>
  </si>
  <si>
    <t>NC172</t>
  </si>
  <si>
    <t>DM212</t>
  </si>
  <si>
    <t>FEDV362</t>
  </si>
  <si>
    <t>NC173</t>
  </si>
  <si>
    <t>AAAH-50</t>
  </si>
  <si>
    <t>AD26</t>
  </si>
  <si>
    <t>FEVM 495</t>
  </si>
  <si>
    <t>NC7</t>
  </si>
  <si>
    <t>FEDV361</t>
  </si>
  <si>
    <t>FEDV363</t>
  </si>
  <si>
    <t>NC174</t>
  </si>
  <si>
    <t>FEDV364</t>
  </si>
  <si>
    <t>NC175</t>
  </si>
  <si>
    <t>FEMO-1010000716</t>
  </si>
  <si>
    <t>EJ*2 570200*2</t>
  </si>
  <si>
    <t>FEMD-4612*2</t>
  </si>
  <si>
    <t>MVYG33</t>
  </si>
  <si>
    <t>MISI-120</t>
  </si>
  <si>
    <t>EJ*2 1840900*2</t>
  </si>
  <si>
    <t>FEMD-4614*2</t>
  </si>
  <si>
    <t>FEMO-1010000715</t>
  </si>
  <si>
    <t>EJ*5 570200*5</t>
  </si>
  <si>
    <t>FEMD-4626*5</t>
  </si>
  <si>
    <t>FEMD-4636*5</t>
  </si>
  <si>
    <t>DM213</t>
  </si>
  <si>
    <t>FEFE21</t>
  </si>
  <si>
    <t>FVE-28</t>
  </si>
  <si>
    <t xml:space="preserve">Se envio nuevamente a recepcion </t>
  </si>
  <si>
    <t>NCV8</t>
  </si>
  <si>
    <t>Gabriel Humberto Loza Duran</t>
  </si>
  <si>
    <t>FEDV366</t>
  </si>
  <si>
    <t>NC176</t>
  </si>
  <si>
    <t>FEDV367</t>
  </si>
  <si>
    <t>NC177</t>
  </si>
  <si>
    <t>Z111</t>
  </si>
  <si>
    <t>NCR89</t>
  </si>
  <si>
    <t>JAB-28</t>
  </si>
  <si>
    <t>Agroinversiones LA Argentina S.A.S</t>
  </si>
  <si>
    <t xml:space="preserve">Estan revisando </t>
  </si>
  <si>
    <t>PRI-78</t>
  </si>
  <si>
    <t>FEDV368</t>
  </si>
  <si>
    <t>NC178</t>
  </si>
  <si>
    <t>FEDV369</t>
  </si>
  <si>
    <t>NC179</t>
  </si>
  <si>
    <t>FE-1682</t>
  </si>
  <si>
    <t>NC13050</t>
  </si>
  <si>
    <t>AAAH-51</t>
  </si>
  <si>
    <t>AD27</t>
  </si>
  <si>
    <t>A3H-46</t>
  </si>
  <si>
    <t xml:space="preserve">se reenvio al correo de recepcion </t>
  </si>
  <si>
    <t>FVE-3650</t>
  </si>
  <si>
    <t>NC106</t>
  </si>
  <si>
    <t>FAMC-5</t>
  </si>
  <si>
    <t>NCR41</t>
  </si>
  <si>
    <t>FEOK-74</t>
  </si>
  <si>
    <t>AHM-4</t>
  </si>
  <si>
    <t>AMNC2</t>
  </si>
  <si>
    <t>FE-65</t>
  </si>
  <si>
    <t>Deyci Tellez Sierra</t>
  </si>
  <si>
    <t>FE-1</t>
  </si>
  <si>
    <t xml:space="preserve">por WA hoy la envian </t>
  </si>
  <si>
    <t>Caso # IN242345</t>
  </si>
  <si>
    <t>MT-1479</t>
  </si>
  <si>
    <t>FESA-45</t>
  </si>
  <si>
    <t>CD-118</t>
  </si>
  <si>
    <t>IVC122</t>
  </si>
  <si>
    <t>PI 159</t>
  </si>
  <si>
    <t>FE-193</t>
  </si>
  <si>
    <t>se pidio por WA</t>
  </si>
  <si>
    <t>DF234</t>
  </si>
  <si>
    <t>ND000016</t>
  </si>
  <si>
    <t>FEVA-5189</t>
  </si>
  <si>
    <t>LP104</t>
  </si>
  <si>
    <t>EJ*4 1650000*3 1580000*1</t>
  </si>
  <si>
    <t>FEMD-4675*4</t>
  </si>
  <si>
    <t>DM-214</t>
  </si>
  <si>
    <t>FEDV370</t>
  </si>
  <si>
    <t>OR-190</t>
  </si>
  <si>
    <t>FEDV372</t>
  </si>
  <si>
    <t>NC180</t>
  </si>
  <si>
    <t>MT1483</t>
  </si>
  <si>
    <t>EJ*3 1793900*3 TYC 4792500</t>
  </si>
  <si>
    <t>5381700 - 4792500</t>
  </si>
  <si>
    <t>FEMD-4690*3</t>
  </si>
  <si>
    <t>ETE-3291</t>
  </si>
  <si>
    <t>Eugenio Villegas Molina</t>
  </si>
  <si>
    <t xml:space="preserve">Va a revisar </t>
  </si>
  <si>
    <t>FE2</t>
  </si>
  <si>
    <t>LP105</t>
  </si>
  <si>
    <t>RFDS-158</t>
  </si>
  <si>
    <t>NCR25</t>
  </si>
  <si>
    <t>S-43</t>
  </si>
  <si>
    <t>EJ*1 3562300*1</t>
  </si>
  <si>
    <t>FEMD-4691*1</t>
  </si>
  <si>
    <t>LB-107</t>
  </si>
  <si>
    <t>PRI-81</t>
  </si>
  <si>
    <t>C0026</t>
  </si>
  <si>
    <t>FE-1683</t>
  </si>
  <si>
    <t>NC13051</t>
  </si>
  <si>
    <t>FEOK-75</t>
  </si>
  <si>
    <t>Maria Alicia Montaño Parra</t>
  </si>
  <si>
    <t>FE3</t>
  </si>
  <si>
    <t>FVE-3718</t>
  </si>
  <si>
    <t xml:space="preserve">tiene pendiente validacion antes de facturar </t>
  </si>
  <si>
    <t>FEVM507</t>
  </si>
  <si>
    <t>GANA-230</t>
  </si>
  <si>
    <t>NC000052</t>
  </si>
  <si>
    <t>FER-5</t>
  </si>
  <si>
    <t>FEDV373</t>
  </si>
  <si>
    <t>NC181</t>
  </si>
  <si>
    <t>CD-119</t>
  </si>
  <si>
    <t>IVC124</t>
  </si>
  <si>
    <t>FE-194</t>
  </si>
  <si>
    <t>MUL371</t>
  </si>
  <si>
    <t>FEDV375</t>
  </si>
  <si>
    <t>NC182</t>
  </si>
  <si>
    <t>FEDV376</t>
  </si>
  <si>
    <t>NC183</t>
  </si>
  <si>
    <t>C00211</t>
  </si>
  <si>
    <t>GAN-69</t>
  </si>
  <si>
    <t>NC232</t>
  </si>
  <si>
    <t>Z112</t>
  </si>
  <si>
    <t>NCR90</t>
  </si>
  <si>
    <t>DM223</t>
  </si>
  <si>
    <t>FELC -970</t>
  </si>
  <si>
    <t>FEMD-4722*1</t>
  </si>
  <si>
    <t>FEMD-4723*1</t>
  </si>
  <si>
    <t>FELE-65</t>
  </si>
  <si>
    <t>FEJI - 3</t>
  </si>
  <si>
    <t>MISI-122</t>
  </si>
  <si>
    <t>EJ*3 1840900*3</t>
  </si>
  <si>
    <t>FEMD-4721*3</t>
  </si>
  <si>
    <t>FED-840</t>
  </si>
  <si>
    <t>Se envia nuevamente</t>
  </si>
  <si>
    <t>EC12</t>
  </si>
  <si>
    <t>Rodana Inversiones S.A.S.</t>
  </si>
  <si>
    <t xml:space="preserve">VA CON REGISTRO EN BOLSA </t>
  </si>
  <si>
    <t>DM224</t>
  </si>
  <si>
    <t>FEG5</t>
  </si>
  <si>
    <t>EJ*5 1750000*5</t>
  </si>
  <si>
    <t>FEMD-4751*5</t>
  </si>
  <si>
    <t>FEDV377</t>
  </si>
  <si>
    <t>FEVA-5192</t>
  </si>
  <si>
    <t>NCE35</t>
  </si>
  <si>
    <t>FEC-1106</t>
  </si>
  <si>
    <t xml:space="preserve">No contesta se envia correo </t>
  </si>
  <si>
    <t>JPS-1278</t>
  </si>
  <si>
    <t xml:space="preserve">esta validando con la contadora </t>
  </si>
  <si>
    <t>DM230</t>
  </si>
  <si>
    <t xml:space="preserve">DM229 PARA ANULAR </t>
  </si>
  <si>
    <t xml:space="preserve">NC54 PARA ANULAR </t>
  </si>
  <si>
    <t>FAMC6</t>
  </si>
  <si>
    <t>NCR42</t>
  </si>
  <si>
    <t>FVEC14</t>
  </si>
  <si>
    <t>NCEE8</t>
  </si>
  <si>
    <t>LP106</t>
  </si>
  <si>
    <t>FELG-1</t>
  </si>
  <si>
    <t>FEJC-1</t>
  </si>
  <si>
    <t>CD-120</t>
  </si>
  <si>
    <t>EJ*4 1771000*2 1793900*2</t>
  </si>
  <si>
    <t>FEMD-4788*2</t>
  </si>
  <si>
    <t>FEMD-4787*2</t>
  </si>
  <si>
    <t>LP107</t>
  </si>
  <si>
    <t>FEDV378</t>
  </si>
  <si>
    <t>NC188</t>
  </si>
  <si>
    <t>ND24-ND25</t>
  </si>
  <si>
    <t>anula NC185 y NC184</t>
  </si>
  <si>
    <t>FEDV379</t>
  </si>
  <si>
    <t>NC191</t>
  </si>
  <si>
    <t>ND27</t>
  </si>
  <si>
    <t>anula NC186</t>
  </si>
  <si>
    <t>FVE-30</t>
  </si>
  <si>
    <t>FE-593</t>
  </si>
  <si>
    <t>FEMD-4804*2</t>
  </si>
  <si>
    <t>FEDV381</t>
  </si>
  <si>
    <t>FEDV380</t>
  </si>
  <si>
    <t>NC189</t>
  </si>
  <si>
    <t>FVE-31</t>
  </si>
  <si>
    <t>FAMC7</t>
  </si>
  <si>
    <t>NDE9</t>
  </si>
  <si>
    <t>FE-50</t>
  </si>
  <si>
    <t>DM231</t>
  </si>
  <si>
    <t>E-156</t>
  </si>
  <si>
    <t>CACA-20</t>
  </si>
  <si>
    <t>FEDV382</t>
  </si>
  <si>
    <t>FEVA-5198</t>
  </si>
  <si>
    <t>NCE36</t>
  </si>
  <si>
    <t>AAAH-55</t>
  </si>
  <si>
    <t>AD28</t>
  </si>
  <si>
    <t>NC192</t>
  </si>
  <si>
    <t>ND28</t>
  </si>
  <si>
    <t>anula NC187</t>
  </si>
  <si>
    <t>GANA-237</t>
  </si>
  <si>
    <t>NC000053</t>
  </si>
  <si>
    <t>FE66</t>
  </si>
  <si>
    <t>FVE-163</t>
  </si>
  <si>
    <t>MT1491</t>
  </si>
  <si>
    <t>FESA-46</t>
  </si>
  <si>
    <t>Mensaje a Cristina</t>
  </si>
  <si>
    <t>FE-141</t>
  </si>
  <si>
    <t>FE-197</t>
  </si>
  <si>
    <t>FVE-32</t>
  </si>
  <si>
    <t>FELC-980</t>
  </si>
  <si>
    <t>EJ*3 2982600*3</t>
  </si>
  <si>
    <t>FEMD-4812*3</t>
  </si>
  <si>
    <t>Z113</t>
  </si>
  <si>
    <t>NCR91</t>
  </si>
  <si>
    <t>FED-848</t>
  </si>
  <si>
    <t>EJ*7 1750000*3 1730000*4</t>
  </si>
  <si>
    <t>FEMD-4815*4</t>
  </si>
  <si>
    <t>FEMD-4814*3</t>
  </si>
  <si>
    <t>IVC125</t>
  </si>
  <si>
    <t>FEMD-4817*4</t>
  </si>
  <si>
    <t>FEDV384</t>
  </si>
  <si>
    <t>JPS-1300</t>
  </si>
  <si>
    <t>JPS-1301</t>
  </si>
  <si>
    <t>MUL-376</t>
  </si>
  <si>
    <t>DM240</t>
  </si>
  <si>
    <t>CD-121</t>
  </si>
  <si>
    <t>FEMD-4825*4</t>
  </si>
  <si>
    <t>FEFE24</t>
  </si>
  <si>
    <t>FEDV385</t>
  </si>
  <si>
    <t>NC190</t>
  </si>
  <si>
    <t>FEDV386</t>
  </si>
  <si>
    <t>NC1122</t>
  </si>
  <si>
    <t>F-135</t>
  </si>
  <si>
    <t>F104</t>
  </si>
  <si>
    <t>DM242</t>
  </si>
  <si>
    <t>MVYG34</t>
  </si>
  <si>
    <t>IVC126</t>
  </si>
  <si>
    <t>EJ* 1793900*4</t>
  </si>
  <si>
    <t>FEMD-4830*4</t>
  </si>
  <si>
    <t>FEDV387</t>
  </si>
  <si>
    <t>ND26</t>
  </si>
  <si>
    <t>FVEC15</t>
  </si>
  <si>
    <t>AAAH-58</t>
  </si>
  <si>
    <t>AD29</t>
  </si>
  <si>
    <t>JAB-30</t>
  </si>
  <si>
    <t>FEVA-5201</t>
  </si>
  <si>
    <t>M26</t>
  </si>
  <si>
    <t>E-163</t>
  </si>
  <si>
    <t>Maria Cecilia Gomez Urrea</t>
  </si>
  <si>
    <t>FE-432</t>
  </si>
  <si>
    <t>FVE-164</t>
  </si>
  <si>
    <t>Pedro Milton Botero Bernal</t>
  </si>
  <si>
    <t>FEMB-210</t>
  </si>
  <si>
    <t>FESA-47</t>
  </si>
  <si>
    <t>FE-256</t>
  </si>
  <si>
    <t>FE-144</t>
  </si>
  <si>
    <t>MISI-126</t>
  </si>
  <si>
    <t>MT1494</t>
  </si>
  <si>
    <t>ETE-3371</t>
  </si>
  <si>
    <t>FE-609</t>
  </si>
  <si>
    <t>FEMD-4843*2</t>
  </si>
  <si>
    <t>LP108</t>
  </si>
  <si>
    <t>M27</t>
  </si>
  <si>
    <t>FE-2</t>
  </si>
  <si>
    <t>RZO-26</t>
  </si>
  <si>
    <t>MOVI-1694*2</t>
  </si>
  <si>
    <t>FELE-66</t>
  </si>
  <si>
    <t>Monterojo S.A.S</t>
  </si>
  <si>
    <t>FVE42</t>
  </si>
  <si>
    <t>EJ 2982800</t>
  </si>
  <si>
    <t>FEMD-4850</t>
  </si>
  <si>
    <t>GANA-241</t>
  </si>
  <si>
    <t>MAFE-40</t>
  </si>
  <si>
    <t>FMA-27</t>
  </si>
  <si>
    <t>Juan Carlos Mendez Anaya</t>
  </si>
  <si>
    <t>FEJC-32</t>
  </si>
  <si>
    <t>RETE FUENTE</t>
  </si>
  <si>
    <t>FE4</t>
  </si>
  <si>
    <t>HRT-16</t>
  </si>
  <si>
    <t>MOVI-1693*2</t>
  </si>
  <si>
    <t>FEDV389</t>
  </si>
  <si>
    <t>GANA242</t>
  </si>
  <si>
    <t>NC000054</t>
  </si>
  <si>
    <t>Edward Fabian Mejia Abril</t>
  </si>
  <si>
    <t>FELE-94</t>
  </si>
  <si>
    <t xml:space="preserve">CON RETENCION </t>
  </si>
  <si>
    <t>NCRE7</t>
  </si>
  <si>
    <t>FELC -987</t>
  </si>
  <si>
    <t>FEMD-4858*4</t>
  </si>
  <si>
    <t>MT1502</t>
  </si>
  <si>
    <t>FEMD-4861*3</t>
  </si>
  <si>
    <t>FEFE25</t>
  </si>
  <si>
    <t>FEDV388</t>
  </si>
  <si>
    <t>FVE-167</t>
  </si>
  <si>
    <t>FEDV390</t>
  </si>
  <si>
    <t>NC193</t>
  </si>
  <si>
    <t>FEYC-6</t>
  </si>
  <si>
    <t xml:space="preserve">Esta haciendo el tramite </t>
  </si>
  <si>
    <t>FE-54</t>
  </si>
  <si>
    <t>MT1507</t>
  </si>
  <si>
    <t>ETE-3401</t>
  </si>
  <si>
    <t>CD-122</t>
  </si>
  <si>
    <t>FEMD-4904*3</t>
  </si>
  <si>
    <t>FEVA-5204</t>
  </si>
  <si>
    <t>NCE37</t>
  </si>
  <si>
    <t>FVE-33</t>
  </si>
  <si>
    <t>NCV9</t>
  </si>
  <si>
    <t>FEDV391</t>
  </si>
  <si>
    <t>NC194</t>
  </si>
  <si>
    <t>FEDV392</t>
  </si>
  <si>
    <t>DM244</t>
  </si>
  <si>
    <t>F-138</t>
  </si>
  <si>
    <t>F105</t>
  </si>
  <si>
    <t>Roque Paez Cardenas</t>
  </si>
  <si>
    <t>FE-4</t>
  </si>
  <si>
    <t>RFDS-165</t>
  </si>
  <si>
    <t>NCR26</t>
  </si>
  <si>
    <t>GANA244</t>
  </si>
  <si>
    <t>FAMC8</t>
  </si>
  <si>
    <t>NCR43</t>
  </si>
  <si>
    <t>FEVA-5205</t>
  </si>
  <si>
    <t>NCE38</t>
  </si>
  <si>
    <t>DM245</t>
  </si>
  <si>
    <t>FE-611</t>
  </si>
  <si>
    <t>FEMD-4913*2</t>
  </si>
  <si>
    <t>FEDV393</t>
  </si>
  <si>
    <t>NC195</t>
  </si>
  <si>
    <t>INV-73</t>
  </si>
  <si>
    <t>MUL-381</t>
  </si>
  <si>
    <t>FE-1698</t>
  </si>
  <si>
    <t>NC13052</t>
  </si>
  <si>
    <t>DM247</t>
  </si>
  <si>
    <t>LA OKA S.A.S.</t>
  </si>
  <si>
    <t>FEOK78</t>
  </si>
  <si>
    <t>NC218</t>
  </si>
  <si>
    <t>MT1508</t>
  </si>
  <si>
    <t>FEMD-4930*3</t>
  </si>
  <si>
    <t>FEDV395</t>
  </si>
  <si>
    <t>FEDV396</t>
  </si>
  <si>
    <t>NC196</t>
  </si>
  <si>
    <t>FEVM 517</t>
  </si>
  <si>
    <t>IVC130</t>
  </si>
  <si>
    <t>FEMD-4933*3</t>
  </si>
  <si>
    <t>LP109</t>
  </si>
  <si>
    <t>FEDV394</t>
  </si>
  <si>
    <t>FVE-8</t>
  </si>
  <si>
    <t>FE-98</t>
  </si>
  <si>
    <t>FEAF-2</t>
  </si>
  <si>
    <t>FE-1699</t>
  </si>
  <si>
    <t>FEDV398</t>
  </si>
  <si>
    <t>E-168</t>
  </si>
  <si>
    <t>FEFE28</t>
  </si>
  <si>
    <t>OR-196</t>
  </si>
  <si>
    <t>AAAH-61</t>
  </si>
  <si>
    <t>AD30</t>
  </si>
  <si>
    <t>M29</t>
  </si>
  <si>
    <t>FEV-11</t>
  </si>
  <si>
    <t>RFDS-166</t>
  </si>
  <si>
    <t>NCR27</t>
  </si>
  <si>
    <t>LB-112</t>
  </si>
  <si>
    <t>MUL386</t>
  </si>
  <si>
    <t>FAMC9</t>
  </si>
  <si>
    <t>NDE10</t>
  </si>
  <si>
    <t>CACA-21</t>
  </si>
  <si>
    <t>MT1518</t>
  </si>
  <si>
    <t>FESA-48</t>
  </si>
  <si>
    <t>IN249056</t>
  </si>
  <si>
    <t>CD-123</t>
  </si>
  <si>
    <t>FE-1841</t>
  </si>
  <si>
    <t>NC10033</t>
  </si>
  <si>
    <t>NC1126</t>
  </si>
  <si>
    <t>FEDV399</t>
  </si>
  <si>
    <t>NC197</t>
  </si>
  <si>
    <t>FEDV400</t>
  </si>
  <si>
    <t>NC198</t>
  </si>
  <si>
    <t>FEVA-5206</t>
  </si>
  <si>
    <t>NCE39</t>
  </si>
  <si>
    <t>FELC -1001</t>
  </si>
  <si>
    <t>FEMD-4992*2</t>
  </si>
  <si>
    <t>DM248</t>
  </si>
  <si>
    <t>IVC131</t>
  </si>
  <si>
    <t>FE-261</t>
  </si>
  <si>
    <t>MISI-135</t>
  </si>
  <si>
    <t>FEJS-42</t>
  </si>
  <si>
    <t>FEDV409</t>
  </si>
  <si>
    <t>NC204</t>
  </si>
  <si>
    <t>FELE-96</t>
  </si>
  <si>
    <t>NCRE8</t>
  </si>
  <si>
    <t>FEDV-402</t>
  </si>
  <si>
    <t>NC200</t>
  </si>
  <si>
    <t>LP-110</t>
  </si>
  <si>
    <t>FELC-1002</t>
  </si>
  <si>
    <t>EJ 3062400</t>
  </si>
  <si>
    <t>FEMD-5018</t>
  </si>
  <si>
    <t>DM-249</t>
  </si>
  <si>
    <t>Marco Antonio Alvarez Vega</t>
  </si>
  <si>
    <t>MAV-2</t>
  </si>
  <si>
    <t>FAMC-13</t>
  </si>
  <si>
    <t>NDE11</t>
  </si>
  <si>
    <t>Hacienda Mozambique S.A.S</t>
  </si>
  <si>
    <t>HAMO127</t>
  </si>
  <si>
    <t>EJ 2982600</t>
  </si>
  <si>
    <t>CON RETEN -IN249056</t>
  </si>
  <si>
    <t>FEMD-5021</t>
  </si>
  <si>
    <t>FEDV-401</t>
  </si>
  <si>
    <t>FE-199</t>
  </si>
  <si>
    <t>Tres VE. S.A.S.</t>
  </si>
  <si>
    <t>TVE-144</t>
  </si>
  <si>
    <t>FMA-28</t>
  </si>
  <si>
    <t>MVYG-35</t>
  </si>
  <si>
    <t>FVE-170</t>
  </si>
  <si>
    <t>FEFE29</t>
  </si>
  <si>
    <t>FEDV404</t>
  </si>
  <si>
    <t>NC201</t>
  </si>
  <si>
    <t>FEDV405</t>
  </si>
  <si>
    <t>DM250</t>
  </si>
  <si>
    <t>FED-905</t>
  </si>
  <si>
    <t>EC14</t>
  </si>
  <si>
    <t>NC202</t>
  </si>
  <si>
    <t>FEDV407</t>
  </si>
  <si>
    <t>LP-111</t>
  </si>
  <si>
    <t>MT1530</t>
  </si>
  <si>
    <t>FESA-49</t>
  </si>
  <si>
    <t>CD-124</t>
  </si>
  <si>
    <t>FEDV406</t>
  </si>
  <si>
    <t>NC203</t>
  </si>
  <si>
    <t>S-49</t>
  </si>
  <si>
    <t>EJ*2 3697950*2</t>
  </si>
  <si>
    <t>TIENE BL IN249056</t>
  </si>
  <si>
    <t>FEMD-5037*2</t>
  </si>
  <si>
    <t>DM251</t>
  </si>
  <si>
    <t>FEV-12</t>
  </si>
  <si>
    <t>FEG-6</t>
  </si>
  <si>
    <t>AAAH-65</t>
  </si>
  <si>
    <t>AD31</t>
  </si>
  <si>
    <t>FAMC14</t>
  </si>
  <si>
    <t>NCR45</t>
  </si>
  <si>
    <t>MT1531</t>
  </si>
  <si>
    <t>IVC134</t>
  </si>
  <si>
    <t>PI173</t>
  </si>
  <si>
    <t>MAFE-41</t>
  </si>
  <si>
    <t>FE-200</t>
  </si>
  <si>
    <t>E-174</t>
  </si>
  <si>
    <t>FE-20</t>
  </si>
  <si>
    <t>MUL393</t>
  </si>
  <si>
    <t>FELE-97</t>
  </si>
  <si>
    <t>FEDV408</t>
  </si>
  <si>
    <t>PRI-87</t>
  </si>
  <si>
    <t>D00212</t>
  </si>
  <si>
    <t>FELC -1007</t>
  </si>
  <si>
    <t>EJ*2 3079200*2</t>
  </si>
  <si>
    <t>FEMD-5054*2</t>
  </si>
  <si>
    <t>FE-1701</t>
  </si>
  <si>
    <t>FVE-171</t>
  </si>
  <si>
    <t>FEDV411</t>
  </si>
  <si>
    <t>NC205</t>
  </si>
  <si>
    <t>FEDV413</t>
  </si>
  <si>
    <t>NC206</t>
  </si>
  <si>
    <t>DM256</t>
  </si>
  <si>
    <t>FEV 84</t>
  </si>
  <si>
    <t>NCE14</t>
  </si>
  <si>
    <t>1PAC-14</t>
  </si>
  <si>
    <t>FP1-2</t>
  </si>
  <si>
    <t>NC1127</t>
  </si>
  <si>
    <t>FVEC17</t>
  </si>
  <si>
    <t>FEDV414</t>
  </si>
  <si>
    <t>NC207</t>
  </si>
  <si>
    <t>FEDV412</t>
  </si>
  <si>
    <t>NC231</t>
  </si>
  <si>
    <t>MT-1536</t>
  </si>
  <si>
    <t>ETE-3501</t>
  </si>
  <si>
    <t>FEDV415</t>
  </si>
  <si>
    <t>NC208</t>
  </si>
  <si>
    <t>FEDV416</t>
  </si>
  <si>
    <t>NC209</t>
  </si>
  <si>
    <t>FE-1715</t>
  </si>
  <si>
    <t>FE-217</t>
  </si>
  <si>
    <t>FELC-1012</t>
  </si>
  <si>
    <t>FEMD-5101*2</t>
  </si>
  <si>
    <t>MT-1537</t>
  </si>
  <si>
    <t>ETE-3519</t>
  </si>
  <si>
    <t>LP112</t>
  </si>
  <si>
    <t>DM257</t>
  </si>
  <si>
    <t>DM258</t>
  </si>
  <si>
    <t>FE-22</t>
  </si>
  <si>
    <t>FAMC-15</t>
  </si>
  <si>
    <t>NDE12</t>
  </si>
  <si>
    <t>AAAH-66</t>
  </si>
  <si>
    <t>AD32</t>
  </si>
  <si>
    <t>FELE-98</t>
  </si>
  <si>
    <t>NCRE9</t>
  </si>
  <si>
    <t>FEDV417</t>
  </si>
  <si>
    <t>FE-23</t>
  </si>
  <si>
    <t>PRI-88</t>
  </si>
  <si>
    <t>FESA-52</t>
  </si>
  <si>
    <t>EJ*2 1816100*2</t>
  </si>
  <si>
    <t>FEMD-5145*2</t>
  </si>
  <si>
    <t>IVC-135</t>
  </si>
  <si>
    <t>FEMD-5140*4</t>
  </si>
  <si>
    <t>FEFE33</t>
  </si>
  <si>
    <t>FEDV424</t>
  </si>
  <si>
    <t>ND29</t>
  </si>
  <si>
    <t>FEDV425</t>
  </si>
  <si>
    <t>FEDV426</t>
  </si>
  <si>
    <t>NC211</t>
  </si>
  <si>
    <t>DM260</t>
  </si>
  <si>
    <t>F-141</t>
  </si>
  <si>
    <t>F106</t>
  </si>
  <si>
    <t>FELE-68</t>
  </si>
  <si>
    <t>FE-1846</t>
  </si>
  <si>
    <t>FE-1847</t>
  </si>
  <si>
    <t>FEDV427</t>
  </si>
  <si>
    <t>FEDV428</t>
  </si>
  <si>
    <t>FELC-1018</t>
  </si>
  <si>
    <t>EJ*5 2979200*3 3090800*1 3062400*1</t>
  </si>
  <si>
    <t>FEMD-5173</t>
  </si>
  <si>
    <t>FEMD-5174</t>
  </si>
  <si>
    <t>FEMD-5172*3</t>
  </si>
  <si>
    <t>FE-1844</t>
  </si>
  <si>
    <t>MT-1544</t>
  </si>
  <si>
    <t>ETE-3544</t>
  </si>
  <si>
    <t>FEFE34</t>
  </si>
  <si>
    <t>FEDV429</t>
  </si>
  <si>
    <t>S-50</t>
  </si>
  <si>
    <t>FEMD-5185*2</t>
  </si>
  <si>
    <t>MUL-399</t>
  </si>
  <si>
    <t>FVE-3990</t>
  </si>
  <si>
    <t>Inversiones Yepes Carrera S.A.S</t>
  </si>
  <si>
    <t>FE-153</t>
  </si>
  <si>
    <t>Surtiganados J S.A.S.</t>
  </si>
  <si>
    <t>FEDV-8</t>
  </si>
  <si>
    <t>NCFE2</t>
  </si>
  <si>
    <t>RFDS-175</t>
  </si>
  <si>
    <t>NCR29</t>
  </si>
  <si>
    <t>AAAH-67</t>
  </si>
  <si>
    <t>AD33</t>
  </si>
  <si>
    <t>FE-37</t>
  </si>
  <si>
    <t>CD-127</t>
  </si>
  <si>
    <t>FEMD-5190*4</t>
  </si>
  <si>
    <t>OR-202</t>
  </si>
  <si>
    <t>NC258</t>
  </si>
  <si>
    <t>FE-271</t>
  </si>
  <si>
    <t>PI177</t>
  </si>
  <si>
    <t>MISI-145</t>
  </si>
  <si>
    <t>MAFE-42</t>
  </si>
  <si>
    <t>Martha Elena Manzur Abdala</t>
  </si>
  <si>
    <t>FE-133</t>
  </si>
  <si>
    <t>DM261</t>
  </si>
  <si>
    <t>LP113</t>
  </si>
  <si>
    <t>FE-78</t>
  </si>
  <si>
    <t>MT-1546</t>
  </si>
  <si>
    <t>FEMD-5193*3</t>
  </si>
  <si>
    <t>FEDV430</t>
  </si>
  <si>
    <t>FEFE-35</t>
  </si>
  <si>
    <t>AB-683</t>
  </si>
  <si>
    <t>EJ*2 1961700*2</t>
  </si>
  <si>
    <t>FEMD-5219*2</t>
  </si>
  <si>
    <t>LP114</t>
  </si>
  <si>
    <t>FEVM 534</t>
  </si>
  <si>
    <t>FESA-53</t>
  </si>
  <si>
    <t>IVC137</t>
  </si>
  <si>
    <t>Zonia Rosa Bechara De Barguil</t>
  </si>
  <si>
    <t>ZRB-12</t>
  </si>
  <si>
    <t>DM262</t>
  </si>
  <si>
    <t>FE-1719</t>
  </si>
  <si>
    <t>NC13054</t>
  </si>
  <si>
    <t>FEDV431</t>
  </si>
  <si>
    <t>FEMO-1010000789</t>
  </si>
  <si>
    <t>EJ*3 1850000*2 1750000*1</t>
  </si>
  <si>
    <t>FEMD-5227*2</t>
  </si>
  <si>
    <t>FEMD-5228</t>
  </si>
  <si>
    <t>FEDV432</t>
  </si>
  <si>
    <t>MT-1556</t>
  </si>
  <si>
    <t>ETE-3574</t>
  </si>
  <si>
    <t>E-187</t>
  </si>
  <si>
    <t>FESA-54</t>
  </si>
  <si>
    <t>EJ*4 1816100*2 1633100*1 1863200*1</t>
  </si>
  <si>
    <t>FEMD-5230*2</t>
  </si>
  <si>
    <t>FEMD-5234*2</t>
  </si>
  <si>
    <t>EJ*3 1750000*3</t>
  </si>
  <si>
    <t>FEMD-5236*3</t>
  </si>
  <si>
    <t>FEDV433</t>
  </si>
  <si>
    <t>FEDV434</t>
  </si>
  <si>
    <t>FE 51</t>
  </si>
  <si>
    <t>C00212</t>
  </si>
  <si>
    <t>DM263</t>
  </si>
  <si>
    <t>DM265</t>
  </si>
  <si>
    <t>MT-1560</t>
  </si>
  <si>
    <t>FEMD-5242*3</t>
  </si>
  <si>
    <t>FELC-1025</t>
  </si>
  <si>
    <t>EJ*5 3042980*3 2982600*2</t>
  </si>
  <si>
    <t>FEMD-5244*4</t>
  </si>
  <si>
    <t>FEMD-5243*1</t>
  </si>
  <si>
    <t>FEDV435</t>
  </si>
  <si>
    <t>FEDV436</t>
  </si>
  <si>
    <t>FEYC-7</t>
  </si>
  <si>
    <t>OR-203</t>
  </si>
  <si>
    <t>NDE5</t>
  </si>
  <si>
    <t>F-142</t>
  </si>
  <si>
    <t>MUL404</t>
  </si>
  <si>
    <t>GANA260</t>
  </si>
  <si>
    <t>NC000057</t>
  </si>
  <si>
    <t>FEDV437</t>
  </si>
  <si>
    <t>LP115</t>
  </si>
  <si>
    <t>MISI-154</t>
  </si>
  <si>
    <t>FEMD-5277*3</t>
  </si>
  <si>
    <t>EJ*7 1750000*7</t>
  </si>
  <si>
    <t>FEMD-5276*1</t>
  </si>
  <si>
    <t>FEMD-5275*6</t>
  </si>
  <si>
    <t>FEC-1370</t>
  </si>
  <si>
    <t>AHM-6</t>
  </si>
  <si>
    <t>AMNC3</t>
  </si>
  <si>
    <t>JPS-1401</t>
  </si>
  <si>
    <t>NC100</t>
  </si>
  <si>
    <t>MVYG-36</t>
  </si>
  <si>
    <t>FEDV439</t>
  </si>
  <si>
    <t>FEMD-5300*5</t>
  </si>
  <si>
    <t>FE-69</t>
  </si>
  <si>
    <t>DM268</t>
  </si>
  <si>
    <t>MT-1564</t>
  </si>
  <si>
    <t>FEMD-5302*3</t>
  </si>
  <si>
    <t>FE-52</t>
  </si>
  <si>
    <t>C00213</t>
  </si>
  <si>
    <t>GANA267</t>
  </si>
  <si>
    <t>NC000058</t>
  </si>
  <si>
    <t>CD-130</t>
  </si>
  <si>
    <t>IVC-139</t>
  </si>
  <si>
    <t>FMA-31</t>
  </si>
  <si>
    <t>DM269</t>
  </si>
  <si>
    <t>FELC-1036</t>
  </si>
  <si>
    <t>EJ*5 3042980*5</t>
  </si>
  <si>
    <t>FEMD-5309*5</t>
  </si>
  <si>
    <t>FEDV440</t>
  </si>
  <si>
    <t>FEDV442</t>
  </si>
  <si>
    <t>FEDV443</t>
  </si>
  <si>
    <t>EJ*3 1850000*3</t>
  </si>
  <si>
    <t>FEMD-5307*3</t>
  </si>
  <si>
    <t>AAAH-68</t>
  </si>
  <si>
    <t>AD34</t>
  </si>
  <si>
    <t>FEDV444</t>
  </si>
  <si>
    <t>FEDV445</t>
  </si>
  <si>
    <t>FVE-4071</t>
  </si>
  <si>
    <t>PI181</t>
  </si>
  <si>
    <t>FE-203</t>
  </si>
  <si>
    <t>Subasta Ganadera Subagan - SOGA S.A.</t>
  </si>
  <si>
    <t>MIC-704</t>
  </si>
  <si>
    <t>FE-156</t>
  </si>
  <si>
    <t>2H Agropecuaria S.A.S.</t>
  </si>
  <si>
    <t>FE2H44</t>
  </si>
  <si>
    <t>FE-1721</t>
  </si>
  <si>
    <t>NC13056</t>
  </si>
  <si>
    <t>DM270</t>
  </si>
  <si>
    <t>FEJS-43</t>
  </si>
  <si>
    <t>LP116</t>
  </si>
  <si>
    <t>MT-1574</t>
  </si>
  <si>
    <t>ETE-3650</t>
  </si>
  <si>
    <t>FEHC-361</t>
  </si>
  <si>
    <t>EJ*2 1850000*1 1750000*1</t>
  </si>
  <si>
    <t>FEMD-5326*1</t>
  </si>
  <si>
    <t>FEMD-5327*1</t>
  </si>
  <si>
    <t>AR-109</t>
  </si>
  <si>
    <t>MOVI-1851*2</t>
  </si>
  <si>
    <t>FEDV447</t>
  </si>
  <si>
    <t>FEMB-221</t>
  </si>
  <si>
    <t>DM271</t>
  </si>
  <si>
    <t>FEDV446</t>
  </si>
  <si>
    <t>FEDV448</t>
  </si>
  <si>
    <t>FEDV449</t>
  </si>
  <si>
    <t>FEFE38</t>
  </si>
  <si>
    <t>IVC140</t>
  </si>
  <si>
    <t>FEMD-5350*3</t>
  </si>
  <si>
    <t>Lucely Suarez Escobar</t>
  </si>
  <si>
    <t>EJ 3497950</t>
  </si>
  <si>
    <t>FEMD-5351*1</t>
  </si>
  <si>
    <t>S-51</t>
  </si>
  <si>
    <t>FEMD-5352*2</t>
  </si>
  <si>
    <t>FELC-1045</t>
  </si>
  <si>
    <t>EJ*5 3090800*4 3079200</t>
  </si>
  <si>
    <t>FEMD-5354*1</t>
  </si>
  <si>
    <t>FEMD-5355*2</t>
  </si>
  <si>
    <t>FEMD-5356*2</t>
  </si>
  <si>
    <t>AAAH-70</t>
  </si>
  <si>
    <t>AD35</t>
  </si>
  <si>
    <t>DM-272</t>
  </si>
  <si>
    <t>EJ*4 1750000*4</t>
  </si>
  <si>
    <t>FEMD-5357*4</t>
  </si>
  <si>
    <t>FEMD-5399</t>
  </si>
  <si>
    <t>MT-1578</t>
  </si>
  <si>
    <t>FEMD-5358*3</t>
  </si>
  <si>
    <t>Ganados Monterrey S.A</t>
  </si>
  <si>
    <t>GME-812</t>
  </si>
  <si>
    <t>MUL-408</t>
  </si>
  <si>
    <t>FE-338</t>
  </si>
  <si>
    <t>FEDV450</t>
  </si>
  <si>
    <t>FEDV451</t>
  </si>
  <si>
    <t>F-147</t>
  </si>
  <si>
    <t>FEDV455</t>
  </si>
  <si>
    <t>FEDV454</t>
  </si>
  <si>
    <t>DM273</t>
  </si>
  <si>
    <t>LP117</t>
  </si>
  <si>
    <t>FE-1733</t>
  </si>
  <si>
    <t>MT1581</t>
  </si>
  <si>
    <t>ETE-3685</t>
  </si>
  <si>
    <t>FE-206</t>
  </si>
  <si>
    <t>FEMD-5373*2</t>
  </si>
  <si>
    <t>FEDV456</t>
  </si>
  <si>
    <t>NC233</t>
  </si>
  <si>
    <t>FEDV457</t>
  </si>
  <si>
    <t>ARF-193</t>
  </si>
  <si>
    <t>CD-132</t>
  </si>
  <si>
    <t>FEMD-5372*4</t>
  </si>
  <si>
    <t>FEDV461</t>
  </si>
  <si>
    <t>FVE-9</t>
  </si>
  <si>
    <t>JPS-1432</t>
  </si>
  <si>
    <t>MT-1589</t>
  </si>
  <si>
    <t>TYC 4150000</t>
  </si>
  <si>
    <t>ETE-3726</t>
  </si>
  <si>
    <t>MT1596</t>
  </si>
  <si>
    <t>FEVM548</t>
  </si>
  <si>
    <t>FE1742</t>
  </si>
  <si>
    <t>NC13061</t>
  </si>
  <si>
    <t>FE-340</t>
  </si>
  <si>
    <t>NC277</t>
  </si>
  <si>
    <t>FEDV460</t>
  </si>
  <si>
    <t>NC234</t>
  </si>
  <si>
    <t>EJ*1 1750000</t>
  </si>
  <si>
    <t>FEMD-5410*3</t>
  </si>
  <si>
    <t>FE-662</t>
  </si>
  <si>
    <t>FEMD-5411*2</t>
  </si>
  <si>
    <t>FEDV469</t>
  </si>
  <si>
    <t>FEDV470</t>
  </si>
  <si>
    <t>NC238</t>
  </si>
  <si>
    <t>FEDV468</t>
  </si>
  <si>
    <t>EJ*2 1750000*2</t>
  </si>
  <si>
    <t>FESA-55</t>
  </si>
  <si>
    <t>FELC-1054</t>
  </si>
  <si>
    <t>EJ*8 3042980*1 2982600*7</t>
  </si>
  <si>
    <t>FEMD-5417*7</t>
  </si>
  <si>
    <t>FEMD-5416*1</t>
  </si>
  <si>
    <t>DM275</t>
  </si>
  <si>
    <t>LP118</t>
  </si>
  <si>
    <t>FEDV462</t>
  </si>
  <si>
    <t>MT-1595</t>
  </si>
  <si>
    <t>ETE-3705</t>
  </si>
  <si>
    <t>FELE-70</t>
  </si>
  <si>
    <t>DM-276</t>
  </si>
  <si>
    <t>DM-277</t>
  </si>
  <si>
    <t>FEDV463</t>
  </si>
  <si>
    <t>IVC143</t>
  </si>
  <si>
    <t>IVC144</t>
  </si>
  <si>
    <t>PI185</t>
  </si>
  <si>
    <t>FEMO-1010000825</t>
  </si>
  <si>
    <t>EJ*6 3680000*4 1120000*1 1320000*1</t>
  </si>
  <si>
    <t>FEMD-5423*6</t>
  </si>
  <si>
    <t>FE-100029</t>
  </si>
  <si>
    <t>FEFE43</t>
  </si>
  <si>
    <t>FEDV464</t>
  </si>
  <si>
    <t>DM278</t>
  </si>
  <si>
    <t>DM279</t>
  </si>
  <si>
    <t>C00214</t>
  </si>
  <si>
    <t>FEOK-82</t>
  </si>
  <si>
    <t>FEDV466</t>
  </si>
  <si>
    <t>FEDV467</t>
  </si>
  <si>
    <t>NC236</t>
  </si>
  <si>
    <t>AB711</t>
  </si>
  <si>
    <t>CD-133</t>
  </si>
  <si>
    <t>FE-284</t>
  </si>
  <si>
    <t>MISI-161</t>
  </si>
  <si>
    <t>ZRB-14</t>
  </si>
  <si>
    <t>FE-207</t>
  </si>
  <si>
    <t>FE-208</t>
  </si>
  <si>
    <t>FEDV465</t>
  </si>
  <si>
    <t>PRI-92</t>
  </si>
  <si>
    <t>FELC-1059</t>
  </si>
  <si>
    <t>FEMD-5438*5</t>
  </si>
  <si>
    <t>GANA-17</t>
  </si>
  <si>
    <t>GANA-18</t>
  </si>
  <si>
    <t>FEJS-45</t>
  </si>
  <si>
    <t>CD-134</t>
  </si>
  <si>
    <t>FEMD-5439*4</t>
  </si>
  <si>
    <t>MT-1608</t>
  </si>
  <si>
    <t>ETE-3769</t>
  </si>
  <si>
    <t>FEDV471</t>
  </si>
  <si>
    <t>FEDV472</t>
  </si>
  <si>
    <t>NC239</t>
  </si>
  <si>
    <t>LP119</t>
  </si>
  <si>
    <t>LP120</t>
  </si>
  <si>
    <t>DM281</t>
  </si>
  <si>
    <t>NGJ-41</t>
  </si>
  <si>
    <t>NGJ-42</t>
  </si>
  <si>
    <t>FEFE46</t>
  </si>
  <si>
    <t>RFDS-184</t>
  </si>
  <si>
    <t>NCR30</t>
  </si>
  <si>
    <t>IVC145</t>
  </si>
  <si>
    <t>FEMD-5449*4</t>
  </si>
  <si>
    <t>IVC146</t>
  </si>
  <si>
    <t>AAAH-74</t>
  </si>
  <si>
    <t>AD36</t>
  </si>
  <si>
    <t>FEDV473</t>
  </si>
  <si>
    <t>NC240</t>
  </si>
  <si>
    <t>FEDV474</t>
  </si>
  <si>
    <t>DM-282</t>
  </si>
  <si>
    <t>DM-283</t>
  </si>
  <si>
    <t>FEHC374</t>
  </si>
  <si>
    <t>Fidel Stiven Cano Tovar</t>
  </si>
  <si>
    <t>FEFC-1</t>
  </si>
  <si>
    <t>EJ 2860900</t>
  </si>
  <si>
    <t>FEMD-5450</t>
  </si>
  <si>
    <t>NDHC1</t>
  </si>
  <si>
    <t>FE-664</t>
  </si>
  <si>
    <t>EJ 2982600*2</t>
  </si>
  <si>
    <t>FEMD-5451*2</t>
  </si>
  <si>
    <t>FEDV475</t>
  </si>
  <si>
    <t>NC241</t>
  </si>
  <si>
    <t>DM-284</t>
  </si>
  <si>
    <t>FE-1860</t>
  </si>
  <si>
    <t>FE-1861</t>
  </si>
  <si>
    <t>FE-209</t>
  </si>
  <si>
    <t>FEMD-5457*2</t>
  </si>
  <si>
    <t>FE-210</t>
  </si>
  <si>
    <t>FE-28</t>
  </si>
  <si>
    <t>FE6</t>
  </si>
  <si>
    <t>OR-212</t>
  </si>
  <si>
    <t>FE-1740</t>
  </si>
  <si>
    <t>NC13059</t>
  </si>
  <si>
    <t>Juan Jose Baena Diaz</t>
  </si>
  <si>
    <t>2022-90</t>
  </si>
  <si>
    <t>EJ*7 1730000*4 1590000*3</t>
  </si>
  <si>
    <t>FEMD-5460*4</t>
  </si>
  <si>
    <t>FEMD-5459*3</t>
  </si>
  <si>
    <t>MT-1616</t>
  </si>
  <si>
    <t>ETE-3770</t>
  </si>
  <si>
    <t>FEDV476</t>
  </si>
  <si>
    <t>AAAH-75</t>
  </si>
  <si>
    <t>AD37</t>
  </si>
  <si>
    <t>GAN-78</t>
  </si>
  <si>
    <t>FE-665</t>
  </si>
  <si>
    <t>FEMD-5506*2</t>
  </si>
  <si>
    <t>FACE401</t>
  </si>
  <si>
    <t>FEDV477</t>
  </si>
  <si>
    <t>NC242</t>
  </si>
  <si>
    <t>FEDV478</t>
  </si>
  <si>
    <t>NC243</t>
  </si>
  <si>
    <t>LP121</t>
  </si>
  <si>
    <t>FEDV479</t>
  </si>
  <si>
    <t>NC244</t>
  </si>
  <si>
    <t>FEDV480</t>
  </si>
  <si>
    <t>DM-286</t>
  </si>
  <si>
    <t>FVE-4234</t>
  </si>
  <si>
    <t>ND52</t>
  </si>
  <si>
    <t>RFDS-185</t>
  </si>
  <si>
    <t>FE-1741</t>
  </si>
  <si>
    <t>FACE402</t>
  </si>
  <si>
    <t>FVE-538</t>
  </si>
  <si>
    <t>MT1623</t>
  </si>
  <si>
    <t>CD-135</t>
  </si>
  <si>
    <t>FEDV481</t>
  </si>
  <si>
    <t>NC245</t>
  </si>
  <si>
    <t>FEDV482</t>
  </si>
  <si>
    <t>DM-287</t>
  </si>
  <si>
    <t>FACE403</t>
  </si>
  <si>
    <t>EJ*5 1670900*5 800000 transbordo</t>
  </si>
  <si>
    <t>FEMD-5532*4</t>
  </si>
  <si>
    <t>FEMD-5531*1</t>
  </si>
  <si>
    <t>FEMD-5527</t>
  </si>
  <si>
    <t>FEDV484</t>
  </si>
  <si>
    <t>FEDV483</t>
  </si>
  <si>
    <t>NC246</t>
  </si>
  <si>
    <t>IVC148</t>
  </si>
  <si>
    <t>IVC149</t>
  </si>
  <si>
    <t>FE-286</t>
  </si>
  <si>
    <t>FE-211</t>
  </si>
  <si>
    <t>FELC-1080</t>
  </si>
  <si>
    <t>EJ*8 3062400*3 2979200*5</t>
  </si>
  <si>
    <t>FEMD-5538*3</t>
  </si>
  <si>
    <t>FEMD-5537*5</t>
  </si>
  <si>
    <t>DM-290</t>
  </si>
  <si>
    <t>OR-213</t>
  </si>
  <si>
    <t>EJ*2 1670900*2</t>
  </si>
  <si>
    <t>FEMD-5566*2</t>
  </si>
  <si>
    <t>FEFE-50</t>
  </si>
  <si>
    <t>OR-214</t>
  </si>
  <si>
    <t>MACP1</t>
  </si>
  <si>
    <t>NCR46</t>
  </si>
  <si>
    <t>FESA-59</t>
  </si>
  <si>
    <t>FEDV485</t>
  </si>
  <si>
    <t>FVEC18</t>
  </si>
  <si>
    <t>NCEE9</t>
  </si>
  <si>
    <t>DM293</t>
  </si>
  <si>
    <t>CD-137</t>
  </si>
  <si>
    <t>FEMD-5576*4</t>
  </si>
  <si>
    <t>FEDV487</t>
  </si>
  <si>
    <t>NC247</t>
  </si>
  <si>
    <t>FEDV488</t>
  </si>
  <si>
    <t>NC248</t>
  </si>
  <si>
    <t>IVC152</t>
  </si>
  <si>
    <t>FEMD-5581*3</t>
  </si>
  <si>
    <t>FEMD-5632*1</t>
  </si>
  <si>
    <t>IVC153</t>
  </si>
  <si>
    <t>FEDV489</t>
  </si>
  <si>
    <t>FEDV490</t>
  </si>
  <si>
    <t>DM294</t>
  </si>
  <si>
    <t>PI196</t>
  </si>
  <si>
    <t>EJ 1648800</t>
  </si>
  <si>
    <t>FEMD-5589</t>
  </si>
  <si>
    <t>PI197</t>
  </si>
  <si>
    <t>Enrique Jaramillo Sanint</t>
  </si>
  <si>
    <t>EJ 2988600</t>
  </si>
  <si>
    <t>FEMD-5591</t>
  </si>
  <si>
    <t>FEOK-85</t>
  </si>
  <si>
    <t>Super Granos Lobo S.A.S.</t>
  </si>
  <si>
    <t>SGL19</t>
  </si>
  <si>
    <t>DV12</t>
  </si>
  <si>
    <t>FE-346</t>
  </si>
  <si>
    <t>NC278</t>
  </si>
  <si>
    <t>FE-1743</t>
  </si>
  <si>
    <t>DF212</t>
  </si>
  <si>
    <t>FE-108</t>
  </si>
  <si>
    <t>NC259</t>
  </si>
  <si>
    <t>FEDV491</t>
  </si>
  <si>
    <t>MT1637</t>
  </si>
  <si>
    <t>ETE-3832</t>
  </si>
  <si>
    <t>FEV-91</t>
  </si>
  <si>
    <t>NCE15</t>
  </si>
  <si>
    <t>FELC-1091</t>
  </si>
  <si>
    <t>EJ*8 2982600*8</t>
  </si>
  <si>
    <t>FEMD-5598*2</t>
  </si>
  <si>
    <t>FEMD-5599*6</t>
  </si>
  <si>
    <t>DM295</t>
  </si>
  <si>
    <t>FE-29</t>
  </si>
  <si>
    <t>Palmas Oleaginosas Del Ariguani S.A.S.</t>
  </si>
  <si>
    <t>FVE-319</t>
  </si>
  <si>
    <t>DM297</t>
  </si>
  <si>
    <t>FE-289</t>
  </si>
  <si>
    <t>EJ*1 1648800</t>
  </si>
  <si>
    <t>FEMD-5629*1</t>
  </si>
  <si>
    <t>FE-215</t>
  </si>
  <si>
    <t>EJ*1 1623900</t>
  </si>
  <si>
    <t>FEMD-5630*1</t>
  </si>
  <si>
    <t>FE-216</t>
  </si>
  <si>
    <t>GANA290</t>
  </si>
  <si>
    <t>ND000017</t>
  </si>
  <si>
    <t>MT-1644</t>
  </si>
  <si>
    <t>FEMD-5631*3</t>
  </si>
  <si>
    <t>FEDV493</t>
  </si>
  <si>
    <t>Agropecuaria el Potro Azul S.A.S</t>
  </si>
  <si>
    <t>PA-7</t>
  </si>
  <si>
    <t>DM299</t>
  </si>
  <si>
    <t>DM300</t>
  </si>
  <si>
    <t>1PAC-15</t>
  </si>
  <si>
    <t>F-152</t>
  </si>
  <si>
    <t>F107</t>
  </si>
  <si>
    <t>FEHC384</t>
  </si>
  <si>
    <t>MT-1650</t>
  </si>
  <si>
    <t>AB-745</t>
  </si>
  <si>
    <t>FESA-62</t>
  </si>
  <si>
    <t>CD-138</t>
  </si>
  <si>
    <t>IVC154</t>
  </si>
  <si>
    <t>IVC-155</t>
  </si>
  <si>
    <t>PI-199</t>
  </si>
  <si>
    <t>FE2H46</t>
  </si>
  <si>
    <t>MISI-171</t>
  </si>
  <si>
    <t>FE-164</t>
  </si>
  <si>
    <t>FVE-182</t>
  </si>
  <si>
    <t>NC1134</t>
  </si>
  <si>
    <t>FEDV494</t>
  </si>
  <si>
    <t>FEC-1605</t>
  </si>
  <si>
    <t>FE-228</t>
  </si>
  <si>
    <t>FEYC-8</t>
  </si>
  <si>
    <t>FEDV496</t>
  </si>
  <si>
    <t>AAAH-78</t>
  </si>
  <si>
    <t>AD38</t>
  </si>
  <si>
    <t>FEDV495</t>
  </si>
  <si>
    <t>FEOK-86</t>
  </si>
  <si>
    <t>RFDS-192</t>
  </si>
  <si>
    <t>NCR31</t>
  </si>
  <si>
    <t>FE-1757</t>
  </si>
  <si>
    <t>DF213</t>
  </si>
  <si>
    <t>LP-122</t>
  </si>
  <si>
    <t>DM-301</t>
  </si>
  <si>
    <t>FE-366</t>
  </si>
  <si>
    <t>MV00V24</t>
  </si>
  <si>
    <t>MVYG-37</t>
  </si>
  <si>
    <t>NGAE-32</t>
  </si>
  <si>
    <t>FEDV497</t>
  </si>
  <si>
    <t>S-52</t>
  </si>
  <si>
    <t>EJ*2 2650700*2</t>
  </si>
  <si>
    <t>FEMD-5680*2</t>
  </si>
  <si>
    <t>FEDV499</t>
  </si>
  <si>
    <t>FEDV500</t>
  </si>
  <si>
    <t>FE7</t>
  </si>
  <si>
    <t>FELC-1099</t>
  </si>
  <si>
    <t>EJ*10 1980900*2 1870800*8</t>
  </si>
  <si>
    <t>FEMD-5686*2</t>
  </si>
  <si>
    <t>FEMD-5685*8</t>
  </si>
  <si>
    <t>FEDV498</t>
  </si>
  <si>
    <t>FEDV501</t>
  </si>
  <si>
    <t>FEDV502</t>
  </si>
  <si>
    <t>FEDV503</t>
  </si>
  <si>
    <t>DM304</t>
  </si>
  <si>
    <t>MT-1661</t>
  </si>
  <si>
    <t>FEMD-5714*3</t>
  </si>
  <si>
    <t>FEJS-46</t>
  </si>
  <si>
    <t>FELC-1102</t>
  </si>
  <si>
    <t>EJ*8 1959600*8</t>
  </si>
  <si>
    <t>FEMD-5716*4</t>
  </si>
  <si>
    <t>FEMD-5717*4</t>
  </si>
  <si>
    <t>FEVM 568</t>
  </si>
  <si>
    <t>FE-204</t>
  </si>
  <si>
    <t>FEDV504</t>
  </si>
  <si>
    <t>in264810</t>
  </si>
  <si>
    <t>FEDV505</t>
  </si>
  <si>
    <t>Z-127</t>
  </si>
  <si>
    <t>NCR92</t>
  </si>
  <si>
    <t>MT-1662</t>
  </si>
  <si>
    <t>ETE-3918</t>
  </si>
  <si>
    <t>NUMA 1152250</t>
  </si>
  <si>
    <t>MOVI-1963</t>
  </si>
  <si>
    <t>FEDV506</t>
  </si>
  <si>
    <t>NC260</t>
  </si>
  <si>
    <t>OR-221</t>
  </si>
  <si>
    <t>RFDS-193</t>
  </si>
  <si>
    <t>NCR32</t>
  </si>
  <si>
    <t>FE-1759</t>
  </si>
  <si>
    <t>NC13062</t>
  </si>
  <si>
    <t>JAB-34</t>
  </si>
  <si>
    <t>FE-363</t>
  </si>
  <si>
    <t>NC279</t>
  </si>
  <si>
    <t>FVE-183</t>
  </si>
  <si>
    <t>PA8</t>
  </si>
  <si>
    <t>FEMD-5733*2</t>
  </si>
  <si>
    <t>FE-218</t>
  </si>
  <si>
    <t>FELC -1109</t>
  </si>
  <si>
    <t>EJ*2 1980900*2</t>
  </si>
  <si>
    <t>FEMD-5734</t>
  </si>
  <si>
    <t>FEG-7</t>
  </si>
  <si>
    <t>FEG-8</t>
  </si>
  <si>
    <t>Luis Alfonso Silva Barco</t>
  </si>
  <si>
    <t>GTE2850</t>
  </si>
  <si>
    <t>EJ*1 2979200</t>
  </si>
  <si>
    <t>FEMD-5736</t>
  </si>
  <si>
    <t>FVE-37</t>
  </si>
  <si>
    <t>NCV10</t>
  </si>
  <si>
    <t>PA9</t>
  </si>
  <si>
    <t>FE55</t>
  </si>
  <si>
    <t>FE-463</t>
  </si>
  <si>
    <t>MUL-429</t>
  </si>
  <si>
    <t>FEDV510</t>
  </si>
  <si>
    <t>NC261</t>
  </si>
  <si>
    <t>FEDV508</t>
  </si>
  <si>
    <t>FE-1761</t>
  </si>
  <si>
    <t>NC13063</t>
  </si>
  <si>
    <t>LP-123</t>
  </si>
  <si>
    <t>Bioagrarius S.A.S.</t>
  </si>
  <si>
    <t>in265287 - SR2993041</t>
  </si>
  <si>
    <t>DM305</t>
  </si>
  <si>
    <t>FEJS-47</t>
  </si>
  <si>
    <t>FELC-1107</t>
  </si>
  <si>
    <t>EJ*10 1959600*5 1980900*3 2180800*2</t>
  </si>
  <si>
    <t>FEMD-5748*3</t>
  </si>
  <si>
    <t>FEMD-5749*2</t>
  </si>
  <si>
    <t>FEDV509</t>
  </si>
  <si>
    <t>FEDV512</t>
  </si>
  <si>
    <t>NC263</t>
  </si>
  <si>
    <t>FEDV511</t>
  </si>
  <si>
    <t>NC262</t>
  </si>
  <si>
    <t>FEDV513</t>
  </si>
  <si>
    <t>NC264</t>
  </si>
  <si>
    <t>AAAH-79</t>
  </si>
  <si>
    <t>AD39</t>
  </si>
  <si>
    <t>DM306</t>
  </si>
  <si>
    <t>FVE-10</t>
  </si>
  <si>
    <t>FEDV514</t>
  </si>
  <si>
    <t>NC265</t>
  </si>
  <si>
    <t>FEDV515</t>
  </si>
  <si>
    <t>NC266</t>
  </si>
  <si>
    <t>MT-1672</t>
  </si>
  <si>
    <t>FESA-63</t>
  </si>
  <si>
    <t>FEDV516</t>
  </si>
  <si>
    <t>NC267</t>
  </si>
  <si>
    <t>FEDV517</t>
  </si>
  <si>
    <t>RFDS-194</t>
  </si>
  <si>
    <t>AR-115</t>
  </si>
  <si>
    <t>NUMA 920000*2</t>
  </si>
  <si>
    <t>MOVI-1981</t>
  </si>
  <si>
    <t>NUMA 920000*4</t>
  </si>
  <si>
    <t>MACP3</t>
  </si>
  <si>
    <t>NCR47</t>
  </si>
  <si>
    <t>FE-32</t>
  </si>
  <si>
    <t>FE8</t>
  </si>
  <si>
    <t>OR-222</t>
  </si>
  <si>
    <t>FVE38</t>
  </si>
  <si>
    <t>NCV11</t>
  </si>
  <si>
    <t>DM-308</t>
  </si>
  <si>
    <t>FELE-71</t>
  </si>
  <si>
    <t>CD-141</t>
  </si>
  <si>
    <t>IVC-159</t>
  </si>
  <si>
    <t>IVC-160</t>
  </si>
  <si>
    <t>AB-764</t>
  </si>
  <si>
    <t>FE-464</t>
  </si>
  <si>
    <t>SUBAGAN S.A.</t>
  </si>
  <si>
    <t>MIC-743</t>
  </si>
  <si>
    <t>FEDV518</t>
  </si>
  <si>
    <t>HRT-17</t>
  </si>
  <si>
    <t>5113743357 2</t>
  </si>
  <si>
    <t>NUMA 750000*8</t>
  </si>
  <si>
    <t>MOVI-1985*6</t>
  </si>
  <si>
    <t>MOVI-1989*2</t>
  </si>
  <si>
    <t>HRT-18</t>
  </si>
  <si>
    <t>NUMA 750000*10</t>
  </si>
  <si>
    <t>MOVI-1984</t>
  </si>
  <si>
    <t>AR-116</t>
  </si>
  <si>
    <t>FESA-64</t>
  </si>
  <si>
    <t>EJ 1816100*3 1633100</t>
  </si>
  <si>
    <t>FEMD-5804*3</t>
  </si>
  <si>
    <t>FEMD-5805</t>
  </si>
  <si>
    <t>FELE-110</t>
  </si>
  <si>
    <t>FE57</t>
  </si>
  <si>
    <t>LP-124</t>
  </si>
  <si>
    <t>Hacer reten desde diciembre</t>
  </si>
  <si>
    <t>DM312</t>
  </si>
  <si>
    <t>LB-127</t>
  </si>
  <si>
    <t>FE-465</t>
  </si>
  <si>
    <t>RZO38</t>
  </si>
  <si>
    <t>NUMA 750000*5</t>
  </si>
  <si>
    <t>MOVI-1988*5</t>
  </si>
  <si>
    <t>RZO39</t>
  </si>
  <si>
    <t>FEDV525</t>
  </si>
  <si>
    <t>ND31</t>
  </si>
  <si>
    <t>DM-313</t>
  </si>
  <si>
    <t>FE-1863</t>
  </si>
  <si>
    <t>FE-1864</t>
  </si>
  <si>
    <t>FE-1764</t>
  </si>
  <si>
    <t>DF214</t>
  </si>
  <si>
    <t>FVE-4425</t>
  </si>
  <si>
    <t>ND136</t>
  </si>
  <si>
    <t>MT-1678</t>
  </si>
  <si>
    <t>EJ  1857700</t>
  </si>
  <si>
    <t>FEMD-5816</t>
  </si>
  <si>
    <t>FEDV519</t>
  </si>
  <si>
    <t>FEDV520</t>
  </si>
  <si>
    <t>NC268</t>
  </si>
  <si>
    <t>DM-314</t>
  </si>
  <si>
    <t>DM-315</t>
  </si>
  <si>
    <t>F-156</t>
  </si>
  <si>
    <t>F108</t>
  </si>
  <si>
    <t>FE-100030</t>
  </si>
  <si>
    <t>MT-1679</t>
  </si>
  <si>
    <t>EJ 1857700*2 1793900*3</t>
  </si>
  <si>
    <t>FEMD-5821*3</t>
  </si>
  <si>
    <t>FEMD-5822</t>
  </si>
  <si>
    <t>FEDV522</t>
  </si>
  <si>
    <t>NC269</t>
  </si>
  <si>
    <t>FELC-1120</t>
  </si>
  <si>
    <t>EJ*10</t>
  </si>
  <si>
    <t>FEMD-5823*9</t>
  </si>
  <si>
    <t>FEMD-5824</t>
  </si>
  <si>
    <t>GTE-2865</t>
  </si>
  <si>
    <t>EJ*2 1880900*2</t>
  </si>
  <si>
    <t>FEMD-5825</t>
  </si>
  <si>
    <t>GANA-309</t>
  </si>
  <si>
    <t>NC000062</t>
  </si>
  <si>
    <t>FE9</t>
  </si>
  <si>
    <t>FEDV523</t>
  </si>
  <si>
    <t>NC270</t>
  </si>
  <si>
    <t>FEDV524</t>
  </si>
  <si>
    <t>NC271</t>
  </si>
  <si>
    <t>FEDV521</t>
  </si>
  <si>
    <t>FVE326</t>
  </si>
  <si>
    <t>GANA-21</t>
  </si>
  <si>
    <t>GANA-22</t>
  </si>
  <si>
    <t>FELE-111</t>
  </si>
  <si>
    <t>FE-220</t>
  </si>
  <si>
    <t>EJ 1623900</t>
  </si>
  <si>
    <t>FEMD-5846</t>
  </si>
  <si>
    <t>FE-221</t>
  </si>
  <si>
    <t>DM-323</t>
  </si>
  <si>
    <t>PA10</t>
  </si>
  <si>
    <t>FVEC19</t>
  </si>
  <si>
    <t>NCEE10</t>
  </si>
  <si>
    <t>GY-16</t>
  </si>
  <si>
    <t>FELE-72</t>
  </si>
  <si>
    <t>FEDV527</t>
  </si>
  <si>
    <t>NC272</t>
  </si>
  <si>
    <t>FEDV528</t>
  </si>
  <si>
    <t>NC273</t>
  </si>
  <si>
    <t>FEDV529</t>
  </si>
  <si>
    <t>NC274</t>
  </si>
  <si>
    <t>Sin imagen</t>
  </si>
  <si>
    <t>FE-1767</t>
  </si>
  <si>
    <t>NC13065</t>
  </si>
  <si>
    <t>FEC-1822</t>
  </si>
  <si>
    <t>FEJS-50</t>
  </si>
  <si>
    <t>Agroinversiones El Recreo S.A.S ZOMAC</t>
  </si>
  <si>
    <t>AGRO-43</t>
  </si>
  <si>
    <t xml:space="preserve">$1645644 Reten </t>
  </si>
  <si>
    <t>NE3</t>
  </si>
  <si>
    <t>beneficio 25% 411411 total 1.234.233</t>
  </si>
  <si>
    <t>FP1-4</t>
  </si>
  <si>
    <t>AB-774</t>
  </si>
  <si>
    <t>FESA-67</t>
  </si>
  <si>
    <t>IVC-163</t>
  </si>
  <si>
    <t>FEOK-89</t>
  </si>
  <si>
    <t>FVE-188</t>
  </si>
  <si>
    <t>IN268585</t>
  </si>
  <si>
    <t>NC1135</t>
  </si>
  <si>
    <t>RFDS-201</t>
  </si>
  <si>
    <t>FEDV530</t>
  </si>
  <si>
    <t>DM-324</t>
  </si>
  <si>
    <t>FEDV532</t>
  </si>
  <si>
    <t>NC275</t>
  </si>
  <si>
    <t>FEDV531</t>
  </si>
  <si>
    <t>FEDV533</t>
  </si>
  <si>
    <t>IVC-164</t>
  </si>
  <si>
    <t>FE299</t>
  </si>
  <si>
    <t>FE2H51</t>
  </si>
  <si>
    <t>FMA-36</t>
  </si>
  <si>
    <t>FELC-1135</t>
  </si>
  <si>
    <t>FEHC517</t>
  </si>
  <si>
    <t>FEAL46</t>
  </si>
  <si>
    <t>SR3022456</t>
  </si>
  <si>
    <t>MACP5</t>
  </si>
  <si>
    <t>NCR48</t>
  </si>
  <si>
    <t>INV-85</t>
  </si>
  <si>
    <t>INC11</t>
  </si>
  <si>
    <t>FEDV534</t>
  </si>
  <si>
    <t>NGAE-33</t>
  </si>
  <si>
    <t>FEHC401</t>
  </si>
  <si>
    <t>DM-329</t>
  </si>
  <si>
    <t>NC103</t>
  </si>
  <si>
    <t>LP125</t>
  </si>
  <si>
    <t>MACP6</t>
  </si>
  <si>
    <t>NCR49</t>
  </si>
  <si>
    <t>MT-1697</t>
  </si>
  <si>
    <t>MISI-183</t>
  </si>
  <si>
    <t>COMERCIALIZADORA Y REPRESENTACIONES H2O</t>
  </si>
  <si>
    <t>COFE-1269</t>
  </si>
  <si>
    <t>FEDV535</t>
  </si>
  <si>
    <t>LP126</t>
  </si>
  <si>
    <t>FE-83</t>
  </si>
  <si>
    <t>NUMA*2</t>
  </si>
  <si>
    <t>MOVI-2031</t>
  </si>
  <si>
    <t>DF235</t>
  </si>
  <si>
    <t>RFDS-203</t>
  </si>
  <si>
    <t>E198</t>
  </si>
  <si>
    <t>FE-112</t>
  </si>
  <si>
    <t>NC1136</t>
  </si>
  <si>
    <t>FE-378</t>
  </si>
  <si>
    <t>NC284</t>
  </si>
  <si>
    <t>FEDV537</t>
  </si>
  <si>
    <t>FELC-1141</t>
  </si>
  <si>
    <t>EJ*61980900-5*9.798.000</t>
  </si>
  <si>
    <t>FEMD-5747</t>
  </si>
  <si>
    <t>FEMD-5908*4</t>
  </si>
  <si>
    <t>FEMD-5909*2</t>
  </si>
  <si>
    <t>LB-128</t>
  </si>
  <si>
    <t>FEDV538</t>
  </si>
  <si>
    <t>NC276</t>
  </si>
  <si>
    <t>FEDV539</t>
  </si>
  <si>
    <t>FEOK-90</t>
  </si>
  <si>
    <t>FVE-4495</t>
  </si>
  <si>
    <t>PA-11</t>
  </si>
  <si>
    <t>FE-1006</t>
  </si>
  <si>
    <t>EJ*9 730800*9</t>
  </si>
  <si>
    <t xml:space="preserve">CON BL </t>
  </si>
  <si>
    <t>FEMD-5917</t>
  </si>
  <si>
    <t>FEDV540</t>
  </si>
  <si>
    <t>FEDV541</t>
  </si>
  <si>
    <t>DM-332</t>
  </si>
  <si>
    <t>DM-333</t>
  </si>
  <si>
    <t>DM-334</t>
  </si>
  <si>
    <t>FVE653</t>
  </si>
  <si>
    <t>EJ*2 2792400*2</t>
  </si>
  <si>
    <t>EJ*2  1325600*2</t>
  </si>
  <si>
    <t>FEMD-5925</t>
  </si>
  <si>
    <t>FEDV542</t>
  </si>
  <si>
    <t xml:space="preserve">Marcela pendiente </t>
  </si>
  <si>
    <t>FEDV543</t>
  </si>
  <si>
    <t>ZRB-15</t>
  </si>
  <si>
    <t>SR3043134 - PAGO SR3050789</t>
  </si>
  <si>
    <t>MT-1701</t>
  </si>
  <si>
    <t>AB-780</t>
  </si>
  <si>
    <t>PI-209</t>
  </si>
  <si>
    <t>Subastas Ganaderas Del Uraba Grande</t>
  </si>
  <si>
    <t>CC-28411</t>
  </si>
  <si>
    <t>EJ*1 780600</t>
  </si>
  <si>
    <t>FEMD-5924</t>
  </si>
  <si>
    <t>CC-28412</t>
  </si>
  <si>
    <t>EJ*2 780600*2</t>
  </si>
  <si>
    <t>DM-335</t>
  </si>
  <si>
    <t>FELC-1142</t>
  </si>
  <si>
    <t>EJ*61870800</t>
  </si>
  <si>
    <t>FEMD-5926*6</t>
  </si>
  <si>
    <t>FESA-68</t>
  </si>
  <si>
    <t xml:space="preserve">Pendiente Cristina </t>
  </si>
  <si>
    <t>CD-143</t>
  </si>
  <si>
    <t>IVC165</t>
  </si>
  <si>
    <t>IVC166</t>
  </si>
  <si>
    <t>FEDV550</t>
  </si>
  <si>
    <t>FE10</t>
  </si>
  <si>
    <t>FELE-112</t>
  </si>
  <si>
    <t>JPS-1589</t>
  </si>
  <si>
    <t>JPS-1590</t>
  </si>
  <si>
    <t>FEDV551</t>
  </si>
  <si>
    <t>NC282</t>
  </si>
  <si>
    <t>FEDV552</t>
  </si>
  <si>
    <t>NC283</t>
  </si>
  <si>
    <t>DM339</t>
  </si>
  <si>
    <t>IVC-168</t>
  </si>
  <si>
    <t>EJ *5 1793900</t>
  </si>
  <si>
    <t>FEMD-5945</t>
  </si>
  <si>
    <t>IVC-169</t>
  </si>
  <si>
    <t>MT-1707</t>
  </si>
  <si>
    <t>TYC 1793900</t>
  </si>
  <si>
    <t>ETE-4057</t>
  </si>
  <si>
    <t>FE65</t>
  </si>
  <si>
    <t>FEDV553</t>
  </si>
  <si>
    <t>FEDV554</t>
  </si>
  <si>
    <t>F-161</t>
  </si>
  <si>
    <t>DM340</t>
  </si>
  <si>
    <t>AB789</t>
  </si>
  <si>
    <t>FESA-69</t>
  </si>
  <si>
    <t>PI-210</t>
  </si>
  <si>
    <t>FVE-203</t>
  </si>
  <si>
    <t>DM341</t>
  </si>
  <si>
    <t>FELC-1150</t>
  </si>
  <si>
    <t>EJ-2982600*10</t>
  </si>
  <si>
    <t>FEMD-5957*10</t>
  </si>
  <si>
    <t>FEDV555</t>
  </si>
  <si>
    <t>NC285</t>
  </si>
  <si>
    <t>FEDV556</t>
  </si>
  <si>
    <t>FEDV557</t>
  </si>
  <si>
    <t>NC286</t>
  </si>
  <si>
    <t>MT-1711</t>
  </si>
  <si>
    <t>FEMD-5961*3</t>
  </si>
  <si>
    <t>DM342</t>
  </si>
  <si>
    <t>FE2H52</t>
  </si>
  <si>
    <t>MISI-188</t>
  </si>
  <si>
    <t>FE-222</t>
  </si>
  <si>
    <t>FE-223</t>
  </si>
  <si>
    <t>TVE-170</t>
  </si>
  <si>
    <t>DM343</t>
  </si>
  <si>
    <t>FEDV558</t>
  </si>
  <si>
    <t>NC287</t>
  </si>
  <si>
    <t>DF215</t>
  </si>
  <si>
    <t>RFDS-205</t>
  </si>
  <si>
    <t>NDB4</t>
  </si>
  <si>
    <t>FEHC404</t>
  </si>
  <si>
    <t>E-204</t>
  </si>
  <si>
    <t>ARF-209</t>
  </si>
  <si>
    <t xml:space="preserve">NUMA*3 499560 </t>
  </si>
  <si>
    <t>MOVI-2065*3</t>
  </si>
  <si>
    <t>FE-700</t>
  </si>
  <si>
    <t>EJ*3*2982600</t>
  </si>
  <si>
    <t>FEMD-5969*3</t>
  </si>
  <si>
    <t>FEDV561</t>
  </si>
  <si>
    <t>FE11</t>
  </si>
  <si>
    <t>FACE425</t>
  </si>
  <si>
    <t>FVE665</t>
  </si>
  <si>
    <t>FEMD-6012*3</t>
  </si>
  <si>
    <t>FEDV564</t>
  </si>
  <si>
    <t>NC288</t>
  </si>
  <si>
    <t>1PAC16</t>
  </si>
  <si>
    <t>FEAL-49</t>
  </si>
  <si>
    <t>NCR5</t>
  </si>
  <si>
    <t>MT-1716</t>
  </si>
  <si>
    <t>EJ*3 1776100*1 1793900*2 TYC 4792500</t>
  </si>
  <si>
    <t>5363900 y 4792500</t>
  </si>
  <si>
    <t>FEMD-6021</t>
  </si>
  <si>
    <t>FEMD-6020*2</t>
  </si>
  <si>
    <t>ETE-4087</t>
  </si>
  <si>
    <t>FELC-1161</t>
  </si>
  <si>
    <t>EJ*10 2979200*10</t>
  </si>
  <si>
    <t>FEMD-6022*10</t>
  </si>
  <si>
    <t>JAB-36</t>
  </si>
  <si>
    <t>FVE-4577</t>
  </si>
  <si>
    <t>FEDV565</t>
  </si>
  <si>
    <t>FE-701</t>
  </si>
  <si>
    <t>FEMD-6023*3</t>
  </si>
  <si>
    <t>FVE204</t>
  </si>
  <si>
    <t>DM349</t>
  </si>
  <si>
    <t>FEDV567</t>
  </si>
  <si>
    <t>NC289</t>
  </si>
  <si>
    <t>FEDV568</t>
  </si>
  <si>
    <t>NC290</t>
  </si>
  <si>
    <t>FEDV566</t>
  </si>
  <si>
    <t>SEMITNAL</t>
  </si>
  <si>
    <t>Almacén</t>
  </si>
  <si>
    <t>Ingresan a</t>
  </si>
  <si>
    <t>Fecha Factura</t>
  </si>
  <si>
    <t>Fecha de fabricación</t>
  </si>
  <si>
    <t>Fecha  correo</t>
  </si>
  <si>
    <t>N° Factura</t>
  </si>
  <si>
    <t>Kilos</t>
  </si>
  <si>
    <t>Precio kg</t>
  </si>
  <si>
    <t>UN</t>
  </si>
  <si>
    <t>Lote</t>
  </si>
  <si>
    <t>Transportadora</t>
  </si>
  <si>
    <t>Subagan S.A.</t>
  </si>
  <si>
    <t>A019</t>
  </si>
  <si>
    <t>MIC470</t>
  </si>
  <si>
    <t>NUMA</t>
  </si>
  <si>
    <t>Agropecuaria Francia y Lusitania</t>
  </si>
  <si>
    <t>F159</t>
  </si>
  <si>
    <t>AG-405</t>
  </si>
  <si>
    <t>Jeral S.A.S</t>
  </si>
  <si>
    <t>F171</t>
  </si>
  <si>
    <t>JFEV-36</t>
  </si>
  <si>
    <t>Fabian Andrés Cortes Londoño</t>
  </si>
  <si>
    <t>F166</t>
  </si>
  <si>
    <t>FE1-35</t>
  </si>
  <si>
    <t>Carlos Alberto Vergara Curi</t>
  </si>
  <si>
    <t>MICC473</t>
  </si>
  <si>
    <t>Inversiones El Diamante</t>
  </si>
  <si>
    <t>F096</t>
  </si>
  <si>
    <t>FE 143</t>
  </si>
  <si>
    <t>FE 144</t>
  </si>
  <si>
    <t>Alfonso Orozoco Martinez</t>
  </si>
  <si>
    <t>F097</t>
  </si>
  <si>
    <t>FE 64</t>
  </si>
  <si>
    <t>German Alberto Cañon Jaime</t>
  </si>
  <si>
    <t>F038</t>
  </si>
  <si>
    <t>FE 41</t>
  </si>
  <si>
    <t>CC Subasta Ganadera Del Sinu S.A.S</t>
  </si>
  <si>
    <t>AG-414</t>
  </si>
  <si>
    <t>AF62261</t>
  </si>
  <si>
    <t>Subastar S.A</t>
  </si>
  <si>
    <t>EJ</t>
  </si>
  <si>
    <t>Hacienda Casa La Vista S.A.S</t>
  </si>
  <si>
    <t>F122</t>
  </si>
  <si>
    <t xml:space="preserve">FEV 23 </t>
  </si>
  <si>
    <t>Jonny De Jesús Ceballos Gonzales</t>
  </si>
  <si>
    <t>F172</t>
  </si>
  <si>
    <t>FEJC24</t>
  </si>
  <si>
    <t>FEJC23</t>
  </si>
  <si>
    <t>Wilson Murillo</t>
  </si>
  <si>
    <t>F071</t>
  </si>
  <si>
    <t>FE159</t>
  </si>
  <si>
    <t>Agrochaparral S.A.S</t>
  </si>
  <si>
    <t>F170</t>
  </si>
  <si>
    <t>ACH-30</t>
  </si>
  <si>
    <t>F011</t>
  </si>
  <si>
    <t>FE160</t>
  </si>
  <si>
    <t>AF62334</t>
  </si>
  <si>
    <t>AF62337</t>
  </si>
  <si>
    <t>Inversiones Valledupar S.A.S</t>
  </si>
  <si>
    <t>F110</t>
  </si>
  <si>
    <t>FE 65</t>
  </si>
  <si>
    <t>F067</t>
  </si>
  <si>
    <t>AF62335</t>
  </si>
  <si>
    <t>AF62336</t>
  </si>
  <si>
    <t>Monte Rojo S.A.S</t>
  </si>
  <si>
    <t>F167</t>
  </si>
  <si>
    <t>FVE28</t>
  </si>
  <si>
    <t>Ana Maria Solano Hernandez</t>
  </si>
  <si>
    <t>F079</t>
  </si>
  <si>
    <t>FE-128</t>
  </si>
  <si>
    <t>FE-129</t>
  </si>
  <si>
    <t>F164</t>
  </si>
  <si>
    <t>OR149</t>
  </si>
  <si>
    <t>Maria Adelaidad Restrepo Echeverri</t>
  </si>
  <si>
    <t>F058</t>
  </si>
  <si>
    <t>MARE60</t>
  </si>
  <si>
    <t>MARE61</t>
  </si>
  <si>
    <t>Edelmira Vasquez Granada</t>
  </si>
  <si>
    <t>F069</t>
  </si>
  <si>
    <t>FE30</t>
  </si>
  <si>
    <t>FE1-39</t>
  </si>
  <si>
    <t>A148</t>
  </si>
  <si>
    <t>MIC490</t>
  </si>
  <si>
    <t>F019</t>
  </si>
  <si>
    <t>AF62399</t>
  </si>
  <si>
    <t>AF62477</t>
  </si>
  <si>
    <t>PR22874</t>
  </si>
  <si>
    <t>MIC497</t>
  </si>
  <si>
    <t>PCR23238</t>
  </si>
  <si>
    <t>MIC499</t>
  </si>
  <si>
    <t>Agronegocios JAR S.A.S Zomac</t>
  </si>
  <si>
    <t>AG55</t>
  </si>
  <si>
    <t>F158</t>
  </si>
  <si>
    <t>AF62463</t>
  </si>
  <si>
    <t>AF62490</t>
  </si>
  <si>
    <t>MIC498</t>
  </si>
  <si>
    <t>Sugaberrio S.A.S</t>
  </si>
  <si>
    <t>FAC6063</t>
  </si>
  <si>
    <t>FAC6055</t>
  </si>
  <si>
    <t>Maria Fernanda Dangond Quintero</t>
  </si>
  <si>
    <t>F155</t>
  </si>
  <si>
    <t>GAN 18</t>
  </si>
  <si>
    <t>GAN-19</t>
  </si>
  <si>
    <t>F126</t>
  </si>
  <si>
    <t>FE161</t>
  </si>
  <si>
    <t>MIC506</t>
  </si>
  <si>
    <t>MIC505</t>
  </si>
  <si>
    <t>Juan Pablo Gutierrez Sanin</t>
  </si>
  <si>
    <t>F007</t>
  </si>
  <si>
    <t>PNFE-114</t>
  </si>
  <si>
    <t>FAC 6103</t>
  </si>
  <si>
    <t>FAC6127</t>
  </si>
  <si>
    <t>FE1-40</t>
  </si>
  <si>
    <t>Agrosa S.A.S</t>
  </si>
  <si>
    <t>AGRO24</t>
  </si>
  <si>
    <t xml:space="preserve">Adriana Maria Jaramillo Perez </t>
  </si>
  <si>
    <t>F135</t>
  </si>
  <si>
    <t>FAJ57</t>
  </si>
  <si>
    <t>Jose Gabriel Martinez Jaramillo</t>
  </si>
  <si>
    <t>F186</t>
  </si>
  <si>
    <t>FE-971</t>
  </si>
  <si>
    <t>FE-972</t>
  </si>
  <si>
    <t>FE-973</t>
  </si>
  <si>
    <t>FE164</t>
  </si>
  <si>
    <t>FE165</t>
  </si>
  <si>
    <t>F188</t>
  </si>
  <si>
    <t>FE1-41</t>
  </si>
  <si>
    <t>JPS-957</t>
  </si>
  <si>
    <t>OR155</t>
  </si>
  <si>
    <t>OR156</t>
  </si>
  <si>
    <t>FE-988</t>
  </si>
  <si>
    <t>FE-53</t>
  </si>
  <si>
    <t>FSL6029</t>
  </si>
  <si>
    <t>Mauricio Alberto Gomez Montaño</t>
  </si>
  <si>
    <t>F024</t>
  </si>
  <si>
    <t>FE14</t>
  </si>
  <si>
    <t>F085</t>
  </si>
  <si>
    <t>FAC6269</t>
  </si>
  <si>
    <t>FBC12594</t>
  </si>
  <si>
    <t>MIC520</t>
  </si>
  <si>
    <t>F189</t>
  </si>
  <si>
    <t>FELE50</t>
  </si>
  <si>
    <t>F165</t>
  </si>
  <si>
    <t>MIC523</t>
  </si>
  <si>
    <t>MIC526</t>
  </si>
  <si>
    <t>MIC527</t>
  </si>
  <si>
    <t>MIC528</t>
  </si>
  <si>
    <t>MIC529</t>
  </si>
  <si>
    <t>FE168</t>
  </si>
  <si>
    <t>L1 2505</t>
  </si>
  <si>
    <t>MIC525</t>
  </si>
  <si>
    <t>FBC12622</t>
  </si>
  <si>
    <t>FE169</t>
  </si>
  <si>
    <t>F114</t>
  </si>
  <si>
    <t>FBC12754</t>
  </si>
  <si>
    <t>FE172</t>
  </si>
  <si>
    <t>Agropecuaria San Francisco S.A.S</t>
  </si>
  <si>
    <t>FE26</t>
  </si>
  <si>
    <t>Juan Alberto Saldarriaga</t>
  </si>
  <si>
    <t>FE5964</t>
  </si>
  <si>
    <t>GANEM Tapias Elias Farid</t>
  </si>
  <si>
    <t>EGGA-101</t>
  </si>
  <si>
    <t>Comercializadora El Delirio S.A.S</t>
  </si>
  <si>
    <t>F020</t>
  </si>
  <si>
    <t>FE181</t>
  </si>
  <si>
    <t>Inversiones El Diamante H.M S.A.S</t>
  </si>
  <si>
    <t>FE154</t>
  </si>
  <si>
    <t>JFEV-47</t>
  </si>
  <si>
    <t>F177</t>
  </si>
  <si>
    <t>FEC20897</t>
  </si>
  <si>
    <t>FEC20929</t>
  </si>
  <si>
    <t>Inversiones Bonito Viento S.A.S</t>
  </si>
  <si>
    <t>F043</t>
  </si>
  <si>
    <t>IBV74</t>
  </si>
  <si>
    <t>FE173</t>
  </si>
  <si>
    <t>Jorge Alberto Cabanzo Lopez</t>
  </si>
  <si>
    <t>F119</t>
  </si>
  <si>
    <t xml:space="preserve">FCC10006 </t>
  </si>
  <si>
    <t>FCC10017</t>
  </si>
  <si>
    <t>M1-237560</t>
  </si>
  <si>
    <t>J1-229180</t>
  </si>
  <si>
    <t>J1-229179</t>
  </si>
  <si>
    <t>M1-237579</t>
  </si>
  <si>
    <t>F124</t>
  </si>
  <si>
    <t>FE 75</t>
  </si>
  <si>
    <t>F062</t>
  </si>
  <si>
    <t>MIC547</t>
  </si>
  <si>
    <t>Amvimundo S.A.S</t>
  </si>
  <si>
    <t>F184</t>
  </si>
  <si>
    <t>FE186</t>
  </si>
  <si>
    <t>FEC21298</t>
  </si>
  <si>
    <t>FEC21300</t>
  </si>
  <si>
    <t>FEC21301</t>
  </si>
  <si>
    <t>FEC21302</t>
  </si>
  <si>
    <t>FEC21303</t>
  </si>
  <si>
    <t>FEC21320</t>
  </si>
  <si>
    <t>FEC21323</t>
  </si>
  <si>
    <t>AGRO26</t>
  </si>
  <si>
    <t>MIC554</t>
  </si>
  <si>
    <t>FAC 6501</t>
  </si>
  <si>
    <t>FAC 6517</t>
  </si>
  <si>
    <t>DM154</t>
  </si>
  <si>
    <t>F068</t>
  </si>
  <si>
    <t>MICC556</t>
  </si>
  <si>
    <t>MIC558</t>
  </si>
  <si>
    <t>FEJC28</t>
  </si>
  <si>
    <t>FEJC30</t>
  </si>
  <si>
    <t>Sociedad Agricola De Dibulla LTDA</t>
  </si>
  <si>
    <t>F182</t>
  </si>
  <si>
    <t>SAD5473</t>
  </si>
  <si>
    <t>FE177</t>
  </si>
  <si>
    <t>FE176</t>
  </si>
  <si>
    <t>FAC 6711</t>
  </si>
  <si>
    <t>FAC 6707</t>
  </si>
  <si>
    <t>FE188</t>
  </si>
  <si>
    <t>F162</t>
  </si>
  <si>
    <t>FE88</t>
  </si>
  <si>
    <t>FBC13450</t>
  </si>
  <si>
    <t>FE178</t>
  </si>
  <si>
    <t>MIC559</t>
  </si>
  <si>
    <t>FE179</t>
  </si>
  <si>
    <t>A035</t>
  </si>
  <si>
    <t>FEC22265</t>
  </si>
  <si>
    <t>FEC22307</t>
  </si>
  <si>
    <t>AF63785</t>
  </si>
  <si>
    <t>FE19</t>
  </si>
  <si>
    <t>FE 161</t>
  </si>
  <si>
    <t>F116</t>
  </si>
  <si>
    <t>FAC6902</t>
  </si>
  <si>
    <t>FAC6908</t>
  </si>
  <si>
    <t>FAC6918</t>
  </si>
  <si>
    <t>FAC6909</t>
  </si>
  <si>
    <t>FBC13536</t>
  </si>
  <si>
    <t>FE80</t>
  </si>
  <si>
    <t xml:space="preserve">	FELC-864</t>
  </si>
  <si>
    <t>FEC22642</t>
  </si>
  <si>
    <t>FEC22645</t>
  </si>
  <si>
    <t>FEC22686</t>
  </si>
  <si>
    <t>FEC22662</t>
  </si>
  <si>
    <t>PAZC580</t>
  </si>
  <si>
    <t>PAZC568</t>
  </si>
  <si>
    <t>MIC570</t>
  </si>
  <si>
    <t>Paul Andres Rodriguez Sanchez</t>
  </si>
  <si>
    <t>F049</t>
  </si>
  <si>
    <t>GCOR4</t>
  </si>
  <si>
    <t>P3167</t>
  </si>
  <si>
    <t>F175</t>
  </si>
  <si>
    <t>FBC 13743</t>
  </si>
  <si>
    <t>F143</t>
  </si>
  <si>
    <t>FBC 13744</t>
  </si>
  <si>
    <t>FEC22640</t>
  </si>
  <si>
    <t>FEC22641</t>
  </si>
  <si>
    <t>FEC22649</t>
  </si>
  <si>
    <t>FEC22661</t>
  </si>
  <si>
    <t>MIC571</t>
  </si>
  <si>
    <t>Hacienda Cansa La Vista S.A.S</t>
  </si>
  <si>
    <t>FEV 27</t>
  </si>
  <si>
    <t>FE184</t>
  </si>
  <si>
    <t>AF63993</t>
  </si>
  <si>
    <t>AF63974</t>
  </si>
  <si>
    <t>AF63966</t>
  </si>
  <si>
    <t>MIC569</t>
  </si>
  <si>
    <t>MIC573</t>
  </si>
  <si>
    <t>MIC574</t>
  </si>
  <si>
    <t>FEC22993</t>
  </si>
  <si>
    <t>FEC23024</t>
  </si>
  <si>
    <t>FEC23001</t>
  </si>
  <si>
    <t>FEC23038</t>
  </si>
  <si>
    <t xml:space="preserve">FEC23053 </t>
  </si>
  <si>
    <t>FAC7033</t>
  </si>
  <si>
    <t>FAC7026</t>
  </si>
  <si>
    <t>FAC7031</t>
  </si>
  <si>
    <t xml:space="preserve">FAC7034 </t>
  </si>
  <si>
    <t>FAC7050</t>
  </si>
  <si>
    <t>Cencogan S.A.S</t>
  </si>
  <si>
    <t>C129795</t>
  </si>
  <si>
    <t>C129796</t>
  </si>
  <si>
    <t>MIC581</t>
  </si>
  <si>
    <t>PNFE-143</t>
  </si>
  <si>
    <t>F174</t>
  </si>
  <si>
    <t>FBC 14097</t>
  </si>
  <si>
    <t>F056</t>
  </si>
  <si>
    <t>FAC7263</t>
  </si>
  <si>
    <t>PAZC659</t>
  </si>
  <si>
    <t>F196</t>
  </si>
  <si>
    <t>FEHC-507</t>
  </si>
  <si>
    <t>FEHC-508</t>
  </si>
  <si>
    <t>F008</t>
  </si>
  <si>
    <t>FE189</t>
  </si>
  <si>
    <t>FAC7207</t>
  </si>
  <si>
    <t>F136</t>
  </si>
  <si>
    <t>FBC14098</t>
  </si>
  <si>
    <t>FEC23462</t>
  </si>
  <si>
    <t>F197</t>
  </si>
  <si>
    <t>FEHC-506</t>
  </si>
  <si>
    <t>A195</t>
  </si>
  <si>
    <t>AG-64</t>
  </si>
  <si>
    <t>FE190</t>
  </si>
  <si>
    <t>Lecheria San Diego S.A.S Zomac</t>
  </si>
  <si>
    <t>LSD-99</t>
  </si>
  <si>
    <t>FEC23782</t>
  </si>
  <si>
    <t>FEC27790</t>
  </si>
  <si>
    <t>FEC23791</t>
  </si>
  <si>
    <t>F151</t>
  </si>
  <si>
    <t>FBC14099</t>
  </si>
  <si>
    <t xml:space="preserve">EJ </t>
  </si>
  <si>
    <t>L1 2648</t>
  </si>
  <si>
    <t>FAC7379</t>
  </si>
  <si>
    <t>PRC27422</t>
  </si>
  <si>
    <t>MIC586</t>
  </si>
  <si>
    <t>MIC587</t>
  </si>
  <si>
    <t>MIC585</t>
  </si>
  <si>
    <t>AG-65</t>
  </si>
  <si>
    <t>F140</t>
  </si>
  <si>
    <t>FAC7307</t>
  </si>
  <si>
    <t xml:space="preserve">FAC7312 </t>
  </si>
  <si>
    <t>FAC7314</t>
  </si>
  <si>
    <t>F193</t>
  </si>
  <si>
    <t>MIC596</t>
  </si>
  <si>
    <t>L1 2679</t>
  </si>
  <si>
    <t xml:space="preserve">Carlos Alberto Vergara Curi </t>
  </si>
  <si>
    <t>FE-80</t>
  </si>
  <si>
    <t>F161</t>
  </si>
  <si>
    <t>FBC 14447</t>
  </si>
  <si>
    <t>FE 168</t>
  </si>
  <si>
    <t>SAD5496</t>
  </si>
  <si>
    <t>Origen Genetica y Avanzada S.A.S</t>
  </si>
  <si>
    <t xml:space="preserve">SC627 </t>
  </si>
  <si>
    <t>SC628</t>
  </si>
  <si>
    <t>MIC589</t>
  </si>
  <si>
    <t>FBC14446</t>
  </si>
  <si>
    <t>MIC-600</t>
  </si>
  <si>
    <t>MIC601</t>
  </si>
  <si>
    <t>FEC24145</t>
  </si>
  <si>
    <t>FEC24171</t>
  </si>
  <si>
    <t>FEC24178</t>
  </si>
  <si>
    <t>FEC24182</t>
  </si>
  <si>
    <t>FEC24188</t>
  </si>
  <si>
    <t>FEC24192</t>
  </si>
  <si>
    <t>AC41</t>
  </si>
  <si>
    <t>SAD5497</t>
  </si>
  <si>
    <t>F194</t>
  </si>
  <si>
    <t>B1-39461</t>
  </si>
  <si>
    <t>B1-39453</t>
  </si>
  <si>
    <t>B1-39476</t>
  </si>
  <si>
    <t>B1-39473</t>
  </si>
  <si>
    <t>B1-39455</t>
  </si>
  <si>
    <t>FEC24136</t>
  </si>
  <si>
    <t>FEC24137</t>
  </si>
  <si>
    <t>FEC24138</t>
  </si>
  <si>
    <t>FEC24141</t>
  </si>
  <si>
    <t>FEC24156</t>
  </si>
  <si>
    <t>FEC24167</t>
  </si>
  <si>
    <t>FEC24168</t>
  </si>
  <si>
    <t>F057</t>
  </si>
  <si>
    <t>FE193</t>
  </si>
  <si>
    <t>Agropecuaria Francia y Lusitania S.A.S</t>
  </si>
  <si>
    <t>F191</t>
  </si>
  <si>
    <t>AG477</t>
  </si>
  <si>
    <t>Agrotunez S.A.S</t>
  </si>
  <si>
    <t>MIC606</t>
  </si>
  <si>
    <t>Rosa Elena Londoño Jimenez</t>
  </si>
  <si>
    <t>FDV-64</t>
  </si>
  <si>
    <t>MIC588</t>
  </si>
  <si>
    <t>F201</t>
  </si>
  <si>
    <t>PRC28433</t>
  </si>
  <si>
    <t xml:space="preserve">FAC7483 </t>
  </si>
  <si>
    <t>FAC7488</t>
  </si>
  <si>
    <t xml:space="preserve">FAC7480 </t>
  </si>
  <si>
    <t>FAC7485</t>
  </si>
  <si>
    <t>Hernan Dario Botero Botero</t>
  </si>
  <si>
    <t>F075</t>
  </si>
  <si>
    <t>OR175</t>
  </si>
  <si>
    <t>OR176</t>
  </si>
  <si>
    <t>OR174</t>
  </si>
  <si>
    <t>F080</t>
  </si>
  <si>
    <t>FEC24521</t>
  </si>
  <si>
    <t xml:space="preserve">FEC24548 </t>
  </si>
  <si>
    <t>FEC24519</t>
  </si>
  <si>
    <t>FSL7230</t>
  </si>
  <si>
    <t>FEC24524</t>
  </si>
  <si>
    <t>FEC24527</t>
  </si>
  <si>
    <t>FBC14847</t>
  </si>
  <si>
    <t>F199</t>
  </si>
  <si>
    <t>FCC11539</t>
  </si>
  <si>
    <t>Carlos Mario Restrepo Correa</t>
  </si>
  <si>
    <t>F185</t>
  </si>
  <si>
    <t>CR 104</t>
  </si>
  <si>
    <t>FE200</t>
  </si>
  <si>
    <t>FBC14848</t>
  </si>
  <si>
    <t>GAN -25</t>
  </si>
  <si>
    <t>FEC24826</t>
  </si>
  <si>
    <t>TI 7966</t>
  </si>
  <si>
    <t xml:space="preserve">	CR 105</t>
  </si>
  <si>
    <t>T1 7967</t>
  </si>
  <si>
    <t>T17968</t>
  </si>
  <si>
    <t>PAZC939</t>
  </si>
  <si>
    <t>MIC619</t>
  </si>
  <si>
    <t>FE22</t>
  </si>
  <si>
    <t>FAC 7675</t>
  </si>
  <si>
    <t>FAC7677</t>
  </si>
  <si>
    <t>FAC7678</t>
  </si>
  <si>
    <t>FAC7679</t>
  </si>
  <si>
    <t>FAC7688</t>
  </si>
  <si>
    <t>FAC7694</t>
  </si>
  <si>
    <t>FAC7697</t>
  </si>
  <si>
    <t>FAC7706</t>
  </si>
  <si>
    <t>FAC7707</t>
  </si>
  <si>
    <t xml:space="preserve">FAC7715 </t>
  </si>
  <si>
    <t>FAC7716</t>
  </si>
  <si>
    <t>F059</t>
  </si>
  <si>
    <t>F074</t>
  </si>
  <si>
    <t>FBC4958</t>
  </si>
  <si>
    <t>MIC623</t>
  </si>
  <si>
    <t>MIC613</t>
  </si>
  <si>
    <t>MIC628</t>
  </si>
  <si>
    <t>MIC629</t>
  </si>
  <si>
    <t xml:space="preserve">	AG-70</t>
  </si>
  <si>
    <t>MIC614</t>
  </si>
  <si>
    <t>MIC615</t>
  </si>
  <si>
    <t>MIC625</t>
  </si>
  <si>
    <t>Alfonso Orozco Martinez</t>
  </si>
  <si>
    <t>FE 79</t>
  </si>
  <si>
    <t>AG488</t>
  </si>
  <si>
    <t>AG489</t>
  </si>
  <si>
    <t>AG490</t>
  </si>
  <si>
    <t>F198</t>
  </si>
  <si>
    <t xml:space="preserve">FAC7824 </t>
  </si>
  <si>
    <t>FAC7827</t>
  </si>
  <si>
    <t>Agropecuaria Nacederos S.A.S</t>
  </si>
  <si>
    <t>AN 197</t>
  </si>
  <si>
    <t>Xiomara Del Carmen Kerguelen Velilla</t>
  </si>
  <si>
    <t>XK23</t>
  </si>
  <si>
    <t>FCC11504</t>
  </si>
  <si>
    <t>F073</t>
  </si>
  <si>
    <t>B1 39591</t>
  </si>
  <si>
    <t>B1 39578</t>
  </si>
  <si>
    <t>FBC15105</t>
  </si>
  <si>
    <t>MIC621</t>
  </si>
  <si>
    <t>F090</t>
  </si>
  <si>
    <t>FBC15163</t>
  </si>
  <si>
    <t>B1 39619</t>
  </si>
  <si>
    <t>Rangel Jacob Cerchiario Mejia</t>
  </si>
  <si>
    <t>F168</t>
  </si>
  <si>
    <t>RJC-13</t>
  </si>
  <si>
    <t>MIC620</t>
  </si>
  <si>
    <t>MIC622</t>
  </si>
  <si>
    <t>MIC626</t>
  </si>
  <si>
    <t>MIC624</t>
  </si>
  <si>
    <t>MIC632</t>
  </si>
  <si>
    <t>MIC633</t>
  </si>
  <si>
    <t>AGRO32</t>
  </si>
  <si>
    <t>FBS 201</t>
  </si>
  <si>
    <t>MIC630</t>
  </si>
  <si>
    <t>IBV99</t>
  </si>
  <si>
    <t>Martha Marina Gutierrez Gomez</t>
  </si>
  <si>
    <t>RJGG-80</t>
  </si>
  <si>
    <t>FBC15303</t>
  </si>
  <si>
    <t xml:space="preserve">Juan Alberto Saldarriaga </t>
  </si>
  <si>
    <t>MIC636</t>
  </si>
  <si>
    <t>B1 39575</t>
  </si>
  <si>
    <t>MIC635</t>
  </si>
  <si>
    <t xml:space="preserve">	PNFE-162</t>
  </si>
  <si>
    <t>GAN - 28</t>
  </si>
  <si>
    <t>GAN - 27</t>
  </si>
  <si>
    <t>FAC7870</t>
  </si>
  <si>
    <t>FAC 7881</t>
  </si>
  <si>
    <t>AF65048</t>
  </si>
  <si>
    <t>FBC15166</t>
  </si>
  <si>
    <t>FBC15302</t>
  </si>
  <si>
    <t>OR183</t>
  </si>
  <si>
    <t>E-141</t>
  </si>
  <si>
    <t>GAN - 29</t>
  </si>
  <si>
    <t>FBC15421</t>
  </si>
  <si>
    <t>E144</t>
  </si>
  <si>
    <t xml:space="preserve">FBC15422 </t>
  </si>
  <si>
    <t>FAC7961</t>
  </si>
  <si>
    <t>Julian Molina Arias</t>
  </si>
  <si>
    <t>FACE29</t>
  </si>
  <si>
    <t xml:space="preserve">F057 </t>
  </si>
  <si>
    <t>FE198</t>
  </si>
  <si>
    <t>Beatriz Elena Santa Ruiz</t>
  </si>
  <si>
    <t>F176</t>
  </si>
  <si>
    <t>Jose Francisco Muñoz Jimenez</t>
  </si>
  <si>
    <t>FV-2</t>
  </si>
  <si>
    <t>FVE40</t>
  </si>
  <si>
    <t>FVE41</t>
  </si>
  <si>
    <t>FE59</t>
  </si>
  <si>
    <t>FE201</t>
  </si>
  <si>
    <t>FEC25321</t>
  </si>
  <si>
    <t>FEC26073</t>
  </si>
  <si>
    <t>Juan José López Aarón</t>
  </si>
  <si>
    <t>B1 39731</t>
  </si>
  <si>
    <t>B1 39732</t>
  </si>
  <si>
    <t>FEC26517</t>
  </si>
  <si>
    <t>FEC26547</t>
  </si>
  <si>
    <t>FEC26592</t>
  </si>
  <si>
    <t>FEC26625</t>
  </si>
  <si>
    <t>Carlos Eduardo Dangond Castro</t>
  </si>
  <si>
    <t>MND - 127</t>
  </si>
  <si>
    <t>F082</t>
  </si>
  <si>
    <t>AF65194</t>
  </si>
  <si>
    <t>Inversiones Yepes Carrrera S.A.S</t>
  </si>
  <si>
    <t>FE140</t>
  </si>
  <si>
    <t>A205</t>
  </si>
  <si>
    <t>MIC639</t>
  </si>
  <si>
    <t>MIC645</t>
  </si>
  <si>
    <t>FE203</t>
  </si>
  <si>
    <t>FBC 15752</t>
  </si>
  <si>
    <t>CR-113</t>
  </si>
  <si>
    <t>CR-114</t>
  </si>
  <si>
    <t>AG-502</t>
  </si>
  <si>
    <t>Comercializadora Carbas S.A.S</t>
  </si>
  <si>
    <t>GAN 58</t>
  </si>
  <si>
    <t>Maria Adelaida Restrepo Echeverri</t>
  </si>
  <si>
    <t>MARE77</t>
  </si>
  <si>
    <t>FAC8091</t>
  </si>
  <si>
    <t>P4475</t>
  </si>
  <si>
    <t>Abel Jose Garcia Cadena</t>
  </si>
  <si>
    <t>FE 102</t>
  </si>
  <si>
    <t>FE 207</t>
  </si>
  <si>
    <t>FE 29</t>
  </si>
  <si>
    <t>FE206</t>
  </si>
  <si>
    <t>Erasmo Lacourture Gutirrez</t>
  </si>
  <si>
    <t>F203</t>
  </si>
  <si>
    <t>FV - 8</t>
  </si>
  <si>
    <t>FV - 9</t>
  </si>
  <si>
    <t>FV - 10</t>
  </si>
  <si>
    <t>MIC656</t>
  </si>
  <si>
    <t>MIC653</t>
  </si>
  <si>
    <t>Enrique Alonso Espinosa Rodriguez</t>
  </si>
  <si>
    <t>F190</t>
  </si>
  <si>
    <t>El Diamante</t>
  </si>
  <si>
    <t>FE 187</t>
  </si>
  <si>
    <t>FAC 8292</t>
  </si>
  <si>
    <t>FAC8120</t>
  </si>
  <si>
    <t>GAN 59</t>
  </si>
  <si>
    <t>Oscar Cardona</t>
  </si>
  <si>
    <t>MIC665</t>
  </si>
  <si>
    <t>Luis Argumedo</t>
  </si>
  <si>
    <t>FBC 15753</t>
  </si>
  <si>
    <t>MIC666</t>
  </si>
  <si>
    <t>FE 208</t>
  </si>
  <si>
    <t>MARE79</t>
  </si>
  <si>
    <t>MIC670</t>
  </si>
  <si>
    <t>MIC671</t>
  </si>
  <si>
    <t>AN 199</t>
  </si>
  <si>
    <t>FBC16192</t>
  </si>
  <si>
    <t>Agropacharral S.A.S</t>
  </si>
  <si>
    <t>ACH -47</t>
  </si>
  <si>
    <t>F209</t>
  </si>
  <si>
    <t>FAC8480</t>
  </si>
  <si>
    <t>Juan Molina Arias</t>
  </si>
  <si>
    <t>FACE 31</t>
  </si>
  <si>
    <t>FE212</t>
  </si>
  <si>
    <t xml:space="preserve">	AG-519</t>
  </si>
  <si>
    <t>A209</t>
  </si>
  <si>
    <t>Rodolfo De Jesus Jaramillo</t>
  </si>
  <si>
    <t>A162</t>
  </si>
  <si>
    <t>FE101</t>
  </si>
  <si>
    <t>FE 209</t>
  </si>
  <si>
    <t>AN 202</t>
  </si>
  <si>
    <t>F208</t>
  </si>
  <si>
    <t>FE 210</t>
  </si>
  <si>
    <t>Rafael Ignacio Jaramillo</t>
  </si>
  <si>
    <t>A211</t>
  </si>
  <si>
    <t>GAN-70</t>
  </si>
  <si>
    <t>A208</t>
  </si>
  <si>
    <t>A207</t>
  </si>
  <si>
    <t>Ricardo Serrano Joerger</t>
  </si>
  <si>
    <t>F044</t>
  </si>
  <si>
    <t>FE25</t>
  </si>
  <si>
    <t>FE52</t>
  </si>
  <si>
    <t>SAD 5543</t>
  </si>
  <si>
    <t>FEV-29</t>
  </si>
  <si>
    <t>FEV28</t>
  </si>
  <si>
    <t>IBV105</t>
  </si>
  <si>
    <t>OR 192</t>
  </si>
  <si>
    <t>SAD5544</t>
  </si>
  <si>
    <t>FE210</t>
  </si>
  <si>
    <t>Maruan David Alvarez Agudelo</t>
  </si>
  <si>
    <t>FV-3</t>
  </si>
  <si>
    <t>GAN-31</t>
  </si>
  <si>
    <t>GAN-30</t>
  </si>
  <si>
    <t>FE 211</t>
  </si>
  <si>
    <t>Distrimora Limita</t>
  </si>
  <si>
    <t>F117</t>
  </si>
  <si>
    <t>FE-140</t>
  </si>
  <si>
    <t>FE-142</t>
  </si>
  <si>
    <t>GAN-32</t>
  </si>
  <si>
    <t>FAC8561</t>
  </si>
  <si>
    <t>FE86</t>
  </si>
  <si>
    <t>F035</t>
  </si>
  <si>
    <t>T1 8276</t>
  </si>
  <si>
    <t>T18277</t>
  </si>
  <si>
    <t>B1-39956</t>
  </si>
  <si>
    <t>F210</t>
  </si>
  <si>
    <t>FEC-28900</t>
  </si>
  <si>
    <t>FEC28922</t>
  </si>
  <si>
    <t>FEC28957</t>
  </si>
  <si>
    <t>FEC-28889</t>
  </si>
  <si>
    <t>FEC28897</t>
  </si>
  <si>
    <t>FEC28938</t>
  </si>
  <si>
    <t>FEC28966</t>
  </si>
  <si>
    <t>Agronegocios J.A.R ZOMAC</t>
  </si>
  <si>
    <t>AG-80</t>
  </si>
  <si>
    <t>FBC16592</t>
  </si>
  <si>
    <t>FB16590</t>
  </si>
  <si>
    <t>A125</t>
  </si>
  <si>
    <t>AG-526</t>
  </si>
  <si>
    <t>FBC16653</t>
  </si>
  <si>
    <t>FE213</t>
  </si>
  <si>
    <t>F212</t>
  </si>
  <si>
    <t>F127</t>
  </si>
  <si>
    <t>GAN 33</t>
  </si>
  <si>
    <t>F131</t>
  </si>
  <si>
    <t>FE214</t>
  </si>
  <si>
    <t>AF66087</t>
  </si>
  <si>
    <t>FE 217</t>
  </si>
  <si>
    <t>A044</t>
  </si>
  <si>
    <t>FEC29852</t>
  </si>
  <si>
    <t>C134917</t>
  </si>
  <si>
    <t>A213</t>
  </si>
  <si>
    <t>FE31</t>
  </si>
  <si>
    <t>FV-6</t>
  </si>
  <si>
    <t>FE218</t>
  </si>
  <si>
    <t>FE219</t>
  </si>
  <si>
    <t>PNFE-184</t>
  </si>
  <si>
    <t>Rangel Jacob Cerchiaro Mejia</t>
  </si>
  <si>
    <t>RJC-17</t>
  </si>
  <si>
    <t>RJC-18</t>
  </si>
  <si>
    <t>RJC-19</t>
  </si>
  <si>
    <t>G1-9011369</t>
  </si>
  <si>
    <t>Adriana Jaramillo Perez</t>
  </si>
  <si>
    <t>FAJ-79</t>
  </si>
  <si>
    <t>Orygen Genética Avanzada</t>
  </si>
  <si>
    <t>SC 1243</t>
  </si>
  <si>
    <t>FE220</t>
  </si>
  <si>
    <t>Adriana Maria Jaramillo Perez</t>
  </si>
  <si>
    <t>FAJ-81</t>
  </si>
  <si>
    <t>FELE 99</t>
  </si>
  <si>
    <t>FELE100</t>
  </si>
  <si>
    <t>Inversiones El Diamante HM S.A.S</t>
  </si>
  <si>
    <t>FE207</t>
  </si>
  <si>
    <t>FE221</t>
  </si>
  <si>
    <t>MIC694</t>
  </si>
  <si>
    <t>FE 74</t>
  </si>
  <si>
    <t>Edward Alvarez Ortiz</t>
  </si>
  <si>
    <t>FE 39</t>
  </si>
  <si>
    <t>FE 40</t>
  </si>
  <si>
    <t>FEV32</t>
  </si>
  <si>
    <t>FE 222</t>
  </si>
  <si>
    <t>AG-557</t>
  </si>
  <si>
    <t>MARE 83</t>
  </si>
  <si>
    <t>F153</t>
  </si>
  <si>
    <t>MIC695</t>
  </si>
  <si>
    <t>FEC30953</t>
  </si>
  <si>
    <t>FEC31007</t>
  </si>
  <si>
    <t>FAC 9026</t>
  </si>
  <si>
    <t>FAC 9034</t>
  </si>
  <si>
    <t>FAC 9025</t>
  </si>
  <si>
    <t>FEC30955</t>
  </si>
  <si>
    <t>FEC30957</t>
  </si>
  <si>
    <t>MIC 701</t>
  </si>
  <si>
    <t>Fabian Andres Córtes Londoño</t>
  </si>
  <si>
    <t>FE1-52</t>
  </si>
  <si>
    <t>FE223</t>
  </si>
  <si>
    <t>FE 224</t>
  </si>
  <si>
    <t>A214</t>
  </si>
  <si>
    <t>FV-8</t>
  </si>
  <si>
    <t>WIlson Murillo</t>
  </si>
  <si>
    <t>FE225</t>
  </si>
  <si>
    <t>FBC 17592</t>
  </si>
  <si>
    <t>FSL 8813</t>
  </si>
  <si>
    <t>Civil 33 S.A.S Zomac</t>
  </si>
  <si>
    <t>FEVC21</t>
  </si>
  <si>
    <t>Sociedad Herrera Y CIA</t>
  </si>
  <si>
    <t>FE102</t>
  </si>
  <si>
    <t>F215</t>
  </si>
  <si>
    <t>AGRO37</t>
  </si>
  <si>
    <t>A151</t>
  </si>
  <si>
    <t>FAC 9308</t>
  </si>
  <si>
    <t>Paul Rodriguez Sanchez</t>
  </si>
  <si>
    <t>CGOR-7</t>
  </si>
  <si>
    <t>MIC709</t>
  </si>
  <si>
    <t>MIC710</t>
  </si>
  <si>
    <t>SAD 5570</t>
  </si>
  <si>
    <t>FE29</t>
  </si>
  <si>
    <t>MIC711</t>
  </si>
  <si>
    <t>MIC714</t>
  </si>
  <si>
    <t>IBV114</t>
  </si>
  <si>
    <t>Comercializadora El Delirio</t>
  </si>
  <si>
    <t>FE226</t>
  </si>
  <si>
    <t>FV-10</t>
  </si>
  <si>
    <t xml:space="preserve">Jorge Luis Oñate </t>
  </si>
  <si>
    <t>FE139</t>
  </si>
  <si>
    <t xml:space="preserve">	FEHC-512</t>
  </si>
  <si>
    <t>MIC718</t>
  </si>
  <si>
    <t>F063</t>
  </si>
  <si>
    <t>FE 138</t>
  </si>
  <si>
    <t>B1 40395</t>
  </si>
  <si>
    <t>FAC 9494</t>
  </si>
  <si>
    <t>FAC9412</t>
  </si>
  <si>
    <t>Jaime Rafael Daza Cuello</t>
  </si>
  <si>
    <t>FE227</t>
  </si>
  <si>
    <t>FE 226</t>
  </si>
  <si>
    <t>FE 228</t>
  </si>
  <si>
    <t>PNFE-205</t>
  </si>
  <si>
    <t>F187</t>
  </si>
  <si>
    <t>MIC726</t>
  </si>
  <si>
    <t>MIC725</t>
  </si>
  <si>
    <t>MIC724</t>
  </si>
  <si>
    <t>F217</t>
  </si>
  <si>
    <t>FE 229</t>
  </si>
  <si>
    <t>FE 230</t>
  </si>
  <si>
    <t>MIC729</t>
  </si>
  <si>
    <t>MIC730</t>
  </si>
  <si>
    <t>MIC731</t>
  </si>
  <si>
    <t>FBC 18313</t>
  </si>
  <si>
    <t>FE 360</t>
  </si>
  <si>
    <t>FBC 18137</t>
  </si>
  <si>
    <t>M1243219</t>
  </si>
  <si>
    <t>FE84</t>
  </si>
  <si>
    <t>FBC 18314</t>
  </si>
  <si>
    <t>FBC 18402</t>
  </si>
  <si>
    <t>Breynner Rizo Ojeda</t>
  </si>
  <si>
    <t>FVG-6</t>
  </si>
  <si>
    <t>FBC 18403</t>
  </si>
  <si>
    <t>Orygen Genetica Avanzada S.A.S</t>
  </si>
  <si>
    <t>SC 1578</t>
  </si>
  <si>
    <t>SC 1581</t>
  </si>
  <si>
    <t>Civil 33 S.A.S ZOMAC</t>
  </si>
  <si>
    <t>A216</t>
  </si>
  <si>
    <t>FEVC24</t>
  </si>
  <si>
    <t>Gustavo Alberto Ramos</t>
  </si>
  <si>
    <t>FEV-23</t>
  </si>
  <si>
    <t>FBC18507</t>
  </si>
  <si>
    <t>FAC 9950</t>
  </si>
  <si>
    <t>FE 225</t>
  </si>
  <si>
    <t>Maria Adelaida Restrepo</t>
  </si>
  <si>
    <t>MARE 88</t>
  </si>
  <si>
    <t>MARE 89</t>
  </si>
  <si>
    <t>MARE 90</t>
  </si>
  <si>
    <t>Yuli Jazmin Agudelo</t>
  </si>
  <si>
    <t>F221</t>
  </si>
  <si>
    <t>FVG-20</t>
  </si>
  <si>
    <t>Bradco SAS</t>
  </si>
  <si>
    <t>FVE 1188</t>
  </si>
  <si>
    <t>FE 52</t>
  </si>
  <si>
    <t>FVG-7</t>
  </si>
  <si>
    <t>OR 228</t>
  </si>
  <si>
    <t>FP1-3</t>
  </si>
  <si>
    <t>FV 12</t>
  </si>
  <si>
    <t>GAN-35</t>
  </si>
  <si>
    <t>GAN-36</t>
  </si>
  <si>
    <t>FAC 10020</t>
  </si>
  <si>
    <t>SAD 5591</t>
  </si>
  <si>
    <t>SAD 5592</t>
  </si>
  <si>
    <t>Inversiones OEMC S.A.S ZOMAC</t>
  </si>
  <si>
    <t>FVE 605</t>
  </si>
  <si>
    <t>Juan Pablo Gutierrez</t>
  </si>
  <si>
    <t>PNFE-217</t>
  </si>
  <si>
    <t>FE232</t>
  </si>
  <si>
    <t>Promotora CH ZOMAC</t>
  </si>
  <si>
    <t>FEPZ15</t>
  </si>
  <si>
    <t>Agroinversiones RG S.A.S ZOMAC</t>
  </si>
  <si>
    <t>F220</t>
  </si>
  <si>
    <t>FAC10101</t>
  </si>
  <si>
    <t>FE87</t>
  </si>
  <si>
    <t>FBC 18814</t>
  </si>
  <si>
    <t>FBC18815</t>
  </si>
  <si>
    <t>FAC10092</t>
  </si>
  <si>
    <t>FAC10097</t>
  </si>
  <si>
    <t>FAC10100</t>
  </si>
  <si>
    <t>MIC762</t>
  </si>
  <si>
    <t>FE 54</t>
  </si>
  <si>
    <t>NF28383</t>
  </si>
  <si>
    <t>FAC10224</t>
  </si>
  <si>
    <t>AG-619</t>
  </si>
  <si>
    <t>MIC758</t>
  </si>
  <si>
    <t>MIC757</t>
  </si>
  <si>
    <t>FE1-54</t>
  </si>
  <si>
    <t>F223</t>
  </si>
  <si>
    <t>MIC768</t>
  </si>
  <si>
    <t>PR37911</t>
  </si>
  <si>
    <t xml:space="preserve">F069 </t>
  </si>
  <si>
    <t>FACE 43</t>
  </si>
  <si>
    <t>Hugo Alfonso Portillo</t>
  </si>
  <si>
    <t>E 201</t>
  </si>
  <si>
    <t>E 203</t>
  </si>
  <si>
    <t>FAC 10099</t>
  </si>
  <si>
    <t>FEC35887</t>
  </si>
  <si>
    <t>FEC35894</t>
  </si>
  <si>
    <t>FEC35895</t>
  </si>
  <si>
    <t>FEC35920</t>
  </si>
  <si>
    <t>FEC35921</t>
  </si>
  <si>
    <t>FEC35941</t>
  </si>
  <si>
    <t>FEC35952</t>
  </si>
  <si>
    <t>FEC35956</t>
  </si>
  <si>
    <t>FEC35957</t>
  </si>
  <si>
    <t>FEC35963</t>
  </si>
  <si>
    <t>CEC162</t>
  </si>
  <si>
    <t>FAC 10289</t>
  </si>
  <si>
    <t>FAC 10275</t>
  </si>
  <si>
    <t>Claudia Liliana Cagua Lopez</t>
  </si>
  <si>
    <t>CLAU-32</t>
  </si>
  <si>
    <t>Letra</t>
  </si>
  <si>
    <t>M</t>
  </si>
  <si>
    <t>L</t>
  </si>
  <si>
    <t>O</t>
  </si>
  <si>
    <t>H</t>
  </si>
  <si>
    <t>V</t>
  </si>
  <si>
    <t>T</t>
  </si>
  <si>
    <t>U</t>
  </si>
  <si>
    <t>A</t>
  </si>
  <si>
    <t>E</t>
  </si>
  <si>
    <t>B</t>
  </si>
  <si>
    <t>SEMANA</t>
  </si>
  <si>
    <t>FECHA INGRESO A CORRALES.</t>
  </si>
  <si>
    <t>CODIGO PROVEEDOR</t>
  </si>
  <si>
    <t>LOTE</t>
  </si>
  <si>
    <t>DESCRIPCION</t>
  </si>
  <si>
    <t xml:space="preserve"> ALMACEN</t>
  </si>
  <si>
    <t>N° Pedido de compras</t>
  </si>
  <si>
    <t>MATERIAL</t>
  </si>
  <si>
    <t>N° Pedido de traslado</t>
  </si>
  <si>
    <t>Entrega</t>
  </si>
  <si>
    <t>Kg finca</t>
  </si>
  <si>
    <t>Valor kg</t>
  </si>
  <si>
    <t>Valor Factura</t>
  </si>
  <si>
    <t># CARROS</t>
  </si>
  <si>
    <t>Codigo transp</t>
  </si>
  <si>
    <t>Obsevaciones</t>
  </si>
  <si>
    <t>DOC DE INV MANUAL</t>
  </si>
  <si>
    <t>215244911M</t>
  </si>
  <si>
    <t>ROJAS PRADA LUIS FERNANDO</t>
  </si>
  <si>
    <t>RES MACHO PIE COMERCIAL</t>
  </si>
  <si>
    <t>ok</t>
  </si>
  <si>
    <t>215253621M</t>
  </si>
  <si>
    <t>AYURA SAS</t>
  </si>
  <si>
    <t>21525A361M</t>
  </si>
  <si>
    <t>JERAL SAS</t>
  </si>
  <si>
    <t>220123741M</t>
  </si>
  <si>
    <t>AGROPECUARIA LOS MOLINOS S A S</t>
  </si>
  <si>
    <t>220164911M</t>
  </si>
  <si>
    <t>22017A361M</t>
  </si>
  <si>
    <t>220213741M</t>
  </si>
  <si>
    <t>220255271M</t>
  </si>
  <si>
    <t>AGROPECUARIA TABAIDA S.A.</t>
  </si>
  <si>
    <t>RES MACHO PIE HALAL</t>
  </si>
  <si>
    <t>1 MULA</t>
  </si>
  <si>
    <t>TYC</t>
  </si>
  <si>
    <t>220269221M</t>
  </si>
  <si>
    <t>AGROPASTORIL DE COLOMBIA S.A.S.</t>
  </si>
  <si>
    <t>220321631M</t>
  </si>
  <si>
    <t>INVERSIONES VALLE DEL CANALETE S.A.S.</t>
  </si>
  <si>
    <t>220313741M</t>
  </si>
  <si>
    <t>220364911M</t>
  </si>
  <si>
    <t>22037A361M</t>
  </si>
  <si>
    <t>22037A362M</t>
  </si>
  <si>
    <t>RES MACHO PIE GVA</t>
  </si>
  <si>
    <t>220413741M</t>
  </si>
  <si>
    <t>22045A361M</t>
  </si>
  <si>
    <t>220459711M</t>
  </si>
  <si>
    <t>CARLOS MARIO DUQUE CADAVID</t>
  </si>
  <si>
    <t>220464911M</t>
  </si>
  <si>
    <t>220574911M</t>
  </si>
  <si>
    <t>NO SE PESAN EL MISMO DIA POR GUIA SIN HIERRO</t>
  </si>
  <si>
    <t>22062A361M</t>
  </si>
  <si>
    <t>220664911M</t>
  </si>
  <si>
    <t>220724911M</t>
  </si>
  <si>
    <t>22084A301M</t>
  </si>
  <si>
    <t>SURTIDORA AGROPECUARIA DE COLOMBIA</t>
  </si>
  <si>
    <t>22086421M</t>
  </si>
  <si>
    <t>MAURICIO DE JESUS BERNAL JARAMILLO</t>
  </si>
  <si>
    <t>220879711M</t>
  </si>
  <si>
    <t>220915271M</t>
  </si>
  <si>
    <t>220921631M</t>
  </si>
  <si>
    <t>22092141M</t>
  </si>
  <si>
    <t>MARIA INES SAADE MEJIA</t>
  </si>
  <si>
    <t>220949711M</t>
  </si>
  <si>
    <t>22095A301M</t>
  </si>
  <si>
    <t>221015271M</t>
  </si>
  <si>
    <t>221015272M</t>
  </si>
  <si>
    <t>221024911M</t>
  </si>
  <si>
    <t>221021631M</t>
  </si>
  <si>
    <t>221055271M</t>
  </si>
  <si>
    <t>221069711M</t>
  </si>
  <si>
    <t>221069712M</t>
  </si>
  <si>
    <t>221174911M</t>
  </si>
  <si>
    <t>221174912M</t>
  </si>
  <si>
    <t xml:space="preserve">RES MACHO PIE GVA
</t>
  </si>
  <si>
    <t>221245271M</t>
  </si>
  <si>
    <t>221329221M</t>
  </si>
  <si>
    <t>22136421M</t>
  </si>
  <si>
    <t>221369221M</t>
  </si>
  <si>
    <t>221375271M</t>
  </si>
  <si>
    <t>221414911M</t>
  </si>
  <si>
    <t>221419221M</t>
  </si>
  <si>
    <t>221415271M</t>
  </si>
  <si>
    <t>SE REALIZA OTRO PEDIDO YA QUE LAS RESES NO SE PUDIERON PESAR EL MISMO DIA POR TEMAS DE LA GUIA</t>
  </si>
  <si>
    <t>22142A361M</t>
  </si>
  <si>
    <t>221421631M</t>
  </si>
  <si>
    <t>221428971M</t>
  </si>
  <si>
    <t xml:space="preserve">GLORIA HELENA GUTIERREZ GOMEZ
</t>
  </si>
  <si>
    <t>NA</t>
  </si>
  <si>
    <t>SE REALIZA UN PEDIDO DE COMPRAS POR ALMACEN NO CREADO</t>
  </si>
  <si>
    <t>221524911M</t>
  </si>
  <si>
    <t>221534911M</t>
  </si>
  <si>
    <t>221452721M</t>
  </si>
  <si>
    <t>LUIS FELIPE ACEVEDO</t>
  </si>
  <si>
    <t>221614911M</t>
  </si>
  <si>
    <t>221645581M</t>
  </si>
  <si>
    <t>ATRIA GANADERIA S.A.S.</t>
  </si>
  <si>
    <t>22164401M</t>
  </si>
  <si>
    <t>HEVLA SAS</t>
  </si>
  <si>
    <t>221654911M</t>
  </si>
  <si>
    <t>221674421M</t>
  </si>
  <si>
    <t>SUGABERRIO</t>
  </si>
  <si>
    <r>
      <rPr>
        <sz val="11"/>
        <color theme="1"/>
        <rFont val="Calibri"/>
        <family val="2"/>
      </rPr>
      <t xml:space="preserve">6956
6886
7296
6976
</t>
    </r>
    <r>
      <rPr>
        <b/>
        <sz val="11"/>
        <color theme="1"/>
        <rFont val="Calibri"/>
        <family val="2"/>
      </rPr>
      <t>28114</t>
    </r>
    <r>
      <rPr>
        <sz val="11"/>
        <color theme="1"/>
        <rFont val="Calibri"/>
        <family val="2"/>
      </rPr>
      <t xml:space="preserve">
</t>
    </r>
  </si>
  <si>
    <t xml:space="preserve">8800
8500
9000
8700
</t>
  </si>
  <si>
    <r>
      <rPr>
        <sz val="11"/>
        <color theme="1"/>
        <rFont val="Calibri"/>
        <family val="2"/>
      </rPr>
      <t xml:space="preserve"> $ 61.212.800 
 $ 58.531.000 
 $ 65.664.000 
 $ 60.691.200 
</t>
    </r>
    <r>
      <rPr>
        <b/>
        <sz val="11"/>
        <color theme="1"/>
        <rFont val="Calibri"/>
        <family val="2"/>
      </rPr>
      <t xml:space="preserve"> $ 246.099.000 </t>
    </r>
    <r>
      <rPr>
        <sz val="11"/>
        <color theme="1"/>
        <rFont val="Calibri"/>
        <family val="2"/>
      </rPr>
      <t xml:space="preserve">
</t>
    </r>
  </si>
  <si>
    <t>221678621M</t>
  </si>
  <si>
    <t>INVERSIONES CASTILLA BARBOSA S.A.S.</t>
  </si>
  <si>
    <t>221672281M</t>
  </si>
  <si>
    <t>AGROPECUARIA EL BARZAL S.A.S</t>
  </si>
  <si>
    <t>221715751M</t>
  </si>
  <si>
    <t>URREGO ORTIZ LUIS MANUEL</t>
  </si>
  <si>
    <t>221717541M</t>
  </si>
  <si>
    <t>RESTREPO DIAZ ANGELA MARIA</t>
  </si>
  <si>
    <t>221723621M</t>
  </si>
  <si>
    <t>221772721M</t>
  </si>
  <si>
    <t>221814911M</t>
  </si>
  <si>
    <t>22181A381M</t>
  </si>
  <si>
    <t>INVERSIONES EL REZAGO Y CIA LTDA</t>
  </si>
  <si>
    <t>22182A361M</t>
  </si>
  <si>
    <t>22182A811M</t>
  </si>
  <si>
    <t>SAVANNA &amp; COMPAÑIA SAS ZOMAC</t>
  </si>
  <si>
    <t>221914041M</t>
  </si>
  <si>
    <t>SUBASTA GANADERA CASANARE S.A</t>
  </si>
  <si>
    <t>22202B061M</t>
  </si>
  <si>
    <t>ICL RIO GRANDE S.A.S</t>
  </si>
  <si>
    <t>54661,0        3601,0        MERMA AJUSTA</t>
  </si>
  <si>
    <t>222079421M</t>
  </si>
  <si>
    <t>MISIONAGRO S.A.S</t>
  </si>
  <si>
    <t>22211A391M</t>
  </si>
  <si>
    <t>HACIENDA EL RETAQUE Y CIA. LTDA</t>
  </si>
  <si>
    <t>3113 NA</t>
  </si>
  <si>
    <t>26417 1279,0           MERMA AJUSTAR</t>
  </si>
  <si>
    <t>222129421M</t>
  </si>
  <si>
    <t>222155581M</t>
  </si>
  <si>
    <t>222245271M</t>
  </si>
  <si>
    <t>222251631M</t>
  </si>
  <si>
    <t>222267541M</t>
  </si>
  <si>
    <t>222269711M</t>
  </si>
  <si>
    <t>22232A301M</t>
  </si>
  <si>
    <t>222349711M</t>
  </si>
  <si>
    <t>22235421M</t>
  </si>
  <si>
    <t>222377541M</t>
  </si>
  <si>
    <t>222415271M</t>
  </si>
  <si>
    <t>222421631M</t>
  </si>
  <si>
    <t>222425271M</t>
  </si>
  <si>
    <t>222421632M</t>
  </si>
  <si>
    <t>22247A381M</t>
  </si>
  <si>
    <t>222515271M</t>
  </si>
  <si>
    <t>222525271M</t>
  </si>
  <si>
    <t>222555421M</t>
  </si>
  <si>
    <t>222569421M</t>
  </si>
  <si>
    <t>222574911M</t>
  </si>
  <si>
    <t>222572711M</t>
  </si>
  <si>
    <t>222626311M</t>
  </si>
  <si>
    <t>222629711M</t>
  </si>
  <si>
    <t>222659711M</t>
  </si>
  <si>
    <t>222669741M</t>
  </si>
  <si>
    <t>31416 S.A.S-EL UBERRIMO</t>
  </si>
  <si>
    <t>222672711M</t>
  </si>
  <si>
    <t>222722711M</t>
  </si>
  <si>
    <t>222726311M</t>
  </si>
  <si>
    <t>222745271M</t>
  </si>
  <si>
    <t>RESMACHO PIE GVA</t>
  </si>
  <si>
    <t xml:space="preserve">TYC </t>
  </si>
  <si>
    <t>222749711M</t>
  </si>
  <si>
    <t>222755271M</t>
  </si>
  <si>
    <t>222761631M</t>
  </si>
  <si>
    <t>222829421M</t>
  </si>
  <si>
    <t>222923741M</t>
  </si>
  <si>
    <t xml:space="preserve">222945271M   </t>
  </si>
  <si>
    <t>22294A811M</t>
  </si>
  <si>
    <t>SAVANNA &amp; COMPAÑÍA SAS ZOMAC</t>
  </si>
  <si>
    <t>223014911M</t>
  </si>
  <si>
    <t>223019421M</t>
  </si>
  <si>
    <t>222933741M</t>
  </si>
  <si>
    <t>222959711M</t>
  </si>
  <si>
    <t>DUQUE CADAVID CARLOS MARIO</t>
  </si>
  <si>
    <t>22296401M</t>
  </si>
  <si>
    <t>223023741M</t>
  </si>
  <si>
    <t>223021631M</t>
  </si>
  <si>
    <t>INVERSIONES VALLE DEL CANALETE S.A.</t>
  </si>
  <si>
    <t>223149711M</t>
  </si>
  <si>
    <t>223151631M</t>
  </si>
  <si>
    <t>223165271M</t>
  </si>
  <si>
    <t>AGROPECUARIA TABAIDA SAS</t>
  </si>
  <si>
    <t>22316401M</t>
  </si>
  <si>
    <t>22317A381M</t>
  </si>
  <si>
    <t>22317A681M</t>
  </si>
  <si>
    <t>MONTEROJO S.A.S</t>
  </si>
  <si>
    <t>801,5 AJUSTAR MANUAL</t>
  </si>
  <si>
    <t>22321A391M</t>
  </si>
  <si>
    <t>223224911M</t>
  </si>
  <si>
    <t>223225271M</t>
  </si>
  <si>
    <t>223255271M</t>
  </si>
  <si>
    <t>223259711M</t>
  </si>
  <si>
    <t>22326401M</t>
  </si>
  <si>
    <t>223325271M</t>
  </si>
  <si>
    <t>223321631M</t>
  </si>
  <si>
    <t>223374911M</t>
  </si>
  <si>
    <t>223414911M</t>
  </si>
  <si>
    <t>22341B271M</t>
  </si>
  <si>
    <t>HACIENDA MOZAMBIQUE S A.S</t>
  </si>
  <si>
    <t>22346A811M</t>
  </si>
  <si>
    <t>223524911M</t>
  </si>
  <si>
    <t>223555271M</t>
  </si>
  <si>
    <t>223564911M</t>
  </si>
  <si>
    <t>RES MACHO PIE HALAL-FRIGOSINU</t>
  </si>
  <si>
    <t>223575271M</t>
  </si>
  <si>
    <t>22362A301M</t>
  </si>
  <si>
    <t>223621631M</t>
  </si>
  <si>
    <t>223654911M</t>
  </si>
  <si>
    <t>223655271M</t>
  </si>
  <si>
    <t>22366A811M</t>
  </si>
  <si>
    <t>223679711M</t>
  </si>
  <si>
    <t>223715271M</t>
  </si>
  <si>
    <t>223724301M</t>
  </si>
  <si>
    <t>AGROPECUARIA BAJOGRANDE S.A</t>
  </si>
  <si>
    <t>223743741M</t>
  </si>
  <si>
    <t>AGROPECUARIA LOS MOLINOS S.A.S</t>
  </si>
  <si>
    <t>223745271M</t>
  </si>
  <si>
    <t>22375A301M</t>
  </si>
  <si>
    <t>223753741M</t>
  </si>
  <si>
    <t>223765271M</t>
  </si>
  <si>
    <t>223764911M</t>
  </si>
  <si>
    <t>223829421M</t>
  </si>
  <si>
    <t>MISIONAGRO SAS</t>
  </si>
  <si>
    <t>223823741M</t>
  </si>
  <si>
    <t>224013741M</t>
  </si>
  <si>
    <t>223855271M</t>
  </si>
  <si>
    <t>223864911M</t>
  </si>
  <si>
    <t>223913741M</t>
  </si>
  <si>
    <t>223925271M</t>
  </si>
  <si>
    <t>RES MACHO PIE HALAL- RECLASIFICAR ANTES DE TRASLADAR</t>
  </si>
  <si>
    <t>223927541M</t>
  </si>
  <si>
    <t>RES MACHO PIE HALAL- FRIGOSINU</t>
  </si>
  <si>
    <t>223941631M</t>
  </si>
  <si>
    <t>22394B401M</t>
  </si>
  <si>
    <t>SUAREZ ESCOBAR LUCELY</t>
  </si>
  <si>
    <t>AJUSTAR MERMA 823,5</t>
  </si>
  <si>
    <t>22394A811M</t>
  </si>
  <si>
    <t>223954911M</t>
  </si>
  <si>
    <t>223923741M</t>
  </si>
  <si>
    <t>RES MACHO PIE GVA- RECLASIFICAR ANTES DE TRASLADAR</t>
  </si>
  <si>
    <t>AJUSTAR MERMA 1317,2</t>
  </si>
  <si>
    <t>223955271M</t>
  </si>
  <si>
    <t>224015271M</t>
  </si>
  <si>
    <t>22402421M</t>
  </si>
  <si>
    <t>BERNAL JARAMILLO MAURICIO DE JESUS</t>
  </si>
  <si>
    <t>224029711M</t>
  </si>
  <si>
    <t>224045271M</t>
  </si>
  <si>
    <t>22405401M</t>
  </si>
  <si>
    <t xml:space="preserve">RES MACHO PIE HALAL </t>
  </si>
  <si>
    <t>AJUSTAR MERMA 1719,000</t>
  </si>
  <si>
    <t>224064911M</t>
  </si>
  <si>
    <t>224075271M</t>
  </si>
  <si>
    <t>224154911M</t>
  </si>
  <si>
    <t>224159711M</t>
  </si>
  <si>
    <t>224165271M</t>
  </si>
  <si>
    <t>224171631M</t>
  </si>
  <si>
    <t>22417B101M</t>
  </si>
  <si>
    <t>CANO TOVAR FIDEL STIVEN</t>
  </si>
  <si>
    <t>22417401M</t>
  </si>
  <si>
    <t>22422421M</t>
  </si>
  <si>
    <t>224213741M</t>
  </si>
  <si>
    <t>224313741M</t>
  </si>
  <si>
    <t>224413741M</t>
  </si>
  <si>
    <t>224225271M</t>
  </si>
  <si>
    <t>22424401M</t>
  </si>
  <si>
    <t>224513741M</t>
  </si>
  <si>
    <t>224314911M</t>
  </si>
  <si>
    <t>224613751M</t>
  </si>
  <si>
    <t>224349711M</t>
  </si>
  <si>
    <t>224351631M</t>
  </si>
  <si>
    <t>224369741M</t>
  </si>
  <si>
    <t>22436A771M</t>
  </si>
  <si>
    <t>JARAMILLO SANINT ENRIQUE</t>
  </si>
  <si>
    <t>224375271M</t>
  </si>
  <si>
    <t>224414911M</t>
  </si>
  <si>
    <t>224429411M</t>
  </si>
  <si>
    <t>AGROPECUARIA EL UBERRIMO S.A.S.</t>
  </si>
  <si>
    <t>FRIGO</t>
  </si>
  <si>
    <t>22442421M</t>
  </si>
  <si>
    <t>FALTA</t>
  </si>
  <si>
    <t>ERA</t>
  </si>
  <si>
    <t>224425271M</t>
  </si>
  <si>
    <t>224555271M</t>
  </si>
  <si>
    <t>224575271M</t>
  </si>
  <si>
    <t>022-0087007306</t>
  </si>
  <si>
    <t>AJUSTAR MERMA 723 KG</t>
  </si>
  <si>
    <t>22462421M</t>
  </si>
  <si>
    <t>224624911M</t>
  </si>
  <si>
    <t>224623621M</t>
  </si>
  <si>
    <t>224717541M</t>
  </si>
  <si>
    <t>224717542M</t>
  </si>
  <si>
    <t>22474A301M</t>
  </si>
  <si>
    <t>224765271M</t>
  </si>
  <si>
    <t>224775271M</t>
  </si>
  <si>
    <t>22482421M</t>
  </si>
  <si>
    <t>224948621M</t>
  </si>
  <si>
    <t>INVERSIONES CASTILLA BARBOSA S.A.S</t>
  </si>
  <si>
    <t>224978091M</t>
  </si>
  <si>
    <t>SOC.GANADERA SUPREMA DE ORIENTE SAS</t>
  </si>
  <si>
    <t>1263,5 AJUSTAR MERMA MANUAL</t>
  </si>
  <si>
    <t>22497181M</t>
  </si>
  <si>
    <t>JIMENEZ CORREA JUAN CAMILO</t>
  </si>
  <si>
    <t>225041631M</t>
  </si>
  <si>
    <t>225045271M</t>
  </si>
  <si>
    <t>225064911M</t>
  </si>
  <si>
    <t>225075271M</t>
  </si>
  <si>
    <t>22512B091M</t>
  </si>
  <si>
    <t>AGROINVERSIONES LA ARGENTINA SAS</t>
  </si>
  <si>
    <t>22512401M</t>
  </si>
  <si>
    <t>225148091M</t>
  </si>
  <si>
    <t>225155271M</t>
  </si>
  <si>
    <t>225154911M</t>
  </si>
  <si>
    <t>22515401M</t>
  </si>
  <si>
    <t>Coodinador</t>
  </si>
  <si>
    <t>Zona</t>
  </si>
  <si>
    <t>Denominación</t>
  </si>
  <si>
    <t>Jaime Mauricio Rodriguez</t>
  </si>
  <si>
    <t>F070</t>
  </si>
  <si>
    <t>Sur Del Cesar</t>
  </si>
  <si>
    <t>F_Agua Linda</t>
  </si>
  <si>
    <t>F132</t>
  </si>
  <si>
    <t>F_Altamira</t>
  </si>
  <si>
    <t>Oscar Esteban Cardona Hoyos</t>
  </si>
  <si>
    <t>F022</t>
  </si>
  <si>
    <t>Magdalena Medio</t>
  </si>
  <si>
    <t>F_Barajas</t>
  </si>
  <si>
    <t>F041</t>
  </si>
  <si>
    <t>F_La Belleza</t>
  </si>
  <si>
    <t>Valledupar</t>
  </si>
  <si>
    <t>F_Bello Horizont</t>
  </si>
  <si>
    <t>Luis Eduardo Argumedo Calderón</t>
  </si>
  <si>
    <t>F012</t>
  </si>
  <si>
    <t>Costa</t>
  </si>
  <si>
    <t>F_El Oriente</t>
  </si>
  <si>
    <t>F_Buenaventura</t>
  </si>
  <si>
    <t>F094</t>
  </si>
  <si>
    <t>F_Catatumbo</t>
  </si>
  <si>
    <t>F010</t>
  </si>
  <si>
    <t>F_La Libertad</t>
  </si>
  <si>
    <t>F146</t>
  </si>
  <si>
    <t>F_Coalcesar</t>
  </si>
  <si>
    <t>F_Don Alfonso</t>
  </si>
  <si>
    <t>F_El Prado</t>
  </si>
  <si>
    <t>F_El Diamante</t>
  </si>
  <si>
    <t>F_El Encanto</t>
  </si>
  <si>
    <t>F_La Manuela</t>
  </si>
  <si>
    <t>F_El Rosario</t>
  </si>
  <si>
    <t>F_El Playon</t>
  </si>
  <si>
    <t>F_La Carolina</t>
  </si>
  <si>
    <t>F065</t>
  </si>
  <si>
    <t>F_El Porvenir</t>
  </si>
  <si>
    <t>F_Guacharacas</t>
  </si>
  <si>
    <t>F_La Leticia</t>
  </si>
  <si>
    <t>F_Nuevo Porvenir</t>
  </si>
  <si>
    <t>F_Monaco</t>
  </si>
  <si>
    <t>F129</t>
  </si>
  <si>
    <t>F_Santa Cruz</t>
  </si>
  <si>
    <t>F128</t>
  </si>
  <si>
    <t>F_Santa Isabel</t>
  </si>
  <si>
    <t>F156</t>
  </si>
  <si>
    <t>F_Borinken</t>
  </si>
  <si>
    <t>F_Gualanday</t>
  </si>
  <si>
    <t>F_San Andres</t>
  </si>
  <si>
    <t>F_El Boton</t>
  </si>
  <si>
    <t>F148</t>
  </si>
  <si>
    <t>F_El Tropezon</t>
  </si>
  <si>
    <t>A_El Tropezon</t>
  </si>
  <si>
    <t>F_Las Carmelitas</t>
  </si>
  <si>
    <t>F_San Rafael</t>
  </si>
  <si>
    <t>F_La Castellana</t>
  </si>
  <si>
    <t>F_Santa Elena</t>
  </si>
  <si>
    <t>F138</t>
  </si>
  <si>
    <t>F_La Esperanza</t>
  </si>
  <si>
    <t>F_Guadalajara</t>
  </si>
  <si>
    <t>F_Triana</t>
  </si>
  <si>
    <t>F_La Majagua</t>
  </si>
  <si>
    <t>F050</t>
  </si>
  <si>
    <t>F_Belgica</t>
  </si>
  <si>
    <t>F_La Pradilla</t>
  </si>
  <si>
    <t>F_Chumbimbo</t>
  </si>
  <si>
    <t>F_El Imperio</t>
  </si>
  <si>
    <t>F040</t>
  </si>
  <si>
    <t>F_La Suiza</t>
  </si>
  <si>
    <t>F_Las Delicias</t>
  </si>
  <si>
    <t>F130</t>
  </si>
  <si>
    <t>F_El Orinoco</t>
  </si>
  <si>
    <t>F_Guadalupe</t>
  </si>
  <si>
    <t>F_La Dolores</t>
  </si>
  <si>
    <t>F_Las Marias</t>
  </si>
  <si>
    <t>F084</t>
  </si>
  <si>
    <t>F_Pedregal</t>
  </si>
  <si>
    <t>F_Las Camelias</t>
  </si>
  <si>
    <t>F_Predio Aguachi</t>
  </si>
  <si>
    <t>F_Guayacanes</t>
  </si>
  <si>
    <t>F_San Antonio</t>
  </si>
  <si>
    <t>F037</t>
  </si>
  <si>
    <t>F_Penjamo</t>
  </si>
  <si>
    <t>F001</t>
  </si>
  <si>
    <t>F_Herrero_Corint</t>
  </si>
  <si>
    <t>F_San Martin</t>
  </si>
  <si>
    <t>F086</t>
  </si>
  <si>
    <t>F_San Miguel</t>
  </si>
  <si>
    <t>F_El Tambo</t>
  </si>
  <si>
    <t>F_Jordan</t>
  </si>
  <si>
    <t>F133</t>
  </si>
  <si>
    <t>F_Opilandia</t>
  </si>
  <si>
    <t>F_Santa Ines</t>
  </si>
  <si>
    <t>F157</t>
  </si>
  <si>
    <t>F_San Marcos</t>
  </si>
  <si>
    <t>F147</t>
  </si>
  <si>
    <t>F_Santa Paula</t>
  </si>
  <si>
    <t>F123</t>
  </si>
  <si>
    <t>F_San Lucas</t>
  </si>
  <si>
    <t>F_Texas Araujo</t>
  </si>
  <si>
    <t>F_Tulcan</t>
  </si>
  <si>
    <t>Antioquia</t>
  </si>
  <si>
    <t>F_Tunez</t>
  </si>
  <si>
    <t>F_Venecia</t>
  </si>
  <si>
    <t>F145</t>
  </si>
  <si>
    <t>F_Versalles</t>
  </si>
  <si>
    <t>F_Villa Chola</t>
  </si>
  <si>
    <t>F_Villa Juana</t>
  </si>
  <si>
    <t>F072</t>
  </si>
  <si>
    <t>F_Villa Juliana</t>
  </si>
  <si>
    <t>AA31</t>
  </si>
  <si>
    <t>Feedlot 1</t>
  </si>
  <si>
    <t>AB31</t>
  </si>
  <si>
    <t>Feedlot 2</t>
  </si>
  <si>
    <t>SALIO</t>
  </si>
  <si>
    <t>F134</t>
  </si>
  <si>
    <t>PARAGUAY</t>
  </si>
  <si>
    <t>F_Corozal</t>
  </si>
  <si>
    <t>Cesar</t>
  </si>
  <si>
    <t>F_El Recreo</t>
  </si>
  <si>
    <t>F_La Florida</t>
  </si>
  <si>
    <t>F_La Estrella</t>
  </si>
  <si>
    <t>F_Chaparral</t>
  </si>
  <si>
    <t>F163</t>
  </si>
  <si>
    <t>F_La Pompe</t>
  </si>
  <si>
    <t>F160</t>
  </si>
  <si>
    <t>F_Atrapa Sueños</t>
  </si>
  <si>
    <t>F183</t>
  </si>
  <si>
    <t>F_La Cabaña</t>
  </si>
  <si>
    <t>F180</t>
  </si>
  <si>
    <t>F_El Carmen</t>
  </si>
  <si>
    <t>Brayan David Leon Romero</t>
  </si>
  <si>
    <t>Llanos</t>
  </si>
  <si>
    <t>F_Santa Mónica</t>
  </si>
  <si>
    <t>F_Cocodrilla</t>
  </si>
  <si>
    <t>F_Vista Hermosa</t>
  </si>
  <si>
    <t>F_Yacare</t>
  </si>
  <si>
    <t>F_Totumito</t>
  </si>
  <si>
    <t>F_El Tigre</t>
  </si>
  <si>
    <t>F_El Loro</t>
  </si>
  <si>
    <t>Loma Rosa</t>
  </si>
  <si>
    <t>F_San Clemente</t>
  </si>
  <si>
    <t>F_Holanda</t>
  </si>
  <si>
    <t xml:space="preserve">F136
</t>
  </si>
  <si>
    <t>F_Agualinda</t>
  </si>
  <si>
    <t>F_Mis Deseos</t>
  </si>
  <si>
    <t>F173</t>
  </si>
  <si>
    <t>F_Aquitania</t>
  </si>
  <si>
    <t>F_Las Pampas</t>
  </si>
  <si>
    <t>F_Villa Cristina</t>
  </si>
  <si>
    <t>F_Villa Lupe</t>
  </si>
  <si>
    <t>F_Los Santos</t>
  </si>
  <si>
    <t>La Tranquilidad</t>
  </si>
  <si>
    <t>El Milagro</t>
  </si>
  <si>
    <t>Canaan</t>
  </si>
  <si>
    <t>Finca</t>
  </si>
  <si>
    <t>Fecha de Fabricación</t>
  </si>
  <si>
    <t>Fecha de Correo</t>
  </si>
  <si>
    <t>Descripción del material</t>
  </si>
  <si>
    <t>Coordinador</t>
  </si>
  <si>
    <t>Elias Farid Ganem Tapias</t>
  </si>
  <si>
    <t>226100165T</t>
  </si>
  <si>
    <t>226200165U</t>
  </si>
  <si>
    <t xml:space="preserve"> Martha Marina Gutierrez</t>
  </si>
  <si>
    <t>228100019T</t>
  </si>
  <si>
    <t>Inversiones Del Milagro S.A.S</t>
  </si>
  <si>
    <t>228200193U</t>
  </si>
  <si>
    <t>22C100019T</t>
  </si>
  <si>
    <t>22C100019U</t>
  </si>
  <si>
    <t>JONNY DE JESUS CEBALLOS GONZALEZ</t>
  </si>
  <si>
    <t>22C100172T</t>
  </si>
  <si>
    <t>22C100172U</t>
  </si>
  <si>
    <t>22D100193T</t>
  </si>
  <si>
    <t>22D100193U</t>
  </si>
  <si>
    <t>PEALEZ HENAO SANTIAGO</t>
  </si>
  <si>
    <t>22D100215T</t>
  </si>
  <si>
    <t>22D100215U</t>
  </si>
  <si>
    <t>Los Kilos de las nacimeintos siempre se ingresan con 20 KG</t>
  </si>
  <si>
    <t>Integraciones Activas</t>
  </si>
  <si>
    <t>Feedlot1</t>
  </si>
  <si>
    <t>Sur del Cesar</t>
  </si>
  <si>
    <t>NNAA</t>
  </si>
  <si>
    <t>Feedlot2</t>
  </si>
  <si>
    <t>NNAB</t>
  </si>
  <si>
    <t>Alm. FeedLot</t>
  </si>
  <si>
    <t>NNAC</t>
  </si>
  <si>
    <t>F006</t>
  </si>
  <si>
    <t>F_Martha Magdale</t>
  </si>
  <si>
    <t>F013</t>
  </si>
  <si>
    <t>F_La Judea</t>
  </si>
  <si>
    <t>F015</t>
  </si>
  <si>
    <t>F_Dorada</t>
  </si>
  <si>
    <t>A_Jordan</t>
  </si>
  <si>
    <t>Hotelería</t>
  </si>
  <si>
    <t>F033</t>
  </si>
  <si>
    <t>F_Toluca</t>
  </si>
  <si>
    <t>A_Santa Ines</t>
  </si>
  <si>
    <t>F047</t>
  </si>
  <si>
    <t>F_Palomares</t>
  </si>
  <si>
    <t>F048</t>
  </si>
  <si>
    <t>F_San Gabriel</t>
  </si>
  <si>
    <t>F051</t>
  </si>
  <si>
    <t>F_Plan Bonito</t>
  </si>
  <si>
    <t>F064</t>
  </si>
  <si>
    <t>F_El Brillante</t>
  </si>
  <si>
    <t>F078</t>
  </si>
  <si>
    <t>F_Las Mercedes</t>
  </si>
  <si>
    <t>F081</t>
  </si>
  <si>
    <t>F_Palo Negro</t>
  </si>
  <si>
    <t>F083</t>
  </si>
  <si>
    <t>F_Sevilla</t>
  </si>
  <si>
    <t>F093</t>
  </si>
  <si>
    <t>F_Vigilancia</t>
  </si>
  <si>
    <t>F_Samaria</t>
  </si>
  <si>
    <t>F_Carrasquito</t>
  </si>
  <si>
    <t>F111</t>
  </si>
  <si>
    <t>F_El Brasil</t>
  </si>
  <si>
    <t>F112</t>
  </si>
  <si>
    <t>F_Piamonte</t>
  </si>
  <si>
    <t>F_Los Alacranes</t>
  </si>
  <si>
    <t>F118</t>
  </si>
  <si>
    <t>F_La Isla</t>
  </si>
  <si>
    <t>F121</t>
  </si>
  <si>
    <t>F_Pozo Ronco</t>
  </si>
  <si>
    <t>F_paraguay</t>
  </si>
  <si>
    <t>F137</t>
  </si>
  <si>
    <t>F_Rancho Ariguaní</t>
  </si>
  <si>
    <t>F152</t>
  </si>
  <si>
    <t>F_Ciro Monsalvo</t>
  </si>
  <si>
    <t>F_Providencia</t>
  </si>
  <si>
    <t>F_Chenevo</t>
  </si>
  <si>
    <t>A070</t>
  </si>
  <si>
    <t>A_Agua Linda</t>
  </si>
  <si>
    <t>A067</t>
  </si>
  <si>
    <t>A_Guacharacas</t>
  </si>
  <si>
    <t>F150</t>
  </si>
  <si>
    <t>F_Los Deseos</t>
  </si>
  <si>
    <t>F_Tripoli</t>
  </si>
  <si>
    <t>F_El Caldero</t>
  </si>
  <si>
    <t>Villavicencio</t>
  </si>
  <si>
    <t>F_Juan Simón</t>
  </si>
  <si>
    <t>F_El Arbolito</t>
  </si>
  <si>
    <t>A_Linda Loma</t>
  </si>
  <si>
    <t>F_El Milagro</t>
  </si>
  <si>
    <t>F_Patio Bonito</t>
  </si>
  <si>
    <t>F_Salonica</t>
  </si>
  <si>
    <t>F_La Aldea</t>
  </si>
  <si>
    <t>La Fortuna</t>
  </si>
  <si>
    <t>Nicaragua</t>
  </si>
  <si>
    <t>A_Rancho Apache</t>
  </si>
  <si>
    <t>F_La Lucha</t>
  </si>
  <si>
    <t>Potosi</t>
  </si>
  <si>
    <t>F_Villa Sandra</t>
  </si>
  <si>
    <t>A_Villa Sandra</t>
  </si>
  <si>
    <t>F211</t>
  </si>
  <si>
    <t>F_Tierra Dentro</t>
  </si>
  <si>
    <t>F_Los Aceitunos</t>
  </si>
  <si>
    <t>A_Corozal</t>
  </si>
  <si>
    <t>A_Tierra Dentro</t>
  </si>
  <si>
    <t>A_Los Aceitunos</t>
  </si>
  <si>
    <t>A_Chapinero</t>
  </si>
  <si>
    <t>F_Santa Marta</t>
  </si>
  <si>
    <t>A_San Lorenzo</t>
  </si>
  <si>
    <t>F_Villa Catalina</t>
  </si>
  <si>
    <t>F213</t>
  </si>
  <si>
    <t>F_La Casta</t>
  </si>
  <si>
    <t>A_La Casta</t>
  </si>
  <si>
    <t>El Encanto</t>
  </si>
  <si>
    <t>A_Santa Maria</t>
  </si>
  <si>
    <t>F_Chinulito</t>
  </si>
  <si>
    <t>A_El Playon</t>
  </si>
  <si>
    <t>F_Santo Domingo</t>
  </si>
  <si>
    <t>F_La Guyana</t>
  </si>
  <si>
    <t>F_Santa Fe</t>
  </si>
  <si>
    <t>A_Montecristo</t>
  </si>
  <si>
    <t>EL_ Estoril</t>
  </si>
  <si>
    <t>F_Canaan</t>
  </si>
  <si>
    <t>F_Fronteras</t>
  </si>
  <si>
    <t>Descripción</t>
  </si>
  <si>
    <t>Res macho ceba ganadería</t>
  </si>
  <si>
    <t>Res macho levante ganadería</t>
  </si>
  <si>
    <t>Res macho Cria ganaderia</t>
  </si>
  <si>
    <t>Res novilla ceba ganadería</t>
  </si>
  <si>
    <t>Res hembra ceba ganadería</t>
  </si>
  <si>
    <t>Res ternero nacido ganadería</t>
  </si>
  <si>
    <t>Res ternera nacida ganadería</t>
  </si>
  <si>
    <t xml:space="preserve">     Res hembra cría ganadería</t>
  </si>
  <si>
    <t>Res hembra levante ganadería</t>
  </si>
  <si>
    <t>Bufalo macho ceba ganadería</t>
  </si>
  <si>
    <t xml:space="preserve">RES MACHO GORDO </t>
  </si>
  <si>
    <t xml:space="preserve">RES NOVILLA GORDA PIE </t>
  </si>
  <si>
    <t xml:space="preserve">RES VACA GORDA PIE </t>
  </si>
  <si>
    <t>Res ternero gordo pie</t>
  </si>
  <si>
    <t>Código Viejo</t>
  </si>
  <si>
    <t>Código Nuevo</t>
  </si>
  <si>
    <t>Res Hembra Pie Comercial</t>
  </si>
  <si>
    <t>7006427
7006436</t>
  </si>
  <si>
    <t>Res Macho Pie Comercial</t>
  </si>
  <si>
    <t>Res Macho Pie Exportacion</t>
  </si>
  <si>
    <t>Res Macho Pie GVA</t>
  </si>
  <si>
    <t>Res Macho Pie HALAL</t>
  </si>
  <si>
    <t>Res Ternero Pie</t>
  </si>
  <si>
    <t>Res Macho Pie T2 en PRD</t>
  </si>
  <si>
    <t>Res en pie</t>
  </si>
  <si>
    <t>Bufalo en pie</t>
  </si>
  <si>
    <t>abril</t>
  </si>
  <si>
    <t>agosto</t>
  </si>
  <si>
    <t>diciembre</t>
  </si>
  <si>
    <t>enero</t>
  </si>
  <si>
    <t>febrero</t>
  </si>
  <si>
    <t>julio</t>
  </si>
  <si>
    <t>junio</t>
  </si>
  <si>
    <t>marzo</t>
  </si>
  <si>
    <t>mayo</t>
  </si>
  <si>
    <t>noviembre</t>
  </si>
  <si>
    <t>octubre</t>
  </si>
  <si>
    <t>septiembre</t>
  </si>
  <si>
    <t>Total 3025457</t>
  </si>
  <si>
    <t>Total 3025459</t>
  </si>
  <si>
    <t>Total 3025460</t>
  </si>
  <si>
    <t>Total 3025461</t>
  </si>
  <si>
    <t>Total 3025462</t>
  </si>
  <si>
    <t>Total 3025662</t>
  </si>
  <si>
    <t>AVERAGE of Valor Und</t>
  </si>
  <si>
    <t>(en blanco)</t>
  </si>
  <si>
    <t>Total general</t>
  </si>
  <si>
    <t>Total 7</t>
  </si>
  <si>
    <t>Total 7.5</t>
  </si>
  <si>
    <t>Total (en blanco)</t>
  </si>
  <si>
    <t>(Todas)</t>
  </si>
  <si>
    <t>Costo / Res</t>
  </si>
  <si>
    <t>Etiquetas de columna</t>
  </si>
  <si>
    <t>Etiquetas de fila</t>
  </si>
  <si>
    <t>Promedio de Precio kg</t>
  </si>
  <si>
    <t>Peso Res</t>
  </si>
  <si>
    <t>Promedio de Peso Res</t>
  </si>
  <si>
    <t>Res macho levante</t>
  </si>
  <si>
    <t>Res ternero nacido</t>
  </si>
  <si>
    <t>Res macho Cría</t>
  </si>
  <si>
    <t>Res macho ceba</t>
  </si>
  <si>
    <t>Res ternera nacida</t>
  </si>
  <si>
    <t>Res hembra Cría</t>
  </si>
  <si>
    <t>Res hembra levante</t>
  </si>
  <si>
    <t>Res novilla ceba</t>
  </si>
  <si>
    <t>Res vaca ceba</t>
  </si>
  <si>
    <t>Total Promedio de Peso Res</t>
  </si>
  <si>
    <t>Total Promedio de Precio kg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</si>
</sst>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42" formatCode="_-&quot;$&quot;\ * #,##0_-;\-&quot;$&quot;\ * #,##0_-;_-&quot;$&quot;\ * &quot;-&quot;_-;_-@_-"/>
    <numFmt numFmtId="41" formatCode="_-* #,##0_-;\-* #,##0_-;_-* &quot;-&quot;_-;_-@_-"/>
    <numFmt numFmtId="164" formatCode="0.0"/>
    <numFmt numFmtId="165" formatCode="&quot;$&quot;#,##0"/>
    <numFmt numFmtId="166" formatCode="dddd\,\ dd&quot; de &quot;mmmm&quot; de &quot;yyyy"/>
    <numFmt numFmtId="167" formatCode="&quot;$&quot;#,##0.000"/>
    <numFmt numFmtId="168" formatCode="&quot;$&quot;#,##0.00000"/>
    <numFmt numFmtId="170" formatCode="0.000"/>
    <numFmt numFmtId="171" formatCode="#,##0\ [$€-1]"/>
    <numFmt numFmtId="172" formatCode="dddd\,\ d&quot; de &quot;mmmm&quot; de &quot;yyyy"/>
    <numFmt numFmtId="173" formatCode="#,##0.000"/>
    <numFmt numFmtId="176" formatCode="_-* #,##0.0_-;\-* #,##0.0_-;_-* &quot;-&quot;_-;_-@_-"/>
    <numFmt numFmtId="177" formatCode="_-* #,##0.00_-;\-* #,##0.00_-;_-* &quot;-&quot;_-;_-@_-"/>
  </numFmts>
  <fonts count="51">
    <font>
      <sz val="10"/>
      <color rgb="FF000000"/>
      <name val="Arial"/>
      <scheme val="minor"/>
    </font>
    <font>
      <b/>
      <sz val="9"/>
      <color rgb="FFFFFFFF"/>
      <name val="Arial"/>
      <family val="2"/>
    </font>
    <font>
      <sz val="9"/>
      <color rgb="FFFFFFFF"/>
      <name val="Arial"/>
      <family val="2"/>
    </font>
    <font>
      <sz val="9"/>
      <color theme="1"/>
      <name val="Arial"/>
      <family val="2"/>
    </font>
    <font>
      <sz val="9"/>
      <color rgb="FF000000"/>
      <name val="Arial"/>
      <family val="2"/>
    </font>
    <font>
      <sz val="9"/>
      <color theme="0"/>
      <name val="Arial"/>
      <family val="2"/>
    </font>
    <font>
      <b/>
      <sz val="9"/>
      <color theme="1"/>
      <name val="Arial"/>
      <family val="2"/>
    </font>
    <font>
      <sz val="10"/>
      <color theme="1"/>
      <name val="Arial"/>
      <family val="2"/>
    </font>
    <font>
      <b/>
      <sz val="9"/>
      <color rgb="FFFF0000"/>
      <name val="Arial"/>
      <family val="2"/>
    </font>
    <font>
      <sz val="10"/>
      <color rgb="FF000000"/>
      <name val="Roboto"/>
    </font>
    <font>
      <b/>
      <sz val="9"/>
      <color rgb="FF0000FF"/>
      <name val="Arial"/>
      <family val="2"/>
    </font>
    <font>
      <sz val="10"/>
      <color theme="1"/>
      <name val="Arial"/>
      <family val="2"/>
      <scheme val="minor"/>
    </font>
    <font>
      <sz val="9"/>
      <color rgb="FF3C4043"/>
      <name val="Arial"/>
      <family val="2"/>
    </font>
    <font>
      <sz val="10"/>
      <color rgb="FFFFFFFF"/>
      <name val="Arial"/>
      <family val="2"/>
    </font>
    <font>
      <b/>
      <sz val="10"/>
      <color theme="0"/>
      <name val="Arial"/>
      <family val="2"/>
    </font>
    <font>
      <b/>
      <sz val="10"/>
      <color rgb="FFFFFFFF"/>
      <name val="Arial"/>
      <family val="2"/>
    </font>
    <font>
      <b/>
      <sz val="10"/>
      <color rgb="FFFF0000"/>
      <name val="Arial"/>
      <family val="2"/>
    </font>
    <font>
      <sz val="10"/>
      <color theme="1"/>
      <name val="Arial"/>
      <family val="2"/>
    </font>
    <font>
      <sz val="10"/>
      <color theme="1"/>
      <name val="Calibri"/>
      <family val="2"/>
    </font>
    <font>
      <sz val="10"/>
      <color theme="0"/>
      <name val="Calibri"/>
      <family val="2"/>
    </font>
    <font>
      <sz val="10"/>
      <color rgb="FFFFFFFF"/>
      <name val="Calibri"/>
      <family val="2"/>
    </font>
    <font>
      <sz val="10"/>
      <color theme="1"/>
      <name val="Calibri"/>
      <family val="2"/>
    </font>
    <font>
      <sz val="10"/>
      <color rgb="FFFFFFFF"/>
      <name val="Calibri"/>
      <family val="2"/>
    </font>
    <font>
      <sz val="12"/>
      <color theme="1"/>
      <name val="Calibri"/>
      <family val="2"/>
    </font>
    <font>
      <sz val="10"/>
      <color rgb="FF000000"/>
      <name val="Calibri"/>
      <family val="2"/>
    </font>
    <font>
      <b/>
      <sz val="10"/>
      <color rgb="FFFF0000"/>
      <name val="Calibri"/>
      <family val="2"/>
    </font>
    <font>
      <b/>
      <sz val="12"/>
      <color theme="1"/>
      <name val="Arial"/>
      <family val="2"/>
    </font>
    <font>
      <b/>
      <sz val="11"/>
      <color rgb="FFFFFFFF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0"/>
      <name val="Arial"/>
      <family val="2"/>
    </font>
    <font>
      <b/>
      <sz val="15"/>
      <color rgb="FFFFFFFF"/>
      <name val="Calibri"/>
      <family val="2"/>
    </font>
    <font>
      <b/>
      <sz val="10"/>
      <color theme="1"/>
      <name val="Arial"/>
      <family val="2"/>
      <scheme val="minor"/>
    </font>
    <font>
      <b/>
      <sz val="10"/>
      <color theme="0"/>
      <name val="Calibri"/>
      <family val="2"/>
    </font>
    <font>
      <b/>
      <sz val="10"/>
      <color rgb="FFFFFFFF"/>
      <name val="Calibri"/>
      <family val="2"/>
    </font>
    <font>
      <b/>
      <sz val="10"/>
      <color rgb="FFFF0000"/>
      <name val="Calibri"/>
      <family val="2"/>
    </font>
    <font>
      <b/>
      <sz val="10"/>
      <color theme="0"/>
      <name val="Calibri"/>
      <family val="2"/>
    </font>
    <font>
      <b/>
      <sz val="12"/>
      <color theme="1"/>
      <name val="Arial"/>
      <family val="2"/>
      <scheme val="minor"/>
    </font>
    <font>
      <b/>
      <sz val="12"/>
      <color theme="0"/>
      <name val="Calibri"/>
      <family val="2"/>
    </font>
    <font>
      <sz val="12"/>
      <color theme="0"/>
      <name val="Calibri"/>
      <family val="2"/>
    </font>
    <font>
      <b/>
      <sz val="14"/>
      <color rgb="FF000000"/>
      <name val="Calibri"/>
      <family val="2"/>
    </font>
    <font>
      <sz val="12"/>
      <color rgb="FFFFFFFF"/>
      <name val="Calibri"/>
      <family val="2"/>
    </font>
    <font>
      <sz val="12"/>
      <color rgb="FF000000"/>
      <name val="Calibri"/>
      <family val="2"/>
    </font>
    <font>
      <b/>
      <sz val="12"/>
      <color theme="1"/>
      <name val="Calibri"/>
      <family val="2"/>
    </font>
    <font>
      <b/>
      <sz val="10"/>
      <color theme="1"/>
      <name val="Arial"/>
      <family val="2"/>
    </font>
    <font>
      <b/>
      <sz val="9"/>
      <color rgb="FF000000"/>
      <name val="Arial"/>
      <family val="2"/>
    </font>
    <font>
      <b/>
      <sz val="9"/>
      <color theme="8"/>
      <name val="Arial"/>
      <family val="2"/>
    </font>
    <font>
      <b/>
      <sz val="9"/>
      <color rgb="FFFF00FF"/>
      <name val="Arial"/>
      <family val="2"/>
    </font>
    <font>
      <sz val="10"/>
      <color rgb="FF000000"/>
      <name val="Arial"/>
      <family val="2"/>
      <scheme val="minor"/>
    </font>
  </fonts>
  <fills count="56">
    <fill>
      <patternFill patternType="none"/>
    </fill>
    <fill>
      <patternFill patternType="gray125"/>
    </fill>
    <fill>
      <patternFill patternType="solid">
        <fgColor rgb="FF538DD5"/>
        <bgColor rgb="FF538DD5"/>
      </patternFill>
    </fill>
    <fill>
      <patternFill patternType="solid">
        <fgColor rgb="FFB7E1CD"/>
        <bgColor rgb="FFB7E1CD"/>
      </patternFill>
    </fill>
    <fill>
      <patternFill patternType="solid">
        <fgColor rgb="FFC9DAF8"/>
        <bgColor rgb="FFC9DAF8"/>
      </patternFill>
    </fill>
    <fill>
      <patternFill patternType="solid">
        <fgColor rgb="FFFFCA28"/>
        <bgColor rgb="FFFFCA28"/>
      </patternFill>
    </fill>
    <fill>
      <patternFill patternType="solid">
        <fgColor rgb="FFF4CCCC"/>
        <bgColor rgb="FFF4CCCC"/>
      </patternFill>
    </fill>
    <fill>
      <patternFill patternType="solid">
        <fgColor rgb="FFFFC000"/>
        <bgColor rgb="FFFFC000"/>
      </patternFill>
    </fill>
    <fill>
      <patternFill patternType="solid">
        <fgColor rgb="FFFF0000"/>
        <bgColor rgb="FFFF0000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980000"/>
        <bgColor rgb="FF980000"/>
      </patternFill>
    </fill>
    <fill>
      <patternFill patternType="solid">
        <fgColor rgb="FF00B050"/>
        <bgColor rgb="FF00B050"/>
      </patternFill>
    </fill>
    <fill>
      <patternFill patternType="solid">
        <fgColor rgb="FF0C343D"/>
        <bgColor rgb="FF0C343D"/>
      </patternFill>
    </fill>
    <fill>
      <patternFill patternType="solid">
        <fgColor rgb="FFD9D2E9"/>
        <bgColor rgb="FFD9D2E9"/>
      </patternFill>
    </fill>
    <fill>
      <patternFill patternType="solid">
        <fgColor rgb="FFEAD1DC"/>
        <bgColor rgb="FFEAD1DC"/>
      </patternFill>
    </fill>
    <fill>
      <patternFill patternType="solid">
        <fgColor rgb="FFD5A6BD"/>
        <bgColor rgb="FFD5A6BD"/>
      </patternFill>
    </fill>
    <fill>
      <patternFill patternType="solid">
        <fgColor rgb="FFFF00FF"/>
        <bgColor rgb="FFFF00FF"/>
      </patternFill>
    </fill>
    <fill>
      <patternFill patternType="solid">
        <fgColor rgb="FFCCCCCC"/>
        <bgColor rgb="FFCCCCCC"/>
      </patternFill>
    </fill>
    <fill>
      <patternFill patternType="solid">
        <fgColor rgb="FF00FF00"/>
        <bgColor rgb="FF00FF00"/>
      </patternFill>
    </fill>
    <fill>
      <patternFill patternType="solid">
        <fgColor rgb="FFC2D69B"/>
        <bgColor rgb="FFC2D69B"/>
      </patternFill>
    </fill>
    <fill>
      <patternFill patternType="solid">
        <fgColor theme="4"/>
        <bgColor theme="4"/>
      </patternFill>
    </fill>
    <fill>
      <patternFill patternType="solid">
        <fgColor rgb="FFFFE599"/>
        <bgColor rgb="FFFFE599"/>
      </patternFill>
    </fill>
    <fill>
      <patternFill patternType="solid">
        <fgColor rgb="FF4A86E8"/>
        <bgColor rgb="FF4A86E8"/>
      </patternFill>
    </fill>
    <fill>
      <patternFill patternType="solid">
        <fgColor rgb="FF1A8FAF"/>
        <bgColor rgb="FF1A8FAF"/>
      </patternFill>
    </fill>
    <fill>
      <patternFill patternType="solid">
        <fgColor rgb="FF51F0BD"/>
        <bgColor rgb="FF51F0BD"/>
      </patternFill>
    </fill>
    <fill>
      <patternFill patternType="solid">
        <fgColor rgb="FFFF9900"/>
        <bgColor rgb="FFFF9900"/>
      </patternFill>
    </fill>
    <fill>
      <patternFill patternType="solid">
        <fgColor rgb="FF4285F4"/>
        <bgColor rgb="FF4285F4"/>
      </patternFill>
    </fill>
    <fill>
      <patternFill patternType="solid">
        <fgColor rgb="FFF76605"/>
        <bgColor rgb="FFF76605"/>
      </patternFill>
    </fill>
    <fill>
      <patternFill patternType="solid">
        <fgColor rgb="FF999999"/>
        <bgColor rgb="FF999999"/>
      </patternFill>
    </fill>
    <fill>
      <patternFill patternType="solid">
        <fgColor rgb="FF00FFFF"/>
        <bgColor rgb="FF00FFFF"/>
      </patternFill>
    </fill>
    <fill>
      <patternFill patternType="solid">
        <fgColor rgb="FF0000FF"/>
        <bgColor rgb="FF0000FF"/>
      </patternFill>
    </fill>
    <fill>
      <patternFill patternType="solid">
        <fgColor rgb="FF9900FF"/>
        <bgColor rgb="FF9900FF"/>
      </patternFill>
    </fill>
    <fill>
      <patternFill patternType="solid">
        <fgColor rgb="FFD9EAD3"/>
        <bgColor rgb="FFD9EAD3"/>
      </patternFill>
    </fill>
    <fill>
      <patternFill patternType="solid">
        <fgColor rgb="FF666666"/>
        <bgColor rgb="FF666666"/>
      </patternFill>
    </fill>
    <fill>
      <patternFill patternType="solid">
        <fgColor rgb="FFFABF8F"/>
        <bgColor rgb="FFFABF8F"/>
      </patternFill>
    </fill>
    <fill>
      <patternFill patternType="solid">
        <fgColor rgb="FFFCD5B4"/>
        <bgColor rgb="FFFCD5B4"/>
      </patternFill>
    </fill>
    <fill>
      <patternFill patternType="solid">
        <fgColor rgb="FFA4C2F4"/>
        <bgColor rgb="FFA4C2F4"/>
      </patternFill>
    </fill>
    <fill>
      <patternFill patternType="solid">
        <fgColor rgb="FF93C47D"/>
        <bgColor rgb="FF93C47D"/>
      </patternFill>
    </fill>
    <fill>
      <patternFill patternType="solid">
        <fgColor rgb="FF9FC5E8"/>
        <bgColor rgb="FF9FC5E8"/>
      </patternFill>
    </fill>
    <fill>
      <patternFill patternType="solid">
        <fgColor rgb="FFEA9999"/>
        <bgColor rgb="FFEA9999"/>
      </patternFill>
    </fill>
    <fill>
      <patternFill patternType="solid">
        <fgColor rgb="FFFFD966"/>
        <bgColor rgb="FFFFD966"/>
      </patternFill>
    </fill>
    <fill>
      <patternFill patternType="solid">
        <fgColor rgb="FFFFF2CC"/>
        <bgColor rgb="FFFFF2CC"/>
      </patternFill>
    </fill>
    <fill>
      <patternFill patternType="solid">
        <fgColor rgb="FFB6D7A8"/>
        <bgColor rgb="FFB6D7A8"/>
      </patternFill>
    </fill>
    <fill>
      <patternFill patternType="solid">
        <fgColor rgb="FFB4A7D6"/>
        <bgColor rgb="FFB4A7D6"/>
      </patternFill>
    </fill>
    <fill>
      <patternFill patternType="solid">
        <fgColor rgb="FFBF9000"/>
        <bgColor rgb="FFBF9000"/>
      </patternFill>
    </fill>
    <fill>
      <patternFill patternType="solid">
        <fgColor rgb="FFF1C232"/>
        <bgColor rgb="FFF1C232"/>
      </patternFill>
    </fill>
    <fill>
      <patternFill patternType="solid">
        <fgColor rgb="FFFCE5CD"/>
        <bgColor rgb="FFFCE5CD"/>
      </patternFill>
    </fill>
    <fill>
      <patternFill patternType="solid">
        <fgColor rgb="FFD9D9D9"/>
        <bgColor rgb="FFD9D9D9"/>
      </patternFill>
    </fill>
    <fill>
      <patternFill patternType="solid">
        <fgColor rgb="FFE06666"/>
        <bgColor rgb="FFE06666"/>
      </patternFill>
    </fill>
    <fill>
      <patternFill patternType="solid">
        <fgColor rgb="FF3F97C0"/>
        <bgColor rgb="FF3F97C0"/>
      </patternFill>
    </fill>
    <fill>
      <patternFill patternType="solid">
        <fgColor rgb="FFDBE5F1"/>
        <bgColor rgb="FFDBE5F1"/>
      </patternFill>
    </fill>
    <fill>
      <patternFill patternType="solid">
        <fgColor rgb="FFF9CB9C"/>
        <bgColor rgb="FFF9CB9C"/>
      </patternFill>
    </fill>
    <fill>
      <patternFill patternType="solid">
        <fgColor rgb="FF434343"/>
        <bgColor rgb="FF434343"/>
      </patternFill>
    </fill>
    <fill>
      <patternFill patternType="solid">
        <fgColor rgb="FF6D9EEB"/>
        <bgColor rgb="FF6D9EEB"/>
      </patternFill>
    </fill>
  </fills>
  <borders count="81">
    <border>
      <left/>
      <right/>
      <top/>
      <bottom/>
      <diagonal/>
    </border>
    <border>
      <left style="thin">
        <color rgb="FF1155CC"/>
      </left>
      <right style="thin">
        <color rgb="FF1155CC"/>
      </right>
      <top style="thin">
        <color rgb="FF1155CC"/>
      </top>
      <bottom style="thin">
        <color rgb="FF1155CC"/>
      </bottom>
      <diagonal/>
    </border>
    <border>
      <left style="thin">
        <color rgb="FF1155CC"/>
      </left>
      <right/>
      <top style="thin">
        <color rgb="FF1155CC"/>
      </top>
      <bottom style="thin">
        <color rgb="FF1155CC"/>
      </bottom>
      <diagonal/>
    </border>
    <border>
      <left style="thin">
        <color rgb="FF4285F4"/>
      </left>
      <right style="thin">
        <color rgb="FF4285F4"/>
      </right>
      <top style="thin">
        <color rgb="FF4285F4"/>
      </top>
      <bottom style="thin">
        <color rgb="FF4285F4"/>
      </bottom>
      <diagonal/>
    </border>
    <border>
      <left/>
      <right style="thin">
        <color rgb="FF1155CC"/>
      </right>
      <top style="thin">
        <color rgb="FF1155CC"/>
      </top>
      <bottom style="thin">
        <color rgb="FF1155CC"/>
      </bottom>
      <diagonal/>
    </border>
    <border>
      <left/>
      <right/>
      <top style="thin">
        <color rgb="FF1155CC"/>
      </top>
      <bottom style="thin">
        <color rgb="FF1155CC"/>
      </bottom>
      <diagonal/>
    </border>
    <border>
      <left/>
      <right style="thin">
        <color rgb="FF4285F4"/>
      </right>
      <top style="thin">
        <color rgb="FF4285F4"/>
      </top>
      <bottom style="thin">
        <color rgb="FF4285F4"/>
      </bottom>
      <diagonal/>
    </border>
    <border>
      <left/>
      <right style="thin">
        <color rgb="FF1155CC"/>
      </right>
      <top style="thin">
        <color rgb="FF4285F4"/>
      </top>
      <bottom style="thin">
        <color rgb="FF4285F4"/>
      </bottom>
      <diagonal/>
    </border>
    <border>
      <left/>
      <right style="thin">
        <color rgb="FF4285F4"/>
      </right>
      <top style="thin">
        <color rgb="FF1155CC"/>
      </top>
      <bottom style="thin">
        <color rgb="FF1155CC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1155CC"/>
      </left>
      <right style="thin">
        <color rgb="FF1155CC"/>
      </right>
      <top style="thin">
        <color rgb="FF1155CC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1155CC"/>
      </top>
      <bottom style="thin">
        <color rgb="FF1155CC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 style="thin">
        <color rgb="FF4A86E8"/>
      </left>
      <right style="thin">
        <color rgb="FF4A86E8"/>
      </right>
      <top style="thin">
        <color rgb="FF4A86E8"/>
      </top>
      <bottom style="thin">
        <color rgb="FF4A86E8"/>
      </bottom>
      <diagonal/>
    </border>
    <border>
      <left/>
      <right style="thin">
        <color rgb="FF4A86E8"/>
      </right>
      <top style="thin">
        <color rgb="FF4A86E8"/>
      </top>
      <bottom style="thin">
        <color rgb="FF4A86E8"/>
      </bottom>
      <diagonal/>
    </border>
    <border>
      <left/>
      <right style="thin">
        <color rgb="FF4A86E8"/>
      </right>
      <top style="thin">
        <color rgb="FF4A86E8"/>
      </top>
      <bottom/>
      <diagonal/>
    </border>
    <border>
      <left/>
      <right/>
      <top style="thin">
        <color rgb="FF4A86E8"/>
      </top>
      <bottom style="thin">
        <color rgb="FF4A86E8"/>
      </bottom>
      <diagonal/>
    </border>
    <border>
      <left/>
      <right style="thin">
        <color rgb="FF000000"/>
      </right>
      <top style="thin">
        <color rgb="FF4A86E8"/>
      </top>
      <bottom style="thin">
        <color rgb="FF4A86E8"/>
      </bottom>
      <diagonal/>
    </border>
    <border>
      <left style="thin">
        <color rgb="FF6D9EEB"/>
      </left>
      <right style="thin">
        <color rgb="FF6D9EEB"/>
      </right>
      <top style="thin">
        <color rgb="FF6D9EEB"/>
      </top>
      <bottom style="thin">
        <color rgb="FF6D9EEB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B45F06"/>
      </left>
      <right style="medium">
        <color rgb="FFB45F06"/>
      </right>
      <top style="medium">
        <color rgb="FFB45F06"/>
      </top>
      <bottom style="medium">
        <color rgb="FFB45F06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/>
      <diagonal/>
    </border>
    <border>
      <left style="thick">
        <color rgb="FF3F97C0"/>
      </left>
      <right style="thin">
        <color rgb="FF3F97C0"/>
      </right>
      <top style="thick">
        <color rgb="FF3F97C0"/>
      </top>
      <bottom style="thin">
        <color rgb="FF3F97C0"/>
      </bottom>
      <diagonal/>
    </border>
    <border>
      <left style="thin">
        <color rgb="FF3F97C0"/>
      </left>
      <right style="thin">
        <color rgb="FF3F97C0"/>
      </right>
      <top style="thick">
        <color rgb="FF3F97C0"/>
      </top>
      <bottom style="thin">
        <color rgb="FF3F97C0"/>
      </bottom>
      <diagonal/>
    </border>
    <border>
      <left style="thin">
        <color rgb="FF3F97C0"/>
      </left>
      <right style="thick">
        <color rgb="FF3F97C0"/>
      </right>
      <top style="thick">
        <color rgb="FF3F97C0"/>
      </top>
      <bottom style="thin">
        <color rgb="FF3F97C0"/>
      </bottom>
      <diagonal/>
    </border>
    <border>
      <left style="thick">
        <color rgb="FF3F97C0"/>
      </left>
      <right style="thin">
        <color rgb="FF3F97C0"/>
      </right>
      <top style="thin">
        <color rgb="FF3F97C0"/>
      </top>
      <bottom style="thin">
        <color rgb="FF3F97C0"/>
      </bottom>
      <diagonal/>
    </border>
    <border>
      <left style="thin">
        <color rgb="FF3F97C0"/>
      </left>
      <right style="thin">
        <color rgb="FF3F97C0"/>
      </right>
      <top style="thin">
        <color rgb="FF3F97C0"/>
      </top>
      <bottom style="thin">
        <color rgb="FF3F97C0"/>
      </bottom>
      <diagonal/>
    </border>
    <border>
      <left style="thin">
        <color rgb="FF3F97C0"/>
      </left>
      <right style="thick">
        <color rgb="FF3F97C0"/>
      </right>
      <top style="thin">
        <color rgb="FF3F97C0"/>
      </top>
      <bottom style="thin">
        <color rgb="FF3F97C0"/>
      </bottom>
      <diagonal/>
    </border>
    <border>
      <left style="thick">
        <color rgb="FF3F97C0"/>
      </left>
      <right style="thin">
        <color rgb="FF3F97C0"/>
      </right>
      <top style="thin">
        <color rgb="FF3F97C0"/>
      </top>
      <bottom/>
      <diagonal/>
    </border>
    <border>
      <left style="thin">
        <color rgb="FF3F97C0"/>
      </left>
      <right style="thin">
        <color rgb="FF3F97C0"/>
      </right>
      <top style="thin">
        <color rgb="FF3F97C0"/>
      </top>
      <bottom/>
      <diagonal/>
    </border>
    <border>
      <left style="thick">
        <color rgb="FF3F97C0"/>
      </left>
      <right style="thin">
        <color rgb="FF3F97C0"/>
      </right>
      <top/>
      <bottom style="thin">
        <color rgb="FF3F97C0"/>
      </bottom>
      <diagonal/>
    </border>
    <border>
      <left style="thin">
        <color rgb="FF3F97C0"/>
      </left>
      <right style="thin">
        <color rgb="FF3F97C0"/>
      </right>
      <top/>
      <bottom style="thin">
        <color rgb="FF3F97C0"/>
      </bottom>
      <diagonal/>
    </border>
    <border>
      <left style="medium">
        <color rgb="FF000000"/>
      </left>
      <right style="thin">
        <color rgb="FF3F97C0"/>
      </right>
      <top style="medium">
        <color rgb="FF000000"/>
      </top>
      <bottom style="medium">
        <color rgb="FF000000"/>
      </bottom>
      <diagonal/>
    </border>
    <border>
      <left style="thin">
        <color rgb="FF3F97C0"/>
      </left>
      <right style="thin">
        <color rgb="FF3F97C0"/>
      </right>
      <top style="medium">
        <color rgb="FF000000"/>
      </top>
      <bottom style="medium">
        <color rgb="FF000000"/>
      </bottom>
      <diagonal/>
    </border>
    <border>
      <left style="thin">
        <color rgb="FF3F97C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ck">
        <color rgb="FF3F97C0"/>
      </left>
      <right style="thin">
        <color rgb="FF3F97C0"/>
      </right>
      <top style="thin">
        <color rgb="FF3F97C0"/>
      </top>
      <bottom style="thick">
        <color rgb="FF3F97C0"/>
      </bottom>
      <diagonal/>
    </border>
    <border>
      <left style="thin">
        <color rgb="FF3F97C0"/>
      </left>
      <right style="thin">
        <color rgb="FF3F97C0"/>
      </right>
      <top style="thin">
        <color rgb="FF3F97C0"/>
      </top>
      <bottom style="thick">
        <color rgb="FF3F97C0"/>
      </bottom>
      <diagonal/>
    </border>
    <border>
      <left style="thin">
        <color rgb="FF3F97C0"/>
      </left>
      <right style="thick">
        <color rgb="FF3F97C0"/>
      </right>
      <top style="thin">
        <color rgb="FF3F97C0"/>
      </top>
      <bottom style="thick">
        <color rgb="FF3F97C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4A86E8"/>
      </top>
      <bottom style="thin">
        <color rgb="FF4A86E8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/>
      <right/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rgb="FFABABAB"/>
      </left>
      <right/>
      <top/>
      <bottom/>
      <diagonal/>
    </border>
    <border>
      <left style="thin">
        <color rgb="FFABABAB"/>
      </left>
      <right style="thin">
        <color rgb="FFABABAB"/>
      </right>
      <top/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indexed="65"/>
      </left>
      <right/>
      <top style="thin">
        <color rgb="FFABABAB"/>
      </top>
      <bottom style="thin">
        <color rgb="FFABABAB"/>
      </bottom>
      <diagonal/>
    </border>
    <border>
      <left/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</borders>
  <cellStyleXfs count="3">
    <xf numFmtId="0" fontId="0" fillId="0" borderId="0"/>
    <xf numFmtId="41" fontId="50" fillId="0" borderId="0" applyFont="0" applyFill="0" applyBorder="0" applyAlignment="0" applyProtection="0"/>
    <xf numFmtId="42" fontId="50" fillId="0" borderId="0" applyFont="0" applyFill="0" applyBorder="0" applyAlignment="0" applyProtection="0"/>
  </cellStyleXfs>
  <cellXfs count="562">
    <xf numFmtId="0" fontId="0" fillId="0" borderId="0" xfId="0" applyFont="1" applyAlignment="1"/>
    <xf numFmtId="0" fontId="1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164" fontId="1" fillId="2" borderId="1" xfId="0" applyNumberFormat="1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3" fillId="0" borderId="1" xfId="0" applyFont="1" applyBorder="1" applyAlignment="1">
      <alignment horizontal="left"/>
    </xf>
    <xf numFmtId="14" fontId="4" fillId="3" borderId="1" xfId="0" applyNumberFormat="1" applyFont="1" applyFill="1" applyBorder="1" applyAlignment="1">
      <alignment horizontal="right"/>
    </xf>
    <xf numFmtId="14" fontId="3" fillId="4" borderId="1" xfId="0" applyNumberFormat="1" applyFont="1" applyFill="1" applyBorder="1" applyAlignment="1"/>
    <xf numFmtId="0" fontId="5" fillId="5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1" fontId="3" fillId="0" borderId="1" xfId="0" applyNumberFormat="1" applyFont="1" applyBorder="1" applyAlignment="1"/>
    <xf numFmtId="0" fontId="3" fillId="6" borderId="1" xfId="0" applyFont="1" applyFill="1" applyBorder="1" applyAlignment="1"/>
    <xf numFmtId="165" fontId="3" fillId="0" borderId="1" xfId="0" applyNumberFormat="1" applyFont="1" applyBorder="1" applyAlignment="1">
      <alignment horizontal="right"/>
    </xf>
    <xf numFmtId="0" fontId="4" fillId="7" borderId="1" xfId="0" applyFont="1" applyFill="1" applyBorder="1" applyAlignment="1">
      <alignment horizontal="center"/>
    </xf>
    <xf numFmtId="0" fontId="3" fillId="8" borderId="1" xfId="0" applyFont="1" applyFill="1" applyBorder="1" applyAlignment="1">
      <alignment horizontal="right"/>
    </xf>
    <xf numFmtId="0" fontId="3" fillId="0" borderId="1" xfId="0" applyFont="1" applyBorder="1" applyAlignment="1">
      <alignment horizontal="right"/>
    </xf>
    <xf numFmtId="0" fontId="3" fillId="0" borderId="1" xfId="0" applyFont="1" applyBorder="1" applyAlignment="1"/>
    <xf numFmtId="0" fontId="3" fillId="0" borderId="1" xfId="0" applyFont="1" applyBorder="1" applyAlignment="1"/>
    <xf numFmtId="0" fontId="3" fillId="9" borderId="1" xfId="0" applyFont="1" applyFill="1" applyBorder="1" applyAlignment="1">
      <alignment horizontal="left"/>
    </xf>
    <xf numFmtId="0" fontId="3" fillId="0" borderId="1" xfId="0" applyFont="1" applyBorder="1" applyAlignment="1"/>
    <xf numFmtId="0" fontId="3" fillId="0" borderId="1" xfId="0" applyFont="1" applyBorder="1" applyAlignment="1">
      <alignment horizontal="left"/>
    </xf>
    <xf numFmtId="166" fontId="3" fillId="0" borderId="2" xfId="0" applyNumberFormat="1" applyFont="1" applyBorder="1" applyAlignment="1">
      <alignment horizontal="left"/>
    </xf>
    <xf numFmtId="0" fontId="3" fillId="10" borderId="1" xfId="0" applyFont="1" applyFill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14" fontId="3" fillId="0" borderId="5" xfId="0" applyNumberFormat="1" applyFont="1" applyBorder="1" applyAlignment="1">
      <alignment horizontal="center"/>
    </xf>
    <xf numFmtId="14" fontId="3" fillId="0" borderId="3" xfId="0" applyNumberFormat="1" applyFont="1" applyBorder="1" applyAlignment="1">
      <alignment horizontal="center"/>
    </xf>
    <xf numFmtId="0" fontId="3" fillId="0" borderId="1" xfId="0" applyFont="1" applyBorder="1" applyAlignment="1"/>
    <xf numFmtId="0" fontId="3" fillId="10" borderId="1" xfId="0" applyFont="1" applyFill="1" applyBorder="1" applyAlignment="1">
      <alignment horizontal="right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164" fontId="3" fillId="0" borderId="1" xfId="0" applyNumberFormat="1" applyFont="1" applyBorder="1" applyAlignment="1"/>
    <xf numFmtId="165" fontId="3" fillId="0" borderId="1" xfId="0" applyNumberFormat="1" applyFont="1" applyBorder="1" applyAlignment="1"/>
    <xf numFmtId="165" fontId="3" fillId="0" borderId="1" xfId="0" applyNumberFormat="1" applyFont="1" applyBorder="1" applyAlignment="1">
      <alignment horizontal="right"/>
    </xf>
    <xf numFmtId="0" fontId="3" fillId="9" borderId="1" xfId="0" applyFont="1" applyFill="1" applyBorder="1" applyAlignment="1"/>
    <xf numFmtId="0" fontId="3" fillId="11" borderId="1" xfId="0" applyFont="1" applyFill="1" applyBorder="1" applyAlignment="1"/>
    <xf numFmtId="0" fontId="2" fillId="12" borderId="1" xfId="0" applyFont="1" applyFill="1" applyBorder="1" applyAlignment="1">
      <alignment horizontal="center"/>
    </xf>
    <xf numFmtId="0" fontId="4" fillId="10" borderId="0" xfId="0" applyFont="1" applyFill="1" applyAlignment="1">
      <alignment horizontal="right"/>
    </xf>
    <xf numFmtId="0" fontId="3" fillId="9" borderId="1" xfId="0" applyFont="1" applyFill="1" applyBorder="1" applyAlignment="1"/>
    <xf numFmtId="0" fontId="3" fillId="0" borderId="1" xfId="0" applyFont="1" applyBorder="1" applyAlignment="1">
      <alignment horizontal="left"/>
    </xf>
    <xf numFmtId="0" fontId="3" fillId="0" borderId="2" xfId="0" applyFont="1" applyBorder="1" applyAlignment="1"/>
    <xf numFmtId="0" fontId="3" fillId="0" borderId="4" xfId="0" applyFont="1" applyBorder="1" applyAlignment="1">
      <alignment horizontal="left"/>
    </xf>
    <xf numFmtId="0" fontId="3" fillId="13" borderId="1" xfId="0" applyFont="1" applyFill="1" applyBorder="1" applyAlignment="1">
      <alignment horizontal="right"/>
    </xf>
    <xf numFmtId="0" fontId="2" fillId="14" borderId="1" xfId="0" applyFont="1" applyFill="1" applyBorder="1" applyAlignment="1">
      <alignment horizontal="center"/>
    </xf>
    <xf numFmtId="0" fontId="3" fillId="15" borderId="1" xfId="0" applyFont="1" applyFill="1" applyBorder="1" applyAlignment="1"/>
    <xf numFmtId="0" fontId="3" fillId="9" borderId="1" xfId="0" applyFont="1" applyFill="1" applyBorder="1" applyAlignment="1">
      <alignment horizontal="left"/>
    </xf>
    <xf numFmtId="0" fontId="6" fillId="0" borderId="1" xfId="0" applyFont="1" applyBorder="1" applyAlignment="1">
      <alignment horizontal="left"/>
    </xf>
    <xf numFmtId="0" fontId="2" fillId="5" borderId="1" xfId="0" applyFont="1" applyFill="1" applyBorder="1" applyAlignment="1">
      <alignment horizontal="center"/>
    </xf>
    <xf numFmtId="0" fontId="3" fillId="11" borderId="1" xfId="0" applyFont="1" applyFill="1" applyBorder="1" applyAlignment="1"/>
    <xf numFmtId="2" fontId="3" fillId="9" borderId="1" xfId="0" applyNumberFormat="1" applyFont="1" applyFill="1" applyBorder="1" applyAlignment="1"/>
    <xf numFmtId="0" fontId="3" fillId="16" borderId="1" xfId="0" applyFont="1" applyFill="1" applyBorder="1" applyAlignment="1"/>
    <xf numFmtId="0" fontId="3" fillId="17" borderId="1" xfId="0" applyFont="1" applyFill="1" applyBorder="1" applyAlignment="1"/>
    <xf numFmtId="0" fontId="3" fillId="18" borderId="3" xfId="0" applyFont="1" applyFill="1" applyBorder="1" applyAlignment="1">
      <alignment horizontal="center"/>
    </xf>
    <xf numFmtId="167" fontId="3" fillId="17" borderId="1" xfId="0" applyNumberFormat="1" applyFont="1" applyFill="1" applyBorder="1" applyAlignment="1"/>
    <xf numFmtId="0" fontId="2" fillId="14" borderId="4" xfId="0" applyFont="1" applyFill="1" applyBorder="1" applyAlignment="1">
      <alignment horizontal="center"/>
    </xf>
    <xf numFmtId="0" fontId="3" fillId="0" borderId="4" xfId="0" applyFont="1" applyBorder="1" applyAlignment="1">
      <alignment horizontal="right"/>
    </xf>
    <xf numFmtId="1" fontId="3" fillId="0" borderId="4" xfId="0" applyNumberFormat="1" applyFont="1" applyBorder="1" applyAlignment="1">
      <alignment horizontal="right"/>
    </xf>
    <xf numFmtId="0" fontId="3" fillId="0" borderId="4" xfId="0" applyFont="1" applyBorder="1" applyAlignment="1">
      <alignment horizontal="right"/>
    </xf>
    <xf numFmtId="165" fontId="3" fillId="0" borderId="4" xfId="0" applyNumberFormat="1" applyFont="1" applyBorder="1" applyAlignment="1">
      <alignment horizontal="right"/>
    </xf>
    <xf numFmtId="0" fontId="3" fillId="19" borderId="4" xfId="0" applyFont="1" applyFill="1" applyBorder="1" applyAlignment="1">
      <alignment horizontal="center"/>
    </xf>
    <xf numFmtId="0" fontId="3" fillId="11" borderId="4" xfId="0" applyFont="1" applyFill="1" applyBorder="1" applyAlignment="1">
      <alignment horizontal="right"/>
    </xf>
    <xf numFmtId="0" fontId="3" fillId="0" borderId="4" xfId="0" applyFont="1" applyBorder="1" applyAlignment="1"/>
    <xf numFmtId="0" fontId="7" fillId="0" borderId="4" xfId="0" applyFont="1" applyBorder="1" applyAlignment="1"/>
    <xf numFmtId="0" fontId="7" fillId="0" borderId="6" xfId="0" applyFont="1" applyBorder="1" applyAlignment="1"/>
    <xf numFmtId="0" fontId="7" fillId="0" borderId="7" xfId="0" applyFont="1" applyBorder="1" applyAlignment="1"/>
    <xf numFmtId="0" fontId="7" fillId="0" borderId="4" xfId="0" applyFont="1" applyBorder="1" applyAlignment="1"/>
    <xf numFmtId="14" fontId="3" fillId="0" borderId="5" xfId="0" applyNumberFormat="1" applyFont="1" applyBorder="1" applyAlignment="1">
      <alignment horizontal="center"/>
    </xf>
    <xf numFmtId="0" fontId="3" fillId="7" borderId="4" xfId="0" applyFont="1" applyFill="1" applyBorder="1" applyAlignment="1">
      <alignment horizontal="center"/>
    </xf>
    <xf numFmtId="166" fontId="3" fillId="0" borderId="8" xfId="0" applyNumberFormat="1" applyFont="1" applyBorder="1" applyAlignment="1"/>
    <xf numFmtId="0" fontId="7" fillId="0" borderId="6" xfId="0" applyFont="1" applyBorder="1" applyAlignment="1"/>
    <xf numFmtId="0" fontId="2" fillId="5" borderId="4" xfId="0" applyFont="1" applyFill="1" applyBorder="1" applyAlignment="1">
      <alignment horizontal="center"/>
    </xf>
    <xf numFmtId="165" fontId="8" fillId="20" borderId="4" xfId="0" applyNumberFormat="1" applyFont="1" applyFill="1" applyBorder="1" applyAlignment="1">
      <alignment horizontal="right"/>
    </xf>
    <xf numFmtId="0" fontId="3" fillId="19" borderId="4" xfId="0" applyFont="1" applyFill="1" applyBorder="1" applyAlignment="1">
      <alignment horizontal="center"/>
    </xf>
    <xf numFmtId="0" fontId="3" fillId="9" borderId="1" xfId="0" applyFont="1" applyFill="1" applyBorder="1" applyAlignment="1">
      <alignment horizontal="right"/>
    </xf>
    <xf numFmtId="0" fontId="3" fillId="21" borderId="1" xfId="0" applyFont="1" applyFill="1" applyBorder="1" applyAlignment="1">
      <alignment horizontal="right"/>
    </xf>
    <xf numFmtId="165" fontId="3" fillId="17" borderId="1" xfId="0" applyNumberFormat="1" applyFont="1" applyFill="1" applyBorder="1" applyAlignment="1"/>
    <xf numFmtId="0" fontId="3" fillId="8" borderId="1" xfId="0" applyFont="1" applyFill="1" applyBorder="1" applyAlignment="1">
      <alignment horizontal="left"/>
    </xf>
    <xf numFmtId="0" fontId="3" fillId="20" borderId="1" xfId="0" applyFont="1" applyFill="1" applyBorder="1" applyAlignment="1"/>
    <xf numFmtId="165" fontId="3" fillId="10" borderId="1" xfId="0" applyNumberFormat="1" applyFont="1" applyFill="1" applyBorder="1" applyAlignment="1">
      <alignment horizontal="right"/>
    </xf>
    <xf numFmtId="0" fontId="3" fillId="5" borderId="1" xfId="0" applyFont="1" applyFill="1" applyBorder="1" applyAlignment="1">
      <alignment horizontal="right"/>
    </xf>
    <xf numFmtId="0" fontId="3" fillId="18" borderId="1" xfId="0" applyFont="1" applyFill="1" applyBorder="1" applyAlignment="1"/>
    <xf numFmtId="0" fontId="3" fillId="0" borderId="3" xfId="0" applyFont="1" applyBorder="1" applyAlignment="1">
      <alignment horizontal="center"/>
    </xf>
    <xf numFmtId="0" fontId="3" fillId="11" borderId="1" xfId="0" applyFont="1" applyFill="1" applyBorder="1" applyAlignment="1">
      <alignment horizontal="left"/>
    </xf>
    <xf numFmtId="0" fontId="3" fillId="3" borderId="3" xfId="0" applyFont="1" applyFill="1" applyBorder="1" applyAlignment="1">
      <alignment horizontal="center"/>
    </xf>
    <xf numFmtId="0" fontId="3" fillId="8" borderId="1" xfId="0" applyFont="1" applyFill="1" applyBorder="1" applyAlignment="1"/>
    <xf numFmtId="0" fontId="3" fillId="22" borderId="1" xfId="0" applyFont="1" applyFill="1" applyBorder="1" applyAlignment="1"/>
    <xf numFmtId="0" fontId="3" fillId="23" borderId="1" xfId="0" applyFont="1" applyFill="1" applyBorder="1" applyAlignment="1">
      <alignment horizontal="left"/>
    </xf>
    <xf numFmtId="0" fontId="3" fillId="2" borderId="1" xfId="0" applyFont="1" applyFill="1" applyBorder="1" applyAlignment="1"/>
    <xf numFmtId="0" fontId="6" fillId="0" borderId="3" xfId="0" applyFont="1" applyBorder="1" applyAlignment="1">
      <alignment horizontal="center"/>
    </xf>
    <xf numFmtId="164" fontId="3" fillId="0" borderId="4" xfId="0" applyNumberFormat="1" applyFont="1" applyBorder="1" applyAlignment="1">
      <alignment horizontal="right"/>
    </xf>
    <xf numFmtId="0" fontId="7" fillId="20" borderId="4" xfId="0" applyFont="1" applyFill="1" applyBorder="1" applyAlignment="1"/>
    <xf numFmtId="0" fontId="3" fillId="20" borderId="1" xfId="0" applyFont="1" applyFill="1" applyBorder="1" applyAlignment="1"/>
    <xf numFmtId="0" fontId="3" fillId="10" borderId="1" xfId="0" applyFont="1" applyFill="1" applyBorder="1" applyAlignment="1"/>
    <xf numFmtId="3" fontId="3" fillId="0" borderId="3" xfId="0" applyNumberFormat="1" applyFont="1" applyBorder="1" applyAlignment="1">
      <alignment horizontal="center"/>
    </xf>
    <xf numFmtId="0" fontId="3" fillId="5" borderId="1" xfId="0" applyFont="1" applyFill="1" applyBorder="1" applyAlignment="1">
      <alignment horizontal="right"/>
    </xf>
    <xf numFmtId="0" fontId="3" fillId="24" borderId="1" xfId="0" applyFont="1" applyFill="1" applyBorder="1" applyAlignment="1"/>
    <xf numFmtId="14" fontId="6" fillId="4" borderId="1" xfId="0" applyNumberFormat="1" applyFont="1" applyFill="1" applyBorder="1" applyAlignment="1"/>
    <xf numFmtId="0" fontId="3" fillId="25" borderId="1" xfId="0" applyFont="1" applyFill="1" applyBorder="1" applyAlignment="1"/>
    <xf numFmtId="0" fontId="3" fillId="9" borderId="1" xfId="0" applyFont="1" applyFill="1" applyBorder="1" applyAlignment="1"/>
    <xf numFmtId="0" fontId="3" fillId="10" borderId="1" xfId="0" applyFont="1" applyFill="1" applyBorder="1" applyAlignment="1"/>
    <xf numFmtId="0" fontId="3" fillId="26" borderId="1" xfId="0" applyFont="1" applyFill="1" applyBorder="1" applyAlignment="1"/>
    <xf numFmtId="0" fontId="3" fillId="27" borderId="1" xfId="0" applyFont="1" applyFill="1" applyBorder="1" applyAlignment="1">
      <alignment horizontal="left"/>
    </xf>
    <xf numFmtId="1" fontId="3" fillId="9" borderId="1" xfId="0" applyNumberFormat="1" applyFont="1" applyFill="1" applyBorder="1" applyAlignment="1"/>
    <xf numFmtId="164" fontId="3" fillId="9" borderId="1" xfId="0" applyNumberFormat="1" applyFont="1" applyFill="1" applyBorder="1" applyAlignment="1"/>
    <xf numFmtId="2" fontId="3" fillId="0" borderId="1" xfId="0" applyNumberFormat="1" applyFont="1" applyBorder="1" applyAlignment="1"/>
    <xf numFmtId="0" fontId="3" fillId="0" borderId="1" xfId="0" applyFont="1" applyBorder="1" applyAlignment="1">
      <alignment horizontal="left"/>
    </xf>
    <xf numFmtId="14" fontId="7" fillId="3" borderId="4" xfId="0" applyNumberFormat="1" applyFont="1" applyFill="1" applyBorder="1" applyAlignment="1"/>
    <xf numFmtId="14" fontId="7" fillId="4" borderId="4" xfId="0" applyNumberFormat="1" applyFont="1" applyFill="1" applyBorder="1" applyAlignment="1"/>
    <xf numFmtId="0" fontId="9" fillId="11" borderId="0" xfId="0" applyFont="1" applyFill="1" applyAlignment="1"/>
    <xf numFmtId="0" fontId="3" fillId="27" borderId="1" xfId="0" applyFont="1" applyFill="1" applyBorder="1" applyAlignment="1">
      <alignment horizontal="right"/>
    </xf>
    <xf numFmtId="0" fontId="3" fillId="28" borderId="1" xfId="0" applyFont="1" applyFill="1" applyBorder="1" applyAlignment="1"/>
    <xf numFmtId="0" fontId="3" fillId="29" borderId="1" xfId="0" applyFont="1" applyFill="1" applyBorder="1" applyAlignment="1">
      <alignment horizontal="left"/>
    </xf>
    <xf numFmtId="0" fontId="3" fillId="0" borderId="9" xfId="0" applyFont="1" applyBorder="1" applyAlignment="1">
      <alignment horizontal="center"/>
    </xf>
    <xf numFmtId="0" fontId="3" fillId="10" borderId="1" xfId="0" applyFont="1" applyFill="1" applyBorder="1" applyAlignment="1">
      <alignment horizontal="left"/>
    </xf>
    <xf numFmtId="0" fontId="2" fillId="12" borderId="4" xfId="0" applyFont="1" applyFill="1" applyBorder="1" applyAlignment="1">
      <alignment horizontal="center"/>
    </xf>
    <xf numFmtId="0" fontId="7" fillId="0" borderId="4" xfId="0" applyFont="1" applyBorder="1" applyAlignment="1"/>
    <xf numFmtId="0" fontId="4" fillId="30" borderId="1" xfId="0" applyFont="1" applyFill="1" applyBorder="1" applyAlignment="1">
      <alignment horizontal="center"/>
    </xf>
    <xf numFmtId="0" fontId="3" fillId="18" borderId="1" xfId="0" applyFont="1" applyFill="1" applyBorder="1" applyAlignment="1">
      <alignment horizontal="right"/>
    </xf>
    <xf numFmtId="0" fontId="3" fillId="11" borderId="1" xfId="0" applyFont="1" applyFill="1" applyBorder="1" applyAlignment="1"/>
    <xf numFmtId="0" fontId="3" fillId="0" borderId="10" xfId="0" applyFont="1" applyBorder="1" applyAlignment="1"/>
    <xf numFmtId="0" fontId="3" fillId="0" borderId="2" xfId="0" applyFont="1" applyBorder="1" applyAlignment="1">
      <alignment horizontal="right"/>
    </xf>
    <xf numFmtId="0" fontId="3" fillId="0" borderId="11" xfId="0" applyFont="1" applyBorder="1" applyAlignment="1"/>
    <xf numFmtId="0" fontId="3" fillId="0" borderId="4" xfId="0" applyFont="1" applyBorder="1" applyAlignment="1"/>
    <xf numFmtId="0" fontId="3" fillId="0" borderId="4" xfId="0" applyFont="1" applyBorder="1" applyAlignment="1"/>
    <xf numFmtId="14" fontId="3" fillId="0" borderId="8" xfId="0" applyNumberFormat="1" applyFont="1" applyBorder="1" applyAlignment="1">
      <alignment horizontal="center"/>
    </xf>
    <xf numFmtId="14" fontId="3" fillId="0" borderId="6" xfId="0" applyNumberFormat="1" applyFont="1" applyBorder="1" applyAlignment="1">
      <alignment horizontal="center"/>
    </xf>
    <xf numFmtId="0" fontId="3" fillId="0" borderId="0" xfId="0" applyFont="1" applyAlignment="1"/>
    <xf numFmtId="0" fontId="7" fillId="9" borderId="4" xfId="0" applyFont="1" applyFill="1" applyBorder="1" applyAlignment="1"/>
    <xf numFmtId="0" fontId="7" fillId="0" borderId="7" xfId="0" applyFont="1" applyBorder="1" applyAlignment="1"/>
    <xf numFmtId="0" fontId="3" fillId="10" borderId="4" xfId="0" applyFont="1" applyFill="1" applyBorder="1" applyAlignment="1">
      <alignment horizontal="right"/>
    </xf>
    <xf numFmtId="164" fontId="3" fillId="0" borderId="4" xfId="0" applyNumberFormat="1" applyFont="1" applyBorder="1" applyAlignment="1">
      <alignment horizontal="right"/>
    </xf>
    <xf numFmtId="0" fontId="3" fillId="10" borderId="4" xfId="0" applyFont="1" applyFill="1" applyBorder="1" applyAlignment="1"/>
    <xf numFmtId="0" fontId="3" fillId="10" borderId="4" xfId="0" applyFont="1" applyFill="1" applyBorder="1" applyAlignment="1">
      <alignment horizontal="right"/>
    </xf>
    <xf numFmtId="0" fontId="7" fillId="0" borderId="12" xfId="0" applyFont="1" applyBorder="1" applyAlignment="1"/>
    <xf numFmtId="0" fontId="3" fillId="9" borderId="4" xfId="0" applyFont="1" applyFill="1" applyBorder="1" applyAlignment="1"/>
    <xf numFmtId="0" fontId="3" fillId="31" borderId="3" xfId="0" applyFont="1" applyFill="1" applyBorder="1" applyAlignment="1">
      <alignment horizontal="center"/>
    </xf>
    <xf numFmtId="0" fontId="3" fillId="4" borderId="1" xfId="0" applyFont="1" applyFill="1" applyBorder="1" applyAlignment="1"/>
    <xf numFmtId="0" fontId="4" fillId="8" borderId="1" xfId="0" applyFont="1" applyFill="1" applyBorder="1" applyAlignment="1">
      <alignment horizontal="center"/>
    </xf>
    <xf numFmtId="4" fontId="3" fillId="0" borderId="1" xfId="0" applyNumberFormat="1" applyFont="1" applyBorder="1" applyAlignment="1"/>
    <xf numFmtId="0" fontId="3" fillId="31" borderId="4" xfId="0" applyFont="1" applyFill="1" applyBorder="1" applyAlignment="1">
      <alignment horizontal="center"/>
    </xf>
    <xf numFmtId="14" fontId="7" fillId="4" borderId="4" xfId="0" applyNumberFormat="1" applyFont="1" applyFill="1" applyBorder="1" applyAlignment="1"/>
    <xf numFmtId="0" fontId="3" fillId="11" borderId="4" xfId="0" applyFont="1" applyFill="1" applyBorder="1" applyAlignment="1"/>
    <xf numFmtId="0" fontId="3" fillId="6" borderId="4" xfId="0" applyFont="1" applyFill="1" applyBorder="1" applyAlignment="1">
      <alignment horizontal="right"/>
    </xf>
    <xf numFmtId="0" fontId="3" fillId="11" borderId="4" xfId="0" applyFont="1" applyFill="1" applyBorder="1" applyAlignment="1"/>
    <xf numFmtId="0" fontId="3" fillId="7" borderId="6" xfId="0" applyFont="1" applyFill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18" borderId="1" xfId="0" applyFont="1" applyFill="1" applyBorder="1" applyAlignment="1">
      <alignment horizontal="left"/>
    </xf>
    <xf numFmtId="0" fontId="7" fillId="11" borderId="4" xfId="0" applyFont="1" applyFill="1" applyBorder="1" applyAlignment="1"/>
    <xf numFmtId="166" fontId="3" fillId="0" borderId="3" xfId="0" applyNumberFormat="1" applyFont="1" applyBorder="1" applyAlignment="1">
      <alignment horizontal="center"/>
    </xf>
    <xf numFmtId="0" fontId="2" fillId="32" borderId="1" xfId="0" applyFont="1" applyFill="1" applyBorder="1" applyAlignment="1"/>
    <xf numFmtId="1" fontId="3" fillId="27" borderId="1" xfId="0" applyNumberFormat="1" applyFont="1" applyFill="1" applyBorder="1" applyAlignment="1"/>
    <xf numFmtId="165" fontId="3" fillId="27" borderId="1" xfId="0" applyNumberFormat="1" applyFont="1" applyFill="1" applyBorder="1" applyAlignment="1">
      <alignment horizontal="right"/>
    </xf>
    <xf numFmtId="14" fontId="3" fillId="3" borderId="1" xfId="0" applyNumberFormat="1" applyFont="1" applyFill="1" applyBorder="1" applyAlignment="1">
      <alignment horizontal="right"/>
    </xf>
    <xf numFmtId="14" fontId="3" fillId="4" borderId="4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right"/>
    </xf>
    <xf numFmtId="0" fontId="3" fillId="10" borderId="1" xfId="0" applyFont="1" applyFill="1" applyBorder="1" applyAlignment="1"/>
    <xf numFmtId="0" fontId="3" fillId="20" borderId="1" xfId="0" applyFont="1" applyFill="1" applyBorder="1" applyAlignment="1">
      <alignment horizontal="right"/>
    </xf>
    <xf numFmtId="0" fontId="3" fillId="20" borderId="1" xfId="0" applyFont="1" applyFill="1" applyBorder="1" applyAlignment="1">
      <alignment horizontal="right"/>
    </xf>
    <xf numFmtId="165" fontId="10" fillId="18" borderId="1" xfId="0" applyNumberFormat="1" applyFont="1" applyFill="1" applyBorder="1" applyAlignment="1">
      <alignment horizontal="right"/>
    </xf>
    <xf numFmtId="3" fontId="3" fillId="0" borderId="1" xfId="0" applyNumberFormat="1" applyFont="1" applyBorder="1" applyAlignment="1"/>
    <xf numFmtId="0" fontId="3" fillId="33" borderId="1" xfId="0" applyFont="1" applyFill="1" applyBorder="1" applyAlignment="1"/>
    <xf numFmtId="0" fontId="3" fillId="27" borderId="4" xfId="0" applyFont="1" applyFill="1" applyBorder="1" applyAlignment="1"/>
    <xf numFmtId="0" fontId="3" fillId="0" borderId="9" xfId="0" applyFont="1" applyBorder="1" applyAlignment="1">
      <alignment horizontal="left"/>
    </xf>
    <xf numFmtId="0" fontId="3" fillId="11" borderId="0" xfId="0" applyFont="1" applyFill="1" applyAlignment="1">
      <alignment horizontal="left"/>
    </xf>
    <xf numFmtId="0" fontId="11" fillId="0" borderId="0" xfId="0" applyFont="1"/>
    <xf numFmtId="0" fontId="3" fillId="0" borderId="1" xfId="0" applyFont="1" applyBorder="1" applyAlignment="1">
      <alignment horizontal="left"/>
    </xf>
    <xf numFmtId="0" fontId="3" fillId="34" borderId="1" xfId="0" applyFont="1" applyFill="1" applyBorder="1"/>
    <xf numFmtId="0" fontId="3" fillId="0" borderId="1" xfId="0" applyFont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3" fillId="0" borderId="1" xfId="0" applyFont="1" applyBorder="1"/>
    <xf numFmtId="164" fontId="3" fillId="0" borderId="1" xfId="0" applyNumberFormat="1" applyFont="1" applyBorder="1"/>
    <xf numFmtId="0" fontId="3" fillId="7" borderId="1" xfId="0" applyFont="1" applyFill="1" applyBorder="1"/>
    <xf numFmtId="166" fontId="3" fillId="0" borderId="2" xfId="0" applyNumberFormat="1" applyFont="1" applyBorder="1" applyAlignment="1">
      <alignment horizontal="left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10" borderId="1" xfId="0" applyFont="1" applyFill="1" applyBorder="1" applyAlignment="1">
      <alignment horizontal="right"/>
    </xf>
    <xf numFmtId="0" fontId="3" fillId="0" borderId="0" xfId="0" applyFont="1" applyAlignment="1">
      <alignment horizontal="center"/>
    </xf>
    <xf numFmtId="168" fontId="3" fillId="0" borderId="1" xfId="0" applyNumberFormat="1" applyFont="1" applyBorder="1"/>
    <xf numFmtId="0" fontId="3" fillId="7" borderId="1" xfId="0" applyFont="1" applyFill="1" applyBorder="1" applyAlignment="1"/>
    <xf numFmtId="0" fontId="3" fillId="0" borderId="1" xfId="0" applyFont="1" applyBorder="1" applyAlignment="1">
      <alignment horizontal="center"/>
    </xf>
    <xf numFmtId="164" fontId="12" fillId="0" borderId="1" xfId="0" applyNumberFormat="1" applyFont="1" applyBorder="1" applyAlignment="1"/>
    <xf numFmtId="0" fontId="3" fillId="9" borderId="1" xfId="0" applyFont="1" applyFill="1" applyBorder="1" applyAlignment="1">
      <alignment horizontal="right"/>
    </xf>
    <xf numFmtId="0" fontId="13" fillId="25" borderId="13" xfId="0" applyFont="1" applyFill="1" applyBorder="1" applyAlignment="1">
      <alignment horizontal="center" vertical="center" wrapText="1"/>
    </xf>
    <xf numFmtId="0" fontId="14" fillId="25" borderId="13" xfId="0" applyFont="1" applyFill="1" applyBorder="1" applyAlignment="1">
      <alignment horizontal="center" vertical="center" wrapText="1"/>
    </xf>
    <xf numFmtId="0" fontId="15" fillId="25" borderId="13" xfId="0" applyFont="1" applyFill="1" applyBorder="1" applyAlignment="1">
      <alignment horizontal="center" vertical="center" wrapText="1"/>
    </xf>
    <xf numFmtId="14" fontId="14" fillId="25" borderId="13" xfId="0" applyNumberFormat="1" applyFont="1" applyFill="1" applyBorder="1" applyAlignment="1">
      <alignment horizontal="center" vertical="center" wrapText="1"/>
    </xf>
    <xf numFmtId="0" fontId="14" fillId="25" borderId="13" xfId="0" applyFont="1" applyFill="1" applyBorder="1" applyAlignment="1">
      <alignment horizontal="left" vertical="center" wrapText="1"/>
    </xf>
    <xf numFmtId="0" fontId="14" fillId="25" borderId="13" xfId="0" applyFont="1" applyFill="1" applyBorder="1" applyAlignment="1">
      <alignment horizontal="center" vertical="center" wrapText="1"/>
    </xf>
    <xf numFmtId="3" fontId="15" fillId="25" borderId="13" xfId="0" applyNumberFormat="1" applyFont="1" applyFill="1" applyBorder="1" applyAlignment="1">
      <alignment horizontal="center" vertical="center" wrapText="1"/>
    </xf>
    <xf numFmtId="0" fontId="14" fillId="25" borderId="14" xfId="0" applyFont="1" applyFill="1" applyBorder="1" applyAlignment="1">
      <alignment horizontal="center" vertical="center" wrapText="1"/>
    </xf>
    <xf numFmtId="0" fontId="15" fillId="35" borderId="11" xfId="0" applyFont="1" applyFill="1" applyBorder="1" applyAlignment="1">
      <alignment horizontal="center" vertical="center" wrapText="1"/>
    </xf>
    <xf numFmtId="0" fontId="18" fillId="0" borderId="15" xfId="0" applyFont="1" applyBorder="1" applyAlignment="1"/>
    <xf numFmtId="0" fontId="18" fillId="0" borderId="16" xfId="0" applyFont="1" applyBorder="1" applyAlignment="1">
      <alignment horizontal="center"/>
    </xf>
    <xf numFmtId="14" fontId="18" fillId="0" borderId="16" xfId="0" applyNumberFormat="1" applyFont="1" applyBorder="1" applyAlignment="1">
      <alignment horizontal="center"/>
    </xf>
    <xf numFmtId="14" fontId="18" fillId="4" borderId="16" xfId="0" applyNumberFormat="1" applyFont="1" applyFill="1" applyBorder="1" applyAlignment="1">
      <alignment horizontal="left"/>
    </xf>
    <xf numFmtId="14" fontId="18" fillId="36" borderId="16" xfId="0" applyNumberFormat="1" applyFont="1" applyFill="1" applyBorder="1" applyAlignment="1">
      <alignment horizontal="center"/>
    </xf>
    <xf numFmtId="0" fontId="18" fillId="10" borderId="17" xfId="0" applyFont="1" applyFill="1" applyBorder="1" applyAlignment="1">
      <alignment horizontal="center"/>
    </xf>
    <xf numFmtId="165" fontId="18" fillId="0" borderId="18" xfId="0" applyNumberFormat="1" applyFont="1" applyBorder="1" applyAlignment="1">
      <alignment horizontal="center"/>
    </xf>
    <xf numFmtId="0" fontId="19" fillId="35" borderId="11" xfId="0" applyFont="1" applyFill="1" applyBorder="1" applyAlignment="1">
      <alignment horizontal="center"/>
    </xf>
    <xf numFmtId="0" fontId="18" fillId="0" borderId="16" xfId="0" applyFont="1" applyBorder="1" applyAlignment="1">
      <alignment horizontal="center"/>
    </xf>
    <xf numFmtId="0" fontId="18" fillId="9" borderId="16" xfId="0" applyFont="1" applyFill="1" applyBorder="1" applyAlignment="1">
      <alignment horizontal="center"/>
    </xf>
    <xf numFmtId="0" fontId="18" fillId="0" borderId="16" xfId="0" applyFont="1" applyBorder="1" applyAlignment="1">
      <alignment horizontal="center"/>
    </xf>
    <xf numFmtId="0" fontId="18" fillId="10" borderId="16" xfId="0" applyFont="1" applyFill="1" applyBorder="1" applyAlignment="1">
      <alignment horizontal="center"/>
    </xf>
    <xf numFmtId="0" fontId="18" fillId="11" borderId="16" xfId="0" applyFont="1" applyFill="1" applyBorder="1" applyAlignment="1">
      <alignment horizontal="center"/>
    </xf>
    <xf numFmtId="0" fontId="18" fillId="37" borderId="17" xfId="0" applyFont="1" applyFill="1" applyBorder="1" applyAlignment="1">
      <alignment horizontal="center"/>
    </xf>
    <xf numFmtId="165" fontId="18" fillId="0" borderId="18" xfId="0" applyNumberFormat="1" applyFont="1" applyBorder="1" applyAlignment="1">
      <alignment horizontal="center"/>
    </xf>
    <xf numFmtId="0" fontId="20" fillId="35" borderId="11" xfId="0" applyFont="1" applyFill="1" applyBorder="1" applyAlignment="1">
      <alignment horizontal="center"/>
    </xf>
    <xf numFmtId="0" fontId="18" fillId="38" borderId="16" xfId="0" applyFont="1" applyFill="1" applyBorder="1" applyAlignment="1">
      <alignment horizontal="center"/>
    </xf>
    <xf numFmtId="0" fontId="18" fillId="17" borderId="16" xfId="0" applyFont="1" applyFill="1" applyBorder="1" applyAlignment="1">
      <alignment horizontal="center"/>
    </xf>
    <xf numFmtId="0" fontId="18" fillId="26" borderId="16" xfId="0" applyFont="1" applyFill="1" applyBorder="1" applyAlignment="1">
      <alignment horizontal="center"/>
    </xf>
    <xf numFmtId="0" fontId="21" fillId="0" borderId="15" xfId="0" applyFont="1" applyBorder="1" applyAlignment="1"/>
    <xf numFmtId="0" fontId="21" fillId="0" borderId="16" xfId="0" applyFont="1" applyBorder="1" applyAlignment="1">
      <alignment horizontal="center"/>
    </xf>
    <xf numFmtId="14" fontId="21" fillId="0" borderId="16" xfId="0" applyNumberFormat="1" applyFont="1" applyBorder="1" applyAlignment="1">
      <alignment horizontal="center"/>
    </xf>
    <xf numFmtId="14" fontId="21" fillId="4" borderId="16" xfId="0" applyNumberFormat="1" applyFont="1" applyFill="1" applyBorder="1" applyAlignment="1"/>
    <xf numFmtId="14" fontId="21" fillId="36" borderId="16" xfId="0" applyNumberFormat="1" applyFont="1" applyFill="1" applyBorder="1" applyAlignment="1">
      <alignment horizontal="center"/>
    </xf>
    <xf numFmtId="0" fontId="21" fillId="0" borderId="16" xfId="0" applyFont="1" applyBorder="1" applyAlignment="1">
      <alignment horizontal="center"/>
    </xf>
    <xf numFmtId="0" fontId="21" fillId="10" borderId="16" xfId="0" applyFont="1" applyFill="1" applyBorder="1" applyAlignment="1">
      <alignment horizontal="center"/>
    </xf>
    <xf numFmtId="165" fontId="21" fillId="0" borderId="19" xfId="0" applyNumberFormat="1" applyFont="1" applyBorder="1" applyAlignment="1">
      <alignment horizontal="center"/>
    </xf>
    <xf numFmtId="0" fontId="22" fillId="35" borderId="9" xfId="0" applyFont="1" applyFill="1" applyBorder="1" applyAlignment="1">
      <alignment horizontal="center"/>
    </xf>
    <xf numFmtId="0" fontId="18" fillId="40" borderId="16" xfId="0" applyFont="1" applyFill="1" applyBorder="1" applyAlignment="1">
      <alignment horizontal="center"/>
    </xf>
    <xf numFmtId="0" fontId="18" fillId="41" borderId="16" xfId="0" applyFont="1" applyFill="1" applyBorder="1" applyAlignment="1">
      <alignment horizontal="center"/>
    </xf>
    <xf numFmtId="165" fontId="18" fillId="9" borderId="18" xfId="0" applyNumberFormat="1" applyFont="1" applyFill="1" applyBorder="1" applyAlignment="1">
      <alignment horizontal="center"/>
    </xf>
    <xf numFmtId="0" fontId="18" fillId="42" borderId="16" xfId="0" applyFont="1" applyFill="1" applyBorder="1" applyAlignment="1">
      <alignment horizontal="center"/>
    </xf>
    <xf numFmtId="0" fontId="21" fillId="20" borderId="15" xfId="0" applyFont="1" applyFill="1" applyBorder="1" applyAlignment="1"/>
    <xf numFmtId="0" fontId="21" fillId="20" borderId="16" xfId="0" applyFont="1" applyFill="1" applyBorder="1" applyAlignment="1">
      <alignment horizontal="center"/>
    </xf>
    <xf numFmtId="0" fontId="21" fillId="37" borderId="16" xfId="0" applyFont="1" applyFill="1" applyBorder="1" applyAlignment="1">
      <alignment horizontal="center"/>
    </xf>
    <xf numFmtId="0" fontId="21" fillId="10" borderId="16" xfId="0" applyFont="1" applyFill="1" applyBorder="1" applyAlignment="1">
      <alignment horizontal="center"/>
    </xf>
    <xf numFmtId="0" fontId="18" fillId="43" borderId="16" xfId="0" applyFont="1" applyFill="1" applyBorder="1" applyAlignment="1">
      <alignment horizontal="center"/>
    </xf>
    <xf numFmtId="0" fontId="18" fillId="20" borderId="15" xfId="0" applyFont="1" applyFill="1" applyBorder="1" applyAlignment="1"/>
    <xf numFmtId="0" fontId="18" fillId="23" borderId="16" xfId="0" applyFont="1" applyFill="1" applyBorder="1" applyAlignment="1">
      <alignment horizontal="center"/>
    </xf>
    <xf numFmtId="0" fontId="18" fillId="44" borderId="16" xfId="0" applyFont="1" applyFill="1" applyBorder="1" applyAlignment="1">
      <alignment horizontal="center"/>
    </xf>
    <xf numFmtId="0" fontId="18" fillId="45" borderId="16" xfId="0" applyFont="1" applyFill="1" applyBorder="1" applyAlignment="1">
      <alignment horizontal="center"/>
    </xf>
    <xf numFmtId="0" fontId="18" fillId="39" borderId="16" xfId="0" applyFont="1" applyFill="1" applyBorder="1" applyAlignment="1">
      <alignment horizontal="center"/>
    </xf>
    <xf numFmtId="0" fontId="18" fillId="8" borderId="15" xfId="0" applyFont="1" applyFill="1" applyBorder="1" applyAlignment="1"/>
    <xf numFmtId="0" fontId="18" fillId="43" borderId="15" xfId="0" applyFont="1" applyFill="1" applyBorder="1" applyAlignment="1"/>
    <xf numFmtId="0" fontId="18" fillId="7" borderId="16" xfId="0" applyFont="1" applyFill="1" applyBorder="1" applyAlignment="1">
      <alignment horizontal="center"/>
    </xf>
    <xf numFmtId="0" fontId="18" fillId="20" borderId="16" xfId="0" applyFont="1" applyFill="1" applyBorder="1" applyAlignment="1">
      <alignment horizontal="center"/>
    </xf>
    <xf numFmtId="3" fontId="18" fillId="7" borderId="16" xfId="0" applyNumberFormat="1" applyFont="1" applyFill="1" applyBorder="1" applyAlignment="1">
      <alignment horizontal="center"/>
    </xf>
    <xf numFmtId="0" fontId="18" fillId="22" borderId="16" xfId="0" applyFont="1" applyFill="1" applyBorder="1" applyAlignment="1">
      <alignment horizontal="center"/>
    </xf>
    <xf numFmtId="0" fontId="18" fillId="21" borderId="16" xfId="0" applyFont="1" applyFill="1" applyBorder="1" applyAlignment="1">
      <alignment horizontal="center"/>
    </xf>
    <xf numFmtId="14" fontId="18" fillId="21" borderId="16" xfId="0" applyNumberFormat="1" applyFont="1" applyFill="1" applyBorder="1" applyAlignment="1">
      <alignment horizontal="center"/>
    </xf>
    <xf numFmtId="0" fontId="18" fillId="13" borderId="16" xfId="0" applyFont="1" applyFill="1" applyBorder="1" applyAlignment="1">
      <alignment horizontal="center"/>
    </xf>
    <xf numFmtId="0" fontId="18" fillId="40" borderId="3" xfId="0" applyFont="1" applyFill="1" applyBorder="1" applyAlignment="1">
      <alignment horizontal="center"/>
    </xf>
    <xf numFmtId="0" fontId="18" fillId="0" borderId="18" xfId="0" applyFont="1" applyBorder="1" applyAlignment="1">
      <alignment horizontal="center"/>
    </xf>
    <xf numFmtId="0" fontId="21" fillId="26" borderId="3" xfId="0" applyFont="1" applyFill="1" applyBorder="1" applyAlignment="1">
      <alignment horizontal="center"/>
    </xf>
    <xf numFmtId="0" fontId="21" fillId="10" borderId="17" xfId="0" applyFont="1" applyFill="1" applyBorder="1" applyAlignment="1">
      <alignment horizontal="center"/>
    </xf>
    <xf numFmtId="0" fontId="21" fillId="26" borderId="20" xfId="0" applyFont="1" applyFill="1" applyBorder="1" applyAlignment="1">
      <alignment horizontal="center"/>
    </xf>
    <xf numFmtId="0" fontId="18" fillId="33" borderId="16" xfId="0" applyFont="1" applyFill="1" applyBorder="1" applyAlignment="1">
      <alignment horizontal="center"/>
    </xf>
    <xf numFmtId="0" fontId="18" fillId="46" borderId="16" xfId="0" applyFont="1" applyFill="1" applyBorder="1" applyAlignment="1">
      <alignment horizontal="center"/>
    </xf>
    <xf numFmtId="0" fontId="18" fillId="47" borderId="16" xfId="0" applyFont="1" applyFill="1" applyBorder="1" applyAlignment="1">
      <alignment horizontal="center"/>
    </xf>
    <xf numFmtId="0" fontId="18" fillId="0" borderId="15" xfId="0" applyFont="1" applyBorder="1" applyAlignment="1">
      <alignment vertical="center"/>
    </xf>
    <xf numFmtId="0" fontId="18" fillId="0" borderId="16" xfId="0" applyFont="1" applyBorder="1" applyAlignment="1">
      <alignment horizontal="center" vertical="center"/>
    </xf>
    <xf numFmtId="14" fontId="18" fillId="0" borderId="16" xfId="0" applyNumberFormat="1" applyFont="1" applyBorder="1" applyAlignment="1">
      <alignment horizontal="center" vertical="center"/>
    </xf>
    <xf numFmtId="14" fontId="18" fillId="4" borderId="16" xfId="0" applyNumberFormat="1" applyFont="1" applyFill="1" applyBorder="1" applyAlignment="1">
      <alignment horizontal="left" vertical="center"/>
    </xf>
    <xf numFmtId="14" fontId="18" fillId="36" borderId="16" xfId="0" applyNumberFormat="1" applyFont="1" applyFill="1" applyBorder="1" applyAlignment="1">
      <alignment horizontal="center" vertical="center"/>
    </xf>
    <xf numFmtId="0" fontId="18" fillId="0" borderId="16" xfId="0" applyFont="1" applyBorder="1" applyAlignment="1">
      <alignment horizontal="center" vertical="center"/>
    </xf>
    <xf numFmtId="165" fontId="18" fillId="0" borderId="18" xfId="0" applyNumberFormat="1" applyFont="1" applyBorder="1" applyAlignment="1">
      <alignment horizontal="center" vertical="center"/>
    </xf>
    <xf numFmtId="0" fontId="20" fillId="35" borderId="11" xfId="0" applyFont="1" applyFill="1" applyBorder="1" applyAlignment="1">
      <alignment horizontal="center" vertical="center"/>
    </xf>
    <xf numFmtId="0" fontId="18" fillId="0" borderId="16" xfId="0" applyFont="1" applyBorder="1" applyAlignment="1">
      <alignment horizontal="center" vertical="center"/>
    </xf>
    <xf numFmtId="1" fontId="18" fillId="0" borderId="16" xfId="0" applyNumberFormat="1" applyFont="1" applyBorder="1" applyAlignment="1">
      <alignment horizontal="center"/>
    </xf>
    <xf numFmtId="0" fontId="18" fillId="0" borderId="0" xfId="0" applyFont="1" applyAlignment="1">
      <alignment horizontal="center"/>
    </xf>
    <xf numFmtId="0" fontId="19" fillId="35" borderId="11" xfId="0" applyFont="1" applyFill="1" applyBorder="1" applyAlignment="1">
      <alignment horizontal="center"/>
    </xf>
    <xf numFmtId="0" fontId="18" fillId="0" borderId="0" xfId="0" applyFont="1" applyAlignment="1">
      <alignment horizontal="left"/>
    </xf>
    <xf numFmtId="0" fontId="18" fillId="0" borderId="0" xfId="0" applyFont="1"/>
    <xf numFmtId="0" fontId="7" fillId="11" borderId="9" xfId="0" applyFont="1" applyFill="1" applyBorder="1" applyAlignment="1">
      <alignment horizontal="center"/>
    </xf>
    <xf numFmtId="0" fontId="18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27" fillId="24" borderId="11" xfId="0" applyFont="1" applyFill="1" applyBorder="1" applyAlignment="1">
      <alignment horizontal="left" vertical="center" wrapText="1"/>
    </xf>
    <xf numFmtId="0" fontId="27" fillId="24" borderId="11" xfId="0" applyFont="1" applyFill="1" applyBorder="1" applyAlignment="1">
      <alignment horizontal="left" vertical="center" wrapText="1"/>
    </xf>
    <xf numFmtId="170" fontId="27" fillId="24" borderId="11" xfId="0" applyNumberFormat="1" applyFont="1" applyFill="1" applyBorder="1" applyAlignment="1">
      <alignment horizontal="left" vertical="center" wrapText="1"/>
    </xf>
    <xf numFmtId="171" fontId="27" fillId="24" borderId="11" xfId="0" applyNumberFormat="1" applyFont="1" applyFill="1" applyBorder="1" applyAlignment="1">
      <alignment horizontal="left" vertical="center" wrapText="1"/>
    </xf>
    <xf numFmtId="0" fontId="27" fillId="24" borderId="0" xfId="0" applyFont="1" applyFill="1" applyAlignment="1">
      <alignment horizontal="left" vertical="center" wrapText="1"/>
    </xf>
    <xf numFmtId="0" fontId="28" fillId="23" borderId="11" xfId="0" applyFont="1" applyFill="1" applyBorder="1" applyAlignment="1">
      <alignment horizontal="left" vertical="center" wrapText="1"/>
    </xf>
    <xf numFmtId="172" fontId="29" fillId="23" borderId="11" xfId="0" applyNumberFormat="1" applyFont="1" applyFill="1" applyBorder="1" applyAlignment="1">
      <alignment horizontal="left" vertical="center" wrapText="1"/>
    </xf>
    <xf numFmtId="0" fontId="29" fillId="23" borderId="11" xfId="0" applyFont="1" applyFill="1" applyBorder="1" applyAlignment="1">
      <alignment horizontal="left" vertical="center" wrapText="1"/>
    </xf>
    <xf numFmtId="170" fontId="29" fillId="23" borderId="11" xfId="0" applyNumberFormat="1" applyFont="1" applyFill="1" applyBorder="1" applyAlignment="1">
      <alignment horizontal="left" vertical="center" wrapText="1"/>
    </xf>
    <xf numFmtId="171" fontId="29" fillId="23" borderId="11" xfId="0" applyNumberFormat="1" applyFont="1" applyFill="1" applyBorder="1" applyAlignment="1">
      <alignment horizontal="left" vertical="center" wrapText="1"/>
    </xf>
    <xf numFmtId="0" fontId="29" fillId="23" borderId="11" xfId="0" applyFont="1" applyFill="1" applyBorder="1" applyAlignment="1">
      <alignment horizontal="left" vertical="center" wrapText="1"/>
    </xf>
    <xf numFmtId="0" fontId="29" fillId="23" borderId="0" xfId="0" applyFont="1" applyFill="1" applyAlignment="1">
      <alignment horizontal="left" vertical="center" wrapText="1"/>
    </xf>
    <xf numFmtId="0" fontId="28" fillId="38" borderId="11" xfId="0" applyFont="1" applyFill="1" applyBorder="1" applyAlignment="1">
      <alignment horizontal="left" vertical="center" wrapText="1"/>
    </xf>
    <xf numFmtId="172" fontId="29" fillId="38" borderId="11" xfId="0" applyNumberFormat="1" applyFont="1" applyFill="1" applyBorder="1" applyAlignment="1">
      <alignment horizontal="left" vertical="center" wrapText="1"/>
    </xf>
    <xf numFmtId="0" fontId="29" fillId="38" borderId="11" xfId="0" applyFont="1" applyFill="1" applyBorder="1" applyAlignment="1">
      <alignment horizontal="left" vertical="center" wrapText="1"/>
    </xf>
    <xf numFmtId="170" fontId="29" fillId="38" borderId="11" xfId="0" applyNumberFormat="1" applyFont="1" applyFill="1" applyBorder="1" applyAlignment="1">
      <alignment horizontal="left" vertical="center" wrapText="1"/>
    </xf>
    <xf numFmtId="171" fontId="29" fillId="38" borderId="11" xfId="0" applyNumberFormat="1" applyFont="1" applyFill="1" applyBorder="1" applyAlignment="1">
      <alignment horizontal="left" vertical="center" wrapText="1"/>
    </xf>
    <xf numFmtId="0" fontId="29" fillId="38" borderId="11" xfId="0" applyFont="1" applyFill="1" applyBorder="1" applyAlignment="1">
      <alignment horizontal="left" vertical="center" wrapText="1"/>
    </xf>
    <xf numFmtId="0" fontId="29" fillId="38" borderId="0" xfId="0" applyFont="1" applyFill="1" applyAlignment="1">
      <alignment horizontal="left" vertical="center" wrapText="1"/>
    </xf>
    <xf numFmtId="0" fontId="29" fillId="38" borderId="11" xfId="0" applyFont="1" applyFill="1" applyBorder="1" applyAlignment="1">
      <alignment horizontal="left" vertical="center" wrapText="1"/>
    </xf>
    <xf numFmtId="0" fontId="28" fillId="23" borderId="11" xfId="0" applyFont="1" applyFill="1" applyBorder="1" applyAlignment="1">
      <alignment horizontal="left" vertical="center" wrapText="1"/>
    </xf>
    <xf numFmtId="170" fontId="29" fillId="23" borderId="11" xfId="0" applyNumberFormat="1" applyFont="1" applyFill="1" applyBorder="1" applyAlignment="1">
      <alignment horizontal="left" vertical="center" wrapText="1"/>
    </xf>
    <xf numFmtId="0" fontId="29" fillId="23" borderId="0" xfId="0" applyFont="1" applyFill="1" applyAlignment="1">
      <alignment horizontal="left" vertical="center" wrapText="1"/>
    </xf>
    <xf numFmtId="170" fontId="29" fillId="38" borderId="11" xfId="0" applyNumberFormat="1" applyFont="1" applyFill="1" applyBorder="1" applyAlignment="1">
      <alignment horizontal="left" vertical="center" wrapText="1"/>
    </xf>
    <xf numFmtId="0" fontId="29" fillId="38" borderId="11" xfId="0" applyFont="1" applyFill="1" applyBorder="1" applyAlignment="1">
      <alignment horizontal="left" vertical="center" wrapText="1"/>
    </xf>
    <xf numFmtId="172" fontId="29" fillId="8" borderId="11" xfId="0" applyNumberFormat="1" applyFont="1" applyFill="1" applyBorder="1" applyAlignment="1">
      <alignment horizontal="left" vertical="center" wrapText="1"/>
    </xf>
    <xf numFmtId="173" fontId="29" fillId="38" borderId="11" xfId="0" applyNumberFormat="1" applyFont="1" applyFill="1" applyBorder="1" applyAlignment="1">
      <alignment horizontal="left" vertical="center" wrapText="1"/>
    </xf>
    <xf numFmtId="0" fontId="28" fillId="40" borderId="11" xfId="0" applyFont="1" applyFill="1" applyBorder="1" applyAlignment="1">
      <alignment horizontal="left" vertical="center" wrapText="1"/>
    </xf>
    <xf numFmtId="172" fontId="29" fillId="40" borderId="11" xfId="0" applyNumberFormat="1" applyFont="1" applyFill="1" applyBorder="1" applyAlignment="1">
      <alignment horizontal="left" vertical="center" wrapText="1"/>
    </xf>
    <xf numFmtId="0" fontId="29" fillId="40" borderId="11" xfId="0" applyFont="1" applyFill="1" applyBorder="1" applyAlignment="1">
      <alignment horizontal="left" vertical="center" wrapText="1"/>
    </xf>
    <xf numFmtId="170" fontId="29" fillId="40" borderId="11" xfId="0" applyNumberFormat="1" applyFont="1" applyFill="1" applyBorder="1" applyAlignment="1">
      <alignment horizontal="left" vertical="center" wrapText="1"/>
    </xf>
    <xf numFmtId="171" fontId="29" fillId="40" borderId="11" xfId="0" applyNumberFormat="1" applyFont="1" applyFill="1" applyBorder="1" applyAlignment="1">
      <alignment horizontal="left" vertical="center" wrapText="1"/>
    </xf>
    <xf numFmtId="0" fontId="29" fillId="40" borderId="11" xfId="0" applyFont="1" applyFill="1" applyBorder="1" applyAlignment="1">
      <alignment horizontal="left" vertical="center" wrapText="1"/>
    </xf>
    <xf numFmtId="0" fontId="29" fillId="40" borderId="0" xfId="0" applyFont="1" applyFill="1" applyAlignment="1">
      <alignment horizontal="left" vertical="center" wrapText="1"/>
    </xf>
    <xf numFmtId="170" fontId="29" fillId="40" borderId="11" xfId="0" applyNumberFormat="1" applyFont="1" applyFill="1" applyBorder="1" applyAlignment="1">
      <alignment horizontal="left" vertical="center" wrapText="1"/>
    </xf>
    <xf numFmtId="1" fontId="29" fillId="23" borderId="11" xfId="0" applyNumberFormat="1" applyFont="1" applyFill="1" applyBorder="1" applyAlignment="1">
      <alignment horizontal="left" vertical="center" wrapText="1"/>
    </xf>
    <xf numFmtId="0" fontId="29" fillId="40" borderId="11" xfId="0" applyFont="1" applyFill="1" applyBorder="1" applyAlignment="1">
      <alignment horizontal="left" vertical="center" wrapText="1"/>
    </xf>
    <xf numFmtId="0" fontId="29" fillId="23" borderId="11" xfId="0" applyFont="1" applyFill="1" applyBorder="1" applyAlignment="1">
      <alignment horizontal="left" vertical="center" wrapText="1"/>
    </xf>
    <xf numFmtId="4" fontId="29" fillId="23" borderId="11" xfId="0" applyNumberFormat="1" applyFont="1" applyFill="1" applyBorder="1" applyAlignment="1">
      <alignment horizontal="left" vertical="center" wrapText="1"/>
    </xf>
    <xf numFmtId="0" fontId="30" fillId="40" borderId="11" xfId="0" applyFont="1" applyFill="1" applyBorder="1" applyAlignment="1">
      <alignment horizontal="left" vertical="center" wrapText="1"/>
    </xf>
    <xf numFmtId="172" fontId="28" fillId="23" borderId="11" xfId="0" applyNumberFormat="1" applyFont="1" applyFill="1" applyBorder="1" applyAlignment="1">
      <alignment horizontal="left" vertical="center" wrapText="1"/>
    </xf>
    <xf numFmtId="170" fontId="28" fillId="23" borderId="11" xfId="0" applyNumberFormat="1" applyFont="1" applyFill="1" applyBorder="1" applyAlignment="1">
      <alignment horizontal="left" vertical="center" wrapText="1"/>
    </xf>
    <xf numFmtId="171" fontId="28" fillId="23" borderId="11" xfId="0" applyNumberFormat="1" applyFont="1" applyFill="1" applyBorder="1" applyAlignment="1">
      <alignment horizontal="left" vertical="center" wrapText="1"/>
    </xf>
    <xf numFmtId="0" fontId="28" fillId="23" borderId="0" xfId="0" applyFont="1" applyFill="1" applyAlignment="1">
      <alignment horizontal="left" vertical="center" wrapText="1"/>
    </xf>
    <xf numFmtId="171" fontId="30" fillId="40" borderId="11" xfId="0" applyNumberFormat="1" applyFont="1" applyFill="1" applyBorder="1" applyAlignment="1">
      <alignment horizontal="left" vertical="center" wrapText="1"/>
    </xf>
    <xf numFmtId="171" fontId="29" fillId="40" borderId="11" xfId="0" applyNumberFormat="1" applyFont="1" applyFill="1" applyBorder="1" applyAlignment="1">
      <alignment horizontal="left" vertical="center" wrapText="1"/>
    </xf>
    <xf numFmtId="0" fontId="29" fillId="23" borderId="11" xfId="0" applyFont="1" applyFill="1" applyBorder="1" applyAlignment="1">
      <alignment horizontal="left" vertical="center"/>
    </xf>
    <xf numFmtId="171" fontId="29" fillId="23" borderId="11" xfId="0" applyNumberFormat="1" applyFont="1" applyFill="1" applyBorder="1" applyAlignment="1">
      <alignment horizontal="left" vertical="center"/>
    </xf>
    <xf numFmtId="0" fontId="28" fillId="23" borderId="11" xfId="0" applyFont="1" applyFill="1" applyBorder="1" applyAlignment="1">
      <alignment horizontal="left" vertical="center"/>
    </xf>
    <xf numFmtId="171" fontId="28" fillId="23" borderId="11" xfId="0" applyNumberFormat="1" applyFont="1" applyFill="1" applyBorder="1" applyAlignment="1">
      <alignment horizontal="left" vertical="center"/>
    </xf>
    <xf numFmtId="171" fontId="29" fillId="23" borderId="11" xfId="0" applyNumberFormat="1" applyFont="1" applyFill="1" applyBorder="1" applyAlignment="1">
      <alignment horizontal="left" vertical="center"/>
    </xf>
    <xf numFmtId="1" fontId="29" fillId="23" borderId="11" xfId="0" applyNumberFormat="1" applyFont="1" applyFill="1" applyBorder="1" applyAlignment="1">
      <alignment horizontal="left" vertical="center" wrapText="1"/>
    </xf>
    <xf numFmtId="1" fontId="29" fillId="40" borderId="11" xfId="0" applyNumberFormat="1" applyFont="1" applyFill="1" applyBorder="1" applyAlignment="1">
      <alignment horizontal="left" vertical="center" wrapText="1"/>
    </xf>
    <xf numFmtId="172" fontId="29" fillId="40" borderId="11" xfId="0" applyNumberFormat="1" applyFont="1" applyFill="1" applyBorder="1" applyAlignment="1">
      <alignment horizontal="left" vertical="center"/>
    </xf>
    <xf numFmtId="0" fontId="29" fillId="40" borderId="11" xfId="0" applyFont="1" applyFill="1" applyBorder="1" applyAlignment="1">
      <alignment horizontal="left" vertical="center"/>
    </xf>
    <xf numFmtId="0" fontId="29" fillId="40" borderId="11" xfId="0" applyFont="1" applyFill="1" applyBorder="1" applyAlignment="1">
      <alignment horizontal="left" vertical="center"/>
    </xf>
    <xf numFmtId="0" fontId="29" fillId="40" borderId="11" xfId="0" applyFont="1" applyFill="1" applyBorder="1" applyAlignment="1">
      <alignment horizontal="left" vertical="center"/>
    </xf>
    <xf numFmtId="172" fontId="29" fillId="23" borderId="11" xfId="0" applyNumberFormat="1" applyFont="1" applyFill="1" applyBorder="1" applyAlignment="1">
      <alignment horizontal="left" vertical="center"/>
    </xf>
    <xf numFmtId="0" fontId="29" fillId="23" borderId="11" xfId="0" applyFont="1" applyFill="1" applyBorder="1" applyAlignment="1">
      <alignment horizontal="left" vertical="center"/>
    </xf>
    <xf numFmtId="0" fontId="29" fillId="23" borderId="11" xfId="0" applyFont="1" applyFill="1" applyBorder="1" applyAlignment="1">
      <alignment horizontal="left" vertical="center"/>
    </xf>
    <xf numFmtId="0" fontId="29" fillId="0" borderId="0" xfId="0" applyFont="1" applyAlignment="1">
      <alignment horizontal="left" vertical="center" wrapText="1"/>
    </xf>
    <xf numFmtId="0" fontId="29" fillId="0" borderId="11" xfId="0" applyFont="1" applyBorder="1" applyAlignment="1">
      <alignment horizontal="left" vertical="center" wrapText="1"/>
    </xf>
    <xf numFmtId="0" fontId="29" fillId="40" borderId="11" xfId="0" applyFont="1" applyFill="1" applyBorder="1" applyAlignment="1">
      <alignment horizontal="left" vertical="center"/>
    </xf>
    <xf numFmtId="170" fontId="29" fillId="40" borderId="11" xfId="0" applyNumberFormat="1" applyFont="1" applyFill="1" applyBorder="1" applyAlignment="1">
      <alignment horizontal="left" vertical="center"/>
    </xf>
    <xf numFmtId="0" fontId="29" fillId="40" borderId="11" xfId="0" applyFont="1" applyFill="1" applyBorder="1" applyAlignment="1">
      <alignment horizontal="left" vertical="center"/>
    </xf>
    <xf numFmtId="0" fontId="29" fillId="0" borderId="11" xfId="0" applyFont="1" applyBorder="1" applyAlignment="1">
      <alignment horizontal="left" vertical="center"/>
    </xf>
    <xf numFmtId="0" fontId="28" fillId="23" borderId="11" xfId="0" applyFont="1" applyFill="1" applyBorder="1" applyAlignment="1">
      <alignment horizontal="left" vertical="center"/>
    </xf>
    <xf numFmtId="0" fontId="29" fillId="23" borderId="11" xfId="0" applyFont="1" applyFill="1" applyBorder="1" applyAlignment="1">
      <alignment horizontal="left" vertical="center"/>
    </xf>
    <xf numFmtId="3" fontId="29" fillId="23" borderId="21" xfId="0" applyNumberFormat="1" applyFont="1" applyFill="1" applyBorder="1" applyAlignment="1">
      <alignment horizontal="left" vertical="center"/>
    </xf>
    <xf numFmtId="0" fontId="29" fillId="23" borderId="21" xfId="0" applyFont="1" applyFill="1" applyBorder="1" applyAlignment="1">
      <alignment horizontal="left" vertical="center"/>
    </xf>
    <xf numFmtId="0" fontId="29" fillId="23" borderId="0" xfId="0" applyFont="1" applyFill="1" applyAlignment="1">
      <alignment horizontal="left" vertical="center"/>
    </xf>
    <xf numFmtId="0" fontId="29" fillId="0" borderId="0" xfId="0" applyFont="1" applyAlignment="1">
      <alignment horizontal="left" vertical="center"/>
    </xf>
    <xf numFmtId="172" fontId="30" fillId="23" borderId="11" xfId="0" applyNumberFormat="1" applyFont="1" applyFill="1" applyBorder="1" applyAlignment="1">
      <alignment horizontal="left" vertical="center"/>
    </xf>
    <xf numFmtId="172" fontId="29" fillId="38" borderId="11" xfId="0" applyNumberFormat="1" applyFont="1" applyFill="1" applyBorder="1" applyAlignment="1">
      <alignment horizontal="left" vertical="center"/>
    </xf>
    <xf numFmtId="0" fontId="29" fillId="38" borderId="11" xfId="0" applyFont="1" applyFill="1" applyBorder="1" applyAlignment="1">
      <alignment horizontal="left" vertical="center"/>
    </xf>
    <xf numFmtId="0" fontId="29" fillId="23" borderId="11" xfId="0" applyFont="1" applyFill="1" applyBorder="1" applyAlignment="1">
      <alignment horizontal="left" vertical="center"/>
    </xf>
    <xf numFmtId="0" fontId="30" fillId="23" borderId="11" xfId="0" applyFont="1" applyFill="1" applyBorder="1" applyAlignment="1">
      <alignment horizontal="left" vertical="center"/>
    </xf>
    <xf numFmtId="0" fontId="30" fillId="23" borderId="11" xfId="0" applyFont="1" applyFill="1" applyBorder="1" applyAlignment="1">
      <alignment horizontal="left" vertical="center"/>
    </xf>
    <xf numFmtId="0" fontId="30" fillId="40" borderId="11" xfId="0" applyFont="1" applyFill="1" applyBorder="1" applyAlignment="1">
      <alignment horizontal="left" vertical="center"/>
    </xf>
    <xf numFmtId="0" fontId="29" fillId="8" borderId="11" xfId="0" applyFont="1" applyFill="1" applyBorder="1" applyAlignment="1">
      <alignment horizontal="left" vertical="center" wrapText="1"/>
    </xf>
    <xf numFmtId="3" fontId="29" fillId="23" borderId="11" xfId="0" applyNumberFormat="1" applyFont="1" applyFill="1" applyBorder="1" applyAlignment="1">
      <alignment horizontal="left" vertical="center" wrapText="1"/>
    </xf>
    <xf numFmtId="0" fontId="28" fillId="23" borderId="11" xfId="0" applyFont="1" applyFill="1" applyBorder="1" applyAlignment="1">
      <alignment horizontal="left" vertical="center"/>
    </xf>
    <xf numFmtId="0" fontId="31" fillId="23" borderId="11" xfId="0" applyFont="1" applyFill="1" applyBorder="1" applyAlignment="1">
      <alignment horizontal="left" vertical="center"/>
    </xf>
    <xf numFmtId="0" fontId="29" fillId="23" borderId="11" xfId="0" applyFont="1" applyFill="1" applyBorder="1" applyAlignment="1">
      <alignment horizontal="left" vertical="center"/>
    </xf>
    <xf numFmtId="170" fontId="29" fillId="40" borderId="11" xfId="0" applyNumberFormat="1" applyFont="1" applyFill="1" applyBorder="1" applyAlignment="1">
      <alignment horizontal="left" vertical="center"/>
    </xf>
    <xf numFmtId="0" fontId="28" fillId="40" borderId="11" xfId="0" applyFont="1" applyFill="1" applyBorder="1" applyAlignment="1">
      <alignment horizontal="left" vertical="center"/>
    </xf>
    <xf numFmtId="0" fontId="29" fillId="40" borderId="11" xfId="0" applyFont="1" applyFill="1" applyBorder="1" applyAlignment="1">
      <alignment horizontal="left" vertical="center"/>
    </xf>
    <xf numFmtId="172" fontId="28" fillId="23" borderId="11" xfId="0" applyNumberFormat="1" applyFont="1" applyFill="1" applyBorder="1" applyAlignment="1">
      <alignment horizontal="left" vertical="center"/>
    </xf>
    <xf numFmtId="170" fontId="28" fillId="23" borderId="11" xfId="0" applyNumberFormat="1" applyFont="1" applyFill="1" applyBorder="1" applyAlignment="1">
      <alignment horizontal="left" vertical="center" wrapText="1"/>
    </xf>
    <xf numFmtId="0" fontId="28" fillId="23" borderId="11" xfId="0" applyFont="1" applyFill="1" applyBorder="1" applyAlignment="1">
      <alignment horizontal="left" vertical="center" wrapText="1"/>
    </xf>
    <xf numFmtId="4" fontId="28" fillId="23" borderId="11" xfId="0" applyNumberFormat="1" applyFont="1" applyFill="1" applyBorder="1" applyAlignment="1">
      <alignment horizontal="left" vertical="center" wrapText="1"/>
    </xf>
    <xf numFmtId="4" fontId="29" fillId="40" borderId="11" xfId="0" applyNumberFormat="1" applyFont="1" applyFill="1" applyBorder="1" applyAlignment="1">
      <alignment horizontal="left" vertical="center"/>
    </xf>
    <xf numFmtId="3" fontId="29" fillId="23" borderId="11" xfId="0" applyNumberFormat="1" applyFont="1" applyFill="1" applyBorder="1" applyAlignment="1">
      <alignment horizontal="left" vertical="center"/>
    </xf>
    <xf numFmtId="4" fontId="29" fillId="40" borderId="11" xfId="0" applyNumberFormat="1" applyFont="1" applyFill="1" applyBorder="1" applyAlignment="1">
      <alignment horizontal="left" vertical="center"/>
    </xf>
    <xf numFmtId="3" fontId="29" fillId="40" borderId="11" xfId="0" applyNumberFormat="1" applyFont="1" applyFill="1" applyBorder="1" applyAlignment="1">
      <alignment horizontal="left" vertical="center"/>
    </xf>
    <xf numFmtId="3" fontId="29" fillId="40" borderId="11" xfId="0" applyNumberFormat="1" applyFont="1" applyFill="1" applyBorder="1" applyAlignment="1">
      <alignment horizontal="left" vertical="center"/>
    </xf>
    <xf numFmtId="0" fontId="29" fillId="40" borderId="1" xfId="0" applyFont="1" applyFill="1" applyBorder="1" applyAlignment="1">
      <alignment horizontal="left" vertical="center"/>
    </xf>
    <xf numFmtId="0" fontId="29" fillId="40" borderId="9" xfId="0" applyFont="1" applyFill="1" applyBorder="1" applyAlignment="1">
      <alignment horizontal="left" vertical="center"/>
    </xf>
    <xf numFmtId="0" fontId="29" fillId="40" borderId="0" xfId="0" applyFont="1" applyFill="1" applyAlignment="1">
      <alignment horizontal="left" vertical="center"/>
    </xf>
    <xf numFmtId="0" fontId="29" fillId="40" borderId="10" xfId="0" applyFont="1" applyFill="1" applyBorder="1" applyAlignment="1">
      <alignment horizontal="left" vertical="center"/>
    </xf>
    <xf numFmtId="0" fontId="7" fillId="0" borderId="0" xfId="0" applyFont="1" applyAlignment="1">
      <alignment horizontal="left"/>
    </xf>
    <xf numFmtId="170" fontId="29" fillId="0" borderId="0" xfId="0" applyNumberFormat="1" applyFont="1" applyAlignment="1">
      <alignment horizontal="left" vertical="center" wrapText="1"/>
    </xf>
    <xf numFmtId="0" fontId="7" fillId="0" borderId="0" xfId="0" applyFont="1" applyAlignment="1"/>
    <xf numFmtId="171" fontId="29" fillId="0" borderId="0" xfId="0" applyNumberFormat="1" applyFont="1" applyAlignment="1">
      <alignment horizontal="left" vertical="center" wrapText="1"/>
    </xf>
    <xf numFmtId="0" fontId="28" fillId="0" borderId="0" xfId="0" applyFont="1" applyAlignment="1">
      <alignment horizontal="left" vertical="center" wrapText="1"/>
    </xf>
    <xf numFmtId="171" fontId="29" fillId="0" borderId="0" xfId="0" applyNumberFormat="1" applyFont="1" applyAlignment="1">
      <alignment horizontal="left" vertical="center" wrapText="1"/>
    </xf>
    <xf numFmtId="0" fontId="33" fillId="29" borderId="25" xfId="0" applyFont="1" applyFill="1" applyBorder="1" applyAlignment="1">
      <alignment horizontal="center" vertical="center"/>
    </xf>
    <xf numFmtId="0" fontId="30" fillId="0" borderId="25" xfId="0" applyFont="1" applyBorder="1" applyAlignment="1">
      <alignment horizontal="center"/>
    </xf>
    <xf numFmtId="0" fontId="34" fillId="0" borderId="0" xfId="0" applyFont="1"/>
    <xf numFmtId="0" fontId="31" fillId="10" borderId="25" xfId="0" applyFont="1" applyFill="1" applyBorder="1" applyAlignment="1">
      <alignment horizontal="center"/>
    </xf>
    <xf numFmtId="0" fontId="30" fillId="0" borderId="25" xfId="0" applyFont="1" applyBorder="1" applyAlignment="1">
      <alignment horizontal="center"/>
    </xf>
    <xf numFmtId="0" fontId="14" fillId="51" borderId="26" xfId="0" applyFont="1" applyFill="1" applyBorder="1" applyAlignment="1">
      <alignment horizontal="center" vertical="center" wrapText="1"/>
    </xf>
    <xf numFmtId="0" fontId="15" fillId="51" borderId="26" xfId="0" applyFont="1" applyFill="1" applyBorder="1" applyAlignment="1">
      <alignment horizontal="center" vertical="center" wrapText="1"/>
    </xf>
    <xf numFmtId="0" fontId="14" fillId="51" borderId="26" xfId="0" applyFont="1" applyFill="1" applyBorder="1" applyAlignment="1">
      <alignment horizontal="center" vertical="center" wrapText="1"/>
    </xf>
    <xf numFmtId="3" fontId="15" fillId="51" borderId="26" xfId="0" applyNumberFormat="1" applyFont="1" applyFill="1" applyBorder="1" applyAlignment="1">
      <alignment horizontal="center" vertical="center" wrapText="1"/>
    </xf>
    <xf numFmtId="0" fontId="16" fillId="51" borderId="26" xfId="0" applyFont="1" applyFill="1" applyBorder="1" applyAlignment="1">
      <alignment horizontal="center" vertical="center" wrapText="1"/>
    </xf>
    <xf numFmtId="0" fontId="18" fillId="52" borderId="27" xfId="0" applyFont="1" applyFill="1" applyBorder="1" applyAlignment="1">
      <alignment horizontal="center"/>
    </xf>
    <xf numFmtId="0" fontId="18" fillId="9" borderId="28" xfId="0" applyFont="1" applyFill="1" applyBorder="1" applyAlignment="1">
      <alignment horizontal="center"/>
    </xf>
    <xf numFmtId="0" fontId="24" fillId="9" borderId="28" xfId="0" applyFont="1" applyFill="1" applyBorder="1" applyAlignment="1">
      <alignment horizontal="center"/>
    </xf>
    <xf numFmtId="14" fontId="18" fillId="9" borderId="28" xfId="0" applyNumberFormat="1" applyFont="1" applyFill="1" applyBorder="1" applyAlignment="1">
      <alignment horizontal="center"/>
    </xf>
    <xf numFmtId="14" fontId="18" fillId="53" borderId="28" xfId="0" applyNumberFormat="1" applyFont="1" applyFill="1" applyBorder="1" applyAlignment="1">
      <alignment horizontal="center"/>
    </xf>
    <xf numFmtId="0" fontId="18" fillId="52" borderId="28" xfId="0" applyFont="1" applyFill="1" applyBorder="1" applyAlignment="1">
      <alignment horizontal="center"/>
    </xf>
    <xf numFmtId="0" fontId="18" fillId="9" borderId="28" xfId="0" applyFont="1" applyFill="1" applyBorder="1" applyAlignment="1">
      <alignment horizontal="center"/>
    </xf>
    <xf numFmtId="0" fontId="35" fillId="54" borderId="28" xfId="0" applyFont="1" applyFill="1" applyBorder="1" applyAlignment="1">
      <alignment horizontal="center"/>
    </xf>
    <xf numFmtId="0" fontId="25" fillId="4" borderId="28" xfId="0" applyFont="1" applyFill="1" applyBorder="1" applyAlignment="1">
      <alignment horizontal="center"/>
    </xf>
    <xf numFmtId="0" fontId="18" fillId="9" borderId="29" xfId="0" applyFont="1" applyFill="1" applyBorder="1" applyAlignment="1">
      <alignment horizontal="center"/>
    </xf>
    <xf numFmtId="0" fontId="18" fillId="52" borderId="30" xfId="0" applyFont="1" applyFill="1" applyBorder="1" applyAlignment="1">
      <alignment horizontal="center"/>
    </xf>
    <xf numFmtId="0" fontId="18" fillId="9" borderId="31" xfId="0" applyFont="1" applyFill="1" applyBorder="1" applyAlignment="1">
      <alignment horizontal="center"/>
    </xf>
    <xf numFmtId="0" fontId="24" fillId="9" borderId="31" xfId="0" applyFont="1" applyFill="1" applyBorder="1" applyAlignment="1">
      <alignment horizontal="center"/>
    </xf>
    <xf numFmtId="14" fontId="18" fillId="9" borderId="31" xfId="0" applyNumberFormat="1" applyFont="1" applyFill="1" applyBorder="1" applyAlignment="1">
      <alignment horizontal="center"/>
    </xf>
    <xf numFmtId="14" fontId="18" fillId="53" borderId="31" xfId="0" applyNumberFormat="1" applyFont="1" applyFill="1" applyBorder="1" applyAlignment="1">
      <alignment horizontal="center"/>
    </xf>
    <xf numFmtId="0" fontId="18" fillId="52" borderId="31" xfId="0" applyFont="1" applyFill="1" applyBorder="1" applyAlignment="1">
      <alignment horizontal="center"/>
    </xf>
    <xf numFmtId="0" fontId="24" fillId="52" borderId="31" xfId="0" applyFont="1" applyFill="1" applyBorder="1" applyAlignment="1">
      <alignment horizontal="center"/>
    </xf>
    <xf numFmtId="0" fontId="18" fillId="9" borderId="31" xfId="0" applyFont="1" applyFill="1" applyBorder="1" applyAlignment="1">
      <alignment horizontal="center"/>
    </xf>
    <xf numFmtId="0" fontId="35" fillId="54" borderId="31" xfId="0" applyFont="1" applyFill="1" applyBorder="1" applyAlignment="1">
      <alignment horizontal="center"/>
    </xf>
    <xf numFmtId="0" fontId="25" fillId="4" borderId="31" xfId="0" applyFont="1" applyFill="1" applyBorder="1" applyAlignment="1">
      <alignment horizontal="center"/>
    </xf>
    <xf numFmtId="0" fontId="18" fillId="9" borderId="32" xfId="0" applyFont="1" applyFill="1" applyBorder="1" applyAlignment="1">
      <alignment horizontal="center"/>
    </xf>
    <xf numFmtId="0" fontId="18" fillId="52" borderId="30" xfId="0" applyFont="1" applyFill="1" applyBorder="1" applyAlignment="1">
      <alignment horizontal="center"/>
    </xf>
    <xf numFmtId="0" fontId="21" fillId="9" borderId="31" xfId="0" applyFont="1" applyFill="1" applyBorder="1" applyAlignment="1">
      <alignment horizontal="center"/>
    </xf>
    <xf numFmtId="0" fontId="21" fillId="9" borderId="31" xfId="0" applyFont="1" applyFill="1" applyBorder="1" applyAlignment="1">
      <alignment horizontal="center"/>
    </xf>
    <xf numFmtId="0" fontId="36" fillId="54" borderId="31" xfId="0" applyFont="1" applyFill="1" applyBorder="1" applyAlignment="1">
      <alignment horizontal="center"/>
    </xf>
    <xf numFmtId="0" fontId="21" fillId="9" borderId="32" xfId="0" applyFont="1" applyFill="1" applyBorder="1" applyAlignment="1">
      <alignment horizontal="center"/>
    </xf>
    <xf numFmtId="0" fontId="18" fillId="52" borderId="30" xfId="0" applyFont="1" applyFill="1" applyBorder="1" applyAlignment="1">
      <alignment horizontal="center"/>
    </xf>
    <xf numFmtId="0" fontId="18" fillId="52" borderId="30" xfId="0" applyFont="1" applyFill="1" applyBorder="1" applyAlignment="1">
      <alignment horizontal="left"/>
    </xf>
    <xf numFmtId="0" fontId="21" fillId="9" borderId="31" xfId="0" applyFont="1" applyFill="1" applyBorder="1" applyAlignment="1">
      <alignment horizontal="center"/>
    </xf>
    <xf numFmtId="0" fontId="37" fillId="4" borderId="31" xfId="0" applyFont="1" applyFill="1" applyBorder="1" applyAlignment="1">
      <alignment horizontal="center"/>
    </xf>
    <xf numFmtId="0" fontId="11" fillId="52" borderId="33" xfId="0" applyFont="1" applyFill="1" applyBorder="1" applyAlignment="1">
      <alignment horizontal="center"/>
    </xf>
    <xf numFmtId="0" fontId="11" fillId="9" borderId="34" xfId="0" applyFont="1" applyFill="1" applyBorder="1" applyAlignment="1">
      <alignment horizontal="center"/>
    </xf>
    <xf numFmtId="0" fontId="24" fillId="9" borderId="34" xfId="0" applyFont="1" applyFill="1" applyBorder="1" applyAlignment="1">
      <alignment horizontal="center"/>
    </xf>
    <xf numFmtId="0" fontId="11" fillId="53" borderId="31" xfId="0" applyFont="1" applyFill="1" applyBorder="1" applyAlignment="1">
      <alignment horizontal="center"/>
    </xf>
    <xf numFmtId="0" fontId="38" fillId="54" borderId="31" xfId="0" applyFont="1" applyFill="1" applyBorder="1" applyAlignment="1">
      <alignment horizontal="center"/>
    </xf>
    <xf numFmtId="0" fontId="37" fillId="4" borderId="31" xfId="0" applyFont="1" applyFill="1" applyBorder="1" applyAlignment="1">
      <alignment horizontal="center"/>
    </xf>
    <xf numFmtId="0" fontId="21" fillId="9" borderId="32" xfId="0" applyFont="1" applyFill="1" applyBorder="1" applyAlignment="1">
      <alignment horizontal="center"/>
    </xf>
    <xf numFmtId="0" fontId="11" fillId="52" borderId="35" xfId="0" applyFont="1" applyFill="1" applyBorder="1" applyAlignment="1">
      <alignment horizontal="center"/>
    </xf>
    <xf numFmtId="0" fontId="11" fillId="9" borderId="36" xfId="0" applyFont="1" applyFill="1" applyBorder="1" applyAlignment="1">
      <alignment horizontal="center"/>
    </xf>
    <xf numFmtId="0" fontId="39" fillId="27" borderId="37" xfId="0" applyFont="1" applyFill="1" applyBorder="1" applyAlignment="1">
      <alignment horizontal="left"/>
    </xf>
    <xf numFmtId="0" fontId="39" fillId="27" borderId="38" xfId="0" applyFont="1" applyFill="1" applyBorder="1" applyAlignment="1">
      <alignment horizontal="center"/>
    </xf>
    <xf numFmtId="0" fontId="11" fillId="27" borderId="39" xfId="0" applyFont="1" applyFill="1" applyBorder="1" applyAlignment="1">
      <alignment horizontal="center"/>
    </xf>
    <xf numFmtId="0" fontId="11" fillId="52" borderId="30" xfId="0" applyFont="1" applyFill="1" applyBorder="1" applyAlignment="1">
      <alignment horizontal="center"/>
    </xf>
    <xf numFmtId="0" fontId="11" fillId="9" borderId="31" xfId="0" applyFont="1" applyFill="1" applyBorder="1" applyAlignment="1">
      <alignment horizontal="center"/>
    </xf>
    <xf numFmtId="0" fontId="11" fillId="52" borderId="40" xfId="0" applyFont="1" applyFill="1" applyBorder="1" applyAlignment="1">
      <alignment horizontal="center"/>
    </xf>
    <xf numFmtId="0" fontId="11" fillId="9" borderId="41" xfId="0" applyFont="1" applyFill="1" applyBorder="1" applyAlignment="1">
      <alignment horizontal="center"/>
    </xf>
    <xf numFmtId="0" fontId="11" fillId="53" borderId="41" xfId="0" applyFont="1" applyFill="1" applyBorder="1" applyAlignment="1">
      <alignment horizontal="center"/>
    </xf>
    <xf numFmtId="0" fontId="21" fillId="9" borderId="41" xfId="0" applyFont="1" applyFill="1" applyBorder="1" applyAlignment="1">
      <alignment horizontal="center"/>
    </xf>
    <xf numFmtId="0" fontId="38" fillId="54" borderId="41" xfId="0" applyFont="1" applyFill="1" applyBorder="1" applyAlignment="1">
      <alignment horizontal="center"/>
    </xf>
    <xf numFmtId="0" fontId="37" fillId="4" borderId="41" xfId="0" applyFont="1" applyFill="1" applyBorder="1" applyAlignment="1">
      <alignment horizontal="center"/>
    </xf>
    <xf numFmtId="0" fontId="21" fillId="9" borderId="42" xfId="0" applyFont="1" applyFill="1" applyBorder="1" applyAlignment="1">
      <alignment horizontal="center"/>
    </xf>
    <xf numFmtId="0" fontId="40" fillId="55" borderId="43" xfId="0" applyFont="1" applyFill="1" applyBorder="1" applyAlignment="1">
      <alignment horizontal="center" vertical="center"/>
    </xf>
    <xf numFmtId="0" fontId="40" fillId="55" borderId="44" xfId="0" applyFont="1" applyFill="1" applyBorder="1" applyAlignment="1">
      <alignment horizontal="center" vertical="center"/>
    </xf>
    <xf numFmtId="0" fontId="41" fillId="55" borderId="43" xfId="0" applyFont="1" applyFill="1" applyBorder="1" applyAlignment="1">
      <alignment horizontal="center" vertical="center"/>
    </xf>
    <xf numFmtId="0" fontId="40" fillId="55" borderId="45" xfId="0" applyFont="1" applyFill="1" applyBorder="1" applyAlignment="1">
      <alignment horizontal="center" vertical="center"/>
    </xf>
    <xf numFmtId="0" fontId="42" fillId="38" borderId="46" xfId="0" applyFont="1" applyFill="1" applyBorder="1" applyAlignment="1">
      <alignment horizontal="center" vertical="center"/>
    </xf>
    <xf numFmtId="0" fontId="23" fillId="0" borderId="0" xfId="0" applyFont="1"/>
    <xf numFmtId="0" fontId="43" fillId="0" borderId="47" xfId="0" applyFont="1" applyBorder="1" applyAlignment="1">
      <alignment horizontal="center"/>
    </xf>
    <xf numFmtId="0" fontId="44" fillId="0" borderId="48" xfId="0" applyFont="1" applyBorder="1" applyAlignment="1">
      <alignment horizontal="center"/>
    </xf>
    <xf numFmtId="0" fontId="44" fillId="0" borderId="47" xfId="0" applyFont="1" applyBorder="1" applyAlignment="1">
      <alignment horizontal="center"/>
    </xf>
    <xf numFmtId="0" fontId="23" fillId="0" borderId="49" xfId="0" applyFont="1" applyBorder="1" applyAlignment="1">
      <alignment horizontal="center"/>
    </xf>
    <xf numFmtId="0" fontId="44" fillId="0" borderId="50" xfId="0" applyFont="1" applyBorder="1" applyAlignment="1">
      <alignment horizontal="center"/>
    </xf>
    <xf numFmtId="0" fontId="23" fillId="0" borderId="51" xfId="0" applyFont="1" applyBorder="1" applyAlignment="1">
      <alignment horizontal="center"/>
    </xf>
    <xf numFmtId="0" fontId="30" fillId="0" borderId="47" xfId="0" applyFont="1" applyBorder="1" applyAlignment="1">
      <alignment horizontal="center"/>
    </xf>
    <xf numFmtId="0" fontId="45" fillId="0" borderId="0" xfId="0" applyFont="1"/>
    <xf numFmtId="0" fontId="23" fillId="0" borderId="51" xfId="0" applyFont="1" applyBorder="1" applyAlignment="1">
      <alignment horizontal="center"/>
    </xf>
    <xf numFmtId="0" fontId="43" fillId="0" borderId="51" xfId="0" applyFont="1" applyBorder="1" applyAlignment="1">
      <alignment horizontal="center"/>
    </xf>
    <xf numFmtId="0" fontId="44" fillId="0" borderId="52" xfId="0" applyFont="1" applyBorder="1" applyAlignment="1">
      <alignment horizontal="center"/>
    </xf>
    <xf numFmtId="0" fontId="44" fillId="0" borderId="0" xfId="0" applyFont="1" applyAlignment="1">
      <alignment horizontal="center"/>
    </xf>
    <xf numFmtId="0" fontId="44" fillId="0" borderId="22" xfId="0" applyFont="1" applyBorder="1" applyAlignment="1">
      <alignment horizontal="center"/>
    </xf>
    <xf numFmtId="0" fontId="44" fillId="0" borderId="11" xfId="0" applyFont="1" applyBorder="1" applyAlignment="1">
      <alignment horizontal="center"/>
    </xf>
    <xf numFmtId="0" fontId="30" fillId="0" borderId="11" xfId="0" applyFont="1" applyBorder="1" applyAlignment="1">
      <alignment horizontal="center"/>
    </xf>
    <xf numFmtId="0" fontId="23" fillId="0" borderId="11" xfId="0" applyFont="1" applyBorder="1" applyAlignment="1">
      <alignment horizontal="center"/>
    </xf>
    <xf numFmtId="0" fontId="23" fillId="0" borderId="11" xfId="0" applyFont="1" applyBorder="1" applyAlignment="1">
      <alignment horizontal="center"/>
    </xf>
    <xf numFmtId="0" fontId="23" fillId="0" borderId="52" xfId="0" applyFont="1" applyBorder="1" applyAlignment="1">
      <alignment horizontal="center"/>
    </xf>
    <xf numFmtId="0" fontId="23" fillId="0" borderId="0" xfId="0" applyFont="1" applyAlignment="1">
      <alignment horizontal="center"/>
    </xf>
    <xf numFmtId="0" fontId="23" fillId="0" borderId="53" xfId="0" applyFont="1" applyBorder="1" applyAlignment="1">
      <alignment horizontal="center"/>
    </xf>
    <xf numFmtId="0" fontId="23" fillId="0" borderId="54" xfId="0" applyFont="1" applyBorder="1" applyAlignment="1">
      <alignment horizontal="center"/>
    </xf>
    <xf numFmtId="0" fontId="23" fillId="0" borderId="55" xfId="0" applyFont="1" applyBorder="1" applyAlignment="1">
      <alignment horizontal="center"/>
    </xf>
    <xf numFmtId="0" fontId="23" fillId="0" borderId="56" xfId="0" applyFont="1" applyBorder="1" applyAlignment="1">
      <alignment horizontal="center"/>
    </xf>
    <xf numFmtId="0" fontId="26" fillId="7" borderId="57" xfId="0" applyFont="1" applyFill="1" applyBorder="1" applyAlignment="1">
      <alignment horizontal="center"/>
    </xf>
    <xf numFmtId="0" fontId="26" fillId="7" borderId="58" xfId="0" applyFont="1" applyFill="1" applyBorder="1" applyAlignment="1">
      <alignment horizontal="center"/>
    </xf>
    <xf numFmtId="0" fontId="26" fillId="7" borderId="59" xfId="0" applyFont="1" applyFill="1" applyBorder="1" applyAlignment="1">
      <alignment horizontal="center"/>
    </xf>
    <xf numFmtId="0" fontId="7" fillId="10" borderId="60" xfId="0" applyFont="1" applyFill="1" applyBorder="1" applyAlignment="1">
      <alignment horizontal="center"/>
    </xf>
    <xf numFmtId="0" fontId="7" fillId="10" borderId="61" xfId="0" applyFont="1" applyFill="1" applyBorder="1" applyAlignment="1">
      <alignment horizontal="center"/>
    </xf>
    <xf numFmtId="0" fontId="46" fillId="10" borderId="62" xfId="0" applyFont="1" applyFill="1" applyBorder="1" applyAlignment="1">
      <alignment horizontal="center"/>
    </xf>
    <xf numFmtId="0" fontId="17" fillId="48" borderId="63" xfId="0" applyFont="1" applyFill="1" applyBorder="1" applyAlignment="1">
      <alignment horizontal="center"/>
    </xf>
    <xf numFmtId="0" fontId="7" fillId="48" borderId="9" xfId="0" applyFont="1" applyFill="1" applyBorder="1" applyAlignment="1">
      <alignment horizontal="center"/>
    </xf>
    <xf numFmtId="0" fontId="46" fillId="48" borderId="64" xfId="0" applyFont="1" applyFill="1" applyBorder="1" applyAlignment="1">
      <alignment horizontal="center"/>
    </xf>
    <xf numFmtId="0" fontId="17" fillId="40" borderId="63" xfId="0" applyFont="1" applyFill="1" applyBorder="1" applyAlignment="1">
      <alignment horizontal="center"/>
    </xf>
    <xf numFmtId="0" fontId="7" fillId="40" borderId="9" xfId="0" applyFont="1" applyFill="1" applyBorder="1" applyAlignment="1">
      <alignment horizontal="center"/>
    </xf>
    <xf numFmtId="0" fontId="46" fillId="40" borderId="64" xfId="0" applyFont="1" applyFill="1" applyBorder="1" applyAlignment="1">
      <alignment horizontal="center"/>
    </xf>
    <xf numFmtId="0" fontId="7" fillId="26" borderId="60" xfId="0" applyFont="1" applyFill="1" applyBorder="1" applyAlignment="1">
      <alignment horizontal="center"/>
    </xf>
    <xf numFmtId="0" fontId="7" fillId="26" borderId="46" xfId="0" applyFont="1" applyFill="1" applyBorder="1" applyAlignment="1">
      <alignment horizontal="center"/>
    </xf>
    <xf numFmtId="0" fontId="46" fillId="26" borderId="64" xfId="0" applyFont="1" applyFill="1" applyBorder="1" applyAlignment="1">
      <alignment horizontal="center"/>
    </xf>
    <xf numFmtId="0" fontId="7" fillId="49" borderId="60" xfId="0" applyFont="1" applyFill="1" applyBorder="1" applyAlignment="1">
      <alignment horizontal="center"/>
    </xf>
    <xf numFmtId="0" fontId="46" fillId="0" borderId="64" xfId="0" applyFont="1" applyBorder="1" applyAlignment="1">
      <alignment horizontal="center"/>
    </xf>
    <xf numFmtId="0" fontId="7" fillId="45" borderId="60" xfId="0" applyFont="1" applyFill="1" applyBorder="1" applyAlignment="1">
      <alignment horizontal="center"/>
    </xf>
    <xf numFmtId="0" fontId="7" fillId="45" borderId="9" xfId="0" applyFont="1" applyFill="1" applyBorder="1" applyAlignment="1">
      <alignment horizontal="center"/>
    </xf>
    <xf numFmtId="0" fontId="46" fillId="45" borderId="64" xfId="0" applyFont="1" applyFill="1" applyBorder="1" applyAlignment="1">
      <alignment horizontal="center"/>
    </xf>
    <xf numFmtId="0" fontId="7" fillId="50" borderId="60" xfId="0" applyFont="1" applyFill="1" applyBorder="1" applyAlignment="1">
      <alignment horizontal="center"/>
    </xf>
    <xf numFmtId="0" fontId="7" fillId="50" borderId="9" xfId="0" applyFont="1" applyFill="1" applyBorder="1" applyAlignment="1">
      <alignment horizontal="center"/>
    </xf>
    <xf numFmtId="0" fontId="46" fillId="50" borderId="64" xfId="0" applyFont="1" applyFill="1" applyBorder="1" applyAlignment="1">
      <alignment horizontal="center"/>
    </xf>
    <xf numFmtId="0" fontId="7" fillId="49" borderId="65" xfId="0" applyFont="1" applyFill="1" applyBorder="1" applyAlignment="1">
      <alignment horizontal="center"/>
    </xf>
    <xf numFmtId="0" fontId="7" fillId="11" borderId="22" xfId="0" applyFont="1" applyFill="1" applyBorder="1" applyAlignment="1">
      <alignment horizontal="center"/>
    </xf>
    <xf numFmtId="0" fontId="7" fillId="11" borderId="48" xfId="0" applyFont="1" applyFill="1" applyBorder="1" applyAlignment="1">
      <alignment horizontal="center"/>
    </xf>
    <xf numFmtId="0" fontId="7" fillId="49" borderId="66" xfId="0" applyFont="1" applyFill="1" applyBorder="1" applyAlignment="1">
      <alignment horizontal="center"/>
    </xf>
    <xf numFmtId="0" fontId="7" fillId="11" borderId="67" xfId="0" applyFont="1" applyFill="1" applyBorder="1" applyAlignment="1">
      <alignment horizontal="center"/>
    </xf>
    <xf numFmtId="0" fontId="46" fillId="0" borderId="68" xfId="0" applyFont="1" applyBorder="1" applyAlignment="1">
      <alignment horizontal="center"/>
    </xf>
    <xf numFmtId="0" fontId="47" fillId="20" borderId="1" xfId="0" applyFont="1" applyFill="1" applyBorder="1" applyAlignment="1">
      <alignment horizontal="center"/>
    </xf>
    <xf numFmtId="0" fontId="47" fillId="20" borderId="1" xfId="0" applyFont="1" applyFill="1" applyBorder="1" applyAlignment="1">
      <alignment horizontal="left"/>
    </xf>
    <xf numFmtId="0" fontId="10" fillId="0" borderId="1" xfId="0" applyFont="1" applyBorder="1" applyAlignment="1">
      <alignment horizontal="left"/>
    </xf>
    <xf numFmtId="0" fontId="10" fillId="3" borderId="1" xfId="0" applyFont="1" applyFill="1" applyBorder="1" applyAlignment="1">
      <alignment horizontal="right"/>
    </xf>
    <xf numFmtId="0" fontId="48" fillId="0" borderId="1" xfId="0" applyFont="1" applyBorder="1" applyAlignment="1">
      <alignment horizontal="left"/>
    </xf>
    <xf numFmtId="0" fontId="48" fillId="3" borderId="1" xfId="0" applyFont="1" applyFill="1" applyBorder="1" applyAlignment="1">
      <alignment horizontal="right"/>
    </xf>
    <xf numFmtId="0" fontId="49" fillId="0" borderId="1" xfId="0" applyFont="1" applyBorder="1" applyAlignment="1">
      <alignment horizontal="left"/>
    </xf>
    <xf numFmtId="0" fontId="49" fillId="3" borderId="1" xfId="0" applyFont="1" applyFill="1" applyBorder="1" applyAlignment="1">
      <alignment horizontal="right"/>
    </xf>
    <xf numFmtId="0" fontId="47" fillId="20" borderId="1" xfId="0" applyFont="1" applyFill="1" applyBorder="1" applyAlignment="1">
      <alignment horizontal="center"/>
    </xf>
    <xf numFmtId="0" fontId="3" fillId="10" borderId="1" xfId="0" applyFont="1" applyFill="1" applyBorder="1" applyAlignment="1">
      <alignment horizontal="left" vertical="center"/>
    </xf>
    <xf numFmtId="0" fontId="3" fillId="11" borderId="1" xfId="0" applyFont="1" applyFill="1" applyBorder="1" applyAlignment="1">
      <alignment horizontal="left" vertical="center"/>
    </xf>
    <xf numFmtId="0" fontId="4" fillId="0" borderId="1" xfId="0" applyFont="1" applyBorder="1" applyAlignment="1">
      <alignment horizontal="left"/>
    </xf>
    <xf numFmtId="0" fontId="4" fillId="0" borderId="1" xfId="0" applyFont="1" applyBorder="1" applyAlignment="1">
      <alignment horizontal="right" vertical="center"/>
    </xf>
    <xf numFmtId="0" fontId="4" fillId="0" borderId="1" xfId="0" applyFont="1" applyBorder="1" applyAlignment="1">
      <alignment vertical="center"/>
    </xf>
    <xf numFmtId="0" fontId="4" fillId="0" borderId="1" xfId="0" applyFont="1" applyBorder="1" applyAlignment="1">
      <alignment horizontal="left"/>
    </xf>
    <xf numFmtId="0" fontId="4" fillId="0" borderId="1" xfId="0" applyFont="1" applyBorder="1" applyAlignment="1">
      <alignment horizontal="right"/>
    </xf>
    <xf numFmtId="0" fontId="4" fillId="0" borderId="1" xfId="0" applyFont="1" applyBorder="1" applyAlignment="1"/>
    <xf numFmtId="0" fontId="29" fillId="23" borderId="23" xfId="0" applyFont="1" applyFill="1" applyBorder="1" applyAlignment="1">
      <alignment horizontal="left" vertical="center"/>
    </xf>
    <xf numFmtId="0" fontId="32" fillId="0" borderId="24" xfId="0" applyFont="1" applyBorder="1"/>
    <xf numFmtId="0" fontId="32" fillId="0" borderId="21" xfId="0" applyFont="1" applyBorder="1"/>
    <xf numFmtId="0" fontId="29" fillId="23" borderId="23" xfId="0" applyFont="1" applyFill="1" applyBorder="1" applyAlignment="1">
      <alignment horizontal="left" vertical="center" wrapText="1"/>
    </xf>
    <xf numFmtId="172" fontId="29" fillId="23" borderId="23" xfId="0" applyNumberFormat="1" applyFont="1" applyFill="1" applyBorder="1" applyAlignment="1">
      <alignment horizontal="left" vertical="center"/>
    </xf>
    <xf numFmtId="0" fontId="29" fillId="40" borderId="23" xfId="0" applyFont="1" applyFill="1" applyBorder="1" applyAlignment="1">
      <alignment horizontal="left" vertical="center" wrapText="1"/>
    </xf>
    <xf numFmtId="172" fontId="29" fillId="40" borderId="23" xfId="0" applyNumberFormat="1" applyFont="1" applyFill="1" applyBorder="1" applyAlignment="1">
      <alignment horizontal="left" vertical="center"/>
    </xf>
    <xf numFmtId="0" fontId="29" fillId="40" borderId="23" xfId="0" applyFont="1" applyFill="1" applyBorder="1" applyAlignment="1">
      <alignment horizontal="left" vertical="center"/>
    </xf>
    <xf numFmtId="0" fontId="0" fillId="0" borderId="69" xfId="0" pivotButton="1" applyFont="1" applyBorder="1" applyAlignment="1"/>
    <xf numFmtId="0" fontId="0" fillId="0" borderId="70" xfId="0" applyFont="1" applyBorder="1" applyAlignment="1"/>
    <xf numFmtId="0" fontId="0" fillId="0" borderId="71" xfId="0" applyFont="1" applyBorder="1" applyAlignment="1"/>
    <xf numFmtId="0" fontId="0" fillId="0" borderId="69" xfId="0" applyFont="1" applyBorder="1" applyAlignment="1"/>
    <xf numFmtId="0" fontId="0" fillId="0" borderId="72" xfId="0" applyFont="1" applyBorder="1" applyAlignment="1"/>
    <xf numFmtId="0" fontId="0" fillId="0" borderId="73" xfId="0" applyFont="1" applyBorder="1" applyAlignment="1"/>
    <xf numFmtId="0" fontId="0" fillId="0" borderId="69" xfId="0" applyNumberFormat="1" applyFont="1" applyBorder="1" applyAlignment="1"/>
    <xf numFmtId="0" fontId="0" fillId="0" borderId="72" xfId="0" applyNumberFormat="1" applyFont="1" applyBorder="1" applyAlignment="1"/>
    <xf numFmtId="0" fontId="0" fillId="0" borderId="73" xfId="0" applyNumberFormat="1" applyFont="1" applyBorder="1" applyAlignment="1"/>
    <xf numFmtId="0" fontId="0" fillId="0" borderId="74" xfId="0" applyFont="1" applyBorder="1" applyAlignment="1"/>
    <xf numFmtId="0" fontId="0" fillId="0" borderId="75" xfId="0" applyFont="1" applyBorder="1" applyAlignment="1"/>
    <xf numFmtId="0" fontId="0" fillId="0" borderId="75" xfId="0" applyNumberFormat="1" applyFont="1" applyBorder="1" applyAlignment="1"/>
    <xf numFmtId="0" fontId="0" fillId="0" borderId="0" xfId="0" applyNumberFormat="1" applyFont="1" applyAlignment="1"/>
    <xf numFmtId="0" fontId="0" fillId="0" borderId="76" xfId="0" applyNumberFormat="1" applyFont="1" applyBorder="1" applyAlignment="1"/>
    <xf numFmtId="0" fontId="0" fillId="0" borderId="77" xfId="0" applyFont="1" applyBorder="1" applyAlignment="1"/>
    <xf numFmtId="0" fontId="0" fillId="0" borderId="78" xfId="0" applyFont="1" applyBorder="1" applyAlignment="1"/>
    <xf numFmtId="0" fontId="0" fillId="0" borderId="77" xfId="0" applyNumberFormat="1" applyFont="1" applyBorder="1" applyAlignment="1"/>
    <xf numFmtId="0" fontId="0" fillId="0" borderId="79" xfId="0" applyNumberFormat="1" applyFont="1" applyBorder="1" applyAlignment="1"/>
    <xf numFmtId="0" fontId="0" fillId="0" borderId="80" xfId="0" applyNumberFormat="1" applyFont="1" applyBorder="1" applyAlignment="1"/>
    <xf numFmtId="0" fontId="0" fillId="0" borderId="80" xfId="0" pivotButton="1" applyFont="1" applyBorder="1" applyAlignment="1"/>
    <xf numFmtId="0" fontId="0" fillId="0" borderId="80" xfId="0" applyFont="1" applyBorder="1" applyAlignment="1"/>
    <xf numFmtId="0" fontId="15" fillId="35" borderId="0" xfId="0" applyFont="1" applyFill="1" applyBorder="1" applyAlignment="1">
      <alignment horizontal="center" vertical="center" wrapText="1"/>
    </xf>
    <xf numFmtId="0" fontId="19" fillId="35" borderId="0" xfId="0" applyFont="1" applyFill="1" applyBorder="1" applyAlignment="1">
      <alignment horizontal="center"/>
    </xf>
    <xf numFmtId="42" fontId="19" fillId="35" borderId="0" xfId="2" applyFont="1" applyFill="1" applyBorder="1" applyAlignment="1">
      <alignment horizontal="center"/>
    </xf>
    <xf numFmtId="0" fontId="0" fillId="0" borderId="0" xfId="0" applyFont="1" applyAlignment="1">
      <alignment horizontal="left"/>
    </xf>
    <xf numFmtId="42" fontId="18" fillId="0" borderId="16" xfId="2" applyFont="1" applyBorder="1" applyAlignment="1">
      <alignment horizontal="center"/>
    </xf>
    <xf numFmtId="42" fontId="21" fillId="0" borderId="16" xfId="2" applyFont="1" applyBorder="1" applyAlignment="1">
      <alignment horizontal="center"/>
    </xf>
    <xf numFmtId="42" fontId="18" fillId="0" borderId="16" xfId="2" applyFont="1" applyBorder="1" applyAlignment="1">
      <alignment horizontal="center" vertical="center"/>
    </xf>
    <xf numFmtId="42" fontId="0" fillId="0" borderId="0" xfId="0" applyNumberFormat="1" applyFont="1" applyAlignment="1"/>
    <xf numFmtId="176" fontId="19" fillId="35" borderId="0" xfId="1" applyNumberFormat="1" applyFont="1" applyFill="1" applyBorder="1" applyAlignment="1">
      <alignment horizontal="center"/>
    </xf>
    <xf numFmtId="177" fontId="0" fillId="0" borderId="0" xfId="0" applyNumberFormat="1" applyFont="1" applyAlignment="1"/>
    <xf numFmtId="0" fontId="18" fillId="40" borderId="0" xfId="0" applyFont="1" applyFill="1" applyBorder="1" applyAlignment="1">
      <alignment horizontal="center"/>
    </xf>
    <xf numFmtId="0" fontId="21" fillId="26" borderId="0" xfId="0" applyFont="1" applyFill="1" applyBorder="1" applyAlignment="1">
      <alignment horizontal="center"/>
    </xf>
    <xf numFmtId="0" fontId="0" fillId="0" borderId="0" xfId="0" applyFont="1" applyAlignment="1">
      <alignment vertical="center"/>
    </xf>
    <xf numFmtId="0" fontId="0" fillId="0" borderId="0" xfId="0" pivotButton="1" applyFont="1" applyAlignment="1">
      <alignment vertical="center"/>
    </xf>
    <xf numFmtId="0" fontId="0" fillId="0" borderId="0" xfId="0" applyFont="1" applyAlignment="1">
      <alignment horizontal="center" vertical="center" wrapText="1"/>
    </xf>
    <xf numFmtId="0" fontId="0" fillId="0" borderId="0" xfId="0" pivotButton="1" applyFont="1" applyAlignment="1">
      <alignment horizontal="center" vertical="center" wrapText="1"/>
    </xf>
  </cellXfs>
  <cellStyles count="3">
    <cellStyle name="Millares [0]" xfId="1" builtinId="6"/>
    <cellStyle name="Moneda [0]" xfId="2" builtinId="7"/>
    <cellStyle name="Normal" xfId="0" builtinId="0"/>
  </cellStyles>
  <dxfs count="141">
    <dxf>
      <alignment horizontal="left" readingOrder="0"/>
    </dxf>
    <dxf>
      <alignment horizontal="center" readingOrder="0"/>
    </dxf>
    <dxf>
      <alignment horizontal="left" readingOrder="0"/>
    </dxf>
    <dxf>
      <alignment horizontal="center" readingOrder="0"/>
    </dxf>
    <dxf>
      <alignment horizontal="left" readingOrder="0"/>
    </dxf>
    <dxf>
      <alignment horizontal="center" readingOrder="0"/>
    </dxf>
    <dxf>
      <alignment horizontal="left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numFmt numFmtId="32" formatCode="_-&quot;$&quot;\ * #,##0_-;\-&quot;$&quot;\ * #,##0_-;_-&quot;$&quot;\ * &quot;-&quot;_-;_-@_-"/>
    </dxf>
    <dxf>
      <numFmt numFmtId="32" formatCode="_-&quot;$&quot;\ * #,##0_-;\-&quot;$&quot;\ * #,##0_-;_-&quot;$&quot;\ * &quot;-&quot;_-;_-@_-"/>
    </dxf>
    <dxf>
      <numFmt numFmtId="177" formatCode="_-* #,##0.00_-;\-* #,##0.00_-;_-* &quot;-&quot;_-;_-@_-"/>
    </dxf>
    <dxf>
      <numFmt numFmtId="32" formatCode="_-&quot;$&quot;\ * #,##0_-;\-&quot;$&quot;\ * #,##0_-;_-&quot;$&quot;\ * &quot;-&quot;_-;_-@_-"/>
    </dxf>
    <dxf>
      <numFmt numFmtId="32" formatCode="_-&quot;$&quot;\ * #,##0_-;\-&quot;$&quot;\ * #,##0_-;_-&quot;$&quot;\ * &quot;-&quot;_-;_-@_-"/>
    </dxf>
    <dxf>
      <numFmt numFmtId="177" formatCode="_-* #,##0.00_-;\-* #,##0.00_-;_-* &quot;-&quot;_-;_-@_-"/>
    </dxf>
    <dxf>
      <numFmt numFmtId="32" formatCode="_-&quot;$&quot;\ * #,##0_-;\-&quot;$&quot;\ * #,##0_-;_-&quot;$&quot;\ * &quot;-&quot;_-;_-@_-"/>
    </dxf>
    <dxf>
      <numFmt numFmtId="32" formatCode="_-&quot;$&quot;\ * #,##0_-;\-&quot;$&quot;\ * #,##0_-;_-&quot;$&quot;\ * &quot;-&quot;_-;_-@_-"/>
    </dxf>
    <dxf>
      <numFmt numFmtId="177" formatCode="_-* #,##0.00_-;\-* #,##0.00_-;_-* &quot;-&quot;_-;_-@_-"/>
    </dxf>
    <dxf>
      <numFmt numFmtId="32" formatCode="_-&quot;$&quot;\ * #,##0_-;\-&quot;$&quot;\ * #,##0_-;_-&quot;$&quot;\ * &quot;-&quot;_-;_-@_-"/>
    </dxf>
    <dxf>
      <numFmt numFmtId="32" formatCode="_-&quot;$&quot;\ * #,##0_-;\-&quot;$&quot;\ * #,##0_-;_-&quot;$&quot;\ * &quot;-&quot;_-;_-@_-"/>
    </dxf>
    <dxf>
      <numFmt numFmtId="177" formatCode="_-* #,##0.00_-;\-* #,##0.00_-;_-* &quot;-&quot;_-;_-@_-"/>
    </dxf>
    <dxf>
      <numFmt numFmtId="32" formatCode="_-&quot;$&quot;\ * #,##0_-;\-&quot;$&quot;\ * #,##0_-;_-&quot;$&quot;\ * &quot;-&quot;_-;_-@_-"/>
    </dxf>
    <dxf>
      <numFmt numFmtId="32" formatCode="_-&quot;$&quot;\ * #,##0_-;\-&quot;$&quot;\ * #,##0_-;_-&quot;$&quot;\ * &quot;-&quot;_-;_-@_-"/>
    </dxf>
    <dxf>
      <numFmt numFmtId="177" formatCode="_-* #,##0.00_-;\-* #,##0.00_-;_-* &quot;-&quot;_-;_-@_-"/>
    </dxf>
    <dxf>
      <numFmt numFmtId="32" formatCode="_-&quot;$&quot;\ * #,##0_-;\-&quot;$&quot;\ * #,##0_-;_-&quot;$&quot;\ * &quot;-&quot;_-;_-@_-"/>
    </dxf>
    <dxf>
      <numFmt numFmtId="32" formatCode="_-&quot;$&quot;\ * #,##0_-;\-&quot;$&quot;\ * #,##0_-;_-&quot;$&quot;\ * &quot;-&quot;_-;_-@_-"/>
    </dxf>
    <dxf>
      <numFmt numFmtId="177" formatCode="_-* #,##0.00_-;\-* #,##0.00_-;_-* &quot;-&quot;_-;_-@_-"/>
    </dxf>
    <dxf>
      <numFmt numFmtId="32" formatCode="_-&quot;$&quot;\ * #,##0_-;\-&quot;$&quot;\ * #,##0_-;_-&quot;$&quot;\ * &quot;-&quot;_-;_-@_-"/>
    </dxf>
    <dxf>
      <numFmt numFmtId="32" formatCode="_-&quot;$&quot;\ * #,##0_-;\-&quot;$&quot;\ * #,##0_-;_-&quot;$&quot;\ * &quot;-&quot;_-;_-@_-"/>
    </dxf>
    <dxf>
      <numFmt numFmtId="177" formatCode="_-* #,##0.00_-;\-* #,##0.00_-;_-* &quot;-&quot;_-;_-@_-"/>
    </dxf>
    <dxf>
      <numFmt numFmtId="32" formatCode="_-&quot;$&quot;\ * #,##0_-;\-&quot;$&quot;\ * #,##0_-;_-&quot;$&quot;\ * &quot;-&quot;_-;_-@_-"/>
    </dxf>
    <dxf>
      <numFmt numFmtId="32" formatCode="_-&quot;$&quot;\ * #,##0_-;\-&quot;$&quot;\ * #,##0_-;_-&quot;$&quot;\ * &quot;-&quot;_-;_-@_-"/>
    </dxf>
    <dxf>
      <numFmt numFmtId="177" formatCode="_-* #,##0.00_-;\-* #,##0.00_-;_-* &quot;-&quot;_-;_-@_-"/>
    </dxf>
    <dxf>
      <fill>
        <patternFill patternType="solid">
          <fgColor rgb="FFFF00FF"/>
          <bgColor rgb="FFFF00FF"/>
        </patternFill>
      </fill>
    </dxf>
    <dxf>
      <fill>
        <patternFill patternType="solid">
          <fgColor rgb="FF00FF00"/>
          <bgColor rgb="FF00FF00"/>
        </patternFill>
      </fill>
    </dxf>
    <dxf>
      <font>
        <color theme="0"/>
      </font>
      <fill>
        <patternFill patternType="solid">
          <fgColor rgb="FFE26B0A"/>
          <bgColor rgb="FFE26B0A"/>
        </patternFill>
      </fill>
    </dxf>
    <dxf>
      <font>
        <color theme="0"/>
      </font>
      <fill>
        <patternFill patternType="solid">
          <fgColor theme="8"/>
          <bgColor theme="8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rgb="FFB4A7D6"/>
          <bgColor rgb="FFB4A7D6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rgb="FFB4A7D6"/>
          <bgColor rgb="FFB4A7D6"/>
        </patternFill>
      </fill>
    </dxf>
    <dxf>
      <fill>
        <patternFill patternType="solid">
          <fgColor rgb="FFFCD5B4"/>
          <bgColor rgb="FFFCD5B4"/>
        </patternFill>
      </fill>
    </dxf>
    <dxf>
      <font>
        <b/>
      </font>
      <fill>
        <patternFill patternType="solid">
          <fgColor rgb="FFFCE5CD"/>
          <bgColor rgb="FFFCE5CD"/>
        </patternFill>
      </fill>
    </dxf>
    <dxf>
      <font>
        <b/>
      </font>
      <fill>
        <patternFill patternType="solid">
          <fgColor rgb="FFF6B26B"/>
          <bgColor rgb="FFF6B26B"/>
        </patternFill>
      </fill>
    </dxf>
    <dxf>
      <font>
        <b/>
      </font>
      <fill>
        <patternFill patternType="solid">
          <fgColor rgb="FFF9CB9C"/>
          <bgColor rgb="FFF9CB9C"/>
        </patternFill>
      </fill>
    </dxf>
    <dxf>
      <font>
        <b/>
      </font>
      <fill>
        <patternFill patternType="solid">
          <fgColor rgb="FFFCE5CD"/>
          <bgColor rgb="FFFCE5CD"/>
        </patternFill>
      </fill>
    </dxf>
    <dxf>
      <font>
        <b/>
      </font>
      <fill>
        <patternFill patternType="solid">
          <fgColor rgb="FFF9CB9C"/>
          <bgColor rgb="FFF9CB9C"/>
        </patternFill>
      </fill>
    </dxf>
    <dxf>
      <font>
        <b/>
      </font>
      <fill>
        <patternFill patternType="solid">
          <fgColor rgb="FFF9CB9C"/>
          <bgColor rgb="FFF9CB9C"/>
        </patternFill>
      </fill>
    </dxf>
    <dxf>
      <font>
        <b/>
      </font>
      <fill>
        <patternFill patternType="solid">
          <fgColor rgb="FFF6B26B"/>
          <bgColor rgb="FFF6B26B"/>
        </patternFill>
      </fill>
    </dxf>
    <dxf>
      <font>
        <b/>
      </font>
      <fill>
        <patternFill patternType="solid">
          <fgColor rgb="FFF6B26B"/>
          <bgColor rgb="FFF6B26B"/>
        </patternFill>
      </fill>
    </dxf>
    <dxf>
      <font>
        <b/>
      </font>
      <fill>
        <patternFill patternType="solid">
          <fgColor rgb="FFFFC000"/>
          <bgColor rgb="FFFFC000"/>
        </patternFill>
      </fill>
    </dxf>
    <dxf>
      <font>
        <b/>
      </font>
      <fill>
        <patternFill patternType="solid">
          <fgColor rgb="FFFCE5CD"/>
          <bgColor rgb="FFFCE5CD"/>
        </patternFill>
      </fill>
    </dxf>
    <dxf>
      <font>
        <b/>
        <color rgb="FF000000"/>
      </font>
      <fill>
        <patternFill patternType="solid">
          <fgColor rgb="FFF1C232"/>
          <bgColor rgb="FFF1C232"/>
        </patternFill>
      </fill>
    </dxf>
    <dxf>
      <font>
        <color theme="0"/>
      </font>
      <fill>
        <patternFill patternType="solid">
          <fgColor theme="8"/>
          <bgColor theme="8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51F0BD"/>
          <bgColor rgb="FF51F0BD"/>
        </patternFill>
      </fill>
    </dxf>
    <dxf>
      <fill>
        <patternFill patternType="solid">
          <fgColor rgb="FFFCD5B4"/>
          <bgColor rgb="FFFCD5B4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ont>
        <color theme="1"/>
      </font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FF"/>
          <bgColor rgb="FFFF00FF"/>
        </patternFill>
      </fill>
    </dxf>
    <dxf>
      <font>
        <b/>
        <color rgb="FF0000FF"/>
      </font>
      <fill>
        <patternFill patternType="solid">
          <fgColor rgb="FFFF00FF"/>
          <bgColor rgb="FFFF00FF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FF00"/>
          <bgColor rgb="FF00FF00"/>
        </patternFill>
      </fill>
    </dxf>
    <dxf>
      <font>
        <b/>
        <color rgb="FFFF0000"/>
      </font>
      <fill>
        <patternFill patternType="solid">
          <fgColor rgb="FF00FF00"/>
          <bgColor rgb="FF00FF00"/>
        </patternFill>
      </fill>
    </dxf>
    <dxf>
      <fill>
        <patternFill patternType="solid">
          <fgColor rgb="FF00FFFF"/>
          <bgColor rgb="FF00FFFF"/>
        </patternFill>
      </fill>
    </dxf>
    <dxf>
      <numFmt numFmtId="32" formatCode="_-&quot;$&quot;\ * #,##0_-;\-&quot;$&quot;\ * #,##0_-;_-&quot;$&quot;\ * &quot;-&quot;_-;_-@_-"/>
    </dxf>
    <dxf>
      <numFmt numFmtId="32" formatCode="_-&quot;$&quot;\ * #,##0_-;\-&quot;$&quot;\ * #,##0_-;_-&quot;$&quot;\ * &quot;-&quot;_-;_-@_-"/>
    </dxf>
    <dxf>
      <numFmt numFmtId="177" formatCode="_-* #,##0.00_-;\-* #,##0.00_-;_-* &quot;-&quot;_-;_-@_-"/>
    </dxf>
    <dxf>
      <numFmt numFmtId="176" formatCode="_-* #,##0.0_-;\-* #,##0.0_-;_-* &quot;-&quot;_-;_-@_-"/>
    </dxf>
    <dxf>
      <numFmt numFmtId="177" formatCode="_-* #,##0.00_-;\-* #,##0.00_-;_-* &quot;-&quot;_-;_-@_-"/>
    </dxf>
    <dxf>
      <numFmt numFmtId="32" formatCode="_-&quot;$&quot;\ * #,##0_-;\-&quot;$&quot;\ * #,##0_-;_-&quot;$&quot;\ * &quot;-&quot;_-;_-@_-"/>
    </dxf>
    <dxf>
      <numFmt numFmtId="32" formatCode="_-&quot;$&quot;\ * #,##0_-;\-&quot;$&quot;\ * #,##0_-;_-&quot;$&quot;\ * &quot;-&quot;_-;_-@_-"/>
    </dxf>
    <dxf>
      <numFmt numFmtId="176" formatCode="_-* #,##0.0_-;\-* #,##0.0_-;_-* &quot;-&quot;_-;_-@_-"/>
    </dxf>
    <dxf>
      <numFmt numFmtId="33" formatCode="_-* #,##0_-;\-* #,##0_-;_-* &quot;-&quot;_-;_-@_-"/>
    </dxf>
    <dxf>
      <numFmt numFmtId="32" formatCode="_-&quot;$&quot;\ * #,##0_-;\-&quot;$&quot;\ * #,##0_-;_-&quot;$&quot;\ * &quot;-&quot;_-;_-@_-"/>
    </dxf>
    <dxf>
      <numFmt numFmtId="32" formatCode="_-&quot;$&quot;\ * #,##0_-;\-&quot;$&quot;\ * #,##0_-;_-&quot;$&quot;\ * &quot;-&quot;_-;_-@_-"/>
    </dxf>
    <dxf>
      <numFmt numFmtId="33" formatCode="_-* #,##0_-;\-* #,##0_-;_-* &quot;-&quot;_-;_-@_-"/>
    </dxf>
    <dxf>
      <numFmt numFmtId="32" formatCode="_-&quot;$&quot;\ * #,##0_-;\-&quot;$&quot;\ * #,##0_-;_-&quot;$&quot;\ * &quot;-&quot;_-;_-@_-"/>
    </dxf>
    <dxf>
      <numFmt numFmtId="32" formatCode="_-&quot;$&quot;\ * #,##0_-;\-&quot;$&quot;\ * #,##0_-;_-&quot;$&quot;\ * &quot;-&quot;_-;_-@_-"/>
    </dxf>
    <dxf>
      <numFmt numFmtId="32" formatCode="_-&quot;$&quot;\ * #,##0_-;\-&quot;$&quot;\ * #,##0_-;_-&quot;$&quot;\ * &quot;-&quot;_-;_-@_-"/>
    </dxf>
    <dxf>
      <numFmt numFmtId="32" formatCode="_-&quot;$&quot;\ * #,##0_-;\-&quot;$&quot;\ * #,##0_-;_-&quot;$&quot;\ * &quot;-&quot;_-;_-@_-"/>
    </dxf>
    <dxf>
      <numFmt numFmtId="32" formatCode="_-&quot;$&quot;\ * #,##0_-;\-&quot;$&quot;\ * #,##0_-;_-&quot;$&quot;\ * &quot;-&quot;_-;_-@_-"/>
    </dxf>
    <dxf>
      <numFmt numFmtId="32" formatCode="_-&quot;$&quot;\ * #,##0_-;\-&quot;$&quot;\ * #,##0_-;_-&quot;$&quot;\ * &quot;-&quot;_-;_-@_-"/>
    </dxf>
    <dxf>
      <numFmt numFmtId="32" formatCode="_-&quot;$&quot;\ * #,##0_-;\-&quot;$&quot;\ * #,##0_-;_-&quot;$&quot;\ * &quot;-&quot;_-;_-@_-"/>
    </dxf>
    <dxf>
      <numFmt numFmtId="32" formatCode="_-&quot;$&quot;\ * #,##0_-;\-&quot;$&quot;\ * #,##0_-;_-&quot;$&quot;\ * &quot;-&quot;_-;_-@_-"/>
    </dxf>
    <dxf>
      <numFmt numFmtId="32" formatCode="_-&quot;$&quot;\ * #,##0_-;\-&quot;$&quot;\ * #,##0_-;_-&quot;$&quot;\ * &quot;-&quot;_-;_-@_-"/>
    </dxf>
    <dxf>
      <numFmt numFmtId="32" formatCode="_-&quot;$&quot;\ * #,##0_-;\-&quot;$&quot;\ * #,##0_-;_-&quot;$&quot;\ * &quot;-&quot;_-;_-@_-"/>
    </dxf>
    <dxf>
      <fill>
        <patternFill patternType="solid">
          <fgColor rgb="FFFF00FF"/>
          <bgColor rgb="FFFF00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114300</xdr:colOff>
      <xdr:row>961</xdr:row>
      <xdr:rowOff>0</xdr:rowOff>
    </xdr:from>
    <xdr:ext cx="4343400" cy="2676525"/>
    <xdr:pic>
      <xdr:nvPicPr>
        <xdr:cNvPr id="2" name="image1.png" title="Imagen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4300" y="156743400"/>
          <a:ext cx="4343400" cy="2676525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104775</xdr:colOff>
      <xdr:row>4</xdr:row>
      <xdr:rowOff>19050</xdr:rowOff>
    </xdr:from>
    <xdr:ext cx="6581775" cy="2095500"/>
    <xdr:pic>
      <xdr:nvPicPr>
        <xdr:cNvPr id="2" name="image2.png" title="Imagen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OnLoad="1" refreshedBy="Lucas Ramirez Rodriguez" refreshedDate="45019.392011226853" refreshedVersion="5" recordCount="5495">
  <cacheSource type="worksheet">
    <worksheetSource ref="A1:AB5496" sheet="Gordas"/>
  </cacheSource>
  <cacheFields count="28">
    <cacheField name="Proveedores" numFmtId="0">
      <sharedItems containsBlank="1"/>
    </cacheField>
    <cacheField name=" Fecha" numFmtId="0">
      <sharedItems containsNonDate="0" containsDate="1" containsString="0" containsBlank="1" minDate="2021-12-29T00:00:00" maxDate="2023-01-01T00:00:00"/>
    </cacheField>
    <cacheField name="Fecha llegada correo" numFmtId="0">
      <sharedItems containsNonDate="0" containsDate="1" containsString="0" containsBlank="1" minDate="2021-12-30T00:00:00" maxDate="2022-12-31T00:00:00"/>
    </cacheField>
    <cacheField name="Semana" numFmtId="0">
      <sharedItems containsString="0" containsBlank="1" containsNumber="1" containsInteger="1" minValue="1" maxValue="52"/>
    </cacheField>
    <cacheField name="Factura" numFmtId="0">
      <sharedItems containsBlank="1" containsMixedTypes="1" containsNumber="1" containsInteger="1" minValue="1" maxValue="1112113"/>
    </cacheField>
    <cacheField name="Material" numFmtId="0">
      <sharedItems containsString="0" containsBlank="1" containsNumber="1" minValue="7" maxValue="3025662" count="9">
        <n v="3025457"/>
        <n v="3025459"/>
        <n v="3025460"/>
        <n v="3025462"/>
        <n v="3025461"/>
        <n v="3025662"/>
        <m/>
        <n v="7"/>
        <n v="7.5"/>
      </sharedItems>
    </cacheField>
    <cacheField name="kilos" numFmtId="0">
      <sharedItems containsString="0" containsBlank="1" containsNumber="1" minValue="264.5" maxValue="225139"/>
    </cacheField>
    <cacheField name="Valor Und" numFmtId="0">
      <sharedItems containsString="0" containsBlank="1" containsNumber="1" minValue="-0.72243137254901957" maxValue="9797.17" count="762">
        <n v="6850"/>
        <n v="7300"/>
        <n v="100"/>
        <n v="7650"/>
        <n v="138.85999999999967"/>
        <n v="7400"/>
        <n v="227.60999999999967"/>
        <n v="55.9399999999996"/>
        <n v="6800"/>
        <n v="7700"/>
        <n v="18.279999999999745"/>
        <n v="150"/>
        <n v="7350"/>
        <n v="50"/>
        <n v="10.670000000000073"/>
        <n v="7450"/>
        <n v="-0.72243137254901957"/>
        <n v="8.180000000000291"/>
        <n v="7393.75"/>
        <n v="58.850000000000364"/>
        <n v="9.1599999999998545"/>
        <n v="2.9499999999998181"/>
        <n v="1.8900000000003274"/>
        <n v="17.130000000000109"/>
        <n v="8035"/>
        <n v="151.44999999999982"/>
        <n v="22.5600000000004"/>
        <n v="63.840000000000146"/>
        <n v="7750"/>
        <n v="0.6999999999998181"/>
        <n v="10.779999999999745"/>
        <n v="55.489999999999782"/>
        <n v="44.130000000000109"/>
        <n v="34.619999999999891"/>
        <n v="6.8900000000003274"/>
        <n v="58.529999999999745"/>
        <n v="20.319999999999709"/>
        <n v="20.649999999999636"/>
        <n v="7500"/>
        <n v="109.28999999999996"/>
        <n v="0.75"/>
        <n v="1.3599999999996726"/>
        <n v="3.4200000000000728"/>
        <n v="153.01000000000022"/>
        <n v="4.1000000000003638"/>
        <n v="53.039999999999964"/>
        <n v="24.0600000000004"/>
        <n v="2.2399999999997817"/>
        <n v="12.720000000000255"/>
        <n v="158.14000000000033"/>
        <n v="4.7799999999997453"/>
        <n v="7550"/>
        <n v="2.9899999999997817"/>
        <n v="3.0900000000001455"/>
        <n v="7800"/>
        <n v="12.220000000000255"/>
        <n v="7600"/>
        <n v="7495.689284177306"/>
        <n v="12.109999999999673"/>
        <n v="126.60999999999967"/>
        <n v="0.52999999999974534"/>
        <n v="5.3400000000001455"/>
        <n v="2.7700000000004366"/>
        <n v="7850"/>
        <n v="2.1000000000003638"/>
        <n v="52.710000000000036"/>
        <n v="23.520000000000437"/>
        <n v="6900"/>
        <n v="1.8299999999999272"/>
        <n v="15.550000000000182"/>
        <n v="151.14000000000033"/>
        <n v="60.550000000000182"/>
        <n v="7280"/>
        <n v="96.75"/>
        <n v="2.3299999999999272"/>
        <n v="29.0600000000004"/>
        <n v="8100"/>
        <n v="10.010000000000218"/>
        <n v="7596.02"/>
        <n v="7698.36"/>
        <n v="14.1899999999996"/>
        <n v="98.1899999999996"/>
        <n v="56.970000000000255"/>
        <n v="56.449999999999818"/>
        <n v="19.710000000000036"/>
        <n v="12.489999999999782"/>
        <n v="14.569999999999709"/>
        <n v="6950"/>
        <n v="38.069999999999709"/>
        <n v="31.399999999999636"/>
        <n v="6.1499999999996362"/>
        <n v="3.2200000000002547"/>
        <n v="136.14000000000033"/>
        <n v="87.869999999999891"/>
        <n v="2.8900000000003274"/>
        <n v="42.3100000000004"/>
        <n v="235.52999999999975"/>
        <n v="3.0500000000001819"/>
        <n v="108.46000000000004"/>
        <n v="61.479999999999563"/>
        <n v="9.9499999999998181"/>
        <n v="12.699999999999818"/>
        <n v="11.720000000000255"/>
        <n v="7000"/>
        <n v="90.989999999999782"/>
        <n v="87.659999999999854"/>
        <n v="5.9099999999998545"/>
        <n v="179.15999999999985"/>
        <n v="38.659999999999854"/>
        <n v="92.590000000000146"/>
        <n v="47.890000000000327"/>
        <n v="47.229999999999563"/>
        <n v="5.9399999999995998"/>
        <n v="7900"/>
        <n v="153.89000000000033"/>
        <n v="42.1899999999996"/>
        <n v="45.130000000000109"/>
        <n v="8000"/>
        <n v="8186.69"/>
        <n v="3.6000000000003638"/>
        <n v="74.130000000000109"/>
        <n v="5.6300000000001091"/>
        <n v="7648.3354944560588"/>
        <n v="9.8699999999998909"/>
        <n v="200"/>
        <n v="18.039999999999964"/>
        <n v="70.329999999999927"/>
        <n v="108.39999999999964"/>
        <n v="56.039999999999964"/>
        <n v="18.130000000000109"/>
        <n v="98.569999999999709"/>
        <n v="2.6499999999996362"/>
        <n v="51.869999999999891"/>
        <n v="8.5299999999997453"/>
        <n v="8.1599999999998545"/>
        <n v="55.630000000000109"/>
        <n v="1.5299999999997453"/>
        <n v="7495.18"/>
        <n v="62.359999999999673"/>
        <n v="44.270000000000437"/>
        <n v="4.7399999999997817"/>
        <n v="277.85999999999967"/>
        <n v="1.3500000000003638"/>
        <n v="59.270000000000437"/>
        <n v="161.69999999999982"/>
        <n v="8050"/>
        <n v="4.4200000000000728"/>
        <n v="48.140000000000327"/>
        <n v="1.1499999999996362"/>
        <n v="7950"/>
        <n v="3.1300000000001091"/>
        <n v="8150"/>
        <n v="8.3500000000003638"/>
        <n v="13.609999999999673"/>
        <n v="101.92000000000007"/>
        <n v="12.149999999999636"/>
        <n v="5.5100000000002183"/>
        <n v="13.520000000000437"/>
        <n v="7693.94"/>
        <n v="3.4499999999998181"/>
        <n v="110.86999999999989"/>
        <n v="250"/>
        <n v="53.930000000000291"/>
        <n v="14.430000000000291"/>
        <n v="7799.044515221095"/>
        <n v="4.3999999999996362"/>
        <n v="53.970000000000255"/>
        <n v="54.649999999999636"/>
        <n v="9.0799999999999272"/>
        <n v="2.75"/>
        <n v="133.4399999999996"/>
        <n v="32.699999999999818"/>
        <n v="130.63000000000011"/>
        <n v="4.5299999999997453"/>
        <n v="56.100000000000364"/>
        <n v="8200"/>
        <n v="8335"/>
        <n v="4.0600000000004002"/>
        <n v="128.52999999999975"/>
        <n v="5.6899999999995998"/>
        <n v="59.979999999999563"/>
        <n v="152.85000000000036"/>
        <n v="15.529999999999745"/>
        <n v="25.300000000000182"/>
        <n v="2.9799999999995634"/>
        <n v="7696.9"/>
        <n v="146.78999999999996"/>
        <n v="14.800000000000182"/>
        <n v="8400"/>
        <n v="3.3899999999994179"/>
        <n v="6.4500000000007276"/>
        <n v="80.699999999999818"/>
        <n v="2.7999999999992724"/>
        <n v="7898.31"/>
        <n v="1.9399999999995998"/>
        <n v="1.7399999999997817"/>
        <n v="54.430000000000291"/>
        <n v="12.930000000000291"/>
        <n v="59.180000000000291"/>
        <n v="48.0600000000004"/>
        <n v="7895.71"/>
        <n v="49.930000000000291"/>
        <n v="25.590000000000146"/>
        <n v="79.470000000000255"/>
        <n v="42.869999999999891"/>
        <n v="37.630000000000109"/>
        <n v="8250"/>
        <n v="8300"/>
        <n v="2.9599999999991269"/>
        <n v="61.239999999999782"/>
        <n v="30.2"/>
        <n v="112.64"/>
        <n v="11.600000000000364"/>
        <n v="8500"/>
        <n v="20.280000000000655"/>
        <n v="35.35"/>
        <n v="8030"/>
        <n v="3.2299999999995634"/>
        <n v="8815"/>
        <n v="8750"/>
        <n v="8650"/>
        <n v="42.27"/>
        <n v="47.5"/>
        <n v="11.8100000000004"/>
        <n v="8550"/>
        <n v="44.440000000000509"/>
        <n v="27"/>
        <n v="8700"/>
        <n v="1.5100000000002183"/>
        <n v="0.9500000000007276"/>
        <n v="134.07999999999993"/>
        <n v="9.1499999999996362"/>
        <n v="0.55999999999949068"/>
        <n v="5.9400000000005093"/>
        <n v="8450"/>
        <n v="2.2900000000008731"/>
        <n v="3.5100000000002183"/>
        <n v="9000"/>
        <n v="42.98"/>
        <n v="27.76"/>
        <n v="87.05"/>
        <n v="8.2000000000007276"/>
        <n v="54.069999999999709"/>
        <n v="103.76000000000022"/>
        <n v="8800"/>
        <n v="54.079999999999927"/>
        <n v="40.03"/>
        <n v="122.81999999999971"/>
        <n v="8600"/>
        <n v="12.3700000000008"/>
        <n v="32.43"/>
        <n v="8900"/>
        <n v="32.579999999999927"/>
        <n v="140.39000000000033"/>
        <n v="72.040000000000873"/>
        <n v="142.72000000000025"/>
        <n v="5.2600000000002183"/>
        <n v="15.219999999999345"/>
        <n v="14.440000000000509"/>
        <n v="5.6399999999994179"/>
        <n v="8147.38"/>
        <n v="2.3500000000003638"/>
        <n v="9300"/>
        <n v="2.4099999999998545"/>
        <n v="41.18"/>
        <n v="9400"/>
        <n v="9350"/>
        <n v="27.450000000000728"/>
        <n v="111.40999999999985"/>
        <n v="12.200000000000728"/>
        <n v="201.88999999999942"/>
        <n v="45.48"/>
        <n v="55.530000000000655"/>
        <n v="9100"/>
        <n v="188.97999999999956"/>
        <n v="12.290000000000873"/>
        <n v="11.12"/>
        <n v="76.540000000000873"/>
        <n v="9200"/>
        <n v="55.770000000000437"/>
        <n v="1.3299999999999272"/>
        <n v="27.340000000000146"/>
        <n v="9500"/>
        <n v="8850"/>
        <n v="55"/>
        <n v="20.450000000000728"/>
        <n v="44.020000000000437"/>
        <n v="155.70000000000073"/>
        <n v="5.7099999999991269"/>
        <n v="39.309999999999491"/>
        <n v="110.84000000000015"/>
        <n v="25.319999999999709"/>
        <n v="67.3700000000008"/>
        <n v="20.020000000000437"/>
        <n v="9050"/>
        <n v="1.7900000000008731"/>
        <n v="51.190000000000509"/>
        <n v="70.5"/>
        <n v="3.9899999999997817"/>
        <n v="27.059999999999491"/>
        <n v="0.87999999999919964"/>
        <n v="15.079999999999927"/>
        <n v="1.6200000000008004"/>
        <n v="85.350000000000364"/>
        <n v="33.700000000000728"/>
        <n v="8654.89"/>
        <n v="8552.2629310344819"/>
        <n v="8652.2394028259132"/>
        <n v="8350"/>
        <n v="9591.65"/>
        <n v="26.559999999999491"/>
        <n v="60.62"/>
        <n v="30.270000000000437"/>
        <n v="76.95"/>
        <n v="8950"/>
        <n v="24.549999999999272"/>
        <n v="98.59"/>
        <n v="44.97"/>
        <n v="1.069999999999709"/>
        <n v="9150"/>
        <n v="9600"/>
        <n v="1.7600000000002183"/>
        <n v="10.290000000000873"/>
        <n v="8791.73"/>
        <n v="47.32"/>
        <n v="71.639999999999418"/>
        <n v="3.4699999999993452"/>
        <n v="148.56999999999971"/>
        <n v="9700"/>
        <n v="1.2199999999993452"/>
        <n v="128.34000000000015"/>
        <n v="19.64"/>
        <n v="23.190000000000509"/>
        <n v="5.6100000000005821"/>
        <n v="15.450000000000728"/>
        <n v="1.4699999999993452"/>
        <n v="9374.1879601559122"/>
        <n v="9797.17"/>
        <n v="68.639999999999418"/>
        <n v="6.0200000000004366"/>
        <n v="9250"/>
        <n v="9191.0177805027597"/>
        <n v="56.940000000000509"/>
        <n v="34.130000000000003"/>
        <n v="97.649999999999636"/>
        <n v="4.2700000000004366"/>
        <n v="53.649999999999636"/>
        <n v="13.5"/>
        <n v="36.190000000000509"/>
        <n v="23.920000000000073"/>
        <n v="9550"/>
        <n v="9634.0499999999993"/>
        <n v="9387.09"/>
        <n v="9450"/>
        <n v="9595.7199999999993"/>
        <n v="12.229999999999563"/>
        <n v="9696.7099999999991"/>
        <n v="13.770000000000437"/>
        <n v="5.930000000000291"/>
        <n v="65.450000000000728"/>
        <n v="105.13999999999942"/>
        <n v="26.1200000000008"/>
        <n v="38.569999999999709"/>
        <n v="93.61"/>
        <n v="41.6200000000008"/>
        <n v="22.510000000000218"/>
        <n v="9650"/>
        <n v="39.190000000000509"/>
        <n v="12.190000000000509"/>
        <n v="1.9599999999991269"/>
        <n v="40.479999999999563"/>
        <n v="107.79000000000087"/>
        <n v="4.7999999999992724"/>
        <n v="8898.41"/>
        <n v="61.579999999999927"/>
        <n v="51.909999999999854"/>
        <n v="56.190000000000509"/>
        <n v="9148.06"/>
        <n v="5.3999999999996362"/>
        <n v="171.28000000000065"/>
        <n v="5.6900000000005093"/>
        <n v="5.7199999999993452"/>
        <n v="65.590000000000146"/>
        <n v="91.690000000000509"/>
        <n v="6.2600000000002183"/>
        <n v="37.510000000000218"/>
        <n v="51.389999999999418"/>
        <n v="0.97999999999956344"/>
        <n v="48.63"/>
        <n v="120.35000000000036"/>
        <n v="5.8899999999994179"/>
        <n v="19.739999999999782"/>
        <n v="19.149999999999636"/>
        <n v="0.8500000000003638"/>
        <n v="108.09000000000015"/>
        <n v="97.07"/>
        <n v="4.5599999999994907"/>
        <n v="32.590000000000003"/>
        <n v="171.53000000000065"/>
        <n v="70.3799999999992"/>
        <n v="4.4400000000005093"/>
        <n v="9525"/>
        <n v="4.1499999999996362"/>
        <n v="111.93000000000029"/>
        <n v="1.4799999999995634"/>
        <n v="105.6200000000008"/>
        <n v="66.600000000000364"/>
        <n v="76.819999999999709"/>
        <n v="192.19000000000051"/>
        <n v="43.95"/>
        <n v="1.8500000000003638"/>
        <n v="5.4699999999993452"/>
        <n v="9425"/>
        <n v="118.53000000000065"/>
        <n v="53.729999999999563"/>
        <n v="11.530000000000655"/>
        <n v="74.340000000000146"/>
        <n v="50.19"/>
        <n v="18.229999999999563"/>
        <n v="18.270000000000437"/>
        <n v="42.55"/>
        <n v="5.5499999999992724"/>
        <n v="219.46999999999935"/>
        <n v="121.02000000000044"/>
        <n v="8.6000000000003638"/>
        <n v="140.1299999999992"/>
        <n v="166.35000000000036"/>
        <n v="55.959999999999127"/>
        <n v="25.1200000000008"/>
        <n v="9.0200000000004366"/>
        <n v="105.04000000000087"/>
        <n v="220.76000000000022"/>
        <n v="8838.01"/>
        <n v="1.2999999999992724"/>
        <n v="156.04000000000087"/>
        <n v="118.32999999999993"/>
        <n v="146.72999999999956"/>
        <n v="166.18000000000029"/>
        <n v="35.020000000000437"/>
        <n v="7903"/>
        <n v="9635"/>
        <n v="52.809999999999491"/>
        <n v="16.280000000000655"/>
        <n v="0.81999999999970896"/>
        <n v="183.59000000000015"/>
        <n v="111.77000000000044"/>
        <n v="190.78000000000065"/>
        <n v="100.88999999999942"/>
        <n v="167.65999999999985"/>
        <n v="52.170000000000073"/>
        <n v="19.020000000000437"/>
        <n v="76.479999999999563"/>
        <n v="120.23999999999978"/>
        <n v="1.25"/>
        <n v="154.36000000000058"/>
        <n v="203.06999999999971"/>
        <n v="166.70999999999913"/>
        <n v="114.82999999999993"/>
        <n v="201.54000000000087"/>
        <n v="5.1499999999996362"/>
        <n v="206.95000000000073"/>
        <n v="54.159999999999854"/>
        <n v="209.46999999999935"/>
        <n v="57.780000000000655"/>
        <n v="78.590000000000146"/>
        <n v="19.1299999999992"/>
        <n v="16.270000000000437"/>
        <n v="39.979999999999563"/>
        <n v="36.989999999999782"/>
        <n v="259.47999999999956"/>
        <n v="5.7900000000008731"/>
        <n v="91.909999999999854"/>
        <n v="215.30999999999949"/>
        <n v="46.75"/>
        <n v="6.0300000000006548"/>
        <n v="10.3700000000008"/>
        <n v="53.020000000000437"/>
        <n v="108.02000000000044"/>
        <n v="154.93000000000029"/>
        <n v="78.020000000000437"/>
        <n v="169.70000000000073"/>
        <n v="8296.2000000000007"/>
        <n v="8396.1299999999992"/>
        <n v="8.2900000000008731"/>
        <n v="8.8700000000008004"/>
        <n v="18.709999999999127"/>
        <n v="8195.89"/>
        <n v="161.34000000000015"/>
        <n v="3.1700000000000728"/>
        <n v="61.8799999999992"/>
        <n v="25.430000000000291"/>
        <n v="44"/>
        <n v="53.479999999999563"/>
        <n v="170.29000000000087"/>
        <n v="122.53000000000065"/>
        <n v="24.170000000000073"/>
        <n v="112.44000000000051"/>
        <n v="124.3700000000008"/>
        <n v="94.590000000000146"/>
        <n v="4.3799999999991996"/>
        <n v="82.420000000000073"/>
        <n v="106.27999999999975"/>
        <n v="54.530000000000655"/>
        <n v="20.430000000000291"/>
        <n v="5.7999999999992724"/>
        <n v="61.069999999999709"/>
        <n v="1.8600000000005821"/>
        <n v="8187.24"/>
        <n v="96.210000000000036"/>
        <n v="155.80999999999949"/>
        <n v="112.8700000000008"/>
        <n v="27.380000000000109"/>
        <n v="5.4200000000000728"/>
        <n v="8.3599999999996726"/>
        <n v="0.90999999999985448"/>
        <n v="23.010000000000218"/>
        <n v="7.2600000000002183"/>
        <n v="112.36000000000058"/>
        <n v="147.54000000000087"/>
        <n v="198.52999999999975"/>
        <n v="47.069999999999709"/>
        <n v="12.010000000000218"/>
        <n v="2.819999999999709"/>
        <n v="166.07999999999993"/>
        <n v="1.9400000000005093"/>
        <n v="21.970000000000255"/>
        <n v="11.6200000000008"/>
        <n v="2.9699999999993452"/>
        <n v="34.110000000000582"/>
        <n v="187.15999999999985"/>
        <n v="51.949999999999818"/>
        <n v="13.299999999999272"/>
        <n v="5.8599999999996726"/>
        <n v="168.21999999999935"/>
        <n v="21.709999999999127"/>
        <n v="115.52000000000044"/>
        <n v="17.369999999999891"/>
        <n v="29.479999999999563"/>
        <n v="6.0299999999997453"/>
        <n v="16.760000000000218"/>
        <n v="15.390000000000327"/>
        <n v="193.32999999999993"/>
        <n v="30.350000000000364"/>
        <n v="25.420000000000073"/>
        <n v="224.6200000000008"/>
        <n v="65.170000000000073"/>
        <n v="24.049999999999272"/>
        <n v="144.5"/>
        <n v="8047.71"/>
        <n v="8083.87"/>
        <n v="251.21999999999935"/>
        <n v="9035"/>
        <n v="118.67000000000007"/>
        <n v="4.2999999999992724"/>
        <n v="5.8700000000008004"/>
        <n v="173.45999999999913"/>
        <n v="8.7600000000002183"/>
        <n v="104.34000000000015"/>
        <n v="40.109999999999673"/>
        <n v="122.64999999999964"/>
        <n v="56.049999999999272"/>
        <n v="162.06999999999971"/>
        <n v="19.489999999999782"/>
        <n v="104.51000000000022"/>
        <n v="107.53000000000065"/>
        <n v="64.9399999999996"/>
        <n v="48.5"/>
        <n v="183.6200000000008"/>
        <n v="87.940000000000509"/>
        <n v="206.09000000000015"/>
        <n v="130.22999999999956"/>
        <n v="8045.96"/>
        <n v="8083.77"/>
        <n v="53.610000000000582"/>
        <n v="56.340000000000146"/>
        <n v="154.98999999999978"/>
        <n v="11.200000000000728"/>
        <n v="178.76000000000022"/>
        <n v="6.7299999999995634"/>
        <n v="217.07999999999993"/>
        <n v="21.440000000000509"/>
        <n v="71.739999999999782"/>
        <n v="122.19000000000051"/>
        <n v="9.9200000000000728"/>
        <n v="24"/>
        <n v="38.709999999999127"/>
        <n v="26"/>
        <n v="8.819999999999709"/>
        <n v="120.07999999999993"/>
        <n v="1.9500000000007276"/>
        <n v="11.8799999999992"/>
        <n v="31.659999999999854"/>
        <n v="27.6200000000008"/>
        <n v="76"/>
        <n v="9335"/>
        <n v="62.329999999999927"/>
        <n v="57.770000000000437"/>
        <n v="79.729999999999563"/>
        <n v="109.39999999999964"/>
        <n v="102.89999999999964"/>
        <n v="8242.4599999999991"/>
        <n v="8293.56"/>
        <n v="8246.9599999999991"/>
        <n v="2"/>
        <n v="117.75"/>
        <n v="104.56999999999971"/>
        <n v="126"/>
        <n v="102"/>
        <n v="33.409999999999854"/>
        <n v="232.23999999999978"/>
        <n v="11.639999999999418"/>
        <n v="128.19000000000051"/>
        <n v="21.09"/>
        <n v="5.7399999999997817"/>
        <n v="17.7"/>
        <n v="135.11000000000058"/>
        <n v="18.329999999999927"/>
        <n v="62.260000000000218"/>
        <n v="120.88999999999942"/>
        <n v="4.8099999999994907"/>
        <n v="169.60000000000036"/>
        <n v="42.360000000000582"/>
        <n v="66.6299999999992"/>
        <n v="6.2999999999992724"/>
        <n v="21.569999999999709"/>
        <n v="151.8700000000008"/>
        <n v="59.420000000000073"/>
        <n v="51.139999999999418"/>
        <n v="8542.39"/>
        <n v="52.790000000000873"/>
        <n v="4.4500000000007276"/>
        <n v="170.54000000000087"/>
        <n v="18.010000000000218"/>
        <n v="30.6200000000008"/>
        <n v="204.51000000000022"/>
        <n v="108.67000000000007"/>
        <n v="56.600000000000364"/>
        <n v="52.799999999999272"/>
        <n v="4.1399999999994179"/>
        <n v="68.739999999999782"/>
        <n v="2.1700000000000728"/>
        <n v="95.6200000000008"/>
        <n v="11.9"/>
        <n v="116.07999999999993"/>
        <n v="39.010000000000218"/>
        <n v="8791.2800000000007"/>
        <n v="20.610000000000582"/>
        <n v="7.2299999999995634"/>
        <n v="67.770000000000437"/>
        <n v="74.940000000000509"/>
        <n v="126.09000000000015"/>
        <n v="15.239999999999782"/>
        <n v="168.96999999999935"/>
        <n v="11.57"/>
        <n v="189.01000000000022"/>
        <n v="8945.9699999999993"/>
        <n v="10.920000000000073"/>
        <n v="206.30999999999949"/>
        <n v="259.52000000000044"/>
        <n v="104.93000000000029"/>
        <n v="9143.08"/>
        <n v="170.69000000000051"/>
        <n v="157.81999999999971"/>
        <n v="110.48999999999978"/>
        <n v="1.4099999999998545"/>
        <n v="3.8299999999999272"/>
        <n v="5.8299999999999272"/>
        <n v="187.18000000000029"/>
        <n v="8339"/>
        <n v="20.659999999999854"/>
        <n v="21.770000000000437"/>
        <n v="174.90999999999985"/>
        <n v="11.729999999999563"/>
        <n v="31.229999999999563"/>
        <n v="9199.1"/>
        <n v="2.8099999999994907"/>
        <n v="218.95000000000073"/>
        <n v="63.930000000000291"/>
        <n v="400"/>
        <n v="66.270000000000437"/>
        <n v="20.469999999999345"/>
        <n v="25.459999999999127"/>
        <n v="36.950000000000728"/>
        <n v="6.1299999999991996"/>
        <n v="17.809999999999491"/>
        <n v="182.34000000000015"/>
        <n v="56.170000000000073"/>
        <n v="155.1200000000008"/>
        <n v="63.790000000000873"/>
        <n v="25.610000000000582"/>
        <n v="68.319999999999709"/>
        <n v="6.2700000000004366"/>
        <n v="9188.92"/>
        <n v="11.079999999999927"/>
        <n v="5.2299999999995634"/>
        <n v="175.01000000000022"/>
        <n v="13.049999999999272"/>
        <n v="3.8500000000003638"/>
        <n v="42.739999999999782"/>
        <n v="1.3700000000008004"/>
        <n v="237.84000000000015"/>
        <n v="14.8799999999992"/>
        <n v="140.38999999999942"/>
        <n v="104.43000000000029"/>
        <n v="300"/>
        <n v="112.84000000000015"/>
        <n v="158.47999999999956"/>
        <n v="69.059999999999491"/>
        <n v="151.29000000000087"/>
        <n v="109.26000000000022"/>
        <n v="59.020000000000437"/>
        <n v="85.75"/>
        <n v="176.18000000000029"/>
        <n v="9038.4699999999993"/>
        <n v="9199.15"/>
        <n v="8796.99"/>
        <n v="8598.07"/>
        <n v="8538.36"/>
        <n v="125.68000000000029"/>
        <n v="122.23999999999978"/>
        <n v="9198.9500000000007"/>
        <n v="8991.9500000000007"/>
        <n v="137.59000000000015"/>
        <n v="230.76000000000022"/>
        <n v="164.57999999999993"/>
        <n v="245.70999999999913"/>
        <n v="42.659999999999854"/>
        <n v="56.360000000000582"/>
        <n v="9195.9599999999991"/>
        <n v="172.85000000000036"/>
        <n v="9.6499999999996362"/>
        <n v="8992.24"/>
        <n v="169.46999999999935"/>
        <n v="237.13999999999942"/>
        <n v="258.94000000000051"/>
        <n v="192.51000000000022"/>
        <n v="31.590000000000146"/>
        <n v="8998"/>
        <n v="9195.56"/>
        <n v="8708.4599999999991"/>
        <n v="8560"/>
        <n v="158.03000000000065"/>
        <n v="189.89999999999964"/>
        <n v="25.649999999999636"/>
        <n v="17.309999999999491"/>
        <n v="6.3600000000005821"/>
        <n v="20.159999999999854"/>
        <n v="239.19000000000051"/>
        <n v="16.6200000000008"/>
        <n v="56.790000000000873"/>
        <n v="8643.7000000000007"/>
        <n v="121.19000000000051"/>
        <n v="30.040000000000873"/>
        <n v="156.70999999999913"/>
        <n v="64.8799999999992"/>
        <n v="21.229999999999563"/>
        <n v="10.690000000000509"/>
        <n v="114.25"/>
        <n v="10.770000000000437"/>
        <n v="58.729999999999563"/>
        <n v="59.5"/>
        <m/>
      </sharedItems>
    </cacheField>
    <cacheField name="Valor" numFmtId="0">
      <sharedItems containsString="0" containsBlank="1" containsNumber="1" minValue="-9989733.1800000425" maxValue="1965157675"/>
    </cacheField>
    <cacheField name="Und" numFmtId="0">
      <sharedItems containsString="0" containsBlank="1" containsNumber="1" containsInteger="1" minValue="0" maxValue="420"/>
    </cacheField>
    <cacheField name="N° Pedido" numFmtId="0">
      <sharedItems containsBlank="1" containsMixedTypes="1" containsNumber="1" containsInteger="1" minValue="4502243761" maxValue="5083283183"/>
    </cacheField>
    <cacheField name="Migo" numFmtId="0">
      <sharedItems containsString="0" containsBlank="1" containsNumber="1" containsInteger="1" minValue="3701504458" maxValue="5113636071"/>
    </cacheField>
    <cacheField name="RP" numFmtId="0">
      <sharedItems containsBlank="1" containsMixedTypes="1" containsNumber="1" containsInteger="1" minValue="5113026332" maxValue="5113871536"/>
    </cacheField>
    <cacheField name="Tablero" numFmtId="0">
      <sharedItems containsBlank="1" containsMixedTypes="1" containsNumber="1" containsInteger="1" minValue="0" maxValue="0"/>
    </cacheField>
    <cacheField name="Observaciones" numFmtId="0">
      <sharedItems containsBlank="1" containsMixedTypes="1" containsNumber="1" containsInteger="1" minValue="179258000" maxValue="179258000"/>
    </cacheField>
    <cacheField name="Observaciones Compras" numFmtId="0">
      <sharedItems containsBlank="1"/>
    </cacheField>
    <cacheField name="Destino" numFmtId="0">
      <sharedItems containsBlank="1" count="9">
        <s v="AGUACHICA"/>
        <s v="FRIGOSINU"/>
        <s v="CENTRAL GANADERA"/>
        <s v="COLANTA"/>
        <s v="VILLAVICENCIO"/>
        <s v="COROZAL"/>
        <s v="COLBEEF"/>
        <s v="DORADA"/>
        <m/>
      </sharedItems>
    </cacheField>
    <cacheField name="Fecha de entrada a corrales " numFmtId="0">
      <sharedItems containsNonDate="0" containsDate="1" containsString="0" containsBlank="1" minDate="2021-12-30T00:00:00" maxDate="2022-12-28T00:00:00"/>
    </cacheField>
    <cacheField name="Pedido" numFmtId="0">
      <sharedItems containsBlank="1" containsMixedTypes="1" containsNumber="1" containsInteger="1" minValue="15" maxValue="4902413315"/>
    </cacheField>
    <cacheField name="Valor Flete" numFmtId="0">
      <sharedItems containsDate="1" containsBlank="1" containsMixedTypes="1" minDate="1900-01-04T18:20:05" maxDate="1900-01-04T19:05:05"/>
    </cacheField>
    <cacheField name="Fac flete" numFmtId="0">
      <sharedItems containsBlank="1" containsMixedTypes="1" containsNumber="1" containsInteger="1" minValue="5113820011" maxValue="5113820011"/>
    </cacheField>
    <cacheField name="RP flete" numFmtId="0">
      <sharedItems containsBlank="1" containsMixedTypes="1" containsNumber="1" containsInteger="1" minValue="5113030324" maxValue="5113833698"/>
    </cacheField>
    <cacheField name="Fac 2 flete" numFmtId="0">
      <sharedItems containsBlank="1"/>
    </cacheField>
    <cacheField name="RP 2 flete" numFmtId="0">
      <sharedItems containsBlank="1" containsMixedTypes="1" containsNumber="1" containsInteger="1" minValue="5113030470" maxValue="5113833671"/>
    </cacheField>
    <cacheField name="Fac flete 3" numFmtId="0">
      <sharedItems containsBlank="1"/>
    </cacheField>
    <cacheField name="RP 3 flete" numFmtId="0">
      <sharedItems containsBlank="1" containsMixedTypes="1" containsNumber="1" containsInteger="1" minValue="511309020" maxValue="5113835310"/>
    </cacheField>
    <cacheField name="Fecha" numFmtId="0">
      <sharedItems containsNonDate="0" containsDate="1" containsString="0" containsBlank="1" minDate="2021-12-30T00:00:00" maxDate="2022-12-28T00:00:00"/>
    </cacheField>
    <cacheField name="Mes" numFmtId="0">
      <sharedItems containsBlank="1" count="13">
        <m/>
        <s v="enero"/>
        <s v="febrero"/>
        <s v="marzo"/>
        <s v="abril"/>
        <s v="mayo"/>
        <s v="junio"/>
        <s v="julio"/>
        <s v="agosto"/>
        <s v="septiembre"/>
        <s v="octubre"/>
        <s v="noviembre"/>
        <s v="diciemb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ucas Ramirez Rodriguez" refreshedDate="45019.40187037037" createdVersion="5" refreshedVersion="5" minRefreshableVersion="3" recordCount="959">
  <cacheSource type="worksheet">
    <worksheetSource ref="A1:P960" sheet="Flacas"/>
  </cacheSource>
  <cacheFields count="16">
    <cacheField name="Proveedores" numFmtId="0">
      <sharedItems/>
    </cacheField>
    <cacheField name="Almacén" numFmtId="0">
      <sharedItems/>
    </cacheField>
    <cacheField name="Ingresan a" numFmtId="0">
      <sharedItems/>
    </cacheField>
    <cacheField name="Fecha Factura" numFmtId="14">
      <sharedItems containsSemiMixedTypes="0" containsNonDate="0" containsDate="1" containsString="0" minDate="2022-01-05T00:00:00" maxDate="2022-12-27T00:00:00"/>
    </cacheField>
    <cacheField name="Mes" numFmtId="1">
      <sharedItems count="12">
        <s v="enero"/>
        <s v="febrero"/>
        <s v="marzo"/>
        <s v="abril"/>
        <s v="mayo"/>
        <s v="junio"/>
        <s v="julio"/>
        <s v="agosto"/>
        <s v="septiembre"/>
        <s v="octubre"/>
        <s v="noviembre"/>
        <s v="diciembre"/>
      </sharedItems>
    </cacheField>
    <cacheField name="Fecha de fabricación" numFmtId="14">
      <sharedItems containsSemiMixedTypes="0" containsNonDate="0" containsDate="1" containsString="0" minDate="2022-01-05T00:00:00" maxDate="2022-12-24T00:00:00"/>
    </cacheField>
    <cacheField name="Fecha  correo" numFmtId="14">
      <sharedItems containsSemiMixedTypes="0" containsNonDate="0" containsDate="1" containsString="0" minDate="2022-01-07T00:00:00" maxDate="2022-12-30T00:00:00"/>
    </cacheField>
    <cacheField name="N° Factura" numFmtId="0">
      <sharedItems containsMixedTypes="1" containsNumber="1" containsInteger="1" minValue="45" maxValue="243233"/>
    </cacheField>
    <cacheField name="Material" numFmtId="0">
      <sharedItems containsSemiMixedTypes="0" containsString="0" containsNumber="1" containsInteger="1" minValue="7008146" maxValue="7008459"/>
    </cacheField>
    <cacheField name="Descripción" numFmtId="0">
      <sharedItems count="4">
        <s v="Res macho ceba"/>
        <s v="Res macho levante"/>
        <s v="Res macho Cría"/>
        <s v="Res novilla ceba"/>
      </sharedItems>
    </cacheField>
    <cacheField name="Kilos" numFmtId="0">
      <sharedItems containsSemiMixedTypes="0" containsString="0" containsNumber="1" minValue="159" maxValue="340914"/>
    </cacheField>
    <cacheField name="Precio kg" numFmtId="42">
      <sharedItems containsSemiMixedTypes="0" containsString="0" containsNumber="1" minValue="5149" maxValue="15200"/>
    </cacheField>
    <cacheField name="Valor" numFmtId="165">
      <sharedItems containsSemiMixedTypes="0" containsString="0" containsNumber="1" minValue="1233615" maxValue="3238683000"/>
    </cacheField>
    <cacheField name="UN" numFmtId="0">
      <sharedItems containsSemiMixedTypes="0" containsString="0" containsNumber="1" containsInteger="1" minValue="-1" maxValue="857"/>
    </cacheField>
    <cacheField name="Peso Res" numFmtId="176">
      <sharedItems containsSemiMixedTypes="0" containsString="0" containsNumber="1" minValue="-318.57894736842104" maxValue="660.36363636363637"/>
    </cacheField>
    <cacheField name="Costo / Res" numFmtId="42">
      <sharedItems containsSemiMixedTypes="0" containsString="0" containsNumber="1" minValue="-2723850" maxValue="5249890.909090909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495">
  <r>
    <s v="Luis Fernando Rojas Prada"/>
    <d v="2022-01-03T00:00:00"/>
    <d v="2022-01-05T00:00:00"/>
    <n v="1"/>
    <s v="FELC-727"/>
    <x v="0"/>
    <n v="34001"/>
    <x v="0"/>
    <n v="232906850"/>
    <n v="70"/>
    <n v="4502244775"/>
    <n v="5079904100"/>
    <n v="5113032519"/>
    <m/>
    <s v="EJ 3062400*4 2982600*1"/>
    <m/>
    <x v="0"/>
    <d v="2021-12-30T00:00:00"/>
    <n v="4902184561"/>
    <n v="15232200"/>
    <s v="FEMD-3020*1"/>
    <n v="5113030467"/>
    <s v="FEMD-3019*3"/>
    <n v="5113030470"/>
    <s v="FEMD-3034"/>
    <n v="5113031492"/>
    <d v="2021-12-30T00:00:00"/>
    <x v="0"/>
  </r>
  <r>
    <s v="Celso Jose Osorio Duarte"/>
    <d v="2022-01-03T00:00:00"/>
    <m/>
    <n v="1"/>
    <s v="FE-16"/>
    <x v="1"/>
    <n v="6766"/>
    <x v="1"/>
    <n v="49391800"/>
    <n v="15"/>
    <n v="4502243761"/>
    <n v="5079905648"/>
    <n v="5113033891"/>
    <m/>
    <s v="TIENE BL"/>
    <m/>
    <x v="0"/>
    <d v="2021-12-30T00:00:00"/>
    <m/>
    <m/>
    <m/>
    <m/>
    <m/>
    <m/>
    <m/>
    <m/>
    <d v="2021-12-30T00:00:00"/>
    <x v="0"/>
  </r>
  <r>
    <s v="Celso Jose Osorio Duarte"/>
    <d v="2022-01-07T00:00:00"/>
    <m/>
    <n v="1"/>
    <n v="6"/>
    <x v="1"/>
    <n v="6766"/>
    <x v="2"/>
    <n v="-676600"/>
    <n v="0"/>
    <n v="4502243761"/>
    <n v="5079905648"/>
    <n v="5113033893"/>
    <m/>
    <m/>
    <s v="La hizo manual le explique que la debe generar electronica "/>
    <x v="0"/>
    <d v="2021-12-30T00:00:00"/>
    <m/>
    <m/>
    <m/>
    <m/>
    <m/>
    <m/>
    <m/>
    <m/>
    <d v="2021-12-30T00:00:00"/>
    <x v="0"/>
  </r>
  <r>
    <s v="Lina Maria Pelaez Gomez"/>
    <d v="2022-01-01T00:00:00"/>
    <d v="2022-01-04T00:00:00"/>
    <n v="1"/>
    <s v="LP-62"/>
    <x v="1"/>
    <n v="12686.5"/>
    <x v="3"/>
    <n v="97051725"/>
    <n v="31"/>
    <n v="4502243765"/>
    <n v="5079905650"/>
    <n v="5113035944"/>
    <m/>
    <s v="TIENE BL"/>
    <m/>
    <x v="0"/>
    <d v="2021-12-30T00:00:00"/>
    <m/>
    <m/>
    <m/>
    <m/>
    <m/>
    <m/>
    <m/>
    <m/>
    <d v="2021-12-30T00:00:00"/>
    <x v="0"/>
  </r>
  <r>
    <s v="Lina Maria Pelaez Gomez"/>
    <d v="2022-01-04T00:00:00"/>
    <d v="2022-01-04T00:00:00"/>
    <n v="1"/>
    <s v="NC45"/>
    <x v="1"/>
    <n v="12686.5"/>
    <x v="4"/>
    <n v="-1761647.3899999959"/>
    <n v="0"/>
    <n v="4502243765"/>
    <n v="5079905650"/>
    <n v="5113035945"/>
    <m/>
    <m/>
    <s v="Envie correo a David Martinez"/>
    <x v="0"/>
    <d v="2021-12-30T00:00:00"/>
    <m/>
    <m/>
    <m/>
    <m/>
    <m/>
    <m/>
    <m/>
    <m/>
    <d v="2021-12-30T00:00:00"/>
    <x v="0"/>
  </r>
  <r>
    <s v="Inversiones Castilla Barbosa S.A.S."/>
    <d v="2021-12-30T00:00:00"/>
    <d v="2022-01-03T00:00:00"/>
    <n v="1"/>
    <s v="FE63"/>
    <x v="1"/>
    <n v="22062.5"/>
    <x v="5"/>
    <n v="163262500"/>
    <n v="42"/>
    <n v="4502243768"/>
    <n v="5079905434"/>
    <n v="5113030981"/>
    <m/>
    <s v="TIENE BL"/>
    <m/>
    <x v="0"/>
    <d v="2021-12-30T00:00:00"/>
    <m/>
    <m/>
    <m/>
    <m/>
    <m/>
    <m/>
    <m/>
    <m/>
    <d v="2021-12-30T00:00:00"/>
    <x v="0"/>
  </r>
  <r>
    <s v="Inversiones Castilla Barbosa S.A.S."/>
    <d v="2021-12-30T00:00:00"/>
    <d v="2022-01-03T00:00:00"/>
    <n v="1"/>
    <s v="DF227"/>
    <x v="1"/>
    <n v="22062.5"/>
    <x v="6"/>
    <n v="5021645.6249999925"/>
    <n v="0"/>
    <n v="4502243768"/>
    <n v="5079905434"/>
    <n v="5113030982"/>
    <m/>
    <m/>
    <m/>
    <x v="0"/>
    <d v="2021-12-30T00:00:00"/>
    <m/>
    <m/>
    <m/>
    <m/>
    <m/>
    <m/>
    <m/>
    <m/>
    <d v="2021-12-30T00:00:00"/>
    <x v="0"/>
  </r>
  <r>
    <s v="Multicarnicos S.A"/>
    <d v="2021-12-30T00:00:00"/>
    <d v="2022-01-03T00:00:00"/>
    <n v="1"/>
    <s v="MUL263"/>
    <x v="0"/>
    <n v="39033.5"/>
    <x v="5"/>
    <n v="288847900"/>
    <n v="84"/>
    <n v="4502243770"/>
    <n v="5079905435"/>
    <n v="5113029892"/>
    <m/>
    <s v="TIENE BL"/>
    <m/>
    <x v="0"/>
    <d v="2021-12-30T00:00:00"/>
    <m/>
    <m/>
    <m/>
    <m/>
    <m/>
    <m/>
    <m/>
    <m/>
    <d v="2021-12-30T00:00:00"/>
    <x v="0"/>
  </r>
  <r>
    <s v="Multicarnicos S.A"/>
    <d v="2021-12-30T00:00:00"/>
    <d v="2022-01-03T00:00:00"/>
    <n v="1"/>
    <s v="NC38"/>
    <x v="0"/>
    <n v="39033.5"/>
    <x v="7"/>
    <n v="-2183533.9899999844"/>
    <n v="0"/>
    <n v="4502243770"/>
    <n v="5079905435"/>
    <n v="5113029893"/>
    <m/>
    <m/>
    <m/>
    <x v="0"/>
    <d v="2021-12-30T00:00:00"/>
    <m/>
    <m/>
    <m/>
    <m/>
    <m/>
    <m/>
    <m/>
    <m/>
    <d v="2021-12-30T00:00:00"/>
    <x v="0"/>
  </r>
  <r>
    <s v="HEVLA S.A.S"/>
    <d v="2022-01-11T00:00:00"/>
    <d v="2022-01-11T00:00:00"/>
    <n v="1"/>
    <s v="FE-468"/>
    <x v="0"/>
    <n v="26523"/>
    <x v="8"/>
    <n v="180356400"/>
    <n v="56"/>
    <n v="4502247155"/>
    <n v="5079952481"/>
    <n v="5113038206"/>
    <m/>
    <s v="EJ 3282600*4"/>
    <s v="Se envia correo a recepcion"/>
    <x v="0"/>
    <d v="2021-12-31T00:00:00"/>
    <n v="4902185384"/>
    <n v="13130400"/>
    <s v="FEMD-3021*4"/>
    <n v="5113030324"/>
    <m/>
    <m/>
    <m/>
    <m/>
    <d v="2021-12-31T00:00:00"/>
    <x v="0"/>
  </r>
  <r>
    <s v="JERAL S.A.S"/>
    <d v="2022-01-04T00:00:00"/>
    <m/>
    <n v="1"/>
    <s v="JFEV-33"/>
    <x v="0"/>
    <n v="35136"/>
    <x v="0"/>
    <n v="240681600"/>
    <n v="70"/>
    <n v="4502245665"/>
    <n v="5079913847"/>
    <n v="5113030348"/>
    <m/>
    <s v="EJ  2979200*5"/>
    <m/>
    <x v="0"/>
    <d v="2021-12-31T00:00:00"/>
    <n v="4902185385"/>
    <n v="14896000"/>
    <s v="FEMD-3022*5"/>
    <n v="5113031494"/>
    <m/>
    <m/>
    <m/>
    <m/>
    <d v="2021-12-31T00:00:00"/>
    <x v="0"/>
  </r>
  <r>
    <s v="Sociedad Comercializadora Ganadera"/>
    <d v="2022-01-05T00:00:00"/>
    <d v="2022-01-05T00:00:00"/>
    <n v="1"/>
    <s v="FEDV149"/>
    <x v="0"/>
    <n v="38468"/>
    <x v="9"/>
    <n v="296203600"/>
    <n v="90"/>
    <n v="4502243773"/>
    <n v="5079913924"/>
    <n v="5113036877"/>
    <m/>
    <s v="TIENE BL"/>
    <m/>
    <x v="0"/>
    <d v="2021-12-31T00:00:00"/>
    <m/>
    <m/>
    <m/>
    <m/>
    <m/>
    <m/>
    <m/>
    <m/>
    <d v="2021-12-31T00:00:00"/>
    <x v="0"/>
  </r>
  <r>
    <s v="Sociedad Comercializadora Ganadera"/>
    <d v="2022-01-06T00:00:00"/>
    <d v="2022-01-06T00:00:00"/>
    <n v="1"/>
    <s v="NC46"/>
    <x v="0"/>
    <n v="38468"/>
    <x v="10"/>
    <n v="-703195.03999999026"/>
    <n v="0"/>
    <n v="4502243773"/>
    <n v="5079913924"/>
    <n v="5113036879"/>
    <m/>
    <m/>
    <m/>
    <x v="0"/>
    <d v="2021-12-31T00:00:00"/>
    <m/>
    <m/>
    <m/>
    <m/>
    <m/>
    <m/>
    <m/>
    <m/>
    <d v="2021-12-31T00:00:00"/>
    <x v="0"/>
  </r>
  <r>
    <s v="Margie Rodriguez Rodriguez"/>
    <d v="2022-01-04T00:00:00"/>
    <m/>
    <n v="1"/>
    <s v="FE-42"/>
    <x v="0"/>
    <n v="7358"/>
    <x v="1"/>
    <n v="53713400"/>
    <n v="15"/>
    <n v="4502243775"/>
    <n v="5079914039"/>
    <n v="5113029962"/>
    <m/>
    <s v="CON RETEN"/>
    <m/>
    <x v="0"/>
    <d v="2021-12-31T00:00:00"/>
    <m/>
    <m/>
    <m/>
    <m/>
    <m/>
    <m/>
    <m/>
    <m/>
    <d v="2021-12-31T00:00:00"/>
    <x v="0"/>
  </r>
  <r>
    <s v="Margie Rodriguez Rodriguez"/>
    <d v="2022-01-04T00:00:00"/>
    <m/>
    <n v="1"/>
    <s v="NC221"/>
    <x v="0"/>
    <n v="7358"/>
    <x v="11"/>
    <n v="-1103700"/>
    <n v="0"/>
    <n v="4502243775"/>
    <n v="5079914039"/>
    <n v="5113029963"/>
    <m/>
    <m/>
    <m/>
    <x v="0"/>
    <d v="2021-12-31T00:00:00"/>
    <m/>
    <m/>
    <m/>
    <m/>
    <m/>
    <m/>
    <m/>
    <m/>
    <d v="2021-12-31T00:00:00"/>
    <x v="0"/>
  </r>
  <r>
    <s v="Angela Maria Restrepo Diaz"/>
    <d v="2022-12-31T00:00:00"/>
    <d v="2022-01-06T00:00:00"/>
    <n v="1"/>
    <s v="AR-55"/>
    <x v="0"/>
    <n v="13705.5"/>
    <x v="3"/>
    <n v="104847075"/>
    <n v="28"/>
    <n v="4502243776"/>
    <n v="5079913925"/>
    <n v="5113032472"/>
    <m/>
    <s v="CON RETEN"/>
    <m/>
    <x v="0"/>
    <d v="2021-12-31T00:00:00"/>
    <m/>
    <m/>
    <m/>
    <m/>
    <m/>
    <m/>
    <m/>
    <m/>
    <d v="2021-12-31T00:00:00"/>
    <x v="0"/>
  </r>
  <r>
    <s v="La OKA S.A.S."/>
    <d v="2022-01-07T00:00:00"/>
    <m/>
    <n v="1"/>
    <s v="FEOK-50"/>
    <x v="0"/>
    <n v="6529.5"/>
    <x v="12"/>
    <n v="47991825"/>
    <n v="14"/>
    <n v="4502243779"/>
    <n v="5079919635"/>
    <n v="5113038200"/>
    <m/>
    <s v="CON RETEN"/>
    <m/>
    <x v="0"/>
    <d v="2022-01-02T00:00:00"/>
    <m/>
    <m/>
    <m/>
    <m/>
    <m/>
    <m/>
    <m/>
    <m/>
    <d v="2022-01-02T00:00:00"/>
    <x v="1"/>
  </r>
  <r>
    <s v="La OKA S.A.S."/>
    <d v="2022-01-07T00:00:00"/>
    <m/>
    <n v="1"/>
    <s v="NC28"/>
    <x v="0"/>
    <n v="6529.5"/>
    <x v="13"/>
    <n v="-326475"/>
    <n v="0"/>
    <n v="4502243779"/>
    <n v="5079919635"/>
    <n v="5113038203"/>
    <m/>
    <m/>
    <s v="La envio nuevamente"/>
    <x v="0"/>
    <d v="2022-01-02T00:00:00"/>
    <m/>
    <m/>
    <m/>
    <m/>
    <m/>
    <m/>
    <m/>
    <m/>
    <d v="2022-01-02T00:00:00"/>
    <x v="1"/>
  </r>
  <r>
    <s v="Sociedad Comercializadora Ganadera"/>
    <d v="2022-01-05T00:00:00"/>
    <d v="2022-01-05T00:00:00"/>
    <n v="1"/>
    <s v="FEDV150"/>
    <x v="0"/>
    <n v="62205"/>
    <x v="9"/>
    <n v="478978500"/>
    <n v="128"/>
    <n v="4502243781"/>
    <n v="5079919637"/>
    <n v="5113037192"/>
    <m/>
    <s v="TIENE BL"/>
    <m/>
    <x v="0"/>
    <d v="2022-01-02T00:00:00"/>
    <m/>
    <m/>
    <m/>
    <m/>
    <m/>
    <m/>
    <m/>
    <m/>
    <d v="2022-01-02T00:00:00"/>
    <x v="1"/>
  </r>
  <r>
    <s v="Sociedad Comercializadora Ganadera"/>
    <d v="2022-01-11T00:00:00"/>
    <d v="2022-01-11T00:00:00"/>
    <n v="1"/>
    <s v="NC51"/>
    <x v="0"/>
    <n v="62205"/>
    <x v="14"/>
    <n v="-663727.35000000452"/>
    <n v="0"/>
    <n v="4502243781"/>
    <n v="5079919637"/>
    <n v="5113037193"/>
    <m/>
    <m/>
    <m/>
    <x v="0"/>
    <d v="2022-01-02T00:00:00"/>
    <m/>
    <m/>
    <m/>
    <m/>
    <m/>
    <m/>
    <m/>
    <m/>
    <d v="2022-01-02T00:00:00"/>
    <x v="1"/>
  </r>
  <r>
    <s v="Inversiones y Negocios V&amp;V S.A.S"/>
    <d v="2022-01-06T00:00:00"/>
    <d v="2022-01-06T00:00:00"/>
    <n v="1"/>
    <s v="FE1564"/>
    <x v="0"/>
    <n v="26715"/>
    <x v="3"/>
    <n v="204369750"/>
    <n v="56"/>
    <n v="4502243782"/>
    <n v="5079919679"/>
    <n v="5113032476"/>
    <m/>
    <s v="CON RETEN"/>
    <m/>
    <x v="0"/>
    <d v="2022-01-02T00:00:00"/>
    <m/>
    <m/>
    <m/>
    <m/>
    <m/>
    <m/>
    <m/>
    <m/>
    <d v="2022-01-02T00:00:00"/>
    <x v="1"/>
  </r>
  <r>
    <s v="Inversiones Caucaman S.A.S"/>
    <d v="2022-01-05T00:00:00"/>
    <d v="2022-01-05T00:00:00"/>
    <n v="1"/>
    <s v="IC36"/>
    <x v="0"/>
    <n v="27633"/>
    <x v="15"/>
    <n v="205865850"/>
    <n v="56"/>
    <n v="4502243784"/>
    <n v="5079919680"/>
    <n v="5113032494"/>
    <m/>
    <s v="CON RETEN"/>
    <m/>
    <x v="0"/>
    <d v="2022-01-02T00:00:00"/>
    <m/>
    <m/>
    <m/>
    <m/>
    <m/>
    <m/>
    <m/>
    <m/>
    <d v="2022-01-02T00:00:00"/>
    <x v="1"/>
  </r>
  <r>
    <s v="Inversiones Caucaman S.A.S"/>
    <d v="2022-01-05T00:00:00"/>
    <d v="2022-01-05T00:00:00"/>
    <n v="1"/>
    <s v="NC10"/>
    <x v="0"/>
    <n v="27633"/>
    <x v="16"/>
    <n v="-38250"/>
    <n v="0"/>
    <n v="4502243784"/>
    <n v="5079919680"/>
    <n v="5113032497"/>
    <m/>
    <m/>
    <m/>
    <x v="0"/>
    <d v="2022-01-02T00:00:00"/>
    <m/>
    <m/>
    <m/>
    <m/>
    <m/>
    <m/>
    <m/>
    <m/>
    <d v="2022-01-02T00:00:00"/>
    <x v="1"/>
  </r>
  <r>
    <s v="Sociedad Comercializadora Ganadera"/>
    <d v="2022-01-06T00:00:00"/>
    <d v="2022-01-06T00:00:00"/>
    <n v="1"/>
    <s v="FEDV151"/>
    <x v="1"/>
    <n v="32928"/>
    <x v="9"/>
    <n v="253545600"/>
    <n v="75"/>
    <n v="4502243788"/>
    <n v="5079919681"/>
    <n v="5113036849"/>
    <m/>
    <s v="TIENE BL"/>
    <m/>
    <x v="0"/>
    <d v="2022-01-02T00:00:00"/>
    <m/>
    <m/>
    <m/>
    <m/>
    <m/>
    <m/>
    <m/>
    <m/>
    <d v="2022-01-02T00:00:00"/>
    <x v="1"/>
  </r>
  <r>
    <s v="Sociedad Comercializadora Ganadera"/>
    <d v="2022-01-06T00:00:00"/>
    <d v="2022-01-06T00:00:00"/>
    <n v="1"/>
    <s v="NC50"/>
    <x v="1"/>
    <n v="32928"/>
    <x v="17"/>
    <n v="-269351.04000000958"/>
    <n v="0"/>
    <n v="4502243788"/>
    <n v="5079919681"/>
    <n v="5113037029"/>
    <m/>
    <m/>
    <m/>
    <x v="0"/>
    <d v="2022-01-02T00:00:00"/>
    <m/>
    <m/>
    <m/>
    <m/>
    <m/>
    <m/>
    <m/>
    <m/>
    <d v="2022-01-02T00:00:00"/>
    <x v="1"/>
  </r>
  <r>
    <s v="Agropecuaria Tabaida S.A.S"/>
    <d v="2022-01-02T00:00:00"/>
    <d v="2022-01-06T00:00:00"/>
    <n v="1"/>
    <s v="MT1207"/>
    <x v="2"/>
    <n v="38877"/>
    <x v="12"/>
    <n v="285745950"/>
    <n v="84"/>
    <n v="4502247530"/>
    <n v="5079963349"/>
    <n v="5113033529"/>
    <m/>
    <s v="TIENE BL"/>
    <m/>
    <x v="1"/>
    <d v="2022-01-02T00:00:00"/>
    <m/>
    <m/>
    <m/>
    <m/>
    <m/>
    <m/>
    <m/>
    <m/>
    <d v="2022-01-02T00:00:00"/>
    <x v="1"/>
  </r>
  <r>
    <s v="Surtidora Agropecuaria De Colombia"/>
    <d v="2022-01-02T00:00:00"/>
    <d v="2022-01-06T00:00:00"/>
    <n v="1"/>
    <s v="FESA-19"/>
    <x v="2"/>
    <n v="25540"/>
    <x v="5"/>
    <n v="188996000"/>
    <n v="56"/>
    <n v="4502247539"/>
    <n v="5079963452"/>
    <n v="5113035940"/>
    <m/>
    <s v="TIENE BL"/>
    <m/>
    <x v="1"/>
    <d v="2022-01-02T00:00:00"/>
    <m/>
    <m/>
    <m/>
    <m/>
    <m/>
    <m/>
    <m/>
    <m/>
    <d v="2022-01-02T00:00:00"/>
    <x v="1"/>
  </r>
  <r>
    <s v="Inversiones Valle Del Canalete S.A.S"/>
    <d v="2022-01-06T00:00:00"/>
    <d v="2022-01-06T00:00:00"/>
    <n v="1"/>
    <s v="IVC92"/>
    <x v="2"/>
    <n v="20003"/>
    <x v="5"/>
    <n v="148022200"/>
    <n v="42"/>
    <n v="4502247544"/>
    <n v="5079963512"/>
    <n v="5113032921"/>
    <m/>
    <s v="CON RETEN"/>
    <m/>
    <x v="1"/>
    <d v="2022-01-02T00:00:00"/>
    <m/>
    <m/>
    <m/>
    <m/>
    <m/>
    <m/>
    <m/>
    <m/>
    <d v="2022-01-02T00:00:00"/>
    <x v="1"/>
  </r>
  <r>
    <s v="Agropastoril De Colombia S.A.S."/>
    <d v="2022-01-02T00:00:00"/>
    <m/>
    <n v="1"/>
    <s v="AP-56"/>
    <x v="2"/>
    <n v="26447"/>
    <x v="5"/>
    <n v="195707800"/>
    <n v="56"/>
    <n v="4502247548"/>
    <n v="5079963565"/>
    <n v="5113033938"/>
    <m/>
    <s v="CON RETEN"/>
    <m/>
    <x v="1"/>
    <d v="2022-01-02T00:00:00"/>
    <m/>
    <m/>
    <m/>
    <m/>
    <m/>
    <m/>
    <m/>
    <m/>
    <d v="2022-01-02T00:00:00"/>
    <x v="1"/>
  </r>
  <r>
    <s v="Agropecuaria El Uberrimo S.A.S"/>
    <d v="2022-01-05T00:00:00"/>
    <d v="2022-01-13T00:00:00"/>
    <n v="1"/>
    <s v="FE191"/>
    <x v="2"/>
    <n v="7476"/>
    <x v="5"/>
    <n v="55322400"/>
    <n v="15"/>
    <n v="4502247555"/>
    <n v="5079963607"/>
    <n v="5113043210"/>
    <m/>
    <s v="CON RETEN"/>
    <s v="No contesta se envia correo nuevamente"/>
    <x v="1"/>
    <d v="2022-01-02T00:00:00"/>
    <m/>
    <m/>
    <m/>
    <m/>
    <m/>
    <m/>
    <m/>
    <m/>
    <d v="2022-01-02T00:00:00"/>
    <x v="1"/>
  </r>
  <r>
    <s v="Julio Cesar Mejía Mejía"/>
    <d v="2022-01-06T00:00:00"/>
    <d v="2022-01-06T00:00:00"/>
    <n v="1"/>
    <s v="FE-8"/>
    <x v="2"/>
    <n v="6777"/>
    <x v="15"/>
    <n v="50488650"/>
    <n v="14"/>
    <n v="4502247564"/>
    <n v="5079963727"/>
    <n v="5113033466"/>
    <m/>
    <s v="TIENE BL"/>
    <m/>
    <x v="1"/>
    <d v="2022-01-02T00:00:00"/>
    <m/>
    <m/>
    <m/>
    <m/>
    <m/>
    <m/>
    <m/>
    <m/>
    <d v="2022-01-02T00:00:00"/>
    <x v="1"/>
  </r>
  <r>
    <s v="Mauricio De Jesús Bernal Jaramillo"/>
    <d v="2022-01-08T00:00:00"/>
    <d v="2022-01-08T00:00:00"/>
    <n v="1"/>
    <s v="FE-163"/>
    <x v="2"/>
    <n v="6372"/>
    <x v="18"/>
    <n v="47112975"/>
    <n v="15"/>
    <n v="4502247570"/>
    <n v="5079963830"/>
    <n v="5113035942"/>
    <m/>
    <s v="CON RETEN"/>
    <m/>
    <x v="1"/>
    <d v="2022-01-02T00:00:00"/>
    <m/>
    <m/>
    <m/>
    <m/>
    <m/>
    <m/>
    <m/>
    <m/>
    <d v="2022-01-02T00:00:00"/>
    <x v="1"/>
  </r>
  <r>
    <s v="La Ceiba S.A"/>
    <d v="2022-01-05T00:00:00"/>
    <m/>
    <n v="1"/>
    <s v="FE-1786"/>
    <x v="0"/>
    <n v="6921.5"/>
    <x v="12"/>
    <n v="50873025"/>
    <n v="14"/>
    <n v="4502243789"/>
    <n v="5079935091"/>
    <n v="5113040015"/>
    <m/>
    <s v="CON RETEN"/>
    <s v="envie correo solicitando factura "/>
    <x v="0"/>
    <d v="2022-01-03T00:00:00"/>
    <m/>
    <m/>
    <m/>
    <m/>
    <m/>
    <m/>
    <m/>
    <m/>
    <d v="2022-01-03T00:00:00"/>
    <x v="1"/>
  </r>
  <r>
    <s v="Miguel Antonio Carrascal Pacheco"/>
    <d v="2022-01-06T00:00:00"/>
    <d v="2022-01-07T00:00:00"/>
    <n v="1"/>
    <s v="MCFE-12"/>
    <x v="0"/>
    <n v="13157"/>
    <x v="12"/>
    <n v="96703950"/>
    <n v="30"/>
    <n v="4502243791"/>
    <n v="5079939038"/>
    <n v="5113034265"/>
    <m/>
    <s v="TIENE BL"/>
    <m/>
    <x v="0"/>
    <d v="2022-01-03T00:00:00"/>
    <m/>
    <m/>
    <m/>
    <m/>
    <m/>
    <m/>
    <m/>
    <m/>
    <d v="2022-01-03T00:00:00"/>
    <x v="1"/>
  </r>
  <r>
    <s v="Miguel Antonio Carrascal Pacheco"/>
    <d v="2022-01-06T00:00:00"/>
    <d v="2022-01-07T00:00:00"/>
    <n v="1"/>
    <s v="NCR33"/>
    <x v="0"/>
    <n v="13157"/>
    <x v="19"/>
    <n v="-774289.45000000484"/>
    <n v="0"/>
    <n v="4502243791"/>
    <n v="5079939038"/>
    <n v="5113034266"/>
    <m/>
    <m/>
    <m/>
    <x v="0"/>
    <d v="2022-01-03T00:00:00"/>
    <m/>
    <m/>
    <m/>
    <m/>
    <m/>
    <m/>
    <m/>
    <m/>
    <d v="2022-01-03T00:00:00"/>
    <x v="1"/>
  </r>
  <r>
    <s v="Sociedad Comercializadora Ganadera"/>
    <d v="2022-01-06T00:00:00"/>
    <d v="2022-01-06T00:00:00"/>
    <n v="1"/>
    <s v="FEDV152"/>
    <x v="0"/>
    <n v="33121"/>
    <x v="9"/>
    <n v="255031700"/>
    <n v="72"/>
    <n v="4502243792"/>
    <n v="5079935092"/>
    <n v="5113038686"/>
    <m/>
    <s v="TIENE BL"/>
    <m/>
    <x v="0"/>
    <d v="2022-01-03T00:00:00"/>
    <m/>
    <m/>
    <m/>
    <m/>
    <m/>
    <m/>
    <m/>
    <m/>
    <d v="2022-01-03T00:00:00"/>
    <x v="1"/>
  </r>
  <r>
    <s v="Sociedad Comercializadora Ganadera"/>
    <d v="2022-01-06T00:00:00"/>
    <d v="2022-01-06T00:00:00"/>
    <n v="1"/>
    <s v="NC49"/>
    <x v="0"/>
    <n v="33121"/>
    <x v="20"/>
    <n v="-303388.35999999515"/>
    <n v="0"/>
    <n v="4502243792"/>
    <n v="5079935092"/>
    <n v="5113038699"/>
    <m/>
    <m/>
    <m/>
    <x v="0"/>
    <d v="2022-01-03T00:00:00"/>
    <m/>
    <m/>
    <m/>
    <m/>
    <m/>
    <m/>
    <m/>
    <m/>
    <d v="2022-01-03T00:00:00"/>
    <x v="1"/>
  </r>
  <r>
    <s v="Agroinversiones RG S.A.S"/>
    <d v="2022-01-03T00:00:00"/>
    <d v="2022-01-05T00:00:00"/>
    <n v="1"/>
    <s v="FE-55"/>
    <x v="1"/>
    <n v="20290.5"/>
    <x v="15"/>
    <n v="151164225"/>
    <n v="42"/>
    <n v="4502243794"/>
    <n v="5079935093"/>
    <n v="5113032103"/>
    <m/>
    <s v="CON RETEN"/>
    <m/>
    <x v="0"/>
    <d v="2022-01-03T00:00:00"/>
    <m/>
    <m/>
    <m/>
    <m/>
    <m/>
    <m/>
    <m/>
    <m/>
    <d v="2022-01-03T00:00:00"/>
    <x v="1"/>
  </r>
  <r>
    <s v="La Ceiba S.A"/>
    <d v="2022-01-05T00:00:00"/>
    <m/>
    <n v="1"/>
    <s v="FE-1785"/>
    <x v="1"/>
    <n v="13319.5"/>
    <x v="12"/>
    <n v="97898325"/>
    <n v="28"/>
    <n v="4502243798"/>
    <n v="5079935094"/>
    <n v="5113036855"/>
    <m/>
    <s v="CON RETEN"/>
    <m/>
    <x v="0"/>
    <d v="2022-01-03T00:00:00"/>
    <m/>
    <m/>
    <m/>
    <m/>
    <m/>
    <m/>
    <m/>
    <m/>
    <d v="2022-01-03T00:00:00"/>
    <x v="1"/>
  </r>
  <r>
    <s v="Agroinversiones RG S.A.S"/>
    <d v="2022-01-04T00:00:00"/>
    <d v="2022-01-07T00:00:00"/>
    <n v="1"/>
    <s v="FE-56"/>
    <x v="0"/>
    <n v="13510"/>
    <x v="15"/>
    <n v="100649500"/>
    <n v="28"/>
    <n v="4502243801"/>
    <n v="5079948081"/>
    <n v="5113034262"/>
    <m/>
    <s v="CON RETEN"/>
    <m/>
    <x v="0"/>
    <d v="2022-01-04T00:00:00"/>
    <m/>
    <m/>
    <m/>
    <m/>
    <m/>
    <m/>
    <m/>
    <m/>
    <d v="2022-01-04T00:00:00"/>
    <x v="1"/>
  </r>
  <r>
    <s v="Agroinversiones RG S.A.S"/>
    <d v="2022-01-04T00:00:00"/>
    <d v="2022-01-07T00:00:00"/>
    <n v="1"/>
    <s v="NC216"/>
    <x v="0"/>
    <n v="13510"/>
    <x v="21"/>
    <n v="-39854.499999997541"/>
    <n v="0"/>
    <n v="4502243801"/>
    <n v="5079948081"/>
    <n v="5113034263"/>
    <m/>
    <m/>
    <m/>
    <x v="0"/>
    <d v="2022-01-04T00:00:00"/>
    <m/>
    <m/>
    <m/>
    <m/>
    <m/>
    <m/>
    <m/>
    <m/>
    <d v="2022-01-04T00:00:00"/>
    <x v="1"/>
  </r>
  <r>
    <s v="Miguel Antonio Carrascal Pacheco"/>
    <d v="2022-01-07T00:00:00"/>
    <d v="2022-01-11T00:00:00"/>
    <n v="1"/>
    <s v="MCFE-13"/>
    <x v="0"/>
    <n v="20362"/>
    <x v="5"/>
    <n v="150678800"/>
    <n v="45"/>
    <n v="4502243802"/>
    <n v="5079948211"/>
    <n v="5113036850"/>
    <m/>
    <s v="TIENE BL"/>
    <m/>
    <x v="0"/>
    <d v="2022-01-04T00:00:00"/>
    <m/>
    <m/>
    <m/>
    <m/>
    <m/>
    <m/>
    <m/>
    <m/>
    <d v="2022-01-04T00:00:00"/>
    <x v="1"/>
  </r>
  <r>
    <s v="Miguel Antonio Carrascal Pacheco"/>
    <d v="2022-01-07T00:00:00"/>
    <d v="2022-01-11T00:00:00"/>
    <n v="1"/>
    <s v="NCR34"/>
    <x v="0"/>
    <n v="20362"/>
    <x v="22"/>
    <n v="-38484.180000006665"/>
    <n v="0"/>
    <n v="4502243802"/>
    <n v="5079948211"/>
    <n v="5113036851"/>
    <m/>
    <m/>
    <m/>
    <x v="0"/>
    <d v="2022-01-04T00:00:00"/>
    <m/>
    <m/>
    <m/>
    <m/>
    <m/>
    <m/>
    <m/>
    <m/>
    <d v="2022-01-04T00:00:00"/>
    <x v="1"/>
  </r>
  <r>
    <s v="Andres Jaramillo Bernal"/>
    <d v="2022-01-05T00:00:00"/>
    <m/>
    <n v="1"/>
    <s v="FEVA-5124"/>
    <x v="0"/>
    <n v="13138"/>
    <x v="5"/>
    <n v="97221200"/>
    <n v="28"/>
    <n v="4502243804"/>
    <n v="5079948082"/>
    <n v="5113034196"/>
    <m/>
    <s v="CON RETEN"/>
    <m/>
    <x v="0"/>
    <d v="2022-01-04T00:00:00"/>
    <m/>
    <m/>
    <m/>
    <m/>
    <m/>
    <m/>
    <m/>
    <m/>
    <d v="2022-01-04T00:00:00"/>
    <x v="1"/>
  </r>
  <r>
    <s v="Andres Jaramillo Bernal"/>
    <d v="2022-01-05T00:00:00"/>
    <m/>
    <n v="1"/>
    <s v="FEVA-5125"/>
    <x v="0"/>
    <n v="13138"/>
    <x v="13"/>
    <n v="656900"/>
    <n v="0"/>
    <n v="4502243804"/>
    <n v="5079948082"/>
    <n v="5113034207"/>
    <m/>
    <m/>
    <m/>
    <x v="0"/>
    <d v="2022-01-04T00:00:00"/>
    <m/>
    <m/>
    <m/>
    <m/>
    <m/>
    <m/>
    <m/>
    <m/>
    <d v="2022-01-04T00:00:00"/>
    <x v="1"/>
  </r>
  <r>
    <s v="Sociedad Comercializadora Ganadera"/>
    <d v="2022-01-11T00:00:00"/>
    <d v="2022-01-11T00:00:00"/>
    <n v="1"/>
    <s v="FEDV153"/>
    <x v="0"/>
    <n v="34343.5"/>
    <x v="9"/>
    <n v="264444950"/>
    <n v="74"/>
    <n v="4502243823"/>
    <n v="5079948083"/>
    <n v="5113038700"/>
    <m/>
    <s v="TIENE BL"/>
    <m/>
    <x v="0"/>
    <d v="2022-01-04T00:00:00"/>
    <m/>
    <m/>
    <m/>
    <m/>
    <m/>
    <m/>
    <m/>
    <m/>
    <d v="2022-01-04T00:00:00"/>
    <x v="1"/>
  </r>
  <r>
    <s v="Sociedad Comercializadora Ganadera"/>
    <d v="2022-01-11T00:00:00"/>
    <d v="2022-01-11T00:00:00"/>
    <n v="1"/>
    <s v="NC52"/>
    <x v="0"/>
    <n v="34343.5"/>
    <x v="23"/>
    <n v="-588304.15500000375"/>
    <n v="0"/>
    <n v="4502243823"/>
    <n v="5079948083"/>
    <n v="5113038701"/>
    <m/>
    <m/>
    <m/>
    <x v="0"/>
    <d v="2022-01-04T00:00:00"/>
    <m/>
    <m/>
    <m/>
    <m/>
    <m/>
    <m/>
    <m/>
    <m/>
    <d v="2022-01-04T00:00:00"/>
    <x v="1"/>
  </r>
  <r>
    <s v="Agropecuaria los Molinos S.A.S"/>
    <d v="2021-12-29T00:00:00"/>
    <d v="2021-12-30T00:00:00"/>
    <n v="1"/>
    <s v="FEMO1010000478"/>
    <x v="0"/>
    <n v="225139"/>
    <x v="24"/>
    <n v="1808991865"/>
    <n v="420"/>
    <n v="4502244647"/>
    <n v="5079901855"/>
    <n v="5113026332"/>
    <m/>
    <s v="EJ 1650000*6 1490000*1"/>
    <m/>
    <x v="0"/>
    <d v="2022-01-04T00:00:00"/>
    <n v="4902185387"/>
    <n v="11390000"/>
    <s v="FEMD-3031*6"/>
    <n v="5113030903"/>
    <s v="FEMD-3032"/>
    <n v="5113030904"/>
    <m/>
    <m/>
    <d v="2022-01-04T00:00:00"/>
    <x v="1"/>
  </r>
  <r>
    <s v="Lina Maria Pelaez Gomez"/>
    <d v="2022-01-04T00:00:00"/>
    <d v="2022-01-07T00:00:00"/>
    <n v="1"/>
    <s v="LP63"/>
    <x v="1"/>
    <n v="25939.5"/>
    <x v="3"/>
    <n v="198437175"/>
    <n v="56"/>
    <n v="4502243824"/>
    <n v="5079948084"/>
    <n v="5113035946"/>
    <m/>
    <s v="TIENE BL"/>
    <m/>
    <x v="0"/>
    <d v="2022-01-04T00:00:00"/>
    <m/>
    <m/>
    <m/>
    <m/>
    <m/>
    <m/>
    <m/>
    <m/>
    <d v="2022-01-04T00:00:00"/>
    <x v="1"/>
  </r>
  <r>
    <s v="Lina Maria Pelaez Gomez"/>
    <d v="2022-01-04T00:00:00"/>
    <d v="2022-01-07T00:00:00"/>
    <n v="1"/>
    <s v="NC46"/>
    <x v="1"/>
    <n v="25939.5"/>
    <x v="25"/>
    <n v="-3928537.2749999953"/>
    <n v="0"/>
    <n v="4502243824"/>
    <n v="5079948084"/>
    <n v="5113036057"/>
    <m/>
    <m/>
    <m/>
    <x v="0"/>
    <d v="2022-01-04T00:00:00"/>
    <m/>
    <m/>
    <m/>
    <m/>
    <m/>
    <m/>
    <m/>
    <m/>
    <d v="2022-01-04T00:00:00"/>
    <x v="1"/>
  </r>
  <r>
    <s v="Comercializadora Ganadera Las Palmas (COGAPAL S.A.S)"/>
    <d v="2022-01-11T00:00:00"/>
    <d v="2022-01-11T00:00:00"/>
    <n v="1"/>
    <n v="97"/>
    <x v="1"/>
    <n v="7228.5"/>
    <x v="5"/>
    <n v="53490900"/>
    <n v="15"/>
    <n v="4502243831"/>
    <n v="5079948258"/>
    <n v="5113036921"/>
    <m/>
    <m/>
    <m/>
    <x v="0"/>
    <d v="2022-01-04T00:00:00"/>
    <m/>
    <m/>
    <m/>
    <m/>
    <m/>
    <m/>
    <m/>
    <m/>
    <d v="2022-01-04T00:00:00"/>
    <x v="1"/>
  </r>
  <r>
    <s v="Comercializadora Ganadera Las Palmas (COGAPAL S.A.S)"/>
    <d v="2022-01-11T00:00:00"/>
    <d v="2022-01-11T00:00:00"/>
    <n v="1"/>
    <s v="ND1"/>
    <x v="1"/>
    <n v="7228.5"/>
    <x v="13"/>
    <n v="361425"/>
    <n v="0"/>
    <n v="4502243831"/>
    <n v="5079948258"/>
    <n v="5113038954"/>
    <m/>
    <m/>
    <s v="SR2354033 caso para pago"/>
    <x v="0"/>
    <d v="2022-01-04T00:00:00"/>
    <m/>
    <m/>
    <m/>
    <m/>
    <m/>
    <m/>
    <m/>
    <m/>
    <d v="2022-01-04T00:00:00"/>
    <x v="1"/>
  </r>
  <r>
    <s v="Organización Empresarial Blanco Hernandez Y CIA. S.C.A."/>
    <d v="2022-01-07T00:00:00"/>
    <d v="2022-01-11T00:00:00"/>
    <n v="2"/>
    <s v="ORG-77"/>
    <x v="0"/>
    <n v="14785"/>
    <x v="15"/>
    <n v="110148250"/>
    <n v="28"/>
    <n v="4502247192"/>
    <n v="5080002596"/>
    <n v="5113040125"/>
    <m/>
    <s v="CON RETEN"/>
    <m/>
    <x v="0"/>
    <d v="2022-01-07T00:00:00"/>
    <m/>
    <m/>
    <m/>
    <m/>
    <m/>
    <m/>
    <m/>
    <m/>
    <d v="2022-01-07T00:00:00"/>
    <x v="1"/>
  </r>
  <r>
    <s v="Organización Empresarial Blanco Hernandez Y CIA. S.C.A."/>
    <d v="2022-01-07T00:00:00"/>
    <m/>
    <n v="2"/>
    <s v="NC210"/>
    <x v="0"/>
    <n v="14785"/>
    <x v="26"/>
    <n v="-333549.60000000591"/>
    <n v="0"/>
    <n v="4502247192"/>
    <n v="5080002596"/>
    <n v="5113040227"/>
    <m/>
    <m/>
    <s v="Marcela la envia nuevamente - deben llegar 2 NC y 1 ND"/>
    <x v="0"/>
    <d v="2022-01-07T00:00:00"/>
    <m/>
    <m/>
    <m/>
    <m/>
    <m/>
    <m/>
    <m/>
    <m/>
    <d v="2022-01-07T00:00:00"/>
    <x v="1"/>
  </r>
  <r>
    <s v="Carnicos AGB S.A.S"/>
    <d v="2022-01-06T00:00:00"/>
    <d v="2022-01-13T00:00:00"/>
    <n v="2"/>
    <s v="FE-38"/>
    <x v="0"/>
    <n v="6936"/>
    <x v="15"/>
    <n v="51673200"/>
    <n v="15"/>
    <n v="4502251606"/>
    <n v="5080049516"/>
    <n v="5113040743"/>
    <m/>
    <s v="CON RETEN"/>
    <s v="Apenas la van a generar la secretaria no estaba "/>
    <x v="0"/>
    <d v="2022-01-07T00:00:00"/>
    <m/>
    <m/>
    <m/>
    <m/>
    <m/>
    <m/>
    <m/>
    <m/>
    <d v="2022-01-07T00:00:00"/>
    <x v="1"/>
  </r>
  <r>
    <s v="Jose Elias Sarquis Matta"/>
    <d v="2022-01-07T00:00:00"/>
    <d v="2022-01-11T00:00:00"/>
    <n v="2"/>
    <s v="EF-29"/>
    <x v="0"/>
    <n v="5232"/>
    <x v="5"/>
    <n v="38716800"/>
    <n v="12"/>
    <n v="4502247193"/>
    <n v="5080002597"/>
    <n v="5113037884"/>
    <m/>
    <s v="CON RETEN"/>
    <m/>
    <x v="0"/>
    <d v="2022-01-07T00:00:00"/>
    <m/>
    <m/>
    <m/>
    <m/>
    <m/>
    <m/>
    <m/>
    <m/>
    <d v="2022-01-07T00:00:00"/>
    <x v="1"/>
  </r>
  <r>
    <s v="Jose Elias Sarquis Matta"/>
    <d v="2022-01-07T00:00:00"/>
    <d v="2022-01-11T00:00:00"/>
    <n v="2"/>
    <s v="NC21"/>
    <x v="0"/>
    <n v="5232"/>
    <x v="2"/>
    <n v="-523200"/>
    <n v="0"/>
    <n v="4502247193"/>
    <n v="5080002597"/>
    <n v="5113037886"/>
    <m/>
    <m/>
    <m/>
    <x v="0"/>
    <d v="2022-01-07T00:00:00"/>
    <m/>
    <m/>
    <m/>
    <m/>
    <m/>
    <m/>
    <m/>
    <m/>
    <d v="2022-01-07T00:00:00"/>
    <x v="1"/>
  </r>
  <r>
    <s v="Andres Felipe Vasquez Velez"/>
    <d v="2022-01-11T00:00:00"/>
    <d v="2022-01-12T00:00:00"/>
    <n v="2"/>
    <s v="FE-11"/>
    <x v="0"/>
    <n v="10128.5"/>
    <x v="3"/>
    <n v="77483025"/>
    <n v="26"/>
    <n v="4502247196"/>
    <n v="5080003818"/>
    <n v="5113038682"/>
    <s v="SI "/>
    <s v="TIENE BL"/>
    <s v="Le envie correo con la solicitud de BL y NC"/>
    <x v="0"/>
    <d v="2022-01-07T00:00:00"/>
    <m/>
    <m/>
    <m/>
    <m/>
    <m/>
    <m/>
    <m/>
    <m/>
    <d v="2022-01-07T00:00:00"/>
    <x v="1"/>
  </r>
  <r>
    <s v="Andres Felipe Vasquez Velez"/>
    <d v="2022-01-11T00:00:00"/>
    <d v="2022-01-12T00:00:00"/>
    <n v="2"/>
    <s v="NC6"/>
    <x v="0"/>
    <n v="10128.5"/>
    <x v="27"/>
    <n v="-646603.44000000146"/>
    <n v="0"/>
    <n v="4502247196"/>
    <n v="5080003818"/>
    <n v="5113038684"/>
    <s v="SI "/>
    <m/>
    <m/>
    <x v="0"/>
    <d v="2022-01-07T00:00:00"/>
    <m/>
    <m/>
    <m/>
    <m/>
    <m/>
    <m/>
    <m/>
    <m/>
    <d v="2022-01-07T00:00:00"/>
    <x v="1"/>
  </r>
  <r>
    <s v="Sociedad Comercializadora Ganadera"/>
    <d v="2022-01-11T00:00:00"/>
    <d v="2022-01-11T00:00:00"/>
    <n v="2"/>
    <s v="FEDV154"/>
    <x v="0"/>
    <n v="55856.5"/>
    <x v="28"/>
    <n v="432887875"/>
    <n v="121"/>
    <n v="4502247198"/>
    <n v="5080004137"/>
    <n v="5113038704"/>
    <m/>
    <s v="TIENE BL"/>
    <s v="SR2336173"/>
    <x v="0"/>
    <d v="2022-01-07T00:00:00"/>
    <m/>
    <m/>
    <m/>
    <m/>
    <m/>
    <m/>
    <m/>
    <m/>
    <d v="2022-01-07T00:00:00"/>
    <x v="1"/>
  </r>
  <r>
    <s v="Sociedad Comercializadora Ganadera"/>
    <d v="2022-01-11T00:00:00"/>
    <m/>
    <n v="2"/>
    <s v="NC53"/>
    <x v="0"/>
    <n v="55856.5"/>
    <x v="29"/>
    <n v="-39099.549999989838"/>
    <n v="0"/>
    <n v="4502247198"/>
    <n v="5080004137"/>
    <n v="5113038706"/>
    <m/>
    <m/>
    <m/>
    <x v="0"/>
    <d v="2022-01-07T00:00:00"/>
    <m/>
    <m/>
    <m/>
    <m/>
    <m/>
    <m/>
    <m/>
    <m/>
    <d v="2022-01-07T00:00:00"/>
    <x v="1"/>
  </r>
  <r>
    <s v="Sociedad Comercializadora Ganadera"/>
    <d v="2022-01-11T00:00:00"/>
    <d v="2022-01-11T00:00:00"/>
    <n v="2"/>
    <s v="FEDV155"/>
    <x v="1"/>
    <n v="30046.5"/>
    <x v="28"/>
    <n v="232860375"/>
    <n v="59"/>
    <n v="4502247199"/>
    <n v="5080003819"/>
    <n v="5113038708"/>
    <m/>
    <s v="TIENE BL"/>
    <s v="SR2336173"/>
    <x v="0"/>
    <d v="2022-01-07T00:00:00"/>
    <m/>
    <m/>
    <m/>
    <m/>
    <m/>
    <m/>
    <m/>
    <m/>
    <d v="2022-01-07T00:00:00"/>
    <x v="1"/>
  </r>
  <r>
    <s v="Sociedad Comercializadora Ganadera"/>
    <d v="2022-01-11T00:00:00"/>
    <d v="2022-01-11T00:00:00"/>
    <n v="2"/>
    <s v="NC54"/>
    <x v="1"/>
    <n v="30046.5"/>
    <x v="30"/>
    <n v="-323901.26999999234"/>
    <n v="0"/>
    <n v="4502247199"/>
    <n v="5080003819"/>
    <n v="5113038711"/>
    <m/>
    <m/>
    <m/>
    <x v="0"/>
    <d v="2022-01-07T00:00:00"/>
    <m/>
    <m/>
    <m/>
    <m/>
    <m/>
    <m/>
    <m/>
    <m/>
    <d v="2022-01-07T00:00:00"/>
    <x v="1"/>
  </r>
  <r>
    <s v="Primavera del Magdalena S.A.S."/>
    <d v="2022-01-11T00:00:00"/>
    <d v="2022-01-11T00:00:00"/>
    <n v="2"/>
    <s v="PRI-51"/>
    <x v="1"/>
    <n v="6787.5"/>
    <x v="5"/>
    <n v="50227500"/>
    <n v="14"/>
    <n v="4502247201"/>
    <n v="5080003820"/>
    <n v="5113037883"/>
    <m/>
    <s v="TIENE BL"/>
    <m/>
    <x v="0"/>
    <d v="2022-01-07T00:00:00"/>
    <m/>
    <m/>
    <m/>
    <m/>
    <m/>
    <m/>
    <m/>
    <m/>
    <d v="2022-01-07T00:00:00"/>
    <x v="1"/>
  </r>
  <r>
    <s v="Miguel Antonio Carrascal Pacheco"/>
    <d v="2022-01-11T00:00:00"/>
    <d v="2022-01-12T00:00:00"/>
    <n v="2"/>
    <s v="MCFE-14"/>
    <x v="0"/>
    <n v="13168"/>
    <x v="12"/>
    <n v="96784800"/>
    <n v="28"/>
    <n v="4502247204"/>
    <n v="5080003821"/>
    <n v="5113038679"/>
    <m/>
    <s v="TIENE BL"/>
    <s v="Envie correo solicitando el BL "/>
    <x v="0"/>
    <d v="2022-01-07T00:00:00"/>
    <m/>
    <m/>
    <m/>
    <m/>
    <m/>
    <m/>
    <m/>
    <m/>
    <d v="2022-01-07T00:00:00"/>
    <x v="1"/>
  </r>
  <r>
    <s v="Miguel Antonio Carrascal Pacheco"/>
    <d v="2022-01-11T00:00:00"/>
    <d v="2022-01-12T00:00:00"/>
    <n v="2"/>
    <s v="NCR35"/>
    <x v="0"/>
    <n v="13168"/>
    <x v="31"/>
    <n v="-730692.31999999715"/>
    <n v="0"/>
    <n v="4502247204"/>
    <n v="5080003821"/>
    <n v="5113038680"/>
    <m/>
    <m/>
    <m/>
    <x v="0"/>
    <d v="2022-01-07T00:00:00"/>
    <m/>
    <m/>
    <m/>
    <m/>
    <m/>
    <m/>
    <m/>
    <m/>
    <d v="2022-01-07T00:00:00"/>
    <x v="1"/>
  </r>
  <r>
    <s v="Agropecuaria Tabaida S.A.S"/>
    <d v="2022-01-07T00:00:00"/>
    <d v="2022-01-12T00:00:00"/>
    <n v="2"/>
    <s v="MT1210"/>
    <x v="0"/>
    <n v="39608"/>
    <x v="5"/>
    <n v="293099200"/>
    <n v="84"/>
    <n v="4502249893"/>
    <n v="5080015500"/>
    <n v="5113039651"/>
    <m/>
    <s v="TIENE BL"/>
    <s v="Envie correo "/>
    <x v="1"/>
    <d v="2022-01-07T00:00:00"/>
    <m/>
    <m/>
    <m/>
    <m/>
    <m/>
    <m/>
    <m/>
    <m/>
    <d v="2022-01-07T00:00:00"/>
    <x v="1"/>
  </r>
  <r>
    <s v="Surtidora Agropecuaria De Colombia"/>
    <d v="2022-01-07T00:00:00"/>
    <d v="2022-01-11T00:00:00"/>
    <n v="2"/>
    <s v="FESA-20"/>
    <x v="0"/>
    <n v="19256"/>
    <x v="15"/>
    <n v="143457200"/>
    <n v="42"/>
    <n v="4502249898"/>
    <n v="5080015551"/>
    <n v="5113037897"/>
    <m/>
    <s v="TIENE BL"/>
    <m/>
    <x v="1"/>
    <d v="2022-01-07T00:00:00"/>
    <m/>
    <m/>
    <m/>
    <m/>
    <m/>
    <m/>
    <m/>
    <m/>
    <d v="2022-01-07T00:00:00"/>
    <x v="1"/>
  </r>
  <r>
    <s v="Inversiones Valle Del Canalete S.A.S"/>
    <d v="2022-01-08T00:00:00"/>
    <d v="2022-01-11T00:00:00"/>
    <n v="2"/>
    <s v="IVC93"/>
    <x v="0"/>
    <n v="20159"/>
    <x v="15"/>
    <n v="150184550"/>
    <n v="42"/>
    <n v="4502249894"/>
    <n v="5080015506"/>
    <n v="5113038775"/>
    <s v="SI"/>
    <s v="CON RETEN"/>
    <s v="La enviaron nuevamente "/>
    <x v="1"/>
    <d v="2022-01-07T00:00:00"/>
    <m/>
    <m/>
    <m/>
    <m/>
    <m/>
    <m/>
    <m/>
    <m/>
    <d v="2022-01-07T00:00:00"/>
    <x v="1"/>
  </r>
  <r>
    <s v="Luis Fernando Rojas Prada"/>
    <d v="2022-01-11T00:00:00"/>
    <d v="2022-01-11T00:00:00"/>
    <n v="2"/>
    <s v="FELC-730"/>
    <x v="0"/>
    <n v="34646"/>
    <x v="0"/>
    <n v="237325100"/>
    <n v="70"/>
    <n v="4502249256"/>
    <n v="5080004503"/>
    <n v="5113037027"/>
    <s v="TIENE BL"/>
    <s v="EJ*5 2982600*5"/>
    <s v="SR2336167 Reque pago"/>
    <x v="0"/>
    <d v="2022-01-08T00:00:00"/>
    <n v="4902188282"/>
    <n v="14913000"/>
    <s v="FEMD-3053*5"/>
    <n v="5113037811"/>
    <m/>
    <m/>
    <m/>
    <m/>
    <d v="2022-01-08T00:00:00"/>
    <x v="1"/>
  </r>
  <r>
    <s v="Distrimora Limitada"/>
    <d v="2022-01-08T00:00:00"/>
    <m/>
    <n v="2"/>
    <s v="FE97"/>
    <x v="0"/>
    <n v="20712.5"/>
    <x v="15"/>
    <n v="154308125"/>
    <n v="42"/>
    <n v="4502247207"/>
    <n v="5080003918"/>
    <n v="5113043114"/>
    <m/>
    <s v="CON RETEN"/>
    <s v="Valida con el contador y me llama "/>
    <x v="0"/>
    <d v="2022-01-08T00:00:00"/>
    <m/>
    <m/>
    <m/>
    <m/>
    <m/>
    <m/>
    <m/>
    <m/>
    <d v="2022-01-08T00:00:00"/>
    <x v="1"/>
  </r>
  <r>
    <s v="Distrimora Limitada"/>
    <d v="2022-01-08T00:00:00"/>
    <m/>
    <n v="2"/>
    <s v="ND3"/>
    <x v="0"/>
    <n v="20712.5"/>
    <x v="32"/>
    <n v="914042.62500000221"/>
    <n v="0"/>
    <n v="4502247207"/>
    <n v="5080003918"/>
    <n v="5113043115"/>
    <m/>
    <m/>
    <s v="envio los documentos por correo dieron autorizacion de radicar manual en mesa de ayuda "/>
    <x v="0"/>
    <d v="2022-01-08T00:00:00"/>
    <m/>
    <m/>
    <m/>
    <m/>
    <m/>
    <m/>
    <m/>
    <m/>
    <d v="2022-01-08T00:00:00"/>
    <x v="1"/>
  </r>
  <r>
    <s v="Inversiones y Negocios V&amp;V S.A.S"/>
    <d v="2022-01-11T00:00:00"/>
    <d v="2022-01-11T00:00:00"/>
    <n v="2"/>
    <s v="FE1567"/>
    <x v="0"/>
    <n v="13162.5"/>
    <x v="3"/>
    <n v="100693125"/>
    <n v="28"/>
    <n v="4502247208"/>
    <n v="5080003919"/>
    <n v="5113037817"/>
    <m/>
    <s v="CON RETEN"/>
    <m/>
    <x v="0"/>
    <d v="2022-01-08T00:00:00"/>
    <m/>
    <m/>
    <m/>
    <m/>
    <m/>
    <m/>
    <m/>
    <m/>
    <d v="2022-01-08T00:00:00"/>
    <x v="1"/>
  </r>
  <r>
    <s v="Sociedad Comercializadora Ganadera"/>
    <d v="2022-01-11T00:00:00"/>
    <d v="2022-01-11T00:00:00"/>
    <n v="2"/>
    <s v="FEDV156"/>
    <x v="0"/>
    <n v="32140.5"/>
    <x v="28"/>
    <n v="249088875"/>
    <n v="75"/>
    <n v="4502247209"/>
    <n v="5080003920"/>
    <n v="5113038712"/>
    <m/>
    <s v="TIENE BL"/>
    <s v="SR2336173"/>
    <x v="0"/>
    <d v="2022-01-08T00:00:00"/>
    <m/>
    <m/>
    <m/>
    <m/>
    <m/>
    <m/>
    <m/>
    <m/>
    <d v="2022-01-08T00:00:00"/>
    <x v="1"/>
  </r>
  <r>
    <s v="Sociedad Comercializadora Ganadera"/>
    <d v="2022-01-11T00:00:00"/>
    <d v="2022-01-11T00:00:00"/>
    <n v="2"/>
    <s v="NC55"/>
    <x v="0"/>
    <n v="32140.5"/>
    <x v="33"/>
    <n v="-1112704.1099999964"/>
    <n v="0"/>
    <n v="4502247209"/>
    <n v="5080003920"/>
    <n v="5113038714"/>
    <m/>
    <m/>
    <m/>
    <x v="0"/>
    <d v="2022-01-08T00:00:00"/>
    <m/>
    <m/>
    <m/>
    <m/>
    <m/>
    <m/>
    <m/>
    <m/>
    <d v="2022-01-08T00:00:00"/>
    <x v="1"/>
  </r>
  <r>
    <s v="Primavera del Magdalena S.A.S."/>
    <d v="2022-01-11T00:00:00"/>
    <d v="2022-01-11T00:00:00"/>
    <n v="2"/>
    <s v="PRI-51"/>
    <x v="1"/>
    <n v="6787.5"/>
    <x v="5"/>
    <n v="50227500"/>
    <n v="14"/>
    <n v="4502247210"/>
    <n v="5080003820"/>
    <n v="5113037883"/>
    <m/>
    <s v="TIENE BL"/>
    <m/>
    <x v="0"/>
    <d v="2022-01-08T00:00:00"/>
    <m/>
    <m/>
    <m/>
    <m/>
    <m/>
    <m/>
    <m/>
    <m/>
    <d v="2022-01-08T00:00:00"/>
    <x v="1"/>
  </r>
  <r>
    <s v="Industria Ganadera Hato Cebu S.A."/>
    <d v="2022-01-11T00:00:00"/>
    <d v="2022-01-11T00:00:00"/>
    <n v="2"/>
    <s v="FEHC231"/>
    <x v="1"/>
    <n v="13422.5"/>
    <x v="3"/>
    <n v="102682125"/>
    <n v="28"/>
    <n v="4502247211"/>
    <n v="5080003827"/>
    <n v="5113036977"/>
    <m/>
    <s v="CON RETEN"/>
    <m/>
    <x v="0"/>
    <d v="2022-01-08T00:00:00"/>
    <m/>
    <m/>
    <m/>
    <m/>
    <m/>
    <m/>
    <m/>
    <m/>
    <d v="2022-01-08T00:00:00"/>
    <x v="1"/>
  </r>
  <r>
    <s v="Sociedad Comercializadora Ganadera"/>
    <d v="2022-01-12T00:00:00"/>
    <d v="2022-01-12T00:00:00"/>
    <n v="2"/>
    <s v="FEDV157"/>
    <x v="0"/>
    <n v="35335.5"/>
    <x v="28"/>
    <n v="273850125"/>
    <n v="75"/>
    <n v="4502247213"/>
    <n v="5080004439"/>
    <n v="5113044338"/>
    <m/>
    <s v="TIENE BL"/>
    <m/>
    <x v="0"/>
    <d v="2022-01-09T00:00:00"/>
    <m/>
    <m/>
    <m/>
    <m/>
    <m/>
    <m/>
    <m/>
    <m/>
    <d v="2022-01-09T00:00:00"/>
    <x v="1"/>
  </r>
  <r>
    <s v="JERAL S.A.S"/>
    <d v="2022-01-11T00:00:00"/>
    <m/>
    <n v="2"/>
    <s v="JFEV-35"/>
    <x v="0"/>
    <n v="28599"/>
    <x v="0"/>
    <n v="195903150"/>
    <n v="56"/>
    <n v="4502249258"/>
    <n v="5080004502"/>
    <n v="5113037028"/>
    <m/>
    <s v="EJ*4 2979200*4"/>
    <s v="Solicitud de pago"/>
    <x v="0"/>
    <d v="2022-01-09T00:00:00"/>
    <n v="4902188285"/>
    <n v="11916800"/>
    <s v="FEMD-3057"/>
    <n v="5113037813"/>
    <s v="FEMD-3058*3"/>
    <n v="5113037815"/>
    <m/>
    <m/>
    <d v="2022-01-09T00:00:00"/>
    <x v="1"/>
  </r>
  <r>
    <s v="La Ceiba S.A"/>
    <d v="2022-01-11T00:00:00"/>
    <m/>
    <n v="2"/>
    <s v="FE-1787"/>
    <x v="1"/>
    <n v="27193.5"/>
    <x v="5"/>
    <n v="201231900"/>
    <n v="56"/>
    <n v="4502247214"/>
    <n v="5080004440"/>
    <n v="5113046871"/>
    <m/>
    <s v="CON RETEN"/>
    <m/>
    <x v="0"/>
    <d v="2022-01-09T00:00:00"/>
    <m/>
    <m/>
    <m/>
    <m/>
    <m/>
    <m/>
    <m/>
    <m/>
    <d v="2022-01-09T00:00:00"/>
    <x v="1"/>
  </r>
  <r>
    <s v="La Ceiba S.A"/>
    <d v="2022-01-11T00:00:00"/>
    <m/>
    <n v="2"/>
    <s v="NC10026"/>
    <x v="1"/>
    <n v="27193.5"/>
    <x v="34"/>
    <n v="-187363.2150000089"/>
    <n v="0"/>
    <n v="4502247214"/>
    <n v="5080004440"/>
    <n v="5113046872"/>
    <s v="SI"/>
    <m/>
    <s v="Envie correo "/>
    <x v="0"/>
    <d v="2022-01-09T00:00:00"/>
    <m/>
    <m/>
    <m/>
    <m/>
    <m/>
    <m/>
    <m/>
    <m/>
    <d v="2022-01-09T00:00:00"/>
    <x v="1"/>
  </r>
  <r>
    <s v="Andres Jaramillo Bernal"/>
    <d v="2022-01-09T00:00:00"/>
    <d v="2022-01-14T00:00:00"/>
    <n v="2"/>
    <s v="FEVA-5126"/>
    <x v="1"/>
    <n v="6679.5"/>
    <x v="5"/>
    <n v="49428300"/>
    <n v="14"/>
    <n v="4502247216"/>
    <n v="5080004441"/>
    <n v="5113043108"/>
    <m/>
    <s v="CON RETEN"/>
    <m/>
    <x v="0"/>
    <d v="2022-01-09T00:00:00"/>
    <m/>
    <m/>
    <m/>
    <m/>
    <m/>
    <m/>
    <m/>
    <m/>
    <d v="2022-01-09T00:00:00"/>
    <x v="1"/>
  </r>
  <r>
    <s v="Angela Maria Restrepo Diaz"/>
    <d v="2022-01-09T00:00:00"/>
    <d v="2022-01-13T00:00:00"/>
    <n v="2"/>
    <s v="AR58"/>
    <x v="0"/>
    <n v="13167.5"/>
    <x v="3"/>
    <n v="100731375"/>
    <n v="28"/>
    <n v="4502247218"/>
    <n v="5080004442"/>
    <n v="5113040699"/>
    <m/>
    <s v="CON RETEN"/>
    <m/>
    <x v="0"/>
    <d v="2022-01-10T00:00:00"/>
    <m/>
    <m/>
    <m/>
    <m/>
    <m/>
    <m/>
    <m/>
    <m/>
    <d v="2022-01-10T00:00:00"/>
    <x v="1"/>
  </r>
  <r>
    <s v="Jorge Luis Reyes Vargas"/>
    <d v="2022-01-21T00:00:00"/>
    <m/>
    <n v="2"/>
    <s v="FE-49"/>
    <x v="0"/>
    <n v="7042"/>
    <x v="5"/>
    <n v="52110800"/>
    <n v="14"/>
    <n v="4502247220"/>
    <n v="5080013082"/>
    <n v="5113061621"/>
    <m/>
    <s v="CON RETEN"/>
    <s v="Que hoy envia la factura esta accidentado el contador "/>
    <x v="0"/>
    <d v="2022-01-10T00:00:00"/>
    <m/>
    <m/>
    <m/>
    <m/>
    <m/>
    <m/>
    <m/>
    <m/>
    <d v="2022-01-10T00:00:00"/>
    <x v="1"/>
  </r>
  <r>
    <s v="Jorge Luis Reyes Vargas"/>
    <d v="2022-01-21T00:00:00"/>
    <d v="2022-01-25T00:00:00"/>
    <n v="2"/>
    <s v="NCRE10"/>
    <x v="0"/>
    <n v="7042"/>
    <x v="35"/>
    <n v="-412168.2599999982"/>
    <n v="0"/>
    <n v="4502247220"/>
    <n v="5080013082"/>
    <n v="5113061625"/>
    <m/>
    <m/>
    <s v="Envie correo con la liquidacion nuevamente "/>
    <x v="0"/>
    <d v="2022-01-10T00:00:00"/>
    <m/>
    <m/>
    <m/>
    <m/>
    <m/>
    <m/>
    <m/>
    <m/>
    <d v="2022-01-10T00:00:00"/>
    <x v="1"/>
  </r>
  <r>
    <s v="Luis Jose Jaramillo Mejia"/>
    <d v="2022-01-10T00:00:00"/>
    <d v="2022-01-13T00:00:00"/>
    <n v="2"/>
    <s v="LJM43"/>
    <x v="0"/>
    <n v="13240"/>
    <x v="12"/>
    <n v="97314000"/>
    <n v="28"/>
    <n v="4502247221"/>
    <n v="5080004443"/>
    <n v="5113040738"/>
    <m/>
    <s v="CON RETE"/>
    <m/>
    <x v="0"/>
    <d v="2022-01-10T00:00:00"/>
    <m/>
    <m/>
    <m/>
    <m/>
    <m/>
    <m/>
    <m/>
    <m/>
    <d v="2022-01-10T00:00:00"/>
    <x v="1"/>
  </r>
  <r>
    <s v="Luis Jose Jaramillo Mejia"/>
    <d v="2022-01-10T00:00:00"/>
    <d v="2022-01-13T00:00:00"/>
    <n v="2"/>
    <s v="NCR4"/>
    <x v="0"/>
    <n v="13240"/>
    <x v="36"/>
    <n v="-269036.79999999615"/>
    <n v="0"/>
    <n v="4502247221"/>
    <n v="5080004443"/>
    <n v="5113040740"/>
    <m/>
    <m/>
    <m/>
    <x v="0"/>
    <d v="2022-01-10T00:00:00"/>
    <m/>
    <m/>
    <m/>
    <m/>
    <m/>
    <m/>
    <m/>
    <m/>
    <d v="2022-01-10T00:00:00"/>
    <x v="1"/>
  </r>
  <r>
    <s v="Sociedad Comercializadora Ganadera"/>
    <d v="2022-01-18T00:00:00"/>
    <d v="2022-01-18T00:00:00"/>
    <n v="2"/>
    <s v="FEDV158"/>
    <x v="0"/>
    <n v="13619.5"/>
    <x v="28"/>
    <n v="105551125"/>
    <n v="30"/>
    <n v="4502247223"/>
    <n v="5080013590"/>
    <n v="5113050316"/>
    <m/>
    <s v="TIENE BL"/>
    <m/>
    <x v="0"/>
    <d v="2022-01-10T00:00:00"/>
    <m/>
    <m/>
    <m/>
    <m/>
    <m/>
    <m/>
    <m/>
    <m/>
    <d v="2022-01-10T00:00:00"/>
    <x v="1"/>
  </r>
  <r>
    <s v="Sociedad Comercializadora Ganadera"/>
    <d v="2022-01-18T00:00:00"/>
    <d v="2022-01-18T00:00:00"/>
    <n v="2"/>
    <s v="NC56"/>
    <x v="0"/>
    <n v="13619.5"/>
    <x v="37"/>
    <n v="-281242.67499999504"/>
    <n v="0"/>
    <n v="4502247223"/>
    <n v="5080013590"/>
    <n v="5113050327"/>
    <m/>
    <m/>
    <m/>
    <x v="0"/>
    <d v="2022-01-10T00:00:00"/>
    <m/>
    <m/>
    <m/>
    <m/>
    <m/>
    <m/>
    <m/>
    <m/>
    <d v="2022-01-10T00:00:00"/>
    <x v="1"/>
  </r>
  <r>
    <s v="Ganadera Yalu S En C."/>
    <d v="2022-01-13T00:00:00"/>
    <m/>
    <n v="2"/>
    <s v="GY-8"/>
    <x v="1"/>
    <n v="6704"/>
    <x v="12"/>
    <n v="49274400"/>
    <n v="14"/>
    <n v="4502247225"/>
    <n v="5080013083"/>
    <n v="5113043111"/>
    <m/>
    <s v="CON RETENCION"/>
    <m/>
    <x v="0"/>
    <d v="2022-01-10T00:00:00"/>
    <m/>
    <m/>
    <m/>
    <m/>
    <m/>
    <m/>
    <m/>
    <m/>
    <d v="2022-01-10T00:00:00"/>
    <x v="1"/>
  </r>
  <r>
    <s v="Inversiones Castilla Barbosa S.A.S."/>
    <d v="2022-01-13T00:00:00"/>
    <d v="2022-01-13T00:00:00"/>
    <n v="2"/>
    <s v="FE64"/>
    <x v="1"/>
    <n v="28542"/>
    <x v="38"/>
    <n v="214065000"/>
    <n v="56"/>
    <n v="4502247226"/>
    <n v="5080013085"/>
    <n v="5113041144"/>
    <m/>
    <s v="TIENE BL"/>
    <m/>
    <x v="0"/>
    <d v="2022-01-10T00:00:00"/>
    <m/>
    <m/>
    <m/>
    <m/>
    <m/>
    <m/>
    <m/>
    <m/>
    <d v="2022-01-10T00:00:00"/>
    <x v="1"/>
  </r>
  <r>
    <s v="Inversiones Castilla Barbosa S.A.S."/>
    <d v="2022-01-13T00:00:00"/>
    <d v="2022-01-13T00:00:00"/>
    <n v="2"/>
    <s v="DF228"/>
    <x v="1"/>
    <n v="28542"/>
    <x v="39"/>
    <n v="3119355.1799999988"/>
    <n v="0"/>
    <n v="4502247226"/>
    <n v="5080013085"/>
    <n v="5113041146"/>
    <m/>
    <m/>
    <m/>
    <x v="0"/>
    <d v="2022-01-10T00:00:00"/>
    <m/>
    <m/>
    <m/>
    <m/>
    <m/>
    <m/>
    <m/>
    <m/>
    <d v="2022-01-10T00:00:00"/>
    <x v="1"/>
  </r>
  <r>
    <s v="Carlos Mario Duque Cadavid"/>
    <d v="2022-01-10T00:00:00"/>
    <m/>
    <n v="2"/>
    <s v="CD-95"/>
    <x v="0"/>
    <n v="25844"/>
    <x v="15"/>
    <n v="192537800"/>
    <n v="56"/>
    <n v="4502251564"/>
    <n v="5080049360"/>
    <n v="5113042216"/>
    <m/>
    <m/>
    <m/>
    <x v="1"/>
    <d v="2022-01-10T00:00:00"/>
    <m/>
    <m/>
    <m/>
    <m/>
    <m/>
    <m/>
    <m/>
    <m/>
    <d v="2022-01-10T00:00:00"/>
    <x v="1"/>
  </r>
  <r>
    <s v="Agropecuaria El Uberrimo S.A.S"/>
    <d v="2022-01-10T00:00:00"/>
    <d v="2022-01-13T00:00:00"/>
    <n v="2"/>
    <s v="FE192"/>
    <x v="0"/>
    <n v="7563"/>
    <x v="15"/>
    <n v="56344350"/>
    <n v="15"/>
    <n v="4502251577"/>
    <n v="5080049363"/>
    <n v="5113043212"/>
    <m/>
    <s v="CON RETEN"/>
    <m/>
    <x v="1"/>
    <d v="2022-01-10T00:00:00"/>
    <m/>
    <m/>
    <m/>
    <m/>
    <m/>
    <m/>
    <m/>
    <m/>
    <d v="2022-01-10T00:00:00"/>
    <x v="1"/>
  </r>
  <r>
    <s v="31416 S.A.S"/>
    <d v="2022-01-10T00:00:00"/>
    <d v="2022-01-13T00:00:00"/>
    <n v="2"/>
    <s v="PI115"/>
    <x v="0"/>
    <n v="7244"/>
    <x v="5"/>
    <n v="53605600"/>
    <n v="15"/>
    <n v="4502251595"/>
    <n v="5080050791"/>
    <n v="5113044339"/>
    <m/>
    <s v="CON RETEN"/>
    <m/>
    <x v="1"/>
    <d v="2022-01-10T00:00:00"/>
    <m/>
    <m/>
    <m/>
    <m/>
    <m/>
    <m/>
    <m/>
    <m/>
    <d v="2022-01-10T00:00:00"/>
    <x v="1"/>
  </r>
  <r>
    <s v="Lina Maria Pelaez Gomez"/>
    <d v="2022-01-11T00:00:00"/>
    <d v="2022-01-14T00:00:00"/>
    <n v="2"/>
    <s v="LP64"/>
    <x v="0"/>
    <n v="52070"/>
    <x v="9"/>
    <n v="400939000"/>
    <n v="112"/>
    <n v="4502247227"/>
    <n v="5080030826"/>
    <n v="5113045083"/>
    <m/>
    <s v="TIENE BL"/>
    <m/>
    <x v="0"/>
    <d v="2022-01-11T00:00:00"/>
    <m/>
    <m/>
    <m/>
    <m/>
    <m/>
    <m/>
    <m/>
    <m/>
    <d v="2022-01-11T00:00:00"/>
    <x v="1"/>
  </r>
  <r>
    <s v="Lina Maria Pelaez Gomez"/>
    <d v="2022-01-11T00:00:00"/>
    <d v="2022-01-14T00:00:00"/>
    <n v="2"/>
    <s v="NC47"/>
    <x v="0"/>
    <n v="52070"/>
    <x v="40"/>
    <n v="-39052.5"/>
    <n v="0"/>
    <n v="4502247227"/>
    <n v="5080030826"/>
    <n v="5113045104"/>
    <m/>
    <m/>
    <m/>
    <x v="0"/>
    <d v="2022-01-11T00:00:00"/>
    <m/>
    <m/>
    <m/>
    <m/>
    <m/>
    <m/>
    <m/>
    <m/>
    <d v="2022-01-11T00:00:00"/>
    <x v="1"/>
  </r>
  <r>
    <s v="Rafael Ignacio Jaramillo Londoño"/>
    <d v="2022-01-11T00:00:00"/>
    <d v="2022-01-14T00:00:00"/>
    <n v="2"/>
    <s v="GAN-57"/>
    <x v="0"/>
    <n v="15097"/>
    <x v="3"/>
    <n v="115492050"/>
    <n v="30"/>
    <n v="4502247230"/>
    <n v="5080031617"/>
    <n v="5113042816"/>
    <m/>
    <s v="TIENE BL"/>
    <m/>
    <x v="0"/>
    <d v="2022-01-11T00:00:00"/>
    <m/>
    <m/>
    <m/>
    <m/>
    <m/>
    <m/>
    <m/>
    <m/>
    <d v="2022-01-11T00:00:00"/>
    <x v="1"/>
  </r>
  <r>
    <s v="Agropecuaria los Molinos S.A.S"/>
    <d v="2021-12-29T00:00:00"/>
    <d v="2021-12-30T00:00:00"/>
    <n v="2"/>
    <s v="FEMO1010000478"/>
    <x v="0"/>
    <n v="67541.7"/>
    <x v="24"/>
    <n v="542697559.5"/>
    <n v="126"/>
    <n v="4502244647"/>
    <n v="5079901855"/>
    <n v="5113026332"/>
    <m/>
    <s v="EJ*9 1650000*3 1490000*2 1580000*4"/>
    <m/>
    <x v="0"/>
    <d v="2022-01-11T00:00:00"/>
    <n v="4902188286"/>
    <n v="14250000"/>
    <s v="FEMD-3063*3"/>
    <n v="5113037831"/>
    <s v="FEMD-3064*2"/>
    <n v="5113037835"/>
    <s v="FEMD-3065*4"/>
    <n v="5113037849"/>
    <d v="2022-01-11T00:00:00"/>
    <x v="1"/>
  </r>
  <r>
    <s v="Guamal S EN C"/>
    <d v="2022-01-17T00:00:00"/>
    <d v="2022-01-17T00:00:00"/>
    <n v="2"/>
    <n v="1075962"/>
    <x v="1"/>
    <n v="6789.5"/>
    <x v="12"/>
    <n v="49902825"/>
    <n v="14"/>
    <n v="4502247231"/>
    <n v="5080031128"/>
    <n v="5113044956"/>
    <m/>
    <s v="CON RETEN"/>
    <s v="Estaba de viaje hoy factura "/>
    <x v="0"/>
    <d v="2022-01-11T00:00:00"/>
    <m/>
    <m/>
    <m/>
    <m/>
    <m/>
    <m/>
    <m/>
    <m/>
    <d v="2022-01-11T00:00:00"/>
    <x v="1"/>
  </r>
  <r>
    <s v="Sociedad Comercializadora Ganadera"/>
    <d v="2022-01-18T00:00:00"/>
    <d v="2022-01-18T00:00:00"/>
    <n v="2"/>
    <s v="FEDV159"/>
    <x v="1"/>
    <n v="28471"/>
    <x v="28"/>
    <n v="220650250"/>
    <n v="57"/>
    <n v="4502247232"/>
    <n v="5080031129"/>
    <n v="5113050331"/>
    <m/>
    <s v="TIENE BL"/>
    <m/>
    <x v="0"/>
    <d v="2022-01-11T00:00:00"/>
    <m/>
    <m/>
    <m/>
    <m/>
    <m/>
    <m/>
    <m/>
    <m/>
    <d v="2022-01-11T00:00:00"/>
    <x v="1"/>
  </r>
  <r>
    <s v="Sociedad Comercializadora Ganadera"/>
    <d v="2022-01-18T00:00:00"/>
    <d v="2022-01-18T00:00:00"/>
    <n v="2"/>
    <s v="NC57"/>
    <x v="1"/>
    <n v="28471"/>
    <x v="41"/>
    <n v="-38720.559999990677"/>
    <n v="0"/>
    <n v="4502247232"/>
    <n v="5080031129"/>
    <n v="5113050337"/>
    <m/>
    <m/>
    <m/>
    <x v="0"/>
    <d v="2022-01-11T00:00:00"/>
    <m/>
    <m/>
    <m/>
    <m/>
    <m/>
    <m/>
    <m/>
    <m/>
    <d v="2022-01-11T00:00:00"/>
    <x v="1"/>
  </r>
  <r>
    <s v="Fernando Arevalo Reyes"/>
    <d v="2022-01-13T00:00:00"/>
    <m/>
    <n v="3"/>
    <s v="FVE-104"/>
    <x v="0"/>
    <n v="6897.5"/>
    <x v="5"/>
    <n v="51041500"/>
    <n v="14"/>
    <n v="4502250679"/>
    <n v="5080065682"/>
    <n v="5113048950"/>
    <m/>
    <s v="TIENE BL"/>
    <m/>
    <x v="0"/>
    <d v="2022-01-13T00:00:00"/>
    <m/>
    <m/>
    <m/>
    <m/>
    <m/>
    <m/>
    <m/>
    <m/>
    <d v="2022-01-13T00:00:00"/>
    <x v="1"/>
  </r>
  <r>
    <s v="Edwar Florez Zabaleta"/>
    <d v="2022-01-18T00:00:00"/>
    <m/>
    <n v="3"/>
    <s v="GANA-9"/>
    <x v="2"/>
    <n v="22232.25"/>
    <x v="12"/>
    <n v="163407037.5"/>
    <n v="45"/>
    <n v="4502250680"/>
    <n v="5080065683"/>
    <n v="5113060132"/>
    <m/>
    <s v="TIENE BL"/>
    <s v="Le puse mensaje por ws"/>
    <x v="0"/>
    <d v="2022-01-13T00:00:00"/>
    <m/>
    <m/>
    <m/>
    <m/>
    <m/>
    <m/>
    <m/>
    <m/>
    <d v="2022-01-13T00:00:00"/>
    <x v="1"/>
  </r>
  <r>
    <s v="Edwar Florez Zabaleta"/>
    <d v="2022-01-18T00:00:00"/>
    <m/>
    <n v="3"/>
    <s v="GANA-9"/>
    <x v="1"/>
    <n v="7410.75"/>
    <x v="12"/>
    <n v="54469012.5"/>
    <n v="15"/>
    <n v="4502250686"/>
    <n v="5080065683"/>
    <n v="5113060132"/>
    <m/>
    <s v="TIENE BL"/>
    <s v="Le pedi a Manu q me ayude "/>
    <x v="0"/>
    <d v="2022-01-13T00:00:00"/>
    <m/>
    <m/>
    <m/>
    <m/>
    <m/>
    <m/>
    <m/>
    <m/>
    <d v="2022-01-13T00:00:00"/>
    <x v="1"/>
  </r>
  <r>
    <s v="Edwar Florez Zabaleta"/>
    <d v="2022-01-19T00:00:00"/>
    <m/>
    <n v="3"/>
    <s v="DF26"/>
    <x v="2"/>
    <n v="29643"/>
    <x v="13"/>
    <n v="1482150"/>
    <n v="0"/>
    <n v="4502250680"/>
    <n v="5080065683"/>
    <n v="5113060133"/>
    <m/>
    <m/>
    <s v="No contesta 10:07 am 20/01"/>
    <x v="0"/>
    <d v="2022-01-13T00:00:00"/>
    <m/>
    <m/>
    <m/>
    <m/>
    <m/>
    <m/>
    <m/>
    <m/>
    <d v="2022-01-13T00:00:00"/>
    <x v="1"/>
  </r>
  <r>
    <s v="Sociedad Comercializadora Ganadera"/>
    <d v="2022-01-18T00:00:00"/>
    <d v="2022-01-18T00:00:00"/>
    <n v="3"/>
    <s v="FEDV160"/>
    <x v="2"/>
    <n v="33358.5"/>
    <x v="28"/>
    <n v="258528375"/>
    <n v="73"/>
    <n v="4502250681"/>
    <n v="5080065684"/>
    <n v="5113050340"/>
    <m/>
    <s v="TIENE BL"/>
    <m/>
    <x v="0"/>
    <d v="2022-01-13T00:00:00"/>
    <m/>
    <m/>
    <m/>
    <m/>
    <m/>
    <m/>
    <m/>
    <m/>
    <d v="2022-01-13T00:00:00"/>
    <x v="1"/>
  </r>
  <r>
    <s v="Sociedad Comercializadora Ganadera"/>
    <d v="2022-01-18T00:00:00"/>
    <d v="2022-01-18T00:00:00"/>
    <n v="3"/>
    <s v="NC58"/>
    <x v="2"/>
    <n v="33358.5"/>
    <x v="42"/>
    <n v="-114086.07000000242"/>
    <n v="0"/>
    <n v="4502250681"/>
    <n v="5080065684"/>
    <n v="5113050350"/>
    <m/>
    <m/>
    <m/>
    <x v="0"/>
    <d v="2022-01-13T00:00:00"/>
    <m/>
    <m/>
    <m/>
    <m/>
    <m/>
    <m/>
    <m/>
    <m/>
    <d v="2022-01-13T00:00:00"/>
    <x v="1"/>
  </r>
  <r>
    <s v="Rafael Alfonso Castillo Labarces"/>
    <d v="2022-01-13T00:00:00"/>
    <m/>
    <n v="3"/>
    <s v="FE-3"/>
    <x v="2"/>
    <n v="12694"/>
    <x v="12"/>
    <n v="93300900"/>
    <n v="28"/>
    <n v="4502250682"/>
    <n v="5080065685"/>
    <n v="5113071284"/>
    <m/>
    <m/>
    <s v="Q habla con el contador porque la gestiono 18/01"/>
    <x v="0"/>
    <d v="2022-01-13T00:00:00"/>
    <m/>
    <m/>
    <m/>
    <m/>
    <m/>
    <m/>
    <m/>
    <m/>
    <d v="2022-01-13T00:00:00"/>
    <x v="1"/>
  </r>
  <r>
    <s v="Rafael Alfonso Castillo Labarces"/>
    <d v="2022-01-13T00:00:00"/>
    <d v="2022-01-26T00:00:00"/>
    <n v="3"/>
    <s v="NC2"/>
    <x v="2"/>
    <n v="12694"/>
    <x v="13"/>
    <n v="-634700"/>
    <n v="0"/>
    <n v="4502250682"/>
    <n v="5080065685"/>
    <n v="5113071285"/>
    <s v="Manual"/>
    <s v="Caso # IN208270 "/>
    <s v="Se envio documentos pdf y xml a recepcion "/>
    <x v="0"/>
    <d v="2022-01-13T00:00:00"/>
    <m/>
    <m/>
    <m/>
    <m/>
    <m/>
    <m/>
    <m/>
    <m/>
    <d v="2022-01-13T00:00:00"/>
    <x v="1"/>
  </r>
  <r>
    <s v="Angel David Castilla Sanchez"/>
    <d v="2022-01-19T00:00:00"/>
    <m/>
    <n v="3"/>
    <s v="FED-471"/>
    <x v="2"/>
    <n v="13137"/>
    <x v="5"/>
    <n v="97213800"/>
    <n v="30"/>
    <n v="4502250684"/>
    <n v="5080065686"/>
    <n v="5113054083"/>
    <m/>
    <s v="TIENE BL"/>
    <m/>
    <x v="0"/>
    <d v="2022-01-13T00:00:00"/>
    <m/>
    <m/>
    <m/>
    <m/>
    <m/>
    <m/>
    <m/>
    <m/>
    <d v="2022-01-13T00:00:00"/>
    <x v="1"/>
  </r>
  <r>
    <s v="Angel David Castilla Sanchez"/>
    <d v="2022-01-19T00:00:00"/>
    <m/>
    <n v="3"/>
    <s v="EC9"/>
    <x v="2"/>
    <n v="13137"/>
    <x v="43"/>
    <n v="-2010092.3700000029"/>
    <n v="0"/>
    <n v="4502250684"/>
    <n v="5080065686"/>
    <n v="5113054085"/>
    <m/>
    <m/>
    <m/>
    <x v="0"/>
    <d v="2022-01-13T00:00:00"/>
    <m/>
    <m/>
    <m/>
    <m/>
    <m/>
    <m/>
    <m/>
    <m/>
    <d v="2022-01-13T00:00:00"/>
    <x v="1"/>
  </r>
  <r>
    <s v="Lismenia Torcoroma Rincon Hernandez"/>
    <d v="2022-01-14T00:00:00"/>
    <m/>
    <n v="3"/>
    <s v="GANA-120"/>
    <x v="2"/>
    <n v="27069.5"/>
    <x v="38"/>
    <n v="203021250"/>
    <n v="61"/>
    <n v="4502250688"/>
    <n v="5080089802"/>
    <n v="5113048325"/>
    <m/>
    <s v="TIENE BL"/>
    <s v="Envie correo solicitando BL "/>
    <x v="0"/>
    <d v="2022-01-14T00:00:00"/>
    <m/>
    <m/>
    <m/>
    <m/>
    <m/>
    <m/>
    <m/>
    <m/>
    <d v="2022-01-14T00:00:00"/>
    <x v="1"/>
  </r>
  <r>
    <s v="Sociedad Comercializadora Ganadera"/>
    <d v="2022-01-18T00:00:00"/>
    <d v="2022-01-18T00:00:00"/>
    <n v="3"/>
    <s v="FEDV161"/>
    <x v="2"/>
    <n v="22253"/>
    <x v="28"/>
    <n v="172460750"/>
    <n v="45"/>
    <n v="4502250691"/>
    <n v="5080089630"/>
    <n v="5113050354"/>
    <m/>
    <s v="TIENE BL"/>
    <m/>
    <x v="0"/>
    <d v="2022-01-14T00:00:00"/>
    <m/>
    <m/>
    <m/>
    <m/>
    <m/>
    <m/>
    <m/>
    <m/>
    <d v="2022-01-14T00:00:00"/>
    <x v="1"/>
  </r>
  <r>
    <s v="Agropecuaria Tabaida S.A.S"/>
    <d v="2022-01-14T00:00:00"/>
    <d v="2022-01-14T00:00:00"/>
    <n v="3"/>
    <s v="MT-1218"/>
    <x v="2"/>
    <n v="39656"/>
    <x v="1"/>
    <n v="289488800"/>
    <n v="84"/>
    <n v="4502252895"/>
    <n v="5080070746"/>
    <n v="5113044502"/>
    <s v="TIENE BL"/>
    <s v="EJ*3 y TYC 1857700*3 y 4200000"/>
    <m/>
    <x v="0"/>
    <d v="2022-01-14T00:00:00"/>
    <n v="4902192596"/>
    <s v="EJ - 5573100 y TYC 4200000"/>
    <s v="FEMD-3081*3"/>
    <n v="5113045051"/>
    <s v="ETE-2561"/>
    <n v="5113058871"/>
    <m/>
    <m/>
    <d v="2022-01-14T00:00:00"/>
    <x v="1"/>
  </r>
  <r>
    <s v="Oscar Fabian Quintero Ardila"/>
    <d v="2022-01-14T00:00:00"/>
    <d v="2022-01-19T00:00:00"/>
    <n v="3"/>
    <s v="FE34"/>
    <x v="0"/>
    <n v="6976"/>
    <x v="12"/>
    <n v="51273600"/>
    <n v="15"/>
    <n v="4502250694"/>
    <n v="5080089803"/>
    <n v="5113050535"/>
    <m/>
    <s v="TIENE BL"/>
    <m/>
    <x v="0"/>
    <d v="2022-01-14T00:00:00"/>
    <m/>
    <m/>
    <m/>
    <m/>
    <m/>
    <m/>
    <m/>
    <m/>
    <d v="2022-01-14T00:00:00"/>
    <x v="1"/>
  </r>
  <r>
    <s v="Oscar Fabian Quintero Ardila"/>
    <d v="2022-01-14T00:00:00"/>
    <d v="2022-01-19T00:00:00"/>
    <n v="3"/>
    <s v="NC11"/>
    <x v="0"/>
    <n v="6976"/>
    <x v="2"/>
    <n v="-697600"/>
    <n v="0"/>
    <n v="4502250694"/>
    <n v="5080089803"/>
    <n v="5113050536"/>
    <m/>
    <m/>
    <m/>
    <x v="0"/>
    <d v="2022-01-14T00:00:00"/>
    <m/>
    <m/>
    <m/>
    <m/>
    <m/>
    <m/>
    <m/>
    <m/>
    <d v="2022-01-14T00:00:00"/>
    <x v="1"/>
  </r>
  <r>
    <s v="Maria Victoria Yepes Garcia"/>
    <d v="2022-01-14T00:00:00"/>
    <d v="2022-01-17T00:00:00"/>
    <n v="3"/>
    <s v="MVYG27"/>
    <x v="0"/>
    <n v="6545.5"/>
    <x v="12"/>
    <n v="48109425"/>
    <n v="14"/>
    <n v="4502250695"/>
    <n v="5080089631"/>
    <n v="5113046873"/>
    <m/>
    <s v="TIENE BL"/>
    <m/>
    <x v="0"/>
    <d v="2022-01-14T00:00:00"/>
    <m/>
    <m/>
    <m/>
    <m/>
    <m/>
    <m/>
    <m/>
    <m/>
    <d v="2022-01-14T00:00:00"/>
    <x v="1"/>
  </r>
  <r>
    <s v="Robinson Jose Chica Vega"/>
    <d v="2022-01-20T00:00:00"/>
    <d v="2022-01-20T00:00:00"/>
    <n v="3"/>
    <s v="FEC-457"/>
    <x v="0"/>
    <n v="13370.5"/>
    <x v="5"/>
    <n v="98941700"/>
    <n v="28"/>
    <n v="4502250697"/>
    <n v="5080089632"/>
    <n v="5113052125"/>
    <m/>
    <s v="CON RETEN"/>
    <m/>
    <x v="0"/>
    <d v="2022-01-14T00:00:00"/>
    <m/>
    <m/>
    <m/>
    <m/>
    <m/>
    <m/>
    <m/>
    <m/>
    <d v="2022-01-14T00:00:00"/>
    <x v="1"/>
  </r>
  <r>
    <s v="Robinson Jose Chica Vega"/>
    <d v="2022-01-20T00:00:00"/>
    <d v="2022-01-20T00:00:00"/>
    <n v="3"/>
    <s v="NC213"/>
    <x v="0"/>
    <n v="13370.5"/>
    <x v="13"/>
    <n v="-668525"/>
    <n v="0"/>
    <n v="4502250697"/>
    <n v="5080089632"/>
    <n v="5113052126"/>
    <m/>
    <m/>
    <m/>
    <x v="0"/>
    <d v="2022-01-14T00:00:00"/>
    <m/>
    <m/>
    <m/>
    <m/>
    <m/>
    <m/>
    <m/>
    <m/>
    <d v="2022-01-14T00:00:00"/>
    <x v="1"/>
  </r>
  <r>
    <s v="Luis Francisco Pereira Florez"/>
    <d v="2022-01-15T00:00:00"/>
    <d v="2022-01-18T00:00:00"/>
    <n v="3"/>
    <s v="FP2"/>
    <x v="2"/>
    <n v="14662"/>
    <x v="12"/>
    <n v="107765700"/>
    <n v="28"/>
    <n v="4502250698"/>
    <n v="5080089633"/>
    <n v="5113050599"/>
    <m/>
    <s v="CON RETEN"/>
    <m/>
    <x v="0"/>
    <d v="2022-01-15T00:00:00"/>
    <m/>
    <m/>
    <m/>
    <m/>
    <m/>
    <m/>
    <m/>
    <m/>
    <d v="2022-01-15T00:00:00"/>
    <x v="1"/>
  </r>
  <r>
    <s v="Luis Francisco Pereira Florez"/>
    <d v="2022-01-15T00:00:00"/>
    <d v="2022-01-18T00:00:00"/>
    <n v="3"/>
    <s v="FP1"/>
    <x v="2"/>
    <n v="14662"/>
    <x v="44"/>
    <n v="-60114.200000005338"/>
    <n v="0"/>
    <n v="4502250698"/>
    <n v="5080089633"/>
    <n v="5113050603"/>
    <m/>
    <s v="CON RETEN"/>
    <m/>
    <x v="0"/>
    <d v="2022-01-15T00:00:00"/>
    <m/>
    <m/>
    <m/>
    <m/>
    <m/>
    <m/>
    <m/>
    <m/>
    <d v="2022-01-15T00:00:00"/>
    <x v="1"/>
  </r>
  <r>
    <s v="GANADERIA MANZANARES S.A.S"/>
    <d v="2022-01-18T00:00:00"/>
    <m/>
    <n v="3"/>
    <s v="FA-5905"/>
    <x v="2"/>
    <n v="7193.5"/>
    <x v="5"/>
    <n v="53231900"/>
    <n v="15"/>
    <n v="4502250701"/>
    <n v="5080089634"/>
    <n v="5113047051"/>
    <m/>
    <s v="CON RETEN"/>
    <m/>
    <x v="0"/>
    <d v="2022-01-15T00:00:00"/>
    <m/>
    <m/>
    <m/>
    <m/>
    <m/>
    <m/>
    <m/>
    <m/>
    <d v="2022-01-15T00:00:00"/>
    <x v="1"/>
  </r>
  <r>
    <s v="Agropastoril De Colombia S.A.S."/>
    <d v="2022-01-15T00:00:00"/>
    <m/>
    <n v="3"/>
    <s v="AP-58"/>
    <x v="2"/>
    <n v="26582"/>
    <x v="1"/>
    <n v="194048600"/>
    <n v="56"/>
    <n v="4502252898"/>
    <n v="5080070771"/>
    <n v="5113045749"/>
    <s v="CON RETEN"/>
    <s v="EJ*4 1638223*4"/>
    <m/>
    <x v="0"/>
    <d v="2022-01-15T00:00:00"/>
    <n v="4902192597"/>
    <n v="6552892"/>
    <s v="FEMD-3083*4"/>
    <n v="5113045098"/>
    <m/>
    <m/>
    <m/>
    <m/>
    <d v="2022-01-15T00:00:00"/>
    <x v="1"/>
  </r>
  <r>
    <s v="Sociedad Comercializadora Ganadera"/>
    <d v="2022-01-18T00:00:00"/>
    <d v="2022-01-18T00:00:00"/>
    <n v="3"/>
    <s v="FEDV162"/>
    <x v="2"/>
    <n v="69589"/>
    <x v="28"/>
    <n v="539314750"/>
    <n v="149"/>
    <n v="4502250704"/>
    <n v="5080089635"/>
    <n v="5113050356"/>
    <m/>
    <s v="TIENE BL"/>
    <m/>
    <x v="0"/>
    <d v="2022-01-15T00:00:00"/>
    <m/>
    <m/>
    <m/>
    <m/>
    <m/>
    <m/>
    <m/>
    <m/>
    <d v="2022-01-15T00:00:00"/>
    <x v="1"/>
  </r>
  <r>
    <s v="Sociedad Comercializadora Ganadera"/>
    <d v="2022-01-18T00:00:00"/>
    <d v="2022-01-18T00:00:00"/>
    <n v="3"/>
    <s v="FEDV163"/>
    <x v="2"/>
    <n v="27404.5"/>
    <x v="28"/>
    <n v="212384875"/>
    <n v="60"/>
    <n v="4502250709"/>
    <n v="5080099874"/>
    <n v="5113050367"/>
    <m/>
    <s v="TIENE BL"/>
    <m/>
    <x v="0"/>
    <d v="2022-01-16T00:00:00"/>
    <m/>
    <m/>
    <m/>
    <m/>
    <m/>
    <m/>
    <m/>
    <m/>
    <d v="2022-01-16T00:00:00"/>
    <x v="1"/>
  </r>
  <r>
    <s v="Diomar Ibañez Criado"/>
    <d v="2022-01-19T00:00:00"/>
    <m/>
    <n v="3"/>
    <s v="FE-165"/>
    <x v="1"/>
    <n v="12928.5"/>
    <x v="12"/>
    <n v="95024475"/>
    <n v="28"/>
    <n v="4502251140"/>
    <n v="5080099876"/>
    <n v="5113052874"/>
    <m/>
    <s v="CON RETEN"/>
    <s v="Lo llame y le envie correo solicitando NC "/>
    <x v="0"/>
    <d v="2022-01-16T00:00:00"/>
    <m/>
    <m/>
    <m/>
    <m/>
    <m/>
    <m/>
    <m/>
    <m/>
    <d v="2022-01-16T00:00:00"/>
    <x v="1"/>
  </r>
  <r>
    <s v="Diomar Ibañez Criado"/>
    <d v="2022-01-20T00:00:00"/>
    <m/>
    <n v="3"/>
    <s v="MV00V22"/>
    <x v="1"/>
    <n v="12928.5"/>
    <x v="45"/>
    <n v="-685727.63999999955"/>
    <n v="0"/>
    <n v="4502251140"/>
    <n v="5080099876"/>
    <n v="5113052875"/>
    <s v="SI"/>
    <m/>
    <m/>
    <x v="0"/>
    <d v="2022-01-16T00:00:00"/>
    <m/>
    <m/>
    <m/>
    <m/>
    <m/>
    <m/>
    <m/>
    <m/>
    <d v="2022-01-16T00:00:00"/>
    <x v="1"/>
  </r>
  <r>
    <s v="Inversiones El Rezago y CIA LTDA"/>
    <d v="2022-01-16T00:00:00"/>
    <d v="2022-01-18T00:00:00"/>
    <n v="3"/>
    <s v="RZO15"/>
    <x v="1"/>
    <n v="13718.5"/>
    <x v="9"/>
    <n v="105632450"/>
    <n v="28"/>
    <n v="4502250719"/>
    <n v="5080099875"/>
    <n v="5113049026"/>
    <m/>
    <s v="CON RETEN"/>
    <m/>
    <x v="0"/>
    <d v="2022-01-16T00:00:00"/>
    <m/>
    <m/>
    <m/>
    <m/>
    <m/>
    <m/>
    <m/>
    <m/>
    <d v="2022-01-16T00:00:00"/>
    <x v="1"/>
  </r>
  <r>
    <s v="Hugo Alfonso Portillo Rodriguez"/>
    <d v="2022-01-17T00:00:00"/>
    <d v="2022-01-25T00:00:00"/>
    <n v="3"/>
    <s v="E104"/>
    <x v="2"/>
    <n v="13436.5"/>
    <x v="5"/>
    <n v="99430100"/>
    <n v="28"/>
    <n v="4502250720"/>
    <n v="5080122257"/>
    <n v="5113063310"/>
    <m/>
    <s v="TIENE BL"/>
    <m/>
    <x v="0"/>
    <d v="2022-01-17T00:00:00"/>
    <m/>
    <m/>
    <m/>
    <m/>
    <m/>
    <m/>
    <m/>
    <m/>
    <d v="2022-01-17T00:00:00"/>
    <x v="1"/>
  </r>
  <r>
    <s v="Lina Maria Pelaez Gomez"/>
    <d v="2022-01-17T00:00:00"/>
    <d v="2022-01-20T00:00:00"/>
    <n v="3"/>
    <s v="LP65"/>
    <x v="1"/>
    <n v="15170"/>
    <x v="9"/>
    <n v="116809000"/>
    <n v="30"/>
    <n v="4502250721"/>
    <n v="5080122553"/>
    <n v="5113054009"/>
    <m/>
    <s v="TIENE BL"/>
    <m/>
    <x v="0"/>
    <d v="2022-01-17T00:00:00"/>
    <m/>
    <m/>
    <m/>
    <m/>
    <m/>
    <m/>
    <m/>
    <m/>
    <d v="2022-01-17T00:00:00"/>
    <x v="1"/>
  </r>
  <r>
    <s v="Lina Maria Pelaez Gomez"/>
    <d v="2022-01-17T00:00:00"/>
    <d v="2022-01-20T00:00:00"/>
    <n v="3"/>
    <s v="NC48"/>
    <x v="1"/>
    <n v="15170"/>
    <x v="2"/>
    <n v="-1517000"/>
    <n v="0"/>
    <n v="4502250721"/>
    <n v="5080122553"/>
    <n v="5113054011"/>
    <m/>
    <m/>
    <m/>
    <x v="0"/>
    <d v="2022-01-17T00:00:00"/>
    <m/>
    <m/>
    <m/>
    <m/>
    <m/>
    <m/>
    <m/>
    <m/>
    <d v="2022-01-17T00:00:00"/>
    <x v="1"/>
  </r>
  <r>
    <s v="Sociedad Comercializadora Ganadera"/>
    <d v="2022-01-20T00:00:00"/>
    <d v="2022-01-20T00:00:00"/>
    <n v="3"/>
    <s v="FEDV-164"/>
    <x v="1"/>
    <n v="13656"/>
    <x v="28"/>
    <n v="105834000"/>
    <n v="30"/>
    <n v="4502250723"/>
    <n v="5080122554"/>
    <n v="5113053840"/>
    <m/>
    <s v="TIENE BL"/>
    <m/>
    <x v="0"/>
    <d v="2022-01-17T00:00:00"/>
    <m/>
    <m/>
    <m/>
    <m/>
    <m/>
    <m/>
    <m/>
    <m/>
    <d v="2022-01-17T00:00:00"/>
    <x v="1"/>
  </r>
  <r>
    <s v="Inversiones Valle Del Canalete S.A.S"/>
    <d v="2022-01-18T00:00:00"/>
    <d v="2022-01-19T00:00:00"/>
    <n v="3"/>
    <s v="IVC95"/>
    <x v="2"/>
    <n v="20782"/>
    <x v="1"/>
    <n v="151708600"/>
    <n v="42"/>
    <n v="4502254501"/>
    <n v="5080125023"/>
    <n v="5113051680"/>
    <s v="CON RETEN"/>
    <s v="EJ*3 1793900*3"/>
    <m/>
    <x v="0"/>
    <d v="2022-01-18T00:00:00"/>
    <n v="4902192600"/>
    <n v="5381700"/>
    <s v="FEMD-3103*3"/>
    <n v="5113051646"/>
    <m/>
    <m/>
    <m/>
    <m/>
    <d v="2022-01-18T00:00:00"/>
    <x v="1"/>
  </r>
  <r>
    <s v="Jorge Ignacio Sanchez Restrepo"/>
    <d v="2022-01-21T00:00:00"/>
    <d v="2022-01-21T00:00:00"/>
    <n v="3"/>
    <s v="FEJS-22"/>
    <x v="2"/>
    <n v="35197"/>
    <x v="3"/>
    <n v="269257050"/>
    <n v="75"/>
    <n v="4502257308"/>
    <n v="5080198870"/>
    <n v="5113057075"/>
    <m/>
    <s v="CON RETEN"/>
    <m/>
    <x v="0"/>
    <d v="2022-01-18T00:00:00"/>
    <m/>
    <m/>
    <m/>
    <m/>
    <m/>
    <m/>
    <m/>
    <m/>
    <d v="2022-01-18T00:00:00"/>
    <x v="1"/>
  </r>
  <r>
    <s v="Agroindustria Ganadera Valle Del Cesar"/>
    <d v="2022-01-21T00:00:00"/>
    <d v="2022-01-24T00:00:00"/>
    <n v="3"/>
    <s v="FE-39"/>
    <x v="2"/>
    <n v="14187"/>
    <x v="12"/>
    <n v="104274450"/>
    <n v="28"/>
    <n v="4502257846"/>
    <n v="5080207007"/>
    <n v="5113058834"/>
    <m/>
    <m/>
    <m/>
    <x v="0"/>
    <d v="2022-01-18T00:00:00"/>
    <m/>
    <m/>
    <m/>
    <m/>
    <m/>
    <m/>
    <m/>
    <m/>
    <d v="2022-01-18T00:00:00"/>
    <x v="1"/>
  </r>
  <r>
    <s v="Agropecuaria los Molinos S.A.S"/>
    <d v="2021-12-29T00:00:00"/>
    <d v="2021-12-30T00:00:00"/>
    <n v="3"/>
    <s v="FEMO1010000478"/>
    <x v="0"/>
    <n v="52532.432999999997"/>
    <x v="24"/>
    <n v="422098099.15499997"/>
    <n v="84"/>
    <n v="4502244647"/>
    <n v="5079901855"/>
    <n v="5113026332"/>
    <m/>
    <s v="EJ*6 1580000*1 1490000*5"/>
    <m/>
    <x v="0"/>
    <d v="2022-01-18T00:00:00"/>
    <n v="4902192602"/>
    <n v="9030000"/>
    <s v="FEMD-3105"/>
    <n v="5113049200"/>
    <s v="FEMD-3106*5"/>
    <n v="5113049201"/>
    <m/>
    <m/>
    <d v="2022-01-18T00:00:00"/>
    <x v="1"/>
  </r>
  <r>
    <s v="Sociedad Comercializadora Ganadera"/>
    <d v="2022-01-21T00:00:00"/>
    <d v="2022-01-21T00:00:00"/>
    <n v="3"/>
    <s v="FEDV166"/>
    <x v="2"/>
    <n v="12901.5"/>
    <x v="28"/>
    <n v="99986625"/>
    <n v="31"/>
    <n v="4502250735"/>
    <n v="5080141072"/>
    <n v="5113057858"/>
    <m/>
    <s v="TIENE BL"/>
    <m/>
    <x v="0"/>
    <d v="2022-01-18T00:00:00"/>
    <m/>
    <m/>
    <m/>
    <m/>
    <m/>
    <m/>
    <m/>
    <m/>
    <d v="2022-01-18T00:00:00"/>
    <x v="1"/>
  </r>
  <r>
    <s v="Sociedad Comercializadora Ganadera"/>
    <d v="2022-01-21T00:00:00"/>
    <d v="2022-01-21T00:00:00"/>
    <n v="3"/>
    <s v="NC59"/>
    <x v="2"/>
    <n v="12901.5"/>
    <x v="46"/>
    <n v="-310410.09000000515"/>
    <n v="0"/>
    <n v="4502250735"/>
    <n v="5080141072"/>
    <n v="5113057860"/>
    <m/>
    <m/>
    <m/>
    <x v="0"/>
    <d v="2022-01-18T00:00:00"/>
    <m/>
    <m/>
    <m/>
    <m/>
    <m/>
    <m/>
    <m/>
    <m/>
    <d v="2022-01-18T00:00:00"/>
    <x v="1"/>
  </r>
  <r>
    <s v="La OKA S.A.S."/>
    <d v="2022-01-24T00:00:00"/>
    <m/>
    <n v="4"/>
    <s v="FEOK-52"/>
    <x v="0"/>
    <n v="6429.5"/>
    <x v="5"/>
    <n v="47578300"/>
    <n v="14"/>
    <n v="4502255293"/>
    <n v="5080170028"/>
    <n v="5113058835"/>
    <m/>
    <m/>
    <m/>
    <x v="0"/>
    <d v="2022-01-20T00:00:00"/>
    <m/>
    <m/>
    <m/>
    <m/>
    <m/>
    <m/>
    <m/>
    <m/>
    <d v="2022-01-20T00:00:00"/>
    <x v="1"/>
  </r>
  <r>
    <s v="Lismenia Torcoroma Rincon Hernandez"/>
    <d v="2022-01-20T00:00:00"/>
    <m/>
    <n v="4"/>
    <s v="GANA-123"/>
    <x v="2"/>
    <n v="27984.5"/>
    <x v="38"/>
    <n v="209883750"/>
    <n v="56"/>
    <n v="4502255296"/>
    <n v="5080170029"/>
    <n v="5113059636"/>
    <m/>
    <s v="TIENE BL"/>
    <m/>
    <x v="0"/>
    <d v="2022-01-20T00:00:00"/>
    <m/>
    <m/>
    <m/>
    <m/>
    <m/>
    <m/>
    <m/>
    <m/>
    <d v="2022-01-20T00:00:00"/>
    <x v="1"/>
  </r>
  <r>
    <s v="Lismenia Torcoroma Rincon Hernandez"/>
    <d v="2022-01-20T00:00:00"/>
    <m/>
    <n v="4"/>
    <s v="NC000031"/>
    <x v="2"/>
    <n v="27984.5"/>
    <x v="47"/>
    <n v="-62685.279999993894"/>
    <n v="0"/>
    <n v="4502255296"/>
    <n v="5080170029"/>
    <n v="5113059747"/>
    <m/>
    <m/>
    <m/>
    <x v="0"/>
    <d v="2022-01-20T00:00:00"/>
    <m/>
    <m/>
    <m/>
    <m/>
    <m/>
    <m/>
    <m/>
    <m/>
    <d v="2022-01-20T00:00:00"/>
    <x v="1"/>
  </r>
  <r>
    <s v="Carlos Andres Castilla Angarita"/>
    <d v="2022-01-21T00:00:00"/>
    <m/>
    <n v="4"/>
    <s v="CACA-15"/>
    <x v="2"/>
    <n v="6140.5"/>
    <x v="5"/>
    <n v="45439700"/>
    <n v="14"/>
    <n v="4502255298"/>
    <n v="5080170030"/>
    <n v="5113061324"/>
    <m/>
    <s v="TIENE BL"/>
    <m/>
    <x v="0"/>
    <d v="2022-01-20T00:00:00"/>
    <m/>
    <m/>
    <m/>
    <m/>
    <m/>
    <m/>
    <m/>
    <m/>
    <d v="2022-01-20T00:00:00"/>
    <x v="1"/>
  </r>
  <r>
    <s v="Carlos Andres Castilla Angarita"/>
    <d v="2022-01-25T00:00:00"/>
    <m/>
    <n v="4"/>
    <s v="NC8"/>
    <x v="2"/>
    <n v="6140.5"/>
    <x v="48"/>
    <n v="-78107.160000001561"/>
    <n v="0"/>
    <n v="4502255298"/>
    <n v="5080170030"/>
    <n v="5113061326"/>
    <m/>
    <m/>
    <m/>
    <x v="0"/>
    <d v="2022-01-20T00:00:00"/>
    <m/>
    <m/>
    <m/>
    <m/>
    <m/>
    <m/>
    <m/>
    <m/>
    <d v="2022-01-20T00:00:00"/>
    <x v="1"/>
  </r>
  <r>
    <s v="Rodolfo De Jesus Jaramillo Calle"/>
    <d v="2022-01-20T00:00:00"/>
    <d v="2022-01-24T00:00:00"/>
    <n v="4"/>
    <s v="FE-79"/>
    <x v="2"/>
    <n v="15204.5"/>
    <x v="9"/>
    <n v="117074650"/>
    <n v="30"/>
    <n v="4502255301"/>
    <n v="5080170031"/>
    <n v="5113063253"/>
    <m/>
    <s v="TIENE BL"/>
    <m/>
    <x v="0"/>
    <d v="2022-01-20T00:00:00"/>
    <m/>
    <m/>
    <m/>
    <m/>
    <m/>
    <m/>
    <m/>
    <m/>
    <d v="2022-01-20T00:00:00"/>
    <x v="1"/>
  </r>
  <r>
    <s v="Rodolfo De Jesus Jaramillo Calle"/>
    <d v="2022-01-24T00:00:00"/>
    <d v="2022-01-24T00:00:00"/>
    <n v="4"/>
    <s v="NC249"/>
    <x v="2"/>
    <n v="15204.5"/>
    <x v="49"/>
    <n v="-2404439.630000005"/>
    <n v="0"/>
    <n v="4502255301"/>
    <n v="5080170031"/>
    <n v="5113063254"/>
    <m/>
    <m/>
    <s v="Contacto mesa de ayuda  IN208270 - se envia correo a recepcion con xml y pdf"/>
    <x v="0"/>
    <d v="2022-01-20T00:00:00"/>
    <m/>
    <m/>
    <m/>
    <m/>
    <m/>
    <m/>
    <m/>
    <m/>
    <d v="2022-01-20T00:00:00"/>
    <x v="1"/>
  </r>
  <r>
    <s v="Lina Maria Pelaez Gomez"/>
    <d v="2022-01-21T00:00:00"/>
    <d v="2022-01-24T00:00:00"/>
    <n v="4"/>
    <s v="LP-66"/>
    <x v="2"/>
    <n v="24570"/>
    <x v="9"/>
    <n v="189189000"/>
    <n v="56"/>
    <n v="4502255305"/>
    <n v="5080170032"/>
    <n v="5113063307"/>
    <m/>
    <s v="TIENE BL"/>
    <m/>
    <x v="0"/>
    <d v="2022-01-20T00:00:00"/>
    <m/>
    <m/>
    <m/>
    <m/>
    <m/>
    <m/>
    <m/>
    <m/>
    <d v="2022-01-20T00:00:00"/>
    <x v="1"/>
  </r>
  <r>
    <s v="Lina Maria Pelaez Gomez"/>
    <d v="2022-01-21T00:00:00"/>
    <d v="2022-01-24T00:00:00"/>
    <n v="4"/>
    <s v="NC49"/>
    <x v="2"/>
    <n v="24570"/>
    <x v="50"/>
    <n v="-117444.59999999375"/>
    <n v="0"/>
    <n v="4502255305"/>
    <n v="5080170032"/>
    <n v="5113063308"/>
    <m/>
    <m/>
    <s v="Correo solicitando BL "/>
    <x v="0"/>
    <d v="2022-01-20T00:00:00"/>
    <m/>
    <m/>
    <m/>
    <m/>
    <m/>
    <m/>
    <m/>
    <m/>
    <d v="2022-01-20T00:00:00"/>
    <x v="1"/>
  </r>
  <r>
    <s v="Carnicos AGB S.A.S"/>
    <d v="2022-01-20T00:00:00"/>
    <d v="2022-01-24T00:00:00"/>
    <n v="4"/>
    <s v="FE-39"/>
    <x v="2"/>
    <n v="25880.5"/>
    <x v="51"/>
    <n v="195397775"/>
    <n v="57"/>
    <n v="4502255309"/>
    <n v="5080170034"/>
    <n v="5113058994"/>
    <m/>
    <s v="CON RETEN"/>
    <m/>
    <x v="0"/>
    <d v="2022-01-20T00:00:00"/>
    <m/>
    <m/>
    <m/>
    <m/>
    <m/>
    <m/>
    <m/>
    <m/>
    <d v="2022-01-20T00:00:00"/>
    <x v="1"/>
  </r>
  <r>
    <s v="Carnicos AGB S.A.S"/>
    <d v="2022-01-20T00:00:00"/>
    <d v="2022-01-24T00:00:00"/>
    <n v="4"/>
    <s v="NC212"/>
    <x v="2"/>
    <n v="25880.5"/>
    <x v="52"/>
    <n v="-77382.694999994346"/>
    <n v="0"/>
    <n v="4502255309"/>
    <n v="5080170034"/>
    <n v="5113059038"/>
    <m/>
    <m/>
    <m/>
    <x v="0"/>
    <d v="2022-01-20T00:00:00"/>
    <m/>
    <m/>
    <m/>
    <m/>
    <m/>
    <m/>
    <m/>
    <m/>
    <d v="2022-01-20T00:00:00"/>
    <x v="1"/>
  </r>
  <r>
    <s v="Inversiones El Cruce S.A."/>
    <d v="2022-01-20T00:00:00"/>
    <d v="2022-01-24T00:00:00"/>
    <n v="4"/>
    <s v="E-138"/>
    <x v="2"/>
    <n v="6604.5"/>
    <x v="9"/>
    <n v="50854650"/>
    <n v="14"/>
    <n v="4502255312"/>
    <n v="5080170036"/>
    <n v="5113059044"/>
    <m/>
    <s v="CON RETEN"/>
    <m/>
    <x v="0"/>
    <d v="2022-01-20T00:00:00"/>
    <m/>
    <m/>
    <m/>
    <m/>
    <m/>
    <m/>
    <m/>
    <m/>
    <d v="2022-01-20T00:00:00"/>
    <x v="1"/>
  </r>
  <r>
    <s v="Lismenia Torcoroma Rincon Hernandez"/>
    <d v="2022-01-21T00:00:00"/>
    <m/>
    <n v="4"/>
    <s v="GANA-125"/>
    <x v="2"/>
    <n v="7638.5"/>
    <x v="38"/>
    <n v="57288750"/>
    <n v="16"/>
    <n v="4502255314"/>
    <n v="5080180088"/>
    <n v="5113062900"/>
    <m/>
    <s v="TIENE BL"/>
    <m/>
    <x v="0"/>
    <d v="2022-01-21T00:00:00"/>
    <m/>
    <m/>
    <m/>
    <m/>
    <m/>
    <m/>
    <m/>
    <m/>
    <d v="2022-01-21T00:00:00"/>
    <x v="1"/>
  </r>
  <r>
    <s v="Agroinversiones RG S.A.S"/>
    <d v="2022-01-21T00:00:00"/>
    <d v="2022-01-24T00:00:00"/>
    <n v="4"/>
    <s v="FE-57"/>
    <x v="2"/>
    <n v="19477.5"/>
    <x v="51"/>
    <n v="147055125"/>
    <n v="42"/>
    <n v="4502255320"/>
    <n v="5080180090"/>
    <n v="5113059902"/>
    <m/>
    <s v="CON RETEN"/>
    <m/>
    <x v="0"/>
    <d v="2022-01-21T00:00:00"/>
    <m/>
    <m/>
    <m/>
    <m/>
    <m/>
    <m/>
    <m/>
    <m/>
    <d v="2022-01-21T00:00:00"/>
    <x v="1"/>
  </r>
  <r>
    <s v="Agroinversiones RG S.A.S"/>
    <d v="2022-01-21T00:00:00"/>
    <d v="2022-01-24T00:00:00"/>
    <n v="4"/>
    <s v="NC217"/>
    <x v="2"/>
    <n v="19477.5"/>
    <x v="53"/>
    <n v="-60185.475000002836"/>
    <n v="0"/>
    <n v="4502255320"/>
    <n v="5080180090"/>
    <n v="5113059903"/>
    <m/>
    <m/>
    <m/>
    <x v="0"/>
    <d v="2022-01-21T00:00:00"/>
    <m/>
    <m/>
    <m/>
    <m/>
    <m/>
    <m/>
    <m/>
    <m/>
    <d v="2022-01-21T00:00:00"/>
    <x v="1"/>
  </r>
  <r>
    <s v="Invegarey S.A.S"/>
    <d v="2022-01-26T00:00:00"/>
    <d v="2022-01-27T00:00:00"/>
    <n v="4"/>
    <s v="INV-46"/>
    <x v="2"/>
    <n v="7358.5"/>
    <x v="15"/>
    <n v="54820825"/>
    <n v="16"/>
    <n v="4502255328"/>
    <n v="5080180092"/>
    <n v="5113068735"/>
    <m/>
    <s v="CON RETEN"/>
    <m/>
    <x v="0"/>
    <d v="2022-01-21T00:00:00"/>
    <m/>
    <m/>
    <m/>
    <m/>
    <m/>
    <m/>
    <m/>
    <m/>
    <d v="2022-01-21T00:00:00"/>
    <x v="1"/>
  </r>
  <r>
    <s v="Sociedad Comercializadora Ganadera"/>
    <d v="2022-01-24T00:00:00"/>
    <d v="2022-01-24T00:00:00"/>
    <n v="4"/>
    <s v="FEDV-167"/>
    <x v="2"/>
    <n v="47072.5"/>
    <x v="54"/>
    <n v="367165500"/>
    <n v="106"/>
    <n v="4502255334"/>
    <n v="5080180118"/>
    <n v="5113066231"/>
    <m/>
    <s v="TIENE BL"/>
    <m/>
    <x v="0"/>
    <d v="2022-01-21T00:00:00"/>
    <m/>
    <m/>
    <m/>
    <m/>
    <m/>
    <m/>
    <m/>
    <m/>
    <d v="2022-01-21T00:00:00"/>
    <x v="1"/>
  </r>
  <r>
    <s v="Sociedad Comercializadora Ganadera"/>
    <d v="2022-01-25T00:00:00"/>
    <d v="2022-01-25T00:00:00"/>
    <n v="4"/>
    <s v="NC60"/>
    <x v="2"/>
    <n v="47072.5"/>
    <x v="55"/>
    <n v="-575225.95000001194"/>
    <n v="0"/>
    <n v="4502255334"/>
    <n v="5080180118"/>
    <n v="5113066233"/>
    <m/>
    <m/>
    <m/>
    <x v="0"/>
    <d v="2022-01-21T00:00:00"/>
    <m/>
    <m/>
    <m/>
    <m/>
    <m/>
    <m/>
    <m/>
    <m/>
    <d v="2022-01-21T00:00:00"/>
    <x v="1"/>
  </r>
  <r>
    <s v="Gentil Antonio Osorio Aguilar"/>
    <d v="2022-01-21T00:00:00"/>
    <m/>
    <n v="4"/>
    <s v="FEG-3"/>
    <x v="0"/>
    <n v="20463.5"/>
    <x v="38"/>
    <n v="153476250"/>
    <n v="42"/>
    <n v="4502255337"/>
    <n v="5080180094"/>
    <n v="5113066216"/>
    <m/>
    <s v="TIENE BL"/>
    <m/>
    <x v="0"/>
    <d v="2022-01-21T00:00:00"/>
    <m/>
    <m/>
    <m/>
    <m/>
    <m/>
    <m/>
    <m/>
    <m/>
    <d v="2022-01-21T00:00:00"/>
    <x v="1"/>
  </r>
  <r>
    <s v="Gentil Antonio Osorio Aguilar"/>
    <d v="2022-01-21T00:00:00"/>
    <m/>
    <n v="4"/>
    <s v="NCR2"/>
    <x v="0"/>
    <n v="20463.5"/>
    <x v="13"/>
    <n v="-1023175"/>
    <n v="0"/>
    <n v="4502255337"/>
    <n v="5080180094"/>
    <n v="5113066228"/>
    <m/>
    <m/>
    <m/>
    <x v="0"/>
    <d v="2022-01-21T00:00:00"/>
    <m/>
    <m/>
    <m/>
    <m/>
    <m/>
    <m/>
    <m/>
    <m/>
    <d v="2022-01-21T00:00:00"/>
    <x v="1"/>
  </r>
  <r>
    <s v="Angela Maria Restrepo Diaz"/>
    <d v="2022-01-24T00:00:00"/>
    <d v="2022-01-24T00:00:00"/>
    <n v="4"/>
    <s v="AR59"/>
    <x v="0"/>
    <n v="13339.5"/>
    <x v="9"/>
    <n v="102714150"/>
    <n v="28"/>
    <n v="4502255341"/>
    <n v="5080180097"/>
    <n v="5113059065"/>
    <m/>
    <s v="CON RETEN"/>
    <m/>
    <x v="0"/>
    <d v="2022-01-21T00:00:00"/>
    <m/>
    <m/>
    <m/>
    <m/>
    <m/>
    <m/>
    <m/>
    <m/>
    <d v="2022-01-21T00:00:00"/>
    <x v="1"/>
  </r>
  <r>
    <s v="Andres Jaramillo Bernal"/>
    <d v="2022-01-21T00:00:00"/>
    <d v="2022-01-26T00:00:00"/>
    <n v="4"/>
    <s v="FEVA-5127"/>
    <x v="0"/>
    <n v="6454.5"/>
    <x v="15"/>
    <n v="48086025"/>
    <n v="14"/>
    <n v="4502255342"/>
    <n v="5080180098"/>
    <n v="5113063251"/>
    <m/>
    <s v="CON RETEN"/>
    <m/>
    <x v="0"/>
    <d v="2022-01-21T00:00:00"/>
    <m/>
    <m/>
    <m/>
    <m/>
    <m/>
    <m/>
    <m/>
    <m/>
    <d v="2022-01-21T00:00:00"/>
    <x v="1"/>
  </r>
  <r>
    <s v="Agropecuaria Tabaida S.A.S"/>
    <d v="2022-01-21T00:00:00"/>
    <d v="2022-01-25T00:00:00"/>
    <n v="4"/>
    <s v="MT-1232"/>
    <x v="2"/>
    <n v="39189"/>
    <x v="56"/>
    <n v="297836400"/>
    <n v="84"/>
    <n v="4502258094"/>
    <n v="5080217521"/>
    <n v="5113062898"/>
    <m/>
    <s v="TIENE BL"/>
    <m/>
    <x v="1"/>
    <d v="2022-01-21T00:00:00"/>
    <m/>
    <m/>
    <m/>
    <m/>
    <m/>
    <m/>
    <m/>
    <m/>
    <d v="2022-01-21T00:00:00"/>
    <x v="1"/>
  </r>
  <r>
    <s v="Surtidora Agropecuaria De Colombia"/>
    <d v="2022-01-21T00:00:00"/>
    <d v="2022-01-25T00:00:00"/>
    <n v="4"/>
    <s v="FESA-21"/>
    <x v="2"/>
    <n v="19313"/>
    <x v="51"/>
    <n v="145813150"/>
    <n v="42"/>
    <n v="4502258095"/>
    <n v="5080217559"/>
    <n v="5113061154"/>
    <m/>
    <s v="TIENE BL"/>
    <m/>
    <x v="1"/>
    <d v="2022-01-21T00:00:00"/>
    <m/>
    <m/>
    <m/>
    <m/>
    <m/>
    <m/>
    <m/>
    <m/>
    <d v="2022-01-21T00:00:00"/>
    <x v="1"/>
  </r>
  <r>
    <s v="Carlos Mario Duque Cadavid"/>
    <d v="2022-01-21T00:00:00"/>
    <m/>
    <n v="4"/>
    <s v="CD-96"/>
    <x v="2"/>
    <n v="26049"/>
    <x v="51"/>
    <n v="196669950"/>
    <n v="56"/>
    <n v="4502258097"/>
    <n v="5080217566"/>
    <n v="5113061399"/>
    <m/>
    <s v="CON RETEN"/>
    <s v="CON RETEN "/>
    <x v="1"/>
    <d v="2022-01-21T00:00:00"/>
    <m/>
    <m/>
    <m/>
    <m/>
    <m/>
    <m/>
    <m/>
    <m/>
    <d v="2022-01-21T00:00:00"/>
    <x v="1"/>
  </r>
  <r>
    <s v="Maria Ines Saade Mejia"/>
    <d v="2022-01-21T00:00:00"/>
    <d v="2022-01-25T00:00:00"/>
    <n v="4"/>
    <s v="FE-91"/>
    <x v="2"/>
    <n v="6909"/>
    <x v="38"/>
    <n v="51817500"/>
    <n v="14"/>
    <n v="4502258098"/>
    <n v="5080217660"/>
    <n v="5113060250"/>
    <m/>
    <s v="CON RETEN"/>
    <m/>
    <x v="1"/>
    <d v="2022-01-21T00:00:00"/>
    <m/>
    <m/>
    <m/>
    <m/>
    <m/>
    <m/>
    <m/>
    <m/>
    <d v="2022-01-21T00:00:00"/>
    <x v="1"/>
  </r>
  <r>
    <s v="31416 S.A.S"/>
    <d v="2022-01-21T00:00:00"/>
    <d v="2022-01-26T00:00:00"/>
    <n v="4"/>
    <s v="PI-118"/>
    <x v="2"/>
    <n v="8084"/>
    <x v="56"/>
    <n v="61438400"/>
    <n v="15"/>
    <n v="4502258100"/>
    <n v="5080217664"/>
    <n v="5113062937"/>
    <m/>
    <m/>
    <m/>
    <x v="1"/>
    <d v="2022-01-21T00:00:00"/>
    <m/>
    <m/>
    <m/>
    <m/>
    <m/>
    <m/>
    <m/>
    <m/>
    <d v="2022-01-21T00:00:00"/>
    <x v="1"/>
  </r>
  <r>
    <s v="Agropecuaria El Uberrimo S.A.S"/>
    <d v="2022-01-21T00:00:00"/>
    <m/>
    <n v="4"/>
    <s v="FE-196"/>
    <x v="2"/>
    <n v="7416"/>
    <x v="38"/>
    <n v="55620000"/>
    <n v="15"/>
    <n v="4502258102"/>
    <n v="5080217665"/>
    <n v="5113062938"/>
    <m/>
    <m/>
    <m/>
    <x v="1"/>
    <d v="2022-01-21T00:00:00"/>
    <m/>
    <m/>
    <m/>
    <m/>
    <m/>
    <m/>
    <m/>
    <m/>
    <d v="2022-01-21T00:00:00"/>
    <x v="1"/>
  </r>
  <r>
    <s v="Manzur Aldana y CIA S. En C."/>
    <d v="2022-01-24T00:00:00"/>
    <d v="2022-01-25T00:00:00"/>
    <n v="4"/>
    <s v="MAFE28"/>
    <x v="2"/>
    <n v="13942"/>
    <x v="57"/>
    <n v="104504900"/>
    <n v="28"/>
    <n v="4502258107"/>
    <n v="5080218021"/>
    <n v="5113060655"/>
    <m/>
    <s v="TIENE BL"/>
    <s v="Q la genero hoy "/>
    <x v="1"/>
    <d v="2022-01-21T00:00:00"/>
    <m/>
    <m/>
    <m/>
    <m/>
    <m/>
    <m/>
    <m/>
    <m/>
    <d v="2022-01-21T00:00:00"/>
    <x v="1"/>
  </r>
  <r>
    <s v="Gentil Antonio Osorio Aguilar"/>
    <d v="2022-01-22T00:00:00"/>
    <m/>
    <n v="4"/>
    <s v="FEG-4"/>
    <x v="2"/>
    <n v="13707"/>
    <x v="38"/>
    <n v="102802500"/>
    <n v="28"/>
    <n v="4502255344"/>
    <n v="5080201346"/>
    <n v="5113066213"/>
    <m/>
    <s v="TIENE BL"/>
    <m/>
    <x v="0"/>
    <d v="2022-01-22T00:00:00"/>
    <m/>
    <m/>
    <m/>
    <m/>
    <m/>
    <m/>
    <m/>
    <m/>
    <d v="2022-01-22T00:00:00"/>
    <x v="1"/>
  </r>
  <r>
    <s v="Lismenia Torcoroma Rincon Hernandez"/>
    <d v="2022-01-22T00:00:00"/>
    <m/>
    <n v="4"/>
    <s v="GANA-126"/>
    <x v="2"/>
    <n v="12885.5"/>
    <x v="38"/>
    <n v="96641250"/>
    <n v="27"/>
    <n v="4502255345"/>
    <n v="5080201347"/>
    <n v="5113063309"/>
    <m/>
    <s v="TIENE BL"/>
    <m/>
    <x v="0"/>
    <d v="2022-01-22T00:00:00"/>
    <m/>
    <m/>
    <m/>
    <m/>
    <m/>
    <m/>
    <m/>
    <m/>
    <d v="2022-01-22T00:00:00"/>
    <x v="1"/>
  </r>
  <r>
    <s v="Agroinversiones RG S.A.S"/>
    <d v="2022-01-22T00:00:00"/>
    <d v="2022-01-25T00:00:00"/>
    <n v="4"/>
    <s v="FE-58"/>
    <x v="2"/>
    <n v="12307"/>
    <x v="51"/>
    <n v="92917850"/>
    <n v="28"/>
    <n v="4502255347"/>
    <n v="5080201668"/>
    <n v="5113061406"/>
    <m/>
    <s v="CON RETEN"/>
    <m/>
    <x v="0"/>
    <d v="2022-01-22T00:00:00"/>
    <m/>
    <m/>
    <m/>
    <m/>
    <m/>
    <m/>
    <m/>
    <m/>
    <d v="2022-01-22T00:00:00"/>
    <x v="1"/>
  </r>
  <r>
    <s v="Sociedad Comercializadora Ganadera"/>
    <d v="2022-01-25T00:00:00"/>
    <d v="2022-01-25T00:00:00"/>
    <n v="4"/>
    <s v="FEDV168"/>
    <x v="2"/>
    <n v="19068.5"/>
    <x v="54"/>
    <n v="148734300"/>
    <n v="43"/>
    <n v="4502255349"/>
    <n v="5080201669"/>
    <n v="5113066236"/>
    <m/>
    <s v="TIENE BL"/>
    <m/>
    <x v="0"/>
    <d v="2022-01-22T00:00:00"/>
    <m/>
    <m/>
    <m/>
    <m/>
    <m/>
    <m/>
    <m/>
    <m/>
    <d v="2022-01-22T00:00:00"/>
    <x v="1"/>
  </r>
  <r>
    <s v="Sociedad Comercializadora Ganadera"/>
    <d v="2022-01-25T00:00:00"/>
    <d v="2022-01-25T00:00:00"/>
    <n v="4"/>
    <s v="NC61"/>
    <x v="2"/>
    <n v="19068.5"/>
    <x v="58"/>
    <n v="-230919.53499999375"/>
    <n v="0"/>
    <n v="4502255349"/>
    <n v="5080201669"/>
    <n v="5113066241"/>
    <m/>
    <m/>
    <m/>
    <x v="0"/>
    <d v="2022-01-22T00:00:00"/>
    <m/>
    <m/>
    <m/>
    <m/>
    <m/>
    <m/>
    <m/>
    <m/>
    <d v="2022-01-22T00:00:00"/>
    <x v="1"/>
  </r>
  <r>
    <s v="Carnicos AGB S.A.S"/>
    <d v="2022-01-22T00:00:00"/>
    <d v="2022-01-31T00:00:00"/>
    <n v="4"/>
    <s v="s"/>
    <x v="2"/>
    <n v="6548"/>
    <x v="51"/>
    <n v="49437400"/>
    <n v="15"/>
    <n v="4502255350"/>
    <n v="5080201670"/>
    <n v="5113080303"/>
    <m/>
    <s v="CON RETEN"/>
    <m/>
    <x v="0"/>
    <d v="2022-01-22T00:00:00"/>
    <m/>
    <m/>
    <m/>
    <m/>
    <m/>
    <m/>
    <m/>
    <m/>
    <d v="2022-01-22T00:00:00"/>
    <x v="1"/>
  </r>
  <r>
    <s v="Luis Fernando Rojas Prada"/>
    <d v="2022-01-24T00:00:00"/>
    <d v="2022-01-24T00:00:00"/>
    <n v="4"/>
    <s v="FELC -753"/>
    <x v="2"/>
    <n v="47542"/>
    <x v="0"/>
    <n v="325662700"/>
    <n v="98"/>
    <n v="4502257440"/>
    <n v="5080201280"/>
    <n v="5113061423"/>
    <m/>
    <s v="EJ*7 2982600*7"/>
    <m/>
    <x v="0"/>
    <d v="2022-01-22T00:00:00"/>
    <s v="4902197258 y 4902198597"/>
    <n v="20878200"/>
    <s v=" FEMD-3129*7"/>
    <n v="5113061416"/>
    <m/>
    <m/>
    <m/>
    <m/>
    <d v="2022-01-22T00:00:00"/>
    <x v="1"/>
  </r>
  <r>
    <s v="Jaime Angel Botero"/>
    <d v="2022-01-28T00:00:00"/>
    <m/>
    <n v="4"/>
    <s v="JAB-16"/>
    <x v="0"/>
    <n v="5728.5"/>
    <x v="12"/>
    <n v="42104475"/>
    <n v="14"/>
    <n v="4502255352"/>
    <n v="5080201671"/>
    <n v="5113083345"/>
    <m/>
    <s v="CON RETEN"/>
    <s v="Se envio el correo a la asistente "/>
    <x v="0"/>
    <d v="2022-01-23T00:00:00"/>
    <m/>
    <m/>
    <m/>
    <m/>
    <m/>
    <m/>
    <m/>
    <m/>
    <d v="2022-01-23T00:00:00"/>
    <x v="1"/>
  </r>
  <r>
    <s v="Jaime Angel Botero"/>
    <d v="2022-01-28T00:00:00"/>
    <d v="2022-01-28T00:00:00"/>
    <n v="4"/>
    <s v="NC25"/>
    <x v="0"/>
    <n v="5728.5"/>
    <x v="59"/>
    <n v="-725285.38499999815"/>
    <n v="0"/>
    <n v="4502255352"/>
    <n v="5080201671"/>
    <n v="5113083387"/>
    <m/>
    <m/>
    <s v="Se envio correo a facturacion con la carpeta comprimida"/>
    <x v="0"/>
    <d v="2022-01-23T00:00:00"/>
    <m/>
    <m/>
    <m/>
    <m/>
    <m/>
    <m/>
    <m/>
    <m/>
    <d v="2022-01-23T00:00:00"/>
    <x v="1"/>
  </r>
  <r>
    <s v="Sociedad Comercializadora Ganadera"/>
    <d v="2022-01-27T00:00:00"/>
    <d v="2022-01-27T00:00:00"/>
    <n v="4"/>
    <s v="FEDV171"/>
    <x v="2"/>
    <n v="74872.5"/>
    <x v="54"/>
    <n v="584005500"/>
    <n v="150"/>
    <n v="4502255354"/>
    <n v="5080201830"/>
    <n v="5113078481"/>
    <m/>
    <s v="TIENE BL"/>
    <m/>
    <x v="0"/>
    <d v="2022-01-23T00:00:00"/>
    <m/>
    <m/>
    <m/>
    <m/>
    <m/>
    <m/>
    <m/>
    <m/>
    <d v="2022-01-23T00:00:00"/>
    <x v="1"/>
  </r>
  <r>
    <s v="Sociedad Comercializadora Ganadera"/>
    <d v="2022-01-27T00:00:00"/>
    <d v="2022-01-27T00:00:00"/>
    <n v="4"/>
    <s v="NC62"/>
    <x v="2"/>
    <n v="74872.5"/>
    <x v="60"/>
    <n v="-39682.424999980933"/>
    <n v="0"/>
    <n v="4502255354"/>
    <n v="5080201830"/>
    <n v="5113078485"/>
    <m/>
    <m/>
    <m/>
    <x v="0"/>
    <d v="2022-01-23T00:00:00"/>
    <m/>
    <m/>
    <m/>
    <m/>
    <m/>
    <m/>
    <m/>
    <m/>
    <d v="2022-01-23T00:00:00"/>
    <x v="1"/>
  </r>
  <r>
    <s v="Rafael Francisco Delgado Serrano"/>
    <d v="2022-01-27T00:00:00"/>
    <m/>
    <n v="4"/>
    <s v="RFDS-113"/>
    <x v="2"/>
    <n v="7387"/>
    <x v="38"/>
    <n v="55402500"/>
    <n v="16"/>
    <n v="4502255356"/>
    <n v="5080203480"/>
    <n v="5113075988"/>
    <m/>
    <s v="CON RETEN"/>
    <m/>
    <x v="0"/>
    <d v="2022-01-23T00:00:00"/>
    <m/>
    <m/>
    <m/>
    <m/>
    <m/>
    <m/>
    <m/>
    <m/>
    <d v="2022-01-23T00:00:00"/>
    <x v="1"/>
  </r>
  <r>
    <s v="Rafael Francisco Delgado Serrano"/>
    <d v="2022-01-27T00:00:00"/>
    <d v="2022-01-28T00:00:00"/>
    <n v="4"/>
    <s v="NCR19"/>
    <x v="2"/>
    <n v="7387"/>
    <x v="61"/>
    <n v="-39446.580000001079"/>
    <n v="0"/>
    <n v="4502255356"/>
    <n v="5080203480"/>
    <n v="5113075989"/>
    <m/>
    <m/>
    <s v="LLame Damaris - Carolina - Envio correo con pdf xml a recepcion "/>
    <x v="0"/>
    <d v="2022-01-23T00:00:00"/>
    <m/>
    <m/>
    <m/>
    <m/>
    <m/>
    <m/>
    <m/>
    <m/>
    <d v="2022-01-23T00:00:00"/>
    <x v="1"/>
  </r>
  <r>
    <s v="JERAL S.A.S"/>
    <d v="2022-01-24T00:00:00"/>
    <m/>
    <n v="4"/>
    <s v="JFEV-39"/>
    <x v="2"/>
    <n v="13712"/>
    <x v="0"/>
    <n v="93927200"/>
    <n v="28"/>
    <n v="4502257444"/>
    <n v="5080201284"/>
    <n v="5113059905"/>
    <m/>
    <s v="EJ*2 2979200*2"/>
    <m/>
    <x v="0"/>
    <d v="2022-01-23T00:00:00"/>
    <n v="4902197259"/>
    <n v="5958400"/>
    <s v="  FEMD-3132*1"/>
    <n v="5113061441"/>
    <s v="  FEMD-3133*1"/>
    <n v="5113061442"/>
    <m/>
    <m/>
    <d v="2022-01-23T00:00:00"/>
    <x v="1"/>
  </r>
  <r>
    <s v="JERAL S.A.S"/>
    <d v="2022-01-24T00:00:00"/>
    <m/>
    <n v="4"/>
    <s v="JFEV-39"/>
    <x v="1"/>
    <n v="27424"/>
    <x v="0"/>
    <n v="187854400"/>
    <n v="56"/>
    <n v="4502257444"/>
    <n v="5080201284"/>
    <n v="5113059905"/>
    <m/>
    <s v="EJ*4 2979200*4"/>
    <m/>
    <x v="0"/>
    <d v="2022-01-23T00:00:00"/>
    <n v="4902197260"/>
    <n v="11916800"/>
    <s v="FEMD-3131*4"/>
    <n v="5113061439"/>
    <m/>
    <m/>
    <m/>
    <m/>
    <d v="2022-01-23T00:00:00"/>
    <x v="1"/>
  </r>
  <r>
    <s v="Inversiones Valle Del Canalete S.A.S"/>
    <d v="2022-01-23T00:00:00"/>
    <d v="2022-01-27T00:00:00"/>
    <n v="4"/>
    <s v="IVC96"/>
    <x v="2"/>
    <n v="20150"/>
    <x v="51"/>
    <n v="152132500"/>
    <n v="42"/>
    <n v="4502260545"/>
    <n v="5080263849"/>
    <n v="5113071168"/>
    <m/>
    <s v="CON RETEN"/>
    <m/>
    <x v="1"/>
    <d v="2022-01-23T00:00:00"/>
    <m/>
    <m/>
    <m/>
    <m/>
    <m/>
    <m/>
    <m/>
    <m/>
    <d v="2022-01-23T00:00:00"/>
    <x v="1"/>
  </r>
  <r>
    <s v="Tanagro S.A.S Zomac"/>
    <d v="2022-01-29T00:00:00"/>
    <d v="2022-01-29T00:00:00"/>
    <n v="4"/>
    <s v="Z-90"/>
    <x v="0"/>
    <n v="14389.5"/>
    <x v="38"/>
    <n v="107921250"/>
    <n v="30"/>
    <n v="4502255362"/>
    <n v="5080223473"/>
    <n v="5113075995"/>
    <m/>
    <s v="CON RETEN"/>
    <m/>
    <x v="0"/>
    <d v="2022-01-24T00:00:00"/>
    <m/>
    <m/>
    <m/>
    <m/>
    <m/>
    <m/>
    <m/>
    <m/>
    <d v="2022-01-24T00:00:00"/>
    <x v="1"/>
  </r>
  <r>
    <s v="Tanagro S.A.S Zomac"/>
    <d v="2022-01-29T00:00:00"/>
    <d v="2022-01-29T00:00:00"/>
    <n v="4"/>
    <s v="NCR75"/>
    <x v="0"/>
    <n v="14389.5"/>
    <x v="62"/>
    <n v="-39858.91500000628"/>
    <n v="0"/>
    <n v="4502255362"/>
    <n v="5080223473"/>
    <n v="5113076008"/>
    <m/>
    <m/>
    <m/>
    <x v="0"/>
    <d v="2022-01-24T00:00:00"/>
    <m/>
    <m/>
    <m/>
    <m/>
    <m/>
    <m/>
    <m/>
    <m/>
    <d v="2022-01-24T00:00:00"/>
    <x v="1"/>
  </r>
  <r>
    <s v="Agropecuaria los Molinos S.A.S"/>
    <d v="2021-12-29T00:00:00"/>
    <d v="2021-12-30T00:00:00"/>
    <n v="4"/>
    <s v="FEMO1010000478"/>
    <x v="0"/>
    <n v="15009.266600000001"/>
    <x v="24"/>
    <n v="120599457.13100001"/>
    <n v="42"/>
    <n v="4502244647"/>
    <n v="5079901855"/>
    <n v="5113026332"/>
    <m/>
    <s v="EJ*3 1590000*3"/>
    <m/>
    <x v="0"/>
    <d v="2022-01-25T00:00:00"/>
    <n v="4902197261"/>
    <n v="4770000"/>
    <s v="FEMD-3169*1"/>
    <n v="5113062838"/>
    <s v="FEMD-3167*2"/>
    <n v="5113062840"/>
    <m/>
    <m/>
    <d v="2022-01-25T00:00:00"/>
    <x v="1"/>
  </r>
  <r>
    <s v="Agropecuaria los Molinos S.A.S"/>
    <d v="2021-12-29T00:00:00"/>
    <d v="2021-12-30T00:00:00"/>
    <n v="4"/>
    <s v="FEMO1010000478"/>
    <x v="0"/>
    <n v="37523.166400000002"/>
    <x v="24"/>
    <n v="301498642.02399999"/>
    <n v="70"/>
    <n v="4502244647"/>
    <n v="5079901855"/>
    <n v="5113026332"/>
    <m/>
    <s v="EJ*5 1590000*6"/>
    <m/>
    <x v="0"/>
    <d v="2022-01-25T00:00:00"/>
    <n v="4902197261"/>
    <n v="7950000"/>
    <s v="FEMD-3168*6"/>
    <n v="5113066684"/>
    <m/>
    <m/>
    <m/>
    <m/>
    <d v="2022-01-25T00:00:00"/>
    <x v="1"/>
  </r>
  <r>
    <s v="Sociedad Comercializadora Ganadera"/>
    <d v="2022-01-31T00:00:00"/>
    <d v="2022-01-31T00:00:00"/>
    <n v="4"/>
    <s v="FEDV172"/>
    <x v="3"/>
    <n v="18406"/>
    <x v="38"/>
    <n v="138045000"/>
    <n v="66"/>
    <n v="4502260975"/>
    <n v="5080276070"/>
    <n v="5113082284"/>
    <m/>
    <s v="TIENE BL"/>
    <m/>
    <x v="2"/>
    <d v="2022-01-27T00:00:00"/>
    <m/>
    <m/>
    <m/>
    <m/>
    <m/>
    <m/>
    <m/>
    <m/>
    <d v="2022-01-27T00:00:00"/>
    <x v="1"/>
  </r>
  <r>
    <s v="Jorge Luis Reyes Vargas"/>
    <d v="2022-02-03T00:00:00"/>
    <m/>
    <n v="5"/>
    <s v="FE-51"/>
    <x v="0"/>
    <n v="6438.5"/>
    <x v="15"/>
    <n v="47966825"/>
    <n v="14"/>
    <n v="4502259533"/>
    <n v="5080277037"/>
    <n v="5113085055"/>
    <m/>
    <s v="CON RETEN"/>
    <s v="Q esta caida la pagina de la DIAN"/>
    <x v="0"/>
    <d v="2022-01-27T00:00:00"/>
    <m/>
    <m/>
    <m/>
    <m/>
    <m/>
    <m/>
    <m/>
    <m/>
    <d v="2022-01-27T00:00:00"/>
    <x v="1"/>
  </r>
  <r>
    <s v="Jorge Luis Reyes Vargas"/>
    <d v="2022-02-03T00:00:00"/>
    <m/>
    <n v="5"/>
    <s v="NCRE11"/>
    <x v="0"/>
    <n v="6438.5"/>
    <x v="2"/>
    <n v="-643850"/>
    <n v="0"/>
    <n v="4502259533"/>
    <n v="5080277037"/>
    <n v="5113085070"/>
    <m/>
    <m/>
    <m/>
    <x v="0"/>
    <d v="2022-01-27T00:00:00"/>
    <m/>
    <m/>
    <m/>
    <m/>
    <m/>
    <m/>
    <m/>
    <m/>
    <d v="2022-01-27T00:00:00"/>
    <x v="1"/>
  </r>
  <r>
    <s v="Sociedad Comercializadora Ganadera"/>
    <d v="2022-01-31T00:00:00"/>
    <d v="2022-01-31T00:00:00"/>
    <n v="5"/>
    <s v="FEDV176"/>
    <x v="2"/>
    <n v="72813.5"/>
    <x v="63"/>
    <n v="571585975"/>
    <n v="148"/>
    <n v="4502259535"/>
    <n v="5080277109"/>
    <n v="5113082196"/>
    <m/>
    <s v="TIENE BL"/>
    <m/>
    <x v="0"/>
    <d v="2022-01-27T00:00:00"/>
    <m/>
    <m/>
    <m/>
    <m/>
    <m/>
    <m/>
    <m/>
    <m/>
    <d v="2022-01-27T00:00:00"/>
    <x v="1"/>
  </r>
  <r>
    <s v="Sociedad Comercializadora Ganadera"/>
    <d v="2022-01-31T00:00:00"/>
    <d v="2022-01-31T00:00:00"/>
    <n v="5"/>
    <s v="NC63"/>
    <x v="2"/>
    <n v="72813.5"/>
    <x v="64"/>
    <n v="-152908.35000002649"/>
    <n v="0"/>
    <n v="4502259535"/>
    <n v="5080277109"/>
    <n v="5113082298"/>
    <m/>
    <m/>
    <m/>
    <x v="0"/>
    <d v="2022-01-27T00:00:00"/>
    <m/>
    <m/>
    <m/>
    <m/>
    <m/>
    <m/>
    <m/>
    <m/>
    <d v="2022-01-27T00:00:00"/>
    <x v="1"/>
  </r>
  <r>
    <s v="Inversiones Caucaman S.A.S"/>
    <d v="2022-01-31T00:00:00"/>
    <d v="2022-02-01T00:00:00"/>
    <n v="5"/>
    <s v="IC-38"/>
    <x v="2"/>
    <n v="13663"/>
    <x v="51"/>
    <n v="103155650"/>
    <n v="29"/>
    <n v="4502259537"/>
    <n v="5080277110"/>
    <n v="5113082550"/>
    <m/>
    <s v="CON RETEN"/>
    <m/>
    <x v="0"/>
    <d v="2022-01-27T00:00:00"/>
    <m/>
    <m/>
    <m/>
    <m/>
    <m/>
    <m/>
    <m/>
    <m/>
    <d v="2022-01-27T00:00:00"/>
    <x v="1"/>
  </r>
  <r>
    <s v="Inversiones Caucaman S.A.S"/>
    <d v="2022-01-31T00:00:00"/>
    <d v="2022-02-01T00:00:00"/>
    <n v="5"/>
    <s v="NC11"/>
    <x v="2"/>
    <n v="13663"/>
    <x v="13"/>
    <n v="-683150"/>
    <n v="0"/>
    <n v="4502259537"/>
    <n v="5080277110"/>
    <n v="5113082551"/>
    <m/>
    <m/>
    <m/>
    <x v="0"/>
    <d v="2022-01-27T00:00:00"/>
    <m/>
    <m/>
    <m/>
    <m/>
    <m/>
    <m/>
    <m/>
    <m/>
    <d v="2022-01-27T00:00:00"/>
    <x v="1"/>
  </r>
  <r>
    <s v="Miguel Antonio Carrascal Pacheco"/>
    <d v="2022-01-31T00:00:00"/>
    <m/>
    <n v="5"/>
    <s v="MCFE-16"/>
    <x v="2"/>
    <n v="13723"/>
    <x v="38"/>
    <n v="102922500"/>
    <n v="30"/>
    <n v="4502259540"/>
    <n v="5080277571"/>
    <n v="5113082773"/>
    <m/>
    <s v="TIENE BL"/>
    <m/>
    <x v="0"/>
    <d v="2022-01-27T00:00:00"/>
    <m/>
    <m/>
    <m/>
    <m/>
    <m/>
    <m/>
    <m/>
    <m/>
    <d v="2022-01-27T00:00:00"/>
    <x v="1"/>
  </r>
  <r>
    <s v="Miguel Antonio Carrascal Pacheco"/>
    <d v="2022-02-01T00:00:00"/>
    <d v="2022-02-01T00:00:00"/>
    <n v="5"/>
    <s v="NCR36"/>
    <x v="2"/>
    <n v="13723"/>
    <x v="65"/>
    <n v="-723339.33000000054"/>
    <n v="0"/>
    <n v="4502259540"/>
    <n v="5080277571"/>
    <n v="5113082774"/>
    <m/>
    <m/>
    <s v="Se envio carpete .zip"/>
    <x v="0"/>
    <d v="2022-01-27T00:00:00"/>
    <m/>
    <m/>
    <m/>
    <m/>
    <m/>
    <m/>
    <m/>
    <m/>
    <d v="2022-01-27T00:00:00"/>
    <x v="1"/>
  </r>
  <r>
    <s v="Inversiones y Negocios V&amp;V S.A.S"/>
    <d v="2022-01-31T00:00:00"/>
    <d v="2022-02-01T00:00:00"/>
    <n v="5"/>
    <s v="FE-1571"/>
    <x v="2"/>
    <n v="19794"/>
    <x v="9"/>
    <n v="152413800"/>
    <n v="42"/>
    <n v="4502259541"/>
    <n v="5080277113"/>
    <n v="5113082115"/>
    <m/>
    <s v="CON RETEN"/>
    <m/>
    <x v="0"/>
    <d v="2022-01-27T00:00:00"/>
    <m/>
    <m/>
    <m/>
    <m/>
    <m/>
    <m/>
    <m/>
    <m/>
    <d v="2022-01-27T00:00:00"/>
    <x v="1"/>
  </r>
  <r>
    <s v="Guillermo Acevedo Plata"/>
    <d v="2022-02-02T00:00:00"/>
    <d v="2022-02-02T00:00:00"/>
    <n v="5"/>
    <s v="FVE-5"/>
    <x v="1"/>
    <n v="6748.5"/>
    <x v="15"/>
    <n v="50276325"/>
    <n v="15"/>
    <n v="4502259542"/>
    <n v="5080277114"/>
    <n v="5113084720"/>
    <m/>
    <s v="CON RETEN"/>
    <s v="NO contesta"/>
    <x v="0"/>
    <d v="2022-01-27T00:00:00"/>
    <m/>
    <m/>
    <m/>
    <m/>
    <m/>
    <m/>
    <m/>
    <m/>
    <d v="2022-01-27T00:00:00"/>
    <x v="1"/>
  </r>
  <r>
    <s v="Lismenia Torcoroma Rincon Hernandez"/>
    <d v="2022-01-27T00:00:00"/>
    <m/>
    <n v="5"/>
    <s v="GANA-134"/>
    <x v="1"/>
    <n v="20301.5"/>
    <x v="38"/>
    <n v="152261250"/>
    <n v="42"/>
    <n v="4502259545"/>
    <n v="5080277115"/>
    <n v="5113082729"/>
    <m/>
    <s v="TIENE BL"/>
    <m/>
    <x v="0"/>
    <d v="2022-01-27T00:00:00"/>
    <m/>
    <m/>
    <m/>
    <m/>
    <m/>
    <m/>
    <m/>
    <m/>
    <d v="2022-01-27T00:00:00"/>
    <x v="1"/>
  </r>
  <r>
    <s v="Lismenia Torcoroma Rincon Hernandez"/>
    <d v="2022-01-27T00:00:00"/>
    <m/>
    <n v="5"/>
    <s v="NC000032"/>
    <x v="1"/>
    <n v="20301.5"/>
    <x v="13"/>
    <n v="-1015075"/>
    <n v="0"/>
    <n v="4502259545"/>
    <n v="5080277115"/>
    <n v="5113082730"/>
    <m/>
    <m/>
    <m/>
    <x v="0"/>
    <d v="2022-01-27T00:00:00"/>
    <m/>
    <m/>
    <m/>
    <m/>
    <m/>
    <m/>
    <m/>
    <m/>
    <d v="2022-01-27T00:00:00"/>
    <x v="1"/>
  </r>
  <r>
    <s v="Inversiones Caucaman S.A.S"/>
    <d v="2022-02-01T00:00:00"/>
    <d v="2022-02-01T00:00:00"/>
    <n v="5"/>
    <s v="IC-39"/>
    <x v="2"/>
    <n v="19361"/>
    <x v="51"/>
    <n v="146175550"/>
    <n v="41"/>
    <n v="4502259546"/>
    <n v="5080278834"/>
    <n v="5113082742"/>
    <m/>
    <s v="CON RETEN"/>
    <m/>
    <x v="0"/>
    <d v="2022-01-28T00:00:00"/>
    <m/>
    <m/>
    <m/>
    <m/>
    <m/>
    <m/>
    <m/>
    <m/>
    <d v="2022-01-28T00:00:00"/>
    <x v="1"/>
  </r>
  <r>
    <s v="Sociedad Comercializadora Ganadera"/>
    <d v="2022-02-01T00:00:00"/>
    <d v="2022-02-01T00:00:00"/>
    <n v="5"/>
    <s v="FEDV177"/>
    <x v="2"/>
    <n v="58331"/>
    <x v="63"/>
    <n v="457898350"/>
    <n v="119"/>
    <n v="4502259548"/>
    <n v="5080309044"/>
    <n v="5113085206"/>
    <m/>
    <s v="TIENE BL"/>
    <m/>
    <x v="0"/>
    <d v="2022-01-28T00:00:00"/>
    <m/>
    <m/>
    <m/>
    <m/>
    <m/>
    <m/>
    <m/>
    <m/>
    <d v="2022-01-28T00:00:00"/>
    <x v="1"/>
  </r>
  <r>
    <s v="Sociedad Comercializadora Ganadera"/>
    <d v="2022-02-01T00:00:00"/>
    <d v="2022-02-01T00:00:00"/>
    <n v="5"/>
    <s v="NC64"/>
    <x v="2"/>
    <n v="58331"/>
    <x v="66"/>
    <n v="-1371945.1200000255"/>
    <n v="0"/>
    <n v="4502259548"/>
    <n v="5080309044"/>
    <n v="5113085218"/>
    <m/>
    <m/>
    <m/>
    <x v="0"/>
    <d v="2022-01-28T00:00:00"/>
    <m/>
    <m/>
    <m/>
    <m/>
    <m/>
    <m/>
    <m/>
    <m/>
    <d v="2022-01-28T00:00:00"/>
    <x v="1"/>
  </r>
  <r>
    <s v="JERAL S.A.S"/>
    <d v="2022-01-28T00:00:00"/>
    <m/>
    <n v="5"/>
    <s v="JFEV-40"/>
    <x v="0"/>
    <n v="13213"/>
    <x v="67"/>
    <n v="91169700"/>
    <n v="28"/>
    <n v="4502261091"/>
    <n v="5080278468"/>
    <n v="5113073059"/>
    <m/>
    <s v="EJ*2 2979200*2"/>
    <m/>
    <x v="0"/>
    <d v="2022-01-28T00:00:00"/>
    <n v="4902201340"/>
    <n v="5958400"/>
    <s v="FEMD-3188"/>
    <n v="5113077914"/>
    <s v="FEMD-3187"/>
    <n v="5113077913"/>
    <m/>
    <m/>
    <d v="2022-01-28T00:00:00"/>
    <x v="1"/>
  </r>
  <r>
    <s v="Carlos Mario Duque Cadavid"/>
    <d v="2022-01-28T00:00:00"/>
    <m/>
    <n v="5"/>
    <s v="CD-97"/>
    <x v="0"/>
    <n v="26904"/>
    <x v="12"/>
    <n v="197744400"/>
    <n v="56"/>
    <n v="4502261092"/>
    <n v="5080278469"/>
    <n v="5113073062"/>
    <m/>
    <s v="EJ*4 1638223*4"/>
    <s v="CON RETEN "/>
    <x v="0"/>
    <d v="2022-01-28T00:00:00"/>
    <n v="4902201356"/>
    <n v="6552892"/>
    <s v="FEMD-3189*4"/>
    <n v="5113077957"/>
    <m/>
    <m/>
    <m/>
    <m/>
    <d v="2022-01-28T00:00:00"/>
    <x v="1"/>
  </r>
  <r>
    <s v="Surtidora Agropecuaria De Colombia"/>
    <d v="2022-01-28T00:00:00"/>
    <d v="2022-02-01T00:00:00"/>
    <n v="5"/>
    <s v="FESA-22"/>
    <x v="0"/>
    <n v="25772"/>
    <x v="3"/>
    <n v="197155800"/>
    <n v="56"/>
    <n v="4502262931"/>
    <n v="5080328117"/>
    <n v="5113084724"/>
    <m/>
    <s v="TIENE BL "/>
    <m/>
    <x v="1"/>
    <d v="2022-01-28T00:00:00"/>
    <m/>
    <m/>
    <m/>
    <m/>
    <m/>
    <m/>
    <m/>
    <m/>
    <d v="2022-01-28T00:00:00"/>
    <x v="1"/>
  </r>
  <r>
    <s v="Manzur Aldana y CIA S. En C."/>
    <d v="2022-02-02T00:00:00"/>
    <d v="2022-02-02T00:00:00"/>
    <n v="5"/>
    <s v="MAFE-29"/>
    <x v="0"/>
    <n v="13406"/>
    <x v="38"/>
    <n v="100545000"/>
    <n v="28"/>
    <n v="4502262932"/>
    <n v="5080328209"/>
    <n v="5113084186"/>
    <m/>
    <s v="TIENE BL "/>
    <m/>
    <x v="1"/>
    <d v="2022-01-28T00:00:00"/>
    <m/>
    <m/>
    <m/>
    <m/>
    <m/>
    <m/>
    <m/>
    <m/>
    <d v="2022-01-28T00:00:00"/>
    <x v="1"/>
  </r>
  <r>
    <s v="Luis Fernando Rojas Prada"/>
    <d v="2022-01-31T00:00:00"/>
    <m/>
    <n v="5"/>
    <s v="FELC-757"/>
    <x v="2"/>
    <n v="34652"/>
    <x v="0"/>
    <n v="237366200"/>
    <n v="70"/>
    <n v="4502261094"/>
    <n v="5080311840"/>
    <n v="5113080396"/>
    <m/>
    <s v="EJ*5 2982600*2 y 3060400*3"/>
    <m/>
    <x v="0"/>
    <d v="2022-01-29T00:00:00"/>
    <n v="4902201362"/>
    <n v="15146400"/>
    <s v="FEMD-3205*1"/>
    <n v="5113082350"/>
    <s v="FEMD-3204*4"/>
    <n v="5113082351"/>
    <m/>
    <m/>
    <d v="2022-01-29T00:00:00"/>
    <x v="1"/>
  </r>
  <r>
    <s v="Sociedad Comercializadora Ganadera"/>
    <d v="2022-02-01T00:00:00"/>
    <d v="2022-02-01T00:00:00"/>
    <n v="5"/>
    <s v="FEDV179"/>
    <x v="2"/>
    <n v="41803"/>
    <x v="63"/>
    <n v="328153550"/>
    <n v="89"/>
    <n v="4502259551"/>
    <n v="5080311041"/>
    <n v="5113085423"/>
    <m/>
    <s v="TIENE BL"/>
    <m/>
    <x v="0"/>
    <d v="2022-01-29T00:00:00"/>
    <m/>
    <m/>
    <m/>
    <m/>
    <m/>
    <m/>
    <m/>
    <m/>
    <d v="2022-01-29T00:00:00"/>
    <x v="1"/>
  </r>
  <r>
    <s v="Sociedad Comercializadora Ganadera"/>
    <d v="2022-02-01T00:00:00"/>
    <d v="2022-02-01T00:00:00"/>
    <n v="5"/>
    <s v="NC65"/>
    <x v="2"/>
    <n v="41803"/>
    <x v="68"/>
    <n v="-76499.489999996964"/>
    <n v="0"/>
    <n v="4502259551"/>
    <n v="5080311041"/>
    <n v="5113085425"/>
    <m/>
    <m/>
    <m/>
    <x v="0"/>
    <d v="2022-01-29T00:00:00"/>
    <m/>
    <m/>
    <m/>
    <m/>
    <m/>
    <m/>
    <m/>
    <m/>
    <d v="2022-01-29T00:00:00"/>
    <x v="1"/>
  </r>
  <r>
    <s v="Sociedad Comercializadora Ganadera"/>
    <d v="2022-02-01T00:00:00"/>
    <d v="2022-02-01T00:00:00"/>
    <n v="5"/>
    <s v="FEDV180"/>
    <x v="2"/>
    <n v="12497.5"/>
    <x v="63"/>
    <n v="98105375"/>
    <n v="30"/>
    <n v="4502259551"/>
    <n v="5080311041"/>
    <n v="5113085223"/>
    <m/>
    <s v="TIENE BL"/>
    <m/>
    <x v="0"/>
    <d v="2022-01-29T00:00:00"/>
    <m/>
    <m/>
    <m/>
    <m/>
    <m/>
    <m/>
    <m/>
    <m/>
    <d v="2022-01-29T00:00:00"/>
    <x v="1"/>
  </r>
  <r>
    <s v="Sociedad Comercializadora Ganadera"/>
    <d v="2022-02-01T00:00:00"/>
    <d v="2022-02-01T00:00:00"/>
    <n v="5"/>
    <s v="NC66"/>
    <x v="2"/>
    <n v="12497.5"/>
    <x v="69"/>
    <n v="-194336.12500000227"/>
    <n v="0"/>
    <n v="4502259551"/>
    <n v="5080311041"/>
    <n v="5113085226"/>
    <m/>
    <m/>
    <m/>
    <x v="0"/>
    <d v="2022-01-29T00:00:00"/>
    <m/>
    <m/>
    <m/>
    <m/>
    <m/>
    <m/>
    <m/>
    <m/>
    <d v="2022-01-29T00:00:00"/>
    <x v="1"/>
  </r>
  <r>
    <s v="Robinson Jose Chica Vega"/>
    <d v="2022-02-01T00:00:00"/>
    <d v="2022-02-01T00:00:00"/>
    <n v="5"/>
    <s v="FEC-480"/>
    <x v="2"/>
    <n v="13572"/>
    <x v="15"/>
    <n v="101111400"/>
    <n v="28"/>
    <n v="4502259553"/>
    <n v="5080310535"/>
    <n v="5113082566"/>
    <m/>
    <s v="CON RETEN"/>
    <m/>
    <x v="0"/>
    <d v="2022-01-29T00:00:00"/>
    <m/>
    <m/>
    <m/>
    <m/>
    <m/>
    <m/>
    <m/>
    <m/>
    <d v="2022-01-29T00:00:00"/>
    <x v="1"/>
  </r>
  <r>
    <s v="Tanagro S.A.S Zomac"/>
    <d v="2022-02-08T00:00:00"/>
    <d v="2022-02-14T00:00:00"/>
    <n v="5"/>
    <s v="Z-92"/>
    <x v="2"/>
    <n v="14655"/>
    <x v="38"/>
    <n v="109912500"/>
    <n v="30"/>
    <n v="4502259555"/>
    <n v="5080311042"/>
    <n v="5113092424"/>
    <m/>
    <m/>
    <s v="NO la ha realizado por un cambio de contadora "/>
    <x v="0"/>
    <d v="2022-01-29T00:00:00"/>
    <m/>
    <m/>
    <m/>
    <m/>
    <m/>
    <m/>
    <m/>
    <m/>
    <d v="2022-01-29T00:00:00"/>
    <x v="1"/>
  </r>
  <r>
    <s v="Andres Jaramillo Bernal"/>
    <d v="2022-01-30T00:00:00"/>
    <d v="2022-02-02T00:00:00"/>
    <n v="5"/>
    <s v="FEVA-5130"/>
    <x v="2"/>
    <n v="13189"/>
    <x v="15"/>
    <n v="98258050"/>
    <n v="28"/>
    <n v="4502259557"/>
    <n v="5080313860"/>
    <n v="5113083424"/>
    <m/>
    <s v="CON RETEN"/>
    <m/>
    <x v="0"/>
    <d v="2022-01-30T00:00:00"/>
    <m/>
    <m/>
    <m/>
    <m/>
    <m/>
    <m/>
    <m/>
    <m/>
    <d v="2022-01-30T00:00:00"/>
    <x v="1"/>
  </r>
  <r>
    <s v="Fernando Arevalo Reyes"/>
    <d v="2022-01-30T00:00:00"/>
    <d v="2022-02-02T00:00:00"/>
    <n v="5"/>
    <s v="FVE-105"/>
    <x v="2"/>
    <n v="5917"/>
    <x v="15"/>
    <n v="44081650"/>
    <n v="14"/>
    <n v="4502259559"/>
    <n v="5080314275"/>
    <n v="5113084650"/>
    <m/>
    <s v="TIENE BL"/>
    <m/>
    <x v="0"/>
    <d v="2022-01-30T00:00:00"/>
    <m/>
    <m/>
    <m/>
    <m/>
    <m/>
    <m/>
    <m/>
    <m/>
    <d v="2022-01-30T00:00:00"/>
    <x v="1"/>
  </r>
  <r>
    <s v="Fernando Arevalo Reyes"/>
    <d v="2022-01-30T00:00:00"/>
    <d v="2022-02-02T00:00:00"/>
    <n v="5"/>
    <s v="NC18"/>
    <x v="2"/>
    <n v="5917"/>
    <x v="70"/>
    <n v="-894295.38000000198"/>
    <n v="0"/>
    <n v="4502259559"/>
    <n v="5080314275"/>
    <n v="5113084651"/>
    <m/>
    <m/>
    <m/>
    <x v="0"/>
    <d v="2022-01-30T00:00:00"/>
    <m/>
    <m/>
    <m/>
    <m/>
    <m/>
    <m/>
    <m/>
    <m/>
    <d v="2022-01-30T00:00:00"/>
    <x v="1"/>
  </r>
  <r>
    <s v="Margie Rodriguez Rodriguez"/>
    <d v="2022-02-02T00:00:00"/>
    <m/>
    <n v="5"/>
    <s v="FE-44"/>
    <x v="2"/>
    <n v="6277.5"/>
    <x v="5"/>
    <n v="46453500"/>
    <n v="14"/>
    <n v="4502259560"/>
    <n v="5080313861"/>
    <n v="5113086688"/>
    <m/>
    <s v="CON RETEN"/>
    <s v="Cambio de contadora va a validar "/>
    <x v="0"/>
    <d v="2022-01-30T00:00:00"/>
    <m/>
    <m/>
    <m/>
    <m/>
    <m/>
    <m/>
    <m/>
    <m/>
    <d v="2022-01-30T00:00:00"/>
    <x v="1"/>
  </r>
  <r>
    <s v="Margie Rodriguez Rodriguez"/>
    <d v="2022-02-02T00:00:00"/>
    <m/>
    <n v="5"/>
    <s v="NC222"/>
    <x v="2"/>
    <n v="6277.5"/>
    <x v="2"/>
    <n v="-627750"/>
    <n v="0"/>
    <n v="4502259560"/>
    <n v="5080313861"/>
    <n v="5113086689"/>
    <m/>
    <m/>
    <m/>
    <x v="0"/>
    <d v="2022-01-30T00:00:00"/>
    <m/>
    <m/>
    <m/>
    <m/>
    <m/>
    <m/>
    <m/>
    <m/>
    <d v="2022-01-30T00:00:00"/>
    <x v="1"/>
  </r>
  <r>
    <s v="La Ceiba S.A"/>
    <d v="2022-02-01T00:00:00"/>
    <m/>
    <n v="5"/>
    <s v="FE-1796"/>
    <x v="1"/>
    <n v="25878"/>
    <x v="15"/>
    <n v="192791100"/>
    <n v="56"/>
    <n v="4502259565"/>
    <n v="5080313862"/>
    <n v="5113085892"/>
    <m/>
    <s v="CON RETEN"/>
    <s v="Va a validar con Ivan"/>
    <x v="0"/>
    <d v="2022-01-30T00:00:00"/>
    <m/>
    <m/>
    <m/>
    <m/>
    <m/>
    <m/>
    <m/>
    <m/>
    <d v="2022-01-30T00:00:00"/>
    <x v="1"/>
  </r>
  <r>
    <s v="La Ceiba S.A"/>
    <d v="2022-02-01T00:00:00"/>
    <m/>
    <n v="5"/>
    <s v="NC10028"/>
    <x v="1"/>
    <n v="25878"/>
    <x v="71"/>
    <n v="-1566912.9000000048"/>
    <n v="0"/>
    <n v="4502259565"/>
    <n v="5080313862"/>
    <n v="5113085895"/>
    <m/>
    <m/>
    <m/>
    <x v="0"/>
    <d v="2022-01-30T00:00:00"/>
    <m/>
    <m/>
    <m/>
    <m/>
    <m/>
    <m/>
    <m/>
    <m/>
    <d v="2022-01-30T00:00:00"/>
    <x v="1"/>
  </r>
  <r>
    <s v="David Martinez Jaramillo"/>
    <d v="2022-02-01T00:00:00"/>
    <d v="2022-02-03T00:00:00"/>
    <n v="5"/>
    <s v="DM138"/>
    <x v="2"/>
    <n v="7220.5"/>
    <x v="9"/>
    <n v="55597850"/>
    <n v="14"/>
    <n v="4502259568"/>
    <n v="5080335946"/>
    <n v="5113089284"/>
    <m/>
    <s v="TIENE BL"/>
    <m/>
    <x v="0"/>
    <d v="2022-02-01T00:00:00"/>
    <m/>
    <m/>
    <m/>
    <m/>
    <m/>
    <m/>
    <m/>
    <m/>
    <d v="2022-02-01T00:00:00"/>
    <x v="2"/>
  </r>
  <r>
    <s v="Lina Maria Pelaez Gomez"/>
    <d v="2022-02-03T00:00:00"/>
    <d v="2022-02-03T00:00:00"/>
    <n v="5"/>
    <s v="LP67"/>
    <x v="2"/>
    <n v="19645"/>
    <x v="9"/>
    <n v="151266500"/>
    <n v="42"/>
    <n v="4502259570"/>
    <n v="5080335947"/>
    <n v="5113089286"/>
    <m/>
    <s v="TIENE BL"/>
    <m/>
    <x v="0"/>
    <d v="2022-02-01T00:00:00"/>
    <m/>
    <m/>
    <m/>
    <m/>
    <m/>
    <m/>
    <m/>
    <m/>
    <d v="2022-02-01T00:00:00"/>
    <x v="2"/>
  </r>
  <r>
    <s v="Lina Maria Pelaez Gomez"/>
    <d v="2022-02-03T00:00:00"/>
    <d v="2022-02-03T00:00:00"/>
    <n v="5"/>
    <s v="NC50"/>
    <x v="2"/>
    <n v="19645"/>
    <x v="13"/>
    <n v="-982250"/>
    <n v="0"/>
    <n v="4502259570"/>
    <n v="5080335947"/>
    <n v="5113089318"/>
    <m/>
    <m/>
    <m/>
    <x v="0"/>
    <d v="2022-02-01T00:00:00"/>
    <m/>
    <m/>
    <m/>
    <m/>
    <m/>
    <m/>
    <m/>
    <m/>
    <d v="2022-02-01T00:00:00"/>
    <x v="2"/>
  </r>
  <r>
    <s v="Angela Maria Restrepo Diaz"/>
    <d v="2022-02-02T00:00:00"/>
    <m/>
    <n v="5"/>
    <s v="AR-61"/>
    <x v="1"/>
    <n v="25917"/>
    <x v="9"/>
    <n v="199560900"/>
    <n v="56"/>
    <n v="4502259573"/>
    <n v="5080336159"/>
    <n v="5113084717"/>
    <m/>
    <s v="CON RETEN"/>
    <m/>
    <x v="0"/>
    <d v="2022-02-01T00:00:00"/>
    <m/>
    <m/>
    <m/>
    <m/>
    <m/>
    <m/>
    <m/>
    <m/>
    <d v="2022-02-01T00:00:00"/>
    <x v="2"/>
  </r>
  <r>
    <s v="Inversiones Valle Del Canalete S.A.S"/>
    <d v="2022-02-01T00:00:00"/>
    <d v="2022-02-04T00:00:00"/>
    <n v="5"/>
    <s v="IVC97"/>
    <x v="0"/>
    <n v="19640"/>
    <x v="56"/>
    <n v="149264000"/>
    <n v="42"/>
    <n v="4502264806"/>
    <n v="5080367308"/>
    <n v="5113089001"/>
    <m/>
    <s v="CON RETEN"/>
    <m/>
    <x v="1"/>
    <d v="2022-02-01T00:00:00"/>
    <m/>
    <m/>
    <m/>
    <m/>
    <m/>
    <m/>
    <m/>
    <m/>
    <d v="2022-02-01T00:00:00"/>
    <x v="2"/>
  </r>
  <r>
    <s v="31416 S.A.S"/>
    <d v="2022-02-01T00:00:00"/>
    <d v="2022-02-07T00:00:00"/>
    <n v="5"/>
    <s v="PI-121"/>
    <x v="0"/>
    <n v="7510"/>
    <x v="51"/>
    <n v="56700500"/>
    <n v="15"/>
    <n v="4502264811"/>
    <n v="5080367315"/>
    <n v="5113089665"/>
    <m/>
    <s v="CON RETEN"/>
    <m/>
    <x v="1"/>
    <d v="2022-02-01T00:00:00"/>
    <m/>
    <m/>
    <m/>
    <m/>
    <m/>
    <m/>
    <m/>
    <m/>
    <d v="2022-02-01T00:00:00"/>
    <x v="2"/>
  </r>
  <r>
    <s v="Lafe Sierra S.A.S"/>
    <d v="2022-02-01T00:00:00"/>
    <d v="2022-02-02T00:00:00"/>
    <n v="5"/>
    <s v="FELS260"/>
    <x v="0"/>
    <n v="14140"/>
    <x v="72"/>
    <n v="102939200"/>
    <n v="28"/>
    <n v="4502263662"/>
    <n v="5080345846"/>
    <n v="5113083451"/>
    <s v="CON RETEN"/>
    <s v="EJ*2 910200*2"/>
    <m/>
    <x v="1"/>
    <d v="2022-02-01T00:00:00"/>
    <n v="4502263662"/>
    <n v="1820400"/>
    <s v="FEMD-3255"/>
    <n v="5113087405"/>
    <m/>
    <m/>
    <m/>
    <m/>
    <d v="2022-02-01T00:00:00"/>
    <x v="2"/>
  </r>
  <r>
    <s v="Agropecuaria Tabaida S.A.S"/>
    <d v="2022-02-01T00:00:00"/>
    <d v="2022-02-03T00:00:00"/>
    <n v="5"/>
    <s v="MT-1240"/>
    <x v="0"/>
    <n v="40060"/>
    <x v="38"/>
    <n v="300450000"/>
    <n v="84"/>
    <n v="4502264813"/>
    <n v="5080367449"/>
    <n v="5113088998"/>
    <m/>
    <s v="TIENE BL"/>
    <m/>
    <x v="1"/>
    <d v="2022-02-01T00:00:00"/>
    <m/>
    <m/>
    <m/>
    <m/>
    <m/>
    <m/>
    <m/>
    <m/>
    <d v="2022-02-01T00:00:00"/>
    <x v="2"/>
  </r>
  <r>
    <s v="Andres Jaramillo Bernal"/>
    <d v="2022-02-03T00:00:00"/>
    <d v="2022-02-08T00:00:00"/>
    <n v="6"/>
    <s v="FEVA-5133"/>
    <x v="0"/>
    <n v="6200.5"/>
    <x v="38"/>
    <n v="46503750"/>
    <n v="14"/>
    <n v="4502264042"/>
    <n v="5080382031"/>
    <n v="5113093646"/>
    <m/>
    <s v="TIENE BL"/>
    <m/>
    <x v="0"/>
    <d v="2022-02-03T00:00:00"/>
    <m/>
    <m/>
    <m/>
    <m/>
    <m/>
    <m/>
    <m/>
    <m/>
    <d v="2022-02-03T00:00:00"/>
    <x v="2"/>
  </r>
  <r>
    <s v="Juan Pablo Sierra Cardona"/>
    <d v="2022-02-03T00:00:00"/>
    <d v="2022-02-08T00:00:00"/>
    <n v="6"/>
    <s v="JPS-940"/>
    <x v="0"/>
    <n v="16798"/>
    <x v="28"/>
    <n v="130184500"/>
    <n v="42"/>
    <n v="4502264044"/>
    <n v="5080382034"/>
    <n v="5113093727"/>
    <m/>
    <s v="TIENE BL"/>
    <m/>
    <x v="0"/>
    <d v="2022-02-03T00:00:00"/>
    <m/>
    <m/>
    <m/>
    <m/>
    <m/>
    <m/>
    <m/>
    <m/>
    <d v="2022-02-03T00:00:00"/>
    <x v="2"/>
  </r>
  <r>
    <s v="Juan Pablo Sierra Cardona"/>
    <d v="2022-02-03T00:00:00"/>
    <d v="2022-02-08T00:00:00"/>
    <n v="6"/>
    <s v="NC75"/>
    <x v="0"/>
    <n v="16798"/>
    <x v="73"/>
    <n v="-1625206.5"/>
    <n v="0"/>
    <n v="4502264044"/>
    <n v="5080382034"/>
    <n v="5113093729"/>
    <m/>
    <m/>
    <m/>
    <x v="0"/>
    <d v="2022-02-03T00:00:00"/>
    <m/>
    <m/>
    <m/>
    <m/>
    <m/>
    <m/>
    <m/>
    <m/>
    <d v="2022-02-03T00:00:00"/>
    <x v="2"/>
  </r>
  <r>
    <s v="Inversiones y Negocios V&amp;V S.A.S"/>
    <d v="2022-02-08T00:00:00"/>
    <d v="2022-02-08T00:00:00"/>
    <n v="6"/>
    <s v="FE1584"/>
    <x v="0"/>
    <n v="6536"/>
    <x v="28"/>
    <n v="50654000"/>
    <n v="14"/>
    <n v="4502264046"/>
    <n v="5080382036"/>
    <n v="5113093807"/>
    <m/>
    <s v="CON RETEN"/>
    <m/>
    <x v="0"/>
    <d v="2022-02-03T00:00:00"/>
    <m/>
    <m/>
    <m/>
    <m/>
    <m/>
    <m/>
    <m/>
    <m/>
    <d v="2022-02-03T00:00:00"/>
    <x v="2"/>
  </r>
  <r>
    <s v="Inversiones y Negocios V&amp;V S.A.S"/>
    <d v="2022-02-08T00:00:00"/>
    <d v="2022-02-08T00:00:00"/>
    <n v="6"/>
    <s v="ND004"/>
    <x v="0"/>
    <n v="6536"/>
    <x v="13"/>
    <n v="326800"/>
    <n v="0"/>
    <n v="4502264046"/>
    <n v="5080382036"/>
    <n v="5113093808"/>
    <m/>
    <m/>
    <m/>
    <x v="0"/>
    <d v="2022-02-03T00:00:00"/>
    <m/>
    <m/>
    <m/>
    <m/>
    <m/>
    <m/>
    <m/>
    <m/>
    <d v="2022-02-03T00:00:00"/>
    <x v="2"/>
  </r>
  <r>
    <s v="Multicarnicos S.A"/>
    <d v="2022-02-04T00:00:00"/>
    <d v="2022-02-08T00:00:00"/>
    <n v="6"/>
    <s v="MUL281"/>
    <x v="0"/>
    <n v="7897"/>
    <x v="56"/>
    <n v="60017200"/>
    <n v="15"/>
    <n v="4502264047"/>
    <n v="5080385902"/>
    <n v="5113091775"/>
    <m/>
    <s v="TIENE BL"/>
    <m/>
    <x v="0"/>
    <d v="2022-02-03T00:00:00"/>
    <m/>
    <m/>
    <m/>
    <m/>
    <m/>
    <m/>
    <m/>
    <m/>
    <d v="2022-02-03T00:00:00"/>
    <x v="2"/>
  </r>
  <r>
    <s v="Multicarnicos S.A"/>
    <d v="2022-02-04T00:00:00"/>
    <d v="2022-02-08T00:00:00"/>
    <n v="6"/>
    <s v="ND5"/>
    <x v="0"/>
    <n v="7897"/>
    <x v="2"/>
    <n v="789700"/>
    <n v="0"/>
    <n v="4502264047"/>
    <n v="5080385902"/>
    <n v="5113091788"/>
    <m/>
    <m/>
    <m/>
    <x v="0"/>
    <d v="2022-02-03T00:00:00"/>
    <m/>
    <m/>
    <m/>
    <m/>
    <m/>
    <m/>
    <m/>
    <m/>
    <d v="2022-02-03T00:00:00"/>
    <x v="2"/>
  </r>
  <r>
    <s v="Sociedad Comercializadora Ganadera"/>
    <d v="2022-02-08T00:00:00"/>
    <d v="2022-02-08T00:00:00"/>
    <n v="6"/>
    <s v="FEDV183"/>
    <x v="0"/>
    <n v="50705.5"/>
    <x v="63"/>
    <n v="398038175"/>
    <n v="105"/>
    <n v="4502264049"/>
    <n v="5080382068"/>
    <n v="5113098709"/>
    <m/>
    <s v="TIENE BL"/>
    <m/>
    <x v="0"/>
    <d v="2022-02-03T00:00:00"/>
    <m/>
    <m/>
    <m/>
    <m/>
    <m/>
    <m/>
    <m/>
    <m/>
    <d v="2022-02-03T00:00:00"/>
    <x v="2"/>
  </r>
  <r>
    <s v="Sociedad Comercializadora Ganadera"/>
    <d v="2022-02-08T00:00:00"/>
    <d v="2022-02-08T00:00:00"/>
    <n v="6"/>
    <s v="NC68"/>
    <x v="0"/>
    <n v="50705.5"/>
    <x v="74"/>
    <n v="-118143.81499999631"/>
    <n v="0"/>
    <n v="4502264049"/>
    <n v="5080382068"/>
    <n v="5113098711"/>
    <m/>
    <m/>
    <m/>
    <x v="0"/>
    <d v="2022-02-03T00:00:00"/>
    <m/>
    <m/>
    <m/>
    <m/>
    <m/>
    <m/>
    <m/>
    <m/>
    <d v="2022-02-03T00:00:00"/>
    <x v="2"/>
  </r>
  <r>
    <s v="Primavera del Magdalena S.A.S."/>
    <d v="2022-02-09T00:00:00"/>
    <d v="2022-02-09T00:00:00"/>
    <n v="6"/>
    <s v="PRI-55"/>
    <x v="1"/>
    <n v="6714.5"/>
    <x v="38"/>
    <n v="50358750"/>
    <n v="14"/>
    <n v="4502264051"/>
    <n v="5080382069"/>
    <n v="5113094479"/>
    <m/>
    <s v="TIENE BL"/>
    <m/>
    <x v="0"/>
    <d v="2022-02-03T00:00:00"/>
    <m/>
    <m/>
    <m/>
    <m/>
    <m/>
    <m/>
    <m/>
    <m/>
    <d v="2022-02-03T00:00:00"/>
    <x v="2"/>
  </r>
  <r>
    <s v="Fernando Arevalo Reyes"/>
    <d v="2022-02-04T00:00:00"/>
    <d v="2022-02-10T00:00:00"/>
    <n v="6"/>
    <s v="FVE-106"/>
    <x v="0"/>
    <n v="19664"/>
    <x v="15"/>
    <n v="146496800"/>
    <n v="44"/>
    <n v="4502264053"/>
    <n v="5080403963"/>
    <n v="5113096544"/>
    <m/>
    <s v="TIENE BL"/>
    <m/>
    <x v="0"/>
    <d v="2022-02-04T00:00:00"/>
    <m/>
    <m/>
    <m/>
    <m/>
    <m/>
    <m/>
    <m/>
    <m/>
    <d v="2022-02-04T00:00:00"/>
    <x v="2"/>
  </r>
  <r>
    <s v="Fernando Arevalo Reyes"/>
    <d v="2022-02-04T00:00:00"/>
    <d v="2022-02-10T00:00:00"/>
    <n v="6"/>
    <s v="NC19"/>
    <x v="0"/>
    <n v="19664"/>
    <x v="75"/>
    <n v="-571435.84000000788"/>
    <n v="0"/>
    <n v="4502264053"/>
    <n v="5080403963"/>
    <n v="5113096546"/>
    <m/>
    <m/>
    <m/>
    <x v="0"/>
    <d v="2022-02-04T00:00:00"/>
    <m/>
    <m/>
    <m/>
    <m/>
    <m/>
    <m/>
    <m/>
    <m/>
    <d v="2022-02-04T00:00:00"/>
    <x v="2"/>
  </r>
  <r>
    <s v="Alexander Bautista Perez"/>
    <d v="2022-02-04T00:00:00"/>
    <d v="2022-02-08T00:00:00"/>
    <n v="6"/>
    <s v="FACE-220"/>
    <x v="0"/>
    <n v="14860.5"/>
    <x v="76"/>
    <n v="120370050"/>
    <n v="28"/>
    <n v="4502264054"/>
    <n v="5080403817"/>
    <n v="5113094313"/>
    <m/>
    <s v="TIENE BL"/>
    <m/>
    <x v="0"/>
    <d v="2022-02-04T00:00:00"/>
    <m/>
    <m/>
    <m/>
    <m/>
    <m/>
    <m/>
    <m/>
    <m/>
    <d v="2022-02-04T00:00:00"/>
    <x v="2"/>
  </r>
  <r>
    <s v="Lismenia Torcoroma Rincon Hernandez"/>
    <d v="2022-02-04T00:00:00"/>
    <d v="2022-02-08T00:00:00"/>
    <n v="6"/>
    <s v="GANA-137"/>
    <x v="0"/>
    <n v="73751.5"/>
    <x v="56"/>
    <n v="560511400"/>
    <n v="150"/>
    <n v="4502264056"/>
    <n v="5080386944"/>
    <n v="5113096821"/>
    <m/>
    <s v="CON RETEN "/>
    <m/>
    <x v="0"/>
    <d v="2022-02-04T00:00:00"/>
    <m/>
    <m/>
    <m/>
    <m/>
    <m/>
    <m/>
    <m/>
    <m/>
    <d v="2022-02-04T00:00:00"/>
    <x v="2"/>
  </r>
  <r>
    <s v="Lismenia Torcoroma Rincon Hernandez"/>
    <d v="2022-02-04T00:00:00"/>
    <d v="2022-02-08T00:00:00"/>
    <n v="6"/>
    <s v="ND000006"/>
    <x v="0"/>
    <n v="73751.5"/>
    <x v="13"/>
    <n v="3687575"/>
    <n v="0"/>
    <n v="4502264056"/>
    <n v="5080386944"/>
    <n v="5113096822"/>
    <m/>
    <m/>
    <m/>
    <x v="0"/>
    <d v="2022-02-04T00:00:00"/>
    <m/>
    <m/>
    <m/>
    <m/>
    <m/>
    <m/>
    <m/>
    <m/>
    <d v="2022-02-04T00:00:00"/>
    <x v="2"/>
  </r>
  <r>
    <s v="Tanagro S.A.S Zomac"/>
    <d v="2022-02-08T00:00:00"/>
    <d v="2022-02-14T00:00:00"/>
    <n v="6"/>
    <s v="Z-93"/>
    <x v="0"/>
    <n v="14665.5"/>
    <x v="38"/>
    <n v="109991250"/>
    <n v="30"/>
    <n v="4502264061"/>
    <n v="5080403888"/>
    <n v="5113093735"/>
    <m/>
    <s v="CON RETEN"/>
    <m/>
    <x v="0"/>
    <d v="2022-02-04T00:00:00"/>
    <m/>
    <m/>
    <m/>
    <m/>
    <m/>
    <m/>
    <m/>
    <m/>
    <d v="2022-02-04T00:00:00"/>
    <x v="2"/>
  </r>
  <r>
    <s v="Sociedad Comercializadora Ganadera"/>
    <d v="2022-02-08T00:00:00"/>
    <d v="2022-02-08T00:00:00"/>
    <n v="6"/>
    <s v="FEDV184"/>
    <x v="0"/>
    <n v="34704"/>
    <x v="63"/>
    <n v="272426400"/>
    <n v="74"/>
    <n v="4502264062"/>
    <n v="5080403918"/>
    <n v="5113098712"/>
    <m/>
    <s v="TIENE BL"/>
    <m/>
    <x v="0"/>
    <d v="2022-02-04T00:00:00"/>
    <m/>
    <m/>
    <m/>
    <m/>
    <m/>
    <m/>
    <m/>
    <m/>
    <d v="2022-02-04T00:00:00"/>
    <x v="2"/>
  </r>
  <r>
    <s v="Sociedad Comercializadora Ganadera"/>
    <d v="2022-02-08T00:00:00"/>
    <d v="2022-02-08T00:00:00"/>
    <n v="6"/>
    <s v="NC69"/>
    <x v="0"/>
    <n v="34704"/>
    <x v="77"/>
    <n v="-347387.0400000076"/>
    <n v="0"/>
    <n v="4502264062"/>
    <n v="5080403918"/>
    <n v="5113098713"/>
    <m/>
    <m/>
    <m/>
    <x v="0"/>
    <d v="2022-02-04T00:00:00"/>
    <m/>
    <m/>
    <m/>
    <m/>
    <m/>
    <m/>
    <m/>
    <m/>
    <d v="2022-02-04T00:00:00"/>
    <x v="2"/>
  </r>
  <r>
    <s v="Primavera del Magdalena S.A.S."/>
    <d v="2022-02-09T00:00:00"/>
    <d v="2022-02-09T00:00:00"/>
    <n v="6"/>
    <s v="PRI-56"/>
    <x v="0"/>
    <n v="6722"/>
    <x v="38"/>
    <n v="50415000"/>
    <n v="14"/>
    <n v="4502264063"/>
    <n v="5080403919"/>
    <n v="5113094482"/>
    <m/>
    <s v="TIENE BL"/>
    <m/>
    <x v="0"/>
    <d v="2022-02-04T00:00:00"/>
    <m/>
    <m/>
    <m/>
    <m/>
    <m/>
    <m/>
    <m/>
    <m/>
    <d v="2022-02-04T00:00:00"/>
    <x v="2"/>
  </r>
  <r>
    <s v="Primavera del Magdalena S.A.S."/>
    <d v="2022-02-09T00:00:00"/>
    <d v="2022-02-09T00:00:00"/>
    <n v="6"/>
    <s v="D0026"/>
    <x v="0"/>
    <n v="6722"/>
    <x v="13"/>
    <n v="336100"/>
    <n v="0"/>
    <n v="4502264063"/>
    <n v="5080403919"/>
    <n v="5113095246"/>
    <m/>
    <m/>
    <m/>
    <x v="0"/>
    <d v="2022-02-04T00:00:00"/>
    <m/>
    <m/>
    <m/>
    <m/>
    <m/>
    <m/>
    <m/>
    <m/>
    <d v="2022-02-04T00:00:00"/>
    <x v="2"/>
  </r>
  <r>
    <s v="Agropecuaria Tabaida S.A.S"/>
    <d v="2022-02-04T00:00:00"/>
    <d v="2022-02-07T00:00:00"/>
    <n v="6"/>
    <s v="MT-1242"/>
    <x v="2"/>
    <n v="38637"/>
    <x v="56"/>
    <n v="293641200"/>
    <n v="84"/>
    <n v="4502264066"/>
    <n v="5080411420"/>
    <n v="5113096825"/>
    <m/>
    <s v="TIENE BL"/>
    <s v="Se solicito a Esther "/>
    <x v="1"/>
    <d v="2022-02-04T00:00:00"/>
    <m/>
    <m/>
    <m/>
    <m/>
    <m/>
    <m/>
    <m/>
    <m/>
    <d v="2022-02-04T00:00:00"/>
    <x v="2"/>
  </r>
  <r>
    <s v="Surtidora Agropecuaria De Colombia"/>
    <d v="2022-02-04T00:00:00"/>
    <d v="2022-02-07T00:00:00"/>
    <n v="6"/>
    <s v="FESA-23"/>
    <x v="2"/>
    <n v="25445"/>
    <x v="9"/>
    <n v="195926500"/>
    <n v="56"/>
    <n v="4502264067"/>
    <n v="5080411811"/>
    <n v="5113092098"/>
    <m/>
    <s v="TIENE BL "/>
    <m/>
    <x v="1"/>
    <d v="2022-02-04T00:00:00"/>
    <m/>
    <m/>
    <m/>
    <m/>
    <m/>
    <m/>
    <m/>
    <m/>
    <d v="2022-02-04T00:00:00"/>
    <x v="2"/>
  </r>
  <r>
    <s v="Carlos Mario Duque Cadavid"/>
    <d v="2022-02-04T00:00:00"/>
    <m/>
    <n v="6"/>
    <s v="CD-98"/>
    <x v="2"/>
    <n v="26217"/>
    <x v="56"/>
    <n v="199249200"/>
    <n v="56"/>
    <n v="4502264068"/>
    <n v="5080411424"/>
    <n v="5113090248"/>
    <m/>
    <m/>
    <s v="CON RETEN "/>
    <x v="1"/>
    <d v="2022-02-04T00:00:00"/>
    <m/>
    <m/>
    <m/>
    <m/>
    <m/>
    <m/>
    <m/>
    <m/>
    <d v="2022-02-04T00:00:00"/>
    <x v="2"/>
  </r>
  <r>
    <s v="Inversiones Valle Del Canalete S.A.S"/>
    <d v="2022-02-04T00:00:00"/>
    <d v="2022-02-07T00:00:00"/>
    <n v="6"/>
    <s v="IVC98"/>
    <x v="2"/>
    <n v="19644"/>
    <x v="56"/>
    <n v="149294400"/>
    <n v="42"/>
    <n v="4502264070"/>
    <n v="5080411521"/>
    <n v="5113091386"/>
    <m/>
    <s v="CON RETEN"/>
    <m/>
    <x v="1"/>
    <d v="2022-02-04T00:00:00"/>
    <m/>
    <m/>
    <m/>
    <m/>
    <m/>
    <m/>
    <m/>
    <m/>
    <d v="2022-02-04T00:00:00"/>
    <x v="2"/>
  </r>
  <r>
    <s v="31416 S.A.S"/>
    <d v="2022-02-04T00:00:00"/>
    <d v="2022-02-07T00:00:00"/>
    <n v="6"/>
    <s v="PI-122"/>
    <x v="2"/>
    <n v="15159"/>
    <x v="78"/>
    <n v="115148067.18000001"/>
    <n v="30"/>
    <n v="4502264071"/>
    <n v="5080411703"/>
    <n v="5113089666"/>
    <m/>
    <s v="CON RETEN"/>
    <m/>
    <x v="1"/>
    <d v="2022-02-04T00:00:00"/>
    <m/>
    <m/>
    <m/>
    <m/>
    <m/>
    <m/>
    <m/>
    <m/>
    <d v="2022-02-04T00:00:00"/>
    <x v="2"/>
  </r>
  <r>
    <s v="Misionagro S.A.S"/>
    <d v="2022-02-04T00:00:00"/>
    <d v="2022-02-09T00:00:00"/>
    <n v="6"/>
    <s v="MISI63"/>
    <x v="2"/>
    <n v="37050"/>
    <x v="79"/>
    <n v="285224238"/>
    <n v="70"/>
    <n v="4502264072"/>
    <n v="5080411707"/>
    <n v="5113096345"/>
    <m/>
    <s v="CON RETEN"/>
    <m/>
    <x v="1"/>
    <d v="2022-02-04T00:00:00"/>
    <m/>
    <m/>
    <m/>
    <m/>
    <m/>
    <m/>
    <m/>
    <m/>
    <d v="2022-02-04T00:00:00"/>
    <x v="2"/>
  </r>
  <r>
    <s v="Mauricio De Jesús Bernal Jaramillo"/>
    <d v="2022-02-07T00:00:00"/>
    <d v="2022-02-08T00:00:00"/>
    <n v="6"/>
    <s v="FE-166"/>
    <x v="2"/>
    <n v="13272"/>
    <x v="38"/>
    <n v="99540000"/>
    <n v="30"/>
    <n v="4502264074"/>
    <n v="5080411607"/>
    <n v="5113091249"/>
    <m/>
    <s v="CON RETEN"/>
    <m/>
    <x v="1"/>
    <d v="2022-02-04T00:00:00"/>
    <m/>
    <m/>
    <m/>
    <m/>
    <m/>
    <m/>
    <m/>
    <m/>
    <d v="2022-02-04T00:00:00"/>
    <x v="2"/>
  </r>
  <r>
    <s v="Sociedad Comercializadora Ganadera"/>
    <d v="2022-02-08T00:00:00"/>
    <d v="2022-02-08T00:00:00"/>
    <n v="6"/>
    <s v="FEDV185"/>
    <x v="0"/>
    <n v="58611"/>
    <x v="63"/>
    <n v="460096350"/>
    <n v="116"/>
    <n v="4502264076"/>
    <n v="5080403920"/>
    <n v="5113098716"/>
    <m/>
    <s v="TIENE BL"/>
    <m/>
    <x v="0"/>
    <d v="2022-02-05T00:00:00"/>
    <m/>
    <m/>
    <m/>
    <m/>
    <m/>
    <m/>
    <m/>
    <m/>
    <d v="2022-02-05T00:00:00"/>
    <x v="2"/>
  </r>
  <r>
    <s v="Sociedad Comercializadora Ganadera"/>
    <d v="2022-02-08T00:00:00"/>
    <d v="2022-02-08T00:00:00"/>
    <n v="6"/>
    <s v="NC70"/>
    <x v="0"/>
    <n v="58611"/>
    <x v="80"/>
    <n v="-831690.08999997657"/>
    <n v="0"/>
    <n v="4502264076"/>
    <n v="5080403920"/>
    <n v="5113098747"/>
    <m/>
    <m/>
    <m/>
    <x v="0"/>
    <d v="2022-02-05T00:00:00"/>
    <m/>
    <m/>
    <m/>
    <m/>
    <m/>
    <m/>
    <m/>
    <m/>
    <d v="2022-02-05T00:00:00"/>
    <x v="2"/>
  </r>
  <r>
    <s v="Lismenia Torcoroma Rincon Hernandez"/>
    <d v="2022-02-05T00:00:00"/>
    <d v="2022-02-08T00:00:00"/>
    <n v="6"/>
    <s v="GANA-139"/>
    <x v="0"/>
    <n v="21688"/>
    <x v="56"/>
    <n v="164828800"/>
    <n v="45"/>
    <n v="4502264079"/>
    <n v="5080403921"/>
    <n v="5113093730"/>
    <m/>
    <s v="CON RETEN"/>
    <m/>
    <x v="0"/>
    <d v="2022-02-05T00:00:00"/>
    <m/>
    <m/>
    <m/>
    <m/>
    <m/>
    <m/>
    <m/>
    <m/>
    <d v="2022-02-05T00:00:00"/>
    <x v="2"/>
  </r>
  <r>
    <s v="Lismenia Torcoroma Rincon Hernandez"/>
    <d v="2022-02-05T00:00:00"/>
    <d v="2022-02-08T00:00:00"/>
    <n v="6"/>
    <s v="ND000007"/>
    <x v="0"/>
    <n v="21688"/>
    <x v="81"/>
    <n v="2129544.7199999914"/>
    <n v="0"/>
    <n v="4502264079"/>
    <n v="5080403921"/>
    <n v="5113093731"/>
    <m/>
    <m/>
    <m/>
    <x v="0"/>
    <d v="2022-02-05T00:00:00"/>
    <m/>
    <m/>
    <m/>
    <m/>
    <m/>
    <m/>
    <m/>
    <m/>
    <d v="2022-02-05T00:00:00"/>
    <x v="2"/>
  </r>
  <r>
    <s v="Lina Maria Pelaez Gomez"/>
    <d v="2022-02-07T00:00:00"/>
    <d v="2022-02-09T00:00:00"/>
    <n v="6"/>
    <s v="LP-68"/>
    <x v="0"/>
    <n v="26782.5"/>
    <x v="28"/>
    <n v="207564375"/>
    <n v="59"/>
    <n v="4502264083"/>
    <n v="5080403964"/>
    <n v="5113095473"/>
    <m/>
    <s v="TIENE BL"/>
    <m/>
    <x v="0"/>
    <d v="2022-02-05T00:00:00"/>
    <m/>
    <m/>
    <m/>
    <m/>
    <m/>
    <m/>
    <m/>
    <m/>
    <d v="2022-02-05T00:00:00"/>
    <x v="2"/>
  </r>
  <r>
    <s v="Lina Maria Pelaez Gomez"/>
    <d v="2022-02-09T00:00:00"/>
    <d v="2022-02-09T00:00:00"/>
    <n v="6"/>
    <s v="NC51"/>
    <x v="0"/>
    <n v="26782.5"/>
    <x v="82"/>
    <n v="-1525799.0250000069"/>
    <n v="0"/>
    <n v="4502264083"/>
    <n v="5080403964"/>
    <n v="5113095475"/>
    <m/>
    <m/>
    <m/>
    <x v="0"/>
    <d v="2022-02-05T00:00:00"/>
    <m/>
    <m/>
    <m/>
    <m/>
    <m/>
    <m/>
    <m/>
    <m/>
    <d v="2022-02-05T00:00:00"/>
    <x v="2"/>
  </r>
  <r>
    <s v="Maria Victoria Yepes Garcia"/>
    <d v="2022-02-06T00:00:00"/>
    <d v="2022-02-09T00:00:00"/>
    <n v="6"/>
    <s v="MVYG-28"/>
    <x v="0"/>
    <n v="7142.5"/>
    <x v="15"/>
    <n v="53211625"/>
    <n v="14"/>
    <n v="4502264085"/>
    <n v="5080411790"/>
    <n v="5113095426"/>
    <m/>
    <s v="TIENE BL"/>
    <m/>
    <x v="0"/>
    <d v="2022-02-06T00:00:00"/>
    <m/>
    <m/>
    <m/>
    <m/>
    <m/>
    <m/>
    <m/>
    <m/>
    <d v="2022-02-06T00:00:00"/>
    <x v="2"/>
  </r>
  <r>
    <s v="Maria Victoria Yepes Garcia"/>
    <d v="2022-02-06T00:00:00"/>
    <m/>
    <n v="6"/>
    <n v="6"/>
    <x v="0"/>
    <n v="7142.5"/>
    <x v="2"/>
    <n v="714250"/>
    <n v="0"/>
    <n v="4502264085"/>
    <n v="5080411790"/>
    <n v="5113095468"/>
    <m/>
    <m/>
    <m/>
    <x v="0"/>
    <d v="2022-02-06T00:00:00"/>
    <m/>
    <m/>
    <m/>
    <m/>
    <m/>
    <m/>
    <m/>
    <m/>
    <d v="2022-02-06T00:00:00"/>
    <x v="2"/>
  </r>
  <r>
    <s v="Ciro Alfonso Castilla Baez"/>
    <d v="2022-02-06T00:00:00"/>
    <m/>
    <n v="6"/>
    <s v="FE-6"/>
    <x v="0"/>
    <n v="7032"/>
    <x v="38"/>
    <n v="52740000"/>
    <n v="14"/>
    <n v="4502264087"/>
    <n v="5080411793"/>
    <n v="5113097985"/>
    <m/>
    <s v="TIENE BL"/>
    <s v="S solicito por correo "/>
    <x v="0"/>
    <d v="2022-02-06T00:00:00"/>
    <m/>
    <m/>
    <m/>
    <m/>
    <m/>
    <m/>
    <m/>
    <m/>
    <d v="2022-02-06T00:00:00"/>
    <x v="2"/>
  </r>
  <r>
    <s v="Palmas La Guaira S.A.S"/>
    <d v="2022-02-10T00:00:00"/>
    <d v="2022-02-10T00:00:00"/>
    <n v="6"/>
    <s v="FEV55"/>
    <x v="0"/>
    <n v="6472.5"/>
    <x v="15"/>
    <n v="48220125"/>
    <n v="14"/>
    <n v="4502264088"/>
    <n v="5080411795"/>
    <n v="5113097340"/>
    <m/>
    <s v="CON RETEN"/>
    <s v="lo solicito Manu"/>
    <x v="0"/>
    <d v="2022-02-06T00:00:00"/>
    <m/>
    <m/>
    <m/>
    <m/>
    <m/>
    <m/>
    <m/>
    <m/>
    <d v="2022-02-06T00:00:00"/>
    <x v="2"/>
  </r>
  <r>
    <s v="Luis Fernando Rojas Prada"/>
    <d v="2022-02-07T00:00:00"/>
    <d v="2022-02-07T00:00:00"/>
    <n v="6"/>
    <s v="FELC -769"/>
    <x v="0"/>
    <n v="40134"/>
    <x v="67"/>
    <n v="276924600"/>
    <n v="84"/>
    <n v="4502266786"/>
    <n v="5080412266"/>
    <n v="5113090601"/>
    <s v="CON RETEN"/>
    <s v="EJ*6 2982600*2 3062400*4"/>
    <m/>
    <x v="0"/>
    <d v="2022-02-06T00:00:00"/>
    <s v="4902205973 y 4902207768"/>
    <n v="18214800"/>
    <s v="FEMD-3274*3"/>
    <n v="5113090199"/>
    <s v="FEMD-3276*1"/>
    <n v="5113090201"/>
    <s v="FEMD-3275*2"/>
    <n v="511309020"/>
    <d v="2022-02-06T00:00:00"/>
    <x v="2"/>
  </r>
  <r>
    <s v="Rafael Ignacio Jaramillo Londoño"/>
    <d v="2022-02-06T00:00:00"/>
    <d v="2022-02-09T00:00:00"/>
    <n v="6"/>
    <s v="GAN-58"/>
    <x v="1"/>
    <n v="7639.5"/>
    <x v="54"/>
    <n v="59588100"/>
    <n v="15"/>
    <n v="4502264091"/>
    <n v="5080412341"/>
    <n v="5113095537"/>
    <m/>
    <s v="TIENE BL"/>
    <m/>
    <x v="0"/>
    <d v="2022-02-06T00:00:00"/>
    <m/>
    <m/>
    <m/>
    <m/>
    <m/>
    <m/>
    <m/>
    <m/>
    <d v="2022-02-06T00:00:00"/>
    <x v="2"/>
  </r>
  <r>
    <s v="Rafael Ignacio Jaramillo Londoño"/>
    <d v="2022-02-06T00:00:00"/>
    <d v="2022-02-09T00:00:00"/>
    <n v="6"/>
    <s v="NC227"/>
    <x v="1"/>
    <n v="7639.5"/>
    <x v="2"/>
    <n v="-763950"/>
    <n v="0"/>
    <n v="4502264091"/>
    <n v="5080412341"/>
    <n v="5113095538"/>
    <m/>
    <m/>
    <m/>
    <x v="0"/>
    <d v="2022-02-06T00:00:00"/>
    <m/>
    <m/>
    <m/>
    <m/>
    <m/>
    <m/>
    <m/>
    <m/>
    <d v="2022-02-06T00:00:00"/>
    <x v="2"/>
  </r>
  <r>
    <s v="Rodolfo De Jesus Jaramillo Calle"/>
    <d v="2022-02-08T00:00:00"/>
    <d v="2022-02-11T00:00:00"/>
    <n v="6"/>
    <s v="FE-81"/>
    <x v="1"/>
    <n v="15621.5"/>
    <x v="54"/>
    <n v="121847700"/>
    <n v="30"/>
    <n v="4502264092"/>
    <n v="5080445286"/>
    <n v="5113100109"/>
    <m/>
    <s v="TIENE BL"/>
    <s v="lo pedi por correo "/>
    <x v="0"/>
    <d v="2022-02-06T00:00:00"/>
    <m/>
    <m/>
    <m/>
    <m/>
    <m/>
    <m/>
    <m/>
    <m/>
    <d v="2022-02-06T00:00:00"/>
    <x v="2"/>
  </r>
  <r>
    <s v="Rodolfo De Jesus Jaramillo Calle"/>
    <d v="2022-02-08T00:00:00"/>
    <d v="2022-02-11T00:00:00"/>
    <n v="6"/>
    <s v="NC250"/>
    <x v="1"/>
    <n v="15621.5"/>
    <x v="83"/>
    <n v="-881833.67499999714"/>
    <n v="0"/>
    <n v="4502264092"/>
    <n v="5080445286"/>
    <n v="5113100110"/>
    <m/>
    <m/>
    <m/>
    <x v="0"/>
    <d v="2022-02-06T00:00:00"/>
    <m/>
    <m/>
    <m/>
    <m/>
    <m/>
    <m/>
    <m/>
    <m/>
    <d v="2022-02-06T00:00:00"/>
    <x v="2"/>
  </r>
  <r>
    <s v="Pedro Alirio Barajas Gomez"/>
    <d v="2022-02-09T00:00:00"/>
    <m/>
    <n v="6"/>
    <s v="FE-214"/>
    <x v="1"/>
    <n v="6049.5"/>
    <x v="5"/>
    <n v="44766300"/>
    <n v="14"/>
    <n v="4502269170"/>
    <n v="5080451280"/>
    <n v="5113095419"/>
    <m/>
    <s v="CON RETEN"/>
    <m/>
    <x v="0"/>
    <d v="2022-02-07T00:00:00"/>
    <m/>
    <m/>
    <m/>
    <m/>
    <m/>
    <m/>
    <m/>
    <m/>
    <d v="2022-02-07T00:00:00"/>
    <x v="2"/>
  </r>
  <r>
    <s v="Pedro Alirio Barajas Gomez"/>
    <d v="2022-02-09T00:00:00"/>
    <m/>
    <n v="6"/>
    <s v="NC58"/>
    <x v="1"/>
    <n v="6049.5"/>
    <x v="84"/>
    <n v="-119235.64500000022"/>
    <n v="0"/>
    <n v="4502269170"/>
    <n v="5080451280"/>
    <n v="5113095421"/>
    <m/>
    <m/>
    <m/>
    <x v="0"/>
    <d v="2022-02-07T00:00:00"/>
    <m/>
    <m/>
    <m/>
    <m/>
    <m/>
    <m/>
    <m/>
    <m/>
    <d v="2022-02-07T00:00:00"/>
    <x v="2"/>
  </r>
  <r>
    <s v="Jairo De Jesus Restrepo Gonzalez"/>
    <d v="2022-02-10T00:00:00"/>
    <d v="2022-02-11T00:00:00"/>
    <n v="6"/>
    <s v="FEV-6"/>
    <x v="0"/>
    <n v="13653"/>
    <x v="38"/>
    <n v="102397500"/>
    <n v="28"/>
    <n v="4502264094"/>
    <n v="5080426935"/>
    <n v="5113103768"/>
    <m/>
    <s v="CON RETEN"/>
    <s v="Don Oscar llama a la oficina a solicitarla "/>
    <x v="0"/>
    <d v="2022-02-07T00:00:00"/>
    <m/>
    <m/>
    <m/>
    <m/>
    <m/>
    <m/>
    <m/>
    <m/>
    <d v="2022-02-07T00:00:00"/>
    <x v="2"/>
  </r>
  <r>
    <s v="Agroindustria Ganadera Valle Del Cesar"/>
    <d v="2022-02-09T00:00:00"/>
    <m/>
    <n v="6"/>
    <s v="FE-40"/>
    <x v="0"/>
    <n v="14082"/>
    <x v="15"/>
    <n v="104910900"/>
    <n v="28"/>
    <n v="4502264096"/>
    <n v="5080426936"/>
    <n v="5113103590"/>
    <s v=" "/>
    <s v="CON RETEN"/>
    <m/>
    <x v="0"/>
    <d v="2022-02-07T00:00:00"/>
    <m/>
    <m/>
    <m/>
    <m/>
    <m/>
    <m/>
    <m/>
    <m/>
    <d v="2022-02-07T00:00:00"/>
    <x v="2"/>
  </r>
  <r>
    <s v="Agroindustria Ganadera Valle Del Cesar"/>
    <d v="2022-02-09T00:00:00"/>
    <m/>
    <n v="6"/>
    <s v="D00213"/>
    <x v="0"/>
    <n v="14082"/>
    <x v="13"/>
    <n v="704100"/>
    <n v="0"/>
    <n v="4502264096"/>
    <n v="5080426936"/>
    <n v="5113103591"/>
    <m/>
    <m/>
    <m/>
    <x v="0"/>
    <d v="2022-02-07T00:00:00"/>
    <m/>
    <m/>
    <m/>
    <m/>
    <m/>
    <m/>
    <m/>
    <m/>
    <d v="2022-02-07T00:00:00"/>
    <x v="2"/>
  </r>
  <r>
    <s v="Marco Antonio Trillos Criado"/>
    <d v="2022-02-11T00:00:00"/>
    <d v="2022-02-13T00:00:00"/>
    <n v="6"/>
    <s v="M22"/>
    <x v="0"/>
    <n v="7300.5"/>
    <x v="38"/>
    <n v="54753750"/>
    <n v="15"/>
    <n v="4502264098"/>
    <n v="5080426937"/>
    <n v="5113101905"/>
    <m/>
    <s v="TIENE BL"/>
    <s v="Q mañana la envia "/>
    <x v="0"/>
    <d v="2022-02-07T00:00:00"/>
    <m/>
    <m/>
    <m/>
    <m/>
    <m/>
    <m/>
    <m/>
    <m/>
    <d v="2022-02-07T00:00:00"/>
    <x v="2"/>
  </r>
  <r>
    <s v="Jaime Angel Botero"/>
    <d v="2022-02-09T00:00:00"/>
    <m/>
    <n v="6"/>
    <s v="JAB-18"/>
    <x v="1"/>
    <n v="6362.5"/>
    <x v="15"/>
    <n v="47400625"/>
    <n v="15"/>
    <n v="4502272052"/>
    <n v="5080521337"/>
    <n v="5113103566"/>
    <m/>
    <s v="CON RETEN"/>
    <m/>
    <x v="0"/>
    <d v="2022-02-07T00:00:00"/>
    <m/>
    <m/>
    <m/>
    <m/>
    <m/>
    <m/>
    <m/>
    <m/>
    <d v="2022-02-07T00:00:00"/>
    <x v="2"/>
  </r>
  <r>
    <s v="Jaime Angel Botero"/>
    <d v="2022-02-09T00:00:00"/>
    <m/>
    <n v="6"/>
    <s v="NC26"/>
    <x v="1"/>
    <n v="6362.5"/>
    <x v="85"/>
    <n v="-79467.624999998618"/>
    <n v="0"/>
    <n v="4502272052"/>
    <n v="5080521337"/>
    <n v="5113103588"/>
    <m/>
    <m/>
    <m/>
    <x v="0"/>
    <d v="2022-02-07T00:00:00"/>
    <m/>
    <m/>
    <m/>
    <m/>
    <m/>
    <m/>
    <m/>
    <m/>
    <d v="2022-02-07T00:00:00"/>
    <x v="2"/>
  </r>
  <r>
    <s v="Multicarnicos S.A"/>
    <d v="2022-02-08T00:00:00"/>
    <d v="2022-02-10T00:00:00"/>
    <n v="6"/>
    <s v="MUL-285"/>
    <x v="0"/>
    <n v="13372.5"/>
    <x v="56"/>
    <n v="101631000"/>
    <n v="30"/>
    <n v="4502264103"/>
    <n v="5080427625"/>
    <n v="5113096541"/>
    <m/>
    <s v="TIENE BL"/>
    <m/>
    <x v="0"/>
    <d v="2022-02-07T00:00:00"/>
    <m/>
    <m/>
    <m/>
    <m/>
    <m/>
    <m/>
    <m/>
    <m/>
    <d v="2022-02-07T00:00:00"/>
    <x v="2"/>
  </r>
  <r>
    <s v="Multicarnicos S.A"/>
    <d v="2022-02-08T00:00:00"/>
    <d v="2022-02-10T00:00:00"/>
    <n v="6"/>
    <s v="NC40"/>
    <x v="0"/>
    <n v="13372.5"/>
    <x v="86"/>
    <n v="-194837.32499999611"/>
    <n v="0"/>
    <n v="4502264103"/>
    <n v="5080427625"/>
    <n v="5113096542"/>
    <m/>
    <m/>
    <m/>
    <x v="0"/>
    <d v="2022-02-07T00:00:00"/>
    <m/>
    <m/>
    <m/>
    <m/>
    <m/>
    <m/>
    <m/>
    <m/>
    <d v="2022-02-07T00:00:00"/>
    <x v="2"/>
  </r>
  <r>
    <s v="Angela Maria Restrepo Diaz"/>
    <d v="2022-02-10T00:00:00"/>
    <d v="2022-02-10T00:00:00"/>
    <n v="6"/>
    <s v="AR63"/>
    <x v="1"/>
    <n v="12556"/>
    <x v="28"/>
    <n v="97309000"/>
    <n v="28"/>
    <n v="4502264104"/>
    <n v="5080426958"/>
    <n v="5113096543"/>
    <m/>
    <s v="CON RETEN"/>
    <m/>
    <x v="0"/>
    <d v="2022-02-07T00:00:00"/>
    <m/>
    <m/>
    <m/>
    <m/>
    <m/>
    <m/>
    <m/>
    <m/>
    <d v="2022-02-07T00:00:00"/>
    <x v="2"/>
  </r>
  <r>
    <s v="Gonzalo Hoyos Pulido"/>
    <d v="2022-02-07T00:00:00"/>
    <d v="2022-02-24T00:00:00"/>
    <n v="6"/>
    <s v="FELE-48"/>
    <x v="1"/>
    <n v="6102.5"/>
    <x v="28"/>
    <n v="47294375"/>
    <n v="14"/>
    <n v="4502264105"/>
    <n v="5080426959"/>
    <n v="5113097342"/>
    <m/>
    <s v="CON RETEN"/>
    <m/>
    <x v="0"/>
    <d v="2022-02-07T00:00:00"/>
    <m/>
    <m/>
    <m/>
    <m/>
    <m/>
    <m/>
    <m/>
    <m/>
    <d v="2022-02-07T00:00:00"/>
    <x v="2"/>
  </r>
  <r>
    <s v="JERAL S.A.S"/>
    <d v="2022-02-10T00:00:00"/>
    <m/>
    <n v="6"/>
    <s v="JFEV-44"/>
    <x v="0"/>
    <n v="27226"/>
    <x v="87"/>
    <n v="189220700"/>
    <n v="56"/>
    <n v="4502268726"/>
    <n v="5080445310"/>
    <n v="5113097339"/>
    <m/>
    <s v="EJ*4 2979200*4"/>
    <m/>
    <x v="0"/>
    <d v="2022-02-08T00:00:00"/>
    <n v="4902205974"/>
    <n v="11916800"/>
    <s v="FEMD-3300*4"/>
    <n v="5113094372"/>
    <m/>
    <m/>
    <m/>
    <m/>
    <d v="2022-02-08T00:00:00"/>
    <x v="2"/>
  </r>
  <r>
    <s v="Luis Guillermo Vasquez Velez"/>
    <d v="2022-02-15T00:00:00"/>
    <d v="2022-02-16T00:00:00"/>
    <n v="6"/>
    <s v="FE-14"/>
    <x v="0"/>
    <n v="6018.5"/>
    <x v="28"/>
    <n v="46643375"/>
    <n v="14"/>
    <n v="4502264968"/>
    <n v="5080445248"/>
    <n v="5113110099"/>
    <m/>
    <s v="TIENE BL"/>
    <m/>
    <x v="0"/>
    <d v="2022-02-08T00:00:00"/>
    <m/>
    <m/>
    <m/>
    <m/>
    <m/>
    <m/>
    <m/>
    <m/>
    <d v="2022-02-08T00:00:00"/>
    <x v="2"/>
  </r>
  <r>
    <s v="Luis Guillermo Vasquez Velez"/>
    <d v="2022-02-15T00:00:00"/>
    <d v="2022-02-16T00:00:00"/>
    <n v="6"/>
    <s v="ND1"/>
    <x v="0"/>
    <n v="6018.5"/>
    <x v="88"/>
    <n v="229124.29499999824"/>
    <n v="0"/>
    <n v="4502264968"/>
    <n v="5080445248"/>
    <n v="5113110102"/>
    <m/>
    <m/>
    <m/>
    <x v="0"/>
    <d v="2022-02-08T00:00:00"/>
    <m/>
    <m/>
    <m/>
    <m/>
    <m/>
    <m/>
    <m/>
    <m/>
    <d v="2022-02-08T00:00:00"/>
    <x v="2"/>
  </r>
  <r>
    <s v="Andres Felipe Vasquez Velez"/>
    <d v="2022-02-15T00:00:00"/>
    <m/>
    <n v="6"/>
    <s v="FE-13"/>
    <x v="0"/>
    <n v="6145"/>
    <x v="28"/>
    <n v="47623750"/>
    <n v="15"/>
    <n v="4502264114"/>
    <n v="5080445287"/>
    <n v="5113110823"/>
    <m/>
    <s v="TIENE BL"/>
    <m/>
    <x v="0"/>
    <d v="2022-02-08T00:00:00"/>
    <m/>
    <m/>
    <m/>
    <m/>
    <m/>
    <m/>
    <m/>
    <m/>
    <d v="2022-02-08T00:00:00"/>
    <x v="2"/>
  </r>
  <r>
    <s v="Andres Felipe Vasquez Velez"/>
    <d v="2022-02-15T00:00:00"/>
    <m/>
    <n v="6"/>
    <s v="NC8"/>
    <x v="0"/>
    <n v="6145"/>
    <x v="89"/>
    <n v="-192952.99999999776"/>
    <n v="0"/>
    <n v="4502264114"/>
    <n v="5080445287"/>
    <n v="5113110826"/>
    <m/>
    <m/>
    <m/>
    <x v="0"/>
    <d v="2022-02-08T00:00:00"/>
    <m/>
    <m/>
    <m/>
    <m/>
    <m/>
    <m/>
    <m/>
    <m/>
    <d v="2022-02-08T00:00:00"/>
    <x v="2"/>
  </r>
  <r>
    <s v="Juan Camilo Vasquez Velez"/>
    <d v="2022-02-15T00:00:00"/>
    <d v="2022-02-16T00:00:00"/>
    <n v="6"/>
    <s v="FE-9"/>
    <x v="0"/>
    <n v="6200.5"/>
    <x v="28"/>
    <n v="48053875"/>
    <n v="15"/>
    <n v="4502264115"/>
    <n v="5080445308"/>
    <n v="5113110046"/>
    <m/>
    <s v="TIENE BL"/>
    <m/>
    <x v="0"/>
    <d v="2022-02-08T00:00:00"/>
    <m/>
    <m/>
    <m/>
    <m/>
    <m/>
    <m/>
    <m/>
    <m/>
    <d v="2022-02-08T00:00:00"/>
    <x v="2"/>
  </r>
  <r>
    <s v="Juan Camilo Vasquez Velez"/>
    <d v="2022-02-15T00:00:00"/>
    <d v="2022-02-16T00:00:00"/>
    <n v="6"/>
    <s v="ND1"/>
    <x v="0"/>
    <n v="6200.5"/>
    <x v="90"/>
    <n v="38133.074999997742"/>
    <n v="0"/>
    <n v="4502264115"/>
    <n v="5080445308"/>
    <n v="5113110078"/>
    <m/>
    <m/>
    <m/>
    <x v="0"/>
    <d v="2022-02-08T00:00:00"/>
    <m/>
    <m/>
    <m/>
    <m/>
    <m/>
    <m/>
    <m/>
    <m/>
    <d v="2022-02-08T00:00:00"/>
    <x v="2"/>
  </r>
  <r>
    <s v="Industria Ganadera Hato Cebu S.A."/>
    <d v="2022-02-10T00:00:00"/>
    <m/>
    <n v="6"/>
    <s v="FEHC-245"/>
    <x v="0"/>
    <n v="13734.5"/>
    <x v="28"/>
    <n v="106442375"/>
    <n v="28"/>
    <n v="4502264117"/>
    <n v="5080445137"/>
    <n v="5113098752"/>
    <m/>
    <s v="CON RETEN"/>
    <m/>
    <x v="0"/>
    <d v="2022-02-08T00:00:00"/>
    <m/>
    <m/>
    <m/>
    <m/>
    <m/>
    <m/>
    <m/>
    <m/>
    <d v="2022-02-08T00:00:00"/>
    <x v="2"/>
  </r>
  <r>
    <s v="Palmas Cañon Jaime S.A.S"/>
    <d v="2022-02-15T00:00:00"/>
    <d v="2022-02-15T00:00:00"/>
    <n v="7"/>
    <s v="FEP-60"/>
    <x v="2"/>
    <n v="21940.5"/>
    <x v="56"/>
    <n v="166747800"/>
    <n v="45"/>
    <n v="4502269514"/>
    <n v="5080477983"/>
    <n v="5113107174"/>
    <m/>
    <s v="TIENE BL"/>
    <m/>
    <x v="0"/>
    <d v="2022-02-10T00:00:00"/>
    <m/>
    <m/>
    <m/>
    <m/>
    <m/>
    <m/>
    <m/>
    <m/>
    <d v="2022-02-10T00:00:00"/>
    <x v="2"/>
  </r>
  <r>
    <s v="Palmas Cañon Jaime S.A.S"/>
    <d v="2022-02-15T00:00:00"/>
    <m/>
    <n v="7"/>
    <s v="DF27"/>
    <x v="2"/>
    <n v="21940.5"/>
    <x v="13"/>
    <n v="1097025"/>
    <n v="0"/>
    <n v="4502269514"/>
    <n v="5080477983"/>
    <n v="5113107186"/>
    <m/>
    <m/>
    <m/>
    <x v="0"/>
    <d v="2022-02-10T00:00:00"/>
    <m/>
    <m/>
    <m/>
    <m/>
    <m/>
    <m/>
    <m/>
    <m/>
    <d v="2022-02-10T00:00:00"/>
    <x v="2"/>
  </r>
  <r>
    <s v="Lismenia Torcoroma Rincon Hernandez"/>
    <d v="2022-02-10T00:00:00"/>
    <d v="2022-02-14T00:00:00"/>
    <n v="7"/>
    <s v="GANA-141"/>
    <x v="2"/>
    <n v="24633.5"/>
    <x v="3"/>
    <n v="188446275"/>
    <n v="56"/>
    <n v="4502269032"/>
    <n v="5080477948"/>
    <n v="5113103340"/>
    <m/>
    <s v="TIENE BL"/>
    <m/>
    <x v="0"/>
    <d v="2022-02-10T00:00:00"/>
    <m/>
    <m/>
    <m/>
    <m/>
    <m/>
    <m/>
    <m/>
    <m/>
    <d v="2022-02-10T00:00:00"/>
    <x v="2"/>
  </r>
  <r>
    <s v="Lismenia Torcoroma Rincon Hernandez"/>
    <d v="2022-02-10T00:00:00"/>
    <d v="2022-02-14T00:00:00"/>
    <n v="7"/>
    <s v="NC000033"/>
    <x v="2"/>
    <n v="24633.5"/>
    <x v="91"/>
    <n v="-79319.870000006267"/>
    <n v="0"/>
    <n v="4502269032"/>
    <n v="5080477948"/>
    <n v="5113103386"/>
    <m/>
    <m/>
    <m/>
    <x v="0"/>
    <d v="2022-02-10T00:00:00"/>
    <m/>
    <m/>
    <m/>
    <m/>
    <m/>
    <m/>
    <m/>
    <m/>
    <d v="2022-02-10T00:00:00"/>
    <x v="2"/>
  </r>
  <r>
    <s v="Fernando Arevalo Reyes"/>
    <d v="2022-02-10T00:00:00"/>
    <d v="2022-02-14T00:00:00"/>
    <n v="7"/>
    <s v="FVE-107"/>
    <x v="2"/>
    <n v="6579.5"/>
    <x v="38"/>
    <n v="49346250"/>
    <n v="14"/>
    <n v="4502269035"/>
    <n v="5080477949"/>
    <n v="5113105817"/>
    <m/>
    <s v="TIENE BL"/>
    <m/>
    <x v="0"/>
    <d v="2022-02-10T00:00:00"/>
    <m/>
    <m/>
    <m/>
    <m/>
    <m/>
    <m/>
    <m/>
    <m/>
    <d v="2022-02-10T00:00:00"/>
    <x v="2"/>
  </r>
  <r>
    <s v="Olger Fernando Rojas Angarita"/>
    <d v="2022-02-12T00:00:00"/>
    <m/>
    <n v="7"/>
    <s v="OR-153"/>
    <x v="2"/>
    <n v="20249"/>
    <x v="56"/>
    <n v="153892400"/>
    <n v="42"/>
    <n v="4502269036"/>
    <n v="5080477950"/>
    <n v="5113110129"/>
    <m/>
    <m/>
    <m/>
    <x v="0"/>
    <d v="2022-02-10T00:00:00"/>
    <m/>
    <m/>
    <m/>
    <m/>
    <m/>
    <m/>
    <m/>
    <m/>
    <d v="2022-02-10T00:00:00"/>
    <x v="2"/>
  </r>
  <r>
    <s v="Olger Fernando Rojas Angarita"/>
    <d v="2022-02-12T00:00:00"/>
    <m/>
    <n v="7"/>
    <s v="NDE2"/>
    <x v="2"/>
    <n v="20249"/>
    <x v="92"/>
    <n v="2756698.8600000069"/>
    <n v="0"/>
    <n v="4502269036"/>
    <n v="5080477950"/>
    <n v="5113110131"/>
    <m/>
    <m/>
    <m/>
    <x v="0"/>
    <d v="2022-02-10T00:00:00"/>
    <m/>
    <m/>
    <m/>
    <m/>
    <m/>
    <m/>
    <m/>
    <m/>
    <d v="2022-02-10T00:00:00"/>
    <x v="2"/>
  </r>
  <r>
    <s v="Alexander Bautista Perez"/>
    <d v="2022-02-10T00:00:00"/>
    <d v="2022-02-11T00:00:00"/>
    <n v="7"/>
    <s v="FACE-223"/>
    <x v="2"/>
    <n v="74742"/>
    <x v="28"/>
    <n v="579250500"/>
    <n v="140"/>
    <n v="4502269037"/>
    <n v="5080477951"/>
    <n v="5113102237"/>
    <m/>
    <s v="TIENE BL"/>
    <m/>
    <x v="0"/>
    <d v="2022-02-10T00:00:00"/>
    <m/>
    <m/>
    <m/>
    <m/>
    <m/>
    <m/>
    <m/>
    <m/>
    <d v="2022-02-10T00:00:00"/>
    <x v="2"/>
  </r>
  <r>
    <s v="Alexander Bautista Perez"/>
    <d v="2022-02-10T00:00:00"/>
    <d v="2022-02-11T00:00:00"/>
    <n v="7"/>
    <s v="DF21"/>
    <x v="2"/>
    <n v="74742"/>
    <x v="93"/>
    <n v="6567579.5399999917"/>
    <n v="0"/>
    <n v="4502269037"/>
    <n v="5080477951"/>
    <n v="5113103563"/>
    <m/>
    <m/>
    <m/>
    <x v="0"/>
    <d v="2022-02-10T00:00:00"/>
    <m/>
    <m/>
    <m/>
    <m/>
    <m/>
    <m/>
    <m/>
    <m/>
    <d v="2022-02-10T00:00:00"/>
    <x v="2"/>
  </r>
  <r>
    <s v="Lismenia Torcoroma Rincon Hernandez"/>
    <d v="2022-02-11T00:00:00"/>
    <d v="2022-02-15T00:00:00"/>
    <n v="7"/>
    <s v="GANA-142"/>
    <x v="2"/>
    <n v="27170.5"/>
    <x v="3"/>
    <n v="207854325"/>
    <n v="60"/>
    <n v="4502269038"/>
    <n v="5080507254"/>
    <n v="5113107171"/>
    <m/>
    <s v="TIENE BL"/>
    <m/>
    <x v="0"/>
    <d v="2022-02-11T00:00:00"/>
    <m/>
    <m/>
    <m/>
    <m/>
    <m/>
    <m/>
    <m/>
    <m/>
    <d v="2022-02-11T00:00:00"/>
    <x v="2"/>
  </r>
  <r>
    <s v="Lismenia Torcoroma Rincon Hernandez"/>
    <d v="2022-02-11T00:00:00"/>
    <d v="2022-02-15T00:00:00"/>
    <n v="7"/>
    <s v="NC000034"/>
    <x v="2"/>
    <n v="27170.5"/>
    <x v="94"/>
    <n v="-78522.745000008901"/>
    <n v="0"/>
    <n v="4502269038"/>
    <n v="5080507254"/>
    <n v="5113107173"/>
    <m/>
    <m/>
    <m/>
    <x v="0"/>
    <d v="2022-02-11T00:00:00"/>
    <m/>
    <m/>
    <m/>
    <m/>
    <m/>
    <m/>
    <m/>
    <m/>
    <d v="2022-02-11T00:00:00"/>
    <x v="2"/>
  </r>
  <r>
    <s v="Fernando Arevalo Reyes"/>
    <d v="2022-02-11T00:00:00"/>
    <d v="2022-02-15T00:00:00"/>
    <n v="7"/>
    <s v="FVE-108"/>
    <x v="2"/>
    <n v="14095"/>
    <x v="38"/>
    <n v="105712500"/>
    <n v="29"/>
    <n v="4502269039"/>
    <n v="5080507443"/>
    <n v="5113107298"/>
    <m/>
    <s v="TIENE BL"/>
    <m/>
    <x v="0"/>
    <d v="2022-02-11T00:00:00"/>
    <m/>
    <m/>
    <m/>
    <m/>
    <m/>
    <m/>
    <m/>
    <m/>
    <d v="2022-02-11T00:00:00"/>
    <x v="2"/>
  </r>
  <r>
    <s v="Fernando Arevalo Reyes"/>
    <d v="2022-02-11T00:00:00"/>
    <d v="2022-02-15T00:00:00"/>
    <n v="7"/>
    <s v="ND3"/>
    <x v="2"/>
    <n v="14095"/>
    <x v="13"/>
    <n v="704750"/>
    <n v="0"/>
    <n v="4502269039"/>
    <n v="5080507443"/>
    <n v="5113107299"/>
    <m/>
    <m/>
    <m/>
    <x v="0"/>
    <d v="2022-02-11T00:00:00"/>
    <m/>
    <m/>
    <m/>
    <m/>
    <m/>
    <m/>
    <m/>
    <m/>
    <d v="2022-02-11T00:00:00"/>
    <x v="2"/>
  </r>
  <r>
    <s v="Sociedad Comercializadora Ganadera"/>
    <d v="2022-02-18T00:00:00"/>
    <d v="2022-02-18T00:00:00"/>
    <n v="7"/>
    <s v="FEDV188"/>
    <x v="2"/>
    <n v="40329"/>
    <x v="54"/>
    <n v="314566200"/>
    <n v="70"/>
    <n v="4502269040"/>
    <n v="5080507255"/>
    <n v="5113116018"/>
    <m/>
    <s v="TIENE BL"/>
    <m/>
    <x v="0"/>
    <d v="2022-02-11T00:00:00"/>
    <m/>
    <m/>
    <m/>
    <m/>
    <m/>
    <m/>
    <m/>
    <m/>
    <d v="2022-02-11T00:00:00"/>
    <x v="2"/>
  </r>
  <r>
    <s v="Sociedad Comercializadora Ganadera"/>
    <d v="2022-02-18T00:00:00"/>
    <d v="2022-02-18T00:00:00"/>
    <n v="7"/>
    <s v="NC71"/>
    <x v="2"/>
    <n v="40329"/>
    <x v="95"/>
    <n v="-1706319.9900000161"/>
    <n v="0"/>
    <n v="4502269040"/>
    <n v="5080507255"/>
    <n v="5113116020"/>
    <m/>
    <m/>
    <m/>
    <x v="0"/>
    <d v="2022-02-11T00:00:00"/>
    <m/>
    <m/>
    <m/>
    <m/>
    <m/>
    <m/>
    <m/>
    <m/>
    <d v="2022-02-11T00:00:00"/>
    <x v="2"/>
  </r>
  <r>
    <s v="Sociedad Comercializadora Ganadera"/>
    <d v="2022-02-18T00:00:00"/>
    <d v="2022-02-18T00:00:00"/>
    <n v="7"/>
    <s v="FEDV189"/>
    <x v="2"/>
    <n v="11979"/>
    <x v="54"/>
    <n v="93436200"/>
    <n v="29"/>
    <n v="4502269040"/>
    <n v="5080507255"/>
    <n v="5113116025"/>
    <m/>
    <s v="TIENE BL"/>
    <m/>
    <x v="0"/>
    <d v="2022-02-11T00:00:00"/>
    <m/>
    <m/>
    <m/>
    <m/>
    <m/>
    <m/>
    <m/>
    <m/>
    <d v="2022-02-11T00:00:00"/>
    <x v="2"/>
  </r>
  <r>
    <s v="Sociedad Comercializadora Ganadera"/>
    <d v="2022-02-18T00:00:00"/>
    <d v="2022-02-18T00:00:00"/>
    <n v="7"/>
    <s v="NC72"/>
    <x v="2"/>
    <n v="11979"/>
    <x v="96"/>
    <n v="-2821413.8699999969"/>
    <n v="0"/>
    <n v="4502269040"/>
    <n v="5080507255"/>
    <n v="5113116037"/>
    <m/>
    <m/>
    <m/>
    <x v="0"/>
    <d v="2022-02-11T00:00:00"/>
    <m/>
    <m/>
    <m/>
    <m/>
    <m/>
    <m/>
    <m/>
    <m/>
    <d v="2022-02-11T00:00:00"/>
    <x v="2"/>
  </r>
  <r>
    <s v="Robinson Jose Chica Vega"/>
    <d v="2022-02-15T00:00:00"/>
    <d v="2022-02-15T00:00:00"/>
    <n v="7"/>
    <s v="FEC-504"/>
    <x v="0"/>
    <n v="13008"/>
    <x v="51"/>
    <n v="98210400"/>
    <n v="28"/>
    <n v="4502269041"/>
    <n v="5080507256"/>
    <n v="5113104980"/>
    <m/>
    <s v="CON RETEN"/>
    <m/>
    <x v="0"/>
    <d v="2022-02-11T00:00:00"/>
    <m/>
    <m/>
    <m/>
    <m/>
    <m/>
    <m/>
    <m/>
    <m/>
    <d v="2022-02-11T00:00:00"/>
    <x v="2"/>
  </r>
  <r>
    <s v="Robinson Jose Chica Vega"/>
    <d v="2022-02-15T00:00:00"/>
    <m/>
    <n v="7"/>
    <s v="NC214"/>
    <x v="0"/>
    <n v="13008"/>
    <x v="97"/>
    <n v="-39674.400000002366"/>
    <n v="0"/>
    <n v="4502269041"/>
    <n v="5080507256"/>
    <n v="5113104982"/>
    <m/>
    <m/>
    <m/>
    <x v="0"/>
    <d v="2022-02-11T00:00:00"/>
    <m/>
    <m/>
    <m/>
    <m/>
    <m/>
    <m/>
    <m/>
    <m/>
    <d v="2022-02-11T00:00:00"/>
    <x v="2"/>
  </r>
  <r>
    <s v="Lina Maria Pelaez Gomez"/>
    <d v="2022-02-12T00:00:00"/>
    <d v="2022-02-15T00:00:00"/>
    <n v="7"/>
    <s v="LP69"/>
    <x v="0"/>
    <n v="13561"/>
    <x v="28"/>
    <n v="105097750"/>
    <n v="31"/>
    <n v="4502269042"/>
    <n v="5080507444"/>
    <n v="5113110629"/>
    <m/>
    <s v="TIENE BL"/>
    <m/>
    <x v="0"/>
    <d v="2022-02-11T00:00:00"/>
    <m/>
    <m/>
    <m/>
    <m/>
    <m/>
    <m/>
    <m/>
    <m/>
    <d v="2022-02-11T00:00:00"/>
    <x v="2"/>
  </r>
  <r>
    <s v="Lina Maria Pelaez Gomez"/>
    <d v="2022-02-12T00:00:00"/>
    <d v="2022-02-15T00:00:00"/>
    <n v="7"/>
    <s v="NC52"/>
    <x v="0"/>
    <n v="13561"/>
    <x v="98"/>
    <n v="-1470826.0600000005"/>
    <n v="0"/>
    <n v="4502269042"/>
    <n v="5080507444"/>
    <n v="5113110632"/>
    <m/>
    <m/>
    <m/>
    <x v="0"/>
    <d v="2022-02-11T00:00:00"/>
    <m/>
    <m/>
    <m/>
    <m/>
    <m/>
    <m/>
    <m/>
    <m/>
    <d v="2022-02-11T00:00:00"/>
    <x v="2"/>
  </r>
  <r>
    <s v="Inversiones y Negocios V&amp;V S.A.S"/>
    <d v="2022-02-15T00:00:00"/>
    <d v="2022-02-15T00:00:00"/>
    <n v="7"/>
    <s v="FE-1587"/>
    <x v="0"/>
    <n v="6773.5"/>
    <x v="28"/>
    <n v="52494625"/>
    <n v="14"/>
    <n v="4502269043"/>
    <n v="5080507257"/>
    <n v="5113110283"/>
    <m/>
    <s v="CON RETEN"/>
    <s v="Se envia nuevamente carpeta zip al recepcion FE"/>
    <x v="0"/>
    <d v="2022-02-11T00:00:00"/>
    <m/>
    <m/>
    <m/>
    <m/>
    <m/>
    <m/>
    <m/>
    <m/>
    <d v="2022-02-11T00:00:00"/>
    <x v="2"/>
  </r>
  <r>
    <s v="Rafael Francisco Delgado Serrano"/>
    <d v="2022-02-15T00:00:00"/>
    <m/>
    <n v="7"/>
    <s v="RFDS-119"/>
    <x v="0"/>
    <n v="6905.5"/>
    <x v="51"/>
    <n v="52136525"/>
    <n v="16"/>
    <n v="4502269044"/>
    <n v="5080507445"/>
    <n v="5113109991"/>
    <s v="Manual"/>
    <s v="CON RETEN"/>
    <s v="Se envia nuevamente carpeta zip al recepcion FE"/>
    <x v="0"/>
    <d v="2022-02-11T00:00:00"/>
    <m/>
    <m/>
    <m/>
    <m/>
    <m/>
    <m/>
    <m/>
    <m/>
    <d v="2022-02-11T00:00:00"/>
    <x v="2"/>
  </r>
  <r>
    <s v="Rafael Francisco Delgado Serrano"/>
    <d v="2022-02-15T00:00:00"/>
    <m/>
    <n v="7"/>
    <s v="NCR20"/>
    <x v="0"/>
    <n v="6905.5"/>
    <x v="99"/>
    <n v="-424550.13999999699"/>
    <n v="0"/>
    <n v="4502269044"/>
    <n v="5080507445"/>
    <n v="5113109992"/>
    <s v="Manual"/>
    <m/>
    <s v="Se envia nuevamente carpeta zip al recepcion FE"/>
    <x v="0"/>
    <d v="2022-02-11T00:00:00"/>
    <m/>
    <m/>
    <m/>
    <m/>
    <m/>
    <m/>
    <m/>
    <m/>
    <d v="2022-02-11T00:00:00"/>
    <x v="2"/>
  </r>
  <r>
    <s v="Agropecuaria Tabaida S.A.S"/>
    <d v="2022-02-11T00:00:00"/>
    <d v="2022-02-15T00:00:00"/>
    <n v="7"/>
    <s v="MT-1251"/>
    <x v="4"/>
    <n v="40725"/>
    <x v="5"/>
    <n v="301365000"/>
    <n v="84"/>
    <n v="4502271668"/>
    <n v="5080515003"/>
    <n v="5113110254"/>
    <s v="TIENE BL"/>
    <s v="EJ*3 1274600*3 TYC 3690000"/>
    <m/>
    <x v="3"/>
    <d v="2022-02-11T00:00:00"/>
    <n v="4502271668"/>
    <s v="Ej 3823800 y TYC 3690000"/>
    <s v="FEMD-3332*3"/>
    <n v="5113103951"/>
    <s v="ETE-2654"/>
    <n v="5113107371"/>
    <m/>
    <m/>
    <d v="2022-02-11T00:00:00"/>
    <x v="2"/>
  </r>
  <r>
    <s v="Surtidora Agropecuaria De Colombia"/>
    <d v="2022-02-11T00:00:00"/>
    <d v="2022-02-15T00:00:00"/>
    <n v="7"/>
    <s v="FESA-24"/>
    <x v="4"/>
    <n v="19811"/>
    <x v="15"/>
    <n v="147591950"/>
    <n v="42"/>
    <n v="4502271607"/>
    <n v="5080514036"/>
    <n v="5113105194"/>
    <s v="TIENE BL"/>
    <s v="EJ*3 1243800*2 1086600"/>
    <m/>
    <x v="3"/>
    <d v="2022-02-11T00:00:00"/>
    <n v="4502271607"/>
    <n v="3574200"/>
    <s v="FEMD-3333*3"/>
    <n v="5113103896"/>
    <m/>
    <m/>
    <m/>
    <m/>
    <d v="2022-02-11T00:00:00"/>
    <x v="2"/>
  </r>
  <r>
    <s v="Carlos Mario Duque Cadavid"/>
    <d v="2022-02-11T00:00:00"/>
    <m/>
    <n v="7"/>
    <s v="CD-99"/>
    <x v="4"/>
    <n v="27182"/>
    <x v="5"/>
    <n v="201146800"/>
    <n v="56"/>
    <n v="4502271611"/>
    <n v="5080514268"/>
    <n v="5113103593"/>
    <m/>
    <s v="EJ*4 1266900*4"/>
    <s v="CON RETEN "/>
    <x v="3"/>
    <d v="2022-02-11T00:00:00"/>
    <n v="4502271611"/>
    <n v="5067600"/>
    <s v="FEMD-3334*4"/>
    <n v="5113103889"/>
    <m/>
    <m/>
    <m/>
    <m/>
    <d v="2022-02-11T00:00:00"/>
    <x v="2"/>
  </r>
  <r>
    <s v="Inversiones Valle Del Canalete S.A.S"/>
    <d v="2022-02-11T00:00:00"/>
    <d v="2022-02-15T00:00:00"/>
    <n v="7"/>
    <s v="IVC99"/>
    <x v="4"/>
    <n v="19985"/>
    <x v="5"/>
    <n v="147889000"/>
    <n v="42"/>
    <n v="4502271615"/>
    <n v="5080514275"/>
    <n v="5113106040"/>
    <s v="CON RETEN"/>
    <s v="EJ*3 1371100*3"/>
    <m/>
    <x v="3"/>
    <d v="2022-02-11T00:00:00"/>
    <n v="4502271615"/>
    <n v="4113300"/>
    <s v="FEMD-3335*3"/>
    <n v="5113103876"/>
    <m/>
    <m/>
    <m/>
    <m/>
    <d v="2022-02-11T00:00:00"/>
    <x v="2"/>
  </r>
  <r>
    <s v="Lina Maria Pelaez Gomez"/>
    <d v="2022-02-12T00:00:00"/>
    <d v="2022-02-15T00:00:00"/>
    <n v="7"/>
    <s v="LP70"/>
    <x v="2"/>
    <n v="11616.5"/>
    <x v="28"/>
    <n v="90027875"/>
    <n v="27"/>
    <n v="4502269045"/>
    <n v="5080507094"/>
    <n v="5113110647"/>
    <m/>
    <s v="TIENE BL"/>
    <m/>
    <x v="0"/>
    <d v="2022-02-12T00:00:00"/>
    <m/>
    <m/>
    <m/>
    <m/>
    <m/>
    <m/>
    <m/>
    <m/>
    <d v="2022-02-12T00:00:00"/>
    <x v="2"/>
  </r>
  <r>
    <s v="Lina Maria Pelaez Gomez"/>
    <d v="2022-02-15T00:00:00"/>
    <d v="2022-02-15T00:00:00"/>
    <n v="7"/>
    <s v="NC53"/>
    <x v="2"/>
    <n v="11616.5"/>
    <x v="100"/>
    <n v="-115584.17499999789"/>
    <n v="0"/>
    <n v="4502269045"/>
    <n v="5080507094"/>
    <n v="5113110654"/>
    <m/>
    <m/>
    <m/>
    <x v="0"/>
    <d v="2022-02-12T00:00:00"/>
    <m/>
    <m/>
    <m/>
    <m/>
    <m/>
    <m/>
    <m/>
    <m/>
    <d v="2022-02-12T00:00:00"/>
    <x v="2"/>
  </r>
  <r>
    <s v="David Martinez Jaramillo"/>
    <d v="2022-02-12T00:00:00"/>
    <d v="2022-02-15T00:00:00"/>
    <n v="7"/>
    <s v="DM141"/>
    <x v="2"/>
    <n v="5994"/>
    <x v="28"/>
    <n v="46453500"/>
    <n v="14"/>
    <n v="4502269046"/>
    <n v="5080507095"/>
    <n v="5113110608"/>
    <m/>
    <s v="TIENE BL"/>
    <m/>
    <x v="0"/>
    <d v="2022-02-12T00:00:00"/>
    <m/>
    <m/>
    <m/>
    <m/>
    <m/>
    <m/>
    <m/>
    <m/>
    <d v="2022-02-12T00:00:00"/>
    <x v="2"/>
  </r>
  <r>
    <s v="David Martinez Jaramillo"/>
    <d v="2022-02-15T00:00:00"/>
    <d v="2022-02-15T00:00:00"/>
    <n v="7"/>
    <s v="NC13"/>
    <x v="2"/>
    <n v="5994"/>
    <x v="101"/>
    <n v="-76123.799999998912"/>
    <n v="0"/>
    <n v="4502269046"/>
    <n v="5080507095"/>
    <n v="5113110613"/>
    <m/>
    <m/>
    <m/>
    <x v="0"/>
    <d v="2022-02-12T00:00:00"/>
    <m/>
    <m/>
    <m/>
    <m/>
    <m/>
    <m/>
    <m/>
    <m/>
    <d v="2022-02-12T00:00:00"/>
    <x v="2"/>
  </r>
  <r>
    <s v="Sociedad Comercializadora Ganadera"/>
    <d v="2022-02-18T00:00:00"/>
    <d v="2022-02-18T00:00:00"/>
    <n v="7"/>
    <s v="FEDV191"/>
    <x v="2"/>
    <n v="48483"/>
    <x v="54"/>
    <n v="378167400"/>
    <n v="105"/>
    <n v="4502269047"/>
    <n v="5080507096"/>
    <n v="5113116241"/>
    <m/>
    <s v="TIENE BL"/>
    <m/>
    <x v="0"/>
    <d v="2022-02-12T00:00:00"/>
    <m/>
    <m/>
    <m/>
    <m/>
    <m/>
    <m/>
    <m/>
    <m/>
    <d v="2022-02-12T00:00:00"/>
    <x v="2"/>
  </r>
  <r>
    <s v="Sociedad Comercializadora Ganadera"/>
    <d v="2022-02-18T00:00:00"/>
    <d v="2022-02-18T00:00:00"/>
    <n v="7"/>
    <s v="NC73"/>
    <x v="2"/>
    <n v="48483"/>
    <x v="102"/>
    <n v="-568220.76000001235"/>
    <n v="0"/>
    <n v="4502269047"/>
    <n v="5080507096"/>
    <n v="5113116327"/>
    <m/>
    <m/>
    <m/>
    <x v="0"/>
    <d v="2022-02-12T00:00:00"/>
    <m/>
    <m/>
    <m/>
    <m/>
    <m/>
    <m/>
    <m/>
    <m/>
    <d v="2022-02-12T00:00:00"/>
    <x v="2"/>
  </r>
  <r>
    <s v="Luis Fernando Rojas Prada"/>
    <d v="2022-02-14T00:00:00"/>
    <d v="2022-02-14T00:00:00"/>
    <n v="7"/>
    <s v="FELC-779"/>
    <x v="2"/>
    <n v="29750"/>
    <x v="103"/>
    <n v="208250000"/>
    <n v="56"/>
    <n v="4502271568"/>
    <n v="5080507440"/>
    <n v="5113103772"/>
    <s v="TIENE BL"/>
    <s v="EJ*4 3132800*4"/>
    <m/>
    <x v="0"/>
    <d v="2022-02-12T00:00:00"/>
    <n v="4902209970"/>
    <n v="12531200"/>
    <s v="FEMD-3337*4"/>
    <n v="5113103867"/>
    <m/>
    <m/>
    <m/>
    <m/>
    <d v="2022-02-12T00:00:00"/>
    <x v="2"/>
  </r>
  <r>
    <s v="Miguel Antonio Carrascal Pacheco"/>
    <d v="2022-02-16T00:00:00"/>
    <d v="2022-02-17T00:00:00"/>
    <n v="7"/>
    <s v="MCFE-17"/>
    <x v="2"/>
    <n v="18489"/>
    <x v="51"/>
    <n v="139591950"/>
    <n v="45"/>
    <n v="4502269048"/>
    <n v="5080519476"/>
    <n v="5113112674"/>
    <m/>
    <s v="TIENE BL"/>
    <m/>
    <x v="0"/>
    <d v="2022-02-13T00:00:00"/>
    <m/>
    <m/>
    <m/>
    <m/>
    <m/>
    <m/>
    <m/>
    <m/>
    <d v="2022-02-13T00:00:00"/>
    <x v="2"/>
  </r>
  <r>
    <s v="Miguel Antonio Carrascal Pacheco"/>
    <d v="2022-02-17T00:00:00"/>
    <d v="2022-02-17T00:00:00"/>
    <n v="7"/>
    <s v="NCR37"/>
    <x v="2"/>
    <n v="18489"/>
    <x v="104"/>
    <n v="-1682314.1099999959"/>
    <n v="0"/>
    <n v="4502269048"/>
    <n v="5080519476"/>
    <n v="5113112675"/>
    <m/>
    <m/>
    <m/>
    <x v="0"/>
    <d v="2022-02-13T00:00:00"/>
    <m/>
    <m/>
    <m/>
    <m/>
    <m/>
    <m/>
    <m/>
    <m/>
    <d v="2022-02-13T00:00:00"/>
    <x v="2"/>
  </r>
  <r>
    <s v="Sociedad Comercializadora Ganadera"/>
    <d v="2022-02-18T00:00:00"/>
    <d v="2022-02-18T00:00:00"/>
    <n v="7"/>
    <s v="FEDV190"/>
    <x v="2"/>
    <n v="56460.5"/>
    <x v="54"/>
    <n v="440391900"/>
    <n v="119"/>
    <n v="4502269049"/>
    <n v="5080507096"/>
    <n v="5113116300"/>
    <m/>
    <s v="TIENE BL"/>
    <m/>
    <x v="0"/>
    <d v="2022-02-13T00:00:00"/>
    <m/>
    <m/>
    <m/>
    <m/>
    <m/>
    <m/>
    <m/>
    <m/>
    <d v="2022-02-13T00:00:00"/>
    <x v="2"/>
  </r>
  <r>
    <s v="Sociedad Comercializadora Ganadera"/>
    <d v="2022-02-18T00:00:00"/>
    <d v="2022-02-18T00:00:00"/>
    <n v="7"/>
    <s v="ND9"/>
    <x v="2"/>
    <n v="56460.5"/>
    <x v="105"/>
    <n v="0"/>
    <n v="0"/>
    <n v="4502269049"/>
    <n v="5080507096"/>
    <n v="5113116306"/>
    <m/>
    <m/>
    <m/>
    <x v="0"/>
    <d v="2022-02-13T00:00:00"/>
    <m/>
    <m/>
    <m/>
    <m/>
    <m/>
    <m/>
    <m/>
    <m/>
    <d v="2022-02-13T00:00:00"/>
    <x v="2"/>
  </r>
  <r>
    <s v="Tanagro S.A.S Zomac"/>
    <d v="2022-02-16T00:00:00"/>
    <d v="2022-02-16T00:00:00"/>
    <n v="7"/>
    <s v="Z-94"/>
    <x v="2"/>
    <n v="13290"/>
    <x v="51"/>
    <n v="100339500"/>
    <n v="30"/>
    <n v="4502269050"/>
    <n v="5080519018"/>
    <n v="5113108678"/>
    <m/>
    <s v="CON RETEN"/>
    <m/>
    <x v="0"/>
    <d v="2022-02-13T00:00:00"/>
    <m/>
    <m/>
    <m/>
    <m/>
    <m/>
    <m/>
    <m/>
    <m/>
    <d v="2022-02-13T00:00:00"/>
    <x v="2"/>
  </r>
  <r>
    <s v="Tanagro S.A.S Zomac"/>
    <d v="2022-02-16T00:00:00"/>
    <d v="2022-02-16T00:00:00"/>
    <n v="7"/>
    <s v="NCR77"/>
    <x v="2"/>
    <n v="13290"/>
    <x v="106"/>
    <n v="-78543.899999998073"/>
    <n v="0"/>
    <n v="4502269050"/>
    <n v="5080519018"/>
    <n v="5113108680"/>
    <m/>
    <m/>
    <m/>
    <x v="0"/>
    <d v="2022-02-13T00:00:00"/>
    <m/>
    <m/>
    <m/>
    <m/>
    <m/>
    <m/>
    <m/>
    <m/>
    <d v="2022-02-13T00:00:00"/>
    <x v="2"/>
  </r>
  <r>
    <s v="Andres Jaramillo Bernal"/>
    <d v="2022-02-13T00:00:00"/>
    <d v="2022-02-17T00:00:00"/>
    <n v="7"/>
    <s v="FEVA-5139"/>
    <x v="2"/>
    <n v="6623"/>
    <x v="38"/>
    <n v="49672500"/>
    <n v="14"/>
    <n v="4502269051"/>
    <n v="5080519020"/>
    <n v="5113110820"/>
    <m/>
    <s v="TIENE BL"/>
    <m/>
    <x v="0"/>
    <d v="2022-02-13T00:00:00"/>
    <m/>
    <m/>
    <m/>
    <m/>
    <m/>
    <m/>
    <m/>
    <m/>
    <d v="2022-02-13T00:00:00"/>
    <x v="2"/>
  </r>
  <r>
    <s v="Agroindustria Ganadera Valle Del Cesar"/>
    <d v="2022-02-16T00:00:00"/>
    <m/>
    <n v="7"/>
    <s v="FE-41"/>
    <x v="0"/>
    <n v="13521"/>
    <x v="15"/>
    <n v="100731450"/>
    <n v="28"/>
    <n v="4502269052"/>
    <n v="5080519021"/>
    <n v="5113109072"/>
    <m/>
    <m/>
    <m/>
    <x v="0"/>
    <d v="2022-02-13T00:00:00"/>
    <m/>
    <m/>
    <m/>
    <m/>
    <m/>
    <m/>
    <m/>
    <m/>
    <d v="2022-02-13T00:00:00"/>
    <x v="2"/>
  </r>
  <r>
    <s v="Agroindustria Ganadera Valle Del Cesar"/>
    <d v="2022-02-16T00:00:00"/>
    <m/>
    <n v="7"/>
    <s v="D00214"/>
    <x v="0"/>
    <n v="13521"/>
    <x v="13"/>
    <n v="676050"/>
    <n v="0"/>
    <n v="4502269052"/>
    <n v="5080519021"/>
    <n v="5113109073"/>
    <m/>
    <m/>
    <m/>
    <x v="0"/>
    <d v="2022-02-13T00:00:00"/>
    <m/>
    <m/>
    <m/>
    <m/>
    <m/>
    <m/>
    <m/>
    <m/>
    <d v="2022-02-13T00:00:00"/>
    <x v="2"/>
  </r>
  <r>
    <s v="Oscar Fabian Quintero Ardila"/>
    <d v="2022-02-13T00:00:00"/>
    <d v="2022-02-17T00:00:00"/>
    <n v="7"/>
    <s v="FE-38"/>
    <x v="0"/>
    <n v="6407"/>
    <x v="38"/>
    <n v="48052500"/>
    <n v="14"/>
    <n v="4502269053"/>
    <n v="5080519022"/>
    <n v="5113110703"/>
    <m/>
    <s v="TIENE BL"/>
    <m/>
    <x v="0"/>
    <d v="2022-02-13T00:00:00"/>
    <m/>
    <m/>
    <m/>
    <m/>
    <m/>
    <m/>
    <m/>
    <m/>
    <d v="2022-02-13T00:00:00"/>
    <x v="2"/>
  </r>
  <r>
    <s v="Angela Maria Restrepo Diaz"/>
    <d v="2022-02-16T00:00:00"/>
    <d v="2022-02-16T00:00:00"/>
    <n v="7"/>
    <s v="AR64"/>
    <x v="1"/>
    <n v="13777"/>
    <x v="28"/>
    <n v="106771750"/>
    <n v="28"/>
    <n v="4502269054"/>
    <n v="5080519408"/>
    <n v="5113107357"/>
    <m/>
    <s v="CON RETEN"/>
    <m/>
    <x v="0"/>
    <d v="2022-02-13T00:00:00"/>
    <m/>
    <m/>
    <m/>
    <m/>
    <m/>
    <m/>
    <m/>
    <m/>
    <d v="2022-02-13T00:00:00"/>
    <x v="2"/>
  </r>
  <r>
    <s v="Juan Pablo Sierra Cardona"/>
    <d v="2022-02-17T00:00:00"/>
    <d v="2022-02-18T00:00:00"/>
    <n v="7"/>
    <s v="JPS-958"/>
    <x v="1"/>
    <n v="5326"/>
    <x v="28"/>
    <n v="41276500"/>
    <n v="13"/>
    <n v="4502269055"/>
    <n v="5080519410"/>
    <n v="5113112672"/>
    <m/>
    <s v="TIENE BL"/>
    <m/>
    <x v="0"/>
    <d v="2022-02-13T00:00:00"/>
    <m/>
    <m/>
    <m/>
    <m/>
    <m/>
    <m/>
    <m/>
    <m/>
    <d v="2022-02-13T00:00:00"/>
    <x v="2"/>
  </r>
  <r>
    <s v="Juan Pablo Sierra Cardona"/>
    <d v="2022-02-17T00:00:00"/>
    <d v="2022-02-18T00:00:00"/>
    <n v="7"/>
    <s v="NC77"/>
    <x v="1"/>
    <n v="5326"/>
    <x v="107"/>
    <n v="-954206.15999999922"/>
    <n v="0"/>
    <n v="4502269055"/>
    <n v="5080519410"/>
    <n v="5113112673"/>
    <m/>
    <m/>
    <s v="Correo solicitando la ND "/>
    <x v="0"/>
    <d v="2022-02-13T00:00:00"/>
    <m/>
    <m/>
    <m/>
    <m/>
    <m/>
    <m/>
    <m/>
    <m/>
    <d v="2022-02-13T00:00:00"/>
    <x v="2"/>
  </r>
  <r>
    <s v="GANADERIA MANZANARES S.A.S"/>
    <d v="2022-02-16T00:00:00"/>
    <d v="2022-02-16T00:00:00"/>
    <n v="7"/>
    <s v="FA-5961"/>
    <x v="2"/>
    <n v="8149"/>
    <x v="38"/>
    <n v="61117500"/>
    <n v="16"/>
    <n v="4502269056"/>
    <n v="5080537472"/>
    <n v="5113109994"/>
    <m/>
    <s v="CON RETEN"/>
    <m/>
    <x v="0"/>
    <d v="2022-02-14T00:00:00"/>
    <m/>
    <m/>
    <m/>
    <m/>
    <m/>
    <m/>
    <m/>
    <m/>
    <d v="2022-02-14T00:00:00"/>
    <x v="2"/>
  </r>
  <r>
    <s v="GANADERIA MANZANARES S.A.S"/>
    <d v="2022-02-16T00:00:00"/>
    <d v="2022-02-16T00:00:00"/>
    <n v="7"/>
    <s v="FA13"/>
    <x v="2"/>
    <n v="8149"/>
    <x v="108"/>
    <n v="-315040.3399999988"/>
    <n v="0"/>
    <n v="4502269056"/>
    <n v="5080537472"/>
    <n v="5113110042"/>
    <m/>
    <m/>
    <m/>
    <x v="0"/>
    <d v="2022-02-14T00:00:00"/>
    <m/>
    <m/>
    <m/>
    <m/>
    <m/>
    <m/>
    <m/>
    <m/>
    <d v="2022-02-14T00:00:00"/>
    <x v="2"/>
  </r>
  <r>
    <s v="Sociedad Comercializadora Ganadera"/>
    <d v="2022-02-18T00:00:00"/>
    <d v="2022-02-18T00:00:00"/>
    <n v="7"/>
    <s v="FEDV192"/>
    <x v="2"/>
    <n v="21312.5"/>
    <x v="54"/>
    <n v="166237500"/>
    <n v="44"/>
    <n v="4502269938"/>
    <n v="5080537474"/>
    <n v="5113116039"/>
    <m/>
    <s v="TIENE BL"/>
    <m/>
    <x v="0"/>
    <d v="2022-02-14T00:00:00"/>
    <m/>
    <m/>
    <m/>
    <m/>
    <m/>
    <m/>
    <m/>
    <m/>
    <d v="2022-02-14T00:00:00"/>
    <x v="2"/>
  </r>
  <r>
    <s v="Sociedad Comercializadora Ganadera"/>
    <d v="2022-02-18T00:00:00"/>
    <d v="2022-02-18T00:00:00"/>
    <n v="7"/>
    <s v="ND10"/>
    <x v="2"/>
    <n v="21312.5"/>
    <x v="13"/>
    <n v="1065625"/>
    <n v="0"/>
    <n v="4502269938"/>
    <n v="5080537474"/>
    <n v="5113116041"/>
    <m/>
    <m/>
    <m/>
    <x v="0"/>
    <d v="2022-02-14T00:00:00"/>
    <m/>
    <m/>
    <m/>
    <m/>
    <m/>
    <m/>
    <m/>
    <m/>
    <d v="2022-02-14T00:00:00"/>
    <x v="2"/>
  </r>
  <r>
    <s v="Luis Fernando Rojas Prada"/>
    <d v="2022-02-17T00:00:00"/>
    <d v="2022-02-18T00:00:00"/>
    <n v="7"/>
    <s v="FELC-784"/>
    <x v="2"/>
    <n v="13161"/>
    <x v="103"/>
    <n v="92127000"/>
    <n v="28"/>
    <n v="4502271568"/>
    <n v="5080519146"/>
    <n v="5113113232"/>
    <s v="TIENE BL"/>
    <s v="EJ*2 3132800*2"/>
    <m/>
    <x v="0"/>
    <d v="2022-02-15T00:00:00"/>
    <n v="4902209972"/>
    <n v="6265600"/>
    <s v="FEMD-3348*2"/>
    <n v="5113110753"/>
    <m/>
    <m/>
    <m/>
    <m/>
    <d v="2022-02-15T00:00:00"/>
    <x v="2"/>
  </r>
  <r>
    <s v="Luis Francisco Pereira Florez"/>
    <d v="2022-02-15T00:00:00"/>
    <d v="2022-02-18T00:00:00"/>
    <n v="7"/>
    <s v="FP3"/>
    <x v="0"/>
    <n v="7330.5"/>
    <x v="15"/>
    <n v="54612225"/>
    <n v="14"/>
    <n v="4502269058"/>
    <n v="5080553068"/>
    <n v="5113116045"/>
    <m/>
    <s v="CON RETEN"/>
    <m/>
    <x v="0"/>
    <d v="2022-02-15T00:00:00"/>
    <m/>
    <m/>
    <m/>
    <m/>
    <m/>
    <m/>
    <m/>
    <m/>
    <d v="2022-02-15T00:00:00"/>
    <x v="2"/>
  </r>
  <r>
    <s v="Angela Maria Restrepo Diaz"/>
    <d v="2022-02-17T00:00:00"/>
    <d v="2022-02-17T00:00:00"/>
    <n v="7"/>
    <s v="AR65"/>
    <x v="1"/>
    <n v="13626"/>
    <x v="28"/>
    <n v="105601500"/>
    <n v="28"/>
    <n v="4502269059"/>
    <n v="5080553069"/>
    <n v="5113112676"/>
    <m/>
    <s v="CON RETEN"/>
    <m/>
    <x v="0"/>
    <d v="2022-02-15T00:00:00"/>
    <m/>
    <m/>
    <m/>
    <m/>
    <m/>
    <m/>
    <m/>
    <m/>
    <d v="2022-02-15T00:00:00"/>
    <x v="2"/>
  </r>
  <r>
    <s v="La OKA S.A.S."/>
    <d v="2022-02-17T00:00:00"/>
    <m/>
    <n v="7"/>
    <s v="FEOK-54"/>
    <x v="1"/>
    <n v="6140.5"/>
    <x v="15"/>
    <n v="45746725"/>
    <n v="15"/>
    <n v="4502269060"/>
    <n v="5080553070"/>
    <n v="5113112758"/>
    <m/>
    <m/>
    <m/>
    <x v="0"/>
    <d v="2022-02-15T00:00:00"/>
    <m/>
    <m/>
    <m/>
    <m/>
    <m/>
    <m/>
    <m/>
    <m/>
    <d v="2022-02-15T00:00:00"/>
    <x v="2"/>
  </r>
  <r>
    <s v="Sociedad Comercializadora Ganadera"/>
    <d v="2022-02-18T00:00:00"/>
    <d v="2022-02-18T00:00:00"/>
    <n v="7"/>
    <s v="FEDV193"/>
    <x v="3"/>
    <n v="10857"/>
    <x v="38"/>
    <n v="81427500"/>
    <n v="40"/>
    <n v="4502274289"/>
    <n v="5080571632"/>
    <n v="5113116046"/>
    <m/>
    <s v="TIENE BL"/>
    <m/>
    <x v="2"/>
    <d v="2022-02-16T00:00:00"/>
    <m/>
    <m/>
    <m/>
    <m/>
    <m/>
    <m/>
    <m/>
    <m/>
    <d v="2022-02-16T00:00:00"/>
    <x v="2"/>
  </r>
  <r>
    <s v="Inversiones Agropecuaria Triplesiete S.A.S."/>
    <d v="2022-02-17T00:00:00"/>
    <m/>
    <n v="8"/>
    <s v="FEVM-363"/>
    <x v="2"/>
    <n v="36449"/>
    <x v="3"/>
    <n v="278834850"/>
    <n v="75"/>
    <n v="4502273566"/>
    <n v="5080590810"/>
    <n v="5113122851"/>
    <m/>
    <s v="CON RETEN"/>
    <m/>
    <x v="0"/>
    <d v="2022-02-17T00:00:00"/>
    <m/>
    <m/>
    <m/>
    <m/>
    <m/>
    <m/>
    <m/>
    <m/>
    <d v="2022-02-17T00:00:00"/>
    <x v="2"/>
  </r>
  <r>
    <s v="Inversiones Agropecuaria Triplesiete S.A.S."/>
    <d v="2022-02-17T00:00:00"/>
    <m/>
    <n v="8"/>
    <s v="ND7"/>
    <x v="2"/>
    <n v="36449"/>
    <x v="109"/>
    <n v="3374812.9100000053"/>
    <n v="0"/>
    <n v="4502273566"/>
    <n v="5080590810"/>
    <n v="5113122852"/>
    <m/>
    <m/>
    <m/>
    <x v="0"/>
    <d v="2022-02-17T00:00:00"/>
    <m/>
    <m/>
    <m/>
    <m/>
    <m/>
    <m/>
    <m/>
    <m/>
    <d v="2022-02-17T00:00:00"/>
    <x v="2"/>
  </r>
  <r>
    <s v="Alexander Bautista Perez"/>
    <d v="2022-02-18T00:00:00"/>
    <m/>
    <n v="8"/>
    <s v="FACE-226"/>
    <x v="2"/>
    <n v="29162"/>
    <x v="28"/>
    <n v="226005500"/>
    <n v="56"/>
    <n v="4502273567"/>
    <n v="5080589458"/>
    <n v="5113118871"/>
    <m/>
    <s v="CON RETEN"/>
    <m/>
    <x v="0"/>
    <d v="2022-02-17T00:00:00"/>
    <m/>
    <m/>
    <m/>
    <m/>
    <m/>
    <m/>
    <m/>
    <m/>
    <d v="2022-02-17T00:00:00"/>
    <x v="2"/>
  </r>
  <r>
    <s v="Alexander Bautista Perez"/>
    <d v="2022-02-18T00:00:00"/>
    <d v="2022-02-22T00:00:00"/>
    <n v="8"/>
    <s v="DF22"/>
    <x v="2"/>
    <n v="29162"/>
    <x v="110"/>
    <n v="1396568.1800000095"/>
    <n v="0"/>
    <n v="4502273567"/>
    <n v="5080589458"/>
    <n v="5113120623"/>
    <m/>
    <m/>
    <m/>
    <x v="0"/>
    <d v="2022-02-17T00:00:00"/>
    <m/>
    <m/>
    <m/>
    <m/>
    <m/>
    <m/>
    <m/>
    <m/>
    <d v="2022-02-17T00:00:00"/>
    <x v="2"/>
  </r>
  <r>
    <s v="Alexander Bautista Perez"/>
    <d v="2022-02-18T00:00:00"/>
    <m/>
    <n v="8"/>
    <s v="FACE-227"/>
    <x v="2"/>
    <n v="7324.5"/>
    <x v="76"/>
    <n v="59328450"/>
    <n v="15"/>
    <n v="4502273568"/>
    <n v="5080589459"/>
    <n v="5113118872"/>
    <m/>
    <s v="CON RETEN"/>
    <m/>
    <x v="0"/>
    <d v="2022-02-17T00:00:00"/>
    <m/>
    <m/>
    <m/>
    <m/>
    <m/>
    <m/>
    <m/>
    <m/>
    <d v="2022-02-17T00:00:00"/>
    <x v="2"/>
  </r>
  <r>
    <s v="Alexander Bautista Perez"/>
    <d v="2022-02-18T00:00:00"/>
    <m/>
    <n v="8"/>
    <s v="FACE-227"/>
    <x v="2"/>
    <n v="14649"/>
    <x v="76"/>
    <n v="118656900"/>
    <n v="30"/>
    <n v="4502274870"/>
    <n v="5080589459"/>
    <n v="5113118872"/>
    <m/>
    <s v="CON RETEN"/>
    <m/>
    <x v="0"/>
    <d v="2022-02-18T00:00:00"/>
    <m/>
    <m/>
    <m/>
    <m/>
    <m/>
    <m/>
    <m/>
    <m/>
    <d v="2022-02-18T00:00:00"/>
    <x v="2"/>
  </r>
  <r>
    <s v="Alexander Bautista Perez"/>
    <d v="2022-02-18T00:00:00"/>
    <d v="2022-02-22T00:00:00"/>
    <n v="8"/>
    <s v="DF23"/>
    <x v="2"/>
    <n v="21973.5"/>
    <x v="111"/>
    <n v="1037808.4049999904"/>
    <n v="0"/>
    <n v="4502274870"/>
    <n v="5080590811"/>
    <n v="5113120625"/>
    <m/>
    <m/>
    <m/>
    <x v="0"/>
    <d v="2022-02-18T00:00:00"/>
    <m/>
    <m/>
    <m/>
    <m/>
    <m/>
    <m/>
    <m/>
    <m/>
    <d v="2022-02-18T00:00:00"/>
    <x v="2"/>
  </r>
  <r>
    <s v="Fernando Arevalo Reyes"/>
    <d v="2022-02-18T00:00:00"/>
    <d v="2022-02-23T00:00:00"/>
    <n v="8"/>
    <s v="FVE-109"/>
    <x v="2"/>
    <n v="6437"/>
    <x v="51"/>
    <n v="48599350"/>
    <n v="14"/>
    <n v="4502273569"/>
    <n v="5080596754"/>
    <n v="5113125917"/>
    <m/>
    <s v="TIENE BL"/>
    <m/>
    <x v="0"/>
    <d v="2022-02-18T00:00:00"/>
    <m/>
    <m/>
    <m/>
    <m/>
    <m/>
    <m/>
    <m/>
    <m/>
    <d v="2022-02-18T00:00:00"/>
    <x v="2"/>
  </r>
  <r>
    <s v="Fernando Arevalo Reyes"/>
    <d v="2022-02-18T00:00:00"/>
    <d v="2022-02-23T00:00:00"/>
    <n v="8"/>
    <s v="NC20"/>
    <x v="2"/>
    <n v="6437"/>
    <x v="112"/>
    <n v="-38235.779999997423"/>
    <n v="0"/>
    <n v="4502273569"/>
    <n v="5080596754"/>
    <n v="5113125919"/>
    <m/>
    <m/>
    <m/>
    <x v="0"/>
    <d v="2022-02-18T00:00:00"/>
    <m/>
    <m/>
    <m/>
    <m/>
    <m/>
    <m/>
    <m/>
    <m/>
    <d v="2022-02-18T00:00:00"/>
    <x v="2"/>
  </r>
  <r>
    <s v="Lismenia Torcoroma Rincon Hernandez"/>
    <d v="2022-02-18T00:00:00"/>
    <d v="2022-02-22T00:00:00"/>
    <n v="8"/>
    <s v="GANA-146"/>
    <x v="2"/>
    <n v="14344"/>
    <x v="3"/>
    <n v="109731600"/>
    <n v="31"/>
    <n v="4502273570"/>
    <n v="5080622148"/>
    <n v="5113124060"/>
    <m/>
    <s v="TIENE BL"/>
    <m/>
    <x v="0"/>
    <d v="2022-02-18T00:00:00"/>
    <m/>
    <m/>
    <m/>
    <m/>
    <m/>
    <m/>
    <m/>
    <m/>
    <d v="2022-02-18T00:00:00"/>
    <x v="2"/>
  </r>
  <r>
    <s v="Lismenia Torcoroma Rincon Hernandez"/>
    <d v="2022-02-18T00:00:00"/>
    <d v="2022-02-22T00:00:00"/>
    <n v="8"/>
    <s v="ND000008"/>
    <x v="2"/>
    <n v="14344"/>
    <x v="2"/>
    <n v="1434400"/>
    <n v="0"/>
    <n v="4502273570"/>
    <n v="5080622148"/>
    <n v="5113124062"/>
    <m/>
    <m/>
    <m/>
    <x v="0"/>
    <d v="2022-02-18T00:00:00"/>
    <m/>
    <m/>
    <m/>
    <m/>
    <m/>
    <m/>
    <m/>
    <m/>
    <d v="2022-02-18T00:00:00"/>
    <x v="2"/>
  </r>
  <r>
    <s v="Sociedad Comercializadora Ganadera"/>
    <d v="2022-02-23T00:00:00"/>
    <d v="2022-02-23T00:00:00"/>
    <n v="8"/>
    <s v="FEDV195"/>
    <x v="2"/>
    <n v="35597.5"/>
    <x v="113"/>
    <n v="281220250"/>
    <n v="75"/>
    <n v="4502273571"/>
    <n v="5080615927"/>
    <n v="5113127937"/>
    <m/>
    <s v="TIENE BL"/>
    <m/>
    <x v="0"/>
    <d v="2022-02-18T00:00:00"/>
    <m/>
    <m/>
    <m/>
    <m/>
    <m/>
    <m/>
    <m/>
    <m/>
    <d v="2022-02-18T00:00:00"/>
    <x v="2"/>
  </r>
  <r>
    <s v="Sociedad Comercializadora Ganadera"/>
    <d v="2022-02-23T00:00:00"/>
    <d v="2022-02-23T00:00:00"/>
    <n v="8"/>
    <s v="ND11"/>
    <x v="2"/>
    <n v="35597.5"/>
    <x v="114"/>
    <n v="5478099.2750000115"/>
    <n v="0"/>
    <n v="4502273571"/>
    <n v="5080615927"/>
    <n v="5113127938"/>
    <m/>
    <m/>
    <m/>
    <x v="0"/>
    <d v="2022-02-18T00:00:00"/>
    <m/>
    <m/>
    <m/>
    <m/>
    <m/>
    <m/>
    <m/>
    <m/>
    <d v="2022-02-18T00:00:00"/>
    <x v="2"/>
  </r>
  <r>
    <s v="Luis Eduardo Sanchez Ruedas"/>
    <d v="2022-02-25T00:00:00"/>
    <m/>
    <n v="8"/>
    <s v="FE-134"/>
    <x v="0"/>
    <n v="18662.625"/>
    <x v="3"/>
    <n v="142769081.25"/>
    <n v="42"/>
    <n v="4502280201"/>
    <n v="5080701488"/>
    <n v="5113132737"/>
    <m/>
    <s v="CON RETEN"/>
    <m/>
    <x v="0"/>
    <d v="2022-02-18T00:00:00"/>
    <m/>
    <m/>
    <m/>
    <m/>
    <m/>
    <m/>
    <m/>
    <m/>
    <d v="2022-02-18T00:00:00"/>
    <x v="2"/>
  </r>
  <r>
    <s v="Luis Eduardo Sanchez Ruedas"/>
    <d v="2022-02-25T00:00:00"/>
    <m/>
    <n v="8"/>
    <s v="FE-134"/>
    <x v="0"/>
    <n v="6220.875"/>
    <x v="3"/>
    <n v="47589693.75"/>
    <n v="14"/>
    <n v="4502280216"/>
    <n v="5080701488"/>
    <n v="5113132737"/>
    <m/>
    <s v="CON RETEN"/>
    <m/>
    <x v="0"/>
    <d v="2022-02-18T00:00:00"/>
    <m/>
    <m/>
    <m/>
    <m/>
    <m/>
    <m/>
    <m/>
    <m/>
    <d v="2022-02-18T00:00:00"/>
    <x v="2"/>
  </r>
  <r>
    <s v="Luis Eduardo Sanchez Ruedas"/>
    <d v="2022-02-25T00:00:00"/>
    <m/>
    <n v="8"/>
    <s v="DF25"/>
    <x v="0"/>
    <n v="24883.5"/>
    <x v="115"/>
    <n v="1049834.86499999"/>
    <n v="0"/>
    <n v="4502280201"/>
    <n v="5080701488"/>
    <n v="5113139763"/>
    <m/>
    <m/>
    <m/>
    <x v="0"/>
    <d v="2022-02-18T00:00:00"/>
    <m/>
    <m/>
    <m/>
    <m/>
    <m/>
    <m/>
    <m/>
    <m/>
    <d v="2022-02-18T00:00:00"/>
    <x v="2"/>
  </r>
  <r>
    <s v="Angela Maria Restrepo Diaz"/>
    <d v="2022-02-22T00:00:00"/>
    <d v="2022-02-22T00:00:00"/>
    <n v="8"/>
    <s v="AR67"/>
    <x v="1"/>
    <n v="19667.5"/>
    <x v="54"/>
    <n v="153406500"/>
    <n v="42"/>
    <n v="4502273573"/>
    <n v="5080616128"/>
    <n v="5113119850"/>
    <m/>
    <s v="CON RETEN"/>
    <m/>
    <x v="0"/>
    <d v="2022-02-18T00:00:00"/>
    <m/>
    <m/>
    <m/>
    <m/>
    <m/>
    <m/>
    <m/>
    <m/>
    <d v="2022-02-18T00:00:00"/>
    <x v="2"/>
  </r>
  <r>
    <s v="Luis Eduardo Sanchez Ruedas"/>
    <d v="2022-02-25T00:00:00"/>
    <m/>
    <n v="8"/>
    <s v="FE-135"/>
    <x v="0"/>
    <n v="31957.5"/>
    <x v="3"/>
    <n v="244474875"/>
    <n v="70"/>
    <n v="4502280216"/>
    <n v="5080701679"/>
    <n v="5113132713"/>
    <m/>
    <s v="CON RETEN"/>
    <m/>
    <x v="0"/>
    <d v="2022-02-18T00:00:00"/>
    <m/>
    <m/>
    <m/>
    <m/>
    <m/>
    <m/>
    <m/>
    <m/>
    <d v="2022-02-18T00:00:00"/>
    <x v="2"/>
  </r>
  <r>
    <s v="Luis Eduardo Sanchez Ruedas"/>
    <d v="2022-02-25T00:00:00"/>
    <d v="2022-03-02T00:00:00"/>
    <n v="8"/>
    <s v="DF26"/>
    <x v="0"/>
    <n v="31957.5"/>
    <x v="116"/>
    <n v="1442241.9750000036"/>
    <n v="0"/>
    <n v="4502280216"/>
    <n v="5080701679"/>
    <n v="5113146225"/>
    <m/>
    <m/>
    <m/>
    <x v="0"/>
    <d v="2022-02-18T00:00:00"/>
    <m/>
    <m/>
    <m/>
    <m/>
    <m/>
    <m/>
    <m/>
    <m/>
    <d v="2022-02-18T00:00:00"/>
    <x v="2"/>
  </r>
  <r>
    <s v="Sociedad Comercializadora Ganadera"/>
    <d v="2022-02-21T00:00:00"/>
    <d v="2022-02-21T00:00:00"/>
    <n v="8"/>
    <s v="FEDV-194"/>
    <x v="4"/>
    <n v="23020"/>
    <x v="117"/>
    <n v="184160000"/>
    <n v="42"/>
    <n v="4502276256"/>
    <n v="5080622579"/>
    <n v="5113120695"/>
    <m/>
    <s v="TIENE BL"/>
    <m/>
    <x v="3"/>
    <d v="2022-02-18T00:00:00"/>
    <m/>
    <m/>
    <m/>
    <m/>
    <m/>
    <m/>
    <m/>
    <m/>
    <d v="2022-02-18T00:00:00"/>
    <x v="2"/>
  </r>
  <r>
    <s v="Agropecuaria los Molinos S.A.S"/>
    <d v="2022-02-18T00:00:00"/>
    <m/>
    <n v="8"/>
    <s v="FEMO-1010000547"/>
    <x v="4"/>
    <n v="108881"/>
    <x v="118"/>
    <n v="891374993.88999999"/>
    <n v="210"/>
    <n v="4502274573"/>
    <n v="5080589933"/>
    <n v="5113116240"/>
    <s v="TIENE BL"/>
    <s v="EJ*15 920000"/>
    <m/>
    <x v="3"/>
    <d v="2022-02-18T00:00:00"/>
    <n v="4502274573"/>
    <n v="13800000"/>
    <s v="FEMD-3384*2 y FEMD-3385*4"/>
    <s v="5113118903 y 511311893"/>
    <s v="FEMD-3387*7"/>
    <n v="5113118933"/>
    <s v="FEMD-3386*2"/>
    <n v="5113118934"/>
    <d v="2022-02-18T00:00:00"/>
    <x v="2"/>
  </r>
  <r>
    <s v="Manzur Aldana y CIA S. En C."/>
    <d v="2022-02-21T00:00:00"/>
    <m/>
    <n v="8"/>
    <s v="MAFE-32"/>
    <x v="2"/>
    <n v="12858"/>
    <x v="51"/>
    <n v="97077900"/>
    <n v="28"/>
    <n v="4502276636"/>
    <n v="5080627442"/>
    <n v="5113144556"/>
    <m/>
    <s v="TIENE BL "/>
    <m/>
    <x v="1"/>
    <d v="2022-02-18T00:00:00"/>
    <m/>
    <m/>
    <m/>
    <m/>
    <m/>
    <m/>
    <m/>
    <m/>
    <d v="2022-02-18T00:00:00"/>
    <x v="2"/>
  </r>
  <r>
    <s v="Surtidora Agropecuaria De Colombia"/>
    <d v="2022-02-18T00:00:00"/>
    <d v="2022-02-18T00:00:00"/>
    <n v="8"/>
    <s v="FESA-25"/>
    <x v="2"/>
    <n v="19555"/>
    <x v="15"/>
    <n v="145684750"/>
    <n v="42"/>
    <n v="4502276646"/>
    <n v="5080627591"/>
    <n v="5113117813"/>
    <s v="TIENE BL"/>
    <s v="EJ*3 789300*2 590000*1"/>
    <m/>
    <x v="1"/>
    <d v="2022-02-18T00:00:00"/>
    <s v="4902207761 y 4502276646"/>
    <n v="318600"/>
    <s v="FEMD-3388*3"/>
    <n v="5113118931"/>
    <m/>
    <m/>
    <m/>
    <m/>
    <d v="2022-02-18T00:00:00"/>
    <x v="2"/>
  </r>
  <r>
    <s v="Inversiones Valle Del Canalete S.A.S"/>
    <d v="2022-02-18T00:00:00"/>
    <d v="2022-02-21T00:00:00"/>
    <n v="8"/>
    <s v="IVC101"/>
    <x v="2"/>
    <n v="19761"/>
    <x v="3"/>
    <n v="151171650"/>
    <n v="42"/>
    <n v="4502276640"/>
    <n v="5080627445"/>
    <n v="5113127089"/>
    <m/>
    <s v="CON RETEN"/>
    <m/>
    <x v="1"/>
    <d v="2022-02-18T00:00:00"/>
    <m/>
    <m/>
    <m/>
    <m/>
    <m/>
    <m/>
    <m/>
    <m/>
    <d v="2022-02-18T00:00:00"/>
    <x v="2"/>
  </r>
  <r>
    <s v="Luis Eduardo Sanchez Ruedas"/>
    <d v="2022-02-25T00:00:00"/>
    <m/>
    <n v="8"/>
    <s v="FE-137"/>
    <x v="2"/>
    <n v="19831.5"/>
    <x v="3"/>
    <n v="151710975"/>
    <n v="42"/>
    <n v="4502273575"/>
    <n v="5080616130"/>
    <n v="5113132739"/>
    <m/>
    <s v="CON RETEN"/>
    <m/>
    <x v="0"/>
    <d v="2022-02-19T00:00:00"/>
    <m/>
    <m/>
    <m/>
    <m/>
    <m/>
    <m/>
    <m/>
    <m/>
    <d v="2022-02-19T00:00:00"/>
    <x v="2"/>
  </r>
  <r>
    <s v="Luis Eduardo Sanchez Ruedas"/>
    <d v="2022-02-25T00:00:00"/>
    <m/>
    <n v="8"/>
    <s v="FE-136"/>
    <x v="2"/>
    <n v="32593.5"/>
    <x v="3"/>
    <n v="249340275"/>
    <n v="70"/>
    <n v="4502273575"/>
    <n v="5080616130"/>
    <n v="5113144980"/>
    <m/>
    <s v="CON RETEN"/>
    <m/>
    <x v="0"/>
    <d v="2022-02-19T00:00:00"/>
    <m/>
    <m/>
    <m/>
    <m/>
    <m/>
    <m/>
    <m/>
    <m/>
    <d v="2022-02-19T00:00:00"/>
    <x v="2"/>
  </r>
  <r>
    <s v="Luis Eduardo Sanchez Ruedas"/>
    <d v="2022-02-25T00:00:00"/>
    <d v="2022-03-02T00:00:00"/>
    <n v="8"/>
    <s v="NC29"/>
    <x v="2"/>
    <n v="32593.5"/>
    <x v="119"/>
    <n v="-117336.60000001185"/>
    <n v="0"/>
    <n v="4502273575"/>
    <n v="5080616130"/>
    <n v="5113144981"/>
    <m/>
    <m/>
    <m/>
    <x v="0"/>
    <d v="2022-02-19T00:00:00"/>
    <m/>
    <m/>
    <m/>
    <m/>
    <m/>
    <m/>
    <m/>
    <m/>
    <d v="2022-02-19T00:00:00"/>
    <x v="2"/>
  </r>
  <r>
    <s v="Alexander Bautista Perez"/>
    <d v="2022-02-20T00:00:00"/>
    <d v="2022-02-22T00:00:00"/>
    <n v="8"/>
    <s v="FACE-230"/>
    <x v="2"/>
    <n v="29158"/>
    <x v="28"/>
    <n v="225974500"/>
    <n v="58"/>
    <n v="4502273576"/>
    <n v="5080616554"/>
    <n v="5113121963"/>
    <m/>
    <s v="CON RETEN"/>
    <m/>
    <x v="0"/>
    <d v="2022-02-19T00:00:00"/>
    <m/>
    <m/>
    <m/>
    <m/>
    <m/>
    <m/>
    <m/>
    <m/>
    <d v="2022-02-19T00:00:00"/>
    <x v="2"/>
  </r>
  <r>
    <s v="Alexander Bautista Perez"/>
    <d v="2022-02-20T00:00:00"/>
    <d v="2022-02-22T00:00:00"/>
    <n v="8"/>
    <s v="DF24"/>
    <x v="2"/>
    <n v="29158"/>
    <x v="13"/>
    <n v="1457900"/>
    <n v="0"/>
    <n v="4502273576"/>
    <n v="5080616554"/>
    <n v="5113121964"/>
    <m/>
    <m/>
    <m/>
    <x v="0"/>
    <d v="2022-02-19T00:00:00"/>
    <m/>
    <m/>
    <m/>
    <m/>
    <m/>
    <m/>
    <m/>
    <m/>
    <d v="2022-02-19T00:00:00"/>
    <x v="2"/>
  </r>
  <r>
    <s v="Lina Maria Pelaez Gomez"/>
    <d v="2022-02-21T00:00:00"/>
    <d v="2022-02-23T00:00:00"/>
    <n v="8"/>
    <s v="LP-71"/>
    <x v="0"/>
    <n v="6665.125"/>
    <x v="54"/>
    <n v="51987975"/>
    <n v="15"/>
    <n v="4502273577"/>
    <n v="5080616555"/>
    <n v="5113126756"/>
    <m/>
    <s v="TIENE BL"/>
    <m/>
    <x v="0"/>
    <d v="2022-02-19T00:00:00"/>
    <m/>
    <m/>
    <m/>
    <m/>
    <m/>
    <m/>
    <m/>
    <m/>
    <d v="2022-02-19T00:00:00"/>
    <x v="2"/>
  </r>
  <r>
    <s v="Lina Maria Pelaez Gomez"/>
    <d v="2022-02-21T00:00:00"/>
    <d v="2022-02-23T00:00:00"/>
    <n v="8"/>
    <s v="LP-71"/>
    <x v="1"/>
    <n v="19995.375"/>
    <x v="54"/>
    <n v="155963925"/>
    <n v="45"/>
    <n v="4502273580"/>
    <n v="5080616555"/>
    <n v="5113126756"/>
    <m/>
    <s v="TIENE BL"/>
    <m/>
    <x v="0"/>
    <d v="2022-02-19T00:00:00"/>
    <m/>
    <m/>
    <m/>
    <m/>
    <m/>
    <m/>
    <m/>
    <m/>
    <d v="2022-02-19T00:00:00"/>
    <x v="2"/>
  </r>
  <r>
    <s v="Lina Maria Pelaez Gomez"/>
    <d v="2022-02-23T00:00:00"/>
    <d v="2022-02-23T00:00:00"/>
    <n v="8"/>
    <s v="NC54"/>
    <x v="1"/>
    <n v="26660.5"/>
    <x v="120"/>
    <n v="-1976342.865000003"/>
    <n v="0"/>
    <n v="4502273580"/>
    <n v="5080616555"/>
    <n v="5113127074"/>
    <m/>
    <m/>
    <m/>
    <x v="0"/>
    <d v="2022-02-19T00:00:00"/>
    <m/>
    <m/>
    <m/>
    <m/>
    <m/>
    <m/>
    <m/>
    <m/>
    <d v="2022-02-19T00:00:00"/>
    <x v="2"/>
  </r>
  <r>
    <s v="Sociedad Comercializadora Ganadera"/>
    <d v="2022-02-23T00:00:00"/>
    <d v="2022-02-23T00:00:00"/>
    <n v="8"/>
    <s v="FEDV196"/>
    <x v="0"/>
    <n v="13732.5"/>
    <x v="113"/>
    <n v="108486750"/>
    <n v="30"/>
    <n v="4502273579"/>
    <n v="5080616131"/>
    <n v="5113127940"/>
    <m/>
    <s v="TIENE BL"/>
    <m/>
    <x v="0"/>
    <d v="2022-02-19T00:00:00"/>
    <m/>
    <m/>
    <m/>
    <m/>
    <m/>
    <m/>
    <m/>
    <m/>
    <d v="2022-02-19T00:00:00"/>
    <x v="2"/>
  </r>
  <r>
    <s v="Sociedad Comercializadora Ganadera"/>
    <d v="2022-02-23T00:00:00"/>
    <d v="2022-02-23T00:00:00"/>
    <n v="8"/>
    <s v="NC74"/>
    <x v="0"/>
    <n v="13732.5"/>
    <x v="121"/>
    <n v="-77313.975000001505"/>
    <n v="0"/>
    <n v="4502273579"/>
    <n v="5080616131"/>
    <n v="5113127942"/>
    <m/>
    <m/>
    <m/>
    <x v="0"/>
    <d v="2022-02-19T00:00:00"/>
    <m/>
    <m/>
    <m/>
    <m/>
    <m/>
    <m/>
    <m/>
    <m/>
    <d v="2022-02-19T00:00:00"/>
    <x v="2"/>
  </r>
  <r>
    <s v="Jose Ignacio Cruz Mendoza"/>
    <d v="2022-02-24T00:00:00"/>
    <d v="2022-02-24T00:00:00"/>
    <n v="8"/>
    <s v="FEJI-1"/>
    <x v="0"/>
    <n v="7471"/>
    <x v="3"/>
    <n v="57153150"/>
    <n v="15"/>
    <n v="4502273581"/>
    <n v="5080622713"/>
    <n v="5113127822"/>
    <m/>
    <s v="CON RETEN"/>
    <m/>
    <x v="0"/>
    <d v="2022-02-20T00:00:00"/>
    <m/>
    <m/>
    <m/>
    <m/>
    <m/>
    <m/>
    <m/>
    <m/>
    <d v="2022-02-20T00:00:00"/>
    <x v="2"/>
  </r>
  <r>
    <s v="Jose Ignacio Cruz Mendoza"/>
    <d v="2022-02-24T00:00:00"/>
    <d v="2022-02-24T00:00:00"/>
    <n v="8"/>
    <s v="ND1"/>
    <x v="0"/>
    <n v="7471"/>
    <x v="13"/>
    <n v="373550"/>
    <n v="0"/>
    <n v="4502273581"/>
    <n v="5080622713"/>
    <n v="5113127824"/>
    <m/>
    <m/>
    <m/>
    <x v="0"/>
    <d v="2022-02-20T00:00:00"/>
    <m/>
    <m/>
    <m/>
    <m/>
    <m/>
    <m/>
    <m/>
    <m/>
    <d v="2022-02-20T00:00:00"/>
    <x v="2"/>
  </r>
  <r>
    <s v="Sociedad Comercializadora Ganadera"/>
    <d v="2022-02-24T00:00:00"/>
    <d v="2022-02-24T00:00:00"/>
    <n v="8"/>
    <s v="FEDV198"/>
    <x v="2"/>
    <n v="38402.5"/>
    <x v="113"/>
    <n v="303379750"/>
    <n v="70"/>
    <n v="4502273582"/>
    <n v="5080622714"/>
    <n v="5113138194"/>
    <m/>
    <s v="TIENE BL"/>
    <m/>
    <x v="0"/>
    <d v="2022-02-20T00:00:00"/>
    <m/>
    <m/>
    <m/>
    <m/>
    <m/>
    <m/>
    <m/>
    <m/>
    <d v="2022-02-20T00:00:00"/>
    <x v="2"/>
  </r>
  <r>
    <s v="Sociedad Comercializadora Ganadera"/>
    <d v="2022-02-24T00:00:00"/>
    <d v="2022-02-24T00:00:00"/>
    <n v="8"/>
    <s v="FEDV199"/>
    <x v="2"/>
    <n v="6557"/>
    <x v="113"/>
    <n v="51800300"/>
    <n v="15"/>
    <n v="4502273582"/>
    <n v="5080622714"/>
    <n v="5113141082"/>
    <m/>
    <s v="TIENE BL"/>
    <m/>
    <x v="0"/>
    <d v="2022-02-20T00:00:00"/>
    <m/>
    <m/>
    <m/>
    <m/>
    <m/>
    <m/>
    <m/>
    <m/>
    <d v="2022-02-20T00:00:00"/>
    <x v="2"/>
  </r>
  <r>
    <s v="Sociedad Comercializadora Ganadera"/>
    <d v="2022-02-24T00:00:00"/>
    <d v="2022-02-24T00:00:00"/>
    <n v="8"/>
    <s v="FEDV200"/>
    <x v="2"/>
    <n v="7037.5"/>
    <x v="113"/>
    <n v="55596250"/>
    <n v="16"/>
    <n v="4502273582"/>
    <n v="5080622714"/>
    <n v="5113138217"/>
    <m/>
    <s v="TIENE BL"/>
    <m/>
    <x v="0"/>
    <d v="2022-02-20T00:00:00"/>
    <m/>
    <m/>
    <m/>
    <m/>
    <m/>
    <m/>
    <m/>
    <m/>
    <d v="2022-02-20T00:00:00"/>
    <x v="2"/>
  </r>
  <r>
    <s v="Agropecuaria Tabaida S.A.S"/>
    <d v="2022-02-20T00:00:00"/>
    <d v="2022-02-22T00:00:00"/>
    <n v="8"/>
    <s v="MT1269"/>
    <x v="2"/>
    <n v="37789"/>
    <x v="122"/>
    <n v="289022950"/>
    <n v="84"/>
    <n v="4502277847"/>
    <n v="5080654429"/>
    <n v="5113126548"/>
    <m/>
    <m/>
    <m/>
    <x v="1"/>
    <d v="2022-02-20T00:00:00"/>
    <m/>
    <m/>
    <m/>
    <m/>
    <m/>
    <m/>
    <m/>
    <m/>
    <d v="2022-02-20T00:00:00"/>
    <x v="2"/>
  </r>
  <r>
    <s v="Carlos Mario Duque Cadavid"/>
    <d v="2022-02-20T00:00:00"/>
    <m/>
    <n v="8"/>
    <s v="CD-101"/>
    <x v="2"/>
    <n v="25754"/>
    <x v="3"/>
    <n v="197018100"/>
    <n v="56"/>
    <n v="4502277840"/>
    <n v="5080654012"/>
    <n v="5113125613"/>
    <m/>
    <s v="CON RETEN"/>
    <s v="CON RETEN "/>
    <x v="1"/>
    <d v="2022-02-20T00:00:00"/>
    <m/>
    <m/>
    <m/>
    <m/>
    <m/>
    <m/>
    <m/>
    <m/>
    <d v="2022-02-20T00:00:00"/>
    <x v="2"/>
  </r>
  <r>
    <s v="31416 S.A.S"/>
    <d v="2022-02-20T00:00:00"/>
    <d v="2022-02-23T00:00:00"/>
    <n v="8"/>
    <s v="PI-129"/>
    <x v="2"/>
    <n v="15267"/>
    <x v="3"/>
    <n v="116792550"/>
    <n v="30"/>
    <n v="4502277842"/>
    <n v="5080654141"/>
    <n v="5113125609"/>
    <m/>
    <s v="CON RETEN"/>
    <m/>
    <x v="1"/>
    <d v="2022-02-20T00:00:00"/>
    <m/>
    <m/>
    <m/>
    <m/>
    <m/>
    <m/>
    <m/>
    <m/>
    <d v="2022-02-20T00:00:00"/>
    <x v="2"/>
  </r>
  <r>
    <s v="Sociedad Comercializadora Ganadera"/>
    <d v="2022-02-24T00:00:00"/>
    <d v="2022-02-24T00:00:00"/>
    <n v="8"/>
    <s v="FEDV201"/>
    <x v="2"/>
    <n v="30084"/>
    <x v="113"/>
    <n v="237663600"/>
    <n v="57"/>
    <n v="4502273583"/>
    <n v="5080629048"/>
    <n v="5113136422"/>
    <m/>
    <s v="TIENE BL"/>
    <m/>
    <x v="0"/>
    <d v="2022-02-21T00:00:00"/>
    <m/>
    <m/>
    <m/>
    <m/>
    <m/>
    <m/>
    <m/>
    <m/>
    <d v="2022-02-21T00:00:00"/>
    <x v="2"/>
  </r>
  <r>
    <s v="Sociedad Comercializadora Ganadera"/>
    <d v="2022-02-24T00:00:00"/>
    <d v="2022-02-24T00:00:00"/>
    <n v="8"/>
    <s v="NC77"/>
    <x v="2"/>
    <n v="30084"/>
    <x v="123"/>
    <n v="-296929.0799999967"/>
    <n v="0"/>
    <n v="4502273583"/>
    <n v="5080629048"/>
    <n v="5113136424"/>
    <m/>
    <m/>
    <m/>
    <x v="0"/>
    <d v="2022-02-21T00:00:00"/>
    <m/>
    <m/>
    <m/>
    <m/>
    <m/>
    <m/>
    <m/>
    <m/>
    <d v="2022-02-21T00:00:00"/>
    <x v="2"/>
  </r>
  <r>
    <s v="Sociedad Comercializadora Ganadera"/>
    <d v="2022-02-24T00:00:00"/>
    <d v="2022-02-24T00:00:00"/>
    <n v="8"/>
    <s v="FEDV202"/>
    <x v="2"/>
    <n v="7367"/>
    <x v="113"/>
    <n v="58199300"/>
    <n v="15"/>
    <n v="4502273583"/>
    <n v="5080629048"/>
    <n v="5113136447"/>
    <m/>
    <s v="TIENE BL"/>
    <m/>
    <x v="0"/>
    <d v="2022-02-21T00:00:00"/>
    <m/>
    <m/>
    <m/>
    <m/>
    <m/>
    <m/>
    <m/>
    <m/>
    <d v="2022-02-21T00:00:00"/>
    <x v="2"/>
  </r>
  <r>
    <s v="Sociedad Comercializadora Ganadera"/>
    <d v="2022-02-24T00:00:00"/>
    <d v="2022-02-24T00:00:00"/>
    <n v="8"/>
    <s v="FEDV203"/>
    <x v="2"/>
    <n v="14014"/>
    <x v="113"/>
    <n v="110710600"/>
    <n v="30"/>
    <n v="4502273583"/>
    <n v="5080629048"/>
    <n v="5113140569"/>
    <m/>
    <s v="TIENE BL"/>
    <m/>
    <x v="0"/>
    <d v="2022-02-21T00:00:00"/>
    <m/>
    <m/>
    <m/>
    <m/>
    <m/>
    <m/>
    <m/>
    <m/>
    <d v="2022-02-21T00:00:00"/>
    <x v="2"/>
  </r>
  <r>
    <s v="Sociedad Comercializadora Ganadera"/>
    <d v="2022-02-24T00:00:00"/>
    <d v="2022-02-24T00:00:00"/>
    <n v="8"/>
    <s v="NC78"/>
    <x v="2"/>
    <n v="14014"/>
    <x v="124"/>
    <n v="-2802800"/>
    <n v="0"/>
    <n v="4502273583"/>
    <n v="5080629048"/>
    <n v="5113140576"/>
    <m/>
    <m/>
    <m/>
    <x v="0"/>
    <d v="2022-02-21T00:00:00"/>
    <m/>
    <m/>
    <m/>
    <m/>
    <m/>
    <m/>
    <m/>
    <m/>
    <d v="2022-02-21T00:00:00"/>
    <x v="2"/>
  </r>
  <r>
    <s v="David Martinez Jaramillo"/>
    <d v="2022-02-21T00:00:00"/>
    <d v="2022-02-24T00:00:00"/>
    <n v="8"/>
    <s v="DM143"/>
    <x v="0"/>
    <n v="7489"/>
    <x v="54"/>
    <n v="58414200"/>
    <n v="14"/>
    <n v="4502273584"/>
    <n v="5080643851"/>
    <n v="5113129770"/>
    <m/>
    <s v="TIENE BL"/>
    <m/>
    <x v="0"/>
    <d v="2022-02-21T00:00:00"/>
    <m/>
    <m/>
    <m/>
    <m/>
    <m/>
    <m/>
    <m/>
    <m/>
    <d v="2022-02-21T00:00:00"/>
    <x v="2"/>
  </r>
  <r>
    <s v="Tanagro S.A.S Zomac"/>
    <d v="2022-02-28T00:00:00"/>
    <d v="2022-03-01T00:00:00"/>
    <n v="8"/>
    <s v="Z-95"/>
    <x v="0"/>
    <n v="14731.5"/>
    <x v="51"/>
    <n v="111222825"/>
    <n v="30"/>
    <n v="4502273585"/>
    <n v="5080629049"/>
    <n v="5113143447"/>
    <m/>
    <s v="CON RETEN"/>
    <m/>
    <x v="0"/>
    <d v="2022-02-21T00:00:00"/>
    <m/>
    <m/>
    <m/>
    <m/>
    <m/>
    <m/>
    <m/>
    <m/>
    <d v="2022-02-21T00:00:00"/>
    <x v="2"/>
  </r>
  <r>
    <s v="Tanagro S.A.S Zomac"/>
    <d v="2022-02-28T00:00:00"/>
    <d v="2022-03-01T00:00:00"/>
    <n v="8"/>
    <s v="NCR78"/>
    <x v="0"/>
    <n v="14731.5"/>
    <x v="125"/>
    <n v="-265756.25999999949"/>
    <n v="0"/>
    <n v="4502273585"/>
    <n v="5080629049"/>
    <n v="5113143448"/>
    <m/>
    <m/>
    <m/>
    <x v="0"/>
    <d v="2022-02-21T00:00:00"/>
    <m/>
    <m/>
    <m/>
    <m/>
    <m/>
    <m/>
    <m/>
    <m/>
    <d v="2022-02-21T00:00:00"/>
    <x v="2"/>
  </r>
  <r>
    <s v="Carlos Enrique Galan Prada"/>
    <d v="2022-02-24T00:00:00"/>
    <d v="2022-02-24T00:00:00"/>
    <n v="8"/>
    <s v="FVEC-10"/>
    <x v="1"/>
    <n v="6059.5"/>
    <x v="51"/>
    <n v="45749225"/>
    <n v="14"/>
    <n v="4502273586"/>
    <n v="5080629050"/>
    <n v="5113128068"/>
    <m/>
    <s v="CON RETEN"/>
    <m/>
    <x v="0"/>
    <d v="2022-02-21T00:00:00"/>
    <m/>
    <m/>
    <m/>
    <m/>
    <m/>
    <m/>
    <m/>
    <m/>
    <d v="2022-02-21T00:00:00"/>
    <x v="2"/>
  </r>
  <r>
    <s v="Carlos Enrique Galan Prada"/>
    <d v="2022-02-24T00:00:00"/>
    <d v="2022-02-24T00:00:00"/>
    <n v="8"/>
    <s v="NCEE6"/>
    <x v="1"/>
    <n v="6059.5"/>
    <x v="13"/>
    <n v="-302975"/>
    <n v="0"/>
    <n v="4502273586"/>
    <n v="5080629050"/>
    <n v="5113128069"/>
    <m/>
    <m/>
    <m/>
    <x v="0"/>
    <d v="2022-02-21T00:00:00"/>
    <m/>
    <m/>
    <m/>
    <m/>
    <m/>
    <m/>
    <m/>
    <m/>
    <d v="2022-02-21T00:00:00"/>
    <x v="2"/>
  </r>
  <r>
    <s v="Inversiones y Negocios V&amp;V S.A.S"/>
    <d v="2022-02-25T00:00:00"/>
    <d v="2022-02-25T00:00:00"/>
    <n v="8"/>
    <s v="FE-1590"/>
    <x v="1"/>
    <n v="6837"/>
    <x v="54"/>
    <n v="53328600"/>
    <n v="14"/>
    <n v="4502273588"/>
    <n v="5080629051"/>
    <n v="5113130536"/>
    <m/>
    <s v="CON RETEN"/>
    <m/>
    <x v="0"/>
    <d v="2022-02-21T00:00:00"/>
    <m/>
    <m/>
    <m/>
    <m/>
    <m/>
    <m/>
    <m/>
    <m/>
    <d v="2022-02-21T00:00:00"/>
    <x v="2"/>
  </r>
  <r>
    <s v="Inversiones y Negocios V&amp;V S.A.S"/>
    <d v="2022-02-25T00:00:00"/>
    <d v="2022-02-25T00:00:00"/>
    <n v="8"/>
    <s v="NC13036"/>
    <x v="1"/>
    <n v="6837"/>
    <x v="13"/>
    <n v="-341850"/>
    <n v="0"/>
    <n v="4502273588"/>
    <n v="5080629051"/>
    <n v="5113130568"/>
    <m/>
    <m/>
    <m/>
    <x v="0"/>
    <d v="2022-02-21T00:00:00"/>
    <m/>
    <m/>
    <m/>
    <m/>
    <m/>
    <m/>
    <m/>
    <m/>
    <d v="2022-02-21T00:00:00"/>
    <x v="2"/>
  </r>
  <r>
    <s v="Jorge Luis Reyes Vargas"/>
    <d v="2022-02-25T00:00:00"/>
    <d v="2022-02-25T00:00:00"/>
    <n v="8"/>
    <s v="FE-55"/>
    <x v="1"/>
    <n v="5812.5"/>
    <x v="51"/>
    <n v="43884375"/>
    <n v="14"/>
    <n v="4502273589"/>
    <n v="5080629052"/>
    <n v="5113130811"/>
    <m/>
    <s v="CON RETEN"/>
    <m/>
    <x v="0"/>
    <d v="2022-02-21T00:00:00"/>
    <m/>
    <m/>
    <m/>
    <m/>
    <m/>
    <m/>
    <m/>
    <m/>
    <d v="2022-02-21T00:00:00"/>
    <x v="2"/>
  </r>
  <r>
    <s v="Jorge Luis Reyes Vargas"/>
    <d v="2022-02-25T00:00:00"/>
    <d v="2022-02-25T00:00:00"/>
    <n v="8"/>
    <s v="NCRE12"/>
    <x v="1"/>
    <n v="5812.5"/>
    <x v="126"/>
    <n v="-408793.12499999959"/>
    <n v="0"/>
    <n v="4502273589"/>
    <n v="5080629052"/>
    <n v="5113130814"/>
    <m/>
    <m/>
    <m/>
    <x v="0"/>
    <d v="2022-02-21T00:00:00"/>
    <m/>
    <m/>
    <m/>
    <m/>
    <m/>
    <m/>
    <m/>
    <m/>
    <d v="2022-02-21T00:00:00"/>
    <x v="2"/>
  </r>
  <r>
    <s v="Ecoagro Bonanza S.A.S"/>
    <d v="2022-02-24T00:00:00"/>
    <m/>
    <n v="8"/>
    <s v="FVE-91"/>
    <x v="2"/>
    <n v="7248"/>
    <x v="15"/>
    <n v="53997600"/>
    <n v="14"/>
    <n v="4502273590"/>
    <n v="5080646062"/>
    <n v="5113139700"/>
    <m/>
    <s v="CON RETEN"/>
    <m/>
    <x v="0"/>
    <d v="2022-02-22T00:00:00"/>
    <m/>
    <m/>
    <m/>
    <m/>
    <m/>
    <m/>
    <m/>
    <m/>
    <d v="2022-02-22T00:00:00"/>
    <x v="2"/>
  </r>
  <r>
    <s v="Ecoagro Bonanza S.A.S"/>
    <d v="2022-02-24T00:00:00"/>
    <m/>
    <n v="8"/>
    <s v="NCR11"/>
    <x v="2"/>
    <n v="7248"/>
    <x v="127"/>
    <n v="-785683.19999999739"/>
    <n v="0"/>
    <n v="4502273590"/>
    <n v="5080646062"/>
    <n v="5113139706"/>
    <m/>
    <m/>
    <m/>
    <x v="0"/>
    <d v="2022-02-22T00:00:00"/>
    <m/>
    <m/>
    <m/>
    <m/>
    <m/>
    <m/>
    <m/>
    <m/>
    <d v="2022-02-22T00:00:00"/>
    <x v="2"/>
  </r>
  <r>
    <s v="Andres Jaramillo Bernal"/>
    <d v="2022-02-22T00:00:00"/>
    <d v="2022-02-25T00:00:00"/>
    <n v="8"/>
    <s v="FEVA-5141"/>
    <x v="2"/>
    <n v="6720"/>
    <x v="51"/>
    <n v="50736000"/>
    <n v="14"/>
    <n v="4502273591"/>
    <n v="5080646064"/>
    <n v="5113132840"/>
    <m/>
    <s v="TIENE BL"/>
    <m/>
    <x v="0"/>
    <d v="2022-02-22T00:00:00"/>
    <m/>
    <m/>
    <m/>
    <m/>
    <m/>
    <m/>
    <m/>
    <m/>
    <d v="2022-02-22T00:00:00"/>
    <x v="2"/>
  </r>
  <r>
    <s v="Diomar Ibañez Criado"/>
    <d v="2022-02-24T00:00:00"/>
    <m/>
    <n v="8"/>
    <s v="FE-192"/>
    <x v="2"/>
    <n v="6316"/>
    <x v="15"/>
    <n v="47054200"/>
    <n v="14"/>
    <n v="4502273592"/>
    <n v="5080646065"/>
    <n v="5113130888"/>
    <m/>
    <s v="CON RETEN"/>
    <m/>
    <x v="0"/>
    <d v="2022-02-22T00:00:00"/>
    <m/>
    <m/>
    <m/>
    <m/>
    <m/>
    <m/>
    <m/>
    <m/>
    <d v="2022-02-22T00:00:00"/>
    <x v="2"/>
  </r>
  <r>
    <s v="Diomar Ibañez Criado"/>
    <d v="2022-02-24T00:00:00"/>
    <m/>
    <n v="8"/>
    <s v="MV00V23"/>
    <x v="2"/>
    <n v="6316"/>
    <x v="11"/>
    <n v="-947400"/>
    <n v="0"/>
    <n v="4502273592"/>
    <n v="5080646065"/>
    <n v="5113130890"/>
    <m/>
    <m/>
    <m/>
    <x v="0"/>
    <d v="2022-02-22T00:00:00"/>
    <m/>
    <m/>
    <m/>
    <m/>
    <m/>
    <m/>
    <m/>
    <m/>
    <d v="2022-02-22T00:00:00"/>
    <x v="2"/>
  </r>
  <r>
    <s v="Carnes La Italiana L S S A S"/>
    <d v="2022-02-28T00:00:00"/>
    <d v="2022-03-02T00:00:00"/>
    <n v="8"/>
    <s v="FVE2730"/>
    <x v="2"/>
    <n v="7661.5"/>
    <x v="51"/>
    <n v="57844325"/>
    <n v="14"/>
    <n v="4502273593"/>
    <n v="5080646066"/>
    <n v="5113144945"/>
    <m/>
    <s v="TIENE BL"/>
    <s v="SR2444571"/>
    <x v="0"/>
    <d v="2022-02-22T00:00:00"/>
    <m/>
    <m/>
    <m/>
    <m/>
    <m/>
    <m/>
    <m/>
    <m/>
    <d v="2022-02-22T00:00:00"/>
    <x v="2"/>
  </r>
  <r>
    <s v="La Ceiba S.A"/>
    <d v="2022-03-01T00:00:00"/>
    <d v="2022-03-01T00:00:00"/>
    <n v="8"/>
    <s v="FE-1815"/>
    <x v="2"/>
    <n v="25807"/>
    <x v="51"/>
    <n v="194842850"/>
    <n v="56"/>
    <n v="4502273594"/>
    <n v="5080646067"/>
    <n v="5113144627"/>
    <m/>
    <s v="CON RETEN"/>
    <m/>
    <x v="0"/>
    <d v="2022-02-22T00:00:00"/>
    <m/>
    <m/>
    <m/>
    <m/>
    <m/>
    <m/>
    <m/>
    <m/>
    <d v="2022-02-22T00:00:00"/>
    <x v="2"/>
  </r>
  <r>
    <s v="La Ceiba S.A"/>
    <d v="2022-03-01T00:00:00"/>
    <d v="2022-03-01T00:00:00"/>
    <n v="8"/>
    <s v="NC10029"/>
    <x v="2"/>
    <n v="25807"/>
    <x v="128"/>
    <n v="-1446224.2799999991"/>
    <n v="0"/>
    <n v="4502273594"/>
    <n v="5080646067"/>
    <n v="5113144628"/>
    <m/>
    <m/>
    <m/>
    <x v="0"/>
    <d v="2022-02-22T00:00:00"/>
    <m/>
    <m/>
    <m/>
    <m/>
    <m/>
    <m/>
    <m/>
    <m/>
    <d v="2022-02-22T00:00:00"/>
    <x v="2"/>
  </r>
  <r>
    <s v="Multicarnicos S.A"/>
    <d v="2022-02-22T00:00:00"/>
    <d v="2022-02-25T00:00:00"/>
    <n v="8"/>
    <s v="MUL-291"/>
    <x v="2"/>
    <n v="21566"/>
    <x v="3"/>
    <n v="164979900"/>
    <n v="42"/>
    <n v="4502273595"/>
    <n v="5080646078"/>
    <n v="5113146647"/>
    <m/>
    <m/>
    <m/>
    <x v="0"/>
    <d v="2022-02-22T00:00:00"/>
    <m/>
    <m/>
    <m/>
    <m/>
    <m/>
    <m/>
    <m/>
    <m/>
    <d v="2022-02-22T00:00:00"/>
    <x v="2"/>
  </r>
  <r>
    <s v="Multicarnicos S.A"/>
    <d v="2022-02-22T00:00:00"/>
    <d v="2022-02-25T00:00:00"/>
    <n v="8"/>
    <s v="NC41"/>
    <x v="2"/>
    <n v="21566"/>
    <x v="129"/>
    <n v="-390991.58000000234"/>
    <n v="0"/>
    <n v="4502273595"/>
    <n v="5080646078"/>
    <n v="5113146648"/>
    <m/>
    <m/>
    <m/>
    <x v="0"/>
    <d v="2022-02-22T00:00:00"/>
    <m/>
    <m/>
    <m/>
    <m/>
    <m/>
    <m/>
    <m/>
    <m/>
    <d v="2022-02-22T00:00:00"/>
    <x v="2"/>
  </r>
  <r>
    <s v="Comercializadora Ganadera Las Palmas (COGAPAL S.A.S)"/>
    <d v="2022-02-28T00:00:00"/>
    <d v="2022-02-28T00:00:00"/>
    <n v="8"/>
    <n v="100"/>
    <x v="2"/>
    <n v="7834"/>
    <x v="38"/>
    <n v="58755000"/>
    <n v="15"/>
    <n v="4502273596"/>
    <n v="5080657399"/>
    <n v="5113138938"/>
    <m/>
    <m/>
    <m/>
    <x v="0"/>
    <d v="2022-02-22T00:00:00"/>
    <m/>
    <m/>
    <m/>
    <m/>
    <m/>
    <m/>
    <m/>
    <m/>
    <d v="2022-02-22T00:00:00"/>
    <x v="2"/>
  </r>
  <r>
    <s v="Margie Rodriguez Rodriguez"/>
    <d v="2022-02-25T00:00:00"/>
    <m/>
    <n v="8"/>
    <s v="FE-48"/>
    <x v="0"/>
    <n v="7573.5"/>
    <x v="38"/>
    <n v="56801250"/>
    <n v="15"/>
    <n v="4502273597"/>
    <n v="5080657487"/>
    <n v="5113130850"/>
    <m/>
    <s v="CON RETEN"/>
    <m/>
    <x v="0"/>
    <d v="2022-02-22T00:00:00"/>
    <m/>
    <m/>
    <m/>
    <m/>
    <m/>
    <m/>
    <m/>
    <m/>
    <d v="2022-02-22T00:00:00"/>
    <x v="2"/>
  </r>
  <r>
    <s v="Margie Rodriguez Rodriguez"/>
    <d v="2022-02-25T00:00:00"/>
    <m/>
    <n v="8"/>
    <s v="NC223"/>
    <x v="0"/>
    <n v="7573.5"/>
    <x v="2"/>
    <n v="-757350"/>
    <n v="0"/>
    <n v="4502273597"/>
    <n v="5080657487"/>
    <n v="5113130853"/>
    <m/>
    <m/>
    <m/>
    <x v="0"/>
    <d v="2022-02-22T00:00:00"/>
    <m/>
    <m/>
    <m/>
    <m/>
    <m/>
    <m/>
    <m/>
    <m/>
    <d v="2022-02-22T00:00:00"/>
    <x v="2"/>
  </r>
  <r>
    <s v="Jorge Armando Ortega Trigos"/>
    <d v="2022-02-22T00:00:00"/>
    <m/>
    <n v="8"/>
    <s v="FVE-20"/>
    <x v="0"/>
    <n v="7089.5"/>
    <x v="51"/>
    <n v="53525725"/>
    <n v="14"/>
    <n v="4502273598"/>
    <n v="5080657482"/>
    <n v="5113144632"/>
    <m/>
    <s v="TIENE BL"/>
    <m/>
    <x v="0"/>
    <d v="2022-02-22T00:00:00"/>
    <m/>
    <m/>
    <m/>
    <m/>
    <m/>
    <m/>
    <m/>
    <m/>
    <d v="2022-02-22T00:00:00"/>
    <x v="2"/>
  </r>
  <r>
    <s v="Sociedad Comercializadora Ganadera"/>
    <d v="2022-02-25T00:00:00"/>
    <d v="2022-02-25T00:00:00"/>
    <n v="8"/>
    <s v="FEDV205"/>
    <x v="3"/>
    <n v="9523"/>
    <x v="38"/>
    <n v="71422500"/>
    <n v="36"/>
    <n v="4502279937"/>
    <n v="5080696108"/>
    <n v="5113141062"/>
    <m/>
    <s v="TIENE BL"/>
    <m/>
    <x v="2"/>
    <d v="2022-02-24T00:00:00"/>
    <m/>
    <m/>
    <m/>
    <m/>
    <m/>
    <m/>
    <m/>
    <m/>
    <d v="2022-02-24T00:00:00"/>
    <x v="2"/>
  </r>
  <r>
    <s v="Alexander Bautista Perez"/>
    <d v="2022-02-24T00:00:00"/>
    <d v="2022-02-28T00:00:00"/>
    <n v="9"/>
    <s v="FACE-234"/>
    <x v="2"/>
    <n v="27817.5"/>
    <x v="76"/>
    <n v="225321750"/>
    <n v="60"/>
    <n v="4502278428"/>
    <n v="5080704566"/>
    <n v="5113142791"/>
    <m/>
    <s v="CON RETEN"/>
    <m/>
    <x v="0"/>
    <d v="2022-02-24T00:00:00"/>
    <m/>
    <m/>
    <m/>
    <m/>
    <m/>
    <m/>
    <m/>
    <m/>
    <d v="2022-02-24T00:00:00"/>
    <x v="2"/>
  </r>
  <r>
    <s v="Alexander Bautista Perez"/>
    <d v="2022-03-02T00:00:00"/>
    <d v="2022-03-02T00:00:00"/>
    <n v="9"/>
    <s v="DF26"/>
    <x v="2"/>
    <n v="27817.5"/>
    <x v="130"/>
    <n v="2741970.9749999917"/>
    <n v="0"/>
    <n v="4502278428"/>
    <n v="5080704566"/>
    <n v="5113146218"/>
    <m/>
    <m/>
    <s v="Ya la va a generar "/>
    <x v="0"/>
    <d v="2022-02-24T00:00:00"/>
    <m/>
    <m/>
    <m/>
    <m/>
    <m/>
    <m/>
    <m/>
    <m/>
    <d v="2022-02-24T00:00:00"/>
    <x v="2"/>
  </r>
  <r>
    <s v="Sociedad Comercializadora Ganadera"/>
    <d v="2022-03-01T00:00:00"/>
    <d v="2022-03-01T00:00:00"/>
    <n v="9"/>
    <s v="FEDV206"/>
    <x v="2"/>
    <n v="43779"/>
    <x v="117"/>
    <n v="350232000"/>
    <n v="91"/>
    <n v="4502278429"/>
    <n v="5080704412"/>
    <n v="5113144483"/>
    <m/>
    <s v="TIENE BL"/>
    <m/>
    <x v="0"/>
    <d v="2022-02-24T00:00:00"/>
    <m/>
    <m/>
    <m/>
    <m/>
    <m/>
    <m/>
    <m/>
    <m/>
    <d v="2022-02-24T00:00:00"/>
    <x v="2"/>
  </r>
  <r>
    <s v="Sociedad Comercializadora Ganadera"/>
    <d v="2022-03-01T00:00:00"/>
    <d v="2022-03-01T00:00:00"/>
    <n v="9"/>
    <s v="NC79"/>
    <x v="2"/>
    <n v="43779"/>
    <x v="131"/>
    <n v="-116014.34999998407"/>
    <n v="0"/>
    <n v="4502278429"/>
    <n v="5080704412"/>
    <n v="5113144485"/>
    <m/>
    <m/>
    <m/>
    <x v="0"/>
    <d v="2022-02-24T00:00:00"/>
    <m/>
    <m/>
    <m/>
    <m/>
    <m/>
    <m/>
    <m/>
    <m/>
    <d v="2022-02-24T00:00:00"/>
    <x v="2"/>
  </r>
  <r>
    <s v="Industria Ganadera Hato Cebu S.A."/>
    <d v="2022-02-28T00:00:00"/>
    <d v="2022-03-01T00:00:00"/>
    <n v="9"/>
    <s v="FEHC-251"/>
    <x v="2"/>
    <n v="13262"/>
    <x v="113"/>
    <n v="104769800"/>
    <n v="28"/>
    <n v="4502278430"/>
    <n v="5080704413"/>
    <n v="5113142971"/>
    <m/>
    <s v="CON RETEN"/>
    <m/>
    <x v="0"/>
    <d v="2022-02-24T00:00:00"/>
    <m/>
    <m/>
    <m/>
    <m/>
    <m/>
    <m/>
    <m/>
    <m/>
    <d v="2022-02-24T00:00:00"/>
    <x v="2"/>
  </r>
  <r>
    <s v="Tanagro S.A.S Zomac"/>
    <d v="2022-03-01T00:00:00"/>
    <d v="2022-03-01T00:00:00"/>
    <n v="9"/>
    <s v="Z-96"/>
    <x v="2"/>
    <n v="20621.5"/>
    <x v="56"/>
    <n v="156723400"/>
    <n v="45"/>
    <n v="4502278432"/>
    <n v="5080704414"/>
    <n v="5113143449"/>
    <m/>
    <s v="CON RETEN"/>
    <m/>
    <x v="0"/>
    <d v="2022-02-24T00:00:00"/>
    <m/>
    <m/>
    <m/>
    <m/>
    <m/>
    <m/>
    <m/>
    <m/>
    <d v="2022-02-24T00:00:00"/>
    <x v="2"/>
  </r>
  <r>
    <s v="Tanagro S.A.S Zomac"/>
    <d v="2022-03-01T00:00:00"/>
    <d v="2022-03-01T00:00:00"/>
    <n v="9"/>
    <s v="NCR79"/>
    <x v="2"/>
    <n v="20621.5"/>
    <x v="132"/>
    <n v="-1069637.2049999977"/>
    <n v="0"/>
    <n v="4502278432"/>
    <n v="5080704414"/>
    <n v="5113143450"/>
    <m/>
    <m/>
    <m/>
    <x v="0"/>
    <d v="2022-02-24T00:00:00"/>
    <m/>
    <m/>
    <m/>
    <m/>
    <m/>
    <m/>
    <m/>
    <m/>
    <d v="2022-02-24T00:00:00"/>
    <x v="2"/>
  </r>
  <r>
    <s v="Luis Francisco Pereira Florez"/>
    <d v="2022-03-01T00:00:00"/>
    <d v="2022-03-01T00:00:00"/>
    <n v="9"/>
    <s v="FP-4"/>
    <x v="2"/>
    <n v="7007.5"/>
    <x v="38"/>
    <n v="52556250"/>
    <n v="15"/>
    <n v="4502278433"/>
    <n v="5080704416"/>
    <n v="5113144300"/>
    <m/>
    <s v="TIENE BL"/>
    <m/>
    <x v="0"/>
    <d v="2022-02-24T00:00:00"/>
    <m/>
    <m/>
    <m/>
    <m/>
    <m/>
    <m/>
    <m/>
    <m/>
    <d v="2022-02-24T00:00:00"/>
    <x v="2"/>
  </r>
  <r>
    <s v="Luis Francisco Pereira Florez"/>
    <d v="2022-03-01T00:00:00"/>
    <d v="2022-03-01T00:00:00"/>
    <n v="9"/>
    <s v="FP2 "/>
    <x v="2"/>
    <n v="7007.5"/>
    <x v="13"/>
    <n v="-350375"/>
    <n v="0"/>
    <n v="4502278433"/>
    <n v="5080704416"/>
    <n v="5113144301"/>
    <m/>
    <m/>
    <m/>
    <x v="0"/>
    <d v="2022-02-24T00:00:00"/>
    <m/>
    <m/>
    <m/>
    <m/>
    <m/>
    <m/>
    <m/>
    <m/>
    <d v="2022-02-24T00:00:00"/>
    <x v="2"/>
  </r>
  <r>
    <s v="Angela Maria Restrepo Diaz"/>
    <d v="2022-03-01T00:00:00"/>
    <d v="2022-03-01T00:00:00"/>
    <n v="9"/>
    <s v="AR-69"/>
    <x v="0"/>
    <n v="12888.5"/>
    <x v="63"/>
    <n v="101174725"/>
    <n v="28"/>
    <n v="4502278434"/>
    <n v="5080704448"/>
    <n v="5113142890"/>
    <m/>
    <s v="CON RETEN"/>
    <m/>
    <x v="0"/>
    <d v="2022-02-24T00:00:00"/>
    <m/>
    <m/>
    <m/>
    <m/>
    <m/>
    <m/>
    <m/>
    <m/>
    <d v="2022-02-24T00:00:00"/>
    <x v="2"/>
  </r>
  <r>
    <s v="Surtidora Agropecuaria De Colombia"/>
    <d v="2022-02-24T00:00:00"/>
    <d v="2022-02-24T00:00:00"/>
    <n v="9"/>
    <s v="FESA-26"/>
    <x v="1"/>
    <n v="19362"/>
    <x v="38"/>
    <n v="145215000"/>
    <n v="42"/>
    <n v="4502278939"/>
    <n v="5080676129"/>
    <n v="5113130076"/>
    <s v="TIENE BL"/>
    <s v="EJ*3 1816100 1863200*2"/>
    <m/>
    <x v="0"/>
    <d v="2022-02-24T00:00:00"/>
    <n v="4902219010"/>
    <n v="5542500"/>
    <s v="FEMD-3460"/>
    <n v="5113136496"/>
    <s v="FEMD-3461*2"/>
    <n v="5113136549"/>
    <m/>
    <m/>
    <d v="2022-02-24T00:00:00"/>
    <x v="2"/>
  </r>
  <r>
    <s v="Sociedad Comercializadora Ganadera"/>
    <d v="2022-03-01T00:00:00"/>
    <d v="2022-03-13T00:00:00"/>
    <n v="9"/>
    <s v="FEDV207"/>
    <x v="2"/>
    <n v="40558.5"/>
    <x v="117"/>
    <n v="324468000"/>
    <n v="90"/>
    <n v="4502278435"/>
    <n v="5080708658"/>
    <n v="5113144537"/>
    <m/>
    <s v="TIENE BL"/>
    <m/>
    <x v="0"/>
    <d v="2022-02-25T00:00:00"/>
    <m/>
    <m/>
    <m/>
    <m/>
    <m/>
    <m/>
    <m/>
    <m/>
    <d v="2022-02-25T00:00:00"/>
    <x v="2"/>
  </r>
  <r>
    <s v="Sociedad Comercializadora Ganadera"/>
    <d v="2022-03-01T00:00:00"/>
    <d v="2022-03-13T00:00:00"/>
    <n v="9"/>
    <s v="NC80"/>
    <x v="2"/>
    <n v="40558.5"/>
    <x v="133"/>
    <n v="-345964.00499998964"/>
    <n v="0"/>
    <n v="4502278435"/>
    <n v="5080708658"/>
    <n v="5113144539"/>
    <m/>
    <m/>
    <m/>
    <x v="0"/>
    <d v="2022-02-25T00:00:00"/>
    <m/>
    <m/>
    <m/>
    <m/>
    <m/>
    <m/>
    <m/>
    <m/>
    <d v="2022-02-25T00:00:00"/>
    <x v="2"/>
  </r>
  <r>
    <s v="Lismenia Torcoroma Rincon Hernandez"/>
    <d v="2022-02-25T00:00:00"/>
    <m/>
    <n v="9"/>
    <s v="GANA-151"/>
    <x v="2"/>
    <n v="14040"/>
    <x v="9"/>
    <n v="108108000"/>
    <n v="30"/>
    <n v="4502278436"/>
    <n v="5080701222"/>
    <n v="5113144119"/>
    <m/>
    <s v="TIENE BL"/>
    <m/>
    <x v="0"/>
    <d v="2022-02-25T00:00:00"/>
    <m/>
    <m/>
    <m/>
    <m/>
    <m/>
    <m/>
    <m/>
    <m/>
    <d v="2022-02-25T00:00:00"/>
    <x v="2"/>
  </r>
  <r>
    <s v="Lismenia Torcoroma Rincon Hernandez"/>
    <d v="2022-02-25T00:00:00"/>
    <d v="2022-03-02T00:00:00"/>
    <n v="9"/>
    <s v="GANA-152"/>
    <x v="2"/>
    <n v="4865"/>
    <x v="9"/>
    <n v="37460500"/>
    <n v="11"/>
    <n v="4502280186"/>
    <n v="5080708660"/>
    <n v="5113145700"/>
    <m/>
    <s v="TIENE BL"/>
    <m/>
    <x v="0"/>
    <d v="2022-02-25T00:00:00"/>
    <m/>
    <m/>
    <m/>
    <m/>
    <m/>
    <m/>
    <m/>
    <m/>
    <d v="2022-02-25T00:00:00"/>
    <x v="2"/>
  </r>
  <r>
    <s v="Lismenia Torcoroma Rincon Hernandez"/>
    <d v="2022-02-25T00:00:00"/>
    <d v="2022-03-02T00:00:00"/>
    <n v="9"/>
    <s v="NC000036"/>
    <x v="2"/>
    <n v="18905"/>
    <x v="134"/>
    <n v="-154264.79999999725"/>
    <n v="0"/>
    <n v="4502278436"/>
    <n v="5080708660"/>
    <n v="5113145701"/>
    <m/>
    <m/>
    <m/>
    <x v="0"/>
    <d v="2022-02-25T00:00:00"/>
    <m/>
    <m/>
    <m/>
    <m/>
    <m/>
    <m/>
    <m/>
    <m/>
    <d v="2022-02-25T00:00:00"/>
    <x v="2"/>
  </r>
  <r>
    <s v="Andres Jaramillo Bernal"/>
    <d v="2022-02-28T00:00:00"/>
    <d v="2022-03-02T00:00:00"/>
    <n v="9"/>
    <s v="FEVA-5144"/>
    <x v="2"/>
    <n v="6477.5"/>
    <x v="56"/>
    <n v="49229000"/>
    <n v="14"/>
    <n v="4502278437"/>
    <n v="5080733787"/>
    <n v="5113145702"/>
    <m/>
    <s v="TIENE BL"/>
    <m/>
    <x v="0"/>
    <d v="2022-02-25T00:00:00"/>
    <m/>
    <m/>
    <m/>
    <m/>
    <m/>
    <m/>
    <m/>
    <m/>
    <d v="2022-02-25T00:00:00"/>
    <x v="2"/>
  </r>
  <r>
    <s v="Jorge Ignacio Sanchez Restrepo"/>
    <d v="2022-03-02T00:00:00"/>
    <d v="2022-03-02T00:00:00"/>
    <n v="9"/>
    <s v="FEJS-24"/>
    <x v="0"/>
    <n v="13254"/>
    <x v="63"/>
    <n v="104043900"/>
    <n v="30"/>
    <n v="4502278439"/>
    <n v="5080714924"/>
    <n v="5113145001"/>
    <m/>
    <s v="CON RETEN"/>
    <m/>
    <x v="0"/>
    <d v="2022-02-25T00:00:00"/>
    <m/>
    <m/>
    <m/>
    <m/>
    <m/>
    <m/>
    <m/>
    <m/>
    <d v="2022-02-25T00:00:00"/>
    <x v="2"/>
  </r>
  <r>
    <s v="David Martinez Jaramillo"/>
    <d v="2022-02-28T00:00:00"/>
    <d v="2022-03-01T00:00:00"/>
    <n v="9"/>
    <s v="DM144"/>
    <x v="1"/>
    <n v="21743"/>
    <x v="113"/>
    <n v="171769700"/>
    <n v="42"/>
    <n v="4502278440"/>
    <n v="5080708659"/>
    <n v="5113144016"/>
    <m/>
    <s v="TIENE BL"/>
    <m/>
    <x v="0"/>
    <d v="2022-02-25T00:00:00"/>
    <m/>
    <m/>
    <m/>
    <m/>
    <m/>
    <m/>
    <m/>
    <m/>
    <d v="2022-02-25T00:00:00"/>
    <x v="2"/>
  </r>
  <r>
    <s v="David Martinez Jaramillo"/>
    <d v="2022-03-01T00:00:00"/>
    <d v="2022-03-01T00:00:00"/>
    <n v="9"/>
    <s v="NC14"/>
    <x v="1"/>
    <n v="21743"/>
    <x v="135"/>
    <n v="-1209563.0900000024"/>
    <n v="0"/>
    <n v="4502278440"/>
    <n v="5080708659"/>
    <n v="5113144117"/>
    <m/>
    <m/>
    <m/>
    <x v="0"/>
    <d v="2022-02-25T00:00:00"/>
    <m/>
    <m/>
    <m/>
    <m/>
    <m/>
    <m/>
    <m/>
    <m/>
    <d v="2022-02-25T00:00:00"/>
    <x v="2"/>
  </r>
  <r>
    <s v="Alexander Bautista Perez"/>
    <d v="2022-02-25T00:00:00"/>
    <d v="2022-03-01T00:00:00"/>
    <n v="9"/>
    <s v="FACE-235"/>
    <x v="0"/>
    <n v="25079"/>
    <x v="28"/>
    <n v="194362250"/>
    <n v="52"/>
    <n v="4502278441"/>
    <n v="5080714925"/>
    <n v="5113144187"/>
    <m/>
    <s v="CON RETEN"/>
    <m/>
    <x v="0"/>
    <d v="2022-02-25T00:00:00"/>
    <m/>
    <m/>
    <m/>
    <m/>
    <m/>
    <m/>
    <m/>
    <m/>
    <d v="2022-02-25T00:00:00"/>
    <x v="2"/>
  </r>
  <r>
    <s v="Alexander Bautista Perez"/>
    <d v="2022-02-25T00:00:00"/>
    <d v="2022-03-01T00:00:00"/>
    <n v="9"/>
    <s v="NC213"/>
    <x v="0"/>
    <n v="25079"/>
    <x v="136"/>
    <n v="-38370.869999993614"/>
    <n v="0"/>
    <n v="4502278441"/>
    <n v="5080714925"/>
    <n v="5113144188"/>
    <m/>
    <m/>
    <m/>
    <x v="0"/>
    <d v="2022-02-25T00:00:00"/>
    <m/>
    <m/>
    <m/>
    <m/>
    <m/>
    <m/>
    <m/>
    <m/>
    <d v="2022-02-25T00:00:00"/>
    <x v="2"/>
  </r>
  <r>
    <s v="Agroindustria Ganadera Valle Del Cesar"/>
    <d v="2022-03-04T00:00:00"/>
    <m/>
    <n v="9"/>
    <s v="FE-42"/>
    <x v="0"/>
    <n v="13651.5"/>
    <x v="38"/>
    <n v="102386250"/>
    <n v="28"/>
    <n v="4502278442"/>
    <n v="5080771583"/>
    <n v="5113148591"/>
    <m/>
    <m/>
    <m/>
    <x v="0"/>
    <d v="2022-02-25T00:00:00"/>
    <m/>
    <m/>
    <m/>
    <m/>
    <m/>
    <m/>
    <m/>
    <m/>
    <d v="2022-02-25T00:00:00"/>
    <x v="2"/>
  </r>
  <r>
    <s v="Agroindustria Ganadera Valle Del Cesar"/>
    <d v="2022-03-04T00:00:00"/>
    <m/>
    <n v="9"/>
    <s v="C0028"/>
    <x v="0"/>
    <n v="13651.5"/>
    <x v="2"/>
    <n v="-1365150"/>
    <n v="0"/>
    <n v="4502278442"/>
    <n v="5080771583"/>
    <n v="5113148593"/>
    <m/>
    <m/>
    <m/>
    <x v="0"/>
    <d v="2022-02-25T00:00:00"/>
    <m/>
    <m/>
    <m/>
    <m/>
    <m/>
    <m/>
    <m/>
    <m/>
    <d v="2022-02-25T00:00:00"/>
    <x v="2"/>
  </r>
  <r>
    <s v="Luis Fernando Rojas Prada"/>
    <d v="2022-02-28T00:00:00"/>
    <m/>
    <n v="9"/>
    <s v="FELC-796"/>
    <x v="4"/>
    <n v="32335"/>
    <x v="137"/>
    <n v="242356645.30000001"/>
    <n v="70"/>
    <n v="4502281845"/>
    <n v="5080752554"/>
    <n v="5113142746"/>
    <m/>
    <s v="CON RETEN"/>
    <m/>
    <x v="4"/>
    <d v="2022-02-25T00:00:00"/>
    <m/>
    <m/>
    <m/>
    <m/>
    <m/>
    <m/>
    <m/>
    <m/>
    <d v="2022-02-25T00:00:00"/>
    <x v="2"/>
  </r>
  <r>
    <s v="Jaime Enrique Ardila Quintero"/>
    <d v="2022-03-02T00:00:00"/>
    <m/>
    <n v="9"/>
    <s v="FE-159"/>
    <x v="4"/>
    <n v="6765"/>
    <x v="51"/>
    <n v="51075750"/>
    <n v="14"/>
    <n v="4502281846"/>
    <n v="5080752663"/>
    <n v="5113145000"/>
    <m/>
    <s v="CON RETEN"/>
    <m/>
    <x v="4"/>
    <d v="2022-02-25T00:00:00"/>
    <m/>
    <m/>
    <m/>
    <m/>
    <m/>
    <m/>
    <m/>
    <m/>
    <d v="2022-02-25T00:00:00"/>
    <x v="2"/>
  </r>
  <r>
    <s v="Alexander Bautista Perez"/>
    <d v="2022-02-26T00:00:00"/>
    <d v="2022-03-01T00:00:00"/>
    <n v="9"/>
    <s v="FACE-237"/>
    <x v="2"/>
    <n v="28961.911800000002"/>
    <x v="28"/>
    <n v="224454816.45000002"/>
    <n v="60"/>
    <n v="4502278443"/>
    <n v="5080714925"/>
    <n v="5113146219"/>
    <m/>
    <s v="CON RETEN"/>
    <m/>
    <x v="0"/>
    <d v="2022-02-26T00:00:00"/>
    <m/>
    <m/>
    <m/>
    <m/>
    <m/>
    <m/>
    <m/>
    <m/>
    <d v="2022-02-26T00:00:00"/>
    <x v="2"/>
  </r>
  <r>
    <s v="Alexander Bautista Perez"/>
    <d v="2022-02-26T00:00:00"/>
    <d v="2022-03-01T00:00:00"/>
    <n v="9"/>
    <s v="FACE-237"/>
    <x v="2"/>
    <n v="3861.58824"/>
    <x v="28"/>
    <n v="29927308.859999999"/>
    <n v="8"/>
    <n v="4502278441"/>
    <n v="5080714925"/>
    <n v="5113146219"/>
    <m/>
    <s v="CON RETEN"/>
    <m/>
    <x v="0"/>
    <d v="2022-02-26T00:00:00"/>
    <m/>
    <m/>
    <m/>
    <m/>
    <m/>
    <m/>
    <m/>
    <m/>
    <d v="2022-02-26T00:00:00"/>
    <x v="2"/>
  </r>
  <r>
    <s v="Alexander Bautista Perez"/>
    <d v="2022-02-26T00:00:00"/>
    <d v="2022-03-01T00:00:00"/>
    <n v="9"/>
    <s v="NC214"/>
    <x v="2"/>
    <n v="32823.5"/>
    <x v="138"/>
    <n v="-2046873.4599999893"/>
    <n v="0"/>
    <n v="4502278443"/>
    <n v="5080714925"/>
    <n v="5113146221"/>
    <m/>
    <m/>
    <m/>
    <x v="0"/>
    <d v="2022-02-26T00:00:00"/>
    <m/>
    <m/>
    <m/>
    <m/>
    <m/>
    <m/>
    <m/>
    <m/>
    <d v="2022-02-26T00:00:00"/>
    <x v="2"/>
  </r>
  <r>
    <s v="Alexander Bautista Perez"/>
    <d v="2022-02-25T00:00:00"/>
    <d v="2022-03-01T00:00:00"/>
    <n v="9"/>
    <s v="FACE-236"/>
    <x v="2"/>
    <n v="13577.5"/>
    <x v="28"/>
    <n v="105225625"/>
    <n v="30"/>
    <n v="4502280259"/>
    <n v="5080714927"/>
    <n v="5113146222"/>
    <m/>
    <s v="CON RETEN"/>
    <m/>
    <x v="0"/>
    <d v="2022-02-26T00:00:00"/>
    <m/>
    <m/>
    <m/>
    <m/>
    <m/>
    <m/>
    <m/>
    <m/>
    <d v="2022-02-26T00:00:00"/>
    <x v="2"/>
  </r>
  <r>
    <s v="Alexander Bautista Perez"/>
    <d v="2022-02-25T00:00:00"/>
    <d v="2022-03-01T00:00:00"/>
    <n v="9"/>
    <s v="DF25"/>
    <x v="2"/>
    <n v="13577.5"/>
    <x v="139"/>
    <n v="601075.92500000598"/>
    <n v="0"/>
    <n v="4502280259"/>
    <n v="5080714927"/>
    <n v="5113146224"/>
    <m/>
    <m/>
    <m/>
    <x v="0"/>
    <d v="2022-02-26T00:00:00"/>
    <m/>
    <m/>
    <m/>
    <m/>
    <m/>
    <m/>
    <m/>
    <m/>
    <d v="2022-02-26T00:00:00"/>
    <x v="2"/>
  </r>
  <r>
    <s v="Lina Maria Pelaez Gomez"/>
    <d v="2022-03-02T00:00:00"/>
    <d v="2022-03-02T00:00:00"/>
    <n v="9"/>
    <s v="LP72"/>
    <x v="2"/>
    <n v="13932"/>
    <x v="113"/>
    <n v="110062800"/>
    <n v="29"/>
    <n v="4502278445"/>
    <n v="5080724942"/>
    <n v="5113148015"/>
    <m/>
    <s v="TIENE BL"/>
    <m/>
    <x v="0"/>
    <d v="2022-02-26T00:00:00"/>
    <m/>
    <m/>
    <m/>
    <m/>
    <m/>
    <m/>
    <m/>
    <m/>
    <d v="2022-02-26T00:00:00"/>
    <x v="2"/>
  </r>
  <r>
    <s v="Lina Maria Pelaez Gomez"/>
    <d v="2022-03-02T00:00:00"/>
    <d v="2022-03-02T00:00:00"/>
    <n v="9"/>
    <s v="NC55"/>
    <x v="2"/>
    <n v="13932"/>
    <x v="2"/>
    <n v="-1393200"/>
    <n v="0"/>
    <n v="4502278445"/>
    <n v="5080724942"/>
    <n v="5113148087"/>
    <m/>
    <m/>
    <m/>
    <x v="0"/>
    <d v="2022-02-26T00:00:00"/>
    <m/>
    <m/>
    <m/>
    <m/>
    <m/>
    <m/>
    <m/>
    <m/>
    <d v="2022-02-26T00:00:00"/>
    <x v="2"/>
  </r>
  <r>
    <s v="Mauricio De Jesús Bernal Jaramillo"/>
    <d v="2022-02-28T00:00:00"/>
    <d v="2022-02-28T00:00:00"/>
    <n v="9"/>
    <s v="FE-167"/>
    <x v="2"/>
    <n v="18149"/>
    <x v="12"/>
    <n v="133395150"/>
    <n v="42"/>
    <n v="4502280834"/>
    <n v="5080734505"/>
    <n v="5113142888"/>
    <m/>
    <s v="EJ*3 1623900*3"/>
    <m/>
    <x v="0"/>
    <d v="2022-02-26T00:00:00"/>
    <n v="4902219295"/>
    <n v="4871700"/>
    <s v="FEMD-3470*3"/>
    <n v="5113138704"/>
    <m/>
    <m/>
    <m/>
    <m/>
    <d v="2022-02-26T00:00:00"/>
    <x v="2"/>
  </r>
  <r>
    <s v="Sociedad Comercializadora Ganadera"/>
    <d v="2022-03-01T00:00:00"/>
    <d v="2022-03-13T00:00:00"/>
    <n v="9"/>
    <s v="FEDV208"/>
    <x v="2"/>
    <n v="41154.5"/>
    <x v="117"/>
    <n v="329236000"/>
    <n v="89"/>
    <n v="4502278446"/>
    <n v="5080724375"/>
    <n v="5113144540"/>
    <m/>
    <s v="TIENE BL"/>
    <m/>
    <x v="0"/>
    <d v="2022-02-26T00:00:00"/>
    <m/>
    <m/>
    <m/>
    <m/>
    <m/>
    <m/>
    <m/>
    <m/>
    <d v="2022-02-26T00:00:00"/>
    <x v="2"/>
  </r>
  <r>
    <s v="Sociedad Comercializadora Ganadera"/>
    <d v="2022-03-01T00:00:00"/>
    <d v="2022-03-13T00:00:00"/>
    <n v="9"/>
    <s v="NC81"/>
    <x v="2"/>
    <n v="41154.5"/>
    <x v="140"/>
    <n v="-195072.32999999102"/>
    <n v="0"/>
    <n v="4502278435"/>
    <n v="5080724375"/>
    <n v="5113144542"/>
    <m/>
    <m/>
    <m/>
    <x v="0"/>
    <d v="2022-02-25T00:00:00"/>
    <m/>
    <m/>
    <m/>
    <m/>
    <m/>
    <m/>
    <m/>
    <m/>
    <d v="2022-02-25T00:00:00"/>
    <x v="2"/>
  </r>
  <r>
    <s v="Sociedad Comercializadora Ganadera"/>
    <d v="2022-03-01T00:00:00"/>
    <d v="2022-03-01T00:00:00"/>
    <n v="9"/>
    <s v="FEDV209"/>
    <x v="0"/>
    <n v="6996.5"/>
    <x v="117"/>
    <n v="55972000"/>
    <n v="16"/>
    <n v="4502280645"/>
    <n v="5080724377"/>
    <n v="5113144543"/>
    <m/>
    <s v="TIENE BL"/>
    <m/>
    <x v="0"/>
    <d v="2022-02-26T00:00:00"/>
    <m/>
    <m/>
    <m/>
    <m/>
    <m/>
    <m/>
    <m/>
    <m/>
    <d v="2022-02-26T00:00:00"/>
    <x v="2"/>
  </r>
  <r>
    <s v="Sociedad Comercializadora Ganadera"/>
    <d v="2022-03-01T00:00:00"/>
    <d v="2022-03-01T00:00:00"/>
    <n v="9"/>
    <s v="NC82"/>
    <x v="0"/>
    <n v="6996.5"/>
    <x v="141"/>
    <n v="-1944047.4899999977"/>
    <n v="0"/>
    <n v="4502280645"/>
    <n v="5080724377"/>
    <n v="5113144544"/>
    <m/>
    <m/>
    <m/>
    <x v="0"/>
    <d v="2022-02-26T00:00:00"/>
    <m/>
    <m/>
    <m/>
    <m/>
    <m/>
    <m/>
    <m/>
    <m/>
    <d v="2022-02-26T00:00:00"/>
    <x v="2"/>
  </r>
  <r>
    <s v="Inversiones Estrada Zuluaga S.C.A"/>
    <d v="2022-03-02T00:00:00"/>
    <d v="2022-03-04T00:00:00"/>
    <n v="9"/>
    <s v="FV-38"/>
    <x v="2"/>
    <n v="6572.5"/>
    <x v="56"/>
    <n v="49951000"/>
    <n v="14"/>
    <n v="4502278447"/>
    <n v="5080724376"/>
    <n v="5113150307"/>
    <m/>
    <s v="TIENE BL"/>
    <m/>
    <x v="0"/>
    <d v="2022-02-26T00:00:00"/>
    <m/>
    <m/>
    <m/>
    <m/>
    <m/>
    <m/>
    <m/>
    <m/>
    <d v="2022-02-26T00:00:00"/>
    <x v="2"/>
  </r>
  <r>
    <s v="Inversiones Estrada Zuluaga S.C.A"/>
    <d v="2022-03-05T00:00:00"/>
    <m/>
    <n v="9"/>
    <s v="NDE1"/>
    <x v="2"/>
    <n v="6572.5"/>
    <x v="13"/>
    <n v="328625"/>
    <n v="0"/>
    <n v="4502278447"/>
    <n v="5080724376"/>
    <n v="5113150878"/>
    <m/>
    <m/>
    <m/>
    <x v="0"/>
    <d v="2022-02-26T00:00:00"/>
    <m/>
    <m/>
    <m/>
    <m/>
    <m/>
    <m/>
    <m/>
    <m/>
    <d v="2022-02-26T00:00:00"/>
    <x v="2"/>
  </r>
  <r>
    <s v="Sociedad Comercializadora Ganadera"/>
    <d v="2022-03-01T00:00:00"/>
    <d v="2022-03-01T00:00:00"/>
    <n v="9"/>
    <s v="FEDV210"/>
    <x v="2"/>
    <n v="28635.5"/>
    <x v="117"/>
    <n v="229084000"/>
    <n v="60"/>
    <n v="4502278449"/>
    <n v="5080734119"/>
    <n v="5113144545"/>
    <m/>
    <s v="TIENE BL"/>
    <m/>
    <x v="0"/>
    <d v="2022-02-27T00:00:00"/>
    <m/>
    <m/>
    <m/>
    <m/>
    <m/>
    <m/>
    <m/>
    <m/>
    <d v="2022-02-27T00:00:00"/>
    <x v="2"/>
  </r>
  <r>
    <s v="Sociedad Comercializadora Ganadera"/>
    <d v="2022-03-01T00:00:00"/>
    <d v="2022-03-01T00:00:00"/>
    <n v="9"/>
    <s v="NC83"/>
    <x v="2"/>
    <n v="28635.5"/>
    <x v="142"/>
    <n v="-38657.925000010415"/>
    <n v="0"/>
    <n v="4502278449"/>
    <n v="5080734119"/>
    <n v="5113144547"/>
    <m/>
    <m/>
    <m/>
    <x v="0"/>
    <d v="2022-02-27T00:00:00"/>
    <m/>
    <m/>
    <m/>
    <m/>
    <m/>
    <m/>
    <m/>
    <m/>
    <d v="2022-02-27T00:00:00"/>
    <x v="2"/>
  </r>
  <r>
    <s v="Oscar Fabian Quintero Ardila"/>
    <d v="2022-03-02T00:00:00"/>
    <d v="2022-03-02T00:00:00"/>
    <n v="9"/>
    <s v="FE-41"/>
    <x v="2"/>
    <n v="4363.5"/>
    <x v="56"/>
    <n v="33162600"/>
    <n v="9"/>
    <n v="4502278450"/>
    <n v="5080734120"/>
    <n v="5113158074"/>
    <m/>
    <s v="CON RETEN"/>
    <s v="Le envie correo a yulieth no contesta "/>
    <x v="0"/>
    <d v="2022-02-27T00:00:00"/>
    <m/>
    <m/>
    <m/>
    <m/>
    <m/>
    <m/>
    <m/>
    <m/>
    <d v="2022-02-27T00:00:00"/>
    <x v="2"/>
  </r>
  <r>
    <s v="Lismenia Torcoroma Rincon Hernandez"/>
    <d v="2022-02-27T00:00:00"/>
    <d v="2022-03-02T00:00:00"/>
    <n v="9"/>
    <s v="GANA-153"/>
    <x v="2"/>
    <n v="21313"/>
    <x v="9"/>
    <n v="164110100"/>
    <n v="45"/>
    <n v="4502278451"/>
    <n v="5080735008"/>
    <n v="5113145767"/>
    <m/>
    <s v="TIENE BL"/>
    <m/>
    <x v="0"/>
    <d v="2022-02-27T00:00:00"/>
    <m/>
    <m/>
    <m/>
    <m/>
    <m/>
    <m/>
    <m/>
    <m/>
    <d v="2022-02-27T00:00:00"/>
    <x v="2"/>
  </r>
  <r>
    <s v="Lismenia Torcoroma Rincon Hernandez"/>
    <d v="2022-02-27T00:00:00"/>
    <d v="2022-03-02T00:00:00"/>
    <n v="9"/>
    <s v="ND000010"/>
    <x v="2"/>
    <n v="21313"/>
    <x v="13"/>
    <n v="1065650"/>
    <n v="0"/>
    <n v="4502278451"/>
    <n v="5080735008"/>
    <n v="5113145768"/>
    <m/>
    <m/>
    <m/>
    <x v="0"/>
    <d v="2022-02-27T00:00:00"/>
    <m/>
    <m/>
    <m/>
    <m/>
    <m/>
    <m/>
    <m/>
    <m/>
    <d v="2022-02-27T00:00:00"/>
    <x v="2"/>
  </r>
  <r>
    <s v="Inversiones Castilla Barbosa S.A.S."/>
    <d v="2022-02-27T00:00:00"/>
    <d v="2022-03-01T00:00:00"/>
    <n v="9"/>
    <s v="FE-66"/>
    <x v="0"/>
    <n v="14645.5"/>
    <x v="54"/>
    <n v="114234900"/>
    <n v="28"/>
    <n v="4502278454"/>
    <n v="5080734121"/>
    <n v="5113151199"/>
    <m/>
    <s v="TIENE BL"/>
    <m/>
    <x v="0"/>
    <d v="2022-02-27T00:00:00"/>
    <m/>
    <m/>
    <m/>
    <m/>
    <m/>
    <m/>
    <m/>
    <m/>
    <d v="2022-02-27T00:00:00"/>
    <x v="2"/>
  </r>
  <r>
    <s v="Inversiones Castilla Barbosa S.A.S."/>
    <d v="2022-02-27T00:00:00"/>
    <d v="2022-03-01T00:00:00"/>
    <n v="9"/>
    <s v="DF229"/>
    <x v="0"/>
    <n v="14645.5"/>
    <x v="13"/>
    <n v="732275"/>
    <n v="0"/>
    <n v="4502278454"/>
    <n v="5080734121"/>
    <n v="5113151396"/>
    <m/>
    <m/>
    <m/>
    <x v="0"/>
    <d v="2022-02-27T00:00:00"/>
    <m/>
    <m/>
    <m/>
    <m/>
    <m/>
    <m/>
    <m/>
    <m/>
    <d v="2022-02-27T00:00:00"/>
    <x v="2"/>
  </r>
  <r>
    <s v="Carlos Mario Duque Cadavid"/>
    <d v="2022-02-27T00:00:00"/>
    <m/>
    <n v="9"/>
    <s v="CD-102"/>
    <x v="1"/>
    <n v="26717"/>
    <x v="38"/>
    <n v="200377500"/>
    <n v="56"/>
    <n v="4502280836"/>
    <n v="5080724922"/>
    <n v="5113139671"/>
    <m/>
    <s v="EJ*4 1638223*4"/>
    <s v="CON RETEN "/>
    <x v="0"/>
    <d v="2022-02-27T00:00:00"/>
    <n v="4902219298"/>
    <n v="6552892"/>
    <s v="FEMD-3476*4"/>
    <n v="5113139546"/>
    <m/>
    <m/>
    <m/>
    <m/>
    <d v="2022-02-27T00:00:00"/>
    <x v="2"/>
  </r>
  <r>
    <s v="Sociedad Comercializadora Ganadera"/>
    <d v="2022-03-04T00:00:00"/>
    <d v="2022-03-04T00:00:00"/>
    <n v="9"/>
    <s v="FEDV211"/>
    <x v="2"/>
    <n v="14288"/>
    <x v="117"/>
    <n v="114304000"/>
    <n v="28"/>
    <n v="4502280918"/>
    <n v="5080756409"/>
    <n v="5113152293"/>
    <m/>
    <s v="TIENE BL"/>
    <m/>
    <x v="0"/>
    <d v="2022-02-28T00:00:00"/>
    <m/>
    <m/>
    <m/>
    <m/>
    <m/>
    <m/>
    <m/>
    <m/>
    <d v="2022-02-28T00:00:00"/>
    <x v="2"/>
  </r>
  <r>
    <s v="Agropecuaria Tabaida S.A.S"/>
    <d v="2022-02-28T00:00:00"/>
    <m/>
    <n v="9"/>
    <s v="MT-1271"/>
    <x v="2"/>
    <n v="39414"/>
    <x v="38"/>
    <n v="295605000"/>
    <n v="84"/>
    <n v="4502281173"/>
    <n v="5080735397"/>
    <n v="5113154530"/>
    <m/>
    <s v="EJ*3 1857700*3 TYC 4500000"/>
    <m/>
    <x v="0"/>
    <d v="2022-02-28T00:00:00"/>
    <s v="4902221357 y 4902219302"/>
    <s v="EJ 5573100 y TYC 4500000"/>
    <s v="FEMD-3477*3"/>
    <n v="5113143074"/>
    <s v="ETE-2724"/>
    <n v="5113147506"/>
    <m/>
    <m/>
    <d v="2022-02-28T00:00:00"/>
    <x v="2"/>
  </r>
  <r>
    <s v="Lina Maria Pelaez Gomez"/>
    <d v="2022-03-02T00:00:00"/>
    <d v="2022-03-02T00:00:00"/>
    <n v="9"/>
    <s v="LP73"/>
    <x v="1"/>
    <n v="20063.5"/>
    <x v="113"/>
    <n v="158501650"/>
    <n v="45"/>
    <n v="4502278455"/>
    <n v="5080757146"/>
    <n v="5113148088"/>
    <m/>
    <s v="TIENE BL"/>
    <m/>
    <x v="0"/>
    <d v="2022-02-28T00:00:00"/>
    <m/>
    <m/>
    <m/>
    <m/>
    <m/>
    <m/>
    <m/>
    <m/>
    <d v="2022-02-28T00:00:00"/>
    <x v="2"/>
  </r>
  <r>
    <s v="Lina Maria Pelaez Gomez"/>
    <d v="2022-03-02T00:00:00"/>
    <d v="2022-03-02T00:00:00"/>
    <n v="9"/>
    <s v="NC56"/>
    <x v="1"/>
    <n v="20063.5"/>
    <x v="143"/>
    <n v="-1189163.6450000089"/>
    <n v="0"/>
    <n v="4502278455"/>
    <n v="5080757146"/>
    <n v="5113148090"/>
    <m/>
    <m/>
    <m/>
    <x v="0"/>
    <d v="2022-02-28T00:00:00"/>
    <m/>
    <m/>
    <m/>
    <m/>
    <m/>
    <m/>
    <m/>
    <m/>
    <d v="2022-02-28T00:00:00"/>
    <x v="2"/>
  </r>
  <r>
    <s v="Almadar LTDA"/>
    <d v="2022-03-02T00:00:00"/>
    <d v="2022-03-03T00:00:00"/>
    <n v="9"/>
    <s v="FEAL-22"/>
    <x v="1"/>
    <n v="6438.5"/>
    <x v="15"/>
    <n v="47966825"/>
    <n v="14"/>
    <n v="4502278456"/>
    <n v="5080756127"/>
    <n v="5113147453"/>
    <m/>
    <s v="TIENE BL"/>
    <m/>
    <x v="0"/>
    <d v="2022-02-28T00:00:00"/>
    <m/>
    <m/>
    <m/>
    <m/>
    <m/>
    <m/>
    <m/>
    <m/>
    <d v="2022-02-28T00:00:00"/>
    <x v="2"/>
  </r>
  <r>
    <s v="Almadar LTDA"/>
    <d v="2022-03-02T00:00:00"/>
    <d v="2022-03-03T00:00:00"/>
    <n v="9"/>
    <s v="NCR3"/>
    <x v="1"/>
    <n v="6438.5"/>
    <x v="144"/>
    <n v="-1041105.4499999988"/>
    <n v="0"/>
    <n v="4502278456"/>
    <n v="5080756127"/>
    <n v="5113147454"/>
    <m/>
    <m/>
    <m/>
    <x v="0"/>
    <d v="2022-02-28T00:00:00"/>
    <m/>
    <m/>
    <m/>
    <m/>
    <m/>
    <m/>
    <m/>
    <m/>
    <d v="2022-02-28T00:00:00"/>
    <x v="2"/>
  </r>
  <r>
    <s v="Ganadera Yalu S En C."/>
    <d v="2022-03-01T00:00:00"/>
    <m/>
    <n v="9"/>
    <s v="GY-9"/>
    <x v="2"/>
    <n v="6855"/>
    <x v="56"/>
    <n v="52098000"/>
    <n v="14"/>
    <n v="4502278457"/>
    <n v="5080760750"/>
    <n v="5113147455"/>
    <m/>
    <s v="CON RETENCION"/>
    <m/>
    <x v="0"/>
    <d v="2022-03-01T00:00:00"/>
    <m/>
    <m/>
    <m/>
    <m/>
    <m/>
    <m/>
    <m/>
    <m/>
    <d v="2022-03-01T00:00:00"/>
    <x v="3"/>
  </r>
  <r>
    <s v="David Martinez Jaramillo"/>
    <d v="2022-03-02T00:00:00"/>
    <d v="2022-03-04T00:00:00"/>
    <n v="9"/>
    <s v="DM146"/>
    <x v="2"/>
    <n v="13918.5"/>
    <x v="113"/>
    <n v="109956150"/>
    <n v="28"/>
    <n v="4502278458"/>
    <n v="5080771584"/>
    <n v="5113149045"/>
    <m/>
    <m/>
    <m/>
    <x v="0"/>
    <d v="2022-03-01T00:00:00"/>
    <m/>
    <m/>
    <m/>
    <m/>
    <m/>
    <m/>
    <m/>
    <m/>
    <d v="2022-03-01T00:00:00"/>
    <x v="3"/>
  </r>
  <r>
    <s v="Inversiones Valle Del Canalete S.A.S"/>
    <d v="2022-03-01T00:00:00"/>
    <d v="2022-03-03T00:00:00"/>
    <n v="9"/>
    <s v="IVC102"/>
    <x v="2"/>
    <n v="20125"/>
    <x v="38"/>
    <n v="150937500"/>
    <n v="42"/>
    <n v="4502282425"/>
    <n v="5080761233"/>
    <n v="5113147547"/>
    <m/>
    <s v="EJ*3 1793900*3"/>
    <m/>
    <x v="0"/>
    <d v="2022-03-01T00:00:00"/>
    <n v="4902219305"/>
    <n v="5381700"/>
    <s v="FEMD-3511*3"/>
    <n v="5113144941"/>
    <m/>
    <m/>
    <m/>
    <m/>
    <d v="2022-03-01T00:00:00"/>
    <x v="3"/>
  </r>
  <r>
    <s v="Maria Ines Saade Mejia"/>
    <d v="2022-03-01T00:00:00"/>
    <d v="2022-03-01T00:00:00"/>
    <n v="9"/>
    <s v="FE-101"/>
    <x v="2"/>
    <n v="6892"/>
    <x v="12"/>
    <n v="50656200"/>
    <n v="14"/>
    <n v="4502282429"/>
    <n v="5080761237"/>
    <n v="5113145133"/>
    <m/>
    <s v="EJ*1 1771100"/>
    <m/>
    <x v="0"/>
    <d v="2022-03-01T00:00:00"/>
    <n v="4902219307"/>
    <n v="1771100"/>
    <s v="FEMD-3514"/>
    <n v="5113144942"/>
    <m/>
    <m/>
    <m/>
    <m/>
    <d v="2022-03-01T00:00:00"/>
    <x v="3"/>
  </r>
  <r>
    <s v="Rafael Francisco Delgado Serrano"/>
    <d v="2022-03-04T00:00:00"/>
    <m/>
    <n v="9"/>
    <s v="RFDS-127"/>
    <x v="2"/>
    <n v="6049"/>
    <x v="56"/>
    <n v="45972400"/>
    <n v="13"/>
    <n v="4502285408"/>
    <n v="5080832418"/>
    <n v="5113150557"/>
    <m/>
    <s v="CON RETEN"/>
    <m/>
    <x v="0"/>
    <d v="2022-03-01T00:00:00"/>
    <m/>
    <m/>
    <m/>
    <m/>
    <m/>
    <m/>
    <m/>
    <m/>
    <d v="2022-03-01T00:00:00"/>
    <x v="3"/>
  </r>
  <r>
    <s v="Miguel Antonio Carrascal Pacheco"/>
    <d v="2022-03-04T00:00:00"/>
    <d v="2022-03-08T00:00:00"/>
    <n v="9"/>
    <s v="MCFE-18"/>
    <x v="2"/>
    <n v="12418.5"/>
    <x v="3"/>
    <n v="95001525"/>
    <n v="28"/>
    <n v="4502286882"/>
    <n v="5080856852"/>
    <n v="5113153767"/>
    <m/>
    <s v="TIENE BL"/>
    <s v="SR2438974"/>
    <x v="0"/>
    <d v="2022-03-01T00:00:00"/>
    <m/>
    <m/>
    <m/>
    <m/>
    <m/>
    <m/>
    <m/>
    <m/>
    <d v="2022-03-01T00:00:00"/>
    <x v="3"/>
  </r>
  <r>
    <s v="Sociedad Comercializadora Ganadera"/>
    <d v="2022-03-08T00:00:00"/>
    <d v="2022-03-08T00:00:00"/>
    <n v="10"/>
    <s v="FEDV212"/>
    <x v="0"/>
    <n v="43220.5"/>
    <x v="145"/>
    <n v="347925025"/>
    <n v="90"/>
    <n v="4502283025"/>
    <n v="5080792661"/>
    <n v="5113157325"/>
    <m/>
    <s v="TIENE BL"/>
    <m/>
    <x v="0"/>
    <d v="2022-03-03T00:00:00"/>
    <m/>
    <m/>
    <m/>
    <m/>
    <m/>
    <m/>
    <m/>
    <m/>
    <d v="2022-03-03T00:00:00"/>
    <x v="3"/>
  </r>
  <r>
    <s v="Sociedad Comercializadora Ganadera"/>
    <d v="2022-03-08T00:00:00"/>
    <d v="2022-03-08T00:00:00"/>
    <n v="10"/>
    <s v="NC84"/>
    <x v="0"/>
    <n v="43220.5"/>
    <x v="146"/>
    <n v="-191034.61000000316"/>
    <n v="0"/>
    <n v="4502283025"/>
    <n v="5080792661"/>
    <n v="5113157326"/>
    <m/>
    <m/>
    <m/>
    <x v="0"/>
    <d v="2022-03-03T00:00:00"/>
    <m/>
    <m/>
    <m/>
    <m/>
    <m/>
    <m/>
    <m/>
    <m/>
    <d v="2022-03-03T00:00:00"/>
    <x v="3"/>
  </r>
  <r>
    <s v="Andres Felipe Mantilla Acosta"/>
    <d v="2022-03-10T00:00:00"/>
    <d v="2022-03-11T00:00:00"/>
    <n v="10"/>
    <s v="FEFE11"/>
    <x v="0"/>
    <n v="6640"/>
    <x v="3"/>
    <n v="50796000"/>
    <n v="15"/>
    <n v="4502283026"/>
    <n v="5080792662"/>
    <n v="5113163069"/>
    <m/>
    <s v="TIENE BL"/>
    <s v="Esta esperando el registro de bolsa "/>
    <x v="0"/>
    <d v="2022-03-03T00:00:00"/>
    <m/>
    <m/>
    <m/>
    <m/>
    <m/>
    <m/>
    <m/>
    <m/>
    <d v="2022-03-03T00:00:00"/>
    <x v="3"/>
  </r>
  <r>
    <s v="Andres Felipe Mantilla Acosta"/>
    <d v="2022-03-10T00:00:00"/>
    <d v="2022-03-11T00:00:00"/>
    <n v="10"/>
    <s v="NC1"/>
    <x v="0"/>
    <n v="6640"/>
    <x v="13"/>
    <n v="-332000"/>
    <n v="0"/>
    <n v="4502283026"/>
    <n v="5080792662"/>
    <n v="5113163070"/>
    <m/>
    <m/>
    <s v="Se dejo mensaje por ws "/>
    <x v="0"/>
    <d v="2022-03-03T00:00:00"/>
    <m/>
    <m/>
    <m/>
    <m/>
    <m/>
    <m/>
    <m/>
    <m/>
    <d v="2022-03-03T00:00:00"/>
    <x v="3"/>
  </r>
  <r>
    <s v="Carlos Mario Duque Cadavid"/>
    <d v="2022-03-03T00:00:00"/>
    <m/>
    <n v="10"/>
    <s v="CD-103"/>
    <x v="0"/>
    <n v="26834"/>
    <x v="38"/>
    <n v="201255000"/>
    <n v="56"/>
    <n v="4502284054"/>
    <n v="5080791876"/>
    <n v="5113157033"/>
    <m/>
    <s v="EJ*4 1638223*4"/>
    <s v="CON RETEN "/>
    <x v="0"/>
    <d v="2022-03-03T00:00:00"/>
    <n v="4902223393"/>
    <n v="6552892"/>
    <s v="FEMD-3520*3"/>
    <n v="5113157074"/>
    <s v="FEMD-3583*1"/>
    <n v="5113157572"/>
    <m/>
    <m/>
    <d v="2022-03-03T00:00:00"/>
    <x v="3"/>
  </r>
  <r>
    <s v="Surtidora Agropecuaria De Colombia"/>
    <d v="2022-03-04T00:00:00"/>
    <d v="2022-03-07T00:00:00"/>
    <n v="10"/>
    <s v="FESA-27"/>
    <x v="0"/>
    <n v="13046"/>
    <x v="38"/>
    <n v="97845000"/>
    <n v="28"/>
    <n v="4502284056"/>
    <n v="5080791939"/>
    <n v="5113152294"/>
    <s v="TIENE BL"/>
    <s v="EJ*2 1816100*1 1633100*1"/>
    <m/>
    <x v="0"/>
    <d v="2022-03-04T00:00:00"/>
    <n v="4902223857"/>
    <n v="3449200"/>
    <s v="FEMD-3537*2"/>
    <n v="5113150801"/>
    <m/>
    <m/>
    <m/>
    <m/>
    <d v="2022-03-04T00:00:00"/>
    <x v="3"/>
  </r>
  <r>
    <s v="Multicarnicos S.A"/>
    <d v="2022-03-04T00:00:00"/>
    <d v="2022-03-08T00:00:00"/>
    <n v="10"/>
    <s v="MUL-295"/>
    <x v="0"/>
    <n v="7459"/>
    <x v="54"/>
    <n v="58180200"/>
    <n v="15"/>
    <n v="4502283027"/>
    <n v="5080826828"/>
    <n v="5113152383"/>
    <m/>
    <s v="TIENE BL"/>
    <m/>
    <x v="0"/>
    <d v="2022-03-04T00:00:00"/>
    <m/>
    <m/>
    <m/>
    <m/>
    <m/>
    <m/>
    <m/>
    <m/>
    <d v="2022-03-04T00:00:00"/>
    <x v="3"/>
  </r>
  <r>
    <s v="Tanagro S.A.S Zomac"/>
    <d v="2022-03-07T00:00:00"/>
    <d v="2022-03-07T00:00:00"/>
    <n v="10"/>
    <s v="Z-97"/>
    <x v="0"/>
    <n v="13426.5"/>
    <x v="3"/>
    <n v="102712725"/>
    <n v="30"/>
    <n v="4502283029"/>
    <n v="5080826613"/>
    <n v="5113152289"/>
    <m/>
    <m/>
    <m/>
    <x v="0"/>
    <d v="2022-03-04T00:00:00"/>
    <m/>
    <m/>
    <m/>
    <m/>
    <m/>
    <m/>
    <m/>
    <m/>
    <d v="2022-03-04T00:00:00"/>
    <x v="3"/>
  </r>
  <r>
    <s v="Tanagro S.A.S Zomac"/>
    <d v="2022-03-07T00:00:00"/>
    <d v="2022-03-07T00:00:00"/>
    <n v="10"/>
    <s v="NCR80"/>
    <x v="0"/>
    <n v="13426.5"/>
    <x v="2"/>
    <n v="-1342650"/>
    <n v="0"/>
    <n v="4502283029"/>
    <n v="5080826613"/>
    <n v="5113152291"/>
    <m/>
    <m/>
    <m/>
    <x v="0"/>
    <d v="2022-03-04T00:00:00"/>
    <m/>
    <m/>
    <m/>
    <m/>
    <m/>
    <m/>
    <m/>
    <m/>
    <d v="2022-03-04T00:00:00"/>
    <x v="3"/>
  </r>
  <r>
    <s v="Organización Empresarial Blanco Hernandez Y CIA. S.C.A."/>
    <d v="2022-03-04T00:00:00"/>
    <m/>
    <n v="10"/>
    <s v="ORG-82"/>
    <x v="2"/>
    <n v="41091.5"/>
    <x v="63"/>
    <n v="322568275"/>
    <n v="89"/>
    <n v="4502283030"/>
    <n v="5080826617"/>
    <n v="5113157591"/>
    <m/>
    <s v="CON RETEN"/>
    <m/>
    <x v="0"/>
    <d v="2022-03-04T00:00:00"/>
    <m/>
    <m/>
    <m/>
    <m/>
    <m/>
    <m/>
    <m/>
    <m/>
    <d v="2022-03-04T00:00:00"/>
    <x v="3"/>
  </r>
  <r>
    <s v="Organización Empresarial Blanco Hernandez Y CIA. S.C.A."/>
    <d v="2022-03-04T00:00:00"/>
    <d v="2022-03-10T00:00:00"/>
    <n v="10"/>
    <s v="DF27"/>
    <x v="2"/>
    <n v="41091.5"/>
    <x v="147"/>
    <n v="1978144.8100000136"/>
    <n v="0"/>
    <n v="4502283030"/>
    <n v="5080826617"/>
    <n v="5113157594"/>
    <m/>
    <m/>
    <s v="Se envia correo a recepcion_fe"/>
    <x v="0"/>
    <d v="2022-03-04T00:00:00"/>
    <m/>
    <m/>
    <m/>
    <m/>
    <m/>
    <m/>
    <m/>
    <m/>
    <d v="2022-03-04T00:00:00"/>
    <x v="3"/>
  </r>
  <r>
    <s v="Sociedad Comercializadora Ganadera"/>
    <d v="2022-03-08T00:00:00"/>
    <d v="2022-03-08T00:00:00"/>
    <n v="10"/>
    <s v="FEDV214"/>
    <x v="2"/>
    <n v="34741"/>
    <x v="145"/>
    <n v="279665050"/>
    <n v="75"/>
    <n v="4502283031"/>
    <n v="5080826614"/>
    <n v="5113157358"/>
    <m/>
    <s v="TIENE BL"/>
    <m/>
    <x v="0"/>
    <d v="2022-03-04T00:00:00"/>
    <m/>
    <m/>
    <m/>
    <m/>
    <m/>
    <m/>
    <m/>
    <m/>
    <d v="2022-03-04T00:00:00"/>
    <x v="3"/>
  </r>
  <r>
    <s v="Sociedad Comercializadora Ganadera"/>
    <d v="2022-03-08T00:00:00"/>
    <d v="2022-03-08T00:00:00"/>
    <n v="10"/>
    <s v="NC85"/>
    <x v="2"/>
    <n v="34741"/>
    <x v="148"/>
    <n v="-39952.149999987363"/>
    <n v="0"/>
    <n v="4502283031"/>
    <n v="5080826614"/>
    <n v="5113157359"/>
    <m/>
    <m/>
    <m/>
    <x v="0"/>
    <d v="2022-03-04T00:00:00"/>
    <m/>
    <m/>
    <m/>
    <m/>
    <m/>
    <m/>
    <m/>
    <m/>
    <d v="2022-03-04T00:00:00"/>
    <x v="3"/>
  </r>
  <r>
    <s v="Lina Maria Pelaez Gomez"/>
    <d v="2022-03-04T00:00:00"/>
    <d v="2022-03-07T00:00:00"/>
    <n v="10"/>
    <s v="LP74"/>
    <x v="1"/>
    <n v="6695"/>
    <x v="149"/>
    <n v="53225250"/>
    <n v="14"/>
    <n v="4502283032"/>
    <n v="5080826615"/>
    <n v="5113157360"/>
    <m/>
    <s v="TIENE BL"/>
    <m/>
    <x v="0"/>
    <d v="2022-03-04T00:00:00"/>
    <m/>
    <m/>
    <m/>
    <m/>
    <m/>
    <m/>
    <m/>
    <m/>
    <d v="2022-03-04T00:00:00"/>
    <x v="3"/>
  </r>
  <r>
    <s v="Lina Maria Pelaez Gomez"/>
    <d v="2022-03-04T00:00:00"/>
    <d v="2022-03-07T00:00:00"/>
    <n v="10"/>
    <s v="LP74"/>
    <x v="1"/>
    <n v="18102.5"/>
    <x v="149"/>
    <n v="143914875"/>
    <n v="42"/>
    <n v="4502284784"/>
    <n v="5080826615"/>
    <n v="5113157360"/>
    <m/>
    <s v="TIENE BL"/>
    <m/>
    <x v="0"/>
    <d v="2022-03-05T00:00:00"/>
    <m/>
    <m/>
    <m/>
    <m/>
    <m/>
    <m/>
    <m/>
    <m/>
    <d v="2022-03-05T00:00:00"/>
    <x v="3"/>
  </r>
  <r>
    <s v="Lina Maria Pelaez Gomez"/>
    <d v="2022-03-07T00:00:00"/>
    <d v="2022-03-07T00:00:00"/>
    <n v="10"/>
    <s v="NC57"/>
    <x v="1"/>
    <n v="24797.5"/>
    <x v="150"/>
    <n v="-77616.17500000271"/>
    <n v="0"/>
    <n v="4502284784"/>
    <n v="5080826615"/>
    <n v="5113157363"/>
    <m/>
    <m/>
    <m/>
    <x v="0"/>
    <d v="2022-03-05T00:00:00"/>
    <m/>
    <m/>
    <m/>
    <m/>
    <m/>
    <m/>
    <m/>
    <m/>
    <d v="2022-03-05T00:00:00"/>
    <x v="3"/>
  </r>
  <r>
    <s v="Agropecuaria los Molinos S.A.S"/>
    <d v="2022-02-18T00:00:00"/>
    <m/>
    <n v="10"/>
    <s v="FEMO-1010000547"/>
    <x v="4"/>
    <n v="108881"/>
    <x v="118"/>
    <n v="891374993.88999999"/>
    <n v="210"/>
    <n v="4502274573"/>
    <n v="5080589933"/>
    <n v="5113116240"/>
    <s v="TIENE BL"/>
    <s v="EJ*15 990000*6 1070000*6 920000*3"/>
    <m/>
    <x v="3"/>
    <d v="2022-03-04T00:00:00"/>
    <n v="4502274573"/>
    <n v="15120000"/>
    <s v="FEMD-3543*2 y FEMD-3540*6"/>
    <s v="5113152520 y 5113152559"/>
    <s v="FEMD-3542*3"/>
    <n v="5113152551"/>
    <s v="FEMD-3541*4"/>
    <n v="5113152554"/>
    <d v="2022-03-04T00:00:00"/>
    <x v="3"/>
  </r>
  <r>
    <s v="Sociedad Comercializadora Ganadera"/>
    <d v="2022-03-08T00:00:00"/>
    <d v="2022-03-08T00:00:00"/>
    <n v="10"/>
    <s v="FEDV213"/>
    <x v="4"/>
    <n v="28900"/>
    <x v="151"/>
    <n v="235535000"/>
    <n v="56"/>
    <n v="4502285541"/>
    <n v="5080834104"/>
    <n v="5113157364"/>
    <m/>
    <s v="TIENE BL"/>
    <m/>
    <x v="3"/>
    <d v="2022-03-04T00:00:00"/>
    <m/>
    <m/>
    <m/>
    <m/>
    <m/>
    <m/>
    <m/>
    <m/>
    <d v="2022-03-04T00:00:00"/>
    <x v="3"/>
  </r>
  <r>
    <s v="Sociedad Comercializadora Ganadera"/>
    <d v="2022-03-09T00:00:00"/>
    <d v="2022-03-09T00:00:00"/>
    <n v="10"/>
    <s v="FEDV215"/>
    <x v="0"/>
    <n v="27716"/>
    <x v="145"/>
    <n v="223113800"/>
    <n v="56"/>
    <n v="4502283033"/>
    <n v="5080826616"/>
    <n v="5113157441"/>
    <m/>
    <s v="TIENE BL"/>
    <m/>
    <x v="0"/>
    <d v="2022-03-05T00:00:00"/>
    <m/>
    <m/>
    <m/>
    <m/>
    <m/>
    <m/>
    <m/>
    <m/>
    <d v="2022-03-05T00:00:00"/>
    <x v="3"/>
  </r>
  <r>
    <s v="Sociedad Comercializadora Ganadera"/>
    <d v="2022-03-09T00:00:00"/>
    <d v="2022-03-09T00:00:00"/>
    <n v="10"/>
    <s v="FEDV217"/>
    <x v="0"/>
    <n v="13303"/>
    <x v="145"/>
    <n v="107089150"/>
    <n v="29"/>
    <n v="4502283033"/>
    <n v="5080826616"/>
    <n v="5113157443"/>
    <m/>
    <s v="TIENE BL"/>
    <m/>
    <x v="0"/>
    <d v="2022-03-05T00:00:00"/>
    <m/>
    <m/>
    <m/>
    <m/>
    <m/>
    <m/>
    <m/>
    <m/>
    <d v="2022-03-05T00:00:00"/>
    <x v="3"/>
  </r>
  <r>
    <s v="Sociedad Comercializadora Ganadera"/>
    <d v="2022-03-09T00:00:00"/>
    <d v="2022-03-09T00:00:00"/>
    <n v="10"/>
    <s v="NC86"/>
    <x v="0"/>
    <n v="13303"/>
    <x v="2"/>
    <n v="-1330300"/>
    <n v="0"/>
    <n v="4502283033"/>
    <n v="5080826616"/>
    <n v="5113157477"/>
    <m/>
    <m/>
    <m/>
    <x v="0"/>
    <d v="2022-03-05T00:00:00"/>
    <m/>
    <m/>
    <m/>
    <m/>
    <m/>
    <m/>
    <m/>
    <m/>
    <d v="2022-03-05T00:00:00"/>
    <x v="3"/>
  </r>
  <r>
    <s v="Organización Empresarial Blanco Hernandez Y CIA. S.C.A."/>
    <d v="2022-03-04T00:00:00"/>
    <m/>
    <n v="10"/>
    <s v="ORG-82"/>
    <x v="2"/>
    <n v="7213"/>
    <x v="63"/>
    <n v="56622050"/>
    <n v="14"/>
    <n v="4502283034"/>
    <n v="5080826617"/>
    <n v="5113157591"/>
    <m/>
    <s v="CON RETEN"/>
    <m/>
    <x v="0"/>
    <d v="2022-03-05T00:00:00"/>
    <m/>
    <m/>
    <m/>
    <m/>
    <m/>
    <m/>
    <m/>
    <m/>
    <d v="2022-03-05T00:00:00"/>
    <x v="3"/>
  </r>
  <r>
    <s v="Organización Empresarial Blanco Hernandez Y CIA. S.C.A."/>
    <d v="2022-03-08T00:00:00"/>
    <d v="2022-03-10T00:00:00"/>
    <n v="10"/>
    <s v="NC212"/>
    <x v="2"/>
    <n v="7213"/>
    <x v="152"/>
    <n v="-60228.550000002622"/>
    <n v="0"/>
    <n v="4502283034"/>
    <n v="5080826617"/>
    <n v="5113157595"/>
    <m/>
    <m/>
    <s v="Se envia correo a recepcion_fe"/>
    <x v="0"/>
    <d v="2022-03-05T00:00:00"/>
    <m/>
    <m/>
    <m/>
    <m/>
    <m/>
    <m/>
    <m/>
    <m/>
    <d v="2022-03-05T00:00:00"/>
    <x v="3"/>
  </r>
  <r>
    <s v="Sociedad Comercializadora Ganadera"/>
    <d v="2022-03-09T00:00:00"/>
    <d v="2022-03-09T00:00:00"/>
    <n v="10"/>
    <s v="FEDV218"/>
    <x v="2"/>
    <n v="25427"/>
    <x v="145"/>
    <n v="204687350"/>
    <n v="59"/>
    <n v="4502283035"/>
    <n v="5080826808"/>
    <n v="5113157480"/>
    <m/>
    <s v="TIENE BL"/>
    <m/>
    <x v="0"/>
    <d v="2022-03-05T00:00:00"/>
    <m/>
    <m/>
    <m/>
    <m/>
    <m/>
    <m/>
    <m/>
    <m/>
    <d v="2022-03-05T00:00:00"/>
    <x v="3"/>
  </r>
  <r>
    <s v="Sociedad Comercializadora Ganadera"/>
    <d v="2022-03-09T00:00:00"/>
    <d v="2022-03-09T00:00:00"/>
    <n v="10"/>
    <s v="NC87"/>
    <x v="2"/>
    <n v="25427"/>
    <x v="153"/>
    <n v="-346061.46999999165"/>
    <n v="0"/>
    <n v="4502283035"/>
    <n v="5080826808"/>
    <n v="5113157481"/>
    <m/>
    <m/>
    <m/>
    <x v="0"/>
    <d v="2022-03-05T00:00:00"/>
    <m/>
    <m/>
    <m/>
    <m/>
    <m/>
    <m/>
    <m/>
    <m/>
    <d v="2022-03-05T00:00:00"/>
    <x v="3"/>
  </r>
  <r>
    <s v="Sociedad Comercializadora Ganadera"/>
    <d v="2022-03-09T00:00:00"/>
    <d v="2022-03-09T00:00:00"/>
    <n v="10"/>
    <s v="FEDV219"/>
    <x v="2"/>
    <n v="19987"/>
    <x v="145"/>
    <n v="160895350"/>
    <n v="44"/>
    <n v="4502283035"/>
    <n v="5080826808"/>
    <n v="5113157483"/>
    <m/>
    <s v="TIENE BL"/>
    <m/>
    <x v="0"/>
    <d v="2022-03-05T00:00:00"/>
    <m/>
    <m/>
    <m/>
    <m/>
    <m/>
    <m/>
    <m/>
    <m/>
    <d v="2022-03-05T00:00:00"/>
    <x v="3"/>
  </r>
  <r>
    <s v="Sociedad Comercializadora Ganadera"/>
    <d v="2022-03-09T00:00:00"/>
    <d v="2022-03-09T00:00:00"/>
    <n v="10"/>
    <s v="NC88"/>
    <x v="2"/>
    <n v="19987"/>
    <x v="154"/>
    <n v="-2037075.0400000014"/>
    <n v="0"/>
    <n v="4502283035"/>
    <n v="5080826808"/>
    <n v="5113157485"/>
    <m/>
    <m/>
    <m/>
    <x v="0"/>
    <d v="2022-03-05T00:00:00"/>
    <m/>
    <m/>
    <m/>
    <m/>
    <m/>
    <m/>
    <m/>
    <m/>
    <d v="2022-03-05T00:00:00"/>
    <x v="3"/>
  </r>
  <r>
    <s v="Sociedad Comercializadora Ganadera"/>
    <d v="2022-03-09T00:00:00"/>
    <d v="2022-03-09T00:00:00"/>
    <n v="10"/>
    <s v="FEDV220"/>
    <x v="2"/>
    <n v="6914.5"/>
    <x v="145"/>
    <n v="55661725"/>
    <n v="15"/>
    <n v="4502283035"/>
    <n v="5080826808"/>
    <n v="5113157517"/>
    <m/>
    <s v="TIENE BL"/>
    <m/>
    <x v="0"/>
    <d v="2022-03-05T00:00:00"/>
    <m/>
    <m/>
    <m/>
    <m/>
    <m/>
    <m/>
    <m/>
    <m/>
    <d v="2022-03-05T00:00:00"/>
    <x v="3"/>
  </r>
  <r>
    <s v="Andres Jaramillo Bernal"/>
    <d v="2022-03-05T00:00:00"/>
    <d v="2022-03-08T00:00:00"/>
    <n v="10"/>
    <s v="FEVA-5147"/>
    <x v="2"/>
    <n v="13414.5"/>
    <x v="3"/>
    <n v="102620925"/>
    <n v="28"/>
    <n v="4502283036"/>
    <n v="5080826809"/>
    <n v="5113154529"/>
    <m/>
    <s v="TIENE BL"/>
    <m/>
    <x v="0"/>
    <d v="2022-03-05T00:00:00"/>
    <m/>
    <m/>
    <m/>
    <m/>
    <m/>
    <m/>
    <m/>
    <m/>
    <d v="2022-03-05T00:00:00"/>
    <x v="3"/>
  </r>
  <r>
    <s v="Alexander Bautista Perez"/>
    <d v="2022-03-06T00:00:00"/>
    <d v="2022-03-08T00:00:00"/>
    <n v="10"/>
    <s v="FACE-250"/>
    <x v="0"/>
    <n v="69874"/>
    <x v="113"/>
    <n v="552004600"/>
    <n v="135"/>
    <n v="4502283038"/>
    <n v="5080835332"/>
    <n v="5113153689"/>
    <m/>
    <s v="CON RETEN"/>
    <m/>
    <x v="0"/>
    <d v="2022-03-06T00:00:00"/>
    <m/>
    <m/>
    <m/>
    <m/>
    <m/>
    <m/>
    <m/>
    <m/>
    <d v="2022-03-06T00:00:00"/>
    <x v="3"/>
  </r>
  <r>
    <s v="Alexander Bautista Perez"/>
    <d v="2022-03-06T00:00:00"/>
    <d v="2022-03-08T00:00:00"/>
    <n v="10"/>
    <s v="NC217"/>
    <x v="0"/>
    <n v="69874"/>
    <x v="155"/>
    <n v="-848969.0999999746"/>
    <n v="0"/>
    <n v="4502283038"/>
    <n v="5080835332"/>
    <n v="5113153692"/>
    <m/>
    <m/>
    <m/>
    <x v="0"/>
    <d v="2022-03-06T00:00:00"/>
    <m/>
    <m/>
    <m/>
    <m/>
    <m/>
    <m/>
    <m/>
    <m/>
    <d v="2022-03-06T00:00:00"/>
    <x v="3"/>
  </r>
  <r>
    <s v="David Martinez Jaramillo"/>
    <d v="2022-03-08T00:00:00"/>
    <d v="2022-03-08T00:00:00"/>
    <n v="10"/>
    <s v="DM148"/>
    <x v="1"/>
    <n v="6661"/>
    <x v="149"/>
    <n v="52954950"/>
    <n v="15"/>
    <n v="4502283039"/>
    <n v="5080834698"/>
    <n v="5113157368"/>
    <m/>
    <s v="TIENE BL"/>
    <s v="SR2456683"/>
    <x v="0"/>
    <d v="2022-03-06T00:00:00"/>
    <m/>
    <m/>
    <m/>
    <m/>
    <m/>
    <m/>
    <m/>
    <m/>
    <d v="2022-03-06T00:00:00"/>
    <x v="3"/>
  </r>
  <r>
    <s v="David Martinez Jaramillo"/>
    <d v="2022-03-08T00:00:00"/>
    <d v="2022-03-08T00:00:00"/>
    <n v="10"/>
    <s v="NC15"/>
    <x v="1"/>
    <n v="6661"/>
    <x v="2"/>
    <n v="-666100"/>
    <n v="0"/>
    <n v="4502283039"/>
    <n v="5080834698"/>
    <n v="5113157370"/>
    <m/>
    <m/>
    <m/>
    <x v="0"/>
    <d v="2022-03-06T00:00:00"/>
    <m/>
    <m/>
    <m/>
    <m/>
    <m/>
    <m/>
    <m/>
    <m/>
    <d v="2022-03-06T00:00:00"/>
    <x v="3"/>
  </r>
  <r>
    <s v="Jorge Ignacio Sanchez Restrepo"/>
    <d v="2022-03-09T00:00:00"/>
    <d v="2022-03-09T00:00:00"/>
    <n v="10"/>
    <s v="FEJS-25"/>
    <x v="1"/>
    <n v="7048"/>
    <x v="113"/>
    <n v="55679200"/>
    <n v="15"/>
    <n v="4502283040"/>
    <n v="5080835335"/>
    <n v="5113155749"/>
    <m/>
    <s v="CON RETEN"/>
    <m/>
    <x v="0"/>
    <d v="2022-03-06T00:00:00"/>
    <m/>
    <m/>
    <m/>
    <m/>
    <m/>
    <m/>
    <m/>
    <m/>
    <d v="2022-03-06T00:00:00"/>
    <x v="3"/>
  </r>
  <r>
    <s v="Jorge Ignacio Sanchez Restrepo"/>
    <d v="2022-03-09T00:00:00"/>
    <d v="2022-03-09T00:00:00"/>
    <n v="10"/>
    <s v="NC11"/>
    <x v="1"/>
    <n v="7048"/>
    <x v="156"/>
    <n v="-38834.480000001538"/>
    <n v="0"/>
    <n v="4502283040"/>
    <n v="5080835335"/>
    <n v="5113155751"/>
    <m/>
    <m/>
    <m/>
    <x v="0"/>
    <d v="2022-03-06T00:00:00"/>
    <m/>
    <m/>
    <m/>
    <m/>
    <m/>
    <m/>
    <m/>
    <m/>
    <d v="2022-03-06T00:00:00"/>
    <x v="3"/>
  </r>
  <r>
    <s v="Gilberto Echeverri Jaramillo"/>
    <d v="2022-03-09T00:00:00"/>
    <d v="2022-03-09T00:00:00"/>
    <n v="10"/>
    <s v="FE-75"/>
    <x v="1"/>
    <n v="12574.5"/>
    <x v="117"/>
    <n v="100596000"/>
    <n v="28"/>
    <n v="4502283041"/>
    <n v="5080834699"/>
    <n v="5113157035"/>
    <m/>
    <m/>
    <m/>
    <x v="0"/>
    <d v="2022-03-06T00:00:00"/>
    <m/>
    <m/>
    <m/>
    <m/>
    <m/>
    <m/>
    <m/>
    <m/>
    <d v="2022-03-06T00:00:00"/>
    <x v="3"/>
  </r>
  <r>
    <s v="Agropecuaria Tabaida S.A.S"/>
    <d v="2022-03-07T00:00:00"/>
    <d v="2022-03-07T00:00:00"/>
    <n v="10"/>
    <s v="MT-1288"/>
    <x v="0"/>
    <n v="19176.5"/>
    <x v="38"/>
    <n v="143823750"/>
    <n v="42"/>
    <n v="4502286035"/>
    <n v="5080840143"/>
    <n v="5113161228"/>
    <s v="TIENE BL"/>
    <s v="EJ*3 1793900*3"/>
    <s v="Ever va a enviar el XML "/>
    <x v="0"/>
    <d v="2022-03-07T00:00:00"/>
    <n v="4902223860"/>
    <n v="5381700"/>
    <s v="FEMD-3553*3"/>
    <n v="5113154541"/>
    <m/>
    <m/>
    <m/>
    <m/>
    <d v="2022-03-07T00:00:00"/>
    <x v="3"/>
  </r>
  <r>
    <s v="Agropecuaria Tabaida S.A.S"/>
    <d v="2022-03-07T00:00:00"/>
    <d v="2022-03-07T00:00:00"/>
    <n v="10"/>
    <s v="MT-1288"/>
    <x v="1"/>
    <n v="19176.5"/>
    <x v="38"/>
    <n v="143823750"/>
    <n v="42"/>
    <n v="4502286035"/>
    <n v="5080840143"/>
    <n v="5113161228"/>
    <m/>
    <s v="TYC 4200000"/>
    <m/>
    <x v="0"/>
    <d v="2022-03-07T00:00:00"/>
    <n v="4902223863"/>
    <n v="4200000"/>
    <s v="ETE-2750"/>
    <n v="5113159646"/>
    <m/>
    <m/>
    <m/>
    <m/>
    <d v="2022-03-07T00:00:00"/>
    <x v="3"/>
  </r>
  <r>
    <s v="Inversiones Agropecuaria Triplesiete S.A.S."/>
    <d v="2022-03-07T00:00:00"/>
    <m/>
    <n v="10"/>
    <s v="FEVM-385"/>
    <x v="0"/>
    <n v="42673.5"/>
    <x v="9"/>
    <n v="328585950"/>
    <n v="90"/>
    <n v="4502283042"/>
    <n v="5080841130"/>
    <n v="5113161175"/>
    <m/>
    <s v="CON RETEN"/>
    <s v="Natalia que la envia el dia de hoy"/>
    <x v="0"/>
    <d v="2022-03-07T00:00:00"/>
    <m/>
    <m/>
    <m/>
    <m/>
    <m/>
    <m/>
    <m/>
    <m/>
    <d v="2022-03-07T00:00:00"/>
    <x v="3"/>
  </r>
  <r>
    <s v="Inversiones Agropecuaria Triplesiete S.A.S."/>
    <d v="2022-03-07T00:00:00"/>
    <m/>
    <n v="10"/>
    <s v="ND8"/>
    <x v="0"/>
    <n v="42673.5"/>
    <x v="13"/>
    <n v="2133675"/>
    <n v="0"/>
    <n v="4502283042"/>
    <n v="5080841130"/>
    <n v="5113161176"/>
    <m/>
    <m/>
    <m/>
    <x v="0"/>
    <d v="2022-03-07T00:00:00"/>
    <m/>
    <m/>
    <m/>
    <m/>
    <m/>
    <m/>
    <m/>
    <m/>
    <d v="2022-03-07T00:00:00"/>
    <x v="3"/>
  </r>
  <r>
    <s v="Jaime Angel Botero"/>
    <d v="2022-03-15T00:00:00"/>
    <m/>
    <n v="10"/>
    <s v="JAB-21"/>
    <x v="0"/>
    <n v="6776.5"/>
    <x v="51"/>
    <n v="51162575"/>
    <n v="15"/>
    <n v="4502283043"/>
    <n v="5080840608"/>
    <n v="5113173276"/>
    <m/>
    <s v="CON RETEN"/>
    <s v="SR2457122"/>
    <x v="0"/>
    <d v="2022-03-07T00:00:00"/>
    <m/>
    <m/>
    <m/>
    <m/>
    <m/>
    <m/>
    <m/>
    <m/>
    <d v="2022-03-07T00:00:00"/>
    <x v="3"/>
  </r>
  <r>
    <s v="Jaime Angel Botero"/>
    <d v="2022-03-15T00:00:00"/>
    <d v="2022-03-17T00:00:00"/>
    <n v="10"/>
    <s v="NC27"/>
    <x v="0"/>
    <n v="6776.5"/>
    <x v="2"/>
    <n v="-677650"/>
    <n v="0"/>
    <n v="4502283043"/>
    <n v="5080840608"/>
    <n v="5113173289"/>
    <m/>
    <m/>
    <m/>
    <x v="0"/>
    <d v="2022-03-07T00:00:00"/>
    <m/>
    <m/>
    <m/>
    <m/>
    <m/>
    <m/>
    <m/>
    <m/>
    <d v="2022-03-07T00:00:00"/>
    <x v="3"/>
  </r>
  <r>
    <s v="Fernando Arevalo Reyes"/>
    <d v="2022-03-07T00:00:00"/>
    <m/>
    <n v="10"/>
    <s v="FVE-110"/>
    <x v="0"/>
    <n v="6872"/>
    <x v="28"/>
    <n v="53258000"/>
    <n v="14"/>
    <n v="4502284629"/>
    <n v="5080840610"/>
    <n v="5113162998"/>
    <m/>
    <s v="TIENE BL"/>
    <s v="Envie correo solicitando el BL "/>
    <x v="0"/>
    <d v="2022-03-07T00:00:00"/>
    <m/>
    <m/>
    <m/>
    <m/>
    <m/>
    <m/>
    <m/>
    <m/>
    <d v="2022-03-07T00:00:00"/>
    <x v="3"/>
  </r>
  <r>
    <s v="Fernando Arevalo Reyes"/>
    <d v="2022-03-07T00:00:00"/>
    <m/>
    <n v="10"/>
    <s v="ND4"/>
    <x v="0"/>
    <n v="6872"/>
    <x v="2"/>
    <n v="687200"/>
    <n v="0"/>
    <n v="4502284629"/>
    <n v="5080840610"/>
    <n v="5113163001"/>
    <m/>
    <m/>
    <m/>
    <x v="0"/>
    <d v="2022-03-07T00:00:00"/>
    <m/>
    <m/>
    <m/>
    <m/>
    <m/>
    <m/>
    <m/>
    <m/>
    <d v="2022-03-07T00:00:00"/>
    <x v="3"/>
  </r>
  <r>
    <s v="Primavera del Magdalena S.A.S."/>
    <d v="2022-03-10T00:00:00"/>
    <d v="2022-03-11T00:00:00"/>
    <n v="10"/>
    <s v="PRI-58"/>
    <x v="1"/>
    <n v="6582.5"/>
    <x v="56"/>
    <n v="50027000"/>
    <n v="14"/>
    <n v="4502283045"/>
    <n v="5080840609"/>
    <n v="5113159832"/>
    <m/>
    <s v="TIENE BL"/>
    <m/>
    <x v="0"/>
    <d v="2022-03-07T00:00:00"/>
    <m/>
    <m/>
    <m/>
    <m/>
    <m/>
    <m/>
    <m/>
    <m/>
    <d v="2022-03-07T00:00:00"/>
    <x v="3"/>
  </r>
  <r>
    <s v="Inversiones Urbagro S.A.S"/>
    <d v="2022-03-15T00:00:00"/>
    <d v="2022-03-15T00:00:00"/>
    <n v="10"/>
    <s v="FE-13"/>
    <x v="0"/>
    <n v="25306"/>
    <x v="28"/>
    <n v="196121500"/>
    <n v="60"/>
    <n v="4502283046"/>
    <n v="5080868989"/>
    <n v="5113168711"/>
    <m/>
    <s v="CON RETEN"/>
    <s v="No contesta mensaje ws "/>
    <x v="0"/>
    <d v="2022-03-08T00:00:00"/>
    <m/>
    <m/>
    <m/>
    <m/>
    <m/>
    <m/>
    <m/>
    <m/>
    <d v="2022-03-08T00:00:00"/>
    <x v="3"/>
  </r>
  <r>
    <s v="Inversiones Urbagro S.A.S"/>
    <d v="2022-03-15T00:00:00"/>
    <d v="2022-03-15T00:00:00"/>
    <n v="10"/>
    <s v="NC9"/>
    <x v="0"/>
    <n v="25306"/>
    <x v="157"/>
    <n v="-342137.12000001105"/>
    <n v="0"/>
    <n v="4502283046"/>
    <n v="5080868989"/>
    <n v="5113168712"/>
    <m/>
    <m/>
    <s v="SR2457171"/>
    <x v="0"/>
    <d v="2022-03-08T00:00:00"/>
    <m/>
    <m/>
    <m/>
    <m/>
    <m/>
    <m/>
    <m/>
    <m/>
    <d v="2022-03-08T00:00:00"/>
    <x v="3"/>
  </r>
  <r>
    <s v="Luis Fernando Rojas Prada"/>
    <d v="2022-03-09T00:00:00"/>
    <d v="2022-03-09T00:00:00"/>
    <n v="10"/>
    <s v="FELC-805"/>
    <x v="0"/>
    <n v="46730"/>
    <x v="38"/>
    <n v="350475000"/>
    <n v="98"/>
    <n v="4502286057"/>
    <n v="5080868813"/>
    <n v="5113155179"/>
    <s v="CON RETEN"/>
    <s v="EJ*7 3062400*7"/>
    <m/>
    <x v="0"/>
    <d v="2022-03-08T00:00:00"/>
    <n v="4902223864"/>
    <n v="21436800"/>
    <s v="FEMD-3579*7"/>
    <n v="5113157023"/>
    <m/>
    <m/>
    <m/>
    <m/>
    <d v="2022-03-08T00:00:00"/>
    <x v="3"/>
  </r>
  <r>
    <s v="Rodolfo De Jesus Jaramillo Calle"/>
    <d v="2022-02-08T00:00:00"/>
    <d v="2022-03-11T00:00:00"/>
    <n v="10"/>
    <s v="FE-84"/>
    <x v="0"/>
    <n v="7337"/>
    <x v="149"/>
    <n v="58329150"/>
    <n v="14"/>
    <n v="4502283047"/>
    <n v="5080869063"/>
    <n v="5113160886"/>
    <m/>
    <s v="TIENE BL"/>
    <m/>
    <x v="0"/>
    <d v="2022-03-08T00:00:00"/>
    <m/>
    <m/>
    <m/>
    <m/>
    <m/>
    <m/>
    <m/>
    <m/>
    <d v="2022-03-08T00:00:00"/>
    <x v="3"/>
  </r>
  <r>
    <s v="Rodolfo De Jesus Jaramillo Calle"/>
    <d v="2022-03-11T00:00:00"/>
    <d v="2022-03-11T00:00:00"/>
    <n v="10"/>
    <s v="NC251"/>
    <x v="0"/>
    <n v="7337"/>
    <x v="13"/>
    <n v="-366850"/>
    <n v="0"/>
    <n v="4502283047"/>
    <n v="5080869063"/>
    <n v="5113161078"/>
    <m/>
    <m/>
    <m/>
    <x v="0"/>
    <d v="2022-03-08T00:00:00"/>
    <m/>
    <m/>
    <m/>
    <m/>
    <m/>
    <m/>
    <m/>
    <m/>
    <d v="2022-03-08T00:00:00"/>
    <x v="3"/>
  </r>
  <r>
    <s v="GANADERIA MANZANARES S.A.S"/>
    <d v="2022-03-11T00:00:00"/>
    <d v="2022-03-11T00:00:00"/>
    <n v="10"/>
    <s v="FA-6013"/>
    <x v="0"/>
    <n v="6687"/>
    <x v="3"/>
    <n v="51155550"/>
    <n v="15"/>
    <n v="4502283048"/>
    <n v="5080868992"/>
    <n v="5113160074"/>
    <m/>
    <s v="CON RETEN"/>
    <m/>
    <x v="0"/>
    <d v="2022-03-08T00:00:00"/>
    <m/>
    <m/>
    <m/>
    <m/>
    <m/>
    <m/>
    <m/>
    <m/>
    <d v="2022-03-08T00:00:00"/>
    <x v="3"/>
  </r>
  <r>
    <s v="Inversiones Valle Del Canalete S.A.S"/>
    <d v="2022-03-09T00:00:00"/>
    <d v="2022-03-09T00:00:00"/>
    <n v="10"/>
    <s v="IVC103"/>
    <x v="1"/>
    <n v="19421"/>
    <x v="38"/>
    <n v="145657500"/>
    <n v="42"/>
    <n v="4502286066"/>
    <n v="5080840351"/>
    <n v="5113157048"/>
    <m/>
    <s v="EJ*3 1793900*3"/>
    <m/>
    <x v="0"/>
    <d v="2022-03-08T00:00:00"/>
    <n v="4902223865"/>
    <n v="5381700"/>
    <s v="FEMD-3573*3"/>
    <n v="5113157255"/>
    <m/>
    <m/>
    <m/>
    <m/>
    <d v="2022-03-08T00:00:00"/>
    <x v="3"/>
  </r>
  <r>
    <s v="Primavera del Magdalena S.A.S."/>
    <d v="2022-03-10T00:00:00"/>
    <d v="2022-03-11T00:00:00"/>
    <n v="10"/>
    <s v="PRI-59"/>
    <x v="1"/>
    <n v="6718"/>
    <x v="56"/>
    <n v="51056800"/>
    <n v="14"/>
    <n v="4502283049"/>
    <n v="5080840609"/>
    <n v="5113159833"/>
    <m/>
    <s v="TIENE BL"/>
    <m/>
    <x v="0"/>
    <d v="2022-03-08T00:00:00"/>
    <m/>
    <m/>
    <m/>
    <m/>
    <m/>
    <m/>
    <m/>
    <m/>
    <d v="2022-03-08T00:00:00"/>
    <x v="3"/>
  </r>
  <r>
    <s v="Agropecuaria El Uberrimo S.A.S"/>
    <d v="2022-03-08T00:00:00"/>
    <m/>
    <n v="10"/>
    <s v="FE-212"/>
    <x v="0"/>
    <n v="7210"/>
    <x v="51"/>
    <n v="54435500"/>
    <n v="15"/>
    <n v="4502288885"/>
    <n v="5080902565"/>
    <n v="5113175133"/>
    <m/>
    <s v="CON RETEN"/>
    <s v="Se envia mensaje a Adriana Escudero "/>
    <x v="1"/>
    <d v="2022-03-08T00:00:00"/>
    <m/>
    <m/>
    <m/>
    <m/>
    <m/>
    <m/>
    <m/>
    <m/>
    <d v="2022-03-08T00:00:00"/>
    <x v="3"/>
  </r>
  <r>
    <s v="Maria Ines Saade Mejia"/>
    <d v="2022-03-08T00:00:00"/>
    <d v="2022-03-11T00:00:00"/>
    <n v="10"/>
    <s v="FE-104"/>
    <x v="0"/>
    <n v="6747"/>
    <x v="9"/>
    <n v="51951900"/>
    <n v="14"/>
    <n v="4502288887"/>
    <n v="5080902634"/>
    <n v="5113160878"/>
    <m/>
    <s v="CON RETEN"/>
    <m/>
    <x v="1"/>
    <d v="2022-03-08T00:00:00"/>
    <m/>
    <m/>
    <m/>
    <m/>
    <m/>
    <m/>
    <m/>
    <m/>
    <d v="2022-03-08T00:00:00"/>
    <x v="3"/>
  </r>
  <r>
    <s v="Mauricio De Jesús Bernal Jaramillo"/>
    <d v="2022-03-12T00:00:00"/>
    <m/>
    <n v="10"/>
    <s v="FE-169"/>
    <x v="0"/>
    <n v="19294"/>
    <x v="158"/>
    <n v="148446878.35999998"/>
    <n v="45"/>
    <n v="4502288888"/>
    <n v="5080902739"/>
    <n v="5113163071"/>
    <m/>
    <s v="CON RETEN"/>
    <m/>
    <x v="1"/>
    <d v="2022-03-08T00:00:00"/>
    <m/>
    <m/>
    <m/>
    <m/>
    <m/>
    <m/>
    <m/>
    <m/>
    <d v="2022-03-08T00:00:00"/>
    <x v="3"/>
  </r>
  <r>
    <s v="Sociedad Comercializadora Ganadera"/>
    <d v="2022-03-14T00:00:00"/>
    <d v="2022-03-14T00:00:00"/>
    <n v="11"/>
    <s v="FEDV221"/>
    <x v="0"/>
    <n v="55082"/>
    <x v="145"/>
    <n v="443410100"/>
    <n v="120"/>
    <n v="4502287534"/>
    <n v="5080905315"/>
    <n v="5113165972"/>
    <m/>
    <s v="TIENE BL"/>
    <m/>
    <x v="0"/>
    <d v="2022-03-10T00:00:00"/>
    <m/>
    <m/>
    <m/>
    <m/>
    <m/>
    <m/>
    <m/>
    <m/>
    <d v="2022-03-10T00:00:00"/>
    <x v="3"/>
  </r>
  <r>
    <s v="Sociedad Comercializadora Ganadera"/>
    <d v="2022-03-14T00:00:00"/>
    <d v="2022-03-14T00:00:00"/>
    <n v="11"/>
    <s v="NC89"/>
    <x v="0"/>
    <n v="55082"/>
    <x v="159"/>
    <n v="-190032.89999998998"/>
    <n v="0"/>
    <n v="4502287534"/>
    <n v="5080905315"/>
    <n v="5113165975"/>
    <m/>
    <m/>
    <m/>
    <x v="0"/>
    <d v="2022-03-10T00:00:00"/>
    <m/>
    <m/>
    <m/>
    <m/>
    <m/>
    <m/>
    <m/>
    <m/>
    <d v="2022-03-10T00:00:00"/>
    <x v="3"/>
  </r>
  <r>
    <s v="Sociedad Comercializadora Ganadera"/>
    <d v="2022-03-14T00:00:00"/>
    <d v="2022-03-14T00:00:00"/>
    <n v="11"/>
    <s v="FEDV222"/>
    <x v="0"/>
    <n v="6941"/>
    <x v="145"/>
    <n v="55875050"/>
    <n v="15"/>
    <n v="4502287534"/>
    <n v="5080905315"/>
    <n v="5113165987"/>
    <m/>
    <s v="TIENE BL"/>
    <m/>
    <x v="0"/>
    <d v="2022-03-10T00:00:00"/>
    <m/>
    <m/>
    <m/>
    <m/>
    <m/>
    <m/>
    <m/>
    <m/>
    <d v="2022-03-10T00:00:00"/>
    <x v="3"/>
  </r>
  <r>
    <s v="Sociedad Comercializadora Ganadera"/>
    <d v="2022-03-14T00:00:00"/>
    <d v="2022-03-14T00:00:00"/>
    <n v="11"/>
    <s v="NC90"/>
    <x v="0"/>
    <n v="6941"/>
    <x v="160"/>
    <n v="-769548.66999999923"/>
    <n v="0"/>
    <n v="4502287534"/>
    <n v="5080905315"/>
    <n v="5113165988"/>
    <m/>
    <m/>
    <m/>
    <x v="0"/>
    <d v="2022-03-10T00:00:00"/>
    <m/>
    <m/>
    <m/>
    <m/>
    <m/>
    <m/>
    <m/>
    <m/>
    <d v="2022-03-10T00:00:00"/>
    <x v="3"/>
  </r>
  <r>
    <s v="Andres Jaramillo Bernal"/>
    <d v="2022-03-10T00:00:00"/>
    <d v="2022-03-17T00:00:00"/>
    <n v="11"/>
    <s v="FEVA-5152"/>
    <x v="0"/>
    <n v="6015.5"/>
    <x v="3"/>
    <n v="46018575"/>
    <n v="14"/>
    <n v="4502287535"/>
    <n v="5080905316"/>
    <n v="5113171678"/>
    <m/>
    <s v="TIENE BL"/>
    <m/>
    <x v="0"/>
    <d v="2022-03-10T00:00:00"/>
    <m/>
    <m/>
    <m/>
    <m/>
    <m/>
    <m/>
    <m/>
    <m/>
    <d v="2022-03-10T00:00:00"/>
    <x v="3"/>
  </r>
  <r>
    <s v="Andres Jaramillo Bernal"/>
    <d v="2022-03-10T00:00:00"/>
    <d v="2022-03-17T00:00:00"/>
    <n v="11"/>
    <s v="FEVA-5153"/>
    <x v="0"/>
    <n v="6015.5"/>
    <x v="161"/>
    <n v="1503875"/>
    <n v="0"/>
    <n v="4502287535"/>
    <n v="5080905316"/>
    <n v="5113171679"/>
    <m/>
    <m/>
    <m/>
    <x v="0"/>
    <d v="2022-03-10T00:00:00"/>
    <m/>
    <m/>
    <m/>
    <m/>
    <m/>
    <m/>
    <m/>
    <m/>
    <d v="2022-03-10T00:00:00"/>
    <x v="3"/>
  </r>
  <r>
    <s v="Rafael Ignacio Jaramillo Londoño"/>
    <d v="2022-03-10T00:00:00"/>
    <d v="2022-03-15T00:00:00"/>
    <n v="11"/>
    <s v="GAN-60"/>
    <x v="0"/>
    <n v="7217"/>
    <x v="149"/>
    <n v="57375150"/>
    <n v="15"/>
    <n v="4502287537"/>
    <n v="5080905587"/>
    <n v="5113165990"/>
    <m/>
    <s v="TIENE BL"/>
    <m/>
    <x v="0"/>
    <d v="2022-03-10T00:00:00"/>
    <m/>
    <m/>
    <m/>
    <m/>
    <m/>
    <m/>
    <m/>
    <m/>
    <d v="2022-03-10T00:00:00"/>
    <x v="3"/>
  </r>
  <r>
    <s v="Rodolfo De Jesus Jaramillo Calle"/>
    <d v="2022-03-10T00:00:00"/>
    <d v="2022-03-15T00:00:00"/>
    <n v="11"/>
    <s v="FE-85"/>
    <x v="0"/>
    <n v="7083.5"/>
    <x v="149"/>
    <n v="56313825"/>
    <n v="15"/>
    <n v="4502287538"/>
    <n v="5080905638"/>
    <n v="5113166453"/>
    <m/>
    <s v="TIENE BL"/>
    <m/>
    <x v="0"/>
    <d v="2022-03-10T00:00:00"/>
    <m/>
    <m/>
    <m/>
    <m/>
    <m/>
    <m/>
    <m/>
    <m/>
    <d v="2022-03-10T00:00:00"/>
    <x v="3"/>
  </r>
  <r>
    <s v="Rodolfo De Jesus Jaramillo Calle"/>
    <d v="2022-03-11T00:00:00"/>
    <d v="2022-03-15T00:00:00"/>
    <n v="11"/>
    <s v="NC252"/>
    <x v="0"/>
    <n v="7083.5"/>
    <x v="2"/>
    <n v="-708350"/>
    <n v="0"/>
    <n v="4502287538"/>
    <n v="5080905638"/>
    <n v="5113166454"/>
    <m/>
    <m/>
    <m/>
    <x v="0"/>
    <d v="2022-03-10T00:00:00"/>
    <m/>
    <m/>
    <m/>
    <m/>
    <m/>
    <m/>
    <m/>
    <m/>
    <d v="2022-03-10T00:00:00"/>
    <x v="3"/>
  </r>
  <r>
    <s v="Jorge Ignacio Sanchez Restrepo"/>
    <d v="2022-03-15T00:00:00"/>
    <d v="2022-03-15T00:00:00"/>
    <n v="11"/>
    <s v="FEJS26"/>
    <x v="0"/>
    <n v="14031.5"/>
    <x v="113"/>
    <n v="110848850"/>
    <n v="30"/>
    <n v="4502287539"/>
    <n v="5080905639"/>
    <n v="5113166543"/>
    <m/>
    <s v="CON RETEN"/>
    <s v="SR2457167"/>
    <x v="0"/>
    <d v="2022-03-10T00:00:00"/>
    <m/>
    <m/>
    <m/>
    <m/>
    <m/>
    <m/>
    <m/>
    <m/>
    <d v="2022-03-10T00:00:00"/>
    <x v="3"/>
  </r>
  <r>
    <s v="Tanagro S.A.S Zomac"/>
    <d v="2022-03-16T00:00:00"/>
    <d v="2022-03-16T00:00:00"/>
    <n v="11"/>
    <s v="Z-99"/>
    <x v="0"/>
    <n v="19753"/>
    <x v="56"/>
    <n v="150122800"/>
    <n v="45"/>
    <n v="4502287540"/>
    <n v="5080905317"/>
    <n v="5113169415"/>
    <m/>
    <s v="CON RETEN"/>
    <m/>
    <x v="0"/>
    <d v="2022-03-10T00:00:00"/>
    <m/>
    <m/>
    <m/>
    <m/>
    <m/>
    <m/>
    <m/>
    <m/>
    <d v="2022-03-10T00:00:00"/>
    <x v="3"/>
  </r>
  <r>
    <s v="Tanagro S.A.S Zomac"/>
    <d v="2022-03-16T00:00:00"/>
    <d v="2022-03-16T00:00:00"/>
    <n v="11"/>
    <s v="NCR81"/>
    <x v="0"/>
    <n v="19753"/>
    <x v="162"/>
    <n v="-1065279.2900000059"/>
    <n v="0"/>
    <n v="4502287540"/>
    <n v="5080905317"/>
    <n v="5113169457"/>
    <m/>
    <m/>
    <m/>
    <x v="0"/>
    <d v="2022-03-10T00:00:00"/>
    <m/>
    <m/>
    <m/>
    <m/>
    <m/>
    <m/>
    <m/>
    <m/>
    <d v="2022-03-10T00:00:00"/>
    <x v="3"/>
  </r>
  <r>
    <s v="Maria Victoria Martinez Jaramillo"/>
    <d v="2022-03-10T00:00:00"/>
    <d v="2022-03-16T00:00:00"/>
    <n v="11"/>
    <s v="FE-21"/>
    <x v="0"/>
    <n v="11979"/>
    <x v="149"/>
    <n v="95233050"/>
    <n v="28"/>
    <n v="4502291964"/>
    <n v="5080977725"/>
    <n v="5113169480"/>
    <m/>
    <s v="TIENE BL"/>
    <m/>
    <x v="0"/>
    <d v="2022-03-10T00:00:00"/>
    <m/>
    <m/>
    <m/>
    <m/>
    <m/>
    <m/>
    <m/>
    <m/>
    <d v="2022-03-10T00:00:00"/>
    <x v="3"/>
  </r>
  <r>
    <s v="Inversiones El Cruce S.A."/>
    <d v="2022-03-10T00:00:00"/>
    <d v="2022-03-14T00:00:00"/>
    <n v="11"/>
    <s v="E-151"/>
    <x v="1"/>
    <n v="6891"/>
    <x v="63"/>
    <n v="54094350"/>
    <n v="14"/>
    <n v="4502287542"/>
    <n v="5080905448"/>
    <n v="5113166028"/>
    <m/>
    <s v="CON RETEN"/>
    <m/>
    <x v="0"/>
    <d v="2022-03-10T00:00:00"/>
    <m/>
    <m/>
    <m/>
    <m/>
    <m/>
    <m/>
    <m/>
    <m/>
    <d v="2022-03-10T00:00:00"/>
    <x v="3"/>
  </r>
  <r>
    <s v="Sociedad Comercializadora Ganadera"/>
    <d v="2022-03-15T00:00:00"/>
    <d v="2022-03-15T00:00:00"/>
    <n v="11"/>
    <s v="FEDV224"/>
    <x v="0"/>
    <n v="40885"/>
    <x v="145"/>
    <n v="329124250"/>
    <n v="89"/>
    <n v="4502287544"/>
    <n v="5080931411"/>
    <n v="5113186276"/>
    <m/>
    <s v="TIENE BL"/>
    <s v="LLEGO POR CORREO"/>
    <x v="0"/>
    <d v="2022-03-11T00:00:00"/>
    <m/>
    <m/>
    <m/>
    <m/>
    <m/>
    <m/>
    <m/>
    <m/>
    <d v="2022-03-11T00:00:00"/>
    <x v="3"/>
  </r>
  <r>
    <s v="Sociedad Comercializadora Ganadera"/>
    <d v="2022-03-15T00:00:00"/>
    <d v="2022-03-15T00:00:00"/>
    <n v="11"/>
    <s v="NC92"/>
    <x v="0"/>
    <n v="40885"/>
    <x v="163"/>
    <n v="-589970.55000001192"/>
    <n v="0"/>
    <n v="4502287544"/>
    <n v="5080931411"/>
    <n v="5113186279"/>
    <m/>
    <m/>
    <m/>
    <x v="0"/>
    <d v="2022-03-11T00:00:00"/>
    <m/>
    <m/>
    <m/>
    <m/>
    <m/>
    <m/>
    <m/>
    <m/>
    <d v="2022-03-11T00:00:00"/>
    <x v="3"/>
  </r>
  <r>
    <s v="Sociedad Comercializadora Ganadera"/>
    <d v="2022-03-15T00:00:00"/>
    <d v="2022-03-15T00:00:00"/>
    <n v="11"/>
    <s v="FEDV223"/>
    <x v="0"/>
    <n v="14245.5"/>
    <x v="145"/>
    <n v="114676275"/>
    <n v="30"/>
    <n v="4502287544"/>
    <n v="5080931411"/>
    <n v="5113168647"/>
    <m/>
    <s v="TIENE BL"/>
    <m/>
    <x v="0"/>
    <d v="2022-03-11T00:00:00"/>
    <m/>
    <m/>
    <m/>
    <m/>
    <m/>
    <m/>
    <m/>
    <m/>
    <d v="2022-03-11T00:00:00"/>
    <x v="3"/>
  </r>
  <r>
    <s v="Sociedad Comercializadora Ganadera"/>
    <d v="2022-03-15T00:00:00"/>
    <d v="2022-03-15T00:00:00"/>
    <n v="11"/>
    <s v="NC91"/>
    <x v="0"/>
    <n v="14245.5"/>
    <x v="13"/>
    <n v="-712275"/>
    <n v="0"/>
    <n v="4502287544"/>
    <n v="5080931411"/>
    <n v="5113168650"/>
    <m/>
    <m/>
    <m/>
    <x v="0"/>
    <d v="2022-03-11T00:00:00"/>
    <m/>
    <m/>
    <m/>
    <m/>
    <m/>
    <m/>
    <m/>
    <m/>
    <d v="2022-03-11T00:00:00"/>
    <x v="3"/>
  </r>
  <r>
    <s v="Rafael Francisco Delgado Serrano"/>
    <d v="2022-03-14T00:00:00"/>
    <d v="2022-03-17T00:00:00"/>
    <n v="11"/>
    <s v="RFDS-128"/>
    <x v="0"/>
    <n v="5960"/>
    <x v="3"/>
    <n v="45594000"/>
    <n v="14"/>
    <n v="4502287545"/>
    <n v="5080931412"/>
    <n v="5113166544"/>
    <m/>
    <s v="CON RETEN"/>
    <m/>
    <x v="0"/>
    <d v="2022-03-11T00:00:00"/>
    <m/>
    <m/>
    <m/>
    <m/>
    <m/>
    <m/>
    <m/>
    <m/>
    <d v="2022-03-11T00:00:00"/>
    <x v="3"/>
  </r>
  <r>
    <s v="Rafael Francisco Delgado Serrano"/>
    <d v="2022-03-14T00:00:00"/>
    <d v="2022-03-17T00:00:00"/>
    <n v="11"/>
    <s v="NDB3"/>
    <x v="0"/>
    <n v="5960"/>
    <x v="13"/>
    <n v="298000"/>
    <n v="0"/>
    <n v="4502287545"/>
    <n v="5080931412"/>
    <n v="5113166671"/>
    <m/>
    <m/>
    <m/>
    <x v="0"/>
    <d v="2022-03-11T00:00:00"/>
    <m/>
    <m/>
    <m/>
    <m/>
    <m/>
    <m/>
    <m/>
    <m/>
    <d v="2022-03-11T00:00:00"/>
    <x v="3"/>
  </r>
  <r>
    <s v="Agropecuaria Tabaida S.A.S"/>
    <d v="2022-03-11T00:00:00"/>
    <d v="2022-03-11T00:00:00"/>
    <n v="11"/>
    <s v="MT-1292"/>
    <x v="0"/>
    <n v="40057"/>
    <x v="38"/>
    <n v="300427500"/>
    <n v="84"/>
    <n v="4502288486"/>
    <n v="5080892099"/>
    <n v="5113168653"/>
    <s v="TIENE BL"/>
    <s v="EJ*3 1793900*3 TYC 4473000"/>
    <m/>
    <x v="0"/>
    <d v="2022-03-11T00:00:00"/>
    <n v="4902227790"/>
    <n v="9854700"/>
    <s v="FEMD-3597*3"/>
    <n v="5113163042"/>
    <s v="ETE-2768"/>
    <n v="5113167206"/>
    <m/>
    <m/>
    <d v="2022-03-11T00:00:00"/>
    <x v="3"/>
  </r>
  <r>
    <s v="Inversiones y Negocios V&amp;V S.A.S"/>
    <d v="2022-03-14T00:00:00"/>
    <d v="2022-03-14T00:00:00"/>
    <n v="11"/>
    <s v="FE-1604"/>
    <x v="0"/>
    <n v="6288.5"/>
    <x v="117"/>
    <n v="50308000"/>
    <n v="14"/>
    <n v="4502287546"/>
    <n v="5080931413"/>
    <n v="5113165848"/>
    <m/>
    <s v="CON RETEN"/>
    <m/>
    <x v="0"/>
    <d v="2022-03-11T00:00:00"/>
    <m/>
    <m/>
    <m/>
    <m/>
    <m/>
    <m/>
    <m/>
    <m/>
    <d v="2022-03-11T00:00:00"/>
    <x v="3"/>
  </r>
  <r>
    <s v="Juan Alberto Saldarriaga Marin"/>
    <d v="2022-03-11T00:00:00"/>
    <d v="2022-03-15T00:00:00"/>
    <n v="11"/>
    <n v="5966"/>
    <x v="0"/>
    <n v="6753"/>
    <x v="9"/>
    <n v="51998100"/>
    <n v="14"/>
    <n v="4502287547"/>
    <n v="5080931414"/>
    <n v="5113171805"/>
    <m/>
    <s v="TIENE BL"/>
    <m/>
    <x v="0"/>
    <d v="2022-03-11T00:00:00"/>
    <m/>
    <m/>
    <m/>
    <m/>
    <m/>
    <m/>
    <m/>
    <m/>
    <d v="2022-03-11T00:00:00"/>
    <x v="3"/>
  </r>
  <r>
    <s v="Luis Fernando Rojas Prada"/>
    <d v="2022-03-15T00:00:00"/>
    <d v="2022-03-15T00:00:00"/>
    <n v="11"/>
    <s v="FELC-814"/>
    <x v="0"/>
    <n v="40503"/>
    <x v="164"/>
    <n v="315884700"/>
    <n v="84"/>
    <n v="4502290920"/>
    <n v="5080953684"/>
    <n v="5113167095"/>
    <m/>
    <s v="TIENE BL"/>
    <s v="SR2457187"/>
    <x v="4"/>
    <d v="2022-03-11T00:00:00"/>
    <m/>
    <m/>
    <m/>
    <m/>
    <m/>
    <m/>
    <m/>
    <m/>
    <d v="2022-03-11T00:00:00"/>
    <x v="3"/>
  </r>
  <r>
    <s v="Rafael Francisco Delgado Serrano"/>
    <d v="2022-03-16T00:00:00"/>
    <m/>
    <n v="11"/>
    <s v="RFDS-129"/>
    <x v="0"/>
    <n v="6356.5"/>
    <x v="3"/>
    <n v="48627225"/>
    <n v="14"/>
    <n v="4502287549"/>
    <n v="5080931384"/>
    <n v="5113173036"/>
    <m/>
    <s v="CON RETEN"/>
    <m/>
    <x v="0"/>
    <d v="2022-03-12T00:00:00"/>
    <m/>
    <m/>
    <m/>
    <m/>
    <m/>
    <m/>
    <m/>
    <m/>
    <d v="2022-03-12T00:00:00"/>
    <x v="3"/>
  </r>
  <r>
    <s v="Inversiones y Negocios V&amp;V S.A.S"/>
    <d v="2022-03-16T00:00:00"/>
    <d v="2022-03-16T00:00:00"/>
    <n v="11"/>
    <s v="FE-1605"/>
    <x v="1"/>
    <n v="6956.5"/>
    <x v="117"/>
    <n v="55652000"/>
    <n v="14"/>
    <n v="4502287550"/>
    <n v="5080931385"/>
    <n v="5113188679"/>
    <m/>
    <s v="CON RETEN"/>
    <s v="Se envia correo a recepcion_fe"/>
    <x v="0"/>
    <d v="2022-03-12T00:00:00"/>
    <m/>
    <m/>
    <m/>
    <m/>
    <m/>
    <m/>
    <m/>
    <m/>
    <d v="2022-03-12T00:00:00"/>
    <x v="3"/>
  </r>
  <r>
    <s v="Inversiones y Negocios V&amp;V S.A.S"/>
    <d v="2022-03-16T00:00:00"/>
    <d v="2022-03-16T00:00:00"/>
    <n v="11"/>
    <s v="DF25"/>
    <x v="1"/>
    <n v="6956.5"/>
    <x v="13"/>
    <n v="347825"/>
    <n v="0"/>
    <n v="4502287550"/>
    <n v="5080931385"/>
    <n v="5113188681"/>
    <m/>
    <m/>
    <m/>
    <x v="0"/>
    <d v="2022-03-12T00:00:00"/>
    <m/>
    <m/>
    <m/>
    <m/>
    <m/>
    <m/>
    <m/>
    <m/>
    <d v="2022-03-12T00:00:00"/>
    <x v="3"/>
  </r>
  <r>
    <s v="Sociedad Comercializadora Ganadera"/>
    <d v="2022-03-16T00:00:00"/>
    <d v="2022-03-16T00:00:00"/>
    <n v="11"/>
    <s v="FEDV225"/>
    <x v="0"/>
    <n v="34772"/>
    <x v="145"/>
    <n v="279914600"/>
    <n v="74"/>
    <n v="4502287551"/>
    <n v="5080931386"/>
    <n v="5113178746"/>
    <m/>
    <s v="TIENE BL"/>
    <m/>
    <x v="0"/>
    <d v="2022-03-12T00:00:00"/>
    <m/>
    <m/>
    <m/>
    <m/>
    <m/>
    <m/>
    <m/>
    <m/>
    <d v="2022-03-12T00:00:00"/>
    <x v="3"/>
  </r>
  <r>
    <s v="Sociedad Comercializadora Ganadera"/>
    <d v="2022-03-16T00:00:00"/>
    <d v="2022-03-16T00:00:00"/>
    <n v="11"/>
    <s v="NC93"/>
    <x v="0"/>
    <n v="34772"/>
    <x v="165"/>
    <n v="-152996.79999998736"/>
    <n v="0"/>
    <n v="4502287551"/>
    <n v="5080931386"/>
    <n v="5113178897"/>
    <m/>
    <m/>
    <m/>
    <x v="0"/>
    <d v="2022-03-12T00:00:00"/>
    <m/>
    <m/>
    <m/>
    <m/>
    <m/>
    <m/>
    <m/>
    <m/>
    <d v="2022-03-12T00:00:00"/>
    <x v="3"/>
  </r>
  <r>
    <s v="Sociedad Comercializadora Ganadera"/>
    <d v="2022-03-16T00:00:00"/>
    <d v="2022-03-16T00:00:00"/>
    <n v="11"/>
    <s v="FEDV226"/>
    <x v="0"/>
    <n v="19944"/>
    <x v="145"/>
    <n v="160549200"/>
    <n v="43"/>
    <n v="4502287551"/>
    <n v="5080931386"/>
    <n v="5113178906"/>
    <m/>
    <s v="TIENE BL"/>
    <m/>
    <x v="0"/>
    <d v="2022-03-12T00:00:00"/>
    <m/>
    <m/>
    <m/>
    <m/>
    <m/>
    <m/>
    <m/>
    <m/>
    <d v="2022-03-12T00:00:00"/>
    <x v="3"/>
  </r>
  <r>
    <s v="Sociedad Comercializadora Ganadera"/>
    <d v="2022-03-16T00:00:00"/>
    <d v="2022-03-16T00:00:00"/>
    <n v="11"/>
    <s v="NC94"/>
    <x v="0"/>
    <n v="19944"/>
    <x v="166"/>
    <n v="-1076377.6800000051"/>
    <n v="0"/>
    <n v="4502287551"/>
    <n v="5080931386"/>
    <n v="5113178928"/>
    <m/>
    <m/>
    <m/>
    <x v="0"/>
    <d v="2022-03-12T00:00:00"/>
    <m/>
    <m/>
    <m/>
    <m/>
    <m/>
    <m/>
    <m/>
    <m/>
    <d v="2022-03-12T00:00:00"/>
    <x v="3"/>
  </r>
  <r>
    <s v="Juan Alberto Saldarriaga Marin"/>
    <d v="2022-03-12T00:00:00"/>
    <m/>
    <n v="11"/>
    <n v="5975"/>
    <x v="0"/>
    <n v="13845.5"/>
    <x v="9"/>
    <n v="106610350"/>
    <n v="28"/>
    <n v="4502287552"/>
    <n v="5080931387"/>
    <n v="5113171804"/>
    <m/>
    <s v="TIENE BL"/>
    <m/>
    <x v="0"/>
    <d v="2022-03-12T00:00:00"/>
    <m/>
    <m/>
    <m/>
    <m/>
    <m/>
    <m/>
    <m/>
    <m/>
    <d v="2022-03-12T00:00:00"/>
    <x v="3"/>
  </r>
  <r>
    <s v="Carlos Mario Duque Cadavid"/>
    <d v="2022-03-14T00:00:00"/>
    <m/>
    <n v="11"/>
    <s v="CD-105"/>
    <x v="0"/>
    <n v="13924.5"/>
    <x v="51"/>
    <n v="105129975"/>
    <n v="28"/>
    <n v="4502288490"/>
    <n v="5080909455"/>
    <n v="5113170685"/>
    <m/>
    <s v="EJ*2 1771100*2"/>
    <s v="CON RETEN "/>
    <x v="0"/>
    <d v="2022-03-12T00:00:00"/>
    <n v="4902227793"/>
    <n v="3542200"/>
    <s v="FEMD-3603*4"/>
    <n v="5113167291"/>
    <m/>
    <m/>
    <m/>
    <m/>
    <d v="2022-03-12T00:00:00"/>
    <x v="3"/>
  </r>
  <r>
    <s v="Carlos Mario Duque Cadavid"/>
    <d v="2022-03-14T00:00:00"/>
    <m/>
    <n v="11"/>
    <s v="CD-105"/>
    <x v="1"/>
    <n v="13924.5"/>
    <x v="51"/>
    <n v="105129975"/>
    <n v="28"/>
    <n v="4502288490"/>
    <n v="5080909455"/>
    <n v="5113170685"/>
    <m/>
    <s v="EJ*2 1771100*2"/>
    <s v="CON RETEN "/>
    <x v="0"/>
    <d v="2022-03-12T00:00:00"/>
    <n v="4902227795"/>
    <n v="3542200"/>
    <s v="FEMD-3603*4"/>
    <n v="5113167291"/>
    <m/>
    <m/>
    <m/>
    <m/>
    <d v="2022-03-12T00:00:00"/>
    <x v="3"/>
  </r>
  <r>
    <s v="Lina Maria Pelaez Gomez"/>
    <d v="2022-03-15T00:00:00"/>
    <d v="2022-03-17T00:00:00"/>
    <n v="11"/>
    <s v="LP76"/>
    <x v="1"/>
    <n v="14156"/>
    <x v="117"/>
    <n v="113248000"/>
    <n v="28"/>
    <n v="4502287553"/>
    <n v="5080931488"/>
    <n v="5113179323"/>
    <m/>
    <s v="TIENE BL"/>
    <s v="SR2456688"/>
    <x v="0"/>
    <d v="2022-03-12T00:00:00"/>
    <m/>
    <m/>
    <m/>
    <m/>
    <m/>
    <m/>
    <m/>
    <m/>
    <d v="2022-03-12T00:00:00"/>
    <x v="3"/>
  </r>
  <r>
    <s v="Margie Rodriguez Rodriguez"/>
    <d v="2022-03-15T00:00:00"/>
    <m/>
    <n v="11"/>
    <s v="FE-49"/>
    <x v="1"/>
    <n v="6757.5"/>
    <x v="51"/>
    <n v="51019125"/>
    <n v="15"/>
    <n v="4502287554"/>
    <n v="5080939100"/>
    <n v="5113168682"/>
    <m/>
    <s v="CON RETEN"/>
    <m/>
    <x v="0"/>
    <d v="2022-03-13T00:00:00"/>
    <m/>
    <m/>
    <m/>
    <m/>
    <m/>
    <m/>
    <m/>
    <m/>
    <d v="2022-03-13T00:00:00"/>
    <x v="3"/>
  </r>
  <r>
    <s v="Margie Rodriguez Rodriguez"/>
    <d v="2022-03-15T00:00:00"/>
    <m/>
    <n v="11"/>
    <s v="NC224"/>
    <x v="1"/>
    <n v="6757.5"/>
    <x v="2"/>
    <n v="-675750"/>
    <n v="0"/>
    <n v="4502287554"/>
    <n v="5080939100"/>
    <n v="5113168686"/>
    <m/>
    <m/>
    <m/>
    <x v="0"/>
    <d v="2022-03-13T00:00:00"/>
    <m/>
    <m/>
    <m/>
    <m/>
    <m/>
    <m/>
    <m/>
    <m/>
    <d v="2022-03-13T00:00:00"/>
    <x v="3"/>
  </r>
  <r>
    <s v="Lismenia Torcoroma Rincon Hernandez"/>
    <d v="2022-03-13T00:00:00"/>
    <m/>
    <n v="11"/>
    <s v="GANA-156"/>
    <x v="1"/>
    <n v="33962.5"/>
    <x v="113"/>
    <n v="268303750"/>
    <n v="75"/>
    <n v="4502287556"/>
    <n v="5080938493"/>
    <n v="5113169459"/>
    <m/>
    <s v="TIENE BL"/>
    <s v="SR2456674"/>
    <x v="0"/>
    <d v="2022-03-13T00:00:00"/>
    <m/>
    <m/>
    <m/>
    <m/>
    <m/>
    <m/>
    <m/>
    <m/>
    <d v="2022-03-13T00:00:00"/>
    <x v="3"/>
  </r>
  <r>
    <s v="Lismenia Torcoroma Rincon Hernandez"/>
    <d v="2022-03-13T00:00:00"/>
    <m/>
    <n v="11"/>
    <s v="NC000037"/>
    <x v="1"/>
    <n v="33962.5"/>
    <x v="167"/>
    <n v="-1856050.6249999877"/>
    <n v="0"/>
    <n v="4502287556"/>
    <n v="5080938493"/>
    <n v="5113169460"/>
    <m/>
    <m/>
    <m/>
    <x v="0"/>
    <d v="2022-03-13T00:00:00"/>
    <m/>
    <m/>
    <m/>
    <m/>
    <m/>
    <m/>
    <m/>
    <m/>
    <d v="2022-03-13T00:00:00"/>
    <x v="3"/>
  </r>
  <r>
    <s v="International Systems And Designs S.A.S"/>
    <d v="2022-03-22T00:00:00"/>
    <m/>
    <n v="11"/>
    <s v="ISD-1118"/>
    <x v="0"/>
    <n v="6515"/>
    <x v="149"/>
    <n v="51794250"/>
    <n v="14"/>
    <n v="4502287557"/>
    <n v="5080938496"/>
    <n v="5113182405"/>
    <m/>
    <m/>
    <s v="Nohora esta revisando "/>
    <x v="0"/>
    <d v="2022-03-13T00:00:00"/>
    <m/>
    <m/>
    <m/>
    <m/>
    <m/>
    <m/>
    <m/>
    <m/>
    <d v="2022-03-13T00:00:00"/>
    <x v="3"/>
  </r>
  <r>
    <s v="International Systems And Designs S.A.S"/>
    <d v="2022-03-22T00:00:00"/>
    <m/>
    <n v="11"/>
    <s v="C00327"/>
    <x v="0"/>
    <n v="6515"/>
    <x v="124"/>
    <n v="-1303000"/>
    <n v="0"/>
    <n v="4502287557"/>
    <n v="5080938496"/>
    <n v="5113182447"/>
    <m/>
    <m/>
    <m/>
    <x v="0"/>
    <d v="2022-03-13T00:00:00"/>
    <m/>
    <m/>
    <m/>
    <m/>
    <m/>
    <m/>
    <m/>
    <m/>
    <d v="2022-03-13T00:00:00"/>
    <x v="3"/>
  </r>
  <r>
    <s v="Andres Felipe Vasquez Velez"/>
    <d v="2022-03-22T00:00:00"/>
    <d v="2022-03-23T00:00:00"/>
    <n v="11"/>
    <s v="FE-15"/>
    <x v="0"/>
    <n v="12788.5"/>
    <x v="149"/>
    <n v="101668575"/>
    <n v="30"/>
    <n v="4502287558"/>
    <n v="5080956190"/>
    <n v="5113182544"/>
    <m/>
    <s v="TIENE BL"/>
    <m/>
    <x v="0"/>
    <d v="2022-03-14T00:00:00"/>
    <m/>
    <m/>
    <m/>
    <m/>
    <m/>
    <m/>
    <m/>
    <m/>
    <d v="2022-03-14T00:00:00"/>
    <x v="3"/>
  </r>
  <r>
    <s v="Andres Felipe Vasquez Velez"/>
    <d v="2022-03-22T00:00:00"/>
    <d v="2022-03-23T00:00:00"/>
    <n v="11"/>
    <s v="NC10"/>
    <x v="0"/>
    <n v="12788.5"/>
    <x v="168"/>
    <n v="-116119.57999999907"/>
    <n v="0"/>
    <n v="4502287558"/>
    <n v="5080956190"/>
    <n v="5113182545"/>
    <m/>
    <m/>
    <m/>
    <x v="0"/>
    <d v="2022-03-14T00:00:00"/>
    <m/>
    <m/>
    <m/>
    <m/>
    <m/>
    <m/>
    <m/>
    <m/>
    <d v="2022-03-14T00:00:00"/>
    <x v="3"/>
  </r>
  <r>
    <s v="Lismenia Torcoroma Rincon Hernandez"/>
    <d v="2022-03-14T00:00:00"/>
    <m/>
    <n v="11"/>
    <s v="GANA-157"/>
    <x v="0"/>
    <n v="27322"/>
    <x v="113"/>
    <n v="215843800"/>
    <n v="59"/>
    <n v="4502287559"/>
    <n v="5080956603"/>
    <n v="5113180424"/>
    <m/>
    <s v="CON RETEN"/>
    <s v="SR2456674"/>
    <x v="0"/>
    <d v="2022-03-14T00:00:00"/>
    <m/>
    <m/>
    <m/>
    <m/>
    <m/>
    <m/>
    <m/>
    <m/>
    <d v="2022-03-14T00:00:00"/>
    <x v="3"/>
  </r>
  <r>
    <s v="Inversiones Castilla Barbosa S.A.S."/>
    <d v="2022-03-14T00:00:00"/>
    <d v="2022-03-16T00:00:00"/>
    <n v="11"/>
    <s v="FE-67"/>
    <x v="0"/>
    <n v="21279"/>
    <x v="54"/>
    <n v="165976200"/>
    <n v="42"/>
    <n v="4502287560"/>
    <n v="5080956191"/>
    <n v="5113169466"/>
    <m/>
    <s v="TIENE BL"/>
    <m/>
    <x v="0"/>
    <d v="2022-03-14T00:00:00"/>
    <m/>
    <m/>
    <m/>
    <m/>
    <m/>
    <m/>
    <m/>
    <m/>
    <d v="2022-03-14T00:00:00"/>
    <x v="3"/>
  </r>
  <r>
    <s v="Robinson Jose Chica Vega"/>
    <d v="2022-03-18T00:00:00"/>
    <d v="2022-03-18T00:00:00"/>
    <n v="11"/>
    <s v="FEC-582"/>
    <x v="0"/>
    <n v="6146.5"/>
    <x v="9"/>
    <n v="47328050"/>
    <n v="14"/>
    <n v="4502287562"/>
    <n v="5080956192"/>
    <n v="5113174361"/>
    <m/>
    <s v="CON RETEN"/>
    <m/>
    <x v="0"/>
    <d v="2022-03-14T00:00:00"/>
    <m/>
    <m/>
    <m/>
    <m/>
    <m/>
    <m/>
    <m/>
    <m/>
    <d v="2022-03-14T00:00:00"/>
    <x v="3"/>
  </r>
  <r>
    <s v="Robinson Jose Chica Vega"/>
    <d v="2022-03-18T00:00:00"/>
    <d v="2022-03-18T00:00:00"/>
    <n v="11"/>
    <s v="NC215"/>
    <x v="0"/>
    <n v="6146.5"/>
    <x v="13"/>
    <n v="-307325"/>
    <n v="0"/>
    <n v="4502287562"/>
    <n v="5080956192"/>
    <n v="5113174363"/>
    <m/>
    <m/>
    <m/>
    <x v="0"/>
    <d v="2022-03-14T00:00:00"/>
    <m/>
    <m/>
    <m/>
    <m/>
    <m/>
    <m/>
    <m/>
    <m/>
    <d v="2022-03-14T00:00:00"/>
    <x v="3"/>
  </r>
  <r>
    <s v="Carnes La Italiana L S S A S"/>
    <d v="2022-03-16T00:00:00"/>
    <d v="2022-03-17T00:00:00"/>
    <n v="11"/>
    <s v="FVE-2841"/>
    <x v="0"/>
    <n v="7201"/>
    <x v="28"/>
    <n v="55807750"/>
    <n v="14"/>
    <n v="4502289183"/>
    <n v="5080956196"/>
    <n v="5113172519"/>
    <m/>
    <s v="TIENE BL"/>
    <m/>
    <x v="0"/>
    <d v="2022-03-14T00:00:00"/>
    <m/>
    <m/>
    <m/>
    <m/>
    <m/>
    <m/>
    <m/>
    <m/>
    <d v="2022-03-14T00:00:00"/>
    <x v="3"/>
  </r>
  <r>
    <s v="Sociedad Comercializadora Ganadera"/>
    <d v="2022-03-16T00:00:00"/>
    <d v="2022-03-16T00:00:00"/>
    <n v="11"/>
    <s v="FEDV227"/>
    <x v="0"/>
    <n v="13646"/>
    <x v="145"/>
    <n v="109850300"/>
    <n v="30"/>
    <n v="4502289275"/>
    <n v="5080956604"/>
    <n v="5113178934"/>
    <m/>
    <s v="TIENE BL"/>
    <m/>
    <x v="0"/>
    <d v="2022-03-14T00:00:00"/>
    <m/>
    <m/>
    <m/>
    <m/>
    <m/>
    <m/>
    <m/>
    <m/>
    <d v="2022-03-14T00:00:00"/>
    <x v="3"/>
  </r>
  <r>
    <s v="Sociedad Comercializadora Ganadera"/>
    <d v="2022-03-16T00:00:00"/>
    <d v="2022-03-16T00:00:00"/>
    <n v="11"/>
    <s v="NC95"/>
    <x v="0"/>
    <n v="13646"/>
    <x v="11"/>
    <n v="-2046900"/>
    <n v="0"/>
    <n v="4502289275"/>
    <n v="5080956604"/>
    <n v="5113178957"/>
    <m/>
    <m/>
    <m/>
    <x v="0"/>
    <d v="2022-03-14T00:00:00"/>
    <m/>
    <m/>
    <m/>
    <m/>
    <m/>
    <m/>
    <m/>
    <m/>
    <d v="2022-03-14T00:00:00"/>
    <x v="3"/>
  </r>
  <r>
    <s v="Sociedad Comercializadora Ganadera"/>
    <d v="2022-03-16T00:00:00"/>
    <d v="2022-03-16T00:00:00"/>
    <n v="11"/>
    <s v="FEDV228"/>
    <x v="0"/>
    <n v="21642.5"/>
    <x v="145"/>
    <n v="174222125"/>
    <n v="45"/>
    <n v="4502289275"/>
    <n v="5080956604"/>
    <n v="5113178958"/>
    <m/>
    <s v="TIENE BL"/>
    <m/>
    <x v="0"/>
    <d v="2022-03-14T00:00:00"/>
    <m/>
    <m/>
    <m/>
    <m/>
    <m/>
    <m/>
    <m/>
    <m/>
    <d v="2022-03-14T00:00:00"/>
    <x v="3"/>
  </r>
  <r>
    <s v="David Martinez Jaramillo"/>
    <d v="2022-03-15T00:00:00"/>
    <d v="2022-03-16T00:00:00"/>
    <n v="11"/>
    <s v="DM151"/>
    <x v="0"/>
    <n v="19481.5"/>
    <x v="117"/>
    <n v="155852000"/>
    <n v="42"/>
    <n v="4502287564"/>
    <n v="5080956193"/>
    <n v="5113171739"/>
    <m/>
    <s v="TIENE BL"/>
    <s v="SR2456683 -SR2465774"/>
    <x v="0"/>
    <d v="2022-03-14T00:00:00"/>
    <m/>
    <m/>
    <m/>
    <m/>
    <m/>
    <m/>
    <m/>
    <m/>
    <d v="2022-03-14T00:00:00"/>
    <x v="3"/>
  </r>
  <r>
    <s v="Lina Maria Pelaez Gomez"/>
    <d v="2022-03-16T00:00:00"/>
    <d v="2022-03-16T00:00:00"/>
    <n v="11"/>
    <s v="LP-75"/>
    <x v="0"/>
    <n v="13491.5"/>
    <x v="117"/>
    <n v="107932000"/>
    <n v="28"/>
    <n v="4502287565"/>
    <n v="5080956194"/>
    <n v="5113171740"/>
    <m/>
    <s v="TIENE BL"/>
    <s v="SR2456688"/>
    <x v="0"/>
    <d v="2022-03-14T00:00:00"/>
    <m/>
    <m/>
    <m/>
    <m/>
    <m/>
    <m/>
    <m/>
    <m/>
    <d v="2022-03-14T00:00:00"/>
    <x v="3"/>
  </r>
  <r>
    <s v="Lina Maria Pelaez Gomez"/>
    <d v="2022-03-16T00:00:00"/>
    <d v="2022-03-16T00:00:00"/>
    <n v="11"/>
    <s v="NC58"/>
    <x v="0"/>
    <n v="13491.5"/>
    <x v="169"/>
    <n v="-37101.625"/>
    <n v="0"/>
    <n v="4502287565"/>
    <n v="5080956194"/>
    <n v="5113171741"/>
    <m/>
    <m/>
    <m/>
    <x v="0"/>
    <d v="2022-03-14T00:00:00"/>
    <m/>
    <m/>
    <m/>
    <m/>
    <m/>
    <m/>
    <m/>
    <m/>
    <d v="2022-03-14T00:00:00"/>
    <x v="3"/>
  </r>
  <r>
    <s v="GANADERIA MANZANARES S.A.S"/>
    <d v="2022-03-16T00:00:00"/>
    <d v="2022-03-16T00:00:00"/>
    <n v="11"/>
    <s v="FA-6016"/>
    <x v="0"/>
    <n v="5807.5"/>
    <x v="3"/>
    <n v="44427375"/>
    <n v="14"/>
    <n v="4502287566"/>
    <n v="5080956195"/>
    <n v="5113170681"/>
    <m/>
    <s v="CON RETEN"/>
    <s v="SR2465752"/>
    <x v="0"/>
    <d v="2022-03-14T00:00:00"/>
    <m/>
    <m/>
    <m/>
    <m/>
    <m/>
    <m/>
    <m/>
    <m/>
    <d v="2022-03-14T00:00:00"/>
    <x v="3"/>
  </r>
  <r>
    <s v="GANADERIA MANZANARES S.A.S"/>
    <d v="2022-03-16T00:00:00"/>
    <d v="2022-03-16T00:00:00"/>
    <n v="11"/>
    <s v="FA-14"/>
    <x v="0"/>
    <n v="5807.5"/>
    <x v="170"/>
    <n v="-774952.79999999772"/>
    <n v="0"/>
    <n v="4502287566"/>
    <n v="5080956195"/>
    <n v="5113170683"/>
    <m/>
    <m/>
    <m/>
    <x v="0"/>
    <d v="2022-03-14T00:00:00"/>
    <m/>
    <m/>
    <m/>
    <m/>
    <m/>
    <m/>
    <m/>
    <m/>
    <d v="2022-03-14T00:00:00"/>
    <x v="3"/>
  </r>
  <r>
    <s v="Inversiones Valle Del Canalete S.A.S"/>
    <d v="2022-03-18T00:00:00"/>
    <d v="2022-03-18T00:00:00"/>
    <n v="11"/>
    <s v="IVC105"/>
    <x v="0"/>
    <n v="19593"/>
    <x v="28"/>
    <n v="151845750"/>
    <n v="42"/>
    <n v="4502294994"/>
    <n v="5081056849"/>
    <n v="5113179092"/>
    <m/>
    <s v="CON RETEN"/>
    <m/>
    <x v="1"/>
    <d v="2022-03-16T00:00:00"/>
    <m/>
    <m/>
    <m/>
    <m/>
    <m/>
    <m/>
    <m/>
    <m/>
    <d v="2022-03-16T00:00:00"/>
    <x v="3"/>
  </r>
  <r>
    <s v="Agropecuaria El Uberrimo S.A.S"/>
    <d v="2022-03-18T00:00:00"/>
    <m/>
    <n v="11"/>
    <s v="FE-219"/>
    <x v="0"/>
    <n v="7257"/>
    <x v="3"/>
    <n v="55516050"/>
    <n v="15"/>
    <n v="4502295040"/>
    <n v="5081057252"/>
    <n v="5113188920"/>
    <m/>
    <s v="CON RETEN"/>
    <s v="Se solicita nuevamente por correo"/>
    <x v="1"/>
    <d v="2022-03-16T00:00:00"/>
    <m/>
    <m/>
    <m/>
    <m/>
    <m/>
    <m/>
    <m/>
    <m/>
    <d v="2022-03-16T00:00:00"/>
    <x v="3"/>
  </r>
  <r>
    <s v="Mauricio De Jesús Bernal Jaramillo"/>
    <d v="2022-03-25T00:00:00"/>
    <d v="2022-03-25T00:00:00"/>
    <n v="11"/>
    <s v="FE-170"/>
    <x v="0"/>
    <n v="6446"/>
    <x v="9"/>
    <n v="49634200"/>
    <n v="15"/>
    <n v="4502295156"/>
    <n v="5081058894"/>
    <n v="5113188918"/>
    <m/>
    <m/>
    <s v="Q va a llamar a la contadora "/>
    <x v="1"/>
    <d v="2022-03-16T00:00:00"/>
    <m/>
    <m/>
    <m/>
    <m/>
    <m/>
    <m/>
    <m/>
    <m/>
    <d v="2022-03-16T00:00:00"/>
    <x v="3"/>
  </r>
  <r>
    <s v="Maria Victoria Yepes Garcia"/>
    <d v="2022-03-18T00:00:00"/>
    <d v="2022-03-22T00:00:00"/>
    <n v="12"/>
    <s v="MVYG29"/>
    <x v="0"/>
    <n v="6945"/>
    <x v="3"/>
    <n v="53129250"/>
    <n v="14"/>
    <n v="4502292245"/>
    <n v="5081058502"/>
    <n v="5113184830"/>
    <m/>
    <s v="CON RETEN"/>
    <m/>
    <x v="0"/>
    <d v="2022-03-18T00:00:00"/>
    <m/>
    <m/>
    <m/>
    <m/>
    <m/>
    <m/>
    <m/>
    <m/>
    <d v="2022-03-18T00:00:00"/>
    <x v="3"/>
  </r>
  <r>
    <s v="Andres Felipe Vasquez Velez"/>
    <d v="2022-03-22T00:00:00"/>
    <d v="2022-03-24T00:00:00"/>
    <n v="12"/>
    <s v="FE-16"/>
    <x v="0"/>
    <n v="11376.5"/>
    <x v="149"/>
    <n v="90443175"/>
    <n v="26"/>
    <n v="4502292246"/>
    <n v="5081058503"/>
    <n v="5113186553"/>
    <m/>
    <s v="TIENE BL"/>
    <m/>
    <x v="0"/>
    <d v="2022-03-18T00:00:00"/>
    <m/>
    <m/>
    <m/>
    <m/>
    <m/>
    <m/>
    <m/>
    <m/>
    <d v="2022-03-18T00:00:00"/>
    <x v="3"/>
  </r>
  <r>
    <s v="Andres Felipe Vasquez Velez"/>
    <d v="2022-03-22T00:00:00"/>
    <d v="2022-03-24T00:00:00"/>
    <n v="12"/>
    <s v="ND5"/>
    <x v="0"/>
    <n v="11376.5"/>
    <x v="13"/>
    <n v="568825"/>
    <n v="0"/>
    <n v="4502292246"/>
    <n v="5081058503"/>
    <n v="5113186555"/>
    <m/>
    <m/>
    <m/>
    <x v="0"/>
    <d v="2022-03-18T00:00:00"/>
    <m/>
    <m/>
    <m/>
    <m/>
    <m/>
    <m/>
    <m/>
    <m/>
    <d v="2022-03-18T00:00:00"/>
    <x v="3"/>
  </r>
  <r>
    <s v="Juan Camilo Vasquez Velez"/>
    <d v="2022-03-22T00:00:00"/>
    <d v="2022-02-23T00:00:00"/>
    <n v="12"/>
    <s v="FE-10"/>
    <x v="0"/>
    <n v="11180"/>
    <x v="149"/>
    <n v="88881000"/>
    <n v="26"/>
    <n v="4502292247"/>
    <n v="5081058504"/>
    <n v="5113184776"/>
    <m/>
    <s v="TIENE BL"/>
    <m/>
    <x v="0"/>
    <d v="2022-03-18T00:00:00"/>
    <m/>
    <m/>
    <m/>
    <m/>
    <m/>
    <m/>
    <m/>
    <m/>
    <d v="2022-03-18T00:00:00"/>
    <x v="3"/>
  </r>
  <r>
    <s v="Juan Camilo Vasquez Velez"/>
    <d v="2022-03-22T00:00:00"/>
    <d v="2022-03-23T00:00:00"/>
    <n v="12"/>
    <s v="ND2"/>
    <x v="0"/>
    <n v="11180"/>
    <x v="171"/>
    <n v="365585.99999999796"/>
    <n v="0"/>
    <n v="4502292247"/>
    <n v="5081058504"/>
    <n v="5113184802"/>
    <m/>
    <m/>
    <m/>
    <x v="0"/>
    <d v="2022-03-18T00:00:00"/>
    <m/>
    <m/>
    <m/>
    <m/>
    <m/>
    <m/>
    <m/>
    <m/>
    <d v="2022-03-18T00:00:00"/>
    <x v="3"/>
  </r>
  <r>
    <s v="Sociedad Comercializadora Ganadera"/>
    <d v="2022-03-23T00:00:00"/>
    <d v="2022-03-23T00:00:00"/>
    <n v="12"/>
    <s v="FEDV231"/>
    <x v="0"/>
    <n v="6397"/>
    <x v="145"/>
    <n v="51495850"/>
    <n v="15"/>
    <n v="4502292248"/>
    <n v="5081058505"/>
    <n v="5113188487"/>
    <m/>
    <s v="TIENE BL"/>
    <m/>
    <x v="0"/>
    <d v="2022-03-18T00:00:00"/>
    <m/>
    <m/>
    <m/>
    <m/>
    <m/>
    <m/>
    <m/>
    <m/>
    <d v="2022-03-18T00:00:00"/>
    <x v="3"/>
  </r>
  <r>
    <s v="Sociedad Comercializadora Ganadera"/>
    <d v="2022-03-23T00:00:00"/>
    <d v="2022-03-23T00:00:00"/>
    <n v="12"/>
    <s v="NC96"/>
    <x v="0"/>
    <n v="6397"/>
    <x v="172"/>
    <n v="-835640.11000000068"/>
    <n v="0"/>
    <n v="4502292248"/>
    <n v="5081058505"/>
    <n v="5113188489"/>
    <m/>
    <m/>
    <m/>
    <x v="0"/>
    <d v="2022-03-18T00:00:00"/>
    <m/>
    <m/>
    <m/>
    <m/>
    <m/>
    <m/>
    <m/>
    <m/>
    <d v="2022-03-18T00:00:00"/>
    <x v="3"/>
  </r>
  <r>
    <s v="Sociedad Comercializadora Ganadera"/>
    <d v="2022-03-23T00:00:00"/>
    <d v="2022-03-23T00:00:00"/>
    <n v="12"/>
    <s v="FEDV232"/>
    <x v="0"/>
    <n v="33523"/>
    <x v="145"/>
    <n v="269860150"/>
    <n v="73"/>
    <n v="4502292248"/>
    <n v="5081058505"/>
    <n v="5113188490"/>
    <m/>
    <s v="TIENE BL"/>
    <s v="SR2466948"/>
    <x v="0"/>
    <d v="2022-03-18T00:00:00"/>
    <m/>
    <m/>
    <m/>
    <m/>
    <m/>
    <m/>
    <m/>
    <m/>
    <d v="2022-03-18T00:00:00"/>
    <x v="3"/>
  </r>
  <r>
    <s v="Sociedad Comercializadora Ganadera"/>
    <d v="2022-03-23T00:00:00"/>
    <d v="2022-03-23T00:00:00"/>
    <n v="12"/>
    <s v="NC97"/>
    <x v="0"/>
    <n v="33523"/>
    <x v="173"/>
    <n v="-151859.18999999147"/>
    <n v="0"/>
    <n v="4502292248"/>
    <n v="5081058505"/>
    <n v="5113188491"/>
    <m/>
    <m/>
    <m/>
    <x v="0"/>
    <d v="2022-03-18T00:00:00"/>
    <m/>
    <m/>
    <m/>
    <m/>
    <m/>
    <m/>
    <m/>
    <m/>
    <d v="2022-03-18T00:00:00"/>
    <x v="3"/>
  </r>
  <r>
    <s v="GANADERIA MANZANARES S.A.S"/>
    <d v="2022-03-22T00:00:00"/>
    <d v="2022-03-22T00:00:00"/>
    <n v="12"/>
    <s v="FA-6025"/>
    <x v="1"/>
    <n v="7087"/>
    <x v="3"/>
    <n v="54215550"/>
    <n v="15"/>
    <n v="4502292249"/>
    <n v="5081058506"/>
    <n v="5113182497"/>
    <m/>
    <s v="CON RETEN"/>
    <m/>
    <x v="0"/>
    <d v="2022-03-18T00:00:00"/>
    <m/>
    <m/>
    <m/>
    <m/>
    <m/>
    <m/>
    <m/>
    <m/>
    <d v="2022-03-18T00:00:00"/>
    <x v="3"/>
  </r>
  <r>
    <s v="GANADERIA MANZANARES S.A.S"/>
    <d v="2022-03-22T00:00:00"/>
    <d v="2022-03-22T00:00:00"/>
    <n v="12"/>
    <s v="FA-15"/>
    <x v="1"/>
    <n v="7087"/>
    <x v="2"/>
    <n v="-708700"/>
    <n v="0"/>
    <n v="4502292249"/>
    <n v="5081058506"/>
    <n v="5113182501"/>
    <m/>
    <m/>
    <m/>
    <x v="0"/>
    <d v="2022-03-18T00:00:00"/>
    <m/>
    <m/>
    <m/>
    <m/>
    <m/>
    <m/>
    <m/>
    <m/>
    <d v="2022-03-18T00:00:00"/>
    <x v="3"/>
  </r>
  <r>
    <s v="Multicarnicos S.A"/>
    <d v="2022-03-18T00:00:00"/>
    <d v="2022-03-22T00:00:00"/>
    <n v="12"/>
    <s v="MUL-303"/>
    <x v="1"/>
    <n v="21886"/>
    <x v="76"/>
    <n v="177276600"/>
    <n v="45"/>
    <n v="4502292250"/>
    <n v="5081064991"/>
    <n v="5113182451"/>
    <m/>
    <s v="TIENE BL"/>
    <m/>
    <x v="0"/>
    <d v="2022-03-18T00:00:00"/>
    <m/>
    <m/>
    <m/>
    <m/>
    <m/>
    <m/>
    <m/>
    <m/>
    <d v="2022-03-18T00:00:00"/>
    <x v="3"/>
  </r>
  <r>
    <s v="Comercializadora Ganadera Las Palmas (COGAPAL S.A.S)"/>
    <d v="2022-03-22T00:00:00"/>
    <d v="2022-03-22T00:00:00"/>
    <n v="12"/>
    <n v="101"/>
    <x v="1"/>
    <n v="7538.5"/>
    <x v="9"/>
    <n v="58046450"/>
    <n v="15"/>
    <n v="4502292251"/>
    <n v="5081058507"/>
    <n v="5113190422"/>
    <m/>
    <s v="CON RETEN"/>
    <s v="Se envia nuevamente al correo de recepcion"/>
    <x v="0"/>
    <d v="2022-03-18T00:00:00"/>
    <m/>
    <m/>
    <m/>
    <m/>
    <m/>
    <m/>
    <m/>
    <m/>
    <d v="2022-03-18T00:00:00"/>
    <x v="3"/>
  </r>
  <r>
    <s v="Comercializadora Ganadera Las Palmas (COGAPAL S.A.S)"/>
    <d v="2022-03-22T00:00:00"/>
    <d v="2022-03-23T00:00:00"/>
    <n v="12"/>
    <s v="ND2"/>
    <x v="1"/>
    <n v="7538.5"/>
    <x v="13"/>
    <n v="376925"/>
    <n v="0"/>
    <n v="4502292251"/>
    <n v="5081058507"/>
    <n v="5113190482"/>
    <m/>
    <m/>
    <m/>
    <x v="0"/>
    <d v="2022-03-18T00:00:00"/>
    <m/>
    <m/>
    <m/>
    <m/>
    <m/>
    <m/>
    <m/>
    <m/>
    <d v="2022-03-18T00:00:00"/>
    <x v="3"/>
  </r>
  <r>
    <s v="Agropecuaria 3H Blanco S.A.S"/>
    <d v="2022-03-23T00:00:00"/>
    <d v="2022-03-23T00:00:00"/>
    <n v="12"/>
    <s v="A3H-30"/>
    <x v="1"/>
    <n v="6507"/>
    <x v="63"/>
    <n v="51079950"/>
    <n v="14"/>
    <n v="4502300963"/>
    <n v="5081195631"/>
    <n v="5113202841"/>
    <m/>
    <s v="CON RETEN "/>
    <s v="Se envia nuevamente al correo de recepcion_fe"/>
    <x v="0"/>
    <d v="2022-03-18T00:00:00"/>
    <m/>
    <m/>
    <m/>
    <m/>
    <m/>
    <m/>
    <m/>
    <m/>
    <d v="2022-03-18T00:00:00"/>
    <x v="3"/>
  </r>
  <r>
    <s v="Agropecuaria 3H Blanco S.A.S"/>
    <d v="2022-03-23T00:00:00"/>
    <d v="2022-03-23T00:00:00"/>
    <n v="12"/>
    <s v="NC-21"/>
    <x v="1"/>
    <n v="6507"/>
    <x v="174"/>
    <n v="-365042.70000000234"/>
    <n v="0"/>
    <n v="4502300963"/>
    <n v="5081195631"/>
    <n v="5113202842"/>
    <m/>
    <s v="Se envio correo a FE"/>
    <s v="SR2482293"/>
    <x v="0"/>
    <d v="2022-03-18T00:00:00"/>
    <m/>
    <m/>
    <m/>
    <m/>
    <m/>
    <m/>
    <m/>
    <m/>
    <d v="2022-03-18T00:00:00"/>
    <x v="3"/>
  </r>
  <r>
    <s v="Sociedad Comercializadora Ganadera"/>
    <d v="2022-03-23T00:00:00"/>
    <d v="2022-03-23T00:00:00"/>
    <n v="12"/>
    <s v="FEDV230"/>
    <x v="4"/>
    <n v="19390"/>
    <x v="175"/>
    <n v="158998000"/>
    <n v="41"/>
    <n v="4502297249"/>
    <n v="5081103021"/>
    <n v="5113188492"/>
    <m/>
    <s v="TIENE BL"/>
    <s v="SR2466948"/>
    <x v="3"/>
    <d v="2022-03-18T00:00:00"/>
    <m/>
    <m/>
    <m/>
    <m/>
    <m/>
    <m/>
    <m/>
    <m/>
    <d v="2022-03-18T00:00:00"/>
    <x v="3"/>
  </r>
  <r>
    <s v="Agropecuaria los Molinos S.A.S"/>
    <d v="2022-03-22T00:00:00"/>
    <d v="2022-03-22T00:00:00"/>
    <n v="12"/>
    <s v="FEMO-1010000585"/>
    <x v="4"/>
    <n v="106481"/>
    <x v="176"/>
    <n v="887519135"/>
    <n v="210"/>
    <n v="4502294629"/>
    <n v="5081039984"/>
    <n v="5113181585"/>
    <s v="TIENE BL"/>
    <s v="EJ*15 990000*11 1137000*3 1070000"/>
    <m/>
    <x v="3"/>
    <d v="2022-03-18T00:00:00"/>
    <n v="4502297249"/>
    <n v="15371000"/>
    <s v="FEMD-3632*3 y FEMD-3634*3"/>
    <s v="5113186444 y 5113188614"/>
    <s v="FEMD-3633*3 y FEMD-3635*2"/>
    <s v="5113186446 y 5113188616"/>
    <s v="FEMD-3631*3 y FEMD-3636*1"/>
    <s v="5113188612 y 5113188659"/>
    <d v="2022-03-18T00:00:00"/>
    <x v="3"/>
  </r>
  <r>
    <s v="Misionagro S.A.S"/>
    <d v="2022-03-18T00:00:00"/>
    <d v="2022-03-25T00:00:00"/>
    <n v="12"/>
    <s v="MISI85"/>
    <x v="2"/>
    <n v="28891"/>
    <x v="54"/>
    <n v="225349800"/>
    <n v="56"/>
    <n v="4502295875"/>
    <n v="5081076458"/>
    <n v="5113189054"/>
    <m/>
    <s v="CON RETEN"/>
    <m/>
    <x v="1"/>
    <d v="2022-03-18T00:00:00"/>
    <m/>
    <m/>
    <m/>
    <m/>
    <m/>
    <m/>
    <m/>
    <m/>
    <d v="2022-03-18T00:00:00"/>
    <x v="3"/>
  </r>
  <r>
    <s v="Agropecuaria Tabaida S.A.S"/>
    <d v="2022-03-18T00:00:00"/>
    <d v="2022-03-22T00:00:00"/>
    <n v="12"/>
    <s v="MT-1299"/>
    <x v="2"/>
    <n v="20560"/>
    <x v="63"/>
    <n v="161396000"/>
    <n v="42"/>
    <n v="4502295880"/>
    <n v="5081076588"/>
    <n v="5113185338"/>
    <s v="TIENE BL"/>
    <m/>
    <m/>
    <x v="1"/>
    <d v="2022-03-18T00:00:00"/>
    <m/>
    <m/>
    <m/>
    <m/>
    <m/>
    <m/>
    <m/>
    <m/>
    <d v="2022-03-18T00:00:00"/>
    <x v="3"/>
  </r>
  <r>
    <s v="31416 S.A.S"/>
    <d v="2022-03-18T00:00:00"/>
    <d v="2022-03-23T00:00:00"/>
    <n v="12"/>
    <s v="PI-136"/>
    <x v="2"/>
    <n v="7943"/>
    <x v="28"/>
    <n v="61558250"/>
    <n v="15"/>
    <n v="4502295876"/>
    <n v="5081076464"/>
    <n v="5113181722"/>
    <m/>
    <s v="CON RETEN"/>
    <m/>
    <x v="1"/>
    <d v="2022-03-18T00:00:00"/>
    <m/>
    <m/>
    <m/>
    <m/>
    <m/>
    <m/>
    <m/>
    <m/>
    <d v="2022-03-18T00:00:00"/>
    <x v="3"/>
  </r>
  <r>
    <s v="Juan Manuel Gomez Gomez"/>
    <d v="2022-03-24T00:00:00"/>
    <d v="2022-03-24T00:00:00"/>
    <n v="12"/>
    <s v="FEVJ-20"/>
    <x v="0"/>
    <n v="6321"/>
    <x v="117"/>
    <n v="50568000"/>
    <n v="14"/>
    <n v="4502292253"/>
    <n v="5081061627"/>
    <n v="5113185556"/>
    <m/>
    <m/>
    <m/>
    <x v="0"/>
    <d v="2022-03-19T00:00:00"/>
    <m/>
    <m/>
    <m/>
    <m/>
    <m/>
    <m/>
    <m/>
    <m/>
    <d v="2022-03-19T00:00:00"/>
    <x v="3"/>
  </r>
  <r>
    <s v="Juan Manuel Gomez Gomez"/>
    <d v="2022-03-24T00:00:00"/>
    <d v="2022-03-24T00:00:00"/>
    <n v="12"/>
    <s v="FEVJ-20"/>
    <x v="0"/>
    <n v="18893"/>
    <x v="117"/>
    <n v="151144000"/>
    <n v="42"/>
    <n v="4502293337"/>
    <n v="5081061627"/>
    <n v="5113185556"/>
    <m/>
    <s v="CON RETEN"/>
    <m/>
    <x v="0"/>
    <d v="2022-03-19T00:00:00"/>
    <m/>
    <m/>
    <m/>
    <m/>
    <m/>
    <m/>
    <m/>
    <m/>
    <d v="2022-03-19T00:00:00"/>
    <x v="3"/>
  </r>
  <r>
    <s v="Juan Manuel Gomez Gomez"/>
    <d v="2022-03-24T00:00:00"/>
    <d v="2022-03-24T00:00:00"/>
    <n v="12"/>
    <s v="NC5"/>
    <x v="0"/>
    <n v="25214"/>
    <x v="177"/>
    <n v="-102368.8400000101"/>
    <n v="0"/>
    <n v="4502292253"/>
    <n v="5081061627"/>
    <n v="5113185587"/>
    <m/>
    <m/>
    <m/>
    <x v="0"/>
    <d v="2022-03-19T00:00:00"/>
    <m/>
    <m/>
    <m/>
    <m/>
    <m/>
    <m/>
    <m/>
    <m/>
    <d v="2022-03-19T00:00:00"/>
    <x v="3"/>
  </r>
  <r>
    <s v="David Martinez Jaramillo"/>
    <d v="2022-03-19T00:00:00"/>
    <d v="2022-03-22T00:00:00"/>
    <n v="12"/>
    <s v="DM152"/>
    <x v="0"/>
    <n v="7177.5"/>
    <x v="145"/>
    <n v="57778875"/>
    <n v="15"/>
    <n v="4502292254"/>
    <n v="5081064992"/>
    <n v="5113182478"/>
    <m/>
    <s v="TIENE BL"/>
    <s v="SR2456683"/>
    <x v="0"/>
    <d v="2022-03-19T00:00:00"/>
    <m/>
    <m/>
    <m/>
    <m/>
    <m/>
    <m/>
    <m/>
    <m/>
    <d v="2022-03-19T00:00:00"/>
    <x v="3"/>
  </r>
  <r>
    <s v="David Martinez Jaramillo"/>
    <d v="2022-03-22T00:00:00"/>
    <d v="2022-03-22T00:00:00"/>
    <n v="12"/>
    <s v="NC16"/>
    <x v="0"/>
    <n v="7177.5"/>
    <x v="2"/>
    <n v="-717750"/>
    <n v="0"/>
    <n v="4502292254"/>
    <n v="5081064992"/>
    <n v="5113182480"/>
    <m/>
    <m/>
    <m/>
    <x v="0"/>
    <d v="2022-03-19T00:00:00"/>
    <m/>
    <m/>
    <m/>
    <m/>
    <m/>
    <m/>
    <m/>
    <m/>
    <d v="2022-03-19T00:00:00"/>
    <x v="3"/>
  </r>
  <r>
    <s v="Henry Alonso Pacheco Peñaranda"/>
    <d v="2022-03-19T00:00:00"/>
    <d v="2022-03-23T00:00:00"/>
    <n v="12"/>
    <s v="1PAC11"/>
    <x v="0"/>
    <n v="7237.5"/>
    <x v="28"/>
    <n v="56090625"/>
    <n v="15"/>
    <n v="4502292255"/>
    <n v="5081064993"/>
    <n v="5113185285"/>
    <m/>
    <s v="TIENE BL"/>
    <s v="LA REGISTRAN esperar BL"/>
    <x v="0"/>
    <d v="2022-03-19T00:00:00"/>
    <m/>
    <m/>
    <m/>
    <m/>
    <m/>
    <m/>
    <m/>
    <m/>
    <d v="2022-03-19T00:00:00"/>
    <x v="3"/>
  </r>
  <r>
    <s v="Sociedad Comercializadora Ganadera"/>
    <d v="2022-03-24T00:00:00"/>
    <d v="2022-03-24T00:00:00"/>
    <n v="12"/>
    <s v="FEDV233"/>
    <x v="2"/>
    <n v="41148"/>
    <x v="145"/>
    <n v="331241400"/>
    <n v="89"/>
    <n v="4502292257"/>
    <n v="5081061938"/>
    <n v="5113188493"/>
    <m/>
    <s v="TIENE BL"/>
    <s v="SR2466948"/>
    <x v="0"/>
    <d v="2022-03-19T00:00:00"/>
    <m/>
    <m/>
    <m/>
    <m/>
    <m/>
    <m/>
    <m/>
    <m/>
    <d v="2022-03-19T00:00:00"/>
    <x v="3"/>
  </r>
  <r>
    <s v="Sociedad Comercializadora Ganadera"/>
    <d v="2022-03-24T00:00:00"/>
    <d v="2022-03-24T00:00:00"/>
    <n v="12"/>
    <s v="NC98"/>
    <x v="2"/>
    <n v="41148"/>
    <x v="178"/>
    <n v="-5288752.4399999892"/>
    <n v="0"/>
    <n v="4502292257"/>
    <n v="5081061938"/>
    <n v="5113188494"/>
    <m/>
    <m/>
    <m/>
    <x v="0"/>
    <d v="2022-03-19T00:00:00"/>
    <m/>
    <m/>
    <m/>
    <m/>
    <m/>
    <m/>
    <m/>
    <m/>
    <d v="2022-03-19T00:00:00"/>
    <x v="3"/>
  </r>
  <r>
    <s v="Sociedad Comercializadora Ganadera"/>
    <d v="2022-03-24T00:00:00"/>
    <d v="2022-03-24T00:00:00"/>
    <n v="12"/>
    <s v="FEDV234"/>
    <x v="2"/>
    <n v="13359.5"/>
    <x v="145"/>
    <n v="107543975"/>
    <n v="29"/>
    <n v="4502292257"/>
    <n v="5081061938"/>
    <n v="5113188495"/>
    <m/>
    <s v="TIENE BL"/>
    <m/>
    <x v="0"/>
    <d v="2022-03-19T00:00:00"/>
    <m/>
    <m/>
    <m/>
    <m/>
    <m/>
    <m/>
    <m/>
    <m/>
    <d v="2022-03-19T00:00:00"/>
    <x v="3"/>
  </r>
  <r>
    <s v="Sociedad Comercializadora Ganadera"/>
    <d v="2022-03-24T00:00:00"/>
    <d v="2022-03-24T00:00:00"/>
    <n v="12"/>
    <s v="NC99"/>
    <x v="2"/>
    <n v="13359.5"/>
    <x v="179"/>
    <n v="-76015.554999994652"/>
    <n v="0"/>
    <n v="4502292257"/>
    <n v="5081061938"/>
    <n v="5113188571"/>
    <m/>
    <m/>
    <m/>
    <x v="0"/>
    <d v="2022-03-19T00:00:00"/>
    <m/>
    <m/>
    <m/>
    <m/>
    <m/>
    <m/>
    <m/>
    <m/>
    <d v="2022-03-19T00:00:00"/>
    <x v="3"/>
  </r>
  <r>
    <s v="Tanagro S.A.S Zomac"/>
    <d v="2022-03-23T00:00:00"/>
    <d v="2022-03-23T00:00:00"/>
    <n v="12"/>
    <s v="Z101"/>
    <x v="2"/>
    <n v="19217.5"/>
    <x v="3"/>
    <n v="147013875"/>
    <n v="45"/>
    <n v="4502292258"/>
    <n v="5081061939"/>
    <n v="5113184902"/>
    <m/>
    <m/>
    <s v="SR2475627"/>
    <x v="0"/>
    <d v="2022-03-19T00:00:00"/>
    <m/>
    <m/>
    <m/>
    <m/>
    <m/>
    <m/>
    <m/>
    <m/>
    <d v="2022-03-19T00:00:00"/>
    <x v="3"/>
  </r>
  <r>
    <s v="Tanagro S.A.S Zomac"/>
    <d v="2022-03-23T00:00:00"/>
    <d v="2022-03-23T00:00:00"/>
    <n v="12"/>
    <s v="NCR82"/>
    <x v="2"/>
    <n v="19217.5"/>
    <x v="180"/>
    <n v="-1152665.6499999915"/>
    <n v="0"/>
    <n v="4502292258"/>
    <n v="5081061939"/>
    <n v="5113184903"/>
    <m/>
    <m/>
    <m/>
    <x v="0"/>
    <d v="2022-03-19T00:00:00"/>
    <m/>
    <m/>
    <m/>
    <m/>
    <m/>
    <m/>
    <m/>
    <m/>
    <d v="2022-03-19T00:00:00"/>
    <x v="3"/>
  </r>
  <r>
    <s v="Sociedad Comercializadora Ganadera"/>
    <d v="2022-03-24T00:00:00"/>
    <d v="2022-03-24T00:00:00"/>
    <n v="12"/>
    <s v="FEDV235"/>
    <x v="2"/>
    <n v="27770"/>
    <x v="145"/>
    <n v="223548500"/>
    <n v="61"/>
    <n v="4502292259"/>
    <n v="5081064994"/>
    <n v="5113188572"/>
    <m/>
    <s v="TIENE BL"/>
    <s v="SR2466948"/>
    <x v="0"/>
    <d v="2022-03-20T00:00:00"/>
    <m/>
    <m/>
    <m/>
    <m/>
    <m/>
    <m/>
    <m/>
    <m/>
    <d v="2022-03-20T00:00:00"/>
    <x v="3"/>
  </r>
  <r>
    <s v="Sociedad Comercializadora Ganadera"/>
    <d v="2022-03-24T00:00:00"/>
    <d v="2022-03-24T00:00:00"/>
    <n v="12"/>
    <s v="NC104"/>
    <x v="2"/>
    <n v="27770"/>
    <x v="181"/>
    <n v="-4244644.5000000102"/>
    <n v="0"/>
    <n v="4502292259"/>
    <n v="5081064994"/>
    <n v="5113188573"/>
    <m/>
    <m/>
    <m/>
    <x v="0"/>
    <d v="2022-03-20T00:00:00"/>
    <m/>
    <m/>
    <m/>
    <m/>
    <m/>
    <m/>
    <m/>
    <m/>
    <d v="2022-03-20T00:00:00"/>
    <x v="3"/>
  </r>
  <r>
    <s v="Sociedad Comercializadora Ganadera"/>
    <d v="2022-03-24T00:00:00"/>
    <d v="2022-03-24T00:00:00"/>
    <n v="12"/>
    <s v="FEDV236"/>
    <x v="2"/>
    <n v="19916.5"/>
    <x v="145"/>
    <n v="160327825"/>
    <n v="45"/>
    <n v="4502292259"/>
    <n v="5081064994"/>
    <n v="5113188574"/>
    <m/>
    <s v="TIENE BL"/>
    <s v="SR2466948"/>
    <x v="0"/>
    <d v="2022-03-20T00:00:00"/>
    <m/>
    <m/>
    <m/>
    <m/>
    <m/>
    <m/>
    <m/>
    <m/>
    <d v="2022-03-20T00:00:00"/>
    <x v="3"/>
  </r>
  <r>
    <s v="Sociedad Comercializadora Ganadera"/>
    <d v="2022-03-24T00:00:00"/>
    <d v="2022-03-24T00:00:00"/>
    <n v="12"/>
    <s v="NC101"/>
    <x v="2"/>
    <n v="19916.5"/>
    <x v="182"/>
    <n v="-309303.24499999493"/>
    <n v="0"/>
    <n v="4502292259"/>
    <n v="5081064994"/>
    <n v="5113188575"/>
    <m/>
    <m/>
    <m/>
    <x v="0"/>
    <d v="2022-03-20T00:00:00"/>
    <m/>
    <m/>
    <m/>
    <m/>
    <m/>
    <m/>
    <m/>
    <m/>
    <d v="2022-03-20T00:00:00"/>
    <x v="3"/>
  </r>
  <r>
    <s v="Luis Fernando Rojas Prada"/>
    <d v="2022-03-22T00:00:00"/>
    <d v="2022-03-23T00:00:00"/>
    <n v="12"/>
    <s v="FELC-825"/>
    <x v="0"/>
    <n v="20156.400000000001"/>
    <x v="38"/>
    <n v="151173000"/>
    <n v="42"/>
    <n v="4502295597"/>
    <n v="5081065044"/>
    <n v="5113182485"/>
    <s v="TIENE BL"/>
    <s v="EJ*5 3062400*5"/>
    <m/>
    <x v="0"/>
    <d v="2022-03-20T00:00:00"/>
    <n v="4902233155"/>
    <n v="15312000"/>
    <s v=" FEMD-3639*5"/>
    <n v="5113184998"/>
    <m/>
    <m/>
    <m/>
    <m/>
    <d v="2022-03-20T00:00:00"/>
    <x v="3"/>
  </r>
  <r>
    <s v="Luis Fernando Rojas Prada"/>
    <d v="2022-03-22T00:00:00"/>
    <d v="2022-03-23T00:00:00"/>
    <n v="12"/>
    <s v="FELC-825"/>
    <x v="1"/>
    <n v="13437.6"/>
    <x v="38"/>
    <n v="100782000"/>
    <n v="28"/>
    <n v="4502295597"/>
    <n v="5081065044"/>
    <n v="5113182485"/>
    <s v="TIENE BL"/>
    <m/>
    <m/>
    <x v="0"/>
    <d v="2022-03-20T00:00:00"/>
    <n v="4902232377"/>
    <m/>
    <m/>
    <m/>
    <m/>
    <m/>
    <m/>
    <m/>
    <d v="2022-03-20T00:00:00"/>
    <x v="3"/>
  </r>
  <r>
    <s v="Lina Maria Pelaez Gomez"/>
    <d v="2022-03-21T00:00:00"/>
    <d v="2022-03-23T00:00:00"/>
    <n v="12"/>
    <s v="LP-77"/>
    <x v="1"/>
    <n v="6434.5"/>
    <x v="145"/>
    <n v="51797725"/>
    <n v="14"/>
    <n v="4502292261"/>
    <n v="5081061940"/>
    <n v="5113189222"/>
    <m/>
    <s v="TIENE BL"/>
    <m/>
    <x v="0"/>
    <d v="2022-03-20T00:00:00"/>
    <m/>
    <m/>
    <m/>
    <m/>
    <m/>
    <m/>
    <m/>
    <m/>
    <d v="2022-03-20T00:00:00"/>
    <x v="3"/>
  </r>
  <r>
    <s v="Lina Maria Pelaez Gomez"/>
    <d v="2022-03-21T00:00:00"/>
    <d v="2022-03-23T00:00:00"/>
    <n v="12"/>
    <s v="NC59"/>
    <x v="1"/>
    <n v="6434.5"/>
    <x v="2"/>
    <n v="-643450"/>
    <n v="0"/>
    <n v="4502292261"/>
    <n v="5081061940"/>
    <n v="5113189223"/>
    <m/>
    <m/>
    <m/>
    <x v="0"/>
    <d v="2022-03-20T00:00:00"/>
    <m/>
    <m/>
    <m/>
    <m/>
    <m/>
    <m/>
    <m/>
    <m/>
    <d v="2022-03-20T00:00:00"/>
    <x v="3"/>
  </r>
  <r>
    <s v="Andres Jaramillo Bernal"/>
    <d v="2022-03-24T00:00:00"/>
    <d v="2022-03-24T00:00:00"/>
    <n v="12"/>
    <s v="FEVA-5155"/>
    <x v="0"/>
    <n v="6656.5"/>
    <x v="3"/>
    <n v="50922225"/>
    <n v="14"/>
    <n v="4502292262"/>
    <n v="5081061941"/>
    <n v="5113188270"/>
    <m/>
    <s v="TIENE BL"/>
    <m/>
    <x v="0"/>
    <d v="2022-03-21T00:00:00"/>
    <m/>
    <m/>
    <m/>
    <m/>
    <m/>
    <m/>
    <m/>
    <m/>
    <d v="2022-03-21T00:00:00"/>
    <x v="3"/>
  </r>
  <r>
    <s v="Andres Jaramillo Bernal"/>
    <d v="2022-03-24T00:00:00"/>
    <d v="2022-03-24T00:00:00"/>
    <n v="12"/>
    <s v="FEVA-5156"/>
    <x v="0"/>
    <n v="6656.5"/>
    <x v="13"/>
    <n v="332825"/>
    <n v="0"/>
    <n v="4502292262"/>
    <n v="5081061941"/>
    <n v="5113188271"/>
    <m/>
    <m/>
    <m/>
    <x v="0"/>
    <d v="2022-03-21T00:00:00"/>
    <m/>
    <m/>
    <m/>
    <m/>
    <m/>
    <m/>
    <m/>
    <m/>
    <d v="2022-03-21T00:00:00"/>
    <x v="3"/>
  </r>
  <r>
    <s v="Palmas La Guaira S.A.S"/>
    <d v="2022-03-21T00:00:00"/>
    <d v="2022-03-23T00:00:00"/>
    <n v="12"/>
    <s v="FEV63"/>
    <x v="0"/>
    <n v="6962.5"/>
    <x v="51"/>
    <n v="52566875"/>
    <n v="14"/>
    <n v="4502292263"/>
    <n v="5081061942"/>
    <n v="5113184948"/>
    <m/>
    <s v="CON RETEN"/>
    <m/>
    <x v="0"/>
    <d v="2022-03-21T00:00:00"/>
    <m/>
    <m/>
    <m/>
    <m/>
    <m/>
    <m/>
    <m/>
    <m/>
    <d v="2022-03-21T00:00:00"/>
    <x v="3"/>
  </r>
  <r>
    <s v="David Martinez Jaramillo"/>
    <d v="2022-03-21T00:00:00"/>
    <d v="2022-03-23T00:00:00"/>
    <n v="12"/>
    <s v="DM153"/>
    <x v="0"/>
    <n v="12151"/>
    <x v="145"/>
    <n v="97815550"/>
    <n v="29"/>
    <n v="4502292264"/>
    <n v="5081064995"/>
    <n v="5113189220"/>
    <m/>
    <s v="TIENE BL"/>
    <m/>
    <x v="0"/>
    <d v="2022-03-21T00:00:00"/>
    <m/>
    <m/>
    <m/>
    <m/>
    <m/>
    <m/>
    <m/>
    <m/>
    <d v="2022-03-21T00:00:00"/>
    <x v="3"/>
  </r>
  <r>
    <s v="David Martinez Jaramillo"/>
    <d v="2022-03-23T00:00:00"/>
    <d v="2022-03-23T00:00:00"/>
    <n v="12"/>
    <s v="NC17"/>
    <x v="0"/>
    <n v="12151"/>
    <x v="183"/>
    <n v="-307420.3000000022"/>
    <n v="0"/>
    <n v="4502292264"/>
    <n v="5081064995"/>
    <n v="5113189221"/>
    <m/>
    <m/>
    <m/>
    <x v="0"/>
    <d v="2022-03-21T00:00:00"/>
    <m/>
    <m/>
    <m/>
    <m/>
    <m/>
    <m/>
    <m/>
    <m/>
    <d v="2022-03-21T00:00:00"/>
    <x v="3"/>
  </r>
  <r>
    <s v="Miguel Antonio Carrascal Pacheco"/>
    <d v="2022-03-24T00:00:00"/>
    <m/>
    <n v="12"/>
    <s v="MCFE-19"/>
    <x v="0"/>
    <n v="14448.5"/>
    <x v="28"/>
    <n v="111975875"/>
    <n v="30"/>
    <n v="4502292265"/>
    <n v="5081064996"/>
    <n v="5113195694"/>
    <m/>
    <s v="TIENE BL"/>
    <s v="Envie correo "/>
    <x v="0"/>
    <d v="2022-03-21T00:00:00"/>
    <m/>
    <m/>
    <m/>
    <m/>
    <m/>
    <m/>
    <m/>
    <m/>
    <d v="2022-03-21T00:00:00"/>
    <x v="3"/>
  </r>
  <r>
    <s v="Sociedad Comercializadora Ganadera"/>
    <d v="2022-03-24T00:00:00"/>
    <d v="2022-03-24T00:00:00"/>
    <n v="12"/>
    <s v="FEDV237"/>
    <x v="0"/>
    <n v="13078.5"/>
    <x v="145"/>
    <n v="105281925"/>
    <n v="30"/>
    <n v="4502292267"/>
    <n v="5081061943"/>
    <n v="5113188576"/>
    <m/>
    <s v="TIENE BL"/>
    <m/>
    <x v="0"/>
    <d v="2022-03-21T00:00:00"/>
    <m/>
    <m/>
    <m/>
    <m/>
    <m/>
    <m/>
    <m/>
    <m/>
    <d v="2022-03-21T00:00:00"/>
    <x v="3"/>
  </r>
  <r>
    <s v="Sociedad Comercializadora Ganadera"/>
    <d v="2022-03-24T00:00:00"/>
    <d v="2022-03-24T00:00:00"/>
    <n v="12"/>
    <s v="NC102"/>
    <x v="0"/>
    <n v="13078.5"/>
    <x v="184"/>
    <n v="-38973.929999994289"/>
    <n v="0"/>
    <n v="4502292267"/>
    <n v="5081061943"/>
    <n v="5113188677"/>
    <m/>
    <m/>
    <m/>
    <x v="0"/>
    <d v="2022-03-21T00:00:00"/>
    <m/>
    <m/>
    <m/>
    <m/>
    <m/>
    <m/>
    <m/>
    <m/>
    <d v="2022-03-21T00:00:00"/>
    <x v="3"/>
  </r>
  <r>
    <s v="Agropecuaria Tabaida S.A.S"/>
    <d v="2022-03-24T00:00:00"/>
    <d v="2022-03-26T00:00:00"/>
    <n v="12"/>
    <s v="MT-1306"/>
    <x v="2"/>
    <n v="18032"/>
    <x v="54"/>
    <n v="140649600"/>
    <n v="42"/>
    <n v="4502297868"/>
    <n v="5081116376"/>
    <n v="5113193582"/>
    <m/>
    <s v="TIENE BL"/>
    <m/>
    <x v="1"/>
    <d v="2022-03-21T00:00:00"/>
    <m/>
    <m/>
    <m/>
    <m/>
    <m/>
    <m/>
    <m/>
    <m/>
    <d v="2022-03-21T00:00:00"/>
    <x v="3"/>
  </r>
  <r>
    <s v="Inversiones Valle Del Canalete S.A.S"/>
    <d v="2022-03-21T00:00:00"/>
    <d v="2022-03-25T00:00:00"/>
    <n v="12"/>
    <s v="IVC106"/>
    <x v="2"/>
    <n v="18319"/>
    <x v="63"/>
    <n v="143804150"/>
    <n v="42"/>
    <n v="4502297860"/>
    <n v="5081116243"/>
    <n v="5113190486"/>
    <m/>
    <s v="CON RETEN"/>
    <m/>
    <x v="1"/>
    <d v="2022-03-21T00:00:00"/>
    <m/>
    <m/>
    <m/>
    <m/>
    <m/>
    <m/>
    <m/>
    <m/>
    <d v="2022-03-21T00:00:00"/>
    <x v="3"/>
  </r>
  <r>
    <s v="Mauricio De Jesús Bernal Jaramillo"/>
    <d v="2022-03-25T00:00:00"/>
    <d v="2022-03-25T00:00:00"/>
    <n v="12"/>
    <s v="FE-171"/>
    <x v="2"/>
    <n v="12716"/>
    <x v="185"/>
    <n v="97873780.399999991"/>
    <n v="30"/>
    <n v="4502297865"/>
    <n v="5081116287"/>
    <n v="5113188919"/>
    <m/>
    <s v="CON RETEN"/>
    <m/>
    <x v="1"/>
    <d v="2022-03-21T00:00:00"/>
    <m/>
    <m/>
    <m/>
    <m/>
    <m/>
    <m/>
    <m/>
    <m/>
    <d v="2022-03-21T00:00:00"/>
    <x v="3"/>
  </r>
  <r>
    <s v="Sociedad Comercializadora Ganadera"/>
    <d v="2022-03-25T00:00:00"/>
    <d v="2022-03-25T00:00:00"/>
    <n v="12"/>
    <s v="FEDV238"/>
    <x v="0"/>
    <n v="8083.5"/>
    <x v="151"/>
    <n v="65880525"/>
    <n v="15"/>
    <n v="4502292268"/>
    <n v="5081079209"/>
    <n v="5113193579"/>
    <m/>
    <s v="TIENE BL"/>
    <m/>
    <x v="0"/>
    <d v="2022-03-22T00:00:00"/>
    <m/>
    <m/>
    <m/>
    <m/>
    <m/>
    <m/>
    <m/>
    <m/>
    <d v="2022-03-22T00:00:00"/>
    <x v="3"/>
  </r>
  <r>
    <s v="Juan Manuel Gomez Gomez"/>
    <d v="2022-03-24T00:00:00"/>
    <d v="2022-03-24T00:00:00"/>
    <n v="12"/>
    <s v="FEVJ-21"/>
    <x v="0"/>
    <n v="24656.5"/>
    <x v="117"/>
    <n v="197252000"/>
    <n v="56"/>
    <n v="4502292269"/>
    <n v="5081079026"/>
    <n v="5113189055"/>
    <m/>
    <s v="CON RETEN"/>
    <m/>
    <x v="0"/>
    <d v="2022-03-22T00:00:00"/>
    <m/>
    <m/>
    <m/>
    <m/>
    <m/>
    <m/>
    <m/>
    <m/>
    <d v="2022-03-22T00:00:00"/>
    <x v="3"/>
  </r>
  <r>
    <s v="Juan Manuel Gomez Gomez"/>
    <d v="2022-03-24T00:00:00"/>
    <d v="2022-03-24T00:00:00"/>
    <n v="12"/>
    <s v="ND3"/>
    <x v="0"/>
    <n v="24656.5"/>
    <x v="186"/>
    <n v="3619327.6349999993"/>
    <n v="0"/>
    <n v="4502292269"/>
    <n v="5081079026"/>
    <n v="5113189056"/>
    <m/>
    <m/>
    <m/>
    <x v="0"/>
    <d v="2022-03-22T00:00:00"/>
    <m/>
    <m/>
    <m/>
    <m/>
    <m/>
    <m/>
    <m/>
    <m/>
    <d v="2022-03-22T00:00:00"/>
    <x v="3"/>
  </r>
  <r>
    <s v="Lina Maria Pelaez Gomez"/>
    <d v="2022-03-22T00:00:00"/>
    <d v="2022-03-25T00:00:00"/>
    <n v="12"/>
    <s v="LP78"/>
    <x v="1"/>
    <n v="18218.5"/>
    <x v="145"/>
    <n v="146658925"/>
    <n v="42"/>
    <n v="4502292270"/>
    <n v="5081079078"/>
    <n v="5113197262"/>
    <m/>
    <s v="TIENE BL"/>
    <s v="Se solicito por correo "/>
    <x v="0"/>
    <d v="2022-03-22T00:00:00"/>
    <m/>
    <m/>
    <m/>
    <m/>
    <m/>
    <m/>
    <m/>
    <m/>
    <d v="2022-03-22T00:00:00"/>
    <x v="3"/>
  </r>
  <r>
    <s v="Lina Maria Pelaez Gomez"/>
    <d v="2022-03-25T00:00:00"/>
    <d v="2022-03-25T00:00:00"/>
    <n v="12"/>
    <s v="NC60"/>
    <x v="1"/>
    <n v="18218.5"/>
    <x v="187"/>
    <n v="-269633.80000000331"/>
    <n v="0"/>
    <n v="4502292270"/>
    <n v="5081079078"/>
    <n v="5113197264"/>
    <m/>
    <m/>
    <m/>
    <x v="0"/>
    <d v="2022-03-22T00:00:00"/>
    <m/>
    <m/>
    <m/>
    <m/>
    <m/>
    <m/>
    <m/>
    <m/>
    <d v="2022-03-22T00:00:00"/>
    <x v="3"/>
  </r>
  <r>
    <s v="Inversiones y Negocios V&amp;V S.A.S"/>
    <d v="2022-03-25T00:00:00"/>
    <d v="2022-03-25T00:00:00"/>
    <n v="12"/>
    <s v="FE-1608"/>
    <x v="1"/>
    <n v="6754.5"/>
    <x v="117"/>
    <n v="54036000"/>
    <n v="14"/>
    <n v="4502292271"/>
    <n v="5081079081"/>
    <n v="5113202749"/>
    <m/>
    <m/>
    <s v="Se solicito por correo "/>
    <x v="0"/>
    <d v="2022-03-22T00:00:00"/>
    <m/>
    <m/>
    <m/>
    <m/>
    <m/>
    <m/>
    <m/>
    <m/>
    <d v="2022-03-22T00:00:00"/>
    <x v="3"/>
  </r>
  <r>
    <s v="Sociedad Comercializadora Ganadera"/>
    <d v="2022-03-25T00:00:00"/>
    <d v="2022-03-25T00:00:00"/>
    <n v="12"/>
    <s v="FEDV239"/>
    <x v="3"/>
    <n v="9960"/>
    <x v="56"/>
    <n v="75696000"/>
    <n v="38"/>
    <n v="4502297135"/>
    <n v="5081102663"/>
    <n v="5113193580"/>
    <m/>
    <s v="TIENE BL"/>
    <m/>
    <x v="2"/>
    <d v="2022-03-23T00:00:00"/>
    <m/>
    <m/>
    <m/>
    <m/>
    <m/>
    <m/>
    <m/>
    <m/>
    <d v="2022-03-23T00:00:00"/>
    <x v="3"/>
  </r>
  <r>
    <s v="Sociedad Comercializadora Ganadera"/>
    <d v="2022-03-29T00:00:00"/>
    <d v="2022-03-29T00:00:00"/>
    <n v="13"/>
    <s v="FEDV240"/>
    <x v="0"/>
    <n v="56444.5"/>
    <x v="188"/>
    <n v="474133800"/>
    <n v="120"/>
    <n v="4502296376"/>
    <n v="5081120161"/>
    <n v="5113202845"/>
    <m/>
    <s v="TIENE BL"/>
    <m/>
    <x v="0"/>
    <d v="2022-03-24T00:00:00"/>
    <m/>
    <m/>
    <m/>
    <m/>
    <m/>
    <m/>
    <m/>
    <m/>
    <d v="2022-03-24T00:00:00"/>
    <x v="3"/>
  </r>
  <r>
    <s v="Sociedad Comercializadora Ganadera"/>
    <d v="2022-03-29T00:00:00"/>
    <d v="2022-03-29T00:00:00"/>
    <n v="13"/>
    <s v="NC105"/>
    <x v="0"/>
    <n v="56444.5"/>
    <x v="189"/>
    <n v="-191346.85499996715"/>
    <n v="0"/>
    <n v="4502296376"/>
    <n v="5081120161"/>
    <n v="5113202846"/>
    <m/>
    <m/>
    <m/>
    <x v="0"/>
    <d v="2022-03-24T00:00:00"/>
    <m/>
    <m/>
    <m/>
    <m/>
    <m/>
    <m/>
    <m/>
    <m/>
    <d v="2022-03-24T00:00:00"/>
    <x v="3"/>
  </r>
  <r>
    <s v="Agropecuaria Tabaida S.A.S"/>
    <d v="2022-03-24T00:00:00"/>
    <d v="2022-03-30T00:00:00"/>
    <n v="13"/>
    <s v="MT-1301"/>
    <x v="0"/>
    <n v="39768"/>
    <x v="3"/>
    <n v="304225200"/>
    <n v="84"/>
    <n v="4502297490"/>
    <n v="5081106338"/>
    <n v="5113204440"/>
    <s v="TIENE BL"/>
    <s v="EJ 1857700*3 TYC 4500000"/>
    <s v="Se solicita por correo "/>
    <x v="0"/>
    <d v="2022-03-24T00:00:00"/>
    <n v="4902236672"/>
    <s v="5573100 y 4500000"/>
    <s v="ETE-2816"/>
    <n v="5113195733"/>
    <s v="FEMD-3657*3"/>
    <n v="5113196134"/>
    <m/>
    <m/>
    <d v="2022-03-24T00:00:00"/>
    <x v="3"/>
  </r>
  <r>
    <s v="Inversiones y Negocios V&amp;V S.A.S"/>
    <d v="2022-03-29T00:00:00"/>
    <d v="2022-03-29T00:00:00"/>
    <n v="13"/>
    <s v="FE-1609"/>
    <x v="1"/>
    <n v="13308"/>
    <x v="151"/>
    <n v="108460200"/>
    <n v="28"/>
    <n v="4502296377"/>
    <n v="5081120162"/>
    <n v="5113198493"/>
    <m/>
    <s v="CON RETEN"/>
    <m/>
    <x v="0"/>
    <d v="2022-03-24T00:00:00"/>
    <m/>
    <m/>
    <m/>
    <m/>
    <m/>
    <m/>
    <m/>
    <m/>
    <d v="2022-03-24T00:00:00"/>
    <x v="3"/>
  </r>
  <r>
    <s v="Rafael Ignacio Jaramillo Londoño"/>
    <d v="2022-03-29T00:00:00"/>
    <d v="2022-03-29T00:00:00"/>
    <n v="13"/>
    <s v="GAN-61"/>
    <x v="1"/>
    <n v="7385.5"/>
    <x v="145"/>
    <n v="59453275"/>
    <n v="15"/>
    <n v="4502296378"/>
    <n v="5081120163"/>
    <n v="5113202831"/>
    <m/>
    <s v="TIENE BL"/>
    <m/>
    <x v="0"/>
    <d v="2022-03-24T00:00:00"/>
    <m/>
    <m/>
    <m/>
    <m/>
    <m/>
    <m/>
    <m/>
    <m/>
    <d v="2022-03-24T00:00:00"/>
    <x v="3"/>
  </r>
  <r>
    <s v="Botero S.A.S."/>
    <d v="2022-03-28T00:00:00"/>
    <m/>
    <n v="13"/>
    <s v="P-159"/>
    <x v="1"/>
    <n v="6460"/>
    <x v="117"/>
    <n v="51680000"/>
    <n v="14"/>
    <n v="4502296379"/>
    <n v="5081120164"/>
    <n v="5113202809"/>
    <m/>
    <m/>
    <m/>
    <x v="0"/>
    <d v="2022-03-24T00:00:00"/>
    <m/>
    <m/>
    <m/>
    <m/>
    <m/>
    <m/>
    <m/>
    <m/>
    <d v="2022-03-24T00:00:00"/>
    <x v="3"/>
  </r>
  <r>
    <s v="Sociedad Comercializadora Ganadera"/>
    <d v="2022-03-29T00:00:00"/>
    <d v="2022-03-29T00:00:00"/>
    <n v="13"/>
    <s v="FEDV242"/>
    <x v="0"/>
    <n v="48080.5"/>
    <x v="188"/>
    <n v="403876200"/>
    <n v="104"/>
    <n v="4502296380"/>
    <n v="5081146816"/>
    <n v="5113202877"/>
    <m/>
    <s v="TIENE BL"/>
    <m/>
    <x v="0"/>
    <d v="2022-03-25T00:00:00"/>
    <m/>
    <m/>
    <m/>
    <m/>
    <m/>
    <m/>
    <m/>
    <m/>
    <d v="2022-03-25T00:00:00"/>
    <x v="3"/>
  </r>
  <r>
    <s v="Sociedad Comercializadora Ganadera"/>
    <d v="2022-03-29T00:00:00"/>
    <d v="2022-03-29T00:00:00"/>
    <n v="13"/>
    <s v="NC107"/>
    <x v="0"/>
    <n v="48080.5"/>
    <x v="190"/>
    <n v="-310119.22500003496"/>
    <n v="0"/>
    <n v="4502296380"/>
    <n v="5081146816"/>
    <n v="5113202879"/>
    <m/>
    <m/>
    <m/>
    <x v="0"/>
    <d v="2022-03-25T00:00:00"/>
    <m/>
    <m/>
    <m/>
    <m/>
    <m/>
    <m/>
    <m/>
    <m/>
    <d v="2022-03-25T00:00:00"/>
    <x v="3"/>
  </r>
  <r>
    <s v="Lismenia Torcoroma Rincon Hernandez"/>
    <d v="2022-03-25T00:00:00"/>
    <d v="2022-03-28T00:00:00"/>
    <n v="13"/>
    <s v="GANA-161"/>
    <x v="0"/>
    <n v="13954.5"/>
    <x v="117"/>
    <n v="111636000"/>
    <n v="30"/>
    <n v="4502296381"/>
    <n v="5081146660"/>
    <n v="5113202882"/>
    <m/>
    <s v="TIENE BL"/>
    <m/>
    <x v="0"/>
    <d v="2022-03-25T00:00:00"/>
    <m/>
    <m/>
    <m/>
    <m/>
    <m/>
    <m/>
    <m/>
    <m/>
    <d v="2022-03-25T00:00:00"/>
    <x v="3"/>
  </r>
  <r>
    <s v="Tanagro S.A.S Zomac"/>
    <d v="2022-03-29T00:00:00"/>
    <d v="2022-03-29T00:00:00"/>
    <n v="13"/>
    <s v="Z102"/>
    <x v="0"/>
    <n v="6305.5"/>
    <x v="3"/>
    <n v="48237075"/>
    <n v="15"/>
    <n v="4502296382"/>
    <n v="5081146661"/>
    <n v="5113202770"/>
    <m/>
    <s v="CON RETEN"/>
    <s v="SR2475627"/>
    <x v="0"/>
    <d v="2022-03-25T00:00:00"/>
    <m/>
    <m/>
    <m/>
    <m/>
    <m/>
    <m/>
    <m/>
    <m/>
    <d v="2022-03-25T00:00:00"/>
    <x v="3"/>
  </r>
  <r>
    <s v="Tanagro S.A.S Zomac"/>
    <d v="2022-03-29T00:00:00"/>
    <d v="2022-03-29T00:00:00"/>
    <n v="13"/>
    <s v="NCR83"/>
    <x v="0"/>
    <n v="6305.5"/>
    <x v="191"/>
    <n v="-508853.84999999887"/>
    <n v="0"/>
    <n v="4502296382"/>
    <n v="5081146661"/>
    <n v="5113202773"/>
    <m/>
    <m/>
    <m/>
    <x v="0"/>
    <d v="2022-03-25T00:00:00"/>
    <m/>
    <m/>
    <m/>
    <m/>
    <m/>
    <m/>
    <m/>
    <m/>
    <d v="2022-03-25T00:00:00"/>
    <x v="3"/>
  </r>
  <r>
    <s v="Andres Jaramillo Bernal"/>
    <d v="2022-03-25T00:00:00"/>
    <d v="2022-03-25T00:00:00"/>
    <n v="13"/>
    <s v="FEVA-5158"/>
    <x v="0"/>
    <n v="6594"/>
    <x v="3"/>
    <n v="50444100"/>
    <n v="14"/>
    <n v="4502296383"/>
    <n v="5081146662"/>
    <n v="5113202655"/>
    <m/>
    <s v="TIENE BL"/>
    <m/>
    <x v="0"/>
    <d v="2022-03-25T00:00:00"/>
    <m/>
    <m/>
    <m/>
    <m/>
    <m/>
    <m/>
    <m/>
    <m/>
    <d v="2022-03-25T00:00:00"/>
    <x v="3"/>
  </r>
  <r>
    <s v="Agropecuaria Lobo Berbesi S.A.S"/>
    <d v="2022-03-25T00:00:00"/>
    <d v="2022-03-28T00:00:00"/>
    <n v="13"/>
    <s v="LB-97"/>
    <x v="0"/>
    <n v="6621.5"/>
    <x v="9"/>
    <n v="50985550"/>
    <n v="14"/>
    <n v="4502299599"/>
    <n v="5081160764"/>
    <n v="5113210275"/>
    <m/>
    <s v="TIENE BL"/>
    <s v="REGISTRA EN BOLSA "/>
    <x v="0"/>
    <d v="2022-03-25T00:00:00"/>
    <m/>
    <m/>
    <m/>
    <m/>
    <m/>
    <m/>
    <m/>
    <m/>
    <d v="2022-03-25T00:00:00"/>
    <x v="3"/>
  </r>
  <r>
    <s v="Agropecuaria Lobo Berbesi S.A.S"/>
    <d v="2022-03-25T00:00:00"/>
    <m/>
    <n v="13"/>
    <s v="LB-98"/>
    <x v="0"/>
    <n v="6621.5"/>
    <x v="13"/>
    <n v="331075"/>
    <n v="0"/>
    <n v="4502299599"/>
    <n v="5081160764"/>
    <n v="5113210287"/>
    <m/>
    <m/>
    <m/>
    <x v="0"/>
    <d v="2022-03-25T00:00:00"/>
    <m/>
    <m/>
    <m/>
    <m/>
    <m/>
    <m/>
    <m/>
    <m/>
    <d v="2022-03-25T00:00:00"/>
    <x v="3"/>
  </r>
  <r>
    <s v="Sociedad Comercializadora Ganadera"/>
    <d v="2022-03-29T00:00:00"/>
    <d v="2022-03-29T00:00:00"/>
    <n v="13"/>
    <s v="FEDV243"/>
    <x v="1"/>
    <n v="7397"/>
    <x v="188"/>
    <n v="62134800"/>
    <n v="15"/>
    <n v="4502296385"/>
    <n v="5081146664"/>
    <n v="5113202885"/>
    <m/>
    <s v="TIENE BL"/>
    <m/>
    <x v="0"/>
    <d v="2022-03-25T00:00:00"/>
    <m/>
    <m/>
    <m/>
    <m/>
    <m/>
    <m/>
    <m/>
    <m/>
    <d v="2022-03-25T00:00:00"/>
    <x v="3"/>
  </r>
  <r>
    <s v="Sociedad Comercializadora Ganadera"/>
    <d v="2022-03-29T00:00:00"/>
    <d v="2022-03-29T00:00:00"/>
    <n v="13"/>
    <s v="NC108"/>
    <x v="1"/>
    <n v="7397"/>
    <x v="13"/>
    <n v="-369850"/>
    <n v="0"/>
    <n v="4502296385"/>
    <n v="5081146664"/>
    <n v="5113202900"/>
    <m/>
    <m/>
    <m/>
    <x v="0"/>
    <d v="2022-03-25T00:00:00"/>
    <m/>
    <m/>
    <m/>
    <m/>
    <m/>
    <m/>
    <m/>
    <m/>
    <d v="2022-03-25T00:00:00"/>
    <x v="3"/>
  </r>
  <r>
    <s v="Sociedad Comercializadora Ganadera"/>
    <d v="2022-03-29T00:00:00"/>
    <d v="2022-03-29T00:00:00"/>
    <n v="13"/>
    <s v="FEDV244"/>
    <x v="1"/>
    <n v="13806.5"/>
    <x v="188"/>
    <n v="115974600"/>
    <n v="30"/>
    <n v="4502296385"/>
    <n v="5081146664"/>
    <n v="5113202901"/>
    <m/>
    <s v="TIENE BL"/>
    <m/>
    <x v="0"/>
    <d v="2022-03-25T00:00:00"/>
    <m/>
    <m/>
    <m/>
    <m/>
    <m/>
    <m/>
    <m/>
    <m/>
    <d v="2022-03-25T00:00:00"/>
    <x v="3"/>
  </r>
  <r>
    <s v="Sociedad Comercializadora Ganadera"/>
    <d v="2022-03-29T00:00:00"/>
    <d v="2022-03-29T00:00:00"/>
    <n v="13"/>
    <s v="NC109"/>
    <x v="1"/>
    <n v="13806.5"/>
    <x v="192"/>
    <n v="-38658.199999989956"/>
    <n v="0"/>
    <n v="4502296385"/>
    <n v="5081146664"/>
    <n v="5113202902"/>
    <m/>
    <m/>
    <m/>
    <x v="0"/>
    <d v="2022-03-25T00:00:00"/>
    <m/>
    <m/>
    <m/>
    <m/>
    <m/>
    <m/>
    <m/>
    <m/>
    <d v="2022-03-25T00:00:00"/>
    <x v="3"/>
  </r>
  <r>
    <s v="Luis Fernando Rojas Prada"/>
    <d v="2022-03-28T00:00:00"/>
    <d v="2022-03-29T00:00:00"/>
    <n v="13"/>
    <s v="FELC-830"/>
    <x v="0"/>
    <n v="40885"/>
    <x v="193"/>
    <n v="322922400"/>
    <n v="88"/>
    <n v="4502299554"/>
    <n v="5081160329"/>
    <n v="5113197407"/>
    <s v="TIENE BL"/>
    <m/>
    <m/>
    <x v="4"/>
    <d v="2022-03-25T00:00:00"/>
    <m/>
    <m/>
    <m/>
    <m/>
    <m/>
    <m/>
    <m/>
    <m/>
    <d v="2022-03-25T00:00:00"/>
    <x v="3"/>
  </r>
  <r>
    <s v="Sociedad Comercializadora Ganadera"/>
    <d v="2022-04-01T00:00:00"/>
    <d v="2022-04-01T00:00:00"/>
    <n v="13"/>
    <s v="FEDV247"/>
    <x v="0"/>
    <n v="7630.5"/>
    <x v="188"/>
    <n v="64096200"/>
    <n v="15"/>
    <n v="4502296386"/>
    <n v="5081146665"/>
    <n v="5113214110"/>
    <m/>
    <s v="TIENE BL"/>
    <m/>
    <x v="0"/>
    <d v="2022-03-26T00:00:00"/>
    <m/>
    <m/>
    <m/>
    <m/>
    <m/>
    <m/>
    <m/>
    <m/>
    <d v="2022-03-26T00:00:00"/>
    <x v="3"/>
  </r>
  <r>
    <s v="Sociedad Comercializadora Ganadera"/>
    <d v="2022-04-01T00:00:00"/>
    <d v="2022-04-01T00:00:00"/>
    <n v="13"/>
    <s v="FEDV251"/>
    <x v="0"/>
    <n v="21349.5"/>
    <x v="188"/>
    <n v="179335800"/>
    <n v="45"/>
    <n v="4502296386"/>
    <n v="5081146665"/>
    <n v="5113218889"/>
    <m/>
    <s v="TIENE BL"/>
    <s v="Le escribi a Duberney "/>
    <x v="0"/>
    <d v="2022-03-26T00:00:00"/>
    <m/>
    <m/>
    <m/>
    <m/>
    <m/>
    <m/>
    <m/>
    <m/>
    <d v="2022-03-26T00:00:00"/>
    <x v="3"/>
  </r>
  <r>
    <s v="Sociedad Comercializadora Ganadera"/>
    <d v="2022-04-01T00:00:00"/>
    <d v="2022-04-01T00:00:00"/>
    <n v="13"/>
    <s v="NC112"/>
    <x v="0"/>
    <n v="21349.5"/>
    <x v="13"/>
    <n v="-1067475"/>
    <n v="0"/>
    <n v="4502296386"/>
    <n v="5081146665"/>
    <n v="5113218890"/>
    <m/>
    <m/>
    <m/>
    <x v="0"/>
    <d v="2022-03-26T00:00:00"/>
    <m/>
    <m/>
    <m/>
    <m/>
    <m/>
    <m/>
    <m/>
    <m/>
    <d v="2022-03-26T00:00:00"/>
    <x v="3"/>
  </r>
  <r>
    <s v="Fernando Arevalo Reyes"/>
    <d v="2022-03-26T00:00:00"/>
    <d v="2022-03-29T00:00:00"/>
    <n v="13"/>
    <s v="FVE-111"/>
    <x v="0"/>
    <n v="6978.5"/>
    <x v="113"/>
    <n v="55130150"/>
    <n v="15"/>
    <n v="4502296387"/>
    <n v="5081146817"/>
    <n v="5113202958"/>
    <m/>
    <m/>
    <m/>
    <x v="0"/>
    <d v="2022-03-26T00:00:00"/>
    <m/>
    <m/>
    <m/>
    <m/>
    <m/>
    <m/>
    <m/>
    <m/>
    <d v="2022-03-26T00:00:00"/>
    <x v="3"/>
  </r>
  <r>
    <s v="Fernando Arevalo Reyes"/>
    <d v="2022-03-26T00:00:00"/>
    <d v="2022-03-29T00:00:00"/>
    <n v="13"/>
    <s v="ND5"/>
    <x v="0"/>
    <n v="6978.5"/>
    <x v="13"/>
    <n v="348925"/>
    <n v="0"/>
    <n v="4502296387"/>
    <n v="5081146817"/>
    <n v="5113202959"/>
    <m/>
    <m/>
    <m/>
    <x v="0"/>
    <d v="2022-03-26T00:00:00"/>
    <m/>
    <m/>
    <m/>
    <m/>
    <m/>
    <m/>
    <m/>
    <m/>
    <d v="2022-03-26T00:00:00"/>
    <x v="3"/>
  </r>
  <r>
    <s v="Lismenia Torcoroma Rincon Hernandez"/>
    <d v="2022-03-26T00:00:00"/>
    <d v="2022-03-28T00:00:00"/>
    <n v="13"/>
    <s v="GANA-162"/>
    <x v="0"/>
    <n v="20482.5"/>
    <x v="117"/>
    <n v="163860000"/>
    <n v="75"/>
    <n v="4502296388"/>
    <n v="5081146666"/>
    <n v="5113202903"/>
    <m/>
    <s v="TIENE BL"/>
    <s v="SR2483192"/>
    <x v="0"/>
    <d v="2022-03-26T00:00:00"/>
    <m/>
    <m/>
    <m/>
    <m/>
    <m/>
    <m/>
    <m/>
    <m/>
    <d v="2022-03-26T00:00:00"/>
    <x v="3"/>
  </r>
  <r>
    <s v="Lismenia Torcoroma Rincon Hernandez"/>
    <d v="2022-03-26T00:00:00"/>
    <d v="2022-03-28T00:00:00"/>
    <n v="13"/>
    <s v="NC000038"/>
    <x v="0"/>
    <n v="20482.5"/>
    <x v="194"/>
    <n v="-39736.049999991803"/>
    <n v="0"/>
    <n v="4502296388"/>
    <n v="5081146666"/>
    <n v="5113202928"/>
    <m/>
    <m/>
    <m/>
    <x v="0"/>
    <d v="2022-03-26T00:00:00"/>
    <m/>
    <m/>
    <m/>
    <m/>
    <m/>
    <m/>
    <m/>
    <m/>
    <d v="2022-03-26T00:00:00"/>
    <x v="3"/>
  </r>
  <r>
    <s v="Sociedad Comercializadora Ganadera"/>
    <d v="2022-04-01T00:00:00"/>
    <d v="2022-04-01T00:00:00"/>
    <n v="13"/>
    <s v="FEDV249"/>
    <x v="1"/>
    <n v="21420.5"/>
    <x v="188"/>
    <n v="179932200"/>
    <n v="44"/>
    <n v="4502296390"/>
    <n v="5081146667"/>
    <n v="5113214111"/>
    <m/>
    <s v="TIENE BL"/>
    <m/>
    <x v="0"/>
    <d v="2022-03-26T00:00:00"/>
    <m/>
    <m/>
    <m/>
    <m/>
    <m/>
    <m/>
    <m/>
    <m/>
    <d v="2022-03-26T00:00:00"/>
    <x v="3"/>
  </r>
  <r>
    <s v="Sociedad Comercializadora Ganadera"/>
    <d v="2022-04-01T00:00:00"/>
    <d v="2022-04-01T00:00:00"/>
    <n v="13"/>
    <s v="NC111"/>
    <x v="1"/>
    <n v="21420.5"/>
    <x v="195"/>
    <n v="-37271.669999995327"/>
    <n v="0"/>
    <n v="4502296390"/>
    <n v="5081146667"/>
    <n v="5113214112"/>
    <m/>
    <m/>
    <m/>
    <x v="0"/>
    <d v="2022-03-26T00:00:00"/>
    <m/>
    <m/>
    <m/>
    <m/>
    <m/>
    <m/>
    <m/>
    <m/>
    <d v="2022-03-26T00:00:00"/>
    <x v="3"/>
  </r>
  <r>
    <s v="Sociedad Comercializadora Ganadera"/>
    <d v="2022-04-01T00:00:00"/>
    <d v="2022-04-01T00:00:00"/>
    <n v="13"/>
    <s v="FEDV250"/>
    <x v="1"/>
    <n v="6814.5"/>
    <x v="188"/>
    <n v="57241800"/>
    <n v="15"/>
    <n v="4502296390"/>
    <n v="5081146667"/>
    <n v="5113214113"/>
    <m/>
    <s v="TIENE BL"/>
    <m/>
    <x v="0"/>
    <d v="2022-03-26T00:00:00"/>
    <m/>
    <m/>
    <m/>
    <m/>
    <m/>
    <m/>
    <m/>
    <m/>
    <d v="2022-03-26T00:00:00"/>
    <x v="3"/>
  </r>
  <r>
    <s v="Sociedad Comercializadora Ganadera"/>
    <d v="2022-04-01T00:00:00"/>
    <d v="2022-04-01T00:00:00"/>
    <n v="13"/>
    <s v="FEDV246"/>
    <x v="0"/>
    <n v="35402.5"/>
    <x v="188"/>
    <n v="297381000"/>
    <n v="75"/>
    <n v="4502296391"/>
    <n v="5081156364"/>
    <n v="5113214189"/>
    <m/>
    <s v="TIENE BL"/>
    <m/>
    <x v="0"/>
    <d v="2022-03-27T00:00:00"/>
    <m/>
    <m/>
    <m/>
    <m/>
    <m/>
    <m/>
    <m/>
    <m/>
    <d v="2022-03-27T00:00:00"/>
    <x v="3"/>
  </r>
  <r>
    <s v="Sociedad Comercializadora Ganadera"/>
    <d v="2022-04-01T00:00:00"/>
    <d v="2022-04-01T00:00:00"/>
    <n v="13"/>
    <s v="NC110"/>
    <x v="0"/>
    <n v="35402.5"/>
    <x v="196"/>
    <n v="-1926958.0750000102"/>
    <n v="0"/>
    <n v="4502296391"/>
    <n v="5081156364"/>
    <n v="5113214190"/>
    <m/>
    <m/>
    <m/>
    <x v="0"/>
    <d v="2022-03-27T00:00:00"/>
    <m/>
    <m/>
    <m/>
    <m/>
    <m/>
    <m/>
    <m/>
    <m/>
    <d v="2022-03-27T00:00:00"/>
    <x v="3"/>
  </r>
  <r>
    <s v="Juan Alberto Saldarriaga Marin"/>
    <d v="2022-03-27T00:00:00"/>
    <m/>
    <n v="13"/>
    <n v="5980"/>
    <x v="0"/>
    <n v="48015.5"/>
    <x v="188"/>
    <n v="403330200"/>
    <n v="99"/>
    <n v="4502296393"/>
    <n v="5081156764"/>
    <n v="5113211498"/>
    <s v="TIENE BL"/>
    <m/>
    <m/>
    <x v="0"/>
    <d v="2022-03-27T00:00:00"/>
    <m/>
    <m/>
    <m/>
    <m/>
    <m/>
    <m/>
    <m/>
    <m/>
    <d v="2022-03-27T00:00:00"/>
    <x v="3"/>
  </r>
  <r>
    <s v="Juan Alberto Saldarriaga Marin"/>
    <d v="2022-03-30T00:00:00"/>
    <m/>
    <n v="13"/>
    <s v="NC1105"/>
    <x v="0"/>
    <n v="48015.5"/>
    <x v="197"/>
    <n v="-620840.41500001401"/>
    <n v="0"/>
    <n v="4502296393"/>
    <n v="5081156764"/>
    <n v="5113212731"/>
    <m/>
    <m/>
    <m/>
    <x v="0"/>
    <d v="2022-03-27T00:00:00"/>
    <m/>
    <m/>
    <m/>
    <m/>
    <m/>
    <m/>
    <m/>
    <m/>
    <d v="2022-03-27T00:00:00"/>
    <x v="3"/>
  </r>
  <r>
    <s v="Lina Maria Pelaez Gomez"/>
    <d v="2022-03-27T00:00:00"/>
    <d v="2022-03-29T00:00:00"/>
    <n v="13"/>
    <s v="LP79"/>
    <x v="1"/>
    <n v="12848"/>
    <x v="151"/>
    <n v="104711200"/>
    <n v="29"/>
    <n v="4502296394"/>
    <n v="5081156765"/>
    <n v="5113202962"/>
    <m/>
    <m/>
    <m/>
    <x v="0"/>
    <d v="2022-03-27T00:00:00"/>
    <m/>
    <m/>
    <m/>
    <m/>
    <m/>
    <m/>
    <m/>
    <m/>
    <d v="2022-03-27T00:00:00"/>
    <x v="3"/>
  </r>
  <r>
    <s v="Lina Maria Pelaez Gomez"/>
    <d v="2022-03-29T00:00:00"/>
    <d v="2022-03-29T00:00:00"/>
    <n v="13"/>
    <s v="NC61"/>
    <x v="1"/>
    <n v="12848"/>
    <x v="198"/>
    <n v="-760344.64000000374"/>
    <n v="0"/>
    <n v="4502296394"/>
    <n v="5081156765"/>
    <n v="5113202963"/>
    <m/>
    <m/>
    <m/>
    <x v="0"/>
    <d v="2022-03-27T00:00:00"/>
    <m/>
    <m/>
    <m/>
    <m/>
    <m/>
    <m/>
    <m/>
    <m/>
    <d v="2022-03-27T00:00:00"/>
    <x v="3"/>
  </r>
  <r>
    <s v="Inversiones Castilla Barbosa S.A.S."/>
    <d v="2022-03-27T00:00:00"/>
    <d v="2022-03-29T00:00:00"/>
    <n v="13"/>
    <s v="FE-68"/>
    <x v="1"/>
    <n v="20427"/>
    <x v="149"/>
    <n v="162394650"/>
    <n v="42"/>
    <n v="4502296395"/>
    <n v="5081156747"/>
    <n v="5113202821"/>
    <m/>
    <s v="TIENE BL"/>
    <m/>
    <x v="0"/>
    <d v="2022-03-27T00:00:00"/>
    <m/>
    <m/>
    <m/>
    <m/>
    <m/>
    <m/>
    <m/>
    <m/>
    <d v="2022-03-27T00:00:00"/>
    <x v="3"/>
  </r>
  <r>
    <s v="Inversiones Castilla Barbosa S.A.S."/>
    <d v="2022-03-27T00:00:00"/>
    <d v="2022-03-29T00:00:00"/>
    <n v="13"/>
    <s v="DF230"/>
    <x v="1"/>
    <n v="20427"/>
    <x v="199"/>
    <n v="981721.62000000814"/>
    <n v="0"/>
    <n v="4502296395"/>
    <n v="5081156747"/>
    <n v="5113202822"/>
    <m/>
    <m/>
    <m/>
    <x v="0"/>
    <d v="2022-03-27T00:00:00"/>
    <m/>
    <m/>
    <m/>
    <m/>
    <m/>
    <m/>
    <m/>
    <m/>
    <d v="2022-03-27T00:00:00"/>
    <x v="3"/>
  </r>
  <r>
    <s v="La Ceiba S.A"/>
    <d v="2022-03-30T00:00:00"/>
    <d v="2022-04-04T00:00:00"/>
    <n v="13"/>
    <s v="FE1817"/>
    <x v="0"/>
    <n v="6988"/>
    <x v="63"/>
    <n v="54855800"/>
    <n v="14"/>
    <n v="4502300984"/>
    <n v="5081195995"/>
    <n v="5113216441"/>
    <m/>
    <s v="CON RETEN"/>
    <m/>
    <x v="4"/>
    <d v="2022-03-27T00:00:00"/>
    <m/>
    <m/>
    <m/>
    <m/>
    <m/>
    <m/>
    <m/>
    <m/>
    <d v="2022-03-27T00:00:00"/>
    <x v="3"/>
  </r>
  <r>
    <s v="Savanna &amp; Compañia S.A.S ZOMAC"/>
    <d v="2022-03-27T00:00:00"/>
    <d v="2022-03-31T00:00:00"/>
    <n v="13"/>
    <s v="S-35"/>
    <x v="0"/>
    <n v="12166"/>
    <x v="113"/>
    <n v="96111400"/>
    <n v="24"/>
    <n v="4502301015"/>
    <n v="5081196401"/>
    <n v="5113210633"/>
    <m/>
    <s v="CON RETEN"/>
    <s v="SR2505585"/>
    <x v="4"/>
    <d v="2022-03-27T00:00:00"/>
    <m/>
    <m/>
    <m/>
    <m/>
    <m/>
    <m/>
    <m/>
    <m/>
    <d v="2022-03-27T00:00:00"/>
    <x v="3"/>
  </r>
  <r>
    <s v="Luis Fernando Rojas Prada"/>
    <d v="2022-03-30T00:00:00"/>
    <d v="2022-03-30T00:00:00"/>
    <n v="13"/>
    <s v="FELC-833"/>
    <x v="0"/>
    <n v="18292"/>
    <x v="200"/>
    <n v="144428400"/>
    <n v="42"/>
    <n v="4502300999"/>
    <n v="5081196095"/>
    <n v="5113206787"/>
    <s v="TIENE BL"/>
    <m/>
    <m/>
    <x v="4"/>
    <d v="2022-03-27T00:00:00"/>
    <m/>
    <m/>
    <m/>
    <m/>
    <m/>
    <m/>
    <m/>
    <m/>
    <d v="2022-03-27T00:00:00"/>
    <x v="3"/>
  </r>
  <r>
    <s v="Fernando Arevalo Reyes"/>
    <d v="2022-03-28T00:00:00"/>
    <m/>
    <n v="13"/>
    <s v="FVE-112"/>
    <x v="0"/>
    <n v="6087"/>
    <x v="54"/>
    <n v="47478600"/>
    <n v="15"/>
    <n v="4502296396"/>
    <n v="5081183989"/>
    <n v="5113211903"/>
    <m/>
    <s v="TIENE BL"/>
    <m/>
    <x v="0"/>
    <d v="2022-03-28T00:00:00"/>
    <m/>
    <m/>
    <m/>
    <m/>
    <m/>
    <m/>
    <m/>
    <m/>
    <d v="2022-03-28T00:00:00"/>
    <x v="3"/>
  </r>
  <r>
    <s v="Fernando Arevalo Reyes"/>
    <d v="2022-03-28T00:00:00"/>
    <m/>
    <n v="13"/>
    <s v="NC21"/>
    <x v="0"/>
    <n v="6087"/>
    <x v="201"/>
    <n v="-303923.91000000178"/>
    <n v="0"/>
    <n v="4502296396"/>
    <n v="5081183989"/>
    <n v="5113211905"/>
    <m/>
    <m/>
    <m/>
    <x v="0"/>
    <d v="2022-03-28T00:00:00"/>
    <m/>
    <m/>
    <m/>
    <m/>
    <m/>
    <m/>
    <m/>
    <m/>
    <d v="2022-03-28T00:00:00"/>
    <x v="3"/>
  </r>
  <r>
    <s v="Juan Alberto Saldarriaga Marin"/>
    <d v="2022-03-28T00:00:00"/>
    <m/>
    <n v="13"/>
    <n v="5981"/>
    <x v="0"/>
    <n v="18992"/>
    <x v="188"/>
    <n v="159532800"/>
    <n v="44"/>
    <n v="4502296398"/>
    <n v="5081183990"/>
    <n v="5113211396"/>
    <s v="TIENE BL"/>
    <m/>
    <m/>
    <x v="0"/>
    <d v="2022-03-28T00:00:00"/>
    <m/>
    <m/>
    <m/>
    <m/>
    <m/>
    <m/>
    <m/>
    <m/>
    <d v="2022-03-28T00:00:00"/>
    <x v="3"/>
  </r>
  <r>
    <s v="Juan Alberto Saldarriaga Marin"/>
    <d v="2022-03-28T00:00:00"/>
    <m/>
    <n v="13"/>
    <s v="NC1106"/>
    <x v="0"/>
    <n v="18992"/>
    <x v="202"/>
    <n v="-486005.28000000276"/>
    <n v="0"/>
    <n v="4502296398"/>
    <n v="5081183990"/>
    <n v="5113212729"/>
    <m/>
    <m/>
    <m/>
    <x v="0"/>
    <d v="2022-03-28T00:00:00"/>
    <m/>
    <m/>
    <m/>
    <m/>
    <m/>
    <m/>
    <m/>
    <m/>
    <d v="2022-03-28T00:00:00"/>
    <x v="3"/>
  </r>
  <r>
    <s v="Alexander Bautista Perez"/>
    <d v="2022-03-28T00:00:00"/>
    <d v="2022-03-30T00:00:00"/>
    <n v="13"/>
    <s v="FACE-274"/>
    <x v="0"/>
    <n v="6502"/>
    <x v="145"/>
    <n v="52341100"/>
    <n v="15"/>
    <n v="4502296399"/>
    <n v="5081183991"/>
    <n v="5113206194"/>
    <m/>
    <s v="CON RETEN"/>
    <m/>
    <x v="0"/>
    <d v="2022-03-28T00:00:00"/>
    <m/>
    <m/>
    <m/>
    <m/>
    <m/>
    <m/>
    <m/>
    <m/>
    <d v="2022-03-28T00:00:00"/>
    <x v="3"/>
  </r>
  <r>
    <s v="Alexander Bautista Perez"/>
    <d v="2022-03-28T00:00:00"/>
    <d v="2022-03-30T00:00:00"/>
    <n v="13"/>
    <s v="DF27"/>
    <x v="0"/>
    <n v="19945"/>
    <x v="203"/>
    <n v="1585029.150000005"/>
    <n v="0"/>
    <n v="4502296399"/>
    <n v="5081183991"/>
    <n v="5113206196"/>
    <m/>
    <m/>
    <m/>
    <x v="0"/>
    <d v="2022-03-28T00:00:00"/>
    <m/>
    <m/>
    <m/>
    <m/>
    <m/>
    <m/>
    <m/>
    <m/>
    <d v="2022-03-28T00:00:00"/>
    <x v="3"/>
  </r>
  <r>
    <s v="Atria Ganaderia S.A.S."/>
    <d v="2022-03-28T00:00:00"/>
    <m/>
    <n v="13"/>
    <s v="FE-24"/>
    <x v="0"/>
    <n v="6234"/>
    <x v="63"/>
    <n v="48936900"/>
    <n v="14"/>
    <n v="4502296400"/>
    <n v="5081180209"/>
    <n v="5113216134"/>
    <m/>
    <s v="CON RETEN"/>
    <m/>
    <x v="0"/>
    <d v="2022-03-28T00:00:00"/>
    <m/>
    <m/>
    <m/>
    <m/>
    <m/>
    <m/>
    <m/>
    <m/>
    <d v="2022-03-28T00:00:00"/>
    <x v="3"/>
  </r>
  <r>
    <s v="Atria Ganaderia S.A.S."/>
    <d v="2022-04-05T00:00:00"/>
    <m/>
    <n v="13"/>
    <s v="FE-25"/>
    <x v="0"/>
    <n v="6234"/>
    <x v="11"/>
    <n v="935100"/>
    <n v="0"/>
    <n v="4502296400"/>
    <n v="5081180209"/>
    <n v="5113218340"/>
    <m/>
    <m/>
    <s v="Juan Camilo q ya mismo llama a la secretaria  q cambio de software"/>
    <x v="0"/>
    <d v="2022-03-28T00:00:00"/>
    <m/>
    <m/>
    <m/>
    <m/>
    <m/>
    <m/>
    <m/>
    <m/>
    <d v="2022-03-28T00:00:00"/>
    <x v="3"/>
  </r>
  <r>
    <s v="Lina Maria Pelaez Gomez"/>
    <d v="2022-03-28T00:00:00"/>
    <d v="2022-03-30T00:00:00"/>
    <n v="13"/>
    <s v="LP-80"/>
    <x v="1"/>
    <n v="13354.5"/>
    <x v="151"/>
    <n v="108839175"/>
    <n v="29"/>
    <n v="4502296401"/>
    <n v="5081183992"/>
    <n v="5113211990"/>
    <m/>
    <s v="TIENE BL"/>
    <m/>
    <x v="0"/>
    <d v="2022-03-28T00:00:00"/>
    <m/>
    <m/>
    <m/>
    <m/>
    <m/>
    <m/>
    <m/>
    <m/>
    <d v="2022-03-28T00:00:00"/>
    <x v="3"/>
  </r>
  <r>
    <s v="Lina Maria Pelaez Gomez"/>
    <d v="2022-03-30T00:00:00"/>
    <d v="2022-03-30T00:00:00"/>
    <n v="13"/>
    <s v="NC-62"/>
    <x v="1"/>
    <n v="13354.5"/>
    <x v="204"/>
    <n v="-572507.41499999852"/>
    <n v="0"/>
    <n v="4502296401"/>
    <n v="5081183992"/>
    <n v="5113211991"/>
    <m/>
    <m/>
    <m/>
    <x v="0"/>
    <d v="2022-03-28T00:00:00"/>
    <m/>
    <m/>
    <m/>
    <m/>
    <m/>
    <m/>
    <m/>
    <m/>
    <d v="2022-03-28T00:00:00"/>
    <x v="3"/>
  </r>
  <r>
    <s v="David Martinez Jaramillo"/>
    <d v="2022-03-28T00:00:00"/>
    <d v="2022-03-30T00:00:00"/>
    <n v="13"/>
    <s v="DM155"/>
    <x v="1"/>
    <n v="6199.5"/>
    <x v="151"/>
    <n v="50525925"/>
    <n v="14"/>
    <n v="4502296402"/>
    <n v="5081180210"/>
    <n v="5113211906"/>
    <m/>
    <s v="TIENE BL"/>
    <m/>
    <x v="0"/>
    <d v="2022-03-28T00:00:00"/>
    <m/>
    <m/>
    <m/>
    <m/>
    <m/>
    <m/>
    <m/>
    <m/>
    <d v="2022-03-28T00:00:00"/>
    <x v="3"/>
  </r>
  <r>
    <s v="David Martinez Jaramillo"/>
    <d v="2022-03-30T00:00:00"/>
    <d v="2022-03-30T00:00:00"/>
    <n v="13"/>
    <s v="ND1"/>
    <x v="1"/>
    <n v="6199.5"/>
    <x v="205"/>
    <n v="233287.18500000067"/>
    <n v="0"/>
    <n v="4502296402"/>
    <n v="5081180210"/>
    <n v="5113211987"/>
    <m/>
    <m/>
    <m/>
    <x v="0"/>
    <d v="2022-03-28T00:00:00"/>
    <m/>
    <m/>
    <m/>
    <m/>
    <m/>
    <m/>
    <m/>
    <m/>
    <d v="2022-03-28T00:00:00"/>
    <x v="3"/>
  </r>
  <r>
    <s v="Subasta Ganadera de Puerto Berrio"/>
    <d v="2022-03-26T00:00:00"/>
    <d v="2022-03-30T00:00:00"/>
    <n v="13"/>
    <s v="FBC-13296"/>
    <x v="0"/>
    <n v="6394"/>
    <x v="206"/>
    <n v="52750500"/>
    <n v="13"/>
    <n v="4502299196"/>
    <n v="5081203483"/>
    <n v="5113205417"/>
    <s v="TIENE BL"/>
    <s v="EJ 948980"/>
    <m/>
    <x v="0"/>
    <d v="2022-03-28T00:00:00"/>
    <n v="4502299196"/>
    <n v="948980"/>
    <s v="FEMD-3679"/>
    <n v="5113206850"/>
    <s v="FEMD-3699*2"/>
    <n v="5113213160"/>
    <m/>
    <m/>
    <d v="2022-03-28T00:00:00"/>
    <x v="3"/>
  </r>
  <r>
    <s v="Subasta Ganadera de Puerto Berrio"/>
    <d v="2022-03-26T00:00:00"/>
    <d v="2022-03-30T00:00:00"/>
    <n v="13"/>
    <s v="FBC-13292"/>
    <x v="0"/>
    <n v="6082"/>
    <x v="207"/>
    <n v="50480600"/>
    <n v="14"/>
    <n v="4502299196"/>
    <n v="5081203483"/>
    <n v="5113205419"/>
    <s v="TIENE BL"/>
    <s v="EJ 948980"/>
    <m/>
    <x v="0"/>
    <d v="2022-03-28T00:00:00"/>
    <n v="4502299196"/>
    <n v="948980"/>
    <s v="FEMD-3679"/>
    <n v="5113206850"/>
    <m/>
    <m/>
    <m/>
    <m/>
    <d v="2022-03-28T00:00:00"/>
    <x v="3"/>
  </r>
  <r>
    <s v="Wilson Antonio Montes Lopez"/>
    <d v="2022-04-05T00:00:00"/>
    <d v="2022-04-05T00:00:00"/>
    <n v="13"/>
    <s v="MAML-8"/>
    <x v="0"/>
    <n v="6525"/>
    <x v="207"/>
    <n v="54157500"/>
    <n v="14"/>
    <n v="4502299257"/>
    <n v="5081180212"/>
    <n v="5113222653"/>
    <m/>
    <s v="TIENE BL"/>
    <s v="No tiene internet no pudo hacer el BL"/>
    <x v="0"/>
    <d v="2022-03-28T00:00:00"/>
    <m/>
    <m/>
    <m/>
    <m/>
    <m/>
    <m/>
    <m/>
    <m/>
    <d v="2022-03-28T00:00:00"/>
    <x v="3"/>
  </r>
  <r>
    <s v="Wilson Antonio Montes Lopez"/>
    <d v="2022-04-05T00:00:00"/>
    <d v="2022-04-05T00:00:00"/>
    <n v="13"/>
    <s v="NDEB2"/>
    <x v="0"/>
    <n v="6525"/>
    <x v="13"/>
    <n v="326250"/>
    <n v="0"/>
    <n v="4502299257"/>
    <n v="5081180212"/>
    <n v="5113222654"/>
    <m/>
    <m/>
    <s v="SR2505735 SR2525617"/>
    <x v="0"/>
    <d v="2022-03-28T00:00:00"/>
    <m/>
    <m/>
    <m/>
    <m/>
    <m/>
    <m/>
    <m/>
    <m/>
    <d v="2022-03-28T00:00:00"/>
    <x v="3"/>
  </r>
  <r>
    <s v="Sociedad Comercializadora Ganadera"/>
    <d v="2022-04-01T00:00:00"/>
    <d v="2022-04-01T00:00:00"/>
    <n v="13"/>
    <s v="FEDV248"/>
    <x v="3"/>
    <n v="11338"/>
    <x v="56"/>
    <n v="86168800"/>
    <n v="40"/>
    <n v="4502300292"/>
    <n v="5081178456"/>
    <n v="5113214114"/>
    <m/>
    <s v="TIENE BL"/>
    <m/>
    <x v="2"/>
    <d v="2022-03-28T00:00:00"/>
    <m/>
    <m/>
    <m/>
    <m/>
    <m/>
    <m/>
    <m/>
    <m/>
    <d v="2022-03-28T00:00:00"/>
    <x v="3"/>
  </r>
  <r>
    <s v="Alexander Bautista Perez"/>
    <d v="2022-03-28T00:00:00"/>
    <d v="2022-03-30T00:00:00"/>
    <n v="13"/>
    <s v="FACE-274"/>
    <x v="0"/>
    <n v="13443"/>
    <x v="145"/>
    <n v="108216150"/>
    <n v="30"/>
    <n v="4502299978"/>
    <n v="5081183991"/>
    <n v="5113206194"/>
    <m/>
    <m/>
    <m/>
    <x v="0"/>
    <d v="2022-03-28T00:00:00"/>
    <m/>
    <m/>
    <m/>
    <m/>
    <m/>
    <m/>
    <m/>
    <m/>
    <d v="2022-03-28T00:00:00"/>
    <x v="3"/>
  </r>
  <r>
    <s v="Agropastoril De Colombia S.A.S."/>
    <d v="2022-03-29T00:00:00"/>
    <m/>
    <n v="13"/>
    <s v="AP-64"/>
    <x v="0"/>
    <n v="25781"/>
    <x v="113"/>
    <n v="203669900"/>
    <n v="56"/>
    <n v="4502297493"/>
    <n v="5081185889"/>
    <n v="5113218501"/>
    <s v="CON RETEN"/>
    <s v="EJ*4 1771100*4"/>
    <s v="Se envio correo nuevamente - llame a Carlos Duque "/>
    <x v="0"/>
    <d v="2022-03-29T00:00:00"/>
    <n v="4902236674"/>
    <n v="7084400"/>
    <s v="FEMD-3692*2"/>
    <n v="5113204347"/>
    <s v="FEMD-3691*2"/>
    <n v="5113204302"/>
    <m/>
    <m/>
    <d v="2022-03-29T00:00:00"/>
    <x v="3"/>
  </r>
  <r>
    <s v="David Martinez Jaramillo"/>
    <d v="2022-03-29T00:00:00"/>
    <d v="2022-03-31T00:00:00"/>
    <n v="13"/>
    <s v="DM156"/>
    <x v="0"/>
    <n v="25614.5"/>
    <x v="207"/>
    <n v="212600350"/>
    <n v="57"/>
    <n v="4502296403"/>
    <n v="5081199569"/>
    <n v="5113212893"/>
    <m/>
    <s v="TIENE BL"/>
    <s v="SR2507587"/>
    <x v="0"/>
    <d v="2022-03-29T00:00:00"/>
    <m/>
    <m/>
    <m/>
    <m/>
    <m/>
    <m/>
    <m/>
    <m/>
    <d v="2022-03-29T00:00:00"/>
    <x v="3"/>
  </r>
  <r>
    <s v="David Martinez Jaramillo"/>
    <d v="2022-03-31T00:00:00"/>
    <d v="2022-03-31T00:00:00"/>
    <n v="13"/>
    <s v="NC18"/>
    <x v="0"/>
    <n v="25614.5"/>
    <x v="208"/>
    <n v="-75818.919999977632"/>
    <n v="0"/>
    <n v="4502296403"/>
    <n v="5081199569"/>
    <n v="5113212896"/>
    <m/>
    <m/>
    <m/>
    <x v="0"/>
    <d v="2022-03-29T00:00:00"/>
    <m/>
    <m/>
    <m/>
    <m/>
    <m/>
    <m/>
    <m/>
    <m/>
    <d v="2022-03-29T00:00:00"/>
    <x v="3"/>
  </r>
  <r>
    <s v="David Martinez Jaramillo"/>
    <d v="2022-04-01T00:00:00"/>
    <d v="2022-04-04T00:00:00"/>
    <n v="13"/>
    <s v="DM158"/>
    <x v="1"/>
    <n v="6380"/>
    <x v="151"/>
    <n v="51997000"/>
    <n v="15"/>
    <n v="4502296404"/>
    <n v="5081199583"/>
    <n v="5113215765"/>
    <m/>
    <s v="TIENE BL"/>
    <s v="SR2523303"/>
    <x v="0"/>
    <d v="2022-03-29T00:00:00"/>
    <m/>
    <m/>
    <m/>
    <m/>
    <m/>
    <m/>
    <m/>
    <m/>
    <d v="2022-03-29T00:00:00"/>
    <x v="3"/>
  </r>
  <r>
    <s v="David Martinez Jaramillo"/>
    <d v="2022-04-04T00:00:00"/>
    <d v="2022-04-04T00:00:00"/>
    <n v="13"/>
    <s v="ND2"/>
    <x v="1"/>
    <n v="5928.5"/>
    <x v="209"/>
    <n v="363061.33999999869"/>
    <n v="0"/>
    <n v="4502296404"/>
    <n v="5081199583"/>
    <n v="5113215766"/>
    <m/>
    <m/>
    <m/>
    <x v="0"/>
    <d v="2022-03-29T00:00:00"/>
    <m/>
    <m/>
    <m/>
    <m/>
    <m/>
    <m/>
    <m/>
    <m/>
    <d v="2022-03-29T00:00:00"/>
    <x v="3"/>
  </r>
  <r>
    <s v="Ganadera Yalu S En C."/>
    <d v="2022-03-29T00:00:00"/>
    <m/>
    <n v="13"/>
    <s v="GY-11"/>
    <x v="1"/>
    <n v="6256.5"/>
    <x v="3"/>
    <n v="47862225"/>
    <n v="14"/>
    <n v="4502296405"/>
    <n v="5081198326"/>
    <n v="5113209419"/>
    <m/>
    <s v="CON RETEN"/>
    <m/>
    <x v="0"/>
    <d v="2022-03-29T00:00:00"/>
    <m/>
    <m/>
    <m/>
    <m/>
    <m/>
    <m/>
    <m/>
    <m/>
    <d v="2022-03-29T00:00:00"/>
    <x v="3"/>
  </r>
  <r>
    <s v="Multicarnicos S.A"/>
    <d v="2022-03-31T00:00:00"/>
    <d v="2022-04-05T00:00:00"/>
    <n v="14"/>
    <s v="MUL307"/>
    <x v="0"/>
    <n v="25725"/>
    <x v="207"/>
    <n v="213517500"/>
    <n v="61"/>
    <n v="4502301545"/>
    <n v="5081241680"/>
    <n v="5113216129"/>
    <m/>
    <s v="TIENE BL"/>
    <m/>
    <x v="0"/>
    <d v="2022-03-31T00:00:00"/>
    <m/>
    <m/>
    <m/>
    <m/>
    <m/>
    <m/>
    <m/>
    <m/>
    <d v="2022-03-31T00:00:00"/>
    <x v="3"/>
  </r>
  <r>
    <s v="Multicarnicos S.A"/>
    <d v="2022-03-31T00:00:00"/>
    <d v="2022-04-05T00:00:00"/>
    <n v="14"/>
    <s v="ND6"/>
    <x v="0"/>
    <n v="25725"/>
    <x v="210"/>
    <n v="776895"/>
    <n v="0"/>
    <n v="4502301545"/>
    <n v="5081241680"/>
    <n v="5113216131"/>
    <m/>
    <m/>
    <m/>
    <x v="0"/>
    <d v="2022-03-31T00:00:00"/>
    <m/>
    <m/>
    <m/>
    <m/>
    <m/>
    <m/>
    <m/>
    <m/>
    <d v="2022-03-31T00:00:00"/>
    <x v="3"/>
  </r>
  <r>
    <s v="Multicarnicos S.A"/>
    <d v="2022-04-01T00:00:00"/>
    <d v="2022-04-05T00:00:00"/>
    <n v="14"/>
    <s v="MUL308"/>
    <x v="0"/>
    <n v="6099.5"/>
    <x v="207"/>
    <n v="50625850"/>
    <n v="14"/>
    <n v="4502302746"/>
    <n v="5081262765"/>
    <n v="5113216132"/>
    <m/>
    <m/>
    <m/>
    <x v="0"/>
    <d v="2022-03-31T00:00:00"/>
    <m/>
    <m/>
    <m/>
    <m/>
    <m/>
    <m/>
    <m/>
    <m/>
    <d v="2022-03-31T00:00:00"/>
    <x v="3"/>
  </r>
  <r>
    <s v="Multicarnicos S.A"/>
    <d v="2022-04-01T00:00:00"/>
    <d v="2022-04-05T00:00:00"/>
    <n v="14"/>
    <s v="ND7"/>
    <x v="0"/>
    <n v="6099.5"/>
    <x v="211"/>
    <n v="687047.68000000005"/>
    <n v="0"/>
    <n v="4502302746"/>
    <n v="5081262765"/>
    <n v="5113216133"/>
    <m/>
    <m/>
    <m/>
    <x v="0"/>
    <d v="2022-03-31T00:00:00"/>
    <m/>
    <m/>
    <m/>
    <m/>
    <m/>
    <m/>
    <m/>
    <m/>
    <d v="2022-03-31T00:00:00"/>
    <x v="3"/>
  </r>
  <r>
    <s v="David Martinez Jaramillo"/>
    <d v="2022-04-01T00:00:00"/>
    <d v="2022-04-01T00:00:00"/>
    <n v="14"/>
    <s v="DM157"/>
    <x v="1"/>
    <n v="12748.5"/>
    <x v="151"/>
    <n v="103900275"/>
    <n v="29"/>
    <n v="4502300955"/>
    <n v="5081206749"/>
    <n v="5113217857"/>
    <m/>
    <s v="TIENE BL"/>
    <m/>
    <x v="0"/>
    <d v="2022-03-31T00:00:00"/>
    <m/>
    <m/>
    <m/>
    <m/>
    <m/>
    <m/>
    <m/>
    <m/>
    <d v="2022-03-31T00:00:00"/>
    <x v="3"/>
  </r>
  <r>
    <s v="David Martinez Jaramillo"/>
    <d v="2022-04-01T00:00:00"/>
    <d v="2022-04-01T00:00:00"/>
    <n v="14"/>
    <s v="NC19"/>
    <x v="1"/>
    <n v="13200"/>
    <x v="212"/>
    <n v="-153120.0000000048"/>
    <n v="0"/>
    <n v="4502300955"/>
    <n v="5081206749"/>
    <n v="5113217858"/>
    <m/>
    <m/>
    <m/>
    <x v="0"/>
    <d v="2022-03-31T00:00:00"/>
    <m/>
    <m/>
    <m/>
    <m/>
    <m/>
    <m/>
    <m/>
    <m/>
    <d v="2022-03-31T00:00:00"/>
    <x v="3"/>
  </r>
  <r>
    <s v="Sociedad Comercializadora Ganadera"/>
    <d v="2022-04-04T00:00:00"/>
    <d v="2022-04-04T00:00:00"/>
    <n v="14"/>
    <s v="FEDV252"/>
    <x v="0"/>
    <n v="59676"/>
    <x v="213"/>
    <n v="507246000"/>
    <n v="120"/>
    <n v="4502301547"/>
    <n v="5081241419"/>
    <n v="5113218891"/>
    <m/>
    <s v="TIENE BL"/>
    <s v="SR2507597 SR2513621"/>
    <x v="0"/>
    <d v="2022-03-31T00:00:00"/>
    <m/>
    <m/>
    <m/>
    <m/>
    <m/>
    <m/>
    <m/>
    <m/>
    <d v="2022-03-31T00:00:00"/>
    <x v="3"/>
  </r>
  <r>
    <s v="Sociedad Comercializadora Ganadera"/>
    <d v="2022-04-04T00:00:00"/>
    <d v="2022-04-04T00:00:00"/>
    <n v="14"/>
    <s v="ND16"/>
    <x v="0"/>
    <n v="59676"/>
    <x v="13"/>
    <n v="2983800"/>
    <n v="0"/>
    <n v="4502301547"/>
    <n v="5081241419"/>
    <n v="5113218892"/>
    <m/>
    <m/>
    <m/>
    <x v="0"/>
    <d v="2022-03-31T00:00:00"/>
    <m/>
    <m/>
    <m/>
    <m/>
    <m/>
    <m/>
    <m/>
    <m/>
    <d v="2022-03-31T00:00:00"/>
    <x v="3"/>
  </r>
  <r>
    <s v="Inversiones y Negocios V&amp;V S.A.S"/>
    <d v="2022-04-04T00:00:00"/>
    <d v="2022-04-04T00:00:00"/>
    <n v="14"/>
    <s v="FE-1611"/>
    <x v="1"/>
    <n v="13243.5"/>
    <x v="207"/>
    <n v="109921050"/>
    <n v="28"/>
    <n v="4502301548"/>
    <n v="5081241420"/>
    <n v="5113218965"/>
    <m/>
    <s v="CON RETEN"/>
    <s v="SSR2513580 correo nuevamente a recepcion_fe"/>
    <x v="0"/>
    <d v="2022-03-31T00:00:00"/>
    <m/>
    <m/>
    <m/>
    <m/>
    <m/>
    <m/>
    <m/>
    <m/>
    <d v="2022-03-31T00:00:00"/>
    <x v="3"/>
  </r>
  <r>
    <s v="Jorge Ignacio Sanchez Restrepo"/>
    <d v="2022-04-08T00:00:00"/>
    <d v="2022-04-08T00:00:00"/>
    <n v="14"/>
    <s v="FEJS-28"/>
    <x v="1"/>
    <n v="12841.5"/>
    <x v="207"/>
    <n v="106584450"/>
    <n v="28"/>
    <n v="4502301549"/>
    <n v="5081241421"/>
    <n v="5113222774"/>
    <m/>
    <s v="CON RETEN"/>
    <s v="Inconformidad -D Angela que habla con la secretaria "/>
    <x v="0"/>
    <d v="2022-03-31T00:00:00"/>
    <m/>
    <m/>
    <m/>
    <m/>
    <m/>
    <m/>
    <m/>
    <m/>
    <d v="2022-03-31T00:00:00"/>
    <x v="3"/>
  </r>
  <r>
    <s v="Jorge Ignacio Sanchez Restrepo"/>
    <d v="2022-04-08T00:00:00"/>
    <d v="2022-04-08T00:00:00"/>
    <n v="14"/>
    <s v="ND2"/>
    <x v="1"/>
    <n v="12841.5"/>
    <x v="13"/>
    <n v="642075"/>
    <n v="0"/>
    <n v="4502301549"/>
    <n v="5081241421"/>
    <n v="5113222775"/>
    <m/>
    <m/>
    <m/>
    <x v="0"/>
    <d v="2022-03-31T00:00:00"/>
    <m/>
    <m/>
    <m/>
    <m/>
    <m/>
    <m/>
    <m/>
    <m/>
    <d v="2022-03-31T00:00:00"/>
    <x v="3"/>
  </r>
  <r>
    <s v="Sociedad Comercializadora Ganadera"/>
    <d v="2022-04-04T00:00:00"/>
    <d v="2022-04-04T00:00:00"/>
    <n v="14"/>
    <s v="FEDV254"/>
    <x v="0"/>
    <n v="13451"/>
    <x v="213"/>
    <n v="114333500"/>
    <n v="28"/>
    <n v="4502301550"/>
    <n v="5081262798"/>
    <n v="5113218893"/>
    <m/>
    <s v="TIENE BL"/>
    <s v="SR2513621"/>
    <x v="0"/>
    <d v="2022-04-01T00:00:00"/>
    <m/>
    <m/>
    <m/>
    <m/>
    <m/>
    <m/>
    <m/>
    <m/>
    <d v="2022-04-01T00:00:00"/>
    <x v="4"/>
  </r>
  <r>
    <s v="Sociedad Comercializadora Ganadera"/>
    <d v="2022-04-04T00:00:00"/>
    <d v="2022-04-04T00:00:00"/>
    <n v="14"/>
    <s v="NC113"/>
    <x v="0"/>
    <n v="13451"/>
    <x v="214"/>
    <n v="-272786.28000000882"/>
    <n v="0"/>
    <n v="4502301550"/>
    <n v="5081262798"/>
    <n v="5113218894"/>
    <m/>
    <m/>
    <m/>
    <x v="0"/>
    <d v="2022-04-01T00:00:00"/>
    <m/>
    <m/>
    <m/>
    <m/>
    <m/>
    <m/>
    <m/>
    <m/>
    <d v="2022-04-01T00:00:00"/>
    <x v="4"/>
  </r>
  <r>
    <s v="Sociedad Comercializadora Ganadera"/>
    <d v="2022-04-04T00:00:00"/>
    <d v="2022-04-04T00:00:00"/>
    <n v="14"/>
    <s v="FEDV253"/>
    <x v="0"/>
    <n v="54357"/>
    <x v="213"/>
    <n v="462034500"/>
    <n v="117"/>
    <n v="4502301550"/>
    <n v="5081262798"/>
    <n v="5113218895"/>
    <m/>
    <s v="TIENE BL"/>
    <s v="SR2513621"/>
    <x v="0"/>
    <d v="2022-04-01T00:00:00"/>
    <m/>
    <m/>
    <m/>
    <m/>
    <m/>
    <m/>
    <m/>
    <m/>
    <d v="2022-04-01T00:00:00"/>
    <x v="4"/>
  </r>
  <r>
    <s v="Sociedad Comercializadora Ganadera"/>
    <d v="2022-04-04T00:00:00"/>
    <d v="2022-04-04T00:00:00"/>
    <n v="14"/>
    <s v="ND17"/>
    <x v="0"/>
    <n v="54357"/>
    <x v="215"/>
    <n v="1921519.9500000002"/>
    <n v="0"/>
    <n v="4502301550"/>
    <n v="5081262798"/>
    <n v="5113218896"/>
    <m/>
    <m/>
    <m/>
    <x v="0"/>
    <d v="2022-04-01T00:00:00"/>
    <m/>
    <m/>
    <m/>
    <m/>
    <m/>
    <m/>
    <m/>
    <m/>
    <d v="2022-04-01T00:00:00"/>
    <x v="4"/>
  </r>
  <r>
    <s v="Juan Alberto Saldarriaga Marin"/>
    <d v="2022-04-01T00:00:00"/>
    <m/>
    <n v="14"/>
    <n v="5982"/>
    <x v="0"/>
    <n v="46554"/>
    <x v="188"/>
    <n v="391053600"/>
    <n v="99"/>
    <n v="4502301551"/>
    <n v="5081262763"/>
    <n v="5113218338"/>
    <m/>
    <s v="TIENE BL"/>
    <s v="Se le solicito a Daniela "/>
    <x v="0"/>
    <d v="2022-04-01T00:00:00"/>
    <m/>
    <m/>
    <m/>
    <m/>
    <m/>
    <m/>
    <m/>
    <m/>
    <d v="2022-04-01T00:00:00"/>
    <x v="4"/>
  </r>
  <r>
    <s v="Industria Ganadera Hato Cebu S.A."/>
    <d v="2022-04-04T00:00:00"/>
    <d v="2022-04-07T00:00:00"/>
    <n v="14"/>
    <s v="FEHC275"/>
    <x v="1"/>
    <n v="13319"/>
    <x v="175"/>
    <n v="109215800"/>
    <n v="28"/>
    <n v="4502301552"/>
    <n v="5081262799"/>
    <n v="5113214941"/>
    <m/>
    <s v="CON RETEN"/>
    <m/>
    <x v="0"/>
    <d v="2022-04-01T00:00:00"/>
    <m/>
    <m/>
    <m/>
    <m/>
    <m/>
    <m/>
    <m/>
    <m/>
    <d v="2022-04-01T00:00:00"/>
    <x v="4"/>
  </r>
  <r>
    <s v="Industria Ganadera Hato Cebu S.A."/>
    <d v="2022-04-04T00:00:00"/>
    <d v="2022-04-04T00:00:00"/>
    <n v="14"/>
    <s v="ND3"/>
    <x v="1"/>
    <n v="13319"/>
    <x v="13"/>
    <n v="665950"/>
    <n v="0"/>
    <n v="4502301552"/>
    <n v="5081262799"/>
    <n v="5113214942"/>
    <m/>
    <m/>
    <m/>
    <x v="0"/>
    <d v="2022-04-01T00:00:00"/>
    <m/>
    <m/>
    <m/>
    <m/>
    <m/>
    <m/>
    <m/>
    <m/>
    <d v="2022-04-01T00:00:00"/>
    <x v="4"/>
  </r>
  <r>
    <s v="Fernando Arevalo Reyes"/>
    <d v="2022-04-01T00:00:00"/>
    <d v="2022-04-04T00:00:00"/>
    <n v="14"/>
    <s v="FVE-113"/>
    <x v="1"/>
    <n v="12193"/>
    <x v="216"/>
    <n v="97909790"/>
    <n v="28"/>
    <n v="4502301553"/>
    <n v="5081262800"/>
    <n v="5113217940"/>
    <m/>
    <s v="TIENE BL"/>
    <m/>
    <x v="0"/>
    <d v="2022-04-01T00:00:00"/>
    <m/>
    <m/>
    <m/>
    <m/>
    <m/>
    <m/>
    <m/>
    <m/>
    <d v="2022-04-01T00:00:00"/>
    <x v="4"/>
  </r>
  <r>
    <s v="Fernando Arevalo Reyes"/>
    <d v="2022-04-01T00:00:00"/>
    <m/>
    <n v="14"/>
    <s v="NC22"/>
    <x v="1"/>
    <n v="12193"/>
    <x v="217"/>
    <n v="-39383.389999994673"/>
    <n v="0"/>
    <n v="4502301553"/>
    <n v="5081262800"/>
    <n v="5113217941"/>
    <m/>
    <m/>
    <m/>
    <x v="0"/>
    <d v="2022-04-01T00:00:00"/>
    <m/>
    <m/>
    <m/>
    <m/>
    <m/>
    <m/>
    <m/>
    <m/>
    <d v="2022-04-01T00:00:00"/>
    <x v="4"/>
  </r>
  <r>
    <s v="Miguel Antonio Carrascal Pacheco"/>
    <d v="2022-04-04T00:00:00"/>
    <d v="2022-04-06T00:00:00"/>
    <n v="14"/>
    <s v="MCFE-20"/>
    <x v="1"/>
    <n v="6280.5"/>
    <x v="54"/>
    <n v="48987900"/>
    <n v="15"/>
    <n v="4502301554"/>
    <n v="5081262764"/>
    <n v="5113222470"/>
    <m/>
    <s v="TIENE BL"/>
    <s v="SR2513709 Q va a hablar con sigifredo "/>
    <x v="0"/>
    <d v="2022-04-01T00:00:00"/>
    <m/>
    <m/>
    <m/>
    <m/>
    <m/>
    <m/>
    <m/>
    <m/>
    <d v="2022-04-01T00:00:00"/>
    <x v="4"/>
  </r>
  <r>
    <s v="Miguel Antonio Carrascal Pacheco"/>
    <d v="2022-04-05T00:00:00"/>
    <d v="2022-04-06T00:00:00"/>
    <n v="14"/>
    <s v="NCR38"/>
    <x v="1"/>
    <n v="6280.5"/>
    <x v="2"/>
    <n v="-628050"/>
    <n v="0"/>
    <n v="4502301554"/>
    <n v="5081262764"/>
    <n v="5113222472"/>
    <m/>
    <m/>
    <m/>
    <x v="0"/>
    <d v="2022-04-01T00:00:00"/>
    <m/>
    <m/>
    <m/>
    <m/>
    <m/>
    <m/>
    <m/>
    <m/>
    <d v="2022-04-01T00:00:00"/>
    <x v="4"/>
  </r>
  <r>
    <s v="Agropecuaria los Molinos S.A.S"/>
    <d v="2022-03-31T00:00:00"/>
    <m/>
    <n v="14"/>
    <s v="FEMO-1010000603"/>
    <x v="4"/>
    <n v="73432"/>
    <x v="218"/>
    <n v="647303080"/>
    <n v="140"/>
    <n v="4502304143"/>
    <n v="5081275498"/>
    <n v="5113220318"/>
    <s v="TIENE BL"/>
    <s v="EJ*10 1070000*1 990000*9"/>
    <m/>
    <x v="3"/>
    <d v="2022-04-01T00:00:00"/>
    <n v="4502304143"/>
    <n v="9980000"/>
    <s v="FEMD-3734*7"/>
    <n v="5113215345"/>
    <s v="FEMD-3735*2"/>
    <n v="5113219081"/>
    <s v="FEMD-3736*1"/>
    <n v="5113219045"/>
    <d v="2022-04-01T00:00:00"/>
    <x v="4"/>
  </r>
  <r>
    <s v="Sociedad Comercializadora Ganadera"/>
    <d v="2022-04-04T00:00:00"/>
    <d v="2022-04-04T00:00:00"/>
    <n v="14"/>
    <s v="FEDV255"/>
    <x v="4"/>
    <n v="29110"/>
    <x v="219"/>
    <n v="254712500"/>
    <n v="56"/>
    <n v="4502304413"/>
    <n v="5081275052"/>
    <n v="5113218957"/>
    <m/>
    <s v="TIENE BL"/>
    <s v="SR2513621"/>
    <x v="3"/>
    <d v="2022-04-01T00:00:00"/>
    <m/>
    <m/>
    <m/>
    <m/>
    <m/>
    <m/>
    <m/>
    <m/>
    <d v="2022-04-01T00:00:00"/>
    <x v="4"/>
  </r>
  <r>
    <s v="Juan Pablo Sierra Cardona"/>
    <d v="2022-04-01T00:00:00"/>
    <m/>
    <n v="14"/>
    <s v="JPS-1051"/>
    <x v="4"/>
    <n v="21270"/>
    <x v="220"/>
    <n v="183985500"/>
    <n v="42"/>
    <n v="4502304376"/>
    <n v="5081274972"/>
    <n v="5113226608"/>
    <m/>
    <s v="TIENE BL"/>
    <m/>
    <x v="3"/>
    <d v="2022-04-01T00:00:00"/>
    <m/>
    <m/>
    <m/>
    <m/>
    <m/>
    <m/>
    <m/>
    <m/>
    <d v="2022-04-01T00:00:00"/>
    <x v="4"/>
  </r>
  <r>
    <s v="Sociedad Comercializadora Ganadera"/>
    <d v="2022-04-05T00:00:00"/>
    <d v="2022-04-05T00:00:00"/>
    <n v="14"/>
    <s v="FEDV256"/>
    <x v="0"/>
    <n v="47100.5"/>
    <x v="213"/>
    <n v="400354250"/>
    <n v="105"/>
    <n v="4502301555"/>
    <n v="5081262801"/>
    <n v="5113218958"/>
    <m/>
    <s v="TIENE BL"/>
    <s v="SR2513621"/>
    <x v="0"/>
    <d v="2022-04-02T00:00:00"/>
    <m/>
    <m/>
    <m/>
    <m/>
    <m/>
    <m/>
    <m/>
    <m/>
    <d v="2022-04-02T00:00:00"/>
    <x v="4"/>
  </r>
  <r>
    <s v="Sociedad Comercializadora Ganadera"/>
    <d v="2022-04-05T00:00:00"/>
    <d v="2022-04-05T00:00:00"/>
    <n v="14"/>
    <s v="ND18"/>
    <x v="0"/>
    <n v="47100.5"/>
    <x v="221"/>
    <n v="1990938.1350000002"/>
    <n v="0"/>
    <n v="4502301555"/>
    <n v="5081262801"/>
    <n v="5113218959"/>
    <m/>
    <m/>
    <m/>
    <x v="0"/>
    <d v="2022-04-02T00:00:00"/>
    <m/>
    <m/>
    <m/>
    <m/>
    <m/>
    <m/>
    <m/>
    <m/>
    <d v="2022-04-02T00:00:00"/>
    <x v="4"/>
  </r>
  <r>
    <s v="Sociedad Comercializadora Ganadera"/>
    <d v="2022-04-05T00:00:00"/>
    <d v="2022-04-05T00:00:00"/>
    <n v="14"/>
    <s v="FEDV257"/>
    <x v="0"/>
    <n v="6841"/>
    <x v="213"/>
    <n v="58148500"/>
    <n v="15"/>
    <n v="4502301555"/>
    <n v="5081262801"/>
    <n v="5113218960"/>
    <m/>
    <s v="TIENE BL"/>
    <s v="SR2513621"/>
    <x v="0"/>
    <d v="2022-04-02T00:00:00"/>
    <m/>
    <m/>
    <m/>
    <m/>
    <m/>
    <m/>
    <m/>
    <m/>
    <d v="2022-04-02T00:00:00"/>
    <x v="4"/>
  </r>
  <r>
    <s v="Mauricio De Jesús Bernal Jaramillo"/>
    <d v="2022-04-05T00:00:00"/>
    <d v="2022-04-05T00:00:00"/>
    <n v="14"/>
    <s v="FE-173"/>
    <x v="1"/>
    <n v="12352"/>
    <x v="28"/>
    <n v="95728000"/>
    <n v="28"/>
    <n v="4502303848"/>
    <n v="5081262660"/>
    <n v="5113216446"/>
    <m/>
    <s v="EJ*2 1623900*2"/>
    <s v="SR2507714"/>
    <x v="0"/>
    <d v="2022-04-02T00:00:00"/>
    <n v="4902242368"/>
    <n v="3247800"/>
    <s v="FEMD-3739*2"/>
    <n v="5113219042"/>
    <m/>
    <m/>
    <m/>
    <m/>
    <d v="2022-04-02T00:00:00"/>
    <x v="4"/>
  </r>
  <r>
    <s v="Agropastoril De Colombia S.A.S."/>
    <d v="2022-04-04T00:00:00"/>
    <m/>
    <n v="14"/>
    <s v="AP-67"/>
    <x v="1"/>
    <n v="13408"/>
    <x v="113"/>
    <n v="105923200"/>
    <n v="28"/>
    <n v="4502303850"/>
    <n v="5081262661"/>
    <n v="5113218498"/>
    <s v="CON RETEN"/>
    <s v="EJ*2 1638223*2"/>
    <m/>
    <x v="0"/>
    <d v="2022-04-02T00:00:00"/>
    <n v="4902242372"/>
    <n v="3276446"/>
    <s v="FEMD-3747*2"/>
    <n v="5113218606"/>
    <m/>
    <m/>
    <m/>
    <m/>
    <d v="2022-04-02T00:00:00"/>
    <x v="4"/>
  </r>
  <r>
    <s v="Juan Alberto Saldarriaga Marin"/>
    <d v="2022-04-03T00:00:00"/>
    <m/>
    <n v="14"/>
    <n v="5986"/>
    <x v="0"/>
    <n v="18653"/>
    <x v="188"/>
    <n v="156685200"/>
    <n v="43"/>
    <n v="4502301556"/>
    <n v="5081275280"/>
    <n v="5113218961"/>
    <m/>
    <s v="TIENE BL"/>
    <m/>
    <x v="0"/>
    <d v="2022-04-03T00:00:00"/>
    <m/>
    <m/>
    <m/>
    <m/>
    <m/>
    <m/>
    <m/>
    <m/>
    <d v="2022-04-03T00:00:00"/>
    <x v="4"/>
  </r>
  <r>
    <s v="Juan Alberto Saldarriaga Marin"/>
    <d v="2022-04-03T00:00:00"/>
    <m/>
    <n v="14"/>
    <n v="5986"/>
    <x v="1"/>
    <n v="21339.5"/>
    <x v="188"/>
    <n v="179251800"/>
    <n v="42"/>
    <n v="4502303527"/>
    <n v="5081275280"/>
    <n v="5113218961"/>
    <m/>
    <s v="TIENE BL"/>
    <m/>
    <x v="0"/>
    <d v="2022-04-03T00:00:00"/>
    <m/>
    <m/>
    <m/>
    <m/>
    <m/>
    <m/>
    <m/>
    <m/>
    <d v="2022-04-03T00:00:00"/>
    <x v="4"/>
  </r>
  <r>
    <s v="Juan Alberto Saldarriaga Marin"/>
    <d v="2022-04-03T00:00:00"/>
    <m/>
    <n v="14"/>
    <n v="5987"/>
    <x v="1"/>
    <n v="39992.5"/>
    <x v="222"/>
    <n v="1899643.75"/>
    <n v="0"/>
    <n v="4502303527"/>
    <n v="5081275280"/>
    <n v="5113218962"/>
    <m/>
    <m/>
    <m/>
    <x v="0"/>
    <d v="2022-04-03T00:00:00"/>
    <m/>
    <m/>
    <m/>
    <m/>
    <m/>
    <m/>
    <m/>
    <m/>
    <d v="2022-04-03T00:00:00"/>
    <x v="4"/>
  </r>
  <r>
    <s v="Tanagro S.A.S Zomac"/>
    <d v="2022-04-06T00:00:00"/>
    <d v="2022-04-06T00:00:00"/>
    <n v="14"/>
    <s v="Z103"/>
    <x v="2"/>
    <n v="18787"/>
    <x v="113"/>
    <n v="148417300"/>
    <n v="45"/>
    <n v="4502301557"/>
    <n v="5081275278"/>
    <n v="5113222483"/>
    <m/>
    <s v="CON RETEN"/>
    <s v="D Alejandro llamada - correo "/>
    <x v="0"/>
    <d v="2022-04-03T00:00:00"/>
    <m/>
    <m/>
    <m/>
    <m/>
    <m/>
    <m/>
    <m/>
    <m/>
    <d v="2022-04-03T00:00:00"/>
    <x v="4"/>
  </r>
  <r>
    <s v="Tanagro S.A.S Zomac"/>
    <d v="2022-04-06T00:00:00"/>
    <d v="2022-04-06T00:00:00"/>
    <n v="14"/>
    <s v="NCR84"/>
    <x v="2"/>
    <n v="18787"/>
    <x v="223"/>
    <n v="-221874.47000000751"/>
    <n v="0"/>
    <n v="4502301557"/>
    <n v="5081275278"/>
    <n v="5113222484"/>
    <m/>
    <m/>
    <m/>
    <x v="0"/>
    <d v="2022-04-03T00:00:00"/>
    <m/>
    <m/>
    <m/>
    <m/>
    <m/>
    <m/>
    <m/>
    <m/>
    <d v="2022-04-03T00:00:00"/>
    <x v="4"/>
  </r>
  <r>
    <s v="David Martinez Jaramillo"/>
    <d v="2022-04-03T00:00:00"/>
    <d v="2022-04-05T00:00:00"/>
    <n v="14"/>
    <s v="DM159"/>
    <x v="1"/>
    <n v="20144"/>
    <x v="224"/>
    <n v="172231200"/>
    <n v="43"/>
    <n v="4502301558"/>
    <n v="5081276206"/>
    <n v="5113218159"/>
    <m/>
    <s v="TIENE BL"/>
    <m/>
    <x v="0"/>
    <d v="2022-04-03T00:00:00"/>
    <m/>
    <m/>
    <m/>
    <m/>
    <m/>
    <m/>
    <m/>
    <m/>
    <d v="2022-04-03T00:00:00"/>
    <x v="4"/>
  </r>
  <r>
    <s v="David Martinez Jaramillo"/>
    <d v="2022-04-05T00:00:00"/>
    <d v="2022-04-05T00:00:00"/>
    <n v="14"/>
    <s v="NC20"/>
    <x v="1"/>
    <n v="20144"/>
    <x v="225"/>
    <n v="-895199.36000001023"/>
    <n v="0"/>
    <n v="4502301558"/>
    <n v="5081276206"/>
    <n v="5113218163"/>
    <m/>
    <m/>
    <m/>
    <x v="0"/>
    <d v="2022-04-03T00:00:00"/>
    <m/>
    <m/>
    <m/>
    <m/>
    <m/>
    <m/>
    <m/>
    <m/>
    <d v="2022-04-03T00:00:00"/>
    <x v="4"/>
  </r>
  <r>
    <s v="Agropecuaria Tabaida S.A.S"/>
    <d v="2022-04-03T00:00:00"/>
    <d v="2022-04-05T00:00:00"/>
    <n v="14"/>
    <s v="MT-1318"/>
    <x v="1"/>
    <n v="20295"/>
    <x v="28"/>
    <n v="157286250"/>
    <n v="42"/>
    <n v="4502303851"/>
    <n v="5081262662"/>
    <n v="5113218471"/>
    <s v="TIENE BL"/>
    <s v="TYC 4792500"/>
    <m/>
    <x v="0"/>
    <d v="2022-04-03T00:00:00"/>
    <n v="4902242374"/>
    <n v="4792500"/>
    <s v="ETE-2861"/>
    <n v="5113220322"/>
    <m/>
    <m/>
    <m/>
    <m/>
    <d v="2022-04-03T00:00:00"/>
    <x v="4"/>
  </r>
  <r>
    <s v="Juan Alberto Saldarriaga Marin"/>
    <d v="2022-04-04T00:00:00"/>
    <m/>
    <n v="14"/>
    <n v="5988"/>
    <x v="1"/>
    <n v="13537.5"/>
    <x v="188"/>
    <n v="113715000"/>
    <n v="28"/>
    <n v="4502304717"/>
    <n v="5081304312"/>
    <n v="5113225322"/>
    <m/>
    <s v="TIENE BL"/>
    <m/>
    <x v="0"/>
    <d v="2022-04-04T00:00:00"/>
    <m/>
    <m/>
    <m/>
    <m/>
    <m/>
    <m/>
    <m/>
    <m/>
    <d v="2022-04-04T00:00:00"/>
    <x v="4"/>
  </r>
  <r>
    <s v="Juan Alberto Saldarriaga Marin"/>
    <d v="2022-04-04T00:00:00"/>
    <m/>
    <n v="14"/>
    <n v="5989"/>
    <x v="1"/>
    <n v="13537.5"/>
    <x v="2"/>
    <n v="1353750"/>
    <n v="0"/>
    <n v="4502304717"/>
    <n v="5081304312"/>
    <n v="5113225323"/>
    <m/>
    <m/>
    <m/>
    <x v="0"/>
    <d v="2022-04-04T00:00:00"/>
    <m/>
    <m/>
    <m/>
    <m/>
    <m/>
    <m/>
    <m/>
    <m/>
    <d v="2022-04-04T00:00:00"/>
    <x v="4"/>
  </r>
  <r>
    <s v="Luis Fernando Rojas Prada"/>
    <d v="2022-04-05T00:00:00"/>
    <d v="2022-04-05T00:00:00"/>
    <n v="14"/>
    <s v="FELC-840"/>
    <x v="2"/>
    <n v="40468"/>
    <x v="56"/>
    <n v="307556800"/>
    <n v="84"/>
    <n v="4502304848"/>
    <n v="5081287013"/>
    <n v="5113218887"/>
    <s v="TIENE BL"/>
    <s v="EJ*6 3062400*6"/>
    <s v="SR2513638"/>
    <x v="0"/>
    <d v="2022-04-04T00:00:00"/>
    <n v="4902242377"/>
    <n v="18374400"/>
    <s v="FEMD-3746*6"/>
    <n v="5113218660"/>
    <m/>
    <m/>
    <m/>
    <m/>
    <d v="2022-04-04T00:00:00"/>
    <x v="4"/>
  </r>
  <r>
    <s v="Agroindustria Ganadera Valle Del Cesar"/>
    <d v="2022-04-06T00:00:00"/>
    <m/>
    <n v="14"/>
    <s v="FE-43"/>
    <x v="2"/>
    <n v="13653"/>
    <x v="54"/>
    <n v="106493400"/>
    <n v="28"/>
    <n v="4502301560"/>
    <n v="5081287375"/>
    <n v="5113225320"/>
    <m/>
    <s v="CON RETEN"/>
    <m/>
    <x v="0"/>
    <d v="2022-04-04T00:00:00"/>
    <m/>
    <m/>
    <m/>
    <m/>
    <m/>
    <m/>
    <m/>
    <m/>
    <d v="2022-04-04T00:00:00"/>
    <x v="4"/>
  </r>
  <r>
    <s v="Agroindustria Ganadera Valle Del Cesar"/>
    <d v="2022-04-06T00:00:00"/>
    <m/>
    <n v="14"/>
    <s v="D00215"/>
    <x v="2"/>
    <n v="13653"/>
    <x v="13"/>
    <n v="682650"/>
    <n v="0"/>
    <n v="4502301560"/>
    <n v="5081287375"/>
    <n v="5113225321"/>
    <m/>
    <m/>
    <m/>
    <x v="0"/>
    <d v="2022-04-04T00:00:00"/>
    <m/>
    <m/>
    <m/>
    <m/>
    <m/>
    <m/>
    <m/>
    <m/>
    <d v="2022-04-04T00:00:00"/>
    <x v="4"/>
  </r>
  <r>
    <s v="Agropastoril De Colombia S.A.S."/>
    <d v="2022-04-04T00:00:00"/>
    <m/>
    <n v="14"/>
    <s v="AP-68"/>
    <x v="2"/>
    <n v="14008"/>
    <x v="113"/>
    <n v="110663200"/>
    <n v="28"/>
    <n v="4502304851"/>
    <n v="5081287015"/>
    <n v="5113218888"/>
    <s v="CON RETEN"/>
    <s v="EJ*2 1638226*2"/>
    <m/>
    <x v="0"/>
    <d v="2022-04-04T00:00:00"/>
    <n v="4902242379"/>
    <n v="3276452"/>
    <s v="FEMD-3738*2"/>
    <n v="5113218645"/>
    <m/>
    <m/>
    <m/>
    <m/>
    <d v="2022-04-04T00:00:00"/>
    <x v="4"/>
  </r>
  <r>
    <s v="David Martinez Jaramillo"/>
    <d v="2022-04-04T00:00:00"/>
    <d v="2022-04-06T00:00:00"/>
    <n v="14"/>
    <s v="DM-160"/>
    <x v="1"/>
    <n v="13298.5"/>
    <x v="224"/>
    <n v="113702175"/>
    <n v="28"/>
    <n v="4502301561"/>
    <n v="5081287376"/>
    <n v="5113219987"/>
    <m/>
    <s v="TIENE BL"/>
    <m/>
    <x v="0"/>
    <d v="2022-04-04T00:00:00"/>
    <m/>
    <m/>
    <m/>
    <m/>
    <m/>
    <m/>
    <m/>
    <m/>
    <d v="2022-04-04T00:00:00"/>
    <x v="4"/>
  </r>
  <r>
    <s v="Agropecuaria Tabaida S.A.S"/>
    <d v="2022-04-03T00:00:00"/>
    <d v="2022-04-05T00:00:00"/>
    <n v="14"/>
    <s v="MT-1319"/>
    <x v="1"/>
    <n v="19751"/>
    <x v="28"/>
    <n v="153070250"/>
    <n v="42"/>
    <n v="4502304857"/>
    <n v="5081287017"/>
    <n v="5113218474"/>
    <s v="TIENE BL"/>
    <s v="EJ*3 1793900*3"/>
    <s v="SR2513583"/>
    <x v="0"/>
    <d v="2022-04-04T00:00:00"/>
    <s v="4902242381 y 4902244515"/>
    <n v="5381700"/>
    <s v="FEMD-3749*1"/>
    <n v="5113218538"/>
    <s v="FEMD-3748*2"/>
    <m/>
    <m/>
    <m/>
    <d v="2022-04-04T00:00:00"/>
    <x v="4"/>
  </r>
  <r>
    <s v="Sociedad Comercializadora Ganadera"/>
    <d v="2022-04-12T00:00:00"/>
    <d v="2022-04-12T00:00:00"/>
    <n v="14"/>
    <s v="FEDV262"/>
    <x v="1"/>
    <n v="6701"/>
    <x v="213"/>
    <n v="56958500"/>
    <n v="15"/>
    <n v="4502303529"/>
    <n v="5081287377"/>
    <n v="5113233571"/>
    <m/>
    <s v="TIENE BL"/>
    <s v="SR2524450"/>
    <x v="0"/>
    <d v="2022-04-04T00:00:00"/>
    <m/>
    <m/>
    <m/>
    <m/>
    <m/>
    <m/>
    <m/>
    <m/>
    <d v="2022-04-04T00:00:00"/>
    <x v="4"/>
  </r>
  <r>
    <s v="Sociedad Comercializadora Ganadera"/>
    <d v="2022-04-12T00:00:00"/>
    <d v="2022-04-12T00:00:00"/>
    <n v="14"/>
    <s v="ND19"/>
    <x v="1"/>
    <n v="6701"/>
    <x v="226"/>
    <n v="180927"/>
    <n v="0"/>
    <n v="4502303529"/>
    <n v="5081287377"/>
    <n v="5113233572"/>
    <m/>
    <m/>
    <m/>
    <x v="0"/>
    <d v="2022-04-04T00:00:00"/>
    <m/>
    <m/>
    <m/>
    <m/>
    <m/>
    <m/>
    <m/>
    <m/>
    <d v="2022-04-04T00:00:00"/>
    <x v="4"/>
  </r>
  <r>
    <s v="Inversiones Urbagro S.A.S"/>
    <d v="2022-04-12T00:00:00"/>
    <d v="2022-04-12T00:00:00"/>
    <n v="14"/>
    <s v="FE-14"/>
    <x v="0"/>
    <n v="13628"/>
    <x v="76"/>
    <n v="110386800"/>
    <n v="30"/>
    <n v="4502301562"/>
    <n v="5081304309"/>
    <n v="5113238223"/>
    <s v="Caso IN22889"/>
    <s v="CON RETEN"/>
    <s v="SR2516846 Esta pendiente validar precio "/>
    <x v="0"/>
    <d v="2022-04-05T00:00:00"/>
    <m/>
    <m/>
    <m/>
    <m/>
    <m/>
    <m/>
    <m/>
    <m/>
    <d v="2022-04-05T00:00:00"/>
    <x v="4"/>
  </r>
  <r>
    <s v="Inversiones Urbagro S.A.S"/>
    <d v="2022-04-12T00:00:00"/>
    <d v="2022-04-12T00:00:00"/>
    <n v="14"/>
    <s v="ND2"/>
    <x v="0"/>
    <n v="13628"/>
    <x v="2"/>
    <n v="1362800"/>
    <n v="0"/>
    <n v="4502301562"/>
    <n v="5081304309"/>
    <n v="5113238226"/>
    <s v="Caso IN22889"/>
    <m/>
    <m/>
    <x v="0"/>
    <d v="2022-04-05T00:00:00"/>
    <m/>
    <m/>
    <m/>
    <m/>
    <m/>
    <m/>
    <m/>
    <m/>
    <d v="2022-04-05T00:00:00"/>
    <x v="4"/>
  </r>
  <r>
    <s v="Lina Maria Pelaez Gomez"/>
    <d v="2022-04-05T00:00:00"/>
    <d v="2022-04-08T00:00:00"/>
    <n v="14"/>
    <s v="LP81"/>
    <x v="0"/>
    <n v="28213.5"/>
    <x v="224"/>
    <n v="241225425"/>
    <n v="60"/>
    <n v="4502301563"/>
    <n v="5081304465"/>
    <n v="5113226613"/>
    <m/>
    <s v="TIENE BL"/>
    <m/>
    <x v="0"/>
    <d v="2022-04-05T00:00:00"/>
    <m/>
    <m/>
    <m/>
    <m/>
    <m/>
    <m/>
    <m/>
    <m/>
    <d v="2022-04-05T00:00:00"/>
    <x v="4"/>
  </r>
  <r>
    <s v="JERAL S.A.S"/>
    <d v="2022-04-06T00:00:00"/>
    <m/>
    <n v="14"/>
    <s v="JFEV-51"/>
    <x v="0"/>
    <n v="26308"/>
    <x v="3"/>
    <n v="201256200"/>
    <n v="56"/>
    <n v="4502304858"/>
    <n v="5081287071"/>
    <n v="5113226610"/>
    <s v="TIENE BL "/>
    <s v="EJ*4 2979200*4"/>
    <s v="No contesta se dejo mensaje de vos - correo "/>
    <x v="0"/>
    <d v="2022-04-05T00:00:00"/>
    <n v="4902242385"/>
    <n v="11916800"/>
    <s v="FEMD-3753*4"/>
    <n v="5113221101"/>
    <m/>
    <m/>
    <m/>
    <m/>
    <d v="2022-04-05T00:00:00"/>
    <x v="4"/>
  </r>
  <r>
    <s v="Gloria Helena Gutierrez Gomez"/>
    <d v="2022-04-06T00:00:00"/>
    <m/>
    <n v="14"/>
    <s v="FE-104"/>
    <x v="0"/>
    <n v="13588"/>
    <x v="54"/>
    <n v="105986400"/>
    <n v="28"/>
    <n v="4502304752"/>
    <n v="5081287073"/>
    <n v="5113221055"/>
    <m/>
    <s v="EJ*2 1793900*2"/>
    <s v="CON RETEN"/>
    <x v="0"/>
    <d v="2022-04-05T00:00:00"/>
    <n v="4502304752"/>
    <n v="3587800"/>
    <s v="FEMD-3756*2"/>
    <n v="5113218457"/>
    <m/>
    <m/>
    <m/>
    <m/>
    <d v="2022-04-05T00:00:00"/>
    <x v="4"/>
  </r>
  <r>
    <s v="Gonzalo Hoyos Pulido"/>
    <d v="2022-04-05T00:00:00"/>
    <m/>
    <n v="14"/>
    <s v="FELE-56"/>
    <x v="0"/>
    <n v="12549"/>
    <x v="207"/>
    <n v="104156700"/>
    <n v="28"/>
    <n v="4502303534"/>
    <n v="5081304311"/>
    <n v="5113227973"/>
    <m/>
    <m/>
    <s v="SR2512963 Miguel Va a validar con la conta"/>
    <x v="0"/>
    <d v="2022-04-05T00:00:00"/>
    <m/>
    <m/>
    <m/>
    <m/>
    <m/>
    <m/>
    <m/>
    <m/>
    <d v="2022-04-05T00:00:00"/>
    <x v="4"/>
  </r>
  <r>
    <s v="Inversiones Valle Del Canalete S.A.S"/>
    <d v="2022-04-05T00:00:00"/>
    <d v="2022-04-07T00:00:00"/>
    <n v="14"/>
    <s v="IVC107"/>
    <x v="1"/>
    <n v="20227"/>
    <x v="113"/>
    <n v="159793300"/>
    <n v="42"/>
    <n v="4502304860"/>
    <n v="5081287072"/>
    <n v="5113223145"/>
    <m/>
    <s v="EJ*3 1793900*3"/>
    <m/>
    <x v="0"/>
    <d v="2022-04-05T00:00:00"/>
    <n v="4902242388"/>
    <n v="5381700"/>
    <s v="FEMD-3754*3"/>
    <n v="5113218604"/>
    <m/>
    <m/>
    <m/>
    <m/>
    <d v="2022-04-05T00:00:00"/>
    <x v="4"/>
  </r>
  <r>
    <s v="Inversiones Agropecuaria Triplesiete S.A.S."/>
    <d v="2022-04-05T00:00:00"/>
    <m/>
    <n v="14"/>
    <s v="FEVM-416"/>
    <x v="1"/>
    <n v="14181.5"/>
    <x v="113"/>
    <n v="112033850"/>
    <n v="30"/>
    <n v="4502301564"/>
    <n v="5081304466"/>
    <n v="5113234466"/>
    <m/>
    <s v="CON RETEN"/>
    <s v="Ramon no contesta le deje mensaje ws "/>
    <x v="0"/>
    <d v="2022-04-05T00:00:00"/>
    <m/>
    <m/>
    <m/>
    <m/>
    <m/>
    <m/>
    <m/>
    <m/>
    <d v="2022-04-05T00:00:00"/>
    <x v="4"/>
  </r>
  <r>
    <s v="Lismenia Torcoroma Rincon Hernandez"/>
    <d v="2022-04-07T00:00:00"/>
    <m/>
    <n v="15"/>
    <s v="GANA-176"/>
    <x v="0"/>
    <n v="28727"/>
    <x v="175"/>
    <n v="235561400"/>
    <n v="60"/>
    <n v="4502306080"/>
    <n v="5081359472"/>
    <n v="5113233662"/>
    <m/>
    <s v="TIENE BL"/>
    <m/>
    <x v="0"/>
    <d v="2022-04-07T00:00:00"/>
    <m/>
    <m/>
    <m/>
    <m/>
    <m/>
    <m/>
    <m/>
    <m/>
    <d v="2022-04-07T00:00:00"/>
    <x v="4"/>
  </r>
  <r>
    <s v="Lismenia Torcoroma Rincon Hernandez"/>
    <d v="2022-04-07T00:00:00"/>
    <d v="2022-04-19T00:00:00"/>
    <n v="15"/>
    <s v="ND 000013"/>
    <x v="0"/>
    <n v="28727"/>
    <x v="13"/>
    <n v="1436350"/>
    <n v="0"/>
    <n v="4502306080"/>
    <n v="5081359472"/>
    <n v="5113243343"/>
    <m/>
    <m/>
    <s v="SR2530150 Se solicito por correo "/>
    <x v="0"/>
    <d v="2022-04-07T00:00:00"/>
    <m/>
    <m/>
    <m/>
    <m/>
    <m/>
    <m/>
    <m/>
    <m/>
    <d v="2022-04-07T00:00:00"/>
    <x v="4"/>
  </r>
  <r>
    <s v="David Martinez Jaramillo"/>
    <d v="2022-04-08T00:00:00"/>
    <d v="2022-04-11T00:00:00"/>
    <n v="15"/>
    <s v="DM163"/>
    <x v="0"/>
    <n v="51842.5"/>
    <x v="227"/>
    <n v="451029750"/>
    <n v="114"/>
    <n v="4502306081"/>
    <n v="5081360263"/>
    <n v="5113226616"/>
    <m/>
    <s v="TIENE BL"/>
    <m/>
    <x v="0"/>
    <d v="2022-04-07T00:00:00"/>
    <m/>
    <m/>
    <m/>
    <m/>
    <m/>
    <m/>
    <m/>
    <m/>
    <d v="2022-04-07T00:00:00"/>
    <x v="4"/>
  </r>
  <r>
    <s v="David Martinez Jaramillo"/>
    <d v="2022-04-11T00:00:00"/>
    <d v="2022-04-11T00:00:00"/>
    <n v="15"/>
    <s v="NC21"/>
    <x v="0"/>
    <n v="51842.5"/>
    <x v="228"/>
    <n v="-78282.17500001131"/>
    <n v="0"/>
    <n v="4502306081"/>
    <n v="5081360263"/>
    <n v="5113226617"/>
    <m/>
    <m/>
    <m/>
    <x v="0"/>
    <d v="2022-04-07T00:00:00"/>
    <m/>
    <m/>
    <m/>
    <m/>
    <m/>
    <m/>
    <m/>
    <m/>
    <d v="2022-04-07T00:00:00"/>
    <x v="4"/>
  </r>
  <r>
    <s v="Sociedad Comercializadora Ganadera"/>
    <d v="2022-04-12T00:00:00"/>
    <d v="2022-04-12T00:00:00"/>
    <n v="15"/>
    <s v="FEDV263"/>
    <x v="0"/>
    <n v="39061"/>
    <x v="219"/>
    <n v="341783750"/>
    <n v="75"/>
    <n v="4502306082"/>
    <n v="5081359473"/>
    <n v="5113233573"/>
    <m/>
    <s v="TIENE BL"/>
    <s v="SR2524454"/>
    <x v="0"/>
    <d v="2022-04-07T00:00:00"/>
    <m/>
    <m/>
    <m/>
    <m/>
    <m/>
    <m/>
    <m/>
    <m/>
    <d v="2022-04-07T00:00:00"/>
    <x v="4"/>
  </r>
  <r>
    <s v="Sociedad Comercializadora Ganadera"/>
    <d v="2022-04-12T00:00:00"/>
    <d v="2022-04-12T00:00:00"/>
    <n v="15"/>
    <s v="NC116"/>
    <x v="0"/>
    <n v="39061"/>
    <x v="229"/>
    <n v="-37107.950000028417"/>
    <n v="0"/>
    <n v="4502306082"/>
    <n v="5081359473"/>
    <n v="5113233574"/>
    <m/>
    <m/>
    <m/>
    <x v="0"/>
    <d v="2022-04-07T00:00:00"/>
    <m/>
    <m/>
    <m/>
    <m/>
    <m/>
    <m/>
    <m/>
    <m/>
    <d v="2022-04-07T00:00:00"/>
    <x v="4"/>
  </r>
  <r>
    <s v="Sociedad Comercializadora Ganadera"/>
    <d v="2022-04-12T00:00:00"/>
    <d v="2022-04-12T00:00:00"/>
    <n v="15"/>
    <s v="FEDV264"/>
    <x v="0"/>
    <n v="15652"/>
    <x v="219"/>
    <n v="136955000"/>
    <n v="30"/>
    <n v="4502306082"/>
    <n v="5081359473"/>
    <n v="5113233575"/>
    <m/>
    <s v="TIENE BL"/>
    <s v="SR2524457"/>
    <x v="0"/>
    <d v="2022-04-07T00:00:00"/>
    <m/>
    <m/>
    <m/>
    <m/>
    <m/>
    <m/>
    <m/>
    <m/>
    <d v="2022-04-07T00:00:00"/>
    <x v="4"/>
  </r>
  <r>
    <s v="Sociedad Comercializadora Ganadera"/>
    <d v="2022-04-12T00:00:00"/>
    <d v="2022-04-12T00:00:00"/>
    <n v="15"/>
    <s v="NC117"/>
    <x v="0"/>
    <n v="15652"/>
    <x v="230"/>
    <n v="-2098620.1599999988"/>
    <n v="0"/>
    <n v="4502306082"/>
    <n v="5081359473"/>
    <n v="5113233576"/>
    <m/>
    <m/>
    <m/>
    <x v="0"/>
    <d v="2022-04-07T00:00:00"/>
    <m/>
    <m/>
    <m/>
    <m/>
    <m/>
    <m/>
    <m/>
    <m/>
    <d v="2022-04-07T00:00:00"/>
    <x v="4"/>
  </r>
  <r>
    <s v="Adrian Alberto Alvarez Henao"/>
    <d v="2022-04-21T00:00:00"/>
    <d v="2022-04-21T00:00:00"/>
    <n v="15"/>
    <s v="AAAH-29"/>
    <x v="0"/>
    <n v="27507.5"/>
    <x v="227"/>
    <n v="239315250"/>
    <n v="60"/>
    <n v="4502306083"/>
    <n v="5081359920"/>
    <n v="5113255506"/>
    <m/>
    <s v="TIENE BL "/>
    <s v="Se solicita por correo no contestan el celular "/>
    <x v="0"/>
    <d v="2022-04-07T00:00:00"/>
    <m/>
    <m/>
    <m/>
    <m/>
    <m/>
    <m/>
    <m/>
    <m/>
    <d v="2022-04-07T00:00:00"/>
    <x v="4"/>
  </r>
  <r>
    <s v="Adrian Alberto Alvarez Henao"/>
    <d v="2022-04-21T00:00:00"/>
    <d v="2022-04-21T00:00:00"/>
    <n v="15"/>
    <s v="AD5"/>
    <x v="0"/>
    <n v="27507.5"/>
    <x v="231"/>
    <n v="-251693.62499998999"/>
    <n v="0"/>
    <n v="4502306083"/>
    <n v="5081359920"/>
    <n v="5113255620"/>
    <m/>
    <m/>
    <s v="SR2530918"/>
    <x v="0"/>
    <d v="2022-04-07T00:00:00"/>
    <m/>
    <m/>
    <m/>
    <m/>
    <m/>
    <m/>
    <m/>
    <m/>
    <d v="2022-04-07T00:00:00"/>
    <x v="4"/>
  </r>
  <r>
    <s v="Sociedad Comercializadora Ganadera"/>
    <d v="2022-04-12T00:00:00"/>
    <d v="2022-04-12T00:00:00"/>
    <n v="15"/>
    <s v="FEDV265"/>
    <x v="0"/>
    <n v="64459"/>
    <x v="219"/>
    <n v="564016250"/>
    <n v="131"/>
    <n v="4502306084"/>
    <n v="5081359688"/>
    <n v="5113233657"/>
    <m/>
    <s v="TIENE BL"/>
    <s v="SR2524459"/>
    <x v="0"/>
    <d v="2022-04-08T00:00:00"/>
    <m/>
    <m/>
    <m/>
    <m/>
    <m/>
    <m/>
    <m/>
    <m/>
    <d v="2022-04-08T00:00:00"/>
    <x v="4"/>
  </r>
  <r>
    <s v="Sociedad Comercializadora Ganadera"/>
    <d v="2022-04-12T00:00:00"/>
    <d v="2022-04-12T00:00:00"/>
    <n v="15"/>
    <s v="NC118"/>
    <x v="0"/>
    <n v="64459"/>
    <x v="232"/>
    <n v="-36097.039999967172"/>
    <n v="0"/>
    <n v="4502306084"/>
    <n v="5081359688"/>
    <n v="5113233658"/>
    <m/>
    <m/>
    <m/>
    <x v="0"/>
    <d v="2022-04-08T00:00:00"/>
    <m/>
    <m/>
    <m/>
    <m/>
    <m/>
    <m/>
    <m/>
    <m/>
    <d v="2022-04-08T00:00:00"/>
    <x v="4"/>
  </r>
  <r>
    <s v="Inversiones y Negocios V&amp;V S.A.S"/>
    <d v="2022-04-11T00:00:00"/>
    <d v="2022-04-11T00:00:00"/>
    <n v="15"/>
    <s v="FE-1624"/>
    <x v="0"/>
    <n v="13426.5"/>
    <x v="227"/>
    <n v="116810550"/>
    <n v="28"/>
    <n v="4502306085"/>
    <n v="5081359690"/>
    <n v="5113228048"/>
    <m/>
    <s v="CON RETEN"/>
    <s v="SR2513580"/>
    <x v="0"/>
    <d v="2022-04-08T00:00:00"/>
    <m/>
    <m/>
    <m/>
    <m/>
    <m/>
    <m/>
    <m/>
    <m/>
    <d v="2022-04-08T00:00:00"/>
    <x v="4"/>
  </r>
  <r>
    <s v="Luis Felipe Acevedo"/>
    <d v="2022-04-08T00:00:00"/>
    <d v="2022-04-08T00:00:00"/>
    <n v="15"/>
    <s v="FE-162"/>
    <x v="0"/>
    <n v="6772"/>
    <x v="149"/>
    <n v="53837400"/>
    <n v="15"/>
    <n v="4502308278"/>
    <n v="5081359683"/>
    <n v="5113225389"/>
    <m/>
    <s v="EJ 1245600"/>
    <s v="SR2530164 CON RETE"/>
    <x v="0"/>
    <d v="2022-04-08T00:00:00"/>
    <n v="4902246814"/>
    <n v="1245600"/>
    <s v="FEMD-3800"/>
    <n v="5113237963"/>
    <m/>
    <m/>
    <m/>
    <m/>
    <d v="2022-04-08T00:00:00"/>
    <x v="4"/>
  </r>
  <r>
    <s v="Lismenia Torcoroma Rincon Hernandez"/>
    <d v="2022-04-08T00:00:00"/>
    <m/>
    <n v="15"/>
    <s v="GANA-178"/>
    <x v="0"/>
    <n v="13030.5"/>
    <x v="175"/>
    <n v="106850100"/>
    <n v="30"/>
    <n v="4502306087"/>
    <n v="5081359691"/>
    <n v="5113237851"/>
    <m/>
    <s v="TIENE BL"/>
    <s v="Se solicita por correo "/>
    <x v="0"/>
    <d v="2022-04-08T00:00:00"/>
    <m/>
    <m/>
    <m/>
    <m/>
    <m/>
    <m/>
    <m/>
    <m/>
    <d v="2022-04-08T00:00:00"/>
    <x v="4"/>
  </r>
  <r>
    <s v="Lismenia Torcoroma Rincon Hernandez"/>
    <d v="2022-04-08T00:00:00"/>
    <m/>
    <n v="15"/>
    <s v="NC000042"/>
    <x v="0"/>
    <n v="13030.5"/>
    <x v="233"/>
    <n v="-77401.170000006634"/>
    <n v="0"/>
    <n v="4502306087"/>
    <n v="5081359691"/>
    <n v="5113237852"/>
    <m/>
    <m/>
    <m/>
    <x v="0"/>
    <d v="2022-04-08T00:00:00"/>
    <m/>
    <m/>
    <m/>
    <m/>
    <m/>
    <m/>
    <m/>
    <m/>
    <d v="2022-04-08T00:00:00"/>
    <x v="4"/>
  </r>
  <r>
    <s v="Agropecuaria Tabaida S.A.S"/>
    <d v="2022-04-08T00:00:00"/>
    <d v="2022-04-12T00:00:00"/>
    <n v="15"/>
    <s v="MT-1327"/>
    <x v="2"/>
    <n v="38847"/>
    <x v="151"/>
    <n v="316603050"/>
    <n v="84"/>
    <n v="4502309490"/>
    <n v="5081386611"/>
    <n v="5113233660"/>
    <s v="TIENE BL"/>
    <m/>
    <s v="SR2513583"/>
    <x v="1"/>
    <d v="2022-04-08T00:00:00"/>
    <m/>
    <m/>
    <m/>
    <m/>
    <m/>
    <m/>
    <m/>
    <m/>
    <d v="2022-04-08T00:00:00"/>
    <x v="4"/>
  </r>
  <r>
    <s v="Agropecuaria Bajogrande S.A."/>
    <d v="2022-04-12T00:00:00"/>
    <d v="2022-04-12T00:00:00"/>
    <n v="15"/>
    <s v="AB571"/>
    <x v="2"/>
    <n v="13316"/>
    <x v="188"/>
    <n v="111854400"/>
    <n v="26"/>
    <n v="4502309494"/>
    <n v="5081386769"/>
    <n v="5113229863"/>
    <m/>
    <s v="CON RETEN"/>
    <m/>
    <x v="1"/>
    <d v="2022-04-08T00:00:00"/>
    <m/>
    <m/>
    <m/>
    <m/>
    <m/>
    <m/>
    <m/>
    <m/>
    <d v="2022-04-08T00:00:00"/>
    <x v="4"/>
  </r>
  <r>
    <s v="Mauricio De Jesús Bernal Jaramillo"/>
    <d v="2022-04-12T00:00:00"/>
    <d v="2022-04-12T00:00:00"/>
    <n v="15"/>
    <s v="FE174"/>
    <x v="2"/>
    <n v="12875"/>
    <x v="188"/>
    <n v="108150000"/>
    <n v="30"/>
    <n v="4502309502"/>
    <n v="5081386768"/>
    <n v="5113228492"/>
    <m/>
    <s v="CON RETEN"/>
    <m/>
    <x v="1"/>
    <d v="2022-04-08T00:00:00"/>
    <m/>
    <m/>
    <m/>
    <m/>
    <m/>
    <m/>
    <m/>
    <m/>
    <d v="2022-04-08T00:00:00"/>
    <x v="4"/>
  </r>
  <r>
    <s v="Lafe Sierra S.A.S"/>
    <d v="2022-11-04T00:00:00"/>
    <d v="2022-04-11T00:00:00"/>
    <n v="15"/>
    <s v="FELS312"/>
    <x v="2"/>
    <n v="13935"/>
    <x v="149"/>
    <n v="110783250"/>
    <n v="28"/>
    <n v="4502308471"/>
    <n v="5081370886"/>
    <n v="5113229031"/>
    <s v="CON RETEN"/>
    <s v="EJ*2 910200*2"/>
    <m/>
    <x v="1"/>
    <d v="2022-04-08T00:00:00"/>
    <n v="4502308471"/>
    <n v="1820400"/>
    <s v="FEMD-3801*4"/>
    <n v="5113227877"/>
    <m/>
    <m/>
    <m/>
    <m/>
    <d v="2022-04-08T00:00:00"/>
    <x v="4"/>
  </r>
  <r>
    <s v="Lafe Sierra S.A.S"/>
    <d v="2022-01-04T00:00:00"/>
    <d v="2022-04-11T00:00:00"/>
    <n v="15"/>
    <s v="FELS311"/>
    <x v="2"/>
    <n v="13565"/>
    <x v="145"/>
    <n v="109198250"/>
    <n v="28"/>
    <n v="4502308469"/>
    <n v="5081370883"/>
    <n v="5113229033"/>
    <s v="CON RETEN"/>
    <s v="EJ*2 910200*2"/>
    <m/>
    <x v="1"/>
    <d v="2022-04-08T00:00:00"/>
    <n v="4502308469"/>
    <n v="1820400"/>
    <s v="FEMD-3801*4"/>
    <n v="5113227877"/>
    <m/>
    <m/>
    <m/>
    <m/>
    <d v="2022-04-08T00:00:00"/>
    <x v="4"/>
  </r>
  <r>
    <s v="Gloria Helena Gutierrez Gomez"/>
    <d v="2022-04-11T00:00:00"/>
    <m/>
    <n v="15"/>
    <s v="FE-106"/>
    <x v="2"/>
    <n v="12680"/>
    <x v="113"/>
    <n v="100172000"/>
    <n v="28"/>
    <n v="4502308467"/>
    <n v="5081370879"/>
    <n v="5113228047"/>
    <m/>
    <s v="EJ*2 624200*2"/>
    <s v="SR2516754 CON RETEN"/>
    <x v="1"/>
    <d v="2022-04-08T00:00:00"/>
    <n v="4502308467"/>
    <n v="1248400"/>
    <s v="FEMD-3805*2"/>
    <n v="5113227881"/>
    <m/>
    <m/>
    <m/>
    <m/>
    <d v="2022-04-08T00:00:00"/>
    <x v="4"/>
  </r>
  <r>
    <s v="31416 S.A.S"/>
    <d v="2022-04-12T00:00:00"/>
    <d v="2022-04-12T00:00:00"/>
    <n v="15"/>
    <s v="PI 138"/>
    <x v="2"/>
    <n v="7578"/>
    <x v="234"/>
    <n v="64034100"/>
    <n v="15"/>
    <n v="4502309507"/>
    <n v="5081386773"/>
    <n v="5113229862"/>
    <m/>
    <s v="CON RETEN"/>
    <m/>
    <x v="1"/>
    <d v="2022-04-08T00:00:00"/>
    <m/>
    <m/>
    <m/>
    <m/>
    <m/>
    <m/>
    <m/>
    <m/>
    <d v="2022-04-08T00:00:00"/>
    <x v="4"/>
  </r>
  <r>
    <s v="Inversiones Valle Del Canalete S.A.S"/>
    <d v="2022-04-10T00:00:00"/>
    <d v="2022-04-18T00:00:00"/>
    <n v="15"/>
    <s v="IVC108"/>
    <x v="2"/>
    <n v="19034"/>
    <x v="234"/>
    <n v="160837300"/>
    <n v="42"/>
    <n v="4502311673"/>
    <n v="5081423867"/>
    <n v="5113237848"/>
    <m/>
    <s v="CON RETEN"/>
    <m/>
    <x v="1"/>
    <d v="2022-04-10T00:00:00"/>
    <m/>
    <m/>
    <m/>
    <m/>
    <m/>
    <m/>
    <m/>
    <m/>
    <d v="2022-04-10T00:00:00"/>
    <x v="4"/>
  </r>
  <r>
    <s v="Sociedad Comercializadora Ganadera"/>
    <d v="2022-04-18T00:00:00"/>
    <d v="2022-04-18T00:00:00"/>
    <n v="15"/>
    <s v="FEDV266"/>
    <x v="0"/>
    <n v="51837"/>
    <x v="219"/>
    <n v="453573750"/>
    <n v="112"/>
    <n v="4502306089"/>
    <n v="5081403808"/>
    <n v="5113238076"/>
    <m/>
    <s v="TIENE BL"/>
    <s v="SR2532712"/>
    <x v="0"/>
    <d v="2022-04-12T00:00:00"/>
    <m/>
    <m/>
    <m/>
    <m/>
    <m/>
    <m/>
    <m/>
    <m/>
    <d v="2022-04-12T00:00:00"/>
    <x v="4"/>
  </r>
  <r>
    <s v="Sociedad Comercializadora Ganadera"/>
    <d v="2022-04-18T00:00:00"/>
    <d v="2022-04-18T00:00:00"/>
    <n v="15"/>
    <s v="NC119"/>
    <x v="0"/>
    <n v="51837"/>
    <x v="235"/>
    <n v="-118706.73000004527"/>
    <n v="0"/>
    <n v="4502306089"/>
    <n v="5081403808"/>
    <n v="5113238157"/>
    <m/>
    <m/>
    <m/>
    <x v="0"/>
    <d v="2022-04-12T00:00:00"/>
    <m/>
    <m/>
    <m/>
    <m/>
    <m/>
    <m/>
    <m/>
    <m/>
    <d v="2022-04-12T00:00:00"/>
    <x v="4"/>
  </r>
  <r>
    <s v="Sociedad Comercializadora Ganadera"/>
    <d v="2022-04-18T00:00:00"/>
    <d v="2022-04-18T00:00:00"/>
    <n v="15"/>
    <s v="FEDV267"/>
    <x v="0"/>
    <n v="22196.5"/>
    <x v="219"/>
    <n v="194219375"/>
    <n v="45"/>
    <n v="4502306089"/>
    <n v="5081403808"/>
    <n v="5113238160"/>
    <m/>
    <s v="TIENE BL"/>
    <s v="SR2532712"/>
    <x v="0"/>
    <d v="2022-04-12T00:00:00"/>
    <m/>
    <m/>
    <m/>
    <m/>
    <m/>
    <m/>
    <m/>
    <m/>
    <d v="2022-04-12T00:00:00"/>
    <x v="4"/>
  </r>
  <r>
    <s v="Sociedad Comercializadora Ganadera"/>
    <d v="2022-04-18T00:00:00"/>
    <d v="2022-04-18T00:00:00"/>
    <n v="15"/>
    <s v="NC120"/>
    <x v="0"/>
    <n v="22196.5"/>
    <x v="236"/>
    <n v="-77909.715000004842"/>
    <n v="0"/>
    <n v="4502306089"/>
    <n v="5081403808"/>
    <n v="5113238162"/>
    <m/>
    <m/>
    <m/>
    <x v="0"/>
    <d v="2022-04-12T00:00:00"/>
    <m/>
    <m/>
    <m/>
    <m/>
    <m/>
    <m/>
    <m/>
    <m/>
    <d v="2022-04-12T00:00:00"/>
    <x v="4"/>
  </r>
  <r>
    <s v="Maria Victoria Martinez Jaramillo"/>
    <d v="2022-04-18T00:00:00"/>
    <d v="2022-04-18T00:00:00"/>
    <n v="15"/>
    <s v="FE-26"/>
    <x v="0"/>
    <n v="6052.5"/>
    <x v="234"/>
    <n v="51143625"/>
    <n v="14"/>
    <n v="4502306090"/>
    <n v="5081403809"/>
    <n v="5113235011"/>
    <m/>
    <s v="TIENE BL"/>
    <m/>
    <x v="0"/>
    <d v="2022-04-12T00:00:00"/>
    <m/>
    <m/>
    <m/>
    <m/>
    <m/>
    <m/>
    <m/>
    <m/>
    <d v="2022-04-12T00:00:00"/>
    <x v="4"/>
  </r>
  <r>
    <s v="Maria Victoria Martinez Jaramillo"/>
    <d v="2022-04-18T00:00:00"/>
    <d v="2022-04-18T00:00:00"/>
    <n v="15"/>
    <s v="FE-27"/>
    <x v="0"/>
    <n v="6052.5"/>
    <x v="13"/>
    <n v="302625"/>
    <n v="0"/>
    <n v="4502306090"/>
    <n v="5081403809"/>
    <n v="5113235015"/>
    <m/>
    <m/>
    <m/>
    <x v="0"/>
    <d v="2022-04-12T00:00:00"/>
    <m/>
    <m/>
    <m/>
    <m/>
    <m/>
    <m/>
    <m/>
    <m/>
    <d v="2022-04-12T00:00:00"/>
    <x v="4"/>
  </r>
  <r>
    <s v="Agroindustria Ganadera Valle Del Cesar"/>
    <d v="2022-04-18T00:00:00"/>
    <d v="2022-04-18T00:00:00"/>
    <n v="15"/>
    <s v="FE-45"/>
    <x v="1"/>
    <n v="13250"/>
    <x v="113"/>
    <n v="104675000"/>
    <n v="28"/>
    <n v="4502306091"/>
    <n v="5081403810"/>
    <n v="5113235491"/>
    <m/>
    <s v="CON RETEN"/>
    <m/>
    <x v="0"/>
    <d v="2022-04-12T00:00:00"/>
    <m/>
    <m/>
    <m/>
    <m/>
    <m/>
    <m/>
    <m/>
    <m/>
    <d v="2022-04-12T00:00:00"/>
    <x v="4"/>
  </r>
  <r>
    <s v="Agroindustria Ganadera Valle Del Cesar"/>
    <d v="2022-04-18T00:00:00"/>
    <d v="2022-04-18T00:00:00"/>
    <n v="15"/>
    <s v="D00216"/>
    <x v="1"/>
    <n v="13250"/>
    <x v="13"/>
    <n v="662500"/>
    <n v="0"/>
    <n v="4502306091"/>
    <n v="5081403810"/>
    <n v="5113235492"/>
    <m/>
    <m/>
    <m/>
    <x v="0"/>
    <d v="2022-04-12T00:00:00"/>
    <m/>
    <m/>
    <m/>
    <m/>
    <m/>
    <m/>
    <m/>
    <m/>
    <d v="2022-04-12T00:00:00"/>
    <x v="4"/>
  </r>
  <r>
    <s v="Juan Alberto Saldarriaga Marin"/>
    <d v="2022-04-12T00:00:00"/>
    <m/>
    <n v="15"/>
    <n v="6003"/>
    <x v="1"/>
    <n v="20684.5"/>
    <x v="237"/>
    <n v="186160500"/>
    <n v="43"/>
    <n v="4502309867"/>
    <n v="5081412484"/>
    <n v="5113240810"/>
    <m/>
    <s v="TIENE BL"/>
    <m/>
    <x v="0"/>
    <d v="2022-04-12T00:00:00"/>
    <m/>
    <m/>
    <m/>
    <m/>
    <m/>
    <m/>
    <m/>
    <m/>
    <d v="2022-04-12T00:00:00"/>
    <x v="4"/>
  </r>
  <r>
    <s v="Juan Alberto Saldarriaga Marin"/>
    <d v="2022-04-12T00:00:00"/>
    <m/>
    <n v="15"/>
    <n v="6003"/>
    <x v="1"/>
    <n v="7040.5"/>
    <x v="237"/>
    <n v="63364500"/>
    <n v="14"/>
    <n v="4502310534"/>
    <n v="5081412484"/>
    <n v="5113240810"/>
    <m/>
    <s v="TIENE BL"/>
    <m/>
    <x v="0"/>
    <d v="2022-04-13T00:00:00"/>
    <m/>
    <m/>
    <m/>
    <m/>
    <m/>
    <m/>
    <m/>
    <m/>
    <d v="2022-04-13T00:00:00"/>
    <x v="4"/>
  </r>
  <r>
    <s v="Juan Alberto Saldarriaga Marin"/>
    <d v="2022-04-13T00:00:00"/>
    <m/>
    <n v="15"/>
    <n v="6004"/>
    <x v="1"/>
    <n v="27725"/>
    <x v="238"/>
    <n v="1191620.5"/>
    <n v="0"/>
    <n v="4502310534"/>
    <n v="5081412484"/>
    <n v="5113240811"/>
    <m/>
    <m/>
    <m/>
    <x v="0"/>
    <d v="2022-04-13T00:00:00"/>
    <m/>
    <m/>
    <m/>
    <m/>
    <m/>
    <m/>
    <m/>
    <m/>
    <d v="2022-04-13T00:00:00"/>
    <x v="4"/>
  </r>
  <r>
    <s v="Yoan Andres Carrascal Sanchez"/>
    <d v="2022-04-19T00:00:00"/>
    <d v="2022-04-21T00:00:00"/>
    <n v="15"/>
    <s v="FEYC-3"/>
    <x v="1"/>
    <n v="4687.5"/>
    <x v="113"/>
    <n v="37031250"/>
    <n v="11"/>
    <n v="4502306093"/>
    <n v="5081403811"/>
    <n v="5113246191"/>
    <s v="TIENE BL"/>
    <m/>
    <s v="REGISTRA"/>
    <x v="0"/>
    <d v="2022-04-12T00:00:00"/>
    <m/>
    <m/>
    <m/>
    <m/>
    <m/>
    <m/>
    <m/>
    <m/>
    <d v="2022-04-12T00:00:00"/>
    <x v="4"/>
  </r>
  <r>
    <s v="Yoan Andres Carrascal Sanchez"/>
    <d v="2022-04-19T00:00:00"/>
    <d v="2022-04-21T00:00:00"/>
    <n v="15"/>
    <s v="ND2"/>
    <x v="1"/>
    <n v="4687.5"/>
    <x v="239"/>
    <n v="130125.00000000001"/>
    <n v="0"/>
    <n v="4502306093"/>
    <n v="5081403811"/>
    <n v="5113246192"/>
    <m/>
    <m/>
    <s v="SR2536398"/>
    <x v="0"/>
    <d v="2022-04-12T00:00:00"/>
    <m/>
    <m/>
    <m/>
    <m/>
    <m/>
    <m/>
    <m/>
    <m/>
    <d v="2022-04-12T00:00:00"/>
    <x v="4"/>
  </r>
  <r>
    <s v="Luis Fernando Rojas Prada"/>
    <d v="2022-04-13T00:00:00"/>
    <d v="2022-04-13T00:00:00"/>
    <n v="15"/>
    <s v="FELC-850"/>
    <x v="1"/>
    <n v="20487.5"/>
    <x v="3"/>
    <n v="156729375"/>
    <n v="42"/>
    <n v="4502311143"/>
    <n v="5081412499"/>
    <n v="5113238938"/>
    <s v="TIENE BL"/>
    <s v="EJ*3 2979200*3"/>
    <s v="TIENE BL"/>
    <x v="0"/>
    <d v="2022-04-12T00:00:00"/>
    <n v="4902246344"/>
    <n v="8937600"/>
    <s v="FEMD-3844*3"/>
    <n v="5113238855"/>
    <m/>
    <m/>
    <m/>
    <m/>
    <d v="2022-04-12T00:00:00"/>
    <x v="4"/>
  </r>
  <r>
    <s v="Luis Fernando Rojas Prada"/>
    <d v="2022-04-13T00:00:00"/>
    <d v="2022-04-13T00:00:00"/>
    <n v="15"/>
    <s v="FELC-850"/>
    <x v="0"/>
    <n v="20487.5"/>
    <x v="3"/>
    <n v="156729375"/>
    <n v="42"/>
    <n v="4502311143"/>
    <n v="5081412499"/>
    <n v="5113238938"/>
    <s v="TIENE BL"/>
    <s v="EJ*3 3062400*3"/>
    <s v="TIENE BL"/>
    <x v="0"/>
    <d v="2022-04-13T00:00:00"/>
    <n v="4902246355"/>
    <n v="9187200"/>
    <s v="FEMD-3820*3"/>
    <n v="5113237960"/>
    <m/>
    <m/>
    <m/>
    <m/>
    <d v="2022-04-13T00:00:00"/>
    <x v="4"/>
  </r>
  <r>
    <s v="Lina Maria Pelaez Gomez"/>
    <d v="2022-04-16T00:00:00"/>
    <d v="2022-04-18T00:00:00"/>
    <n v="15"/>
    <s v="LP83"/>
    <x v="2"/>
    <n v="24020"/>
    <x v="227"/>
    <n v="208974000"/>
    <n v="58"/>
    <n v="4502306094"/>
    <n v="5081412480"/>
    <n v="5113237948"/>
    <m/>
    <s v="TIENE BL"/>
    <s v="SR2530194"/>
    <x v="0"/>
    <d v="2022-04-13T00:00:00"/>
    <m/>
    <m/>
    <m/>
    <m/>
    <m/>
    <m/>
    <m/>
    <m/>
    <d v="2022-04-13T00:00:00"/>
    <x v="4"/>
  </r>
  <r>
    <s v="Lina Maria Pelaez Gomez"/>
    <d v="2022-04-16T00:00:00"/>
    <d v="2022-04-18T00:00:00"/>
    <n v="15"/>
    <s v="ND7"/>
    <x v="2"/>
    <n v="24020"/>
    <x v="240"/>
    <n v="2090941"/>
    <n v="0"/>
    <n v="4502306094"/>
    <n v="5081412480"/>
    <n v="5113238940"/>
    <m/>
    <m/>
    <m/>
    <x v="0"/>
    <d v="2022-04-13T00:00:00"/>
    <m/>
    <m/>
    <m/>
    <m/>
    <m/>
    <m/>
    <m/>
    <m/>
    <d v="2022-04-13T00:00:00"/>
    <x v="4"/>
  </r>
  <r>
    <s v="Juan Alberto Saldarriaga Marin"/>
    <d v="2022-04-13T00:00:00"/>
    <m/>
    <n v="15"/>
    <n v="6005"/>
    <x v="2"/>
    <n v="33120.5"/>
    <x v="219"/>
    <n v="289804375"/>
    <n v="71"/>
    <n v="4502306095"/>
    <n v="5081412481"/>
    <n v="5113240776"/>
    <m/>
    <s v="TIENE BL"/>
    <m/>
    <x v="0"/>
    <d v="2022-04-13T00:00:00"/>
    <m/>
    <m/>
    <m/>
    <m/>
    <m/>
    <m/>
    <m/>
    <m/>
    <d v="2022-04-13T00:00:00"/>
    <x v="4"/>
  </r>
  <r>
    <s v="Juan Alberto Saldarriaga Marin"/>
    <d v="2022-04-13T00:00:00"/>
    <m/>
    <n v="15"/>
    <s v="NC1108"/>
    <x v="2"/>
    <n v="33120.5"/>
    <x v="241"/>
    <n v="-271588.10000002407"/>
    <n v="0"/>
    <n v="4502306095"/>
    <n v="5081412481"/>
    <n v="5113240807"/>
    <m/>
    <m/>
    <m/>
    <x v="0"/>
    <d v="2022-04-13T00:00:00"/>
    <m/>
    <m/>
    <m/>
    <m/>
    <m/>
    <m/>
    <m/>
    <m/>
    <d v="2022-04-13T00:00:00"/>
    <x v="4"/>
  </r>
  <r>
    <s v="Lina Maria Pelaez Gomez"/>
    <d v="2022-04-16T00:00:00"/>
    <d v="2022-04-18T00:00:00"/>
    <n v="15"/>
    <s v="LP82"/>
    <x v="2"/>
    <n v="13616.5"/>
    <x v="227"/>
    <n v="118463550"/>
    <n v="28"/>
    <n v="4502306096"/>
    <n v="5081412480"/>
    <n v="5113238941"/>
    <m/>
    <s v="TIENE BL"/>
    <s v="SR2530184"/>
    <x v="0"/>
    <d v="2022-04-13T00:00:00"/>
    <m/>
    <m/>
    <m/>
    <m/>
    <m/>
    <m/>
    <m/>
    <m/>
    <d v="2022-04-13T00:00:00"/>
    <x v="4"/>
  </r>
  <r>
    <s v="Lina Maria Pelaez Gomez"/>
    <d v="2022-04-16T00:00:00"/>
    <d v="2022-04-18T00:00:00"/>
    <n v="15"/>
    <s v="NC63"/>
    <x v="2"/>
    <n v="13616.5"/>
    <x v="242"/>
    <n v="-736244.15499999607"/>
    <n v="0"/>
    <n v="4502306096"/>
    <n v="5081412480"/>
    <n v="5113238944"/>
    <m/>
    <m/>
    <m/>
    <x v="0"/>
    <d v="2022-04-13T00:00:00"/>
    <m/>
    <m/>
    <m/>
    <m/>
    <m/>
    <m/>
    <m/>
    <m/>
    <d v="2022-04-13T00:00:00"/>
    <x v="4"/>
  </r>
  <r>
    <s v="Sociedad Comercializadora Ganadera"/>
    <d v="2022-04-20T00:00:00"/>
    <d v="2022-04-20T00:00:00"/>
    <n v="15"/>
    <s v="FEDV268"/>
    <x v="1"/>
    <n v="20965.5"/>
    <x v="219"/>
    <n v="183448125"/>
    <n v="46"/>
    <n v="4502306097"/>
    <n v="5081412483"/>
    <n v="5113241217"/>
    <m/>
    <s v="TIENE BL"/>
    <s v="SR2532712"/>
    <x v="0"/>
    <d v="2022-04-13T00:00:00"/>
    <m/>
    <m/>
    <m/>
    <m/>
    <m/>
    <m/>
    <m/>
    <m/>
    <d v="2022-04-13T00:00:00"/>
    <x v="4"/>
  </r>
  <r>
    <s v="Sociedad Comercializadora Ganadera"/>
    <d v="2022-04-20T00:00:00"/>
    <d v="2022-04-20T00:00:00"/>
    <n v="15"/>
    <s v="NC121"/>
    <x v="1"/>
    <n v="20965.5"/>
    <x v="243"/>
    <n v="-2175380.2800000045"/>
    <n v="0"/>
    <n v="4502306097"/>
    <n v="5081412483"/>
    <n v="5113241219"/>
    <m/>
    <m/>
    <m/>
    <x v="0"/>
    <d v="2022-04-13T00:00:00"/>
    <m/>
    <m/>
    <m/>
    <m/>
    <m/>
    <m/>
    <m/>
    <m/>
    <d v="2022-04-13T00:00:00"/>
    <x v="4"/>
  </r>
  <r>
    <s v="Juan Pablo Sierra Cardona"/>
    <d v="2022-04-13T00:00:00"/>
    <d v="2022-04-18T00:00:00"/>
    <n v="15"/>
    <s v="JPS-1069"/>
    <x v="0"/>
    <n v="33674"/>
    <x v="244"/>
    <n v="296331200"/>
    <n v="72"/>
    <n v="4502311367"/>
    <n v="5081419339"/>
    <n v="5113238945"/>
    <m/>
    <s v="TIENE BL"/>
    <m/>
    <x v="2"/>
    <d v="2022-04-13T00:00:00"/>
    <m/>
    <m/>
    <m/>
    <m/>
    <m/>
    <m/>
    <m/>
    <m/>
    <d v="2022-04-13T00:00:00"/>
    <x v="4"/>
  </r>
  <r>
    <s v="Sociedad Comercializadora Ganadera"/>
    <d v="2022-04-20T00:00:00"/>
    <d v="2022-04-20T00:00:00"/>
    <n v="16"/>
    <s v="FEDV269"/>
    <x v="2"/>
    <n v="69791"/>
    <x v="237"/>
    <n v="628119000"/>
    <n v="150"/>
    <n v="4502310077"/>
    <n v="5081424779"/>
    <n v="5113241220"/>
    <m/>
    <s v="TIENE BL"/>
    <s v="SR2532712"/>
    <x v="0"/>
    <d v="2022-04-16T00:00:00"/>
    <m/>
    <m/>
    <m/>
    <m/>
    <m/>
    <m/>
    <m/>
    <m/>
    <d v="2022-04-16T00:00:00"/>
    <x v="4"/>
  </r>
  <r>
    <s v="Sociedad Comercializadora Ganadera"/>
    <d v="2022-04-21T00:00:00"/>
    <d v="2022-04-21T00:00:00"/>
    <n v="16"/>
    <s v="FEDV272"/>
    <x v="2"/>
    <n v="47206"/>
    <x v="237"/>
    <n v="424854000"/>
    <n v="102"/>
    <n v="4502310078"/>
    <n v="5081423074"/>
    <n v="5113250222"/>
    <m/>
    <s v="TIENE BL"/>
    <m/>
    <x v="0"/>
    <d v="2022-04-17T00:00:00"/>
    <m/>
    <m/>
    <m/>
    <m/>
    <m/>
    <m/>
    <m/>
    <m/>
    <d v="2022-04-17T00:00:00"/>
    <x v="4"/>
  </r>
  <r>
    <s v="Sociedad Comercializadora Ganadera"/>
    <d v="2022-04-23T00:00:00"/>
    <d v="2022-04-23T00:00:00"/>
    <n v="16"/>
    <s v="NC122"/>
    <x v="2"/>
    <n v="47206"/>
    <x v="245"/>
    <n v="-2552900.4799999967"/>
    <n v="0"/>
    <n v="4502310078"/>
    <n v="5081423074"/>
    <n v="5113250223"/>
    <m/>
    <m/>
    <m/>
    <x v="0"/>
    <d v="2022-04-17T00:00:00"/>
    <m/>
    <m/>
    <m/>
    <m/>
    <m/>
    <m/>
    <m/>
    <m/>
    <d v="2022-04-17T00:00:00"/>
    <x v="4"/>
  </r>
  <r>
    <s v="David Martinez Jaramillo"/>
    <d v="2022-04-17T00:00:00"/>
    <d v="2022-04-19T00:00:00"/>
    <n v="16"/>
    <s v="DM164"/>
    <x v="2"/>
    <n v="26481"/>
    <x v="237"/>
    <n v="238329000"/>
    <n v="60"/>
    <n v="4502310079"/>
    <n v="5081423075"/>
    <n v="5113240360"/>
    <m/>
    <s v="TIENE BL"/>
    <s v="SR2523315"/>
    <x v="0"/>
    <d v="2022-04-17T00:00:00"/>
    <m/>
    <m/>
    <m/>
    <m/>
    <m/>
    <m/>
    <m/>
    <m/>
    <d v="2022-04-17T00:00:00"/>
    <x v="4"/>
  </r>
  <r>
    <s v="David Martinez Jaramillo"/>
    <d v="2022-04-17T00:00:00"/>
    <d v="2022-04-19T00:00:00"/>
    <n v="16"/>
    <s v="DM164"/>
    <x v="2"/>
    <n v="6463"/>
    <x v="237"/>
    <n v="58167000"/>
    <n v="14"/>
    <n v="4502311265"/>
    <n v="5081423075"/>
    <n v="5113240360"/>
    <m/>
    <s v="TIENE BL"/>
    <m/>
    <x v="0"/>
    <d v="2022-04-17T00:00:00"/>
    <m/>
    <m/>
    <m/>
    <m/>
    <m/>
    <m/>
    <m/>
    <m/>
    <d v="2022-04-17T00:00:00"/>
    <x v="4"/>
  </r>
  <r>
    <s v="David Martinez Jaramillo"/>
    <d v="2022-04-19T00:00:00"/>
    <d v="2022-04-19T00:00:00"/>
    <n v="16"/>
    <s v="ND3"/>
    <x v="2"/>
    <n v="32944"/>
    <x v="246"/>
    <n v="1318748.32"/>
    <n v="0"/>
    <n v="4502311265"/>
    <n v="5081423075"/>
    <n v="5113240365"/>
    <m/>
    <m/>
    <m/>
    <x v="0"/>
    <d v="2022-04-17T00:00:00"/>
    <m/>
    <m/>
    <m/>
    <m/>
    <m/>
    <m/>
    <m/>
    <m/>
    <d v="2022-04-17T00:00:00"/>
    <x v="4"/>
  </r>
  <r>
    <s v="Sociedad Comercializadora Ganadera"/>
    <d v="2022-04-21T00:00:00"/>
    <d v="2022-04-21T00:00:00"/>
    <n v="16"/>
    <s v="FEDV273"/>
    <x v="1"/>
    <n v="31115"/>
    <x v="237"/>
    <n v="280035000"/>
    <n v="73"/>
    <n v="4502310080"/>
    <n v="5081423076"/>
    <n v="5113250224"/>
    <m/>
    <s v="TIENE BL"/>
    <m/>
    <x v="0"/>
    <d v="2022-04-17T00:00:00"/>
    <m/>
    <m/>
    <m/>
    <m/>
    <m/>
    <m/>
    <m/>
    <m/>
    <d v="2022-04-17T00:00:00"/>
    <x v="4"/>
  </r>
  <r>
    <s v="Sociedad Comercializadora Ganadera"/>
    <d v="2022-04-23T00:00:00"/>
    <d v="2022-04-23T00:00:00"/>
    <n v="16"/>
    <s v="NC123"/>
    <x v="1"/>
    <n v="31115"/>
    <x v="247"/>
    <n v="-3821544.299999991"/>
    <n v="0"/>
    <n v="4502310080"/>
    <n v="5081423076"/>
    <n v="5113250226"/>
    <m/>
    <m/>
    <m/>
    <x v="0"/>
    <d v="2022-04-17T00:00:00"/>
    <m/>
    <m/>
    <m/>
    <m/>
    <m/>
    <m/>
    <m/>
    <m/>
    <d v="2022-04-17T00:00:00"/>
    <x v="4"/>
  </r>
  <r>
    <s v="Agropecuaria Tabaida S.A.S"/>
    <d v="2022-04-17T00:00:00"/>
    <d v="2022-04-20T00:00:00"/>
    <n v="16"/>
    <s v="MT-1341"/>
    <x v="2"/>
    <n v="37664"/>
    <x v="207"/>
    <n v="312611200"/>
    <n v="84"/>
    <n v="4502313195"/>
    <n v="5081457145"/>
    <n v="5113243608"/>
    <m/>
    <s v="TIENE BL"/>
    <m/>
    <x v="1"/>
    <d v="2022-04-17T00:00:00"/>
    <m/>
    <m/>
    <m/>
    <m/>
    <m/>
    <m/>
    <m/>
    <m/>
    <d v="2022-04-17T00:00:00"/>
    <x v="4"/>
  </r>
  <r>
    <s v="Mauricio De Jesús Bernal Jaramillo"/>
    <d v="2022-04-21T00:00:00"/>
    <d v="2022-04-21T00:00:00"/>
    <n v="16"/>
    <s v="FE-176"/>
    <x v="2"/>
    <n v="6300"/>
    <x v="188"/>
    <n v="52920000"/>
    <n v="15"/>
    <n v="4502313205"/>
    <n v="5081457147"/>
    <n v="5113243615"/>
    <m/>
    <s v="CON RETEN"/>
    <m/>
    <x v="1"/>
    <d v="2022-04-17T00:00:00"/>
    <m/>
    <m/>
    <m/>
    <m/>
    <m/>
    <m/>
    <m/>
    <m/>
    <d v="2022-04-17T00:00:00"/>
    <x v="4"/>
  </r>
  <r>
    <s v="Agropastoril De Colombia S.A.S."/>
    <d v="2022-04-17T00:00:00"/>
    <m/>
    <n v="16"/>
    <s v="AP-69"/>
    <x v="2"/>
    <n v="25028"/>
    <x v="248"/>
    <n v="215240800"/>
    <n v="56"/>
    <n v="4502313210"/>
    <n v="5081457322"/>
    <n v="5113246518"/>
    <m/>
    <s v="CON RETEN"/>
    <m/>
    <x v="1"/>
    <d v="2022-04-17T00:00:00"/>
    <m/>
    <m/>
    <m/>
    <m/>
    <m/>
    <m/>
    <m/>
    <m/>
    <d v="2022-04-17T00:00:00"/>
    <x v="4"/>
  </r>
  <r>
    <s v="Sociedad Comercializadora Ganadera"/>
    <d v="2022-04-21T00:00:00"/>
    <d v="2022-04-21T00:00:00"/>
    <n v="16"/>
    <s v="FEDV274"/>
    <x v="2"/>
    <n v="35128.5"/>
    <x v="237"/>
    <n v="316156500"/>
    <n v="77"/>
    <n v="4502310081"/>
    <n v="5081439028"/>
    <n v="5113250297"/>
    <m/>
    <s v="TIENE BL"/>
    <m/>
    <x v="0"/>
    <d v="2022-04-18T00:00:00"/>
    <m/>
    <m/>
    <m/>
    <m/>
    <m/>
    <m/>
    <m/>
    <m/>
    <d v="2022-04-18T00:00:00"/>
    <x v="4"/>
  </r>
  <r>
    <s v="Sociedad Comercializadora Ganadera"/>
    <d v="2022-04-23T00:00:00"/>
    <d v="2022-04-23T00:00:00"/>
    <n v="16"/>
    <s v="NC124"/>
    <x v="2"/>
    <n v="35128.5"/>
    <x v="249"/>
    <n v="-434539.5450000281"/>
    <n v="0"/>
    <n v="4502310081"/>
    <n v="5081439028"/>
    <n v="5113250299"/>
    <m/>
    <m/>
    <m/>
    <x v="0"/>
    <d v="2022-04-18T00:00:00"/>
    <m/>
    <m/>
    <m/>
    <m/>
    <m/>
    <m/>
    <m/>
    <m/>
    <d v="2022-04-18T00:00:00"/>
    <x v="4"/>
  </r>
  <r>
    <s v="Rafael Francisco Delgado Serrano"/>
    <d v="2022-04-21T00:00:00"/>
    <m/>
    <n v="16"/>
    <s v="RFDS-136"/>
    <x v="2"/>
    <n v="6562"/>
    <x v="188"/>
    <n v="55120800"/>
    <n v="14"/>
    <n v="4502310082"/>
    <n v="5081438772"/>
    <n v="5113247954"/>
    <m/>
    <s v="CON RETEN"/>
    <m/>
    <x v="0"/>
    <d v="2022-04-18T00:00:00"/>
    <m/>
    <m/>
    <m/>
    <m/>
    <m/>
    <m/>
    <m/>
    <m/>
    <d v="2022-04-18T00:00:00"/>
    <x v="4"/>
  </r>
  <r>
    <s v="Andres Felipe Vasquez Velez"/>
    <d v="2022-04-22T00:00:00"/>
    <d v="2022-04-22T00:00:00"/>
    <n v="16"/>
    <s v="FE-17"/>
    <x v="2"/>
    <n v="10756"/>
    <x v="219"/>
    <n v="94115000"/>
    <n v="26"/>
    <n v="4502310084"/>
    <n v="5081438773"/>
    <n v="5113250220"/>
    <m/>
    <s v="TIENE BL"/>
    <m/>
    <x v="0"/>
    <d v="2022-04-18T00:00:00"/>
    <m/>
    <m/>
    <m/>
    <m/>
    <m/>
    <m/>
    <m/>
    <m/>
    <d v="2022-04-18T00:00:00"/>
    <x v="4"/>
  </r>
  <r>
    <s v="Andres Felipe Vasquez Velez"/>
    <d v="2022-04-22T00:00:00"/>
    <d v="2022-04-22T00:00:00"/>
    <n v="16"/>
    <s v="ND6"/>
    <x v="2"/>
    <n v="10756"/>
    <x v="250"/>
    <n v="348817.08"/>
    <n v="0"/>
    <n v="4502310084"/>
    <n v="5081438773"/>
    <n v="5113256449"/>
    <m/>
    <m/>
    <m/>
    <x v="0"/>
    <d v="2022-04-18T00:00:00"/>
    <m/>
    <m/>
    <m/>
    <m/>
    <m/>
    <m/>
    <m/>
    <m/>
    <d v="2022-04-18T00:00:00"/>
    <x v="4"/>
  </r>
  <r>
    <s v="Adrian Alberto Alvarez Henao"/>
    <d v="2022-04-21T00:00:00"/>
    <d v="2022-04-21T00:00:00"/>
    <n v="16"/>
    <s v="AAAH-30"/>
    <x v="2"/>
    <n v="20863.5"/>
    <x v="251"/>
    <n v="185685150"/>
    <n v="45"/>
    <n v="4502310085"/>
    <n v="5081439029"/>
    <n v="5113255621"/>
    <m/>
    <s v="TIENE BL "/>
    <s v="SR2530918"/>
    <x v="0"/>
    <d v="2022-04-18T00:00:00"/>
    <m/>
    <m/>
    <m/>
    <m/>
    <m/>
    <m/>
    <m/>
    <m/>
    <d v="2022-04-18T00:00:00"/>
    <x v="4"/>
  </r>
  <r>
    <s v="Adrian Alberto Alvarez Henao"/>
    <d v="2022-04-21T00:00:00"/>
    <d v="2022-04-21T00:00:00"/>
    <n v="16"/>
    <s v="AD6"/>
    <x v="2"/>
    <n v="20863.5"/>
    <x v="252"/>
    <n v="-679732.82999999844"/>
    <n v="0"/>
    <n v="4502310085"/>
    <n v="5081439029"/>
    <n v="5113255622"/>
    <m/>
    <m/>
    <m/>
    <x v="0"/>
    <d v="2022-04-18T00:00:00"/>
    <m/>
    <m/>
    <m/>
    <m/>
    <m/>
    <m/>
    <m/>
    <m/>
    <d v="2022-04-18T00:00:00"/>
    <x v="4"/>
  </r>
  <r>
    <s v="David Martinez Jaramillo"/>
    <d v="2022-04-20T00:00:00"/>
    <d v="2022-04-20T00:00:00"/>
    <n v="16"/>
    <s v="DM167"/>
    <x v="1"/>
    <n v="26744"/>
    <x v="237"/>
    <n v="240696000"/>
    <n v="58"/>
    <n v="4502310086"/>
    <n v="5081439030"/>
    <n v="5113244032"/>
    <m/>
    <s v="TIENE BL"/>
    <m/>
    <x v="0"/>
    <d v="2022-04-18T00:00:00"/>
    <m/>
    <m/>
    <m/>
    <m/>
    <m/>
    <m/>
    <m/>
    <m/>
    <d v="2022-04-18T00:00:00"/>
    <x v="4"/>
  </r>
  <r>
    <s v="David Martinez Jaramillo"/>
    <d v="2022-04-20T00:00:00"/>
    <d v="2022-04-20T00:00:00"/>
    <n v="16"/>
    <s v="DM167"/>
    <x v="1"/>
    <n v="6992.5"/>
    <x v="237"/>
    <n v="62932500"/>
    <n v="14"/>
    <n v="4502312197"/>
    <n v="5081439030"/>
    <n v="5113244032"/>
    <m/>
    <s v="TIENE BL"/>
    <m/>
    <x v="0"/>
    <d v="2022-04-18T00:00:00"/>
    <m/>
    <m/>
    <m/>
    <m/>
    <m/>
    <m/>
    <m/>
    <m/>
    <d v="2022-04-18T00:00:00"/>
    <x v="4"/>
  </r>
  <r>
    <s v="Luis Fernando Rojas Prada"/>
    <d v="2022-04-20T00:00:00"/>
    <d v="2022-04-20T00:00:00"/>
    <n v="16"/>
    <s v="FELC-856"/>
    <x v="0"/>
    <n v="27903"/>
    <x v="113"/>
    <n v="220433700"/>
    <n v="56"/>
    <n v="4502311847"/>
    <n v="5081425219"/>
    <n v="5113243357"/>
    <m/>
    <s v="EJ*4 2982600*4"/>
    <s v="CON RETEN"/>
    <x v="0"/>
    <d v="2022-04-18T00:00:00"/>
    <n v="4902250637"/>
    <n v="11930400"/>
    <s v="FEMD-3841*4"/>
    <n v="5113237958"/>
    <m/>
    <m/>
    <m/>
    <m/>
    <d v="2022-04-18T00:00:00"/>
    <x v="4"/>
  </r>
  <r>
    <s v="Jose Ignacio Cruz Mendoza"/>
    <d v="2022-04-18T00:00:00"/>
    <d v="2022-04-21T00:00:00"/>
    <n v="16"/>
    <s v="FEJI-2"/>
    <x v="0"/>
    <n v="13867"/>
    <x v="175"/>
    <n v="113709400"/>
    <n v="30"/>
    <n v="4502310087"/>
    <n v="5081438774"/>
    <n v="5113247894"/>
    <m/>
    <s v="CON RETEN"/>
    <m/>
    <x v="0"/>
    <d v="2022-04-18T00:00:00"/>
    <m/>
    <m/>
    <m/>
    <m/>
    <m/>
    <m/>
    <m/>
    <m/>
    <d v="2022-04-18T00:00:00"/>
    <x v="4"/>
  </r>
  <r>
    <s v="Jose Ignacio Cruz Mendoza"/>
    <d v="2022-04-18T00:00:00"/>
    <d v="2022-04-21T00:00:00"/>
    <n v="16"/>
    <s v="ND-2"/>
    <x v="0"/>
    <n v="13867"/>
    <x v="13"/>
    <n v="693350"/>
    <n v="0"/>
    <n v="4502310087"/>
    <n v="5081438774"/>
    <n v="5113247909"/>
    <m/>
    <m/>
    <m/>
    <x v="0"/>
    <d v="2022-04-18T00:00:00"/>
    <m/>
    <m/>
    <m/>
    <m/>
    <m/>
    <m/>
    <m/>
    <m/>
    <d v="2022-04-18T00:00:00"/>
    <x v="4"/>
  </r>
  <r>
    <s v="Carlos Enrique Galan Prada"/>
    <d v="2022-04-21T00:00:00"/>
    <d v="2022-04-22T00:00:00"/>
    <n v="16"/>
    <s v="FVEC-11"/>
    <x v="0"/>
    <n v="5598"/>
    <x v="117"/>
    <n v="44784000"/>
    <n v="14"/>
    <n v="4502310088"/>
    <n v="5081456832"/>
    <n v="5113246242"/>
    <m/>
    <s v="CON RETEN"/>
    <m/>
    <x v="0"/>
    <d v="2022-04-19T00:00:00"/>
    <m/>
    <m/>
    <m/>
    <m/>
    <m/>
    <m/>
    <m/>
    <m/>
    <d v="2022-04-19T00:00:00"/>
    <x v="4"/>
  </r>
  <r>
    <s v="Carlos Enrique Galan Prada"/>
    <d v="2022-04-21T00:00:00"/>
    <d v="2022-04-22T00:00:00"/>
    <n v="16"/>
    <s v="NCEE7"/>
    <x v="0"/>
    <n v="5598"/>
    <x v="253"/>
    <n v="-785903.22000000183"/>
    <n v="0"/>
    <n v="4502310088"/>
    <n v="5081456832"/>
    <n v="5113246243"/>
    <m/>
    <m/>
    <m/>
    <x v="0"/>
    <d v="2022-04-19T00:00:00"/>
    <m/>
    <m/>
    <m/>
    <m/>
    <m/>
    <m/>
    <m/>
    <m/>
    <d v="2022-04-19T00:00:00"/>
    <x v="4"/>
  </r>
  <r>
    <s v="Inversiones El Cruce S.A."/>
    <d v="2022-04-21T00:00:00"/>
    <d v="2022-04-21T00:00:00"/>
    <n v="16"/>
    <s v="E-159"/>
    <x v="2"/>
    <n v="6915"/>
    <x v="227"/>
    <n v="60160500"/>
    <n v="14"/>
    <n v="4502310089"/>
    <n v="5081456833"/>
    <n v="5113245078"/>
    <m/>
    <s v="CON RETEN"/>
    <m/>
    <x v="0"/>
    <d v="2022-04-19T00:00:00"/>
    <m/>
    <m/>
    <m/>
    <m/>
    <m/>
    <m/>
    <m/>
    <m/>
    <d v="2022-04-19T00:00:00"/>
    <x v="4"/>
  </r>
  <r>
    <s v="Comercializadora Delirio S.A.S"/>
    <d v="2022-04-21T00:00:00"/>
    <d v="2022-04-21T00:00:00"/>
    <n v="16"/>
    <s v="FE-191"/>
    <x v="2"/>
    <n v="13369.5"/>
    <x v="244"/>
    <n v="117651600"/>
    <n v="28"/>
    <n v="4502310090"/>
    <n v="5081456834"/>
    <n v="5113246240"/>
    <m/>
    <s v="CON RETEN"/>
    <m/>
    <x v="0"/>
    <d v="2022-04-19T00:00:00"/>
    <m/>
    <m/>
    <m/>
    <m/>
    <m/>
    <m/>
    <m/>
    <m/>
    <d v="2022-04-19T00:00:00"/>
    <x v="4"/>
  </r>
  <r>
    <s v="Comercializadora Delirio S.A.S"/>
    <d v="2022-04-21T00:00:00"/>
    <d v="2022-04-21T00:00:00"/>
    <n v="16"/>
    <s v="NC219"/>
    <x v="2"/>
    <n v="13369.5"/>
    <x v="254"/>
    <n v="-963138.78000001167"/>
    <n v="0"/>
    <n v="4502310090"/>
    <n v="5081456834"/>
    <n v="5113246241"/>
    <m/>
    <m/>
    <m/>
    <x v="0"/>
    <d v="2022-04-19T00:00:00"/>
    <m/>
    <m/>
    <m/>
    <m/>
    <m/>
    <m/>
    <m/>
    <m/>
    <d v="2022-04-19T00:00:00"/>
    <x v="4"/>
  </r>
  <r>
    <s v="David Martinez Jaramillo"/>
    <d v="2022-04-20T00:00:00"/>
    <d v="2022-04-21T00:00:00"/>
    <n v="16"/>
    <s v="DM168"/>
    <x v="2"/>
    <n v="5674.5"/>
    <x v="76"/>
    <n v="45963450"/>
    <n v="15"/>
    <n v="4502310091"/>
    <n v="5081456949"/>
    <n v="5113244603"/>
    <m/>
    <s v="TIENE BL"/>
    <m/>
    <x v="0"/>
    <d v="2022-04-19T00:00:00"/>
    <m/>
    <m/>
    <m/>
    <m/>
    <m/>
    <m/>
    <m/>
    <m/>
    <d v="2022-04-19T00:00:00"/>
    <x v="4"/>
  </r>
  <r>
    <s v="David Martinez Jaramillo"/>
    <d v="2022-04-21T00:00:00"/>
    <d v="2022-04-21T00:00:00"/>
    <n v="16"/>
    <s v="NC22"/>
    <x v="2"/>
    <n v="5674.5"/>
    <x v="255"/>
    <n v="-809864.64000000141"/>
    <n v="0"/>
    <n v="4502310091"/>
    <n v="5081456949"/>
    <n v="5113244604"/>
    <m/>
    <m/>
    <m/>
    <x v="0"/>
    <d v="2022-04-19T00:00:00"/>
    <m/>
    <m/>
    <m/>
    <m/>
    <m/>
    <m/>
    <m/>
    <m/>
    <d v="2022-04-19T00:00:00"/>
    <x v="4"/>
  </r>
  <r>
    <s v="David Martinez Jaramillo"/>
    <d v="2022-04-20T00:00:00"/>
    <d v="2022-04-21T00:00:00"/>
    <n v="16"/>
    <s v="DM169"/>
    <x v="2"/>
    <n v="13981.5"/>
    <x v="227"/>
    <n v="121639050"/>
    <n v="30"/>
    <n v="4502311915"/>
    <n v="5081457065"/>
    <n v="5113244606"/>
    <m/>
    <s v="TIENE BL"/>
    <m/>
    <x v="0"/>
    <d v="2022-04-19T00:00:00"/>
    <m/>
    <m/>
    <m/>
    <m/>
    <m/>
    <m/>
    <m/>
    <m/>
    <d v="2022-04-19T00:00:00"/>
    <x v="4"/>
  </r>
  <r>
    <s v="David Martinez Jaramillo"/>
    <d v="2022-04-20T00:00:00"/>
    <d v="2022-04-21T00:00:00"/>
    <n v="16"/>
    <s v="DM170"/>
    <x v="2"/>
    <n v="7541"/>
    <x v="237"/>
    <n v="67869000"/>
    <n v="15"/>
    <n v="4502311880"/>
    <n v="5081457064"/>
    <n v="5113244628"/>
    <m/>
    <s v="TIENE BL"/>
    <m/>
    <x v="0"/>
    <d v="2022-04-19T00:00:00"/>
    <m/>
    <m/>
    <m/>
    <m/>
    <m/>
    <m/>
    <m/>
    <m/>
    <d v="2022-04-19T00:00:00"/>
    <x v="4"/>
  </r>
  <r>
    <s v="David Martinez Jaramillo"/>
    <d v="2022-04-21T00:00:00"/>
    <d v="2022-04-21T00:00:00"/>
    <n v="16"/>
    <s v="NC23"/>
    <x v="2"/>
    <n v="7541"/>
    <x v="256"/>
    <n v="-39665.660000001648"/>
    <n v="0"/>
    <n v="4502311880"/>
    <n v="5081457064"/>
    <n v="5113244616"/>
    <m/>
    <m/>
    <m/>
    <x v="0"/>
    <d v="2022-04-19T00:00:00"/>
    <m/>
    <m/>
    <m/>
    <m/>
    <m/>
    <m/>
    <m/>
    <m/>
    <d v="2022-04-19T00:00:00"/>
    <x v="4"/>
  </r>
  <r>
    <s v="Sociedad Comercializadora Ganadera"/>
    <d v="2022-04-26T00:00:00"/>
    <d v="2022-04-26T00:00:00"/>
    <n v="16"/>
    <s v="FEDV278"/>
    <x v="2"/>
    <n v="22486.5"/>
    <x v="237"/>
    <n v="202378500"/>
    <n v="45"/>
    <n v="4502310093"/>
    <n v="5081456835"/>
    <n v="5113257531"/>
    <m/>
    <s v="TIENE BL"/>
    <s v="Le escribi por WA "/>
    <x v="0"/>
    <d v="2022-04-19T00:00:00"/>
    <m/>
    <m/>
    <m/>
    <m/>
    <m/>
    <m/>
    <m/>
    <m/>
    <d v="2022-04-19T00:00:00"/>
    <x v="4"/>
  </r>
  <r>
    <s v="Sociedad Comercializadora Ganadera"/>
    <d v="2022-04-26T00:00:00"/>
    <d v="2022-04-26T00:00:00"/>
    <n v="16"/>
    <s v="NC125"/>
    <x v="2"/>
    <n v="22486.5"/>
    <x v="257"/>
    <n v="-342244.5299999853"/>
    <n v="0"/>
    <n v="4502310093"/>
    <n v="5081456835"/>
    <n v="5113257535"/>
    <m/>
    <m/>
    <m/>
    <x v="0"/>
    <d v="2022-04-19T00:00:00"/>
    <m/>
    <m/>
    <m/>
    <m/>
    <m/>
    <m/>
    <m/>
    <m/>
    <d v="2022-04-19T00:00:00"/>
    <x v="4"/>
  </r>
  <r>
    <s v="Adrian Alberto Alvarez Henao"/>
    <d v="2022-04-21T00:00:00"/>
    <d v="2022-04-21T00:00:00"/>
    <n v="16"/>
    <s v="AAAH-31"/>
    <x v="2"/>
    <n v="13192"/>
    <x v="251"/>
    <n v="117408800"/>
    <n v="30"/>
    <n v="4502310094"/>
    <n v="5081456950"/>
    <n v="5113255624"/>
    <m/>
    <s v="TIENE BL "/>
    <s v="SR2530918"/>
    <x v="0"/>
    <d v="2022-04-19T00:00:00"/>
    <m/>
    <m/>
    <m/>
    <m/>
    <m/>
    <m/>
    <m/>
    <m/>
    <d v="2022-04-19T00:00:00"/>
    <x v="4"/>
  </r>
  <r>
    <s v="Adrian Alberto Alvarez Henao"/>
    <d v="2022-04-21T00:00:00"/>
    <d v="2022-04-21T00:00:00"/>
    <n v="16"/>
    <s v="AD7"/>
    <x v="2"/>
    <n v="13192"/>
    <x v="258"/>
    <n v="-190492.48000000673"/>
    <n v="0"/>
    <n v="4502310094"/>
    <n v="5081456950"/>
    <n v="5113255625"/>
    <m/>
    <m/>
    <m/>
    <x v="0"/>
    <d v="2022-04-19T00:00:00"/>
    <m/>
    <m/>
    <m/>
    <m/>
    <m/>
    <m/>
    <m/>
    <m/>
    <d v="2022-04-19T00:00:00"/>
    <x v="4"/>
  </r>
  <r>
    <s v="Lina Maria Pelaez Gomez"/>
    <d v="2022-04-19T00:00:00"/>
    <d v="2022-04-21T00:00:00"/>
    <n v="16"/>
    <s v="LP84"/>
    <x v="0"/>
    <n v="27856.5"/>
    <x v="237"/>
    <n v="250708500"/>
    <n v="60"/>
    <n v="4502310095"/>
    <n v="5081456836"/>
    <n v="5113245192"/>
    <m/>
    <s v="TIENE BL"/>
    <m/>
    <x v="0"/>
    <d v="2022-04-19T00:00:00"/>
    <m/>
    <m/>
    <m/>
    <m/>
    <m/>
    <m/>
    <m/>
    <m/>
    <d v="2022-04-19T00:00:00"/>
    <x v="4"/>
  </r>
  <r>
    <s v="Lina Maria Pelaez Gomez"/>
    <d v="2022-04-21T00:00:00"/>
    <d v="2022-04-21T00:00:00"/>
    <n v="16"/>
    <s v="NC64"/>
    <x v="0"/>
    <n v="27856.5"/>
    <x v="259"/>
    <n v="-157110.65999998379"/>
    <n v="0"/>
    <n v="4502310095"/>
    <n v="5081456836"/>
    <n v="5113245193"/>
    <m/>
    <m/>
    <m/>
    <x v="0"/>
    <d v="2022-04-19T00:00:00"/>
    <m/>
    <m/>
    <m/>
    <m/>
    <m/>
    <m/>
    <m/>
    <m/>
    <d v="2022-04-19T00:00:00"/>
    <x v="4"/>
  </r>
  <r>
    <s v="Luis Fernando Rojas Prada"/>
    <d v="2022-04-21T00:00:00"/>
    <d v="2022-04-22T00:00:00"/>
    <n v="16"/>
    <s v="FELC-861"/>
    <x v="0"/>
    <n v="15088"/>
    <x v="260"/>
    <n v="122927669.44"/>
    <n v="30"/>
    <n v="4502314046"/>
    <n v="5081474683"/>
    <n v="5113250042"/>
    <m/>
    <s v="TIENE BL"/>
    <m/>
    <x v="4"/>
    <d v="2022-04-19T00:00:00"/>
    <m/>
    <m/>
    <m/>
    <m/>
    <m/>
    <m/>
    <m/>
    <m/>
    <d v="2022-04-19T00:00:00"/>
    <x v="4"/>
  </r>
  <r>
    <s v="Savanna &amp; Compañia S.A.S ZOMAC"/>
    <d v="2022-04-21T00:00:00"/>
    <d v="2022-04-21T00:00:00"/>
    <n v="16"/>
    <s v="S-37"/>
    <x v="0"/>
    <n v="13445"/>
    <x v="151"/>
    <n v="109576750"/>
    <n v="26"/>
    <n v="4502314054"/>
    <n v="5081474812"/>
    <n v="5113247837"/>
    <m/>
    <s v="TIENE BL"/>
    <s v="ESPERAR BL "/>
    <x v="4"/>
    <d v="2022-04-19T00:00:00"/>
    <m/>
    <m/>
    <m/>
    <m/>
    <m/>
    <m/>
    <m/>
    <m/>
    <d v="2022-04-19T00:00:00"/>
    <x v="4"/>
  </r>
  <r>
    <s v="Surtidora Agropecuaria De Colombia"/>
    <d v="2022-04-22T00:00:00"/>
    <d v="2022-04-22T00:00:00"/>
    <n v="16"/>
    <s v="FESA-33"/>
    <x v="2"/>
    <n v="13148"/>
    <x v="224"/>
    <n v="112415400"/>
    <n v="28"/>
    <n v="4502315417"/>
    <n v="5081498160"/>
    <n v="5113251387"/>
    <s v="TIENE BL"/>
    <s v="EJ*2 744800*1 789800*1"/>
    <m/>
    <x v="1"/>
    <d v="2022-04-19T00:00:00"/>
    <n v="4502315417"/>
    <n v="1534600"/>
    <s v="FEMD-3848*2"/>
    <n v="5113250694"/>
    <m/>
    <m/>
    <m/>
    <m/>
    <d v="2022-04-19T00:00:00"/>
    <x v="4"/>
  </r>
  <r>
    <s v="Sociedad Comercializadora Ganadera"/>
    <d v="2022-04-26T00:00:00"/>
    <d v="2022-04-26T00:00:00"/>
    <n v="16"/>
    <s v="FEDV279"/>
    <x v="3"/>
    <n v="5684"/>
    <x v="56"/>
    <n v="43198400"/>
    <n v="19"/>
    <n v="4502314919"/>
    <n v="5081496982"/>
    <n v="5113257537"/>
    <m/>
    <s v="TIENE BL"/>
    <s v="Le escribi por WA "/>
    <x v="2"/>
    <d v="2022-04-20T00:00:00"/>
    <m/>
    <m/>
    <m/>
    <m/>
    <m/>
    <m/>
    <m/>
    <m/>
    <d v="2022-04-20T00:00:00"/>
    <x v="4"/>
  </r>
  <r>
    <s v="Miguel Antonio Carrascal Pacheco"/>
    <d v="2022-04-26T00:00:00"/>
    <d v="2022-04-27T00:00:00"/>
    <n v="17"/>
    <s v="FAMC1"/>
    <x v="2"/>
    <n v="7336"/>
    <x v="213"/>
    <n v="62356000"/>
    <n v="15"/>
    <n v="4502313624"/>
    <n v="5081494308"/>
    <n v="5113266033"/>
    <m/>
    <s v="TIENE BL"/>
    <s v="Le escribi por WA  a wilfredo"/>
    <x v="0"/>
    <d v="2022-04-21T00:00:00"/>
    <m/>
    <m/>
    <m/>
    <m/>
    <m/>
    <m/>
    <m/>
    <m/>
    <d v="2022-04-21T00:00:00"/>
    <x v="4"/>
  </r>
  <r>
    <s v="Miguel Antonio Carrascal Pacheco"/>
    <d v="2022-04-28T00:00:00"/>
    <d v="2022-04-28T00:00:00"/>
    <n v="17"/>
    <s v="NDE8"/>
    <x v="2"/>
    <n v="7336"/>
    <x v="13"/>
    <n v="366800"/>
    <n v="0"/>
    <n v="4502313624"/>
    <n v="5081494308"/>
    <n v="5113266063"/>
    <m/>
    <m/>
    <m/>
    <x v="0"/>
    <d v="2022-04-21T00:00:00"/>
    <m/>
    <m/>
    <m/>
    <m/>
    <m/>
    <m/>
    <m/>
    <m/>
    <d v="2022-04-21T00:00:00"/>
    <x v="4"/>
  </r>
  <r>
    <s v="David Martinez Jaramillo"/>
    <d v="2022-04-22T00:00:00"/>
    <d v="2022-04-25T00:00:00"/>
    <n v="17"/>
    <s v="DM-171"/>
    <x v="2"/>
    <n v="33463.5"/>
    <x v="237"/>
    <n v="301171500"/>
    <n v="70"/>
    <n v="4502313625"/>
    <n v="5081493579"/>
    <n v="5113252401"/>
    <m/>
    <s v="TIENE BL"/>
    <m/>
    <x v="0"/>
    <d v="2022-04-21T00:00:00"/>
    <m/>
    <m/>
    <m/>
    <m/>
    <m/>
    <m/>
    <m/>
    <m/>
    <d v="2022-04-21T00:00:00"/>
    <x v="4"/>
  </r>
  <r>
    <s v="David Martinez Jaramillo"/>
    <d v="2022-04-25T00:00:00"/>
    <d v="2022-04-25T00:00:00"/>
    <n v="17"/>
    <s v="NC24"/>
    <x v="2"/>
    <n v="33463.5"/>
    <x v="261"/>
    <n v="-78639.225000012171"/>
    <n v="0"/>
    <n v="4502313625"/>
    <n v="5081493579"/>
    <n v="5113252402"/>
    <m/>
    <m/>
    <m/>
    <x v="0"/>
    <d v="2022-04-21T00:00:00"/>
    <m/>
    <m/>
    <m/>
    <m/>
    <m/>
    <m/>
    <m/>
    <m/>
    <d v="2022-04-21T00:00:00"/>
    <x v="4"/>
  </r>
  <r>
    <s v="Atria Ganaderia S.A.S."/>
    <d v="2022-04-25T00:00:00"/>
    <m/>
    <n v="17"/>
    <s v="FE-27"/>
    <x v="2"/>
    <n v="19987"/>
    <x v="113"/>
    <n v="157897300"/>
    <n v="42"/>
    <n v="4502315179"/>
    <n v="5081501051"/>
    <n v="5113254918"/>
    <m/>
    <s v="NUMA 1152250*3"/>
    <s v="CON RETEN"/>
    <x v="0"/>
    <d v="2022-04-21T00:00:00"/>
    <n v="4902253388"/>
    <n v="3456750"/>
    <s v="MOVI-1380*3"/>
    <n v="5113250616"/>
    <m/>
    <m/>
    <m/>
    <m/>
    <d v="2022-04-21T00:00:00"/>
    <x v="4"/>
  </r>
  <r>
    <s v="Sociedad Comercializadora Ganadera"/>
    <d v="2022-04-26T00:00:00"/>
    <d v="2022-04-26T00:00:00"/>
    <n v="17"/>
    <s v="FEDV280"/>
    <x v="2"/>
    <n v="30207.5"/>
    <x v="262"/>
    <n v="280929750"/>
    <n v="60"/>
    <n v="4502313626"/>
    <n v="5081494309"/>
    <n v="5113257539"/>
    <m/>
    <s v="TIENE BL"/>
    <s v="Le escribi por WA "/>
    <x v="0"/>
    <d v="2022-04-21T00:00:00"/>
    <m/>
    <m/>
    <m/>
    <m/>
    <m/>
    <m/>
    <m/>
    <m/>
    <d v="2022-04-21T00:00:00"/>
    <x v="4"/>
  </r>
  <r>
    <s v="Sociedad Comercializadora Ganadera"/>
    <d v="2022-04-26T00:00:00"/>
    <d v="2022-04-26T00:00:00"/>
    <n v="17"/>
    <s v="NC126"/>
    <x v="2"/>
    <n v="30207.5"/>
    <x v="263"/>
    <n v="-72800.074999995602"/>
    <n v="0"/>
    <n v="4502313626"/>
    <n v="5081494309"/>
    <n v="5113257540"/>
    <m/>
    <m/>
    <m/>
    <x v="0"/>
    <d v="2022-04-21T00:00:00"/>
    <m/>
    <m/>
    <m/>
    <m/>
    <m/>
    <m/>
    <m/>
    <m/>
    <d v="2022-04-21T00:00:00"/>
    <x v="4"/>
  </r>
  <r>
    <s v="Rafael Prieto Ortiz"/>
    <d v="2022-04-23T00:00:00"/>
    <m/>
    <n v="17"/>
    <s v="FER-4"/>
    <x v="2"/>
    <n v="6910"/>
    <x v="213"/>
    <n v="58735000"/>
    <n v="14"/>
    <n v="4502313627"/>
    <n v="5081577191"/>
    <n v="5113261497"/>
    <m/>
    <s v="CON RETEN"/>
    <m/>
    <x v="0"/>
    <d v="2022-04-21T00:00:00"/>
    <m/>
    <m/>
    <m/>
    <m/>
    <m/>
    <m/>
    <m/>
    <m/>
    <d v="2022-04-21T00:00:00"/>
    <x v="4"/>
  </r>
  <r>
    <s v="Rafael Prieto Ortiz"/>
    <d v="2022-04-26T00:00:00"/>
    <d v="2022-04-27T00:00:00"/>
    <n v="17"/>
    <s v="FER5"/>
    <x v="2"/>
    <n v="6910"/>
    <x v="264"/>
    <n v="284553.8"/>
    <n v="0"/>
    <n v="4502313627"/>
    <n v="5081577191"/>
    <n v="5113261498"/>
    <m/>
    <m/>
    <s v="No contesta le envie correo "/>
    <x v="0"/>
    <d v="2022-04-21T00:00:00"/>
    <m/>
    <m/>
    <m/>
    <m/>
    <m/>
    <m/>
    <m/>
    <m/>
    <d v="2022-04-21T00:00:00"/>
    <x v="4"/>
  </r>
  <r>
    <s v="HEVLA S.A.S"/>
    <d v="2022-04-26T00:00:00"/>
    <d v="2022-04-26T00:00:00"/>
    <n v="17"/>
    <s v="FE-530"/>
    <x v="2"/>
    <n v="13636"/>
    <x v="117"/>
    <n v="109088000"/>
    <n v="28"/>
    <n v="4502315202"/>
    <n v="5081494962"/>
    <n v="5113256129"/>
    <s v="CON RETEN"/>
    <s v="EJ*2 2982600*2"/>
    <s v="Roberto que va a revisar el correo "/>
    <x v="0"/>
    <d v="2022-04-21T00:00:00"/>
    <n v="4902253391"/>
    <n v="5965200"/>
    <s v="FEMD-3857*2"/>
    <n v="5113250690"/>
    <m/>
    <m/>
    <m/>
    <m/>
    <d v="2022-04-21T00:00:00"/>
    <x v="4"/>
  </r>
  <r>
    <s v="Luis Fernando Rojas Prada"/>
    <d v="2022-04-25T00:00:00"/>
    <d v="2022-04-25T00:00:00"/>
    <n v="17"/>
    <s v="FELC-868"/>
    <x v="0"/>
    <n v="47071"/>
    <x v="145"/>
    <n v="378921550"/>
    <n v="98"/>
    <n v="4502316355"/>
    <n v="5081534081"/>
    <n v="5113254528"/>
    <s v="TIENE BL"/>
    <s v="EJ*7 3132800*2 2979200*2 3132800*3"/>
    <m/>
    <x v="0"/>
    <d v="2022-04-22T00:00:00"/>
    <n v="4902253727"/>
    <n v="21622400"/>
    <s v="FEMD-3889*4"/>
    <n v="5113254536"/>
    <s v="FEMD-3887*2"/>
    <n v="5113254666"/>
    <s v="FEMD-3888*1"/>
    <n v="5113254699"/>
    <d v="2022-04-22T00:00:00"/>
    <x v="4"/>
  </r>
  <r>
    <s v="Fernando Arevalo Reyes"/>
    <d v="2022-04-22T00:00:00"/>
    <m/>
    <n v="17"/>
    <s v="FVE-114"/>
    <x v="0"/>
    <n v="7400"/>
    <x v="220"/>
    <n v="64010000"/>
    <n v="15"/>
    <n v="4502313628"/>
    <n v="5081500698"/>
    <n v="5113257032"/>
    <m/>
    <s v="TIENE BL"/>
    <s v="Se solicito por correo "/>
    <x v="0"/>
    <d v="2022-04-22T00:00:00"/>
    <m/>
    <m/>
    <m/>
    <m/>
    <m/>
    <m/>
    <m/>
    <m/>
    <d v="2022-04-22T00:00:00"/>
    <x v="4"/>
  </r>
  <r>
    <s v="Fernando Arevalo Reyes"/>
    <d v="2022-04-22T00:00:00"/>
    <m/>
    <n v="17"/>
    <s v="ND6"/>
    <x v="0"/>
    <n v="7400"/>
    <x v="2"/>
    <n v="740000"/>
    <n v="0"/>
    <n v="4502313628"/>
    <n v="5081500698"/>
    <n v="5113257034"/>
    <m/>
    <m/>
    <m/>
    <x v="0"/>
    <d v="2022-04-22T00:00:00"/>
    <m/>
    <m/>
    <m/>
    <m/>
    <m/>
    <m/>
    <m/>
    <m/>
    <d v="2022-04-22T00:00:00"/>
    <x v="4"/>
  </r>
  <r>
    <s v="Inversiones y Negocios V&amp;V S.A.S"/>
    <d v="2022-04-25T00:00:00"/>
    <d v="2022-04-25T00:00:00"/>
    <n v="17"/>
    <s v="FE-1628"/>
    <x v="1"/>
    <n v="12754"/>
    <x v="237"/>
    <n v="114786000"/>
    <n v="28"/>
    <n v="4502313630"/>
    <n v="5081531310"/>
    <n v="5113254957"/>
    <m/>
    <s v="CON RETEN"/>
    <m/>
    <x v="0"/>
    <d v="2022-04-22T00:00:00"/>
    <m/>
    <m/>
    <m/>
    <m/>
    <m/>
    <m/>
    <m/>
    <m/>
    <d v="2022-04-22T00:00:00"/>
    <x v="4"/>
  </r>
  <r>
    <s v="Juan Alberto Saldarriaga Marin"/>
    <d v="2022-04-22T00:00:00"/>
    <m/>
    <n v="17"/>
    <n v="6011"/>
    <x v="4"/>
    <n v="83130"/>
    <x v="265"/>
    <n v="781422000"/>
    <n v="168"/>
    <n v="4502316674"/>
    <n v="5081539739"/>
    <n v="5113264957"/>
    <m/>
    <s v="TIENE BL"/>
    <m/>
    <x v="3"/>
    <d v="2022-04-22T00:00:00"/>
    <m/>
    <m/>
    <m/>
    <m/>
    <m/>
    <m/>
    <m/>
    <m/>
    <d v="2022-04-22T00:00:00"/>
    <x v="4"/>
  </r>
  <r>
    <s v="Sociedad Comercializadora Ganadera"/>
    <d v="2022-04-26T00:00:00"/>
    <d v="2022-04-26T00:00:00"/>
    <n v="17"/>
    <s v="FEDV283"/>
    <x v="4"/>
    <n v="65580"/>
    <x v="266"/>
    <n v="613173000"/>
    <n v="130"/>
    <n v="4502316677"/>
    <n v="5081539747"/>
    <n v="5113259205"/>
    <m/>
    <s v="TIENE BL"/>
    <m/>
    <x v="3"/>
    <d v="2022-04-22T00:00:00"/>
    <m/>
    <m/>
    <m/>
    <m/>
    <m/>
    <m/>
    <m/>
    <m/>
    <d v="2022-04-22T00:00:00"/>
    <x v="4"/>
  </r>
  <r>
    <s v="Sociedad Comercializadora Ganadera"/>
    <d v="2022-04-26T00:00:00"/>
    <d v="2022-04-26T00:00:00"/>
    <n v="17"/>
    <s v="ND21"/>
    <x v="4"/>
    <n v="65580"/>
    <x v="13"/>
    <n v="3279000"/>
    <n v="0"/>
    <n v="4502316677"/>
    <n v="5081539747"/>
    <n v="5113259217"/>
    <m/>
    <m/>
    <m/>
    <x v="3"/>
    <d v="2022-04-22T00:00:00"/>
    <m/>
    <m/>
    <m/>
    <m/>
    <m/>
    <m/>
    <m/>
    <m/>
    <d v="2022-04-22T00:00:00"/>
    <x v="4"/>
  </r>
  <r>
    <s v="David Martinez Jaramillo"/>
    <d v="2022-04-23T00:00:00"/>
    <d v="2022-04-25T00:00:00"/>
    <n v="17"/>
    <s v="DM172"/>
    <x v="2"/>
    <n v="34820"/>
    <x v="237"/>
    <n v="313380000"/>
    <n v="75"/>
    <n v="4502313631"/>
    <n v="5081531432"/>
    <n v="5113254604"/>
    <m/>
    <s v="TIENE BL"/>
    <m/>
    <x v="0"/>
    <d v="2022-04-23T00:00:00"/>
    <m/>
    <m/>
    <m/>
    <m/>
    <m/>
    <m/>
    <m/>
    <m/>
    <d v="2022-04-23T00:00:00"/>
    <x v="4"/>
  </r>
  <r>
    <s v="David Martinez Jaramillo"/>
    <d v="2022-04-25T00:00:00"/>
    <d v="2022-04-25T00:00:00"/>
    <n v="17"/>
    <s v="NC25"/>
    <x v="2"/>
    <n v="34820"/>
    <x v="267"/>
    <n v="-955809.00000002538"/>
    <n v="0"/>
    <n v="4502313631"/>
    <n v="5081531432"/>
    <n v="5113254647"/>
    <m/>
    <m/>
    <m/>
    <x v="0"/>
    <d v="2022-04-23T00:00:00"/>
    <m/>
    <m/>
    <m/>
    <m/>
    <m/>
    <m/>
    <m/>
    <m/>
    <d v="2022-04-23T00:00:00"/>
    <x v="4"/>
  </r>
  <r>
    <s v="Sociedad Comercializadora Ganadera"/>
    <d v="2022-04-26T00:00:00"/>
    <d v="2022-04-26T00:00:00"/>
    <n v="17"/>
    <s v="FEDV281"/>
    <x v="2"/>
    <n v="13318"/>
    <x v="262"/>
    <n v="123857400"/>
    <n v="30"/>
    <n v="4502313632"/>
    <n v="5081534237"/>
    <n v="5113257541"/>
    <m/>
    <s v="TIENE BL"/>
    <m/>
    <x v="0"/>
    <d v="2022-04-23T00:00:00"/>
    <m/>
    <m/>
    <m/>
    <m/>
    <m/>
    <m/>
    <m/>
    <m/>
    <d v="2022-04-23T00:00:00"/>
    <x v="4"/>
  </r>
  <r>
    <s v="Sociedad Comercializadora Ganadera"/>
    <d v="2022-04-26T00:00:00"/>
    <d v="2022-04-26T00:00:00"/>
    <n v="17"/>
    <s v="NC127"/>
    <x v="2"/>
    <n v="13318"/>
    <x v="268"/>
    <n v="-1483758.379999998"/>
    <n v="0"/>
    <n v="4502313632"/>
    <n v="5081534237"/>
    <n v="5113257543"/>
    <m/>
    <m/>
    <m/>
    <x v="0"/>
    <d v="2022-04-23T00:00:00"/>
    <m/>
    <m/>
    <m/>
    <m/>
    <m/>
    <m/>
    <m/>
    <m/>
    <d v="2022-04-23T00:00:00"/>
    <x v="4"/>
  </r>
  <r>
    <s v="Sociedad Comercializadora Ganadera"/>
    <d v="2022-04-26T00:00:00"/>
    <d v="2022-04-26T00:00:00"/>
    <n v="17"/>
    <s v="FEDV282"/>
    <x v="2"/>
    <n v="34659"/>
    <x v="262"/>
    <n v="322328700"/>
    <n v="76"/>
    <n v="4502313632"/>
    <n v="5081534237"/>
    <n v="5113257545"/>
    <m/>
    <s v="TIENE BL"/>
    <m/>
    <x v="0"/>
    <d v="2022-04-23T00:00:00"/>
    <m/>
    <m/>
    <m/>
    <m/>
    <m/>
    <m/>
    <m/>
    <m/>
    <d v="2022-04-23T00:00:00"/>
    <x v="4"/>
  </r>
  <r>
    <s v="Sociedad Comercializadora Ganadera"/>
    <d v="2022-04-26T00:00:00"/>
    <d v="2022-04-26T00:00:00"/>
    <n v="17"/>
    <s v="NC128"/>
    <x v="2"/>
    <n v="34659"/>
    <x v="269"/>
    <n v="-422839.80000002519"/>
    <n v="0"/>
    <n v="4502313632"/>
    <n v="5081534237"/>
    <n v="5113257558"/>
    <m/>
    <m/>
    <m/>
    <x v="0"/>
    <d v="2022-04-23T00:00:00"/>
    <m/>
    <m/>
    <m/>
    <m/>
    <m/>
    <m/>
    <m/>
    <m/>
    <d v="2022-04-23T00:00:00"/>
    <x v="4"/>
  </r>
  <r>
    <s v="Sociedad Comercializadora Ganadera"/>
    <d v="2022-04-27T00:00:00"/>
    <d v="2022-04-27T00:00:00"/>
    <n v="17"/>
    <s v="FEDV284"/>
    <x v="2"/>
    <n v="34241"/>
    <x v="262"/>
    <n v="318441300"/>
    <n v="73"/>
    <n v="4502313633"/>
    <n v="5081532697"/>
    <n v="5113260831"/>
    <m/>
    <s v="TIENE BL"/>
    <m/>
    <x v="0"/>
    <d v="2022-04-24T00:00:00"/>
    <m/>
    <m/>
    <m/>
    <m/>
    <m/>
    <m/>
    <m/>
    <m/>
    <d v="2022-04-24T00:00:00"/>
    <x v="4"/>
  </r>
  <r>
    <s v="Sociedad Comercializadora Ganadera"/>
    <d v="2022-04-27T00:00:00"/>
    <d v="2022-04-27T00:00:00"/>
    <n v="17"/>
    <s v="FEDV285"/>
    <x v="2"/>
    <n v="34731"/>
    <x v="262"/>
    <n v="322998300"/>
    <n v="71"/>
    <n v="4502313633"/>
    <n v="5081532697"/>
    <n v="5113261885"/>
    <m/>
    <s v="TIENE BL"/>
    <m/>
    <x v="0"/>
    <d v="2022-04-24T00:00:00"/>
    <m/>
    <m/>
    <m/>
    <m/>
    <m/>
    <m/>
    <m/>
    <m/>
    <d v="2022-04-24T00:00:00"/>
    <x v="4"/>
  </r>
  <r>
    <s v="Sociedad Comercializadora Ganadera"/>
    <d v="2022-04-27T00:00:00"/>
    <d v="2022-04-27T00:00:00"/>
    <n v="17"/>
    <s v="NC129"/>
    <x v="2"/>
    <n v="34731"/>
    <x v="13"/>
    <n v="-1736550"/>
    <n v="0"/>
    <n v="4502313633"/>
    <n v="5081532697"/>
    <n v="5113261886"/>
    <m/>
    <m/>
    <m/>
    <x v="0"/>
    <d v="2022-04-24T00:00:00"/>
    <m/>
    <m/>
    <m/>
    <m/>
    <m/>
    <m/>
    <m/>
    <m/>
    <d v="2022-04-24T00:00:00"/>
    <x v="4"/>
  </r>
  <r>
    <s v="Sociedad Comercializadora Ganadera"/>
    <d v="2022-04-27T00:00:00"/>
    <d v="2022-04-27T00:00:00"/>
    <n v="17"/>
    <s v="FEDV286"/>
    <x v="2"/>
    <n v="20928.5"/>
    <x v="262"/>
    <n v="194635050"/>
    <n v="45"/>
    <n v="4502313633"/>
    <n v="5081532697"/>
    <n v="5113266472"/>
    <m/>
    <s v="TIENE BL"/>
    <m/>
    <x v="0"/>
    <d v="2022-04-24T00:00:00"/>
    <m/>
    <m/>
    <m/>
    <m/>
    <m/>
    <m/>
    <m/>
    <m/>
    <d v="2022-04-24T00:00:00"/>
    <x v="4"/>
  </r>
  <r>
    <s v="Sociedad Comercializadora Ganadera"/>
    <d v="2022-04-27T00:00:00"/>
    <d v="2022-04-27T00:00:00"/>
    <n v="17"/>
    <s v="NC130"/>
    <x v="2"/>
    <n v="20928.5"/>
    <x v="270"/>
    <n v="-4225254.8649999881"/>
    <n v="0"/>
    <n v="4502313633"/>
    <n v="5081532697"/>
    <n v="5113266511"/>
    <m/>
    <m/>
    <m/>
    <x v="0"/>
    <d v="2022-04-24T00:00:00"/>
    <m/>
    <m/>
    <m/>
    <m/>
    <m/>
    <m/>
    <m/>
    <m/>
    <d v="2022-04-24T00:00:00"/>
    <x v="4"/>
  </r>
  <r>
    <s v="Agropecuaria 3H Blanco S.A.S"/>
    <d v="2022-05-24T00:00:00"/>
    <m/>
    <n v="17"/>
    <s v="A3H-34"/>
    <x v="2"/>
    <n v="26265.5"/>
    <x v="244"/>
    <n v="231136400"/>
    <n v="57"/>
    <n v="4502313634"/>
    <n v="5081534351"/>
    <n v="5113265075"/>
    <m/>
    <m/>
    <s v="CON RETEN "/>
    <x v="0"/>
    <d v="2022-04-24T00:00:00"/>
    <m/>
    <m/>
    <m/>
    <m/>
    <m/>
    <m/>
    <m/>
    <m/>
    <d v="2022-04-24T00:00:00"/>
    <x v="4"/>
  </r>
  <r>
    <s v="Agropecuaria 3H Blanco S.A.S"/>
    <d v="2022-05-24T00:00:00"/>
    <m/>
    <n v="17"/>
    <s v="A3H-40"/>
    <x v="2"/>
    <n v="26265.5"/>
    <x v="271"/>
    <n v="1194554.94"/>
    <n v="0"/>
    <n v="4502313634"/>
    <n v="5081534351"/>
    <n v="5113265187"/>
    <m/>
    <m/>
    <m/>
    <x v="0"/>
    <d v="2022-04-24T00:00:00"/>
    <m/>
    <m/>
    <m/>
    <m/>
    <m/>
    <m/>
    <m/>
    <m/>
    <d v="2022-04-24T00:00:00"/>
    <x v="4"/>
  </r>
  <r>
    <s v="Inversiones Castilla Barbosa S.A.S."/>
    <d v="2022-04-24T00:00:00"/>
    <d v="2022-04-25T00:00:00"/>
    <n v="17"/>
    <s v="FE-70"/>
    <x v="2"/>
    <n v="14228"/>
    <x v="248"/>
    <n v="122360800"/>
    <n v="28"/>
    <n v="4502316359"/>
    <n v="5081534082"/>
    <n v="5113252897"/>
    <s v="TIENE BL"/>
    <s v="NUMA*2 509600*2"/>
    <m/>
    <x v="0"/>
    <d v="2022-04-24T00:00:00"/>
    <n v="4902253729"/>
    <n v="1019200"/>
    <s v="MOVI-1396*2"/>
    <n v="5113252815"/>
    <m/>
    <m/>
    <m/>
    <m/>
    <d v="2022-04-24T00:00:00"/>
    <x v="4"/>
  </r>
  <r>
    <s v="Agropecuaria El Barzal S.A.S"/>
    <d v="2022-04-24T00:00:00"/>
    <d v="2022-04-25T00:00:00"/>
    <n v="17"/>
    <s v="FE-55"/>
    <x v="2"/>
    <n v="23272.5"/>
    <x v="248"/>
    <n v="200143500"/>
    <n v="42"/>
    <n v="4502316360"/>
    <n v="5081534083"/>
    <n v="5113254649"/>
    <s v="TIENE BL"/>
    <s v="NUMA*3 510000*3"/>
    <m/>
    <x v="0"/>
    <d v="2022-04-24T00:00:00"/>
    <n v="4902253730"/>
    <n v="1530000"/>
    <s v="MOVI-1401*4"/>
    <n v="5113254702"/>
    <m/>
    <m/>
    <m/>
    <m/>
    <d v="2022-04-24T00:00:00"/>
    <x v="4"/>
  </r>
  <r>
    <s v="Agropecuaria El Barzal S.A.S"/>
    <d v="2022-04-24T00:00:00"/>
    <d v="2022-04-25T00:00:00"/>
    <n v="17"/>
    <s v="FE-55"/>
    <x v="2"/>
    <n v="7757.5"/>
    <x v="248"/>
    <n v="66714500"/>
    <n v="14"/>
    <n v="4502316360"/>
    <n v="5081534083"/>
    <n v="5113254649"/>
    <s v="TIENE BL"/>
    <s v="NUMA*1 510000"/>
    <m/>
    <x v="0"/>
    <d v="2022-04-24T00:00:00"/>
    <n v="4902253730"/>
    <n v="510000"/>
    <s v="MOVI-1401*4"/>
    <n v="5113254702"/>
    <m/>
    <m/>
    <m/>
    <m/>
    <d v="2022-04-24T00:00:00"/>
    <x v="4"/>
  </r>
  <r>
    <s v="Leonardo Pitta Peñaranda"/>
    <d v="2022-05-02T00:00:00"/>
    <d v="2022-05-02T00:00:00"/>
    <n v="17"/>
    <s v="ARF-156"/>
    <x v="2"/>
    <n v="7172"/>
    <x v="213"/>
    <n v="60962000"/>
    <n v="17"/>
    <n v="4502313635"/>
    <n v="5081532768"/>
    <n v="5113280162"/>
    <m/>
    <s v="TIENE BL"/>
    <s v="Va a validar con la oficina "/>
    <x v="0"/>
    <d v="2022-04-24T00:00:00"/>
    <m/>
    <m/>
    <m/>
    <m/>
    <m/>
    <m/>
    <m/>
    <m/>
    <d v="2022-04-24T00:00:00"/>
    <x v="4"/>
  </r>
  <r>
    <s v="Leonardo Pitta Peñaranda"/>
    <d v="2022-05-02T00:00:00"/>
    <d v="2022-05-02T00:00:00"/>
    <n v="17"/>
    <s v="CRARF-5"/>
    <x v="2"/>
    <n v="7172"/>
    <x v="272"/>
    <n v="-398261.16000000469"/>
    <n v="0"/>
    <n v="4502313635"/>
    <n v="5081532768"/>
    <n v="5113280163"/>
    <m/>
    <m/>
    <m/>
    <x v="0"/>
    <d v="2022-04-24T00:00:00"/>
    <m/>
    <m/>
    <m/>
    <m/>
    <m/>
    <m/>
    <m/>
    <m/>
    <d v="2022-04-24T00:00:00"/>
    <x v="4"/>
  </r>
  <r>
    <s v="Agropecuaria Tabaida S.A.S"/>
    <d v="2022-04-24T00:00:00"/>
    <d v="2022-04-26T00:00:00"/>
    <n v="17"/>
    <s v="MT-1355"/>
    <x v="2"/>
    <n v="38232"/>
    <x v="227"/>
    <n v="332618400"/>
    <n v="84"/>
    <n v="4502317466"/>
    <n v="5081558342"/>
    <n v="5113263430"/>
    <m/>
    <s v="TIENE BL"/>
    <m/>
    <x v="5"/>
    <d v="2022-04-24T00:00:00"/>
    <m/>
    <m/>
    <m/>
    <m/>
    <m/>
    <m/>
    <m/>
    <m/>
    <d v="2022-04-24T00:00:00"/>
    <x v="4"/>
  </r>
  <r>
    <s v="Misionagro S.A.S"/>
    <d v="2022-04-24T00:00:00"/>
    <d v="2022-04-26T00:00:00"/>
    <n v="17"/>
    <s v="MISI99"/>
    <x v="2"/>
    <n v="22177"/>
    <x v="213"/>
    <n v="188504500"/>
    <n v="42"/>
    <n v="4502317482"/>
    <n v="5081558563"/>
    <n v="5113260114"/>
    <s v="CON RETEN"/>
    <s v="EJ*3 890800*3"/>
    <m/>
    <x v="5"/>
    <d v="2022-04-24T00:00:00"/>
    <n v="4502317482"/>
    <n v="2672400"/>
    <s v="FEMD-3897*3"/>
    <n v="5113257118"/>
    <m/>
    <m/>
    <m/>
    <m/>
    <d v="2022-04-24T00:00:00"/>
    <x v="4"/>
  </r>
  <r>
    <s v="Surtidora Agropecuaria De Colombia"/>
    <d v="2022-04-24T00:00:00"/>
    <d v="2022-04-27T00:00:00"/>
    <n v="17"/>
    <s v="FESA-34"/>
    <x v="2"/>
    <n v="13299"/>
    <x v="227"/>
    <n v="115701300"/>
    <n v="28"/>
    <n v="4502318155"/>
    <n v="5081574062"/>
    <n v="5113282006"/>
    <s v="TIENE BL "/>
    <s v="EJ*2 730600*1 900600*1"/>
    <s v="Se envio por correo "/>
    <x v="5"/>
    <d v="2022-04-24T00:00:00"/>
    <n v="4502318155"/>
    <n v="1631200"/>
    <s v="FEMD-3864*1"/>
    <n v="5113264363"/>
    <s v="FEMD-3904*1"/>
    <n v="5113264360"/>
    <m/>
    <m/>
    <d v="2022-04-24T00:00:00"/>
    <x v="4"/>
  </r>
  <r>
    <s v="Subasta Ganadera de Puerto Berrio"/>
    <d v="2022-04-23T00:00:00"/>
    <d v="2022-04-26T00:00:00"/>
    <n v="17"/>
    <s v="FBC-13668"/>
    <x v="2"/>
    <n v="6956"/>
    <x v="244"/>
    <n v="61212800"/>
    <n v="16"/>
    <n v="4502316285"/>
    <n v="5081533340"/>
    <n v="5113259198"/>
    <s v="TIENE BL"/>
    <s v="NUMA*1 931500"/>
    <m/>
    <x v="0"/>
    <d v="2022-04-24T00:00:00"/>
    <n v="4902255589"/>
    <n v="931500"/>
    <s v="MOVI-1394*4"/>
    <n v="5113256462"/>
    <m/>
    <m/>
    <m/>
    <m/>
    <d v="2022-04-24T00:00:00"/>
    <x v="4"/>
  </r>
  <r>
    <s v="Subasta Ganadera de Puerto Berrio"/>
    <d v="2022-04-23T00:00:00"/>
    <d v="2022-04-26T00:00:00"/>
    <n v="17"/>
    <s v="FBC-13670"/>
    <x v="2"/>
    <n v="6886"/>
    <x v="213"/>
    <n v="58531000"/>
    <n v="16"/>
    <n v="4502316285"/>
    <n v="5081533340"/>
    <n v="5113259202"/>
    <s v="TIENE BL"/>
    <s v="NUMA*1 931500"/>
    <m/>
    <x v="0"/>
    <d v="2022-04-24T00:00:00"/>
    <n v="4902255589"/>
    <n v="931500"/>
    <s v="MOVI-1394*4"/>
    <n v="5113256462"/>
    <m/>
    <m/>
    <m/>
    <m/>
    <d v="2022-04-24T00:00:00"/>
    <x v="4"/>
  </r>
  <r>
    <s v="Subasta Ganadera de Puerto Berrio"/>
    <d v="2022-04-23T00:00:00"/>
    <d v="2022-04-26T00:00:00"/>
    <n v="17"/>
    <s v="FBC-13669"/>
    <x v="2"/>
    <n v="7296"/>
    <x v="237"/>
    <n v="65664000"/>
    <n v="14"/>
    <n v="4502316285"/>
    <n v="5081533340"/>
    <n v="5113259203"/>
    <s v="TIENE BL"/>
    <s v="NUMA*1 931500"/>
    <m/>
    <x v="0"/>
    <d v="2022-04-24T00:00:00"/>
    <n v="4902255589"/>
    <n v="931500"/>
    <s v="MOVI-1394*4"/>
    <n v="5113256462"/>
    <m/>
    <m/>
    <m/>
    <m/>
    <d v="2022-04-24T00:00:00"/>
    <x v="4"/>
  </r>
  <r>
    <s v="Subasta Ganadera de Puerto Berrio"/>
    <d v="2022-04-23T00:00:00"/>
    <d v="2022-04-26T00:00:00"/>
    <n v="17"/>
    <s v="FBC-13671"/>
    <x v="2"/>
    <n v="6976"/>
    <x v="227"/>
    <n v="60691200"/>
    <n v="16"/>
    <n v="4502316285"/>
    <n v="5081533340"/>
    <n v="5113259204"/>
    <s v="TIENE BL"/>
    <s v="NUMA*1 931500"/>
    <s v="                                                                                                                                                                                                                                                               "/>
    <x v="0"/>
    <d v="2022-04-24T00:00:00"/>
    <n v="4902255589"/>
    <n v="931500"/>
    <s v="MOVI-1394*4"/>
    <n v="5113256462"/>
    <m/>
    <m/>
    <m/>
    <m/>
    <d v="2022-04-24T00:00:00"/>
    <x v="4"/>
  </r>
  <r>
    <s v="Primavera del Magdalena S.A.S."/>
    <d v="2022-04-27T00:00:00"/>
    <d v="2022-04-28T00:00:00"/>
    <n v="17"/>
    <s v="PRI-65"/>
    <x v="0"/>
    <n v="6585"/>
    <x v="248"/>
    <n v="56631000"/>
    <n v="14"/>
    <n v="4502313991"/>
    <n v="5081553303"/>
    <n v="5113264337"/>
    <m/>
    <s v="TIENE BL"/>
    <m/>
    <x v="0"/>
    <d v="2022-04-25T00:00:00"/>
    <m/>
    <m/>
    <m/>
    <m/>
    <m/>
    <m/>
    <m/>
    <m/>
    <d v="2022-04-25T00:00:00"/>
    <x v="4"/>
  </r>
  <r>
    <s v="Luis Manuel Urrego Ortiz"/>
    <d v="2022-04-28T00:00:00"/>
    <d v="2022-04-28T00:00:00"/>
    <n v="17"/>
    <s v="FE-74"/>
    <x v="2"/>
    <n v="26955"/>
    <x v="117"/>
    <n v="215640000"/>
    <n v="56"/>
    <n v="4502316794"/>
    <n v="5081541066"/>
    <n v="5113269108"/>
    <m/>
    <s v="NUMA*4 376800*4"/>
    <s v="CON RETEN "/>
    <x v="0"/>
    <d v="2022-04-25T00:00:00"/>
    <n v="4902253731"/>
    <n v="1507200"/>
    <s v="MOVI-1399*4"/>
    <n v="5113256504"/>
    <m/>
    <m/>
    <m/>
    <m/>
    <d v="2022-04-25T00:00:00"/>
    <x v="4"/>
  </r>
  <r>
    <s v="Adrian Alberto Alvarez Henao"/>
    <d v="2022-04-29T00:00:00"/>
    <d v="2022-05-02T00:00:00"/>
    <n v="17"/>
    <s v="AAAH-32"/>
    <x v="2"/>
    <n v="13430"/>
    <x v="273"/>
    <n v="122213000"/>
    <n v="30"/>
    <n v="4502313637"/>
    <n v="5081553302"/>
    <n v="5113278172"/>
    <m/>
    <s v="TIENE BL"/>
    <s v="Esta pendiente que el contador facture "/>
    <x v="0"/>
    <d v="2022-04-25T00:00:00"/>
    <m/>
    <m/>
    <m/>
    <m/>
    <m/>
    <m/>
    <m/>
    <m/>
    <d v="2022-04-25T00:00:00"/>
    <x v="4"/>
  </r>
  <r>
    <s v="Adrian Alberto Alvarez Henao"/>
    <d v="2022-04-29T00:00:00"/>
    <d v="2022-05-02T00:00:00"/>
    <n v="17"/>
    <s v="AD8"/>
    <x v="2"/>
    <n v="13430"/>
    <x v="274"/>
    <n v="-2538001.3999999943"/>
    <n v="0"/>
    <n v="4502313637"/>
    <n v="5081553302"/>
    <n v="5113278173"/>
    <m/>
    <m/>
    <m/>
    <x v="0"/>
    <d v="2022-04-25T00:00:00"/>
    <m/>
    <m/>
    <m/>
    <m/>
    <m/>
    <m/>
    <m/>
    <m/>
    <d v="2022-04-25T00:00:00"/>
    <x v="4"/>
  </r>
  <r>
    <s v="Palmas Cañon Jaime S.A.S"/>
    <d v="2022-04-29T00:00:00"/>
    <d v="2022-04-29T00:00:00"/>
    <n v="17"/>
    <s v="FEP-72"/>
    <x v="2"/>
    <n v="22666"/>
    <x v="248"/>
    <n v="194927600"/>
    <n v="45"/>
    <n v="4502313992"/>
    <n v="5081553499"/>
    <n v="5113273319"/>
    <m/>
    <s v="TIENE BL"/>
    <m/>
    <x v="0"/>
    <d v="2022-04-25T00:00:00"/>
    <m/>
    <m/>
    <m/>
    <m/>
    <m/>
    <m/>
    <m/>
    <m/>
    <d v="2022-04-25T00:00:00"/>
    <x v="4"/>
  </r>
  <r>
    <s v="Palmas Cañon Jaime S.A.S"/>
    <d v="2022-04-29T00:00:00"/>
    <d v="2022-04-29T00:00:00"/>
    <n v="17"/>
    <s v="FEP-73"/>
    <x v="2"/>
    <n v="22666"/>
    <x v="248"/>
    <n v="51600"/>
    <n v="0"/>
    <n v="4502313992"/>
    <n v="5081553499"/>
    <n v="5113276008"/>
    <m/>
    <m/>
    <m/>
    <x v="0"/>
    <d v="2022-04-25T00:00:00"/>
    <m/>
    <m/>
    <m/>
    <m/>
    <m/>
    <m/>
    <m/>
    <m/>
    <d v="2022-04-25T00:00:00"/>
    <x v="4"/>
  </r>
  <r>
    <s v="Angela Maria Restrepo Diaz"/>
    <d v="2022-04-26T00:00:00"/>
    <d v="2022-04-26T00:00:00"/>
    <n v="17"/>
    <s v="AR80"/>
    <x v="1"/>
    <n v="19884"/>
    <x v="213"/>
    <n v="169014000"/>
    <n v="42"/>
    <n v="4502316797"/>
    <n v="5081541299"/>
    <n v="5113257307"/>
    <m/>
    <s v="NUMA*3 920000*3"/>
    <m/>
    <x v="0"/>
    <d v="2022-04-25T00:00:00"/>
    <n v="4902253735"/>
    <n v="2760000"/>
    <s v="MOVI-1398*3"/>
    <n v="5113256501"/>
    <m/>
    <m/>
    <m/>
    <m/>
    <d v="2022-04-25T00:00:00"/>
    <x v="4"/>
  </r>
  <r>
    <s v="Lina Maria Pelaez Gomez"/>
    <d v="2022-04-26T00:00:00"/>
    <d v="2022-04-27T00:00:00"/>
    <n v="17"/>
    <s v="LP85"/>
    <x v="1"/>
    <n v="13511.5"/>
    <x v="237"/>
    <n v="121603500"/>
    <n v="30"/>
    <n v="4502313638"/>
    <n v="5081553498"/>
    <n v="5113263427"/>
    <m/>
    <s v="TIENE BL"/>
    <m/>
    <x v="0"/>
    <d v="2022-04-25T00:00:00"/>
    <m/>
    <m/>
    <m/>
    <m/>
    <m/>
    <m/>
    <m/>
    <m/>
    <d v="2022-04-25T00:00:00"/>
    <x v="4"/>
  </r>
  <r>
    <s v="Robinson Jose Chica Vega"/>
    <d v="2022-04-29T00:00:00"/>
    <d v="2022-04-29T00:00:00"/>
    <n v="17"/>
    <s v="FEC-728"/>
    <x v="0"/>
    <n v="7123"/>
    <x v="248"/>
    <n v="61257800"/>
    <n v="14"/>
    <n v="4502313994"/>
    <n v="5081573892"/>
    <n v="5113270631"/>
    <m/>
    <s v="CON RETEN"/>
    <m/>
    <x v="0"/>
    <d v="2022-04-26T00:00:00"/>
    <m/>
    <m/>
    <m/>
    <m/>
    <m/>
    <m/>
    <m/>
    <m/>
    <d v="2022-04-26T00:00:00"/>
    <x v="4"/>
  </r>
  <r>
    <s v="Lina Maria Pelaez Gomez"/>
    <d v="2022-05-01T00:00:00"/>
    <d v="2022-05-02T00:00:00"/>
    <n v="17"/>
    <s v="LP86"/>
    <x v="2"/>
    <n v="12630.5"/>
    <x v="237"/>
    <n v="113674500"/>
    <n v="28"/>
    <n v="4502313639"/>
    <n v="5081573890"/>
    <n v="5113282304"/>
    <m/>
    <s v="TIENE BL"/>
    <s v="TIENE BL "/>
    <x v="0"/>
    <d v="2022-04-26T00:00:00"/>
    <m/>
    <m/>
    <m/>
    <m/>
    <m/>
    <m/>
    <m/>
    <m/>
    <d v="2022-04-26T00:00:00"/>
    <x v="4"/>
  </r>
  <r>
    <s v="Lina Maria Pelaez Gomez"/>
    <d v="2022-05-02T00:00:00"/>
    <d v="2022-05-02T00:00:00"/>
    <n v="17"/>
    <s v="NC65"/>
    <x v="2"/>
    <n v="12630.5"/>
    <x v="275"/>
    <n v="-155228.84500001103"/>
    <n v="0"/>
    <n v="4502313639"/>
    <n v="5081573890"/>
    <n v="5113282306"/>
    <m/>
    <m/>
    <m/>
    <x v="0"/>
    <d v="2022-04-26T00:00:00"/>
    <m/>
    <m/>
    <m/>
    <m/>
    <m/>
    <m/>
    <m/>
    <m/>
    <d v="2022-04-26T00:00:00"/>
    <x v="4"/>
  </r>
  <r>
    <s v="Adrian Alberto Alvarez Henao"/>
    <d v="2022-04-29T00:00:00"/>
    <d v="2022-05-02T00:00:00"/>
    <n v="17"/>
    <s v="AAAH-34"/>
    <x v="2"/>
    <n v="15107.5"/>
    <x v="273"/>
    <n v="137478250"/>
    <n v="30"/>
    <n v="4502313642"/>
    <n v="5081576522"/>
    <n v="5113278174"/>
    <m/>
    <s v="TIENE BL"/>
    <m/>
    <x v="0"/>
    <d v="2022-04-26T00:00:00"/>
    <m/>
    <m/>
    <m/>
    <m/>
    <m/>
    <m/>
    <m/>
    <m/>
    <d v="2022-04-26T00:00:00"/>
    <x v="4"/>
  </r>
  <r>
    <s v="Adrian Alberto Alvarez Henao"/>
    <d v="2022-04-29T00:00:00"/>
    <d v="2022-05-02T00:00:00"/>
    <n v="17"/>
    <s v="PER2"/>
    <x v="2"/>
    <n v="15107.5"/>
    <x v="276"/>
    <n v="167995.4"/>
    <n v="0"/>
    <n v="4502313642"/>
    <n v="5081576522"/>
    <n v="5113278176"/>
    <m/>
    <m/>
    <m/>
    <x v="0"/>
    <d v="2022-04-26T00:00:00"/>
    <m/>
    <m/>
    <m/>
    <m/>
    <m/>
    <m/>
    <m/>
    <m/>
    <d v="2022-04-26T00:00:00"/>
    <x v="4"/>
  </r>
  <r>
    <s v="Adrian Alberto Alvarez Henao"/>
    <d v="2022-04-29T00:00:00"/>
    <d v="2022-05-02T00:00:00"/>
    <n v="17"/>
    <s v="AAAH-33"/>
    <x v="1"/>
    <n v="7034.5"/>
    <x v="273"/>
    <n v="64013950"/>
    <n v="14"/>
    <n v="4502316226"/>
    <n v="5081573893"/>
    <n v="5113278177"/>
    <m/>
    <s v="TIENE BL"/>
    <m/>
    <x v="0"/>
    <d v="2022-04-26T00:00:00"/>
    <m/>
    <m/>
    <m/>
    <m/>
    <m/>
    <m/>
    <m/>
    <m/>
    <d v="2022-04-26T00:00:00"/>
    <x v="4"/>
  </r>
  <r>
    <s v="Adrian Alberto Alvarez Henao"/>
    <d v="2022-04-29T00:00:00"/>
    <d v="2022-05-02T00:00:00"/>
    <n v="17"/>
    <s v="AD9"/>
    <x v="1"/>
    <n v="7034.5"/>
    <x v="277"/>
    <n v="-538420.63000000617"/>
    <n v="0"/>
    <n v="4502316226"/>
    <n v="5081573893"/>
    <n v="5113278180"/>
    <m/>
    <m/>
    <m/>
    <x v="0"/>
    <d v="2022-04-26T00:00:00"/>
    <m/>
    <m/>
    <m/>
    <m/>
    <m/>
    <m/>
    <m/>
    <m/>
    <d v="2022-04-26T00:00:00"/>
    <x v="4"/>
  </r>
  <r>
    <s v="Ayura S.A.S"/>
    <d v="2022-04-26T00:00:00"/>
    <d v="2022-04-29T00:00:00"/>
    <n v="17"/>
    <s v="GTE2416"/>
    <x v="1"/>
    <n v="28792"/>
    <x v="117"/>
    <n v="230336000"/>
    <n v="56"/>
    <n v="4502318484"/>
    <n v="5113273284"/>
    <n v="5113273284"/>
    <s v="CON RETEN"/>
    <s v="EJ*4 2979200*4"/>
    <m/>
    <x v="0"/>
    <d v="2022-04-26T00:00:00"/>
    <n v="4902253737"/>
    <n v="11916800"/>
    <s v="FEMD-3906*4"/>
    <n v="5113264321"/>
    <m/>
    <m/>
    <m/>
    <m/>
    <d v="2022-04-26T00:00:00"/>
    <x v="4"/>
  </r>
  <r>
    <s v="Maria Victoria Yepes Garcia"/>
    <d v="2022-04-28T00:00:00"/>
    <d v="2022-05-02T00:00:00"/>
    <n v="18"/>
    <s v="MVYG30"/>
    <x v="0"/>
    <n v="7093"/>
    <x v="244"/>
    <n v="62418400"/>
    <n v="14"/>
    <n v="4502318573"/>
    <n v="5081611976"/>
    <n v="5113278182"/>
    <m/>
    <s v="TIENE BL"/>
    <m/>
    <x v="0"/>
    <d v="2022-04-28T00:00:00"/>
    <m/>
    <m/>
    <m/>
    <m/>
    <m/>
    <m/>
    <m/>
    <m/>
    <d v="2022-04-28T00:00:00"/>
    <x v="4"/>
  </r>
  <r>
    <s v="Maria Victoria Yepes Garcia"/>
    <d v="2022-05-02T00:00:00"/>
    <d v="2022-05-02T00:00:00"/>
    <n v="18"/>
    <n v="7"/>
    <x v="0"/>
    <n v="7093"/>
    <x v="13"/>
    <n v="354650"/>
    <n v="0"/>
    <n v="4502318573"/>
    <n v="5081611976"/>
    <n v="5113278184"/>
    <m/>
    <m/>
    <m/>
    <x v="0"/>
    <d v="2022-04-28T00:00:00"/>
    <m/>
    <m/>
    <m/>
    <m/>
    <m/>
    <m/>
    <m/>
    <m/>
    <d v="2022-04-28T00:00:00"/>
    <x v="4"/>
  </r>
  <r>
    <s v="Andres Felipe Mantilla Acosta"/>
    <d v="2022-05-03T00:00:00"/>
    <d v="2022-05-03T00:00:00"/>
    <n v="18"/>
    <s v="FEFE13"/>
    <x v="0"/>
    <n v="7071.5"/>
    <x v="244"/>
    <n v="62229200"/>
    <n v="15"/>
    <n v="4502318574"/>
    <n v="5081611977"/>
    <n v="5113280817"/>
    <m/>
    <s v="TIENE BL"/>
    <s v="SR2569560"/>
    <x v="0"/>
    <d v="2022-04-28T00:00:00"/>
    <m/>
    <m/>
    <m/>
    <m/>
    <m/>
    <m/>
    <m/>
    <m/>
    <d v="2022-04-28T00:00:00"/>
    <x v="4"/>
  </r>
  <r>
    <s v="Juan Alberto Saldarriaga Marin"/>
    <d v="2022-04-28T00:00:00"/>
    <m/>
    <n v="18"/>
    <n v="6017"/>
    <x v="0"/>
    <n v="20970"/>
    <x v="278"/>
    <n v="192924000"/>
    <n v="42"/>
    <n v="4502318575"/>
    <n v="5081612668"/>
    <n v="5113280818"/>
    <m/>
    <s v="TIENE BL"/>
    <m/>
    <x v="0"/>
    <d v="2022-04-28T00:00:00"/>
    <m/>
    <m/>
    <m/>
    <m/>
    <m/>
    <m/>
    <m/>
    <m/>
    <d v="2022-04-28T00:00:00"/>
    <x v="4"/>
  </r>
  <r>
    <s v="David Martinez Jaramillo"/>
    <d v="2022-05-01T00:00:00"/>
    <d v="2022-05-02T00:00:00"/>
    <n v="18"/>
    <s v="DM176"/>
    <x v="0"/>
    <n v="42876.5"/>
    <x v="265"/>
    <n v="403039100"/>
    <n v="87"/>
    <n v="4502318576"/>
    <n v="5081616218"/>
    <n v="5113279111"/>
    <m/>
    <s v="TIENE BL"/>
    <s v="SR2560577"/>
    <x v="0"/>
    <d v="2022-04-28T00:00:00"/>
    <m/>
    <m/>
    <m/>
    <m/>
    <m/>
    <m/>
    <m/>
    <m/>
    <d v="2022-04-28T00:00:00"/>
    <x v="4"/>
  </r>
  <r>
    <s v="David Martinez Jaramillo"/>
    <d v="2022-05-02T00:00:00"/>
    <d v="2022-05-02T00:00:00"/>
    <n v="18"/>
    <s v="NC26"/>
    <x v="0"/>
    <n v="42876.5"/>
    <x v="279"/>
    <n v="-2391222.4050000189"/>
    <n v="0"/>
    <n v="4502318576"/>
    <n v="5081616218"/>
    <n v="5113279112"/>
    <m/>
    <m/>
    <m/>
    <x v="0"/>
    <d v="2022-04-28T00:00:00"/>
    <m/>
    <m/>
    <m/>
    <m/>
    <m/>
    <m/>
    <m/>
    <m/>
    <d v="2022-04-28T00:00:00"/>
    <x v="4"/>
  </r>
  <r>
    <s v="Andres Jaramillo Bernal"/>
    <d v="2022-04-28T00:00:00"/>
    <d v="2022-05-02T00:00:00"/>
    <n v="18"/>
    <s v="FEVA-5168"/>
    <x v="0"/>
    <n v="19819"/>
    <x v="244"/>
    <n v="174407200"/>
    <n v="42"/>
    <n v="4502318577"/>
    <n v="5081612669"/>
    <n v="5113278186"/>
    <m/>
    <s v="TIENE BL"/>
    <m/>
    <x v="0"/>
    <d v="2022-04-28T00:00:00"/>
    <m/>
    <m/>
    <m/>
    <m/>
    <m/>
    <m/>
    <m/>
    <m/>
    <d v="2022-04-28T00:00:00"/>
    <x v="4"/>
  </r>
  <r>
    <s v="La OKA S.A.S."/>
    <d v="2022-05-02T00:00:00"/>
    <m/>
    <n v="18"/>
    <s v="FEOK-61"/>
    <x v="0"/>
    <n v="6278"/>
    <x v="219"/>
    <n v="54932500"/>
    <n v="14"/>
    <n v="4502318579"/>
    <n v="5081612670"/>
    <n v="5113282182"/>
    <m/>
    <s v="CON RETEN"/>
    <s v="CON RETEN "/>
    <x v="0"/>
    <d v="2022-04-28T00:00:00"/>
    <m/>
    <m/>
    <m/>
    <m/>
    <m/>
    <m/>
    <m/>
    <m/>
    <d v="2022-04-28T00:00:00"/>
    <x v="4"/>
  </r>
  <r>
    <s v="La OKA S.A.S."/>
    <d v="2022-05-03T00:00:00"/>
    <m/>
    <n v="18"/>
    <s v="NC210"/>
    <x v="0"/>
    <n v="6278"/>
    <x v="13"/>
    <n v="-313900"/>
    <n v="0"/>
    <n v="4502318579"/>
    <n v="5081612670"/>
    <n v="5113282184"/>
    <m/>
    <m/>
    <s v="Se envio correo nuevamente a recepcion "/>
    <x v="0"/>
    <d v="2022-04-28T00:00:00"/>
    <m/>
    <m/>
    <m/>
    <m/>
    <m/>
    <m/>
    <m/>
    <m/>
    <d v="2022-04-28T00:00:00"/>
    <x v="4"/>
  </r>
  <r>
    <s v="Sociedad Comercializadora Ganadera"/>
    <d v="2022-05-03T00:00:00"/>
    <d v="2022-05-03T00:00:00"/>
    <n v="18"/>
    <s v="FEDV288"/>
    <x v="0"/>
    <n v="57447.5"/>
    <x v="265"/>
    <n v="540006500"/>
    <n v="121"/>
    <n v="4502318580"/>
    <n v="5081616219"/>
    <n v="5113279114"/>
    <m/>
    <s v="TIENE BL"/>
    <s v="SR2564699"/>
    <x v="0"/>
    <d v="2022-04-28T00:00:00"/>
    <m/>
    <m/>
    <m/>
    <m/>
    <m/>
    <m/>
    <m/>
    <m/>
    <d v="2022-04-28T00:00:00"/>
    <x v="4"/>
  </r>
  <r>
    <s v="Sociedad Comercializadora Ganadera"/>
    <d v="2022-05-03T00:00:00"/>
    <d v="2022-05-03T00:00:00"/>
    <n v="18"/>
    <s v="NC131"/>
    <x v="0"/>
    <n v="57447.5"/>
    <x v="280"/>
    <n v="-76405.174999995827"/>
    <n v="0"/>
    <n v="4502318580"/>
    <n v="5081616219"/>
    <n v="5113279116"/>
    <m/>
    <m/>
    <m/>
    <x v="0"/>
    <d v="2022-04-28T00:00:00"/>
    <m/>
    <m/>
    <m/>
    <m/>
    <m/>
    <m/>
    <m/>
    <m/>
    <d v="2022-04-28T00:00:00"/>
    <x v="4"/>
  </r>
  <r>
    <s v="Sociedad Comercializadora Ganadera"/>
    <d v="2022-05-03T00:00:00"/>
    <d v="2022-05-03T00:00:00"/>
    <n v="18"/>
    <s v="FEDV290"/>
    <x v="0"/>
    <n v="28413.5"/>
    <x v="265"/>
    <n v="267086900"/>
    <n v="61"/>
    <n v="4502318581"/>
    <n v="5081621943"/>
    <n v="5113284555"/>
    <m/>
    <s v="TIENE BL"/>
    <s v="SR2564699"/>
    <x v="0"/>
    <d v="2022-04-29T00:00:00"/>
    <m/>
    <m/>
    <m/>
    <m/>
    <m/>
    <m/>
    <m/>
    <m/>
    <d v="2022-04-29T00:00:00"/>
    <x v="4"/>
  </r>
  <r>
    <s v="Sociedad Comercializadora Ganadera"/>
    <d v="2022-05-06T00:00:00"/>
    <d v="2022-05-06T00:00:00"/>
    <n v="18"/>
    <s v="NC133"/>
    <x v="0"/>
    <n v="28413.5"/>
    <x v="281"/>
    <n v="-776825.09000000416"/>
    <n v="0"/>
    <n v="4502318581"/>
    <n v="5081621943"/>
    <n v="5113284577"/>
    <m/>
    <m/>
    <s v="Ya la van a enviar "/>
    <x v="0"/>
    <d v="2022-04-29T00:00:00"/>
    <m/>
    <m/>
    <m/>
    <m/>
    <m/>
    <m/>
    <m/>
    <m/>
    <d v="2022-04-29T00:00:00"/>
    <x v="4"/>
  </r>
  <r>
    <s v="Sociedad Comercializadora Ganadera"/>
    <d v="2022-05-03T00:00:00"/>
    <d v="2022-05-03T00:00:00"/>
    <n v="18"/>
    <s v="FEDV289"/>
    <x v="0"/>
    <n v="20661.5"/>
    <x v="265"/>
    <n v="194218100"/>
    <n v="42"/>
    <n v="4502318581"/>
    <n v="5081621943"/>
    <n v="5113284582"/>
    <m/>
    <s v="TIENE BL"/>
    <m/>
    <x v="0"/>
    <d v="2022-04-29T00:00:00"/>
    <m/>
    <m/>
    <m/>
    <m/>
    <m/>
    <m/>
    <m/>
    <m/>
    <d v="2022-04-29T00:00:00"/>
    <x v="4"/>
  </r>
  <r>
    <s v="Sociedad Comercializadora Ganadera"/>
    <d v="2022-05-06T00:00:00"/>
    <d v="2022-05-06T00:00:00"/>
    <n v="18"/>
    <s v="NC132"/>
    <x v="0"/>
    <n v="20661.5"/>
    <x v="2"/>
    <n v="-2066150"/>
    <n v="0"/>
    <n v="4502318581"/>
    <n v="5081621943"/>
    <n v="5113284585"/>
    <m/>
    <m/>
    <s v="Ya la van a enviar "/>
    <x v="0"/>
    <d v="2022-04-29T00:00:00"/>
    <m/>
    <m/>
    <m/>
    <m/>
    <m/>
    <m/>
    <m/>
    <m/>
    <d v="2022-04-29T00:00:00"/>
    <x v="4"/>
  </r>
  <r>
    <s v="Alexander Bautista Perez"/>
    <d v="2022-04-29T00:00:00"/>
    <m/>
    <n v="18"/>
    <s v="FACE-317"/>
    <x v="0"/>
    <n v="42104.5"/>
    <x v="282"/>
    <n v="399992750"/>
    <n v="87"/>
    <n v="4502318582"/>
    <n v="5081616220"/>
    <n v="5113278188"/>
    <m/>
    <s v="CON RETEN"/>
    <m/>
    <x v="0"/>
    <d v="2022-04-29T00:00:00"/>
    <m/>
    <m/>
    <m/>
    <m/>
    <m/>
    <m/>
    <m/>
    <m/>
    <d v="2022-04-29T00:00:00"/>
    <x v="4"/>
  </r>
  <r>
    <s v="Juan Alberto Saldarriaga Marin"/>
    <d v="2022-04-29T00:00:00"/>
    <m/>
    <n v="18"/>
    <n v="6018"/>
    <x v="4"/>
    <n v="13710"/>
    <x v="262"/>
    <n v="127503000"/>
    <n v="28"/>
    <n v="4502321865"/>
    <n v="5081647959"/>
    <n v="5113281640"/>
    <m/>
    <m/>
    <m/>
    <x v="3"/>
    <d v="2022-04-29T00:00:00"/>
    <m/>
    <m/>
    <m/>
    <m/>
    <m/>
    <m/>
    <m/>
    <m/>
    <d v="2022-04-29T00:00:00"/>
    <x v="4"/>
  </r>
  <r>
    <s v="Agropecuaria Tabaida S.A.S"/>
    <d v="2022-04-29T00:00:00"/>
    <d v="2022-05-02T00:00:00"/>
    <n v="18"/>
    <s v="MT-1364"/>
    <x v="4"/>
    <n v="39901"/>
    <x v="244"/>
    <n v="351128800"/>
    <n v="84"/>
    <n v="4502321829"/>
    <n v="5081647569"/>
    <n v="5113280820"/>
    <s v="TIENE BL"/>
    <s v="EJ*3 1262300*3 TYC 3600000"/>
    <s v="TIENE BL"/>
    <x v="3"/>
    <d v="2022-04-29T00:00:00"/>
    <n v="4502321829"/>
    <n v="3786900"/>
    <s v="FEMD-3956*3"/>
    <n v="5113278741"/>
    <s v="ETE-2981"/>
    <n v="5113283909"/>
    <m/>
    <m/>
    <d v="2022-04-29T00:00:00"/>
    <x v="4"/>
  </r>
  <r>
    <s v="Surtidora Agropecuaria De Colombia"/>
    <d v="2022-04-29T00:00:00"/>
    <d v="2022-05-02T00:00:00"/>
    <n v="18"/>
    <s v="FESA-35"/>
    <x v="4"/>
    <n v="13820"/>
    <x v="283"/>
    <n v="122307000"/>
    <n v="28"/>
    <n v="4502321905"/>
    <n v="5081648346"/>
    <n v="5113280819"/>
    <m/>
    <s v="EJ*2 1162700*2"/>
    <s v="TIENE BL"/>
    <x v="3"/>
    <d v="2022-04-29T00:00:00"/>
    <n v="4502321905"/>
    <n v="2325400"/>
    <s v="FEMD-3957*2"/>
    <n v="5113280134"/>
    <m/>
    <m/>
    <m/>
    <m/>
    <d v="2022-04-29T00:00:00"/>
    <x v="4"/>
  </r>
  <r>
    <s v="Inversiones Valle Del Canalete S.A.S"/>
    <d v="2022-05-02T00:00:00"/>
    <d v="2022-05-04T00:00:00"/>
    <n v="18"/>
    <s v="IVC110"/>
    <x v="4"/>
    <n v="20166"/>
    <x v="283"/>
    <n v="178469100"/>
    <n v="42"/>
    <n v="4502321833"/>
    <n v="5081647573"/>
    <n v="5113280705"/>
    <m/>
    <s v="EJ*3 1371100*3"/>
    <m/>
    <x v="3"/>
    <d v="2022-04-29T00:00:00"/>
    <n v="4502321833"/>
    <n v="4113300"/>
    <s v="FEMD-3958*3"/>
    <n v="5113278742"/>
    <m/>
    <m/>
    <m/>
    <m/>
    <d v="2022-04-29T00:00:00"/>
    <x v="4"/>
  </r>
  <r>
    <s v="Agropastoril De Colombia S.A.S."/>
    <d v="2022-04-29T00:00:00"/>
    <m/>
    <n v="18"/>
    <s v="AP-71"/>
    <x v="4"/>
    <n v="26446"/>
    <x v="283"/>
    <n v="234047100"/>
    <n v="56"/>
    <n v="4502321860"/>
    <n v="5081647933"/>
    <n v="5113278441"/>
    <s v="CON RETEN"/>
    <s v="EJ*4 1348980*4"/>
    <m/>
    <x v="3"/>
    <d v="2022-04-29T00:00:00"/>
    <n v="4502321860"/>
    <n v="5395920"/>
    <s v="FEMD-3959*4"/>
    <n v="5113278743"/>
    <m/>
    <m/>
    <m/>
    <m/>
    <d v="2022-04-29T00:00:00"/>
    <x v="4"/>
  </r>
  <r>
    <s v="Mauricio De Jesús Bernal Jaramillo"/>
    <d v="2022-05-06T00:00:00"/>
    <d v="2022-05-06T00:00:00"/>
    <n v="18"/>
    <s v="FE-178"/>
    <x v="4"/>
    <n v="12546"/>
    <x v="219"/>
    <n v="109777500"/>
    <n v="28"/>
    <n v="4502321867"/>
    <n v="5081647965"/>
    <n v="5113286356"/>
    <s v="CON RETEN"/>
    <s v="EJ*2 1262800*2"/>
    <s v="No contesta se solicita por correo que va a hablar con la contadora "/>
    <x v="3"/>
    <d v="2022-04-29T00:00:00"/>
    <n v="4502321867"/>
    <n v="2525600"/>
    <s v="FEMD-3960*2"/>
    <n v="5113278744"/>
    <m/>
    <m/>
    <m/>
    <m/>
    <d v="2022-04-29T00:00:00"/>
    <x v="4"/>
  </r>
  <r>
    <s v="David Martinez Jaramillo"/>
    <d v="2022-05-02T00:00:00"/>
    <d v="2022-05-02T00:00:00"/>
    <n v="18"/>
    <s v="DM179"/>
    <x v="0"/>
    <n v="35966"/>
    <x v="265"/>
    <n v="338080400"/>
    <n v="75"/>
    <n v="4502318583"/>
    <n v="5081640504"/>
    <n v="5113279130"/>
    <m/>
    <s v="TIENE BL"/>
    <s v="SR2560577"/>
    <x v="0"/>
    <d v="2022-04-30T00:00:00"/>
    <m/>
    <m/>
    <m/>
    <m/>
    <m/>
    <m/>
    <m/>
    <m/>
    <d v="2022-04-30T00:00:00"/>
    <x v="4"/>
  </r>
  <r>
    <s v="David Martinez Jaramillo"/>
    <d v="2022-05-02T00:00:00"/>
    <d v="2022-05-02T00:00:00"/>
    <n v="18"/>
    <s v="NC27"/>
    <x v="0"/>
    <n v="35966"/>
    <x v="284"/>
    <n v="-1978130"/>
    <n v="0"/>
    <n v="4502318583"/>
    <n v="5081640504"/>
    <n v="5113279133"/>
    <m/>
    <m/>
    <m/>
    <x v="0"/>
    <d v="2022-04-30T00:00:00"/>
    <m/>
    <m/>
    <m/>
    <m/>
    <m/>
    <m/>
    <m/>
    <m/>
    <d v="2022-04-30T00:00:00"/>
    <x v="4"/>
  </r>
  <r>
    <s v="Sociedad Comercializadora Ganadera"/>
    <d v="2022-05-03T00:00:00"/>
    <d v="2022-05-03T00:00:00"/>
    <n v="18"/>
    <s v="FEDV291"/>
    <x v="0"/>
    <n v="15333"/>
    <x v="265"/>
    <n v="144130200"/>
    <n v="30"/>
    <n v="4502318584"/>
    <n v="5081640372"/>
    <n v="5113284598"/>
    <m/>
    <s v="TIENE BL"/>
    <m/>
    <x v="0"/>
    <d v="2022-04-30T00:00:00"/>
    <m/>
    <m/>
    <m/>
    <m/>
    <m/>
    <m/>
    <m/>
    <m/>
    <d v="2022-04-30T00:00:00"/>
    <x v="4"/>
  </r>
  <r>
    <s v="Sociedad Comercializadora Ganadera"/>
    <d v="2022-05-06T00:00:00"/>
    <d v="2022-05-06T00:00:00"/>
    <n v="18"/>
    <s v="NC134"/>
    <x v="0"/>
    <n v="15333"/>
    <x v="285"/>
    <n v="-313559.85000001115"/>
    <n v="0"/>
    <n v="4502318584"/>
    <n v="5081640372"/>
    <n v="5113284600"/>
    <m/>
    <m/>
    <s v="Ya la van a enviar "/>
    <x v="0"/>
    <d v="2022-04-30T00:00:00"/>
    <m/>
    <m/>
    <m/>
    <m/>
    <m/>
    <m/>
    <m/>
    <m/>
    <d v="2022-04-30T00:00:00"/>
    <x v="4"/>
  </r>
  <r>
    <s v="Sociedad Comercializadora Ganadera"/>
    <d v="2022-05-03T00:00:00"/>
    <d v="2022-05-03T00:00:00"/>
    <n v="18"/>
    <s v="FEDV292"/>
    <x v="0"/>
    <n v="39761"/>
    <x v="265"/>
    <n v="373753400"/>
    <n v="120"/>
    <n v="4502318584"/>
    <n v="5081640372"/>
    <n v="5113284602"/>
    <m/>
    <s v="TIENE BL"/>
    <m/>
    <x v="0"/>
    <d v="2022-04-30T00:00:00"/>
    <m/>
    <m/>
    <m/>
    <m/>
    <m/>
    <m/>
    <m/>
    <m/>
    <d v="2022-04-30T00:00:00"/>
    <x v="4"/>
  </r>
  <r>
    <s v="Sociedad Comercializadora Ganadera"/>
    <d v="2022-05-06T00:00:00"/>
    <d v="2022-05-06T00:00:00"/>
    <n v="18"/>
    <s v="NC135"/>
    <x v="0"/>
    <n v="39761"/>
    <x v="13"/>
    <n v="-1988050"/>
    <n v="0"/>
    <n v="4502318584"/>
    <n v="5081640372"/>
    <n v="5113284604"/>
    <m/>
    <m/>
    <s v="Ya la van a enviar "/>
    <x v="0"/>
    <d v="2022-04-30T00:00:00"/>
    <m/>
    <m/>
    <m/>
    <m/>
    <m/>
    <m/>
    <m/>
    <m/>
    <d v="2022-04-30T00:00:00"/>
    <x v="4"/>
  </r>
  <r>
    <s v="Neftali Gutierrez Jerez"/>
    <d v="2022-04-30T00:00:00"/>
    <m/>
    <n v="18"/>
    <s v="NGJ-22"/>
    <x v="0"/>
    <n v="6442"/>
    <x v="244"/>
    <n v="56689600"/>
    <n v="14"/>
    <n v="4502318585"/>
    <n v="5081640373"/>
    <n v="5113277956"/>
    <m/>
    <s v="CON RETEN"/>
    <m/>
    <x v="0"/>
    <d v="2022-04-30T00:00:00"/>
    <m/>
    <m/>
    <m/>
    <m/>
    <m/>
    <m/>
    <m/>
    <m/>
    <d v="2022-04-30T00:00:00"/>
    <x v="4"/>
  </r>
  <r>
    <s v="Neftali Gutierrez Jerez"/>
    <d v="2022-04-30T00:00:00"/>
    <m/>
    <n v="18"/>
    <s v="NGJ-23"/>
    <x v="0"/>
    <n v="6442"/>
    <x v="286"/>
    <n v="283576.84000000282"/>
    <n v="0"/>
    <n v="4502318585"/>
    <n v="5081640373"/>
    <n v="5113278197"/>
    <m/>
    <m/>
    <m/>
    <x v="0"/>
    <d v="2022-04-30T00:00:00"/>
    <m/>
    <m/>
    <m/>
    <m/>
    <m/>
    <m/>
    <m/>
    <m/>
    <d v="2022-04-30T00:00:00"/>
    <x v="4"/>
  </r>
  <r>
    <s v="Sociedad Comercializadora Ganadera"/>
    <d v="2022-05-06T00:00:00"/>
    <d v="2022-05-06T00:00:00"/>
    <n v="18"/>
    <s v="FEDV294"/>
    <x v="0"/>
    <n v="13534"/>
    <x v="265"/>
    <n v="127219600"/>
    <n v="30"/>
    <n v="4502318586"/>
    <n v="5081646169"/>
    <n v="5113291257"/>
    <m/>
    <s v="TIENE BL"/>
    <s v="Se pidio el BL por correo y por WA"/>
    <x v="0"/>
    <d v="2022-05-01T00:00:00"/>
    <m/>
    <m/>
    <m/>
    <m/>
    <m/>
    <m/>
    <m/>
    <m/>
    <d v="2022-05-01T00:00:00"/>
    <x v="5"/>
  </r>
  <r>
    <s v="Sociedad Comercializadora Ganadera"/>
    <d v="2022-05-06T00:00:00"/>
    <d v="2022-05-06T00:00:00"/>
    <n v="18"/>
    <s v="NC136"/>
    <x v="0"/>
    <n v="13534"/>
    <x v="287"/>
    <n v="-2107243.8000000101"/>
    <n v="0"/>
    <n v="4502318586"/>
    <n v="5081646169"/>
    <n v="5113291260"/>
    <m/>
    <m/>
    <m/>
    <x v="0"/>
    <d v="2022-05-01T00:00:00"/>
    <m/>
    <m/>
    <m/>
    <m/>
    <m/>
    <m/>
    <m/>
    <m/>
    <d v="2022-05-01T00:00:00"/>
    <x v="5"/>
  </r>
  <r>
    <s v="Alexander Bautista Perez"/>
    <d v="2022-05-01T00:00:00"/>
    <d v="2022-05-03T00:00:00"/>
    <n v="18"/>
    <s v="FACE-318"/>
    <x v="0"/>
    <n v="50092.5"/>
    <x v="282"/>
    <n v="475878750"/>
    <n v="105"/>
    <n v="4502318587"/>
    <n v="5081646610"/>
    <n v="5113281645"/>
    <m/>
    <s v="CON RETEN"/>
    <m/>
    <x v="0"/>
    <d v="2022-05-01T00:00:00"/>
    <m/>
    <m/>
    <m/>
    <m/>
    <m/>
    <m/>
    <m/>
    <m/>
    <d v="2022-05-01T00:00:00"/>
    <x v="5"/>
  </r>
  <r>
    <s v="Alexander Bautista Perez"/>
    <d v="2022-05-01T00:00:00"/>
    <m/>
    <n v="18"/>
    <s v="NC226"/>
    <x v="0"/>
    <n v="50092.5"/>
    <x v="288"/>
    <n v="-286028.17499995627"/>
    <n v="0"/>
    <n v="4502318587"/>
    <n v="5081646610"/>
    <n v="5113281657"/>
    <m/>
    <m/>
    <m/>
    <x v="0"/>
    <d v="2022-05-01T00:00:00"/>
    <m/>
    <m/>
    <m/>
    <m/>
    <m/>
    <m/>
    <m/>
    <m/>
    <d v="2022-05-01T00:00:00"/>
    <x v="5"/>
  </r>
  <r>
    <s v="Olger Fernando Rojas Angarita"/>
    <d v="2022-05-03T00:00:00"/>
    <m/>
    <n v="18"/>
    <s v="OR-165"/>
    <x v="0"/>
    <n v="5432"/>
    <x v="227"/>
    <n v="47258400"/>
    <n v="12"/>
    <n v="4502318588"/>
    <n v="5081646170"/>
    <n v="5113283729"/>
    <m/>
    <m/>
    <s v="CON RETEN "/>
    <x v="0"/>
    <d v="2022-05-01T00:00:00"/>
    <m/>
    <m/>
    <m/>
    <m/>
    <m/>
    <m/>
    <m/>
    <m/>
    <d v="2022-05-01T00:00:00"/>
    <x v="5"/>
  </r>
  <r>
    <s v="Olger Fernando Rojas Angarita"/>
    <d v="2022-05-03T00:00:00"/>
    <m/>
    <n v="18"/>
    <n v="8"/>
    <x v="0"/>
    <n v="5432"/>
    <x v="289"/>
    <n v="-213531.91999999725"/>
    <n v="0"/>
    <n v="4502318588"/>
    <n v="5081646170"/>
    <n v="5113283730"/>
    <m/>
    <m/>
    <m/>
    <x v="0"/>
    <d v="2022-05-01T00:00:00"/>
    <m/>
    <m/>
    <m/>
    <m/>
    <m/>
    <m/>
    <m/>
    <m/>
    <d v="2022-05-01T00:00:00"/>
    <x v="5"/>
  </r>
  <r>
    <s v="Luis Felipe Acevedo"/>
    <d v="2022-05-04T00:00:00"/>
    <d v="2022-05-04T00:00:00"/>
    <n v="18"/>
    <s v="FE-176"/>
    <x v="0"/>
    <n v="6624"/>
    <x v="227"/>
    <n v="57628800"/>
    <n v="14"/>
    <n v="4502322057"/>
    <n v="5081650050"/>
    <n v="5113281044"/>
    <m/>
    <s v="EJ 1245600"/>
    <s v="CON RETE"/>
    <x v="0"/>
    <d v="2022-05-01T00:00:00"/>
    <n v="4902258584"/>
    <n v="1245600"/>
    <s v="FEMD-3970"/>
    <n v="5113278921"/>
    <m/>
    <m/>
    <m/>
    <m/>
    <d v="2022-05-01T00:00:00"/>
    <x v="5"/>
  </r>
  <r>
    <s v="Inversiones y Negocios V&amp;V S.A.S"/>
    <d v="2022-05-03T00:00:00"/>
    <d v="2022-05-03T00:00:00"/>
    <n v="18"/>
    <s v="FE-1631"/>
    <x v="1"/>
    <n v="13021"/>
    <x v="273"/>
    <n v="118491100"/>
    <n v="28"/>
    <n v="4502318589"/>
    <n v="5081646171"/>
    <n v="5113280045"/>
    <m/>
    <s v="CON RETEN"/>
    <m/>
    <x v="0"/>
    <d v="2022-05-01T00:00:00"/>
    <m/>
    <m/>
    <m/>
    <m/>
    <m/>
    <m/>
    <m/>
    <m/>
    <d v="2022-05-01T00:00:00"/>
    <x v="5"/>
  </r>
  <r>
    <s v="Rafael Ignacio Jaramillo Londoño"/>
    <d v="2022-05-01T00:00:00"/>
    <m/>
    <n v="18"/>
    <s v="GAN-63"/>
    <x v="1"/>
    <n v="7125"/>
    <x v="278"/>
    <n v="65550000"/>
    <n v="15"/>
    <n v="4502318591"/>
    <n v="5081646172"/>
    <n v="5113286246"/>
    <m/>
    <s v="TIENE BL"/>
    <s v="Se solicito por correo "/>
    <x v="0"/>
    <d v="2022-05-01T00:00:00"/>
    <m/>
    <m/>
    <m/>
    <m/>
    <m/>
    <m/>
    <m/>
    <m/>
    <d v="2022-05-01T00:00:00"/>
    <x v="5"/>
  </r>
  <r>
    <s v="Rafael Ignacio Jaramillo Londoño"/>
    <d v="2022-05-01T00:00:00"/>
    <m/>
    <n v="18"/>
    <s v="NC228"/>
    <x v="1"/>
    <n v="7125"/>
    <x v="290"/>
    <n v="-789735.00000000105"/>
    <n v="0"/>
    <n v="4502318591"/>
    <n v="5081646172"/>
    <n v="5113286397"/>
    <m/>
    <m/>
    <m/>
    <x v="0"/>
    <d v="2022-05-01T00:00:00"/>
    <m/>
    <m/>
    <m/>
    <m/>
    <m/>
    <m/>
    <m/>
    <m/>
    <d v="2022-05-01T00:00:00"/>
    <x v="5"/>
  </r>
  <r>
    <s v="Rodolfo De Jesus Jaramillo Calle"/>
    <d v="2022-05-01T00:00:00"/>
    <m/>
    <n v="18"/>
    <s v="FE-91"/>
    <x v="1"/>
    <n v="7552"/>
    <x v="278"/>
    <n v="69478400"/>
    <n v="15"/>
    <n v="4502318592"/>
    <n v="5081646173"/>
    <n v="5113291286"/>
    <m/>
    <s v="TIENE BL"/>
    <s v="Se solicito por correo "/>
    <x v="0"/>
    <d v="2022-05-01T00:00:00"/>
    <m/>
    <m/>
    <m/>
    <m/>
    <m/>
    <m/>
    <m/>
    <m/>
    <d v="2022-05-01T00:00:00"/>
    <x v="5"/>
  </r>
  <r>
    <s v="Rodolfo De Jesus Jaramillo Calle"/>
    <d v="2022-05-07T00:00:00"/>
    <d v="2022-05-09T00:00:00"/>
    <n v="18"/>
    <s v="NC253"/>
    <x v="1"/>
    <n v="7552"/>
    <x v="2"/>
    <n v="-755200"/>
    <n v="0"/>
    <n v="4502318592"/>
    <n v="5081646173"/>
    <n v="5113291302"/>
    <m/>
    <m/>
    <s v="IN226718"/>
    <x v="0"/>
    <d v="2022-05-01T00:00:00"/>
    <m/>
    <m/>
    <m/>
    <m/>
    <m/>
    <m/>
    <m/>
    <m/>
    <d v="2022-05-01T00:00:00"/>
    <x v="5"/>
  </r>
  <r>
    <s v="Luis Fernando Rojas Prada"/>
    <d v="2022-05-03T00:00:00"/>
    <d v="2022-05-04T00:00:00"/>
    <n v="18"/>
    <s v="FELC-881"/>
    <x v="0"/>
    <n v="44425"/>
    <x v="188"/>
    <n v="373170000"/>
    <n v="84"/>
    <n v="4502322676"/>
    <n v="5081664075"/>
    <n v="5113280165"/>
    <s v="TIENE BL"/>
    <s v="EJ*6 2720980*4 3042980*1 2979200*1"/>
    <s v="TIENE BL"/>
    <x v="0"/>
    <d v="2022-05-02T00:00:00"/>
    <s v="4902258587 4902261101"/>
    <n v="16906100"/>
    <s v="FEMD-3946*4"/>
    <n v="5113280151"/>
    <s v="FEMD-3947*1"/>
    <n v="5113281718"/>
    <s v="FEMD-3948*1"/>
    <n v="5113280152"/>
    <d v="2022-05-02T00:00:00"/>
    <x v="5"/>
  </r>
  <r>
    <s v="David Martinez Jaramillo"/>
    <d v="2022-05-03T00:00:00"/>
    <d v="2022-05-04T00:00:00"/>
    <n v="18"/>
    <s v="DM181"/>
    <x v="0"/>
    <n v="5818.5"/>
    <x v="265"/>
    <n v="54693900"/>
    <n v="14"/>
    <n v="4502318593"/>
    <n v="5081662403"/>
    <n v="5113280821"/>
    <m/>
    <s v="TIENE BL"/>
    <m/>
    <x v="0"/>
    <d v="2022-05-02T00:00:00"/>
    <m/>
    <m/>
    <m/>
    <m/>
    <m/>
    <m/>
    <m/>
    <m/>
    <d v="2022-05-02T00:00:00"/>
    <x v="5"/>
  </r>
  <r>
    <s v="David Martinez Jaramillo"/>
    <d v="2022-05-04T00:00:00"/>
    <d v="2022-05-04T00:00:00"/>
    <n v="18"/>
    <s v="NC28"/>
    <x v="0"/>
    <n v="5818.5"/>
    <x v="291"/>
    <n v="-147324.4199999983"/>
    <n v="0"/>
    <n v="4502318593"/>
    <n v="5081662403"/>
    <n v="5113280822"/>
    <m/>
    <m/>
    <m/>
    <x v="0"/>
    <d v="2022-05-02T00:00:00"/>
    <m/>
    <m/>
    <m/>
    <m/>
    <m/>
    <m/>
    <m/>
    <m/>
    <d v="2022-05-02T00:00:00"/>
    <x v="5"/>
  </r>
  <r>
    <s v="Inversiones El Rezago y CIA LTDA"/>
    <d v="2022-05-03T00:00:00"/>
    <d v="2022-05-03T00:00:00"/>
    <n v="18"/>
    <s v="RZO21"/>
    <x v="1"/>
    <n v="13506"/>
    <x v="227"/>
    <n v="117502200"/>
    <n v="28"/>
    <n v="4502322064"/>
    <n v="5081650048"/>
    <n v="5113280704"/>
    <s v="CON RETEN"/>
    <s v="NUMA*2 920000*2"/>
    <m/>
    <x v="0"/>
    <d v="2022-05-02T00:00:00"/>
    <n v="4902260416"/>
    <n v="1840000"/>
    <s v="MOVI-1419*2"/>
    <n v="5113279884"/>
    <m/>
    <m/>
    <m/>
    <m/>
    <d v="2022-05-02T00:00:00"/>
    <x v="5"/>
  </r>
  <r>
    <s v="Jorge Ignacio Sanchez Restrepo"/>
    <d v="2022-05-05T00:00:00"/>
    <d v="2022-05-05T00:00:00"/>
    <n v="18"/>
    <s v="FEJS-29"/>
    <x v="1"/>
    <n v="13512"/>
    <x v="273"/>
    <n v="122959200"/>
    <n v="28"/>
    <n v="4502318594"/>
    <n v="5081662404"/>
    <n v="5113283144"/>
    <m/>
    <s v="CON RETEN"/>
    <m/>
    <x v="0"/>
    <d v="2022-05-02T00:00:00"/>
    <m/>
    <m/>
    <m/>
    <m/>
    <m/>
    <m/>
    <m/>
    <m/>
    <d v="2022-05-02T00:00:00"/>
    <x v="5"/>
  </r>
  <r>
    <s v="Jorge Ignacio Sanchez Restrepo"/>
    <d v="2022-05-05T00:00:00"/>
    <d v="2022-05-05T00:00:00"/>
    <n v="18"/>
    <s v="NC12"/>
    <x v="1"/>
    <n v="13512"/>
    <x v="13"/>
    <n v="-675600"/>
    <n v="0"/>
    <n v="4502318594"/>
    <n v="5081662404"/>
    <n v="5113283146"/>
    <m/>
    <m/>
    <m/>
    <x v="0"/>
    <d v="2022-05-02T00:00:00"/>
    <m/>
    <m/>
    <m/>
    <m/>
    <m/>
    <m/>
    <m/>
    <m/>
    <d v="2022-05-02T00:00:00"/>
    <x v="5"/>
  </r>
  <r>
    <s v="Lina Maria Pelaez Gomez"/>
    <d v="2022-05-03T00:00:00"/>
    <d v="2022-05-05T00:00:00"/>
    <n v="18"/>
    <s v="LP87"/>
    <x v="0"/>
    <n v="6009"/>
    <x v="265"/>
    <n v="56484600"/>
    <n v="14"/>
    <n v="4502318595"/>
    <n v="5081662405"/>
    <n v="5113286352"/>
    <m/>
    <s v="TIENE BL"/>
    <m/>
    <x v="0"/>
    <d v="2022-05-03T00:00:00"/>
    <m/>
    <m/>
    <m/>
    <m/>
    <m/>
    <m/>
    <m/>
    <m/>
    <d v="2022-05-03T00:00:00"/>
    <x v="5"/>
  </r>
  <r>
    <s v="Lina Maria Pelaez Gomez"/>
    <d v="2022-05-03T00:00:00"/>
    <d v="2022-05-05T00:00:00"/>
    <n v="18"/>
    <s v="LP87"/>
    <x v="0"/>
    <n v="12618"/>
    <x v="265"/>
    <n v="118609200"/>
    <n v="29"/>
    <n v="4502322215"/>
    <n v="5081662405"/>
    <n v="5113286352"/>
    <m/>
    <s v="TIENE BL"/>
    <m/>
    <x v="0"/>
    <d v="2022-05-03T00:00:00"/>
    <m/>
    <m/>
    <m/>
    <m/>
    <m/>
    <m/>
    <m/>
    <m/>
    <d v="2022-05-03T00:00:00"/>
    <x v="5"/>
  </r>
  <r>
    <s v="Lina Maria Pelaez Gomez"/>
    <d v="2022-05-05T00:00:00"/>
    <d v="2022-05-05T00:00:00"/>
    <n v="18"/>
    <s v="NC66"/>
    <x v="0"/>
    <n v="18627"/>
    <x v="292"/>
    <n v="-1254900.9900000149"/>
    <n v="0"/>
    <n v="4502322215"/>
    <n v="5081662405"/>
    <n v="5113286353"/>
    <m/>
    <m/>
    <m/>
    <x v="0"/>
    <d v="2022-05-03T00:00:00"/>
    <m/>
    <m/>
    <m/>
    <m/>
    <m/>
    <m/>
    <m/>
    <m/>
    <d v="2022-05-03T00:00:00"/>
    <x v="5"/>
  </r>
  <r>
    <s v="Invegarey S.A.S"/>
    <d v="2022-05-09T00:00:00"/>
    <d v="2022-05-09T00:00:00"/>
    <n v="18"/>
    <s v="INV-61"/>
    <x v="0"/>
    <n v="6552"/>
    <x v="244"/>
    <n v="57657600"/>
    <n v="15"/>
    <n v="4502318596"/>
    <n v="5081679218"/>
    <n v="5113288949"/>
    <m/>
    <s v="CON RETEN"/>
    <m/>
    <x v="0"/>
    <d v="2022-05-03T00:00:00"/>
    <m/>
    <m/>
    <m/>
    <m/>
    <m/>
    <m/>
    <m/>
    <m/>
    <d v="2022-05-03T00:00:00"/>
    <x v="5"/>
  </r>
  <r>
    <s v="JERAL S.A.S"/>
    <d v="2022-05-05T00:00:00"/>
    <d v="2022-05-05T00:00:00"/>
    <n v="18"/>
    <s v="JFEV-55"/>
    <x v="0"/>
    <n v="14313"/>
    <x v="175"/>
    <n v="117366600"/>
    <n v="29"/>
    <n v="4502323181"/>
    <n v="5081678675"/>
    <n v="5113282572"/>
    <s v="CON RETEN"/>
    <s v="EJ*2 2979200*2"/>
    <m/>
    <x v="0"/>
    <d v="2022-05-03T00:00:00"/>
    <n v="4902258592"/>
    <n v="5958400"/>
    <s v="FEMD-3974*2"/>
    <n v="5113281623"/>
    <m/>
    <m/>
    <m/>
    <m/>
    <d v="2022-05-03T00:00:00"/>
    <x v="5"/>
  </r>
  <r>
    <s v="Primavera del Magdalena S.A.S."/>
    <d v="2022-05-06T00:00:00"/>
    <d v="2022-04-09T00:00:00"/>
    <n v="18"/>
    <s v="PRI-66"/>
    <x v="0"/>
    <n v="6427.5"/>
    <x v="244"/>
    <n v="56562000"/>
    <n v="14"/>
    <n v="4502318597"/>
    <n v="5081679220"/>
    <n v="5113288145"/>
    <m/>
    <s v="TIENE BL"/>
    <m/>
    <x v="0"/>
    <d v="2022-05-03T00:00:00"/>
    <m/>
    <m/>
    <m/>
    <m/>
    <m/>
    <m/>
    <m/>
    <m/>
    <d v="2022-05-03T00:00:00"/>
    <x v="5"/>
  </r>
  <r>
    <s v="Primavera del Magdalena S.A.S."/>
    <d v="2022-05-06T00:00:00"/>
    <m/>
    <n v="18"/>
    <s v="D0028"/>
    <x v="0"/>
    <n v="6427.5"/>
    <x v="13"/>
    <n v="321375"/>
    <n v="0"/>
    <n v="4502318597"/>
    <n v="5081679220"/>
    <n v="5113288197"/>
    <m/>
    <m/>
    <m/>
    <x v="0"/>
    <d v="2022-05-03T00:00:00"/>
    <m/>
    <m/>
    <m/>
    <m/>
    <m/>
    <m/>
    <m/>
    <m/>
    <d v="2022-05-03T00:00:00"/>
    <x v="5"/>
  </r>
  <r>
    <s v="Edwar Florez Zabaleta"/>
    <d v="2022-05-06T00:00:00"/>
    <m/>
    <n v="18"/>
    <s v="GANA-13"/>
    <x v="0"/>
    <n v="20560.5"/>
    <x v="251"/>
    <n v="182988450"/>
    <n v="42"/>
    <n v="4502318598"/>
    <n v="5081679223"/>
    <n v="5113291310"/>
    <m/>
    <s v="TIENE BL"/>
    <m/>
    <x v="0"/>
    <d v="2022-05-03T00:00:00"/>
    <m/>
    <m/>
    <m/>
    <m/>
    <m/>
    <m/>
    <m/>
    <m/>
    <d v="2022-05-03T00:00:00"/>
    <x v="5"/>
  </r>
  <r>
    <s v="Edwar Florez Zabaleta"/>
    <d v="2022-05-06T00:00:00"/>
    <d v="2022-05-10T00:00:00"/>
    <n v="18"/>
    <s v="DF28"/>
    <x v="0"/>
    <n v="20560.5"/>
    <x v="13"/>
    <n v="1028025"/>
    <n v="0"/>
    <n v="4502318598"/>
    <n v="5081679223"/>
    <n v="5113291653"/>
    <m/>
    <m/>
    <s v="IN226704 Se envia nuevamente a recepcion fe "/>
    <x v="0"/>
    <d v="2022-05-03T00:00:00"/>
    <m/>
    <m/>
    <m/>
    <m/>
    <m/>
    <m/>
    <m/>
    <m/>
    <d v="2022-05-03T00:00:00"/>
    <x v="5"/>
  </r>
  <r>
    <s v="Savanna &amp; Compañia S.A.S ZOMAC"/>
    <d v="2022-05-03T00:00:00"/>
    <d v="2022-05-05T00:00:00"/>
    <n v="18"/>
    <s v="S-38"/>
    <x v="1"/>
    <n v="15326"/>
    <x v="113"/>
    <n v="121075400"/>
    <n v="28"/>
    <n v="4502323184"/>
    <n v="5081681515"/>
    <n v="5113282303"/>
    <s v="TIENE BL"/>
    <s v="EJ*2 3562300*2"/>
    <s v="SR2564779"/>
    <x v="0"/>
    <d v="2022-05-03T00:00:00"/>
    <n v="4902262486"/>
    <n v="7124600"/>
    <s v="FEMD-3987*2"/>
    <n v="5113291382"/>
    <m/>
    <m/>
    <m/>
    <m/>
    <d v="2022-05-03T00:00:00"/>
    <x v="5"/>
  </r>
  <r>
    <s v="Wilson Antonio Montes Lopez"/>
    <d v="2022-05-03T00:00:00"/>
    <d v="2022-05-06T00:00:00"/>
    <n v="18"/>
    <s v="MAML-11"/>
    <x v="1"/>
    <n v="12858.5"/>
    <x v="265"/>
    <n v="120869900"/>
    <n v="28"/>
    <n v="4502319729"/>
    <n v="5081679224"/>
    <n v="5113284818"/>
    <m/>
    <s v="TIENE BL"/>
    <m/>
    <x v="0"/>
    <d v="2022-05-03T00:00:00"/>
    <m/>
    <m/>
    <m/>
    <m/>
    <m/>
    <m/>
    <m/>
    <m/>
    <d v="2022-05-03T00:00:00"/>
    <x v="5"/>
  </r>
  <r>
    <s v="Sociedad Comercializadora Ganadera"/>
    <d v="2022-05-06T00:00:00"/>
    <d v="2022-05-06T00:00:00"/>
    <n v="18"/>
    <s v="FEDV295"/>
    <x v="0"/>
    <n v="5261"/>
    <x v="9"/>
    <n v="40509700"/>
    <n v="20"/>
    <n v="4502324889"/>
    <n v="5081713084"/>
    <n v="5113291265"/>
    <m/>
    <s v="TIENE BL"/>
    <m/>
    <x v="2"/>
    <d v="2022-05-04T00:00:00"/>
    <m/>
    <m/>
    <m/>
    <m/>
    <m/>
    <m/>
    <m/>
    <m/>
    <d v="2022-05-04T00:00:00"/>
    <x v="5"/>
  </r>
  <r>
    <s v="Adrian Alberto Alvarez Henao"/>
    <d v="2022-05-10T00:00:00"/>
    <d v="2022-05-10T00:00:00"/>
    <n v="19"/>
    <s v="AAAH-35"/>
    <x v="1"/>
    <n v="19070"/>
    <x v="265"/>
    <n v="179258000"/>
    <n v="45"/>
    <n v="4502323572"/>
    <n v="5081712908"/>
    <n v="5113291269"/>
    <m/>
    <s v="TIENE BL"/>
    <s v="SR2578370 Le escribi a doña Fernanda "/>
    <x v="0"/>
    <d v="2022-05-05T00:00:00"/>
    <m/>
    <m/>
    <m/>
    <m/>
    <m/>
    <m/>
    <m/>
    <m/>
    <d v="2022-05-05T00:00:00"/>
    <x v="5"/>
  </r>
  <r>
    <s v="Adrian Alberto Alvarez Henao"/>
    <d v="2022-05-10T00:00:00"/>
    <d v="2022-05-10T00:00:00"/>
    <n v="19"/>
    <s v="AD12"/>
    <x v="1"/>
    <n v="19070"/>
    <x v="293"/>
    <n v="-381781.40000000835"/>
    <n v="0"/>
    <n v="4502323572"/>
    <n v="5081712908"/>
    <n v="5113291270"/>
    <m/>
    <n v="179258000"/>
    <s v="que hoy las envian "/>
    <x v="0"/>
    <d v="2022-05-05T00:00:00"/>
    <m/>
    <m/>
    <m/>
    <m/>
    <m/>
    <m/>
    <m/>
    <m/>
    <d v="2022-05-05T00:00:00"/>
    <x v="5"/>
  </r>
  <r>
    <s v="Lismenia Torcoroma Rincon Hernandez"/>
    <d v="2022-05-05T00:00:00"/>
    <m/>
    <n v="19"/>
    <s v="GANA-194"/>
    <x v="0"/>
    <n v="20289"/>
    <x v="294"/>
    <n v="183615450"/>
    <n v="42"/>
    <n v="4502323573"/>
    <n v="5081712755"/>
    <n v="5113297566"/>
    <m/>
    <s v="CON RETEN "/>
    <s v="SR2569560 Se solicito por correo  - 13/05 va a llamar a la contadora "/>
    <x v="0"/>
    <d v="2022-05-05T00:00:00"/>
    <m/>
    <m/>
    <m/>
    <m/>
    <m/>
    <m/>
    <m/>
    <m/>
    <d v="2022-05-05T00:00:00"/>
    <x v="5"/>
  </r>
  <r>
    <s v="Lismenia Torcoroma Rincon Hernandez"/>
    <d v="2022-05-06T00:00:00"/>
    <d v="2022-05-13T00:00:00"/>
    <n v="19"/>
    <s v="ND000014"/>
    <x v="0"/>
    <n v="20289"/>
    <x v="2"/>
    <n v="2028900"/>
    <n v="0"/>
    <n v="4502323573"/>
    <n v="5081712755"/>
    <n v="5113297657"/>
    <m/>
    <m/>
    <m/>
    <x v="0"/>
    <d v="2022-05-05T00:00:00"/>
    <m/>
    <m/>
    <m/>
    <m/>
    <m/>
    <m/>
    <m/>
    <m/>
    <d v="2022-05-05T00:00:00"/>
    <x v="5"/>
  </r>
  <r>
    <s v="Agropecuaria Lobo Berbesi S.A.S"/>
    <d v="2022-05-09T00:00:00"/>
    <m/>
    <n v="19"/>
    <s v="LB-101"/>
    <x v="0"/>
    <n v="21635"/>
    <x v="251"/>
    <n v="192551500"/>
    <n v="44"/>
    <n v="4502323574"/>
    <n v="5081712756"/>
    <n v="5113291306"/>
    <m/>
    <s v="TIENE BL"/>
    <s v="Yemsin lobo q mañana 11 envia el registro "/>
    <x v="0"/>
    <d v="2022-05-05T00:00:00"/>
    <m/>
    <m/>
    <m/>
    <m/>
    <m/>
    <m/>
    <m/>
    <m/>
    <d v="2022-05-05T00:00:00"/>
    <x v="5"/>
  </r>
  <r>
    <s v="Agropecuaria Lobo Berbesi S.A.S"/>
    <d v="2022-05-09T00:00:00"/>
    <m/>
    <n v="19"/>
    <s v="NCR1"/>
    <x v="0"/>
    <n v="21635"/>
    <x v="295"/>
    <n v="-38726.65000001889"/>
    <n v="0"/>
    <n v="4502323574"/>
    <n v="5081712756"/>
    <n v="5113291307"/>
    <m/>
    <m/>
    <m/>
    <x v="0"/>
    <d v="2022-05-05T00:00:00"/>
    <m/>
    <m/>
    <m/>
    <m/>
    <m/>
    <m/>
    <m/>
    <m/>
    <d v="2022-05-05T00:00:00"/>
    <x v="5"/>
  </r>
  <r>
    <s v="Andres Jaramillo Bernal"/>
    <d v="2022-05-10T00:00:00"/>
    <d v="2022-05-10T00:00:00"/>
    <n v="19"/>
    <s v="FEVA-5170"/>
    <x v="0"/>
    <n v="13069.5"/>
    <x v="251"/>
    <n v="116318550"/>
    <n v="28"/>
    <n v="4502323576"/>
    <n v="5081712757"/>
    <n v="5113291308"/>
    <m/>
    <s v="TIENE BL"/>
    <s v="Q va a hablar con Clemencia "/>
    <x v="0"/>
    <d v="2022-05-05T00:00:00"/>
    <m/>
    <m/>
    <m/>
    <m/>
    <m/>
    <m/>
    <m/>
    <m/>
    <d v="2022-05-05T00:00:00"/>
    <x v="5"/>
  </r>
  <r>
    <s v="David Martinez Jaramillo"/>
    <d v="2022-05-06T00:00:00"/>
    <d v="2022-05-09T00:00:00"/>
    <n v="19"/>
    <s v="DM184"/>
    <x v="0"/>
    <n v="50703"/>
    <x v="282"/>
    <n v="481678500"/>
    <n v="108"/>
    <n v="4502323577"/>
    <n v="5081712909"/>
    <n v="5113288864"/>
    <m/>
    <s v="TIENE BL"/>
    <m/>
    <x v="0"/>
    <d v="2022-05-05T00:00:00"/>
    <m/>
    <m/>
    <m/>
    <m/>
    <m/>
    <m/>
    <m/>
    <m/>
    <d v="2022-05-05T00:00:00"/>
    <x v="5"/>
  </r>
  <r>
    <s v="David Martinez Jaramillo"/>
    <d v="2022-05-09T00:00:00"/>
    <d v="2022-05-09T00:00:00"/>
    <n v="19"/>
    <s v="NC29"/>
    <x v="0"/>
    <n v="50703"/>
    <x v="296"/>
    <n v="-2595486.5700000259"/>
    <n v="0"/>
    <n v="4502323577"/>
    <n v="5081712909"/>
    <n v="5113288865"/>
    <m/>
    <m/>
    <m/>
    <x v="0"/>
    <d v="2022-05-05T00:00:00"/>
    <m/>
    <m/>
    <m/>
    <m/>
    <m/>
    <m/>
    <m/>
    <m/>
    <d v="2022-05-05T00:00:00"/>
    <x v="5"/>
  </r>
  <r>
    <s v="Carnes La Italiana L S S A S"/>
    <d v="2022-05-11T00:00:00"/>
    <d v="2022-05-11T00:00:00"/>
    <n v="19"/>
    <s v="FVE3217"/>
    <x v="0"/>
    <n v="7520.5"/>
    <x v="294"/>
    <n v="68060525"/>
    <n v="14"/>
    <n v="4502323578"/>
    <n v="5081741756"/>
    <n v="5113294303"/>
    <m/>
    <s v="TIENE BL"/>
    <s v="Don Luis q la envia mañana 11"/>
    <x v="0"/>
    <d v="2022-05-06T00:00:00"/>
    <m/>
    <m/>
    <m/>
    <m/>
    <m/>
    <m/>
    <m/>
    <m/>
    <d v="2022-05-06T00:00:00"/>
    <x v="5"/>
  </r>
  <r>
    <s v="Adrian Alberto Alvarez Henao"/>
    <d v="2022-05-10T00:00:00"/>
    <d v="2022-05-10T00:00:00"/>
    <n v="19"/>
    <s v="AAAH-36"/>
    <x v="1"/>
    <n v="13444.5"/>
    <x v="265"/>
    <n v="126378300"/>
    <n v="29"/>
    <n v="4502323579"/>
    <n v="5081744057"/>
    <n v="5113291278"/>
    <m/>
    <s v="TIENE BL"/>
    <s v="SR2578370"/>
    <x v="0"/>
    <d v="2022-05-06T00:00:00"/>
    <m/>
    <m/>
    <m/>
    <m/>
    <m/>
    <m/>
    <m/>
    <m/>
    <d v="2022-05-06T00:00:00"/>
    <x v="5"/>
  </r>
  <r>
    <s v="Adrian Alberto Alvarez Henao"/>
    <d v="2022-05-10T00:00:00"/>
    <d v="2022-05-10T00:00:00"/>
    <n v="19"/>
    <s v="AD11"/>
    <x v="1"/>
    <n v="13444.5"/>
    <x v="297"/>
    <n v="-947837.25"/>
    <n v="0"/>
    <n v="4502323579"/>
    <n v="5081744057"/>
    <n v="5113291280"/>
    <m/>
    <m/>
    <m/>
    <x v="0"/>
    <d v="2022-05-06T00:00:00"/>
    <m/>
    <m/>
    <m/>
    <m/>
    <m/>
    <m/>
    <m/>
    <m/>
    <d v="2022-05-06T00:00:00"/>
    <x v="5"/>
  </r>
  <r>
    <s v="Inversiones y Negocios V&amp;V S.A.S"/>
    <d v="2022-05-10T00:00:00"/>
    <d v="2022-05-10T00:00:00"/>
    <n v="19"/>
    <s v="FE-1646"/>
    <x v="0"/>
    <n v="25464"/>
    <x v="282"/>
    <n v="241908000"/>
    <n v="56"/>
    <n v="4502324897"/>
    <n v="5081743901"/>
    <n v="5113292706"/>
    <m/>
    <s v="CON RETEN"/>
    <m/>
    <x v="0"/>
    <d v="2022-05-06T00:00:00"/>
    <m/>
    <m/>
    <m/>
    <m/>
    <m/>
    <m/>
    <m/>
    <m/>
    <d v="2022-05-06T00:00:00"/>
    <x v="5"/>
  </r>
  <r>
    <s v="Inversiones El Cruce S.A."/>
    <d v="2022-05-09T00:00:00"/>
    <d v="2022-05-13T00:00:00"/>
    <n v="19"/>
    <s v="E-164"/>
    <x v="0"/>
    <n v="6425"/>
    <x v="262"/>
    <n v="59752500"/>
    <n v="14"/>
    <n v="4502323581"/>
    <n v="5081741788"/>
    <n v="5113300810"/>
    <m/>
    <s v="CON RETEN"/>
    <s v="D JOrge va a validar con la oficina "/>
    <x v="0"/>
    <d v="2022-05-06T00:00:00"/>
    <m/>
    <m/>
    <m/>
    <m/>
    <m/>
    <m/>
    <m/>
    <m/>
    <d v="2022-05-06T00:00:00"/>
    <x v="5"/>
  </r>
  <r>
    <s v="Sociedad Comercializadora Ganadera"/>
    <d v="2022-05-10T00:00:00"/>
    <d v="2022-05-10T00:00:00"/>
    <n v="19"/>
    <s v="FEDV296"/>
    <x v="0"/>
    <n v="44672"/>
    <x v="282"/>
    <n v="424384000"/>
    <n v="90"/>
    <n v="4502323582"/>
    <n v="5081743900"/>
    <n v="5113292697"/>
    <m/>
    <s v="TIENE BL"/>
    <s v="SR2582071"/>
    <x v="0"/>
    <d v="2022-05-07T00:00:00"/>
    <m/>
    <m/>
    <m/>
    <m/>
    <m/>
    <m/>
    <m/>
    <m/>
    <d v="2022-05-07T00:00:00"/>
    <x v="5"/>
  </r>
  <r>
    <s v="Sociedad Comercializadora Ganadera"/>
    <d v="2022-05-10T00:00:00"/>
    <d v="2022-05-10T00:00:00"/>
    <n v="19"/>
    <s v="FEDV296"/>
    <x v="2"/>
    <n v="21850"/>
    <x v="282"/>
    <n v="207575000"/>
    <n v="44"/>
    <n v="4502323585"/>
    <n v="5081743900"/>
    <n v="5113292697"/>
    <m/>
    <s v="TIENE BL"/>
    <m/>
    <x v="0"/>
    <d v="2022-05-07T00:00:00"/>
    <m/>
    <m/>
    <m/>
    <m/>
    <m/>
    <m/>
    <m/>
    <m/>
    <d v="2022-05-07T00:00:00"/>
    <x v="5"/>
  </r>
  <r>
    <s v="Sociedad Comercializadora Ganadera"/>
    <d v="2022-05-10T00:00:00"/>
    <d v="2022-05-10T00:00:00"/>
    <n v="19"/>
    <s v="NC137"/>
    <x v="2"/>
    <n v="66522"/>
    <x v="298"/>
    <n v="-265422.77999998548"/>
    <n v="0"/>
    <n v="4502323585"/>
    <n v="5081743900"/>
    <n v="5113292700"/>
    <m/>
    <m/>
    <m/>
    <x v="0"/>
    <d v="2022-05-07T00:00:00"/>
    <m/>
    <m/>
    <m/>
    <m/>
    <m/>
    <m/>
    <m/>
    <m/>
    <d v="2022-05-07T00:00:00"/>
    <x v="5"/>
  </r>
  <r>
    <s v="Palmas La Guaira S.A.S"/>
    <d v="2022-05-07T00:00:00"/>
    <d v="2022-05-10T00:00:00"/>
    <n v="19"/>
    <s v="FEV 73"/>
    <x v="2"/>
    <n v="13950"/>
    <x v="251"/>
    <n v="124155000"/>
    <n v="28"/>
    <n v="4502323583"/>
    <n v="5081743899"/>
    <n v="5113291313"/>
    <m/>
    <s v="CON RETEN"/>
    <m/>
    <x v="0"/>
    <d v="2022-05-07T00:00:00"/>
    <m/>
    <m/>
    <m/>
    <m/>
    <m/>
    <m/>
    <m/>
    <m/>
    <d v="2022-05-07T00:00:00"/>
    <x v="5"/>
  </r>
  <r>
    <s v="Palmas La Guaira S.A.S"/>
    <d v="2022-05-07T00:00:00"/>
    <d v="2022-05-10T00:00:00"/>
    <n v="19"/>
    <s v="NDENDE2"/>
    <x v="2"/>
    <n v="13950"/>
    <x v="13"/>
    <n v="697500"/>
    <n v="0"/>
    <n v="4502323583"/>
    <n v="5081743899"/>
    <n v="5113291316"/>
    <m/>
    <m/>
    <m/>
    <x v="0"/>
    <d v="2022-05-07T00:00:00"/>
    <m/>
    <m/>
    <m/>
    <m/>
    <m/>
    <m/>
    <m/>
    <m/>
    <d v="2022-05-07T00:00:00"/>
    <x v="5"/>
  </r>
  <r>
    <s v="David Martinez Jaramillo"/>
    <d v="2022-05-06T00:00:00"/>
    <d v="2022-05-09T00:00:00"/>
    <n v="19"/>
    <s v="DM185"/>
    <x v="0"/>
    <n v="7374"/>
    <x v="282"/>
    <n v="70053000"/>
    <n v="15"/>
    <n v="4502323577"/>
    <n v="5081712909"/>
    <n v="5113288859"/>
    <m/>
    <s v="TIENE BL"/>
    <m/>
    <x v="0"/>
    <d v="2022-05-07T00:00:00"/>
    <m/>
    <m/>
    <m/>
    <m/>
    <m/>
    <m/>
    <m/>
    <m/>
    <d v="2022-05-07T00:00:00"/>
    <x v="5"/>
  </r>
  <r>
    <s v="David Martinez Jaramillo"/>
    <d v="2022-05-09T00:00:00"/>
    <d v="2022-05-09T00:00:00"/>
    <n v="19"/>
    <s v="NC30"/>
    <x v="0"/>
    <n v="7374"/>
    <x v="2"/>
    <n v="-737400"/>
    <n v="0"/>
    <n v="4502323577"/>
    <n v="5081712909"/>
    <n v="5113288861"/>
    <m/>
    <m/>
    <m/>
    <x v="0"/>
    <d v="2022-05-07T00:00:00"/>
    <m/>
    <m/>
    <m/>
    <m/>
    <m/>
    <m/>
    <m/>
    <m/>
    <d v="2022-05-07T00:00:00"/>
    <x v="5"/>
  </r>
  <r>
    <s v="David Martinez Jaramillo"/>
    <d v="2022-05-07T00:00:00"/>
    <d v="2022-05-10T00:00:00"/>
    <n v="19"/>
    <s v="DM186"/>
    <x v="2"/>
    <n v="20603.5"/>
    <x v="282"/>
    <n v="195733250"/>
    <n v="45"/>
    <n v="4502323584"/>
    <n v="5081744109"/>
    <n v="5113291337"/>
    <m/>
    <s v="TIENE BL"/>
    <m/>
    <x v="0"/>
    <d v="2022-05-07T00:00:00"/>
    <m/>
    <m/>
    <m/>
    <m/>
    <m/>
    <m/>
    <m/>
    <m/>
    <d v="2022-05-07T00:00:00"/>
    <x v="5"/>
  </r>
  <r>
    <s v="David Martinez Jaramillo"/>
    <d v="2022-05-10T00:00:00"/>
    <d v="2022-05-10T00:00:00"/>
    <n v="19"/>
    <s v="NC31"/>
    <x v="2"/>
    <n v="20603.5"/>
    <x v="299"/>
    <n v="-557530.70999998949"/>
    <n v="0"/>
    <n v="4502323584"/>
    <n v="5081744109"/>
    <n v="5113291339"/>
    <m/>
    <m/>
    <m/>
    <x v="0"/>
    <d v="2022-05-07T00:00:00"/>
    <m/>
    <m/>
    <m/>
    <m/>
    <m/>
    <m/>
    <m/>
    <m/>
    <d v="2022-05-07T00:00:00"/>
    <x v="5"/>
  </r>
  <r>
    <s v="Sociedad Comercializadora Ganadera"/>
    <d v="2022-05-10T00:00:00"/>
    <d v="2022-05-10T00:00:00"/>
    <n v="19"/>
    <s v="FEDV297"/>
    <x v="2"/>
    <n v="44974"/>
    <x v="282"/>
    <n v="427253000"/>
    <n v="91"/>
    <n v="4502323586"/>
    <n v="5081748587"/>
    <n v="5113292702"/>
    <m/>
    <s v="TIENE BL"/>
    <s v="SR2582071"/>
    <x v="0"/>
    <d v="2022-05-08T00:00:00"/>
    <m/>
    <m/>
    <m/>
    <m/>
    <m/>
    <m/>
    <m/>
    <m/>
    <d v="2022-05-08T00:00:00"/>
    <x v="5"/>
  </r>
  <r>
    <s v="Sociedad Comercializadora Ganadera"/>
    <d v="2022-05-10T00:00:00"/>
    <d v="2022-05-10T00:00:00"/>
    <n v="19"/>
    <s v="NC138"/>
    <x v="2"/>
    <n v="44974"/>
    <x v="300"/>
    <n v="-39577.119999964008"/>
    <n v="0"/>
    <n v="4502323586"/>
    <n v="5081748587"/>
    <n v="5113292703"/>
    <m/>
    <m/>
    <m/>
    <x v="0"/>
    <d v="2022-05-08T00:00:00"/>
    <m/>
    <m/>
    <m/>
    <m/>
    <m/>
    <m/>
    <m/>
    <m/>
    <d v="2022-05-08T00:00:00"/>
    <x v="5"/>
  </r>
  <r>
    <s v="Sociedad Comercializadora Ganadera"/>
    <d v="2022-05-10T00:00:00"/>
    <d v="2022-05-10T00:00:00"/>
    <n v="19"/>
    <s v="FEDV298"/>
    <x v="2"/>
    <n v="28659.5"/>
    <x v="282"/>
    <n v="272265250"/>
    <n v="61"/>
    <n v="4502323586"/>
    <n v="5081748587"/>
    <n v="5113292704"/>
    <m/>
    <s v="TIENE BL"/>
    <s v="SR2582071"/>
    <x v="0"/>
    <d v="2022-05-08T00:00:00"/>
    <m/>
    <m/>
    <m/>
    <m/>
    <m/>
    <m/>
    <m/>
    <m/>
    <d v="2022-05-08T00:00:00"/>
    <x v="5"/>
  </r>
  <r>
    <s v="Sociedad Comercializadora Ganadera"/>
    <d v="2022-05-10T00:00:00"/>
    <d v="2022-05-10T00:00:00"/>
    <n v="19"/>
    <s v="NC139"/>
    <x v="2"/>
    <n v="28659.5"/>
    <x v="301"/>
    <n v="-432185.25999999791"/>
    <n v="0"/>
    <n v="4502323586"/>
    <n v="5081748587"/>
    <n v="5113292705"/>
    <m/>
    <m/>
    <m/>
    <x v="0"/>
    <d v="2022-05-08T00:00:00"/>
    <m/>
    <m/>
    <m/>
    <m/>
    <m/>
    <m/>
    <m/>
    <m/>
    <d v="2022-05-08T00:00:00"/>
    <x v="5"/>
  </r>
  <r>
    <s v="Luis Fernando Rojas Prada"/>
    <d v="2022-05-09T00:00:00"/>
    <d v="2022-05-09T00:00:00"/>
    <n v="19"/>
    <s v="FELC-886"/>
    <x v="4"/>
    <n v="86456"/>
    <x v="213"/>
    <n v="734876000"/>
    <n v="168"/>
    <n v="4502326349"/>
    <n v="5081745783"/>
    <n v="5113287741"/>
    <s v="CON RETEN"/>
    <s v="EJ*12 2792400*10 2870900*2"/>
    <m/>
    <x v="6"/>
    <d v="2022-05-08T00:00:00"/>
    <n v="4502326349"/>
    <n v="33665800"/>
    <s v="FEMD-4048*10"/>
    <n v="5113291771"/>
    <s v="FEMD-4049*2"/>
    <n v="5113291772"/>
    <m/>
    <m/>
    <d v="2022-05-08T00:00:00"/>
    <x v="5"/>
  </r>
  <r>
    <s v="Comercializadora Ganadera Las Palmas (COGAPAL S.A.S)"/>
    <d v="2022-05-16T00:00:00"/>
    <d v="2022-05-16T00:00:00"/>
    <n v="19"/>
    <n v="102"/>
    <x v="0"/>
    <n v="7047"/>
    <x v="251"/>
    <n v="62718300"/>
    <n v="15"/>
    <n v="4502323588"/>
    <n v="5081760692"/>
    <n v="5113302241"/>
    <m/>
    <s v="CON RETEN"/>
    <m/>
    <x v="0"/>
    <d v="2022-05-09T00:00:00"/>
    <m/>
    <m/>
    <m/>
    <m/>
    <m/>
    <m/>
    <m/>
    <m/>
    <d v="2022-05-09T00:00:00"/>
    <x v="5"/>
  </r>
  <r>
    <s v="Comercializadora Ganadera Las Palmas (COGAPAL S.A.S)"/>
    <d v="2022-05-16T00:00:00"/>
    <d v="2022-05-16T00:00:00"/>
    <n v="19"/>
    <n v="3"/>
    <x v="0"/>
    <n v="7047"/>
    <x v="13"/>
    <n v="352350"/>
    <n v="0"/>
    <n v="4502323588"/>
    <n v="5081760692"/>
    <n v="5113302243"/>
    <m/>
    <m/>
    <m/>
    <x v="0"/>
    <d v="2022-05-09T00:00:00"/>
    <m/>
    <m/>
    <m/>
    <m/>
    <m/>
    <m/>
    <m/>
    <m/>
    <d v="2022-05-09T00:00:00"/>
    <x v="5"/>
  </r>
  <r>
    <s v="Lina Maria Pelaez Gomez"/>
    <d v="2022-05-10T00:00:00"/>
    <d v="2022-05-13T00:00:00"/>
    <n v="19"/>
    <s v="LP88"/>
    <x v="1"/>
    <n v="5883.5"/>
    <x v="282"/>
    <n v="55893250"/>
    <n v="15"/>
    <n v="4502323589"/>
    <n v="5081760693"/>
    <n v="5113300511"/>
    <m/>
    <s v="TIENE BL"/>
    <m/>
    <x v="0"/>
    <d v="2022-05-09T00:00:00"/>
    <m/>
    <m/>
    <m/>
    <m/>
    <m/>
    <m/>
    <m/>
    <m/>
    <d v="2022-05-09T00:00:00"/>
    <x v="5"/>
  </r>
  <r>
    <s v="Inversiones Tres P &amp; CIA S. En C"/>
    <d v="2022-05-09T00:00:00"/>
    <d v="2022-05-13T00:00:00"/>
    <n v="19"/>
    <s v="FE-55"/>
    <x v="1"/>
    <n v="6863"/>
    <x v="262"/>
    <n v="63825900"/>
    <n v="15"/>
    <n v="4502323618"/>
    <n v="5081761063"/>
    <n v="5113301080"/>
    <m/>
    <s v="TIENE BL"/>
    <m/>
    <x v="0"/>
    <d v="2022-05-09T00:00:00"/>
    <m/>
    <m/>
    <m/>
    <m/>
    <m/>
    <m/>
    <m/>
    <m/>
    <d v="2022-05-09T00:00:00"/>
    <x v="5"/>
  </r>
  <r>
    <s v="Inversiones Tres P &amp; CIA S. En C"/>
    <d v="2022-05-09T00:00:00"/>
    <d v="2022-05-13T00:00:00"/>
    <n v="19"/>
    <s v="ND1"/>
    <x v="1"/>
    <n v="6863"/>
    <x v="13"/>
    <n v="343150"/>
    <n v="0"/>
    <n v="4502323618"/>
    <n v="5081761063"/>
    <n v="5113301082"/>
    <m/>
    <m/>
    <m/>
    <x v="0"/>
    <d v="2022-05-09T00:00:00"/>
    <m/>
    <m/>
    <m/>
    <m/>
    <m/>
    <m/>
    <m/>
    <m/>
    <d v="2022-05-09T00:00:00"/>
    <x v="5"/>
  </r>
  <r>
    <s v="Sociedad Comercializadora Ganadera"/>
    <d v="2022-05-12T00:00:00"/>
    <d v="2022-05-12T00:00:00"/>
    <n v="19"/>
    <s v="FEDV300"/>
    <x v="2"/>
    <n v="24473.5"/>
    <x v="282"/>
    <n v="232498250"/>
    <n v="51"/>
    <n v="4502323591"/>
    <n v="5081761060"/>
    <n v="5113297962"/>
    <m/>
    <s v="TIENE BL"/>
    <s v="SR2582071"/>
    <x v="0"/>
    <d v="2022-05-09T00:00:00"/>
    <m/>
    <m/>
    <m/>
    <m/>
    <m/>
    <m/>
    <m/>
    <m/>
    <d v="2022-05-09T00:00:00"/>
    <x v="5"/>
  </r>
  <r>
    <s v="Sociedad Comercializadora Ganadera"/>
    <d v="2022-05-12T00:00:00"/>
    <d v="2022-05-12T00:00:00"/>
    <n v="19"/>
    <s v="NC140"/>
    <x v="2"/>
    <n v="24473.5"/>
    <x v="302"/>
    <n v="-39647.070000019587"/>
    <n v="0"/>
    <n v="4502323591"/>
    <n v="5081761060"/>
    <n v="5113297965"/>
    <m/>
    <m/>
    <m/>
    <x v="0"/>
    <d v="2022-05-09T00:00:00"/>
    <m/>
    <m/>
    <m/>
    <m/>
    <m/>
    <m/>
    <m/>
    <m/>
    <d v="2022-05-09T00:00:00"/>
    <x v="5"/>
  </r>
  <r>
    <s v="Sociedad Comercializadora Ganadera"/>
    <d v="2022-05-12T00:00:00"/>
    <d v="2022-05-12T00:00:00"/>
    <n v="19"/>
    <s v="FEDV301"/>
    <x v="2"/>
    <n v="10329.5"/>
    <x v="282"/>
    <n v="98130250"/>
    <n v="22"/>
    <n v="4502323591"/>
    <n v="5081761060"/>
    <n v="5113298020"/>
    <m/>
    <s v="TIENE BL"/>
    <m/>
    <x v="0"/>
    <d v="2022-05-09T00:00:00"/>
    <m/>
    <m/>
    <m/>
    <m/>
    <m/>
    <m/>
    <m/>
    <m/>
    <d v="2022-05-09T00:00:00"/>
    <x v="5"/>
  </r>
  <r>
    <s v="Sociedad Comercializadora Ganadera"/>
    <d v="2022-05-12T00:00:00"/>
    <d v="2022-05-12T00:00:00"/>
    <n v="19"/>
    <s v="NC141"/>
    <x v="2"/>
    <n v="10329.5"/>
    <x v="303"/>
    <n v="-881622.8250000038"/>
    <n v="0"/>
    <n v="4502323591"/>
    <n v="5081761060"/>
    <n v="5113298025"/>
    <m/>
    <m/>
    <m/>
    <x v="0"/>
    <d v="2022-05-09T00:00:00"/>
    <m/>
    <m/>
    <m/>
    <m/>
    <m/>
    <m/>
    <m/>
    <m/>
    <d v="2022-05-09T00:00:00"/>
    <x v="5"/>
  </r>
  <r>
    <s v="Fernando Arevalo Reyes"/>
    <d v="2022-05-09T00:00:00"/>
    <m/>
    <n v="19"/>
    <s v="FVE-115"/>
    <x v="2"/>
    <n v="11939"/>
    <x v="278"/>
    <n v="109838800"/>
    <n v="29"/>
    <n v="4502323592"/>
    <n v="5081761061"/>
    <n v="5113298685"/>
    <m/>
    <s v="TIENE BL"/>
    <m/>
    <x v="0"/>
    <d v="2022-05-09T00:00:00"/>
    <m/>
    <m/>
    <m/>
    <m/>
    <m/>
    <m/>
    <m/>
    <m/>
    <d v="2022-05-09T00:00:00"/>
    <x v="5"/>
  </r>
  <r>
    <s v="Fernando Arevalo Reyes"/>
    <d v="2022-05-09T00:00:00"/>
    <m/>
    <n v="19"/>
    <s v="NC23"/>
    <x v="2"/>
    <n v="11939"/>
    <x v="304"/>
    <n v="-402344.30000000866"/>
    <n v="0"/>
    <n v="4502323592"/>
    <n v="5081761061"/>
    <n v="5113298686"/>
    <m/>
    <m/>
    <m/>
    <x v="0"/>
    <d v="2022-05-09T00:00:00"/>
    <m/>
    <m/>
    <m/>
    <m/>
    <m/>
    <m/>
    <m/>
    <m/>
    <d v="2022-05-09T00:00:00"/>
    <x v="5"/>
  </r>
  <r>
    <s v="Agropecuaria 3H Blanco S.A.S"/>
    <d v="2022-05-09T00:00:00"/>
    <m/>
    <n v="19"/>
    <s v="A3H-40"/>
    <x v="2"/>
    <n v="7346"/>
    <x v="278"/>
    <n v="67583200"/>
    <n v="14"/>
    <n v="4502323593"/>
    <n v="5081761062"/>
    <n v="5113304744"/>
    <m/>
    <s v="CON RETEN "/>
    <s v="Se reenvio al correo de recepcion "/>
    <x v="0"/>
    <d v="2022-05-09T00:00:00"/>
    <m/>
    <m/>
    <m/>
    <m/>
    <m/>
    <m/>
    <m/>
    <m/>
    <d v="2022-05-09T00:00:00"/>
    <x v="5"/>
  </r>
  <r>
    <s v="Subasta Ganadera Casanare S.A"/>
    <d v="2022-05-07T00:00:00"/>
    <d v="2022-05-10T00:00:00"/>
    <n v="19"/>
    <s v="FEC23384"/>
    <x v="2"/>
    <n v="8030"/>
    <x v="305"/>
    <n v="70280500"/>
    <n v="15"/>
    <n v="4502326625"/>
    <n v="5081760170"/>
    <n v="5113292003"/>
    <s v="TIENE BL"/>
    <s v="EJ*3 3350800*3"/>
    <m/>
    <x v="0"/>
    <d v="2022-05-09T00:00:00"/>
    <n v="4502326625"/>
    <n v="10052400"/>
    <s v="FEMD-4051*3"/>
    <n v="5113291774"/>
    <m/>
    <m/>
    <m/>
    <m/>
    <d v="2022-05-09T00:00:00"/>
    <x v="5"/>
  </r>
  <r>
    <s v="Subasta Ganadera Casanare S.A"/>
    <d v="2022-05-07T00:00:00"/>
    <d v="2022-05-10T00:00:00"/>
    <n v="19"/>
    <s v="FEC23383"/>
    <x v="2"/>
    <n v="7424"/>
    <x v="306"/>
    <n v="63492000"/>
    <n v="14"/>
    <n v="4502326625"/>
    <n v="5081760170"/>
    <n v="5113292004"/>
    <s v="TIENE BL"/>
    <m/>
    <m/>
    <x v="0"/>
    <d v="2022-05-09T00:00:00"/>
    <m/>
    <m/>
    <m/>
    <m/>
    <m/>
    <m/>
    <m/>
    <m/>
    <d v="2022-05-09T00:00:00"/>
    <x v="5"/>
  </r>
  <r>
    <s v="Subasta Ganadera Casanare S.A"/>
    <d v="2022-05-07T00:00:00"/>
    <d v="2022-05-10T00:00:00"/>
    <n v="19"/>
    <s v="FEC23385"/>
    <x v="2"/>
    <n v="7502"/>
    <x v="307"/>
    <n v="64909100"/>
    <n v="14"/>
    <n v="4502326625"/>
    <n v="5081760170"/>
    <n v="5113292005"/>
    <s v="TIENE BL"/>
    <m/>
    <m/>
    <x v="0"/>
    <d v="2022-05-09T00:00:00"/>
    <m/>
    <m/>
    <m/>
    <m/>
    <m/>
    <m/>
    <m/>
    <m/>
    <d v="2022-05-09T00:00:00"/>
    <x v="5"/>
  </r>
  <r>
    <s v="JERAL S.A.S"/>
    <d v="2022-05-09T00:00:00"/>
    <m/>
    <n v="19"/>
    <s v="JFEV-56"/>
    <x v="4"/>
    <n v="14018"/>
    <x v="206"/>
    <n v="115648500"/>
    <n v="28"/>
    <n v="4502326435"/>
    <n v="5081746485"/>
    <n v="5113291650"/>
    <m/>
    <s v="EJ*2 2979200*1 3252980*1"/>
    <s v="CON RETEN"/>
    <x v="6"/>
    <d v="2022-05-09T00:00:00"/>
    <n v="4502326435"/>
    <n v="6262180"/>
    <s v="  FEMD-4052"/>
    <n v="5113291773"/>
    <s v="FEMD-4053"/>
    <n v="5113291775"/>
    <m/>
    <m/>
    <d v="2022-05-09T00:00:00"/>
    <x v="5"/>
  </r>
  <r>
    <s v="Henry Humberto Cano Avila"/>
    <d v="2022-05-09T00:00:00"/>
    <d v="2022-05-09T00:00:00"/>
    <n v="19"/>
    <s v="FEHC-505"/>
    <x v="4"/>
    <n v="7544"/>
    <x v="308"/>
    <n v="62992400"/>
    <n v="14"/>
    <n v="4502326452"/>
    <n v="5081747040"/>
    <n v="5113292006"/>
    <m/>
    <s v="EJ 2580400"/>
    <s v="CON RETEN"/>
    <x v="6"/>
    <d v="2022-05-09T00:00:00"/>
    <n v="4502326452"/>
    <n v="2580400"/>
    <s v="FEMD-4054"/>
    <n v="5113291776"/>
    <m/>
    <m/>
    <m/>
    <m/>
    <d v="2022-05-09T00:00:00"/>
    <x v="5"/>
  </r>
  <r>
    <s v="Sociedad Comercializadora Ganadera"/>
    <d v="2022-05-13T00:00:00"/>
    <d v="2022-05-13T00:00:00"/>
    <n v="19"/>
    <s v="FEDV304"/>
    <x v="4"/>
    <n v="51359"/>
    <x v="309"/>
    <n v="492617552.34999996"/>
    <n v="105"/>
    <n v="4502329787"/>
    <n v="5081808771"/>
    <n v="5113310139"/>
    <m/>
    <s v="TIENE BL"/>
    <m/>
    <x v="6"/>
    <d v="2022-05-09T00:00:00"/>
    <m/>
    <m/>
    <m/>
    <m/>
    <m/>
    <m/>
    <m/>
    <m/>
    <d v="2022-05-09T00:00:00"/>
    <x v="5"/>
  </r>
  <r>
    <s v="Adrian Alberto Alvarez Henao"/>
    <d v="2022-05-16T00:00:00"/>
    <d v="2022-05-16T00:00:00"/>
    <n v="19"/>
    <s v="AAAH-39"/>
    <x v="0"/>
    <n v="13557"/>
    <x v="265"/>
    <n v="127435800"/>
    <n v="29"/>
    <n v="4502325378"/>
    <n v="5081776166"/>
    <n v="5113303565"/>
    <m/>
    <s v="TIENE BL"/>
    <s v="SR2593126 Le escribi a Adrian y a Fernanda "/>
    <x v="0"/>
    <d v="2022-05-10T00:00:00"/>
    <m/>
    <m/>
    <m/>
    <m/>
    <m/>
    <m/>
    <m/>
    <m/>
    <d v="2022-05-10T00:00:00"/>
    <x v="5"/>
  </r>
  <r>
    <s v="Adrian Alberto Alvarez Henao"/>
    <d v="2022-05-16T00:00:00"/>
    <d v="2022-05-16T00:00:00"/>
    <n v="19"/>
    <s v="AD15"/>
    <x v="0"/>
    <n v="13557"/>
    <x v="310"/>
    <n v="360073.91999999312"/>
    <n v="0"/>
    <n v="4502325378"/>
    <n v="5081776166"/>
    <n v="5113303566"/>
    <m/>
    <m/>
    <m/>
    <x v="0"/>
    <d v="2022-05-10T00:00:00"/>
    <m/>
    <m/>
    <m/>
    <m/>
    <m/>
    <m/>
    <m/>
    <m/>
    <d v="2022-05-10T00:00:00"/>
    <x v="5"/>
  </r>
  <r>
    <s v="Olger Fernando Rojas Angarita"/>
    <d v="2022-05-13T00:00:00"/>
    <d v="2022-05-13T00:00:00"/>
    <n v="19"/>
    <s v="OR171"/>
    <x v="1"/>
    <n v="7013.5"/>
    <x v="278"/>
    <n v="64524200"/>
    <n v="15"/>
    <n v="4502325391"/>
    <n v="5081776167"/>
    <n v="5113298755"/>
    <m/>
    <s v="CON RETEN "/>
    <m/>
    <x v="0"/>
    <d v="2022-05-10T00:00:00"/>
    <m/>
    <m/>
    <m/>
    <m/>
    <m/>
    <m/>
    <m/>
    <m/>
    <d v="2022-05-10T00:00:00"/>
    <x v="5"/>
  </r>
  <r>
    <s v="Olger Fernando Rojas Angarita"/>
    <d v="2022-05-13T00:00:00"/>
    <d v="2022-05-13T00:00:00"/>
    <n v="19"/>
    <s v="NDE3"/>
    <x v="1"/>
    <n v="7013.5"/>
    <x v="311"/>
    <n v="425158.37"/>
    <n v="0"/>
    <n v="4502325391"/>
    <n v="5081776167"/>
    <n v="5113298756"/>
    <m/>
    <m/>
    <m/>
    <x v="0"/>
    <d v="2022-05-10T00:00:00"/>
    <m/>
    <m/>
    <m/>
    <m/>
    <m/>
    <m/>
    <m/>
    <m/>
    <d v="2022-05-10T00:00:00"/>
    <x v="5"/>
  </r>
  <r>
    <s v="Lina Maria Pelaez Gomez"/>
    <d v="2022-05-10T00:00:00"/>
    <d v="2022-05-13T00:00:00"/>
    <n v="19"/>
    <s v="LP88"/>
    <x v="1"/>
    <n v="13117.5"/>
    <x v="282"/>
    <n v="124616250"/>
    <n v="30"/>
    <n v="4502323594"/>
    <n v="5081760693"/>
    <n v="5113300511"/>
    <m/>
    <s v="TIENE BL"/>
    <m/>
    <x v="0"/>
    <d v="2022-05-10T00:00:00"/>
    <m/>
    <m/>
    <m/>
    <m/>
    <m/>
    <m/>
    <m/>
    <m/>
    <d v="2022-05-10T00:00:00"/>
    <x v="5"/>
  </r>
  <r>
    <s v="Lina Maria Pelaez Gomez"/>
    <d v="2022-05-10T00:00:00"/>
    <d v="2022-05-13T00:00:00"/>
    <n v="19"/>
    <s v="NC67"/>
    <x v="1"/>
    <n v="19001"/>
    <x v="312"/>
    <n v="-575160.27000000828"/>
    <n v="0"/>
    <n v="4502323594"/>
    <n v="5081760693"/>
    <n v="5113300519"/>
    <m/>
    <m/>
    <m/>
    <x v="0"/>
    <d v="2022-05-10T00:00:00"/>
    <m/>
    <m/>
    <m/>
    <m/>
    <m/>
    <m/>
    <m/>
    <m/>
    <d v="2022-05-10T00:00:00"/>
    <x v="5"/>
  </r>
  <r>
    <s v="Lina Maria Pelaez Gomez"/>
    <d v="2022-05-13T00:00:00"/>
    <d v="2022-05-16T00:00:00"/>
    <n v="19"/>
    <s v="LP89"/>
    <x v="2"/>
    <n v="13444"/>
    <x v="282"/>
    <n v="127718000"/>
    <n v="31"/>
    <n v="4502327096"/>
    <n v="5081783724"/>
    <n v="5113303930"/>
    <m/>
    <s v="TIENE BL"/>
    <m/>
    <x v="0"/>
    <d v="2022-05-10T00:00:00"/>
    <m/>
    <m/>
    <m/>
    <m/>
    <m/>
    <m/>
    <m/>
    <m/>
    <d v="2022-05-10T00:00:00"/>
    <x v="5"/>
  </r>
  <r>
    <s v="Lina Maria Pelaez Gomez"/>
    <d v="2022-05-16T00:00:00"/>
    <d v="2022-05-16T00:00:00"/>
    <n v="19"/>
    <s v="ND8"/>
    <x v="2"/>
    <n v="13444"/>
    <x v="313"/>
    <n v="1034515.8"/>
    <n v="0"/>
    <n v="4502327096"/>
    <n v="5081783724"/>
    <n v="5113303932"/>
    <m/>
    <m/>
    <m/>
    <x v="0"/>
    <d v="2022-05-10T00:00:00"/>
    <m/>
    <m/>
    <m/>
    <m/>
    <m/>
    <m/>
    <m/>
    <m/>
    <d v="2022-05-10T00:00:00"/>
    <x v="5"/>
  </r>
  <r>
    <s v="Primavera del Magdalena S.A.S."/>
    <d v="2022-05-16T00:00:00"/>
    <d v="2022-05-16T00:00:00"/>
    <n v="19"/>
    <s v="PRI67"/>
    <x v="1"/>
    <n v="6544"/>
    <x v="314"/>
    <n v="58568800"/>
    <n v="14"/>
    <n v="4502323595"/>
    <n v="5081775869"/>
    <n v="5113303659"/>
    <m/>
    <s v="TIENE BL"/>
    <m/>
    <x v="0"/>
    <d v="2022-05-10T00:00:00"/>
    <m/>
    <m/>
    <m/>
    <m/>
    <m/>
    <m/>
    <m/>
    <m/>
    <d v="2022-05-10T00:00:00"/>
    <x v="5"/>
  </r>
  <r>
    <s v="Primavera del Magdalena S.A.S."/>
    <d v="2022-05-16T00:00:00"/>
    <d v="2022-05-16T00:00:00"/>
    <n v="19"/>
    <s v="D0029"/>
    <x v="1"/>
    <n v="6544"/>
    <x v="2"/>
    <n v="654400"/>
    <n v="0"/>
    <n v="4502323595"/>
    <n v="5081775869"/>
    <n v="5113303661"/>
    <m/>
    <m/>
    <m/>
    <x v="0"/>
    <d v="2022-05-10T00:00:00"/>
    <m/>
    <m/>
    <m/>
    <m/>
    <m/>
    <m/>
    <m/>
    <m/>
    <d v="2022-05-10T00:00:00"/>
    <x v="5"/>
  </r>
  <r>
    <s v="Mario Balmiro Pacheco Claro"/>
    <d v="2022-05-21T00:00:00"/>
    <m/>
    <n v="19"/>
    <s v="FE-33"/>
    <x v="0"/>
    <n v="6316.5"/>
    <x v="278"/>
    <n v="58111800"/>
    <n v="15"/>
    <n v="4502327402"/>
    <n v="5081776660"/>
    <n v="5113330301"/>
    <m/>
    <s v="TIENE BL"/>
    <s v="Esta pendiente q le envie el registro de bolsa para enviar todo junto "/>
    <x v="0"/>
    <d v="2022-05-10T00:00:00"/>
    <m/>
    <m/>
    <m/>
    <m/>
    <m/>
    <m/>
    <m/>
    <m/>
    <d v="2022-05-10T00:00:00"/>
    <x v="5"/>
  </r>
  <r>
    <s v="Mario Balmiro Pacheco Claro"/>
    <d v="2022-05-21T00:00:00"/>
    <m/>
    <n v="19"/>
    <s v="NC28"/>
    <x v="0"/>
    <n v="6316.5"/>
    <x v="315"/>
    <n v="-155070.07499999541"/>
    <n v="0"/>
    <n v="4502327402"/>
    <n v="5081776660"/>
    <n v="5113330302"/>
    <m/>
    <m/>
    <s v="NO ha enviado el xml esta hablando con la contadora "/>
    <x v="0"/>
    <d v="2022-05-10T00:00:00"/>
    <m/>
    <m/>
    <m/>
    <m/>
    <m/>
    <m/>
    <m/>
    <m/>
    <d v="2022-05-10T00:00:00"/>
    <x v="5"/>
  </r>
  <r>
    <s v="Luis Eduardo Sanchez Ruedas"/>
    <d v="2022-05-13T00:00:00"/>
    <m/>
    <n v="19"/>
    <s v="FE-155"/>
    <x v="2"/>
    <n v="27084.5"/>
    <x v="262"/>
    <n v="251885850"/>
    <n v="60"/>
    <n v="4502323596"/>
    <n v="5081775870"/>
    <n v="5113299107"/>
    <m/>
    <s v="CON RETEN"/>
    <m/>
    <x v="0"/>
    <d v="2022-05-10T00:00:00"/>
    <m/>
    <m/>
    <m/>
    <m/>
    <m/>
    <m/>
    <m/>
    <m/>
    <d v="2022-05-10T00:00:00"/>
    <x v="5"/>
  </r>
  <r>
    <s v="Luis Eduardo Sanchez Ruedas"/>
    <d v="2022-05-13T00:00:00"/>
    <m/>
    <n v="19"/>
    <s v="DF28"/>
    <x v="2"/>
    <n v="27084.5"/>
    <x v="316"/>
    <n v="2670260.855"/>
    <n v="0"/>
    <n v="4502323596"/>
    <n v="5081775870"/>
    <n v="5113303901"/>
    <m/>
    <m/>
    <m/>
    <x v="0"/>
    <d v="2022-05-10T00:00:00"/>
    <m/>
    <m/>
    <m/>
    <m/>
    <m/>
    <m/>
    <m/>
    <m/>
    <d v="2022-05-10T00:00:00"/>
    <x v="5"/>
  </r>
  <r>
    <s v="Luis Eduardo Sanchez Ruedas"/>
    <d v="2022-05-13T00:00:00"/>
    <m/>
    <n v="19"/>
    <s v="FE-154"/>
    <x v="2"/>
    <n v="31124"/>
    <x v="262"/>
    <n v="289453200"/>
    <n v="70"/>
    <n v="4502326908"/>
    <n v="5081776658"/>
    <n v="5113299110"/>
    <m/>
    <s v="CON RETEN"/>
    <m/>
    <x v="0"/>
    <d v="2022-05-10T00:00:00"/>
    <m/>
    <m/>
    <m/>
    <m/>
    <m/>
    <m/>
    <m/>
    <m/>
    <d v="2022-05-10T00:00:00"/>
    <x v="5"/>
  </r>
  <r>
    <s v="Luis Eduardo Sanchez Ruedas"/>
    <d v="2022-05-13T00:00:00"/>
    <m/>
    <n v="19"/>
    <s v="DF27"/>
    <x v="2"/>
    <n v="31124"/>
    <x v="317"/>
    <n v="1399646.28"/>
    <n v="0"/>
    <n v="4502326908"/>
    <n v="5081776658"/>
    <n v="5113299111"/>
    <m/>
    <m/>
    <m/>
    <x v="0"/>
    <d v="2022-05-10T00:00:00"/>
    <m/>
    <m/>
    <m/>
    <m/>
    <m/>
    <m/>
    <m/>
    <m/>
    <d v="2022-05-10T00:00:00"/>
    <x v="5"/>
  </r>
  <r>
    <s v="Jorge Armando Ortega Trigos"/>
    <d v="2022-06-01T00:00:00"/>
    <m/>
    <n v="19"/>
    <s v="FESG-76"/>
    <x v="2"/>
    <n v="20827"/>
    <x v="262"/>
    <n v="193691100"/>
    <n v="46"/>
    <n v="4502325394"/>
    <n v="5081775871"/>
    <n v="5113373732"/>
    <m/>
    <m/>
    <s v="Le escribi a jorge armando "/>
    <x v="0"/>
    <d v="2022-05-10T00:00:00"/>
    <m/>
    <m/>
    <m/>
    <m/>
    <m/>
    <m/>
    <m/>
    <m/>
    <d v="2022-05-10T00:00:00"/>
    <x v="5"/>
  </r>
  <r>
    <s v="Jorge Armando Ortega Trigos"/>
    <d v="2022-06-01T00:00:00"/>
    <m/>
    <n v="19"/>
    <s v="FESG-76"/>
    <x v="2"/>
    <n v="13825.5"/>
    <x v="262"/>
    <n v="128577150"/>
    <n v="30"/>
    <n v="4502327028"/>
    <n v="5081775871"/>
    <n v="5113373732"/>
    <m/>
    <m/>
    <s v="tiene rollo con la cta - NO contesta "/>
    <x v="0"/>
    <d v="2022-05-10T00:00:00"/>
    <m/>
    <m/>
    <m/>
    <m/>
    <m/>
    <m/>
    <m/>
    <m/>
    <d v="2022-05-10T00:00:00"/>
    <x v="5"/>
  </r>
  <r>
    <s v="Jorge Armando Ortega Trigos"/>
    <d v="2022-06-15T00:00:00"/>
    <m/>
    <n v="19"/>
    <s v="NC111"/>
    <x v="2"/>
    <n v="34652.5"/>
    <x v="318"/>
    <n v="-37078.174999989918"/>
    <n v="0"/>
    <n v="4502327028"/>
    <n v="5081775871"/>
    <n v="5113373734"/>
    <m/>
    <m/>
    <m/>
    <x v="0"/>
    <d v="2022-05-10T00:00:00"/>
    <m/>
    <m/>
    <m/>
    <m/>
    <m/>
    <m/>
    <m/>
    <m/>
    <d v="2022-05-10T00:00:00"/>
    <x v="5"/>
  </r>
  <r>
    <s v="Sociedad Comercializadora Ganadera"/>
    <d v="2022-05-13T00:00:00"/>
    <d v="2022-05-13T00:00:00"/>
    <n v="19"/>
    <s v="FEDV305"/>
    <x v="3"/>
    <n v="5139"/>
    <x v="54"/>
    <n v="40084200"/>
    <n v="22"/>
    <n v="4502329858"/>
    <n v="5081809784"/>
    <n v="5113300520"/>
    <m/>
    <s v="TIENE BL"/>
    <m/>
    <x v="2"/>
    <d v="2022-05-11T00:00:00"/>
    <m/>
    <m/>
    <m/>
    <m/>
    <m/>
    <m/>
    <m/>
    <m/>
    <d v="2022-05-11T00:00:00"/>
    <x v="5"/>
  </r>
  <r>
    <s v="Ciro Alfonso Castilla Baez"/>
    <d v="2022-05-16T00:00:00"/>
    <m/>
    <n v="20"/>
    <s v="FE-9"/>
    <x v="0"/>
    <n v="7410.5"/>
    <x v="319"/>
    <n v="67806075"/>
    <n v="14"/>
    <n v="4502328198"/>
    <n v="5081817555"/>
    <n v="5113323150"/>
    <m/>
    <s v="TIENE BL"/>
    <s v="Se solicito por correo "/>
    <x v="0"/>
    <d v="2022-05-12T00:00:00"/>
    <m/>
    <m/>
    <m/>
    <m/>
    <m/>
    <m/>
    <m/>
    <m/>
    <d v="2022-05-12T00:00:00"/>
    <x v="5"/>
  </r>
  <r>
    <s v="Sociedad Comercializadora Ganadera"/>
    <d v="2022-05-16T00:00:00"/>
    <d v="2022-05-16T00:00:00"/>
    <n v="20"/>
    <s v="FEDV307"/>
    <x v="1"/>
    <n v="22529"/>
    <x v="320"/>
    <n v="216278400"/>
    <n v="45"/>
    <n v="4502328199"/>
    <n v="5081817557"/>
    <n v="5113306834"/>
    <m/>
    <s v="TIENE BL"/>
    <m/>
    <x v="0"/>
    <d v="2022-05-12T00:00:00"/>
    <m/>
    <m/>
    <m/>
    <m/>
    <m/>
    <m/>
    <m/>
    <m/>
    <d v="2022-05-12T00:00:00"/>
    <x v="5"/>
  </r>
  <r>
    <s v="Sociedad Comercializadora Ganadera"/>
    <d v="2022-05-16T00:00:00"/>
    <d v="2022-05-16T00:00:00"/>
    <n v="20"/>
    <s v="NC143"/>
    <x v="1"/>
    <n v="22529"/>
    <x v="321"/>
    <n v="-39651.040000004919"/>
    <n v="0"/>
    <n v="4502328199"/>
    <n v="5081817557"/>
    <n v="5113306848"/>
    <m/>
    <m/>
    <m/>
    <x v="0"/>
    <d v="2022-05-12T00:00:00"/>
    <m/>
    <m/>
    <m/>
    <m/>
    <m/>
    <m/>
    <m/>
    <m/>
    <d v="2022-05-12T00:00:00"/>
    <x v="5"/>
  </r>
  <r>
    <s v="Andres Jaramillo Bernal"/>
    <d v="2022-05-12T00:00:00"/>
    <d v="2022-05-19T00:00:00"/>
    <n v="20"/>
    <s v="FEVA-5173"/>
    <x v="1"/>
    <n v="12745.5"/>
    <x v="273"/>
    <n v="115984050"/>
    <n v="28"/>
    <n v="4502328200"/>
    <n v="5081817579"/>
    <n v="5113311062"/>
    <m/>
    <s v="TIENE BL"/>
    <m/>
    <x v="0"/>
    <d v="2022-05-12T00:00:00"/>
    <m/>
    <m/>
    <m/>
    <m/>
    <m/>
    <m/>
    <m/>
    <m/>
    <d v="2022-05-12T00:00:00"/>
    <x v="5"/>
  </r>
  <r>
    <s v="Juan Alberto Saldarriaga Marin"/>
    <d v="2022-05-12T00:00:00"/>
    <m/>
    <n v="20"/>
    <n v="6031"/>
    <x v="2"/>
    <n v="40071"/>
    <x v="265"/>
    <n v="376667400"/>
    <n v="84"/>
    <n v="4502328201"/>
    <n v="5081817581"/>
    <n v="5113315837"/>
    <m/>
    <s v="TIENE BL"/>
    <s v="Lo pedi por WA"/>
    <x v="0"/>
    <d v="2022-05-12T00:00:00"/>
    <m/>
    <m/>
    <m/>
    <m/>
    <m/>
    <m/>
    <m/>
    <m/>
    <d v="2022-05-12T00:00:00"/>
    <x v="5"/>
  </r>
  <r>
    <s v="Agroindustria Ganadera Valle Del Cesar"/>
    <d v="2022-05-16T00:00:00"/>
    <m/>
    <n v="20"/>
    <s v="FE-46"/>
    <x v="2"/>
    <n v="7088.5"/>
    <x v="237"/>
    <n v="63796500"/>
    <n v="14"/>
    <n v="4502328202"/>
    <n v="5081817582"/>
    <n v="5113303934"/>
    <m/>
    <s v="CON RETEN"/>
    <m/>
    <x v="0"/>
    <d v="2022-05-12T00:00:00"/>
    <m/>
    <m/>
    <m/>
    <m/>
    <m/>
    <m/>
    <m/>
    <m/>
    <d v="2022-05-12T00:00:00"/>
    <x v="5"/>
  </r>
  <r>
    <s v="Agroindustria Ganadera Valle Del Cesar"/>
    <d v="2022-05-16T00:00:00"/>
    <m/>
    <n v="20"/>
    <s v="D00217"/>
    <x v="2"/>
    <n v="7088.5"/>
    <x v="13"/>
    <n v="354425"/>
    <n v="0"/>
    <n v="4502328202"/>
    <n v="5081817582"/>
    <n v="5113303936"/>
    <m/>
    <m/>
    <m/>
    <x v="0"/>
    <d v="2022-05-12T00:00:00"/>
    <m/>
    <m/>
    <m/>
    <m/>
    <m/>
    <m/>
    <m/>
    <m/>
    <d v="2022-05-12T00:00:00"/>
    <x v="5"/>
  </r>
  <r>
    <s v="David Martinez Jaramillo"/>
    <d v="2022-05-13T00:00:00"/>
    <d v="2022-05-16T00:00:00"/>
    <n v="20"/>
    <s v="DM187"/>
    <x v="2"/>
    <n v="33883"/>
    <x v="320"/>
    <n v="325276800"/>
    <n v="72"/>
    <n v="4502328203"/>
    <n v="5081834440"/>
    <n v="5113303597"/>
    <m/>
    <s v="TIENE BL"/>
    <m/>
    <x v="0"/>
    <d v="2022-05-12T00:00:00"/>
    <m/>
    <m/>
    <m/>
    <m/>
    <m/>
    <m/>
    <m/>
    <m/>
    <d v="2022-05-12T00:00:00"/>
    <x v="5"/>
  </r>
  <r>
    <s v="David Martinez Jaramillo"/>
    <d v="2022-05-16T00:00:00"/>
    <d v="2022-05-16T00:00:00"/>
    <n v="20"/>
    <s v="NC32"/>
    <x v="2"/>
    <n v="33883"/>
    <x v="322"/>
    <n v="-348656.07000002958"/>
    <n v="0"/>
    <n v="4502328203"/>
    <n v="5081834440"/>
    <n v="5113303598"/>
    <m/>
    <m/>
    <m/>
    <x v="0"/>
    <d v="2022-05-12T00:00:00"/>
    <m/>
    <m/>
    <m/>
    <m/>
    <m/>
    <m/>
    <m/>
    <m/>
    <d v="2022-05-12T00:00:00"/>
    <x v="5"/>
  </r>
  <r>
    <s v="Alexander Bautista Perez"/>
    <d v="2022-05-19T00:00:00"/>
    <d v="2022-05-19T00:00:00"/>
    <n v="20"/>
    <s v="FACE-336"/>
    <x v="2"/>
    <n v="22472.5"/>
    <x v="320"/>
    <n v="215736000"/>
    <n v="45"/>
    <n v="4502328204"/>
    <n v="5081817583"/>
    <n v="5113310585"/>
    <m/>
    <s v="CON RETEN"/>
    <s v="SR2598385"/>
    <x v="0"/>
    <d v="2022-05-12T00:00:00"/>
    <m/>
    <m/>
    <m/>
    <m/>
    <m/>
    <m/>
    <m/>
    <m/>
    <d v="2022-05-12T00:00:00"/>
    <x v="5"/>
  </r>
  <r>
    <s v="HEVLA S.A.S"/>
    <d v="2022-05-20T00:00:00"/>
    <d v="2022-05-20T00:00:00"/>
    <n v="20"/>
    <s v="FE-551"/>
    <x v="0"/>
    <n v="20254"/>
    <x v="219"/>
    <n v="177222500"/>
    <n v="45"/>
    <n v="4502330794"/>
    <n v="5081839488"/>
    <n v="5113322053"/>
    <m/>
    <s v="CON RETEN"/>
    <s v="SR2593126 se envia al correo de recepcion "/>
    <x v="4"/>
    <d v="2022-05-12T00:00:00"/>
    <m/>
    <m/>
    <m/>
    <m/>
    <m/>
    <m/>
    <m/>
    <m/>
    <d v="2022-05-12T00:00:00"/>
    <x v="5"/>
  </r>
  <r>
    <s v="Savanna &amp; Compañia S.A.S ZOMAC"/>
    <d v="2022-05-12T00:00:00"/>
    <m/>
    <n v="20"/>
    <s v="S-39"/>
    <x v="0"/>
    <n v="6065"/>
    <x v="251"/>
    <n v="53978500"/>
    <n v="12"/>
    <n v="4502330797"/>
    <n v="5081839491"/>
    <n v="5113306660"/>
    <m/>
    <s v="TIENE BL"/>
    <m/>
    <x v="4"/>
    <d v="2022-05-12T00:00:00"/>
    <m/>
    <m/>
    <m/>
    <m/>
    <m/>
    <m/>
    <m/>
    <m/>
    <d v="2022-05-12T00:00:00"/>
    <x v="5"/>
  </r>
  <r>
    <s v="Luis Fernando Rojas Prada"/>
    <d v="2022-05-16T00:00:00"/>
    <d v="2022-05-17T00:00:00"/>
    <n v="20"/>
    <s v="FELC-891"/>
    <x v="0"/>
    <n v="7385"/>
    <x v="323"/>
    <n v="64926926.049999997"/>
    <n v="14"/>
    <n v="4502330799"/>
    <n v="5081839495"/>
    <n v="5113304096"/>
    <m/>
    <s v="TIENE BL"/>
    <s v="TIENE BL"/>
    <x v="4"/>
    <d v="2022-05-12T00:00:00"/>
    <m/>
    <m/>
    <m/>
    <m/>
    <m/>
    <m/>
    <m/>
    <m/>
    <d v="2022-05-12T00:00:00"/>
    <x v="5"/>
  </r>
  <r>
    <s v="Alexander Bautista Perez"/>
    <d v="2022-05-19T00:00:00"/>
    <d v="2022-05-19T00:00:00"/>
    <n v="20"/>
    <s v="DF28"/>
    <x v="2"/>
    <n v="22472.5"/>
    <x v="324"/>
    <n v="1063398.7"/>
    <n v="0"/>
    <n v="4502328204"/>
    <n v="5081817583"/>
    <n v="5113310586"/>
    <m/>
    <m/>
    <m/>
    <x v="0"/>
    <d v="2022-05-12T00:00:00"/>
    <m/>
    <m/>
    <m/>
    <m/>
    <m/>
    <m/>
    <m/>
    <m/>
    <d v="2022-05-12T00:00:00"/>
    <x v="5"/>
  </r>
  <r>
    <s v="Alexander Bautista Perez"/>
    <d v="2022-05-13T00:00:00"/>
    <d v="2022-05-17T00:00:00"/>
    <n v="20"/>
    <s v="FACE-337"/>
    <x v="0"/>
    <n v="27665.5"/>
    <x v="320"/>
    <n v="265588800"/>
    <n v="60"/>
    <n v="4502328205"/>
    <n v="5081817584"/>
    <n v="5113310681"/>
    <m/>
    <s v="CON RETEN"/>
    <s v="SR2598385"/>
    <x v="0"/>
    <d v="2022-05-13T00:00:00"/>
    <m/>
    <m/>
    <m/>
    <m/>
    <m/>
    <m/>
    <m/>
    <m/>
    <d v="2022-05-13T00:00:00"/>
    <x v="5"/>
  </r>
  <r>
    <s v="Alexander Bautista Perez"/>
    <d v="2022-05-12T00:00:00"/>
    <d v="2022-05-17T00:00:00"/>
    <n v="20"/>
    <s v="FACE-337"/>
    <x v="1"/>
    <n v="20471.5"/>
    <x v="320"/>
    <n v="196526400"/>
    <n v="42"/>
    <n v="4502328206"/>
    <n v="5081817584"/>
    <n v="5113310681"/>
    <m/>
    <s v="CON RETEN"/>
    <m/>
    <x v="0"/>
    <d v="2022-05-13T00:00:00"/>
    <m/>
    <m/>
    <m/>
    <m/>
    <m/>
    <m/>
    <m/>
    <m/>
    <d v="2022-05-13T00:00:00"/>
    <x v="5"/>
  </r>
  <r>
    <s v="Inversiones Tres P &amp; CIA S. En C"/>
    <d v="2022-05-13T00:00:00"/>
    <d v="2022-05-17T00:00:00"/>
    <n v="20"/>
    <s v="FE-56"/>
    <x v="0"/>
    <n v="13533.5"/>
    <x v="262"/>
    <n v="125861550"/>
    <n v="28"/>
    <n v="4502328207"/>
    <n v="5081834841"/>
    <n v="5113306853"/>
    <m/>
    <s v="TIENE BL"/>
    <m/>
    <x v="0"/>
    <d v="2022-05-13T00:00:00"/>
    <m/>
    <m/>
    <m/>
    <m/>
    <m/>
    <m/>
    <m/>
    <m/>
    <d v="2022-05-13T00:00:00"/>
    <x v="5"/>
  </r>
  <r>
    <s v="Adrian Alberto Alvarez Henao"/>
    <d v="2022-05-18T00:00:00"/>
    <d v="2022-05-18T00:00:00"/>
    <n v="20"/>
    <s v="AAAH-40"/>
    <x v="0"/>
    <n v="20571.5"/>
    <x v="282"/>
    <n v="195429250"/>
    <n v="42"/>
    <n v="4502328208"/>
    <n v="5081844411"/>
    <n v="5113309549"/>
    <m/>
    <s v="TIENE BL"/>
    <s v="SR2593126"/>
    <x v="0"/>
    <d v="2022-05-13T00:00:00"/>
    <m/>
    <m/>
    <m/>
    <m/>
    <m/>
    <m/>
    <m/>
    <m/>
    <d v="2022-05-13T00:00:00"/>
    <x v="5"/>
  </r>
  <r>
    <s v="Adrian Alberto Alvarez Henao"/>
    <d v="2022-05-18T00:00:00"/>
    <d v="2022-05-18T00:00:00"/>
    <n v="20"/>
    <s v="AD16"/>
    <x v="0"/>
    <n v="20571.5"/>
    <x v="325"/>
    <n v="-1473742.2599999881"/>
    <n v="0"/>
    <n v="4502328208"/>
    <n v="5081844411"/>
    <n v="5113309551"/>
    <m/>
    <m/>
    <m/>
    <x v="0"/>
    <d v="2022-05-13T00:00:00"/>
    <m/>
    <m/>
    <m/>
    <m/>
    <m/>
    <m/>
    <m/>
    <m/>
    <d v="2022-05-13T00:00:00"/>
    <x v="5"/>
  </r>
  <r>
    <s v="Sociedad Comercializadora Ganadera"/>
    <d v="2022-05-18T00:00:00"/>
    <d v="2022-05-18T00:00:00"/>
    <n v="20"/>
    <s v="FEDV309"/>
    <x v="2"/>
    <n v="34204"/>
    <x v="320"/>
    <n v="328358400"/>
    <n v="76"/>
    <n v="4502328209"/>
    <n v="5081844412"/>
    <n v="5113332892"/>
    <m/>
    <s v="TIENE BL"/>
    <s v="Duberney WA"/>
    <x v="0"/>
    <d v="2022-05-13T00:00:00"/>
    <m/>
    <m/>
    <m/>
    <m/>
    <m/>
    <m/>
    <m/>
    <m/>
    <d v="2022-05-13T00:00:00"/>
    <x v="5"/>
  </r>
  <r>
    <s v="Sociedad Comercializadora Ganadera"/>
    <d v="2022-05-19T00:00:00"/>
    <d v="2022-05-19T00:00:00"/>
    <n v="20"/>
    <s v="NC144"/>
    <x v="2"/>
    <n v="34204"/>
    <x v="326"/>
    <n v="-118687.87999997759"/>
    <n v="0"/>
    <n v="4502328209"/>
    <n v="5081844412"/>
    <n v="5113332893"/>
    <m/>
    <m/>
    <m/>
    <x v="0"/>
    <d v="2022-05-13T00:00:00"/>
    <m/>
    <m/>
    <m/>
    <m/>
    <m/>
    <m/>
    <m/>
    <m/>
    <d v="2022-05-13T00:00:00"/>
    <x v="5"/>
  </r>
  <r>
    <s v="Sociedad Comercializadora Ganadera"/>
    <d v="2022-05-18T00:00:00"/>
    <d v="2022-05-18T00:00:00"/>
    <n v="20"/>
    <s v="FEDV310"/>
    <x v="2"/>
    <n v="7021"/>
    <x v="320"/>
    <n v="67401600"/>
    <n v="15"/>
    <n v="4502328209"/>
    <n v="5081844412"/>
    <n v="5113332894"/>
    <m/>
    <s v="TIENE BL"/>
    <s v="Duberney "/>
    <x v="0"/>
    <d v="2022-05-13T00:00:00"/>
    <m/>
    <m/>
    <m/>
    <m/>
    <m/>
    <m/>
    <m/>
    <m/>
    <d v="2022-05-13T00:00:00"/>
    <x v="5"/>
  </r>
  <r>
    <s v="Sociedad Comercializadora Ganadera"/>
    <d v="2022-05-19T00:00:00"/>
    <d v="2022-05-19T00:00:00"/>
    <n v="20"/>
    <s v="NC145"/>
    <x v="2"/>
    <n v="7021"/>
    <x v="327"/>
    <n v="-1043109.969999998"/>
    <n v="0"/>
    <n v="4502328209"/>
    <n v="5081844412"/>
    <n v="5113332896"/>
    <m/>
    <m/>
    <m/>
    <x v="0"/>
    <d v="2022-05-13T00:00:00"/>
    <m/>
    <m/>
    <m/>
    <m/>
    <m/>
    <m/>
    <m/>
    <m/>
    <d v="2022-05-13T00:00:00"/>
    <x v="5"/>
  </r>
  <r>
    <s v="Agropecuaria Tabaida S.A.S"/>
    <d v="2022-05-13T00:00:00"/>
    <d v="2022-05-17T00:00:00"/>
    <n v="20"/>
    <s v="MT-1384"/>
    <x v="4"/>
    <n v="39797"/>
    <x v="237"/>
    <n v="358173000"/>
    <n v="83"/>
    <n v="4502330823"/>
    <n v="5081839727"/>
    <n v="5113304566"/>
    <s v="TIENE BL"/>
    <s v="EJ*3 1274600*3 TYC "/>
    <s v="TIENE BL"/>
    <x v="3"/>
    <d v="2022-05-13T00:00:00"/>
    <n v="4502330823"/>
    <s v="3823800 y 3690000"/>
    <s v="FEMD-4115*3"/>
    <n v="5113305491"/>
    <s v="ETE-3031"/>
    <n v="5113306953"/>
    <m/>
    <m/>
    <d v="2022-05-13T00:00:00"/>
    <x v="5"/>
  </r>
  <r>
    <s v="Inversiones Valle Del Canalete S.A.S"/>
    <d v="2022-05-13T00:00:00"/>
    <d v="2022-05-19T00:00:00"/>
    <n v="20"/>
    <s v="IVC111"/>
    <x v="4"/>
    <n v="20031"/>
    <x v="294"/>
    <n v="181280550"/>
    <n v="42"/>
    <n v="4502330832"/>
    <n v="5081839903"/>
    <n v="5113311061"/>
    <m/>
    <s v="EJ* 1371100*3"/>
    <s v="Carlos la va a enviar "/>
    <x v="3"/>
    <d v="2022-05-13T00:00:00"/>
    <n v="4502330832"/>
    <n v="4113300"/>
    <s v="FEMD-4116*3"/>
    <n v="5113305493"/>
    <m/>
    <m/>
    <m/>
    <m/>
    <d v="2022-05-13T00:00:00"/>
    <x v="5"/>
  </r>
  <r>
    <s v="Agropastoril De Colombia S.A.S."/>
    <d v="2022-05-13T00:00:00"/>
    <m/>
    <n v="20"/>
    <s v="AP-73"/>
    <x v="4"/>
    <n v="20708"/>
    <x v="237"/>
    <n v="186372000"/>
    <n v="42"/>
    <n v="4502330839"/>
    <n v="5081839906"/>
    <n v="5113306666"/>
    <m/>
    <s v="EJ*3 1266900*3"/>
    <s v="CON RETEN"/>
    <x v="3"/>
    <d v="2022-05-13T00:00:00"/>
    <n v="4502330839"/>
    <n v="3800700"/>
    <s v="FEMD-4117*3"/>
    <n v="5113305496"/>
    <m/>
    <m/>
    <m/>
    <m/>
    <d v="2022-05-13T00:00:00"/>
    <x v="5"/>
  </r>
  <r>
    <s v="Mauricio De Jesús Bernal Jaramillo"/>
    <d v="2022-05-19T00:00:00"/>
    <d v="2022-05-19T00:00:00"/>
    <n v="20"/>
    <s v="FE-181"/>
    <x v="4"/>
    <n v="6243"/>
    <x v="251"/>
    <n v="55562700"/>
    <n v="14"/>
    <n v="4502330855"/>
    <n v="5081840036"/>
    <n v="5113311058"/>
    <m/>
    <s v="EJ 1262800"/>
    <m/>
    <x v="3"/>
    <d v="2022-05-13T00:00:00"/>
    <n v="4502330855"/>
    <n v="1262800"/>
    <s v="FEMD-4118"/>
    <n v="5113305541"/>
    <m/>
    <m/>
    <m/>
    <m/>
    <d v="2022-05-13T00:00:00"/>
    <x v="5"/>
  </r>
  <r>
    <s v="Sociedad Comercializadora Ganadera"/>
    <d v="2022-05-17T00:00:00"/>
    <d v="2022-05-17T00:00:00"/>
    <n v="20"/>
    <s v="FEDV308"/>
    <x v="4"/>
    <n v="28690"/>
    <x v="328"/>
    <n v="278293000"/>
    <n v="58"/>
    <n v="4502331302"/>
    <n v="5081846492"/>
    <n v="5113309367"/>
    <m/>
    <s v="TIENE BL"/>
    <m/>
    <x v="3"/>
    <d v="2022-05-13T00:00:00"/>
    <m/>
    <m/>
    <m/>
    <m/>
    <m/>
    <m/>
    <m/>
    <m/>
    <d v="2022-05-13T00:00:00"/>
    <x v="5"/>
  </r>
  <r>
    <s v="Sociedad Comercializadora Ganadera"/>
    <d v="2022-05-18T00:00:00"/>
    <d v="2022-05-18T00:00:00"/>
    <n v="20"/>
    <s v="ND22"/>
    <x v="4"/>
    <n v="28690"/>
    <x v="2"/>
    <n v="2869000"/>
    <n v="0"/>
    <n v="4502331302"/>
    <n v="5081846492"/>
    <n v="5113309368"/>
    <m/>
    <m/>
    <m/>
    <x v="3"/>
    <d v="2022-05-13T00:00:00"/>
    <m/>
    <m/>
    <m/>
    <m/>
    <m/>
    <m/>
    <m/>
    <m/>
    <d v="2022-05-13T00:00:00"/>
    <x v="5"/>
  </r>
  <r>
    <s v="Carlos Enrique Galan Prada"/>
    <d v="2022-05-19T00:00:00"/>
    <d v="2022-05-19T00:00:00"/>
    <n v="20"/>
    <s v="FVEC12"/>
    <x v="0"/>
    <n v="5971.5"/>
    <x v="278"/>
    <n v="54937800"/>
    <n v="14"/>
    <n v="4502328210"/>
    <n v="5081835005"/>
    <n v="5113311059"/>
    <m/>
    <s v="CON RETEN"/>
    <m/>
    <x v="0"/>
    <d v="2022-05-14T00:00:00"/>
    <m/>
    <m/>
    <m/>
    <m/>
    <m/>
    <m/>
    <m/>
    <m/>
    <d v="2022-05-14T00:00:00"/>
    <x v="5"/>
  </r>
  <r>
    <s v="David Martinez Jaramillo"/>
    <d v="2022-05-17T00:00:00"/>
    <d v="2022-05-18T00:00:00"/>
    <n v="20"/>
    <s v="DM189"/>
    <x v="0"/>
    <n v="32603.5"/>
    <x v="320"/>
    <n v="312993600"/>
    <n v="70"/>
    <n v="4502328211"/>
    <n v="5081835169"/>
    <n v="5113307148"/>
    <m/>
    <s v="TIENE BL"/>
    <s v="SR2598155"/>
    <x v="0"/>
    <d v="2022-05-14T00:00:00"/>
    <m/>
    <m/>
    <m/>
    <m/>
    <m/>
    <m/>
    <m/>
    <m/>
    <d v="2022-05-14T00:00:00"/>
    <x v="5"/>
  </r>
  <r>
    <s v="David Martinez Jaramillo"/>
    <d v="2022-05-17T00:00:00"/>
    <d v="2022-05-18T00:00:00"/>
    <n v="20"/>
    <s v="NC34"/>
    <x v="0"/>
    <n v="32603.5"/>
    <x v="329"/>
    <n v="-39776.269999978649"/>
    <n v="0"/>
    <n v="4502328211"/>
    <n v="5081835169"/>
    <n v="5113307150"/>
    <m/>
    <m/>
    <m/>
    <x v="0"/>
    <d v="2022-05-14T00:00:00"/>
    <m/>
    <m/>
    <m/>
    <m/>
    <m/>
    <m/>
    <m/>
    <m/>
    <d v="2022-05-14T00:00:00"/>
    <x v="5"/>
  </r>
  <r>
    <s v="Alexander Bautista Perez"/>
    <d v="2022-05-16T00:00:00"/>
    <d v="2022-05-19T00:00:00"/>
    <n v="20"/>
    <s v="FACE-339"/>
    <x v="1"/>
    <n v="13434.5"/>
    <x v="278"/>
    <n v="123597400"/>
    <n v="30"/>
    <n v="4502328206"/>
    <n v="5081899452"/>
    <n v="5113310678"/>
    <m/>
    <s v="CON RETEN"/>
    <m/>
    <x v="0"/>
    <d v="2022-05-13T00:00:00"/>
    <m/>
    <m/>
    <m/>
    <m/>
    <m/>
    <m/>
    <m/>
    <m/>
    <d v="2022-05-13T00:00:00"/>
    <x v="5"/>
  </r>
  <r>
    <s v="Alexander Bautista Perez"/>
    <d v="2022-05-16T00:00:00"/>
    <d v="2022-05-19T00:00:00"/>
    <n v="20"/>
    <s v="NC235"/>
    <x v="1"/>
    <n v="13434.5"/>
    <x v="330"/>
    <n v="-1724183.7300000018"/>
    <n v="0"/>
    <n v="4502328206"/>
    <n v="5081899452"/>
    <n v="5113310679"/>
    <m/>
    <m/>
    <m/>
    <x v="0"/>
    <d v="2022-05-13T00:00:00"/>
    <m/>
    <m/>
    <m/>
    <m/>
    <m/>
    <m/>
    <m/>
    <m/>
    <d v="2022-05-13T00:00:00"/>
    <x v="5"/>
  </r>
  <r>
    <s v="Alexander Bautista Perez"/>
    <d v="2022-05-16T00:00:00"/>
    <d v="2022-05-19T00:00:00"/>
    <n v="20"/>
    <s v="FACE-337"/>
    <x v="2"/>
    <n v="11630.5"/>
    <x v="320"/>
    <n v="111652800"/>
    <n v="29"/>
    <n v="4502328212"/>
    <n v="5081817584"/>
    <n v="5113310681"/>
    <m/>
    <s v="CON RETEN"/>
    <m/>
    <x v="0"/>
    <d v="2022-05-14T00:00:00"/>
    <m/>
    <m/>
    <m/>
    <m/>
    <m/>
    <m/>
    <m/>
    <m/>
    <d v="2022-05-14T00:00:00"/>
    <x v="5"/>
  </r>
  <r>
    <s v="Alexander Bautista Perez"/>
    <d v="2022-05-16T00:00:00"/>
    <d v="2022-05-19T00:00:00"/>
    <n v="20"/>
    <s v="DF29"/>
    <x v="2"/>
    <n v="59767.5"/>
    <x v="331"/>
    <n v="1173833.7"/>
    <n v="0"/>
    <n v="4502328212"/>
    <n v="5081817584"/>
    <n v="5113310683"/>
    <m/>
    <s v="CON RETEN"/>
    <m/>
    <x v="0"/>
    <d v="2022-05-14T00:00:00"/>
    <m/>
    <m/>
    <m/>
    <m/>
    <m/>
    <m/>
    <m/>
    <m/>
    <d v="2022-05-14T00:00:00"/>
    <x v="5"/>
  </r>
  <r>
    <s v="Sociedad Comercializadora Ganadera"/>
    <d v="2022-05-18T00:00:00"/>
    <d v="2022-05-18T00:00:00"/>
    <n v="20"/>
    <s v="FEDV312"/>
    <x v="2"/>
    <n v="33308.5"/>
    <x v="320"/>
    <n v="319761600"/>
    <n v="77"/>
    <n v="4502328213"/>
    <n v="5081835171"/>
    <n v="5113333806"/>
    <m/>
    <s v="TIENE BL"/>
    <s v="Duberney "/>
    <x v="0"/>
    <d v="2022-05-14T00:00:00"/>
    <m/>
    <m/>
    <m/>
    <m/>
    <m/>
    <m/>
    <m/>
    <m/>
    <d v="2022-05-14T00:00:00"/>
    <x v="5"/>
  </r>
  <r>
    <s v="Sociedad Comercializadora Ganadera"/>
    <d v="2022-05-19T00:00:00"/>
    <d v="2022-05-19T00:00:00"/>
    <n v="20"/>
    <s v="NC147"/>
    <x v="2"/>
    <n v="33308.5"/>
    <x v="332"/>
    <n v="-772424.11500001699"/>
    <n v="0"/>
    <n v="4502328213"/>
    <n v="5081835171"/>
    <n v="5113333928"/>
    <m/>
    <m/>
    <m/>
    <x v="0"/>
    <d v="2022-05-14T00:00:00"/>
    <m/>
    <m/>
    <m/>
    <m/>
    <m/>
    <m/>
    <m/>
    <m/>
    <d v="2022-05-14T00:00:00"/>
    <x v="5"/>
  </r>
  <r>
    <s v="Sociedad Comercializadora Ganadera"/>
    <d v="2022-05-18T00:00:00"/>
    <d v="2022-05-18T00:00:00"/>
    <n v="20"/>
    <s v="FEDV311"/>
    <x v="2"/>
    <n v="20965"/>
    <x v="320"/>
    <n v="201264000"/>
    <n v="45"/>
    <n v="4502328213"/>
    <n v="5081835171"/>
    <n v="5113333929"/>
    <m/>
    <s v="TIENE BL"/>
    <s v="Duberney "/>
    <x v="0"/>
    <d v="2022-05-14T00:00:00"/>
    <m/>
    <m/>
    <m/>
    <m/>
    <m/>
    <m/>
    <m/>
    <m/>
    <d v="2022-05-14T00:00:00"/>
    <x v="5"/>
  </r>
  <r>
    <s v="Sociedad Comercializadora Ganadera"/>
    <d v="2022-05-18T00:00:00"/>
    <d v="2022-05-18T00:00:00"/>
    <n v="20"/>
    <s v="FEDV311"/>
    <x v="2"/>
    <n v="6381.5"/>
    <x v="320"/>
    <n v="61262400"/>
    <n v="15"/>
    <n v="4502330686"/>
    <n v="5081835171"/>
    <n v="5113333929"/>
    <m/>
    <s v="TIENE BL"/>
    <m/>
    <x v="0"/>
    <d v="2022-05-14T00:00:00"/>
    <m/>
    <m/>
    <m/>
    <m/>
    <m/>
    <m/>
    <m/>
    <m/>
    <d v="2022-05-14T00:00:00"/>
    <x v="5"/>
  </r>
  <r>
    <s v="Sociedad Comercializadora Ganadera"/>
    <d v="2022-05-19T00:00:00"/>
    <d v="2022-05-19T00:00:00"/>
    <n v="20"/>
    <s v="NC146"/>
    <x v="2"/>
    <n v="27346.5"/>
    <x v="333"/>
    <n v="-153413.86500001591"/>
    <n v="0"/>
    <n v="4502328213"/>
    <n v="5081835171"/>
    <n v="5113333930"/>
    <m/>
    <m/>
    <m/>
    <x v="0"/>
    <d v="2022-05-14T00:00:00"/>
    <m/>
    <m/>
    <m/>
    <m/>
    <m/>
    <m/>
    <m/>
    <m/>
    <d v="2022-05-14T00:00:00"/>
    <x v="5"/>
  </r>
  <r>
    <s v="Tanagro S.A.S Zomac"/>
    <d v="2022-05-15T00:00:00"/>
    <d v="2022-05-20T00:00:00"/>
    <n v="20"/>
    <s v="Z104"/>
    <x v="0"/>
    <n v="14075"/>
    <x v="273"/>
    <n v="128082500"/>
    <n v="30"/>
    <n v="4502328214"/>
    <n v="5081849434"/>
    <n v="5113312894"/>
    <m/>
    <s v="CON RETEN"/>
    <m/>
    <x v="0"/>
    <d v="2022-05-15T00:00:00"/>
    <m/>
    <m/>
    <m/>
    <m/>
    <m/>
    <m/>
    <m/>
    <m/>
    <d v="2022-05-15T00:00:00"/>
    <x v="5"/>
  </r>
  <r>
    <s v="Inversiones y Negocios V&amp;V S.A.S"/>
    <d v="2022-05-17T00:00:00"/>
    <d v="2022-05-17T00:00:00"/>
    <n v="20"/>
    <s v="FE-1647"/>
    <x v="1"/>
    <n v="18879.5"/>
    <x v="282"/>
    <n v="179355250"/>
    <n v="42"/>
    <n v="4502328215"/>
    <n v="5081849435"/>
    <n v="5113320902"/>
    <m/>
    <s v="CON RETEN"/>
    <s v="Se envia al correo de recepcion "/>
    <x v="0"/>
    <d v="2022-05-15T00:00:00"/>
    <m/>
    <m/>
    <m/>
    <m/>
    <m/>
    <m/>
    <m/>
    <m/>
    <d v="2022-05-15T00:00:00"/>
    <x v="5"/>
  </r>
  <r>
    <s v="Rodolfo De Jesus Jaramillo Calle"/>
    <d v="2022-05-15T00:00:00"/>
    <d v="2022-05-18T00:00:00"/>
    <n v="20"/>
    <s v="FE-94"/>
    <x v="1"/>
    <n v="7460"/>
    <x v="282"/>
    <n v="70870000"/>
    <n v="15"/>
    <n v="4502328216"/>
    <n v="5081849436"/>
    <n v="5113307417"/>
    <m/>
    <s v="TIENE BL"/>
    <m/>
    <x v="0"/>
    <d v="2022-05-15T00:00:00"/>
    <m/>
    <m/>
    <m/>
    <m/>
    <m/>
    <m/>
    <m/>
    <m/>
    <d v="2022-05-15T00:00:00"/>
    <x v="5"/>
  </r>
  <r>
    <s v="David Martinez Jaramillo"/>
    <d v="2022-05-17T00:00:00"/>
    <d v="2022-05-18T00:00:00"/>
    <n v="20"/>
    <s v="DM188"/>
    <x v="2"/>
    <n v="29289"/>
    <x v="320"/>
    <n v="281174400"/>
    <n v="61"/>
    <n v="4502328217"/>
    <n v="5081835169"/>
    <n v="5113307152"/>
    <m/>
    <s v="TIENE BL"/>
    <s v="SR2598155"/>
    <x v="0"/>
    <d v="2022-05-15T00:00:00"/>
    <m/>
    <m/>
    <m/>
    <m/>
    <m/>
    <m/>
    <m/>
    <m/>
    <d v="2022-05-15T00:00:00"/>
    <x v="5"/>
  </r>
  <r>
    <s v="David Martinez Jaramillo"/>
    <d v="2022-05-17T00:00:00"/>
    <d v="2022-05-18T00:00:00"/>
    <n v="20"/>
    <s v="NC33"/>
    <x v="2"/>
    <n v="29289"/>
    <x v="334"/>
    <n v="-452515.05000002129"/>
    <n v="0"/>
    <n v="4502328217"/>
    <n v="5081835169"/>
    <n v="5113307155"/>
    <m/>
    <m/>
    <m/>
    <x v="0"/>
    <d v="2022-05-15T00:00:00"/>
    <m/>
    <m/>
    <m/>
    <m/>
    <m/>
    <m/>
    <m/>
    <m/>
    <d v="2022-05-15T00:00:00"/>
    <x v="5"/>
  </r>
  <r>
    <s v="Miguel Antonio Carrascal Pacheco"/>
    <d v="2022-05-15T00:00:00"/>
    <m/>
    <n v="20"/>
    <s v="FAMC-2"/>
    <x v="2"/>
    <n v="13759"/>
    <x v="319"/>
    <n v="125894850"/>
    <n v="29"/>
    <n v="4502328218"/>
    <n v="5081849543"/>
    <n v="5113323200"/>
    <m/>
    <s v="TIENE BL"/>
    <m/>
    <x v="0"/>
    <d v="2022-05-15T00:00:00"/>
    <m/>
    <m/>
    <m/>
    <m/>
    <m/>
    <m/>
    <m/>
    <m/>
    <d v="2022-05-15T00:00:00"/>
    <x v="5"/>
  </r>
  <r>
    <s v="Luis Fernando Rojas Prada"/>
    <d v="2022-05-16T00:00:00"/>
    <d v="2022-05-17T00:00:00"/>
    <n v="20"/>
    <s v="FELC-892"/>
    <x v="4"/>
    <n v="86267"/>
    <x v="213"/>
    <n v="733269500"/>
    <n v="169"/>
    <n v="4502330763"/>
    <n v="5081838993"/>
    <n v="5113304207"/>
    <s v="TIENE BL"/>
    <s v="EJ*12 2878500*8 2988600*2 2878500*2"/>
    <s v="TIENE BL"/>
    <x v="6"/>
    <d v="2022-05-15T00:00:00"/>
    <n v="4502330763"/>
    <n v="34762200"/>
    <s v="FEMD-4126*2"/>
    <n v="5113309443"/>
    <s v="FEMD-4125*2"/>
    <n v="5113309445"/>
    <s v=" FEMD-4124*8"/>
    <n v="5113309446"/>
    <d v="2022-05-15T00:00:00"/>
    <x v="5"/>
  </r>
  <r>
    <s v="JERAL S.A.S"/>
    <d v="2022-05-17T00:00:00"/>
    <d v="2022-05-17T00:00:00"/>
    <n v="20"/>
    <s v="JFEV-57"/>
    <x v="4"/>
    <n v="29724"/>
    <x v="207"/>
    <n v="246709200"/>
    <n v="60"/>
    <n v="4502330756"/>
    <n v="5081838717"/>
    <n v="5113304095"/>
    <s v="CON RETEN"/>
    <s v="EJ*4 3252980*4"/>
    <s v="CON RETEN"/>
    <x v="6"/>
    <d v="2022-05-15T00:00:00"/>
    <n v="4502330756"/>
    <n v="13011920"/>
    <s v="FEMD-4127*4"/>
    <n v="5113307709"/>
    <m/>
    <m/>
    <m/>
    <m/>
    <d v="2022-05-15T00:00:00"/>
    <x v="5"/>
  </r>
  <r>
    <s v="Lina Maria Pelaez Gomez"/>
    <d v="2022-05-17T00:00:00"/>
    <d v="2022-05-19T00:00:00"/>
    <n v="20"/>
    <s v="LP90"/>
    <x v="1"/>
    <n v="27086.5"/>
    <x v="320"/>
    <n v="260030400"/>
    <n v="60"/>
    <n v="4502328219"/>
    <n v="5081918071"/>
    <n v="5113312892"/>
    <m/>
    <s v="TIENE BL"/>
    <m/>
    <x v="0"/>
    <d v="2022-05-16T00:00:00"/>
    <m/>
    <m/>
    <m/>
    <m/>
    <m/>
    <m/>
    <m/>
    <m/>
    <d v="2022-05-16T00:00:00"/>
    <x v="5"/>
  </r>
  <r>
    <s v="Lina Maria Pelaez Gomez"/>
    <d v="2022-05-19T00:00:00"/>
    <d v="2022-05-19T00:00:00"/>
    <n v="20"/>
    <s v="NC68"/>
    <x v="1"/>
    <n v="27086.5"/>
    <x v="335"/>
    <n v="-39817.15499998226"/>
    <n v="0"/>
    <n v="4502328219"/>
    <n v="5081918071"/>
    <n v="5113312893"/>
    <m/>
    <m/>
    <m/>
    <x v="0"/>
    <d v="2022-05-16T00:00:00"/>
    <m/>
    <m/>
    <m/>
    <m/>
    <m/>
    <m/>
    <m/>
    <m/>
    <d v="2022-05-16T00:00:00"/>
    <x v="5"/>
  </r>
  <r>
    <s v="Soc.Ganadera Suprema De Oriente S.A.S"/>
    <d v="2022-05-19T00:00:00"/>
    <d v="2022-05-19T00:00:00"/>
    <n v="20"/>
    <s v="FVE507"/>
    <x v="4"/>
    <n v="20049"/>
    <x v="213"/>
    <n v="170416500"/>
    <n v="42"/>
    <n v="4502333729"/>
    <n v="5081898597"/>
    <n v="5113312143"/>
    <m/>
    <s v="EJ*3 2792400*3"/>
    <s v="CON RETEN"/>
    <x v="6"/>
    <d v="2022-05-16T00:00:00"/>
    <n v="4502333729"/>
    <n v="8377200"/>
    <s v="FEMD-4131*3"/>
    <n v="5113312046"/>
    <m/>
    <m/>
    <m/>
    <m/>
    <d v="2022-05-16T00:00:00"/>
    <x v="5"/>
  </r>
  <r>
    <s v="Alexander Bautista Perez"/>
    <d v="2022-05-16T00:00:00"/>
    <d v="2022-05-20T00:00:00"/>
    <n v="20"/>
    <s v="FACE-340"/>
    <x v="4"/>
    <n v="13854"/>
    <x v="336"/>
    <n v="129870000"/>
    <n v="30"/>
    <n v="4502334105"/>
    <n v="5081904471"/>
    <n v="5113311981"/>
    <m/>
    <s v="CON RETEN"/>
    <m/>
    <x v="6"/>
    <d v="2022-05-16T00:00:00"/>
    <m/>
    <m/>
    <m/>
    <m/>
    <m/>
    <m/>
    <m/>
    <m/>
    <d v="2022-05-16T00:00:00"/>
    <x v="5"/>
  </r>
  <r>
    <s v="Sociedad Comercializadora Ganadera"/>
    <d v="2022-05-19T00:00:00"/>
    <d v="2022-05-19T00:00:00"/>
    <n v="20"/>
    <s v="FEDV313"/>
    <x v="4"/>
    <n v="55143"/>
    <x v="337"/>
    <n v="540245345.31000006"/>
    <n v="120"/>
    <n v="4502334133"/>
    <n v="5081904477"/>
    <n v="5113325223"/>
    <m/>
    <s v="TIENE BL"/>
    <m/>
    <x v="6"/>
    <d v="2022-05-16T00:00:00"/>
    <m/>
    <m/>
    <m/>
    <m/>
    <m/>
    <m/>
    <m/>
    <m/>
    <d v="2022-05-16T00:00:00"/>
    <x v="5"/>
  </r>
  <r>
    <s v="ICL Rio Grande S.A.S"/>
    <d v="2022-05-17T00:00:00"/>
    <m/>
    <n v="20"/>
    <s v="ICL-54"/>
    <x v="0"/>
    <n v="58262"/>
    <x v="273"/>
    <n v="530184200"/>
    <n v="140"/>
    <n v="4502332698"/>
    <n v="5081878635"/>
    <n v="5113322182"/>
    <m/>
    <s v="NUMA*10 787200*10"/>
    <m/>
    <x v="0"/>
    <d v="2022-05-17T00:00:00"/>
    <n v="4502332698"/>
    <n v="7872000"/>
    <s v="MOVI-1464*10"/>
    <n v="5113309437"/>
    <m/>
    <m/>
    <m/>
    <m/>
    <d v="2022-05-17T00:00:00"/>
    <x v="5"/>
  </r>
  <r>
    <s v="Lina Maria Pelaez Gomez"/>
    <d v="2022-05-18T00:00:00"/>
    <d v="2022-05-20T00:00:00"/>
    <n v="20"/>
    <s v="LP91"/>
    <x v="1"/>
    <n v="6248"/>
    <x v="320"/>
    <n v="59980800"/>
    <n v="14"/>
    <n v="4502328220"/>
    <n v="5081883883"/>
    <n v="5113316909"/>
    <m/>
    <s v="TIENE BL"/>
    <m/>
    <x v="0"/>
    <d v="2022-05-17T00:00:00"/>
    <m/>
    <m/>
    <m/>
    <m/>
    <m/>
    <m/>
    <m/>
    <m/>
    <d v="2022-05-17T00:00:00"/>
    <x v="5"/>
  </r>
  <r>
    <s v="Lina Maria Pelaez Gomez"/>
    <d v="2022-05-20T00:00:00"/>
    <d v="2022-05-20T00:00:00"/>
    <n v="20"/>
    <s v="NC69"/>
    <x v="1"/>
    <n v="6248"/>
    <x v="338"/>
    <n v="-428862.71999999636"/>
    <n v="0"/>
    <n v="4502328220"/>
    <n v="5081883883"/>
    <n v="5113316910"/>
    <m/>
    <m/>
    <m/>
    <x v="0"/>
    <d v="2022-05-17T00:00:00"/>
    <m/>
    <m/>
    <m/>
    <m/>
    <m/>
    <m/>
    <m/>
    <m/>
    <d v="2022-05-17T00:00:00"/>
    <x v="5"/>
  </r>
  <r>
    <s v="David Martinez Jaramillo"/>
    <d v="2022-05-19T00:00:00"/>
    <d v="2022-05-20T00:00:00"/>
    <n v="20"/>
    <s v="DM192"/>
    <x v="1"/>
    <n v="7060.5"/>
    <x v="320"/>
    <n v="67780800"/>
    <n v="14"/>
    <n v="4502328221"/>
    <n v="5081883885"/>
    <n v="5113316907"/>
    <m/>
    <s v="TIENE BL"/>
    <m/>
    <x v="0"/>
    <d v="2022-05-17T00:00:00"/>
    <m/>
    <m/>
    <m/>
    <m/>
    <m/>
    <m/>
    <m/>
    <m/>
    <d v="2022-05-17T00:00:00"/>
    <x v="5"/>
  </r>
  <r>
    <s v="David Martinez Jaramillo"/>
    <d v="2022-05-20T00:00:00"/>
    <d v="2022-05-20T00:00:00"/>
    <n v="20"/>
    <s v="NC36"/>
    <x v="1"/>
    <n v="7060.5"/>
    <x v="11"/>
    <n v="-1059075"/>
    <n v="0"/>
    <n v="4502328221"/>
    <n v="5081883885"/>
    <n v="5113316908"/>
    <m/>
    <m/>
    <m/>
    <x v="0"/>
    <d v="2022-05-17T00:00:00"/>
    <m/>
    <m/>
    <m/>
    <m/>
    <m/>
    <m/>
    <m/>
    <m/>
    <d v="2022-05-17T00:00:00"/>
    <x v="5"/>
  </r>
  <r>
    <s v="La Ceiba S.A"/>
    <d v="2022-05-20T00:00:00"/>
    <m/>
    <n v="20"/>
    <s v="FE-1823"/>
    <x v="1"/>
    <n v="12695.5"/>
    <x v="278"/>
    <n v="116798600"/>
    <n v="28"/>
    <n v="4502328222"/>
    <n v="5081883938"/>
    <n v="5113315839"/>
    <m/>
    <s v="CON RETEN"/>
    <m/>
    <x v="0"/>
    <d v="2022-05-17T00:00:00"/>
    <m/>
    <m/>
    <m/>
    <m/>
    <m/>
    <m/>
    <m/>
    <m/>
    <d v="2022-05-17T00:00:00"/>
    <x v="5"/>
  </r>
  <r>
    <s v="La Ceiba S.A"/>
    <d v="2022-05-20T00:00:00"/>
    <m/>
    <n v="20"/>
    <s v="NC10030"/>
    <x v="1"/>
    <n v="12695.5"/>
    <x v="339"/>
    <n v="-76426.910000005548"/>
    <n v="0"/>
    <n v="4502328222"/>
    <n v="5081883938"/>
    <n v="5113315840"/>
    <m/>
    <m/>
    <m/>
    <x v="0"/>
    <d v="2022-05-17T00:00:00"/>
    <m/>
    <m/>
    <m/>
    <m/>
    <m/>
    <m/>
    <m/>
    <m/>
    <d v="2022-05-17T00:00:00"/>
    <x v="5"/>
  </r>
  <r>
    <s v="Agropecuaria Tabaida S.A.S"/>
    <d v="2022-05-17T00:00:00"/>
    <d v="2022-05-20T00:00:00"/>
    <n v="20"/>
    <s v="MT-1393"/>
    <x v="2"/>
    <n v="40556"/>
    <x v="340"/>
    <n v="375143000"/>
    <n v="84"/>
    <n v="4502334924"/>
    <n v="5081920659"/>
    <n v="5113315841"/>
    <s v="TIENE BL"/>
    <m/>
    <m/>
    <x v="1"/>
    <d v="2022-05-17T00:00:00"/>
    <m/>
    <m/>
    <m/>
    <m/>
    <m/>
    <m/>
    <m/>
    <m/>
    <d v="2022-05-17T00:00:00"/>
    <x v="5"/>
  </r>
  <r>
    <s v="Surtidora Agropecuaria De Colombia"/>
    <d v="2022-05-17T00:00:00"/>
    <d v="2022-05-20T00:00:00"/>
    <n v="20"/>
    <s v="FESA-37"/>
    <x v="2"/>
    <n v="27267"/>
    <x v="278"/>
    <n v="250856400"/>
    <n v="56"/>
    <n v="4502334916"/>
    <n v="5081920663"/>
    <n v="5113318518"/>
    <s v="TIENE BL "/>
    <s v="EJ*4 744800*1 624200*2 789800*1"/>
    <m/>
    <x v="1"/>
    <d v="2022-05-17T00:00:00"/>
    <n v="4502334916"/>
    <n v="2783000"/>
    <s v="FEMD-4138*1 y FEMD-4139*1"/>
    <s v="5113313749 y 5113313751"/>
    <s v="FEMD-4136*1"/>
    <n v="5113313753"/>
    <s v="FEMD-4137*1"/>
    <n v="5113313756"/>
    <d v="2022-05-17T00:00:00"/>
    <x v="5"/>
  </r>
  <r>
    <s v="Inversiones Valle Del Canalete S.A.S"/>
    <d v="2022-05-17T00:00:00"/>
    <d v="2022-05-20T00:00:00"/>
    <n v="20"/>
    <s v="IVC112"/>
    <x v="2"/>
    <n v="19400"/>
    <x v="340"/>
    <n v="179450000"/>
    <n v="42"/>
    <n v="4502334922"/>
    <n v="5081920567"/>
    <n v="5113313795"/>
    <m/>
    <s v="CON RETEN"/>
    <m/>
    <x v="1"/>
    <d v="2022-05-17T00:00:00"/>
    <m/>
    <m/>
    <m/>
    <m/>
    <m/>
    <m/>
    <m/>
    <m/>
    <d v="2022-05-17T00:00:00"/>
    <x v="5"/>
  </r>
  <r>
    <s v="Agropastoril De Colombia S.A.S."/>
    <d v="2022-05-17T00:00:00"/>
    <m/>
    <n v="20"/>
    <s v="AP-75"/>
    <x v="2"/>
    <n v="20056"/>
    <x v="340"/>
    <n v="185518000"/>
    <n v="42"/>
    <n v="4502334928"/>
    <n v="5081920665"/>
    <n v="5113315843"/>
    <m/>
    <s v="CON RETEN"/>
    <m/>
    <x v="1"/>
    <d v="2022-05-17T00:00:00"/>
    <m/>
    <m/>
    <m/>
    <m/>
    <m/>
    <m/>
    <m/>
    <m/>
    <d v="2022-05-17T00:00:00"/>
    <x v="5"/>
  </r>
  <r>
    <s v="31416 S.A.S"/>
    <d v="2022-05-17T00:00:00"/>
    <m/>
    <n v="20"/>
    <s v="PI-152"/>
    <x v="2"/>
    <n v="15582"/>
    <x v="340"/>
    <n v="144133500"/>
    <n v="30"/>
    <n v="4502334930"/>
    <n v="5081920809"/>
    <n v="5113315844"/>
    <m/>
    <s v="CON RETEN"/>
    <m/>
    <x v="1"/>
    <d v="2022-05-17T00:00:00"/>
    <m/>
    <m/>
    <m/>
    <m/>
    <m/>
    <m/>
    <m/>
    <m/>
    <d v="2022-05-17T00:00:00"/>
    <x v="5"/>
  </r>
  <r>
    <s v="Manzur Aldana y CIA S. En C."/>
    <d v="2022-05-20T00:00:00"/>
    <m/>
    <n v="20"/>
    <s v="MAFE-36"/>
    <x v="2"/>
    <n v="7304"/>
    <x v="278"/>
    <n v="67196800"/>
    <n v="14"/>
    <n v="4502334932"/>
    <n v="5081920813"/>
    <n v="5113313885"/>
    <m/>
    <m/>
    <m/>
    <x v="1"/>
    <d v="2022-05-17T00:00:00"/>
    <m/>
    <m/>
    <m/>
    <m/>
    <m/>
    <m/>
    <m/>
    <m/>
    <d v="2022-05-17T00:00:00"/>
    <x v="5"/>
  </r>
  <r>
    <s v="Mauricio De Jesús Bernal Jaramillo"/>
    <d v="2022-05-24T00:00:00"/>
    <d v="2022-05-24T00:00:00"/>
    <n v="20"/>
    <s v="FE-182"/>
    <x v="2"/>
    <n v="13048"/>
    <x v="341"/>
    <n v="119924400"/>
    <n v="30"/>
    <n v="4502334935"/>
    <n v="5081920815"/>
    <n v="5113323197"/>
    <m/>
    <s v="CON RETEN"/>
    <s v="SR2617009"/>
    <x v="1"/>
    <d v="2022-05-17T00:00:00"/>
    <m/>
    <m/>
    <m/>
    <m/>
    <m/>
    <m/>
    <m/>
    <m/>
    <d v="2022-05-17T00:00:00"/>
    <x v="5"/>
  </r>
  <r>
    <s v="David Martinez Jaramillo"/>
    <d v="2022-05-20T00:00:00"/>
    <d v="2022-05-23T00:00:00"/>
    <n v="21"/>
    <s v="DM193"/>
    <x v="0"/>
    <n v="72412"/>
    <x v="328"/>
    <n v="702396400"/>
    <n v="149"/>
    <n v="4502333193"/>
    <n v="5081945159"/>
    <n v="5113322133"/>
    <m/>
    <s v="TIENE BL"/>
    <s v="David WA"/>
    <x v="0"/>
    <d v="2022-05-19T00:00:00"/>
    <m/>
    <m/>
    <m/>
    <m/>
    <m/>
    <m/>
    <m/>
    <m/>
    <d v="2022-05-19T00:00:00"/>
    <x v="5"/>
  </r>
  <r>
    <s v="David Martinez Jaramillo"/>
    <d v="2022-05-23T00:00:00"/>
    <d v="2022-05-23T00:00:00"/>
    <n v="21"/>
    <s v="NC37"/>
    <x v="0"/>
    <n v="72412"/>
    <x v="342"/>
    <n v="-4123139.280000037"/>
    <n v="0"/>
    <n v="4502333193"/>
    <n v="5081945159"/>
    <n v="5113322136"/>
    <m/>
    <m/>
    <m/>
    <x v="0"/>
    <d v="2022-05-19T00:00:00"/>
    <m/>
    <m/>
    <m/>
    <m/>
    <m/>
    <m/>
    <m/>
    <m/>
    <d v="2022-05-19T00:00:00"/>
    <x v="5"/>
  </r>
  <r>
    <s v="Lismenia Torcoroma Rincon Hernandez"/>
    <d v="2022-05-19T00:00:00"/>
    <d v="2022-05-23T00:00:00"/>
    <n v="21"/>
    <s v="GANA-198"/>
    <x v="0"/>
    <n v="28107.5"/>
    <x v="266"/>
    <n v="262805125"/>
    <n v="59"/>
    <n v="4502333194"/>
    <n v="5081944753"/>
    <n v="5113319747"/>
    <m/>
    <s v="CON RETEN "/>
    <m/>
    <x v="0"/>
    <d v="2022-05-19T00:00:00"/>
    <m/>
    <m/>
    <m/>
    <m/>
    <m/>
    <m/>
    <m/>
    <m/>
    <d v="2022-05-19T00:00:00"/>
    <x v="5"/>
  </r>
  <r>
    <s v="Sociedad Comercializadora Ganadera"/>
    <d v="2022-05-24T00:00:00"/>
    <d v="2022-05-24T00:00:00"/>
    <n v="21"/>
    <s v="FEDV314"/>
    <x v="0"/>
    <n v="21880.5"/>
    <x v="328"/>
    <n v="212240850"/>
    <n v="45"/>
    <n v="4502333195"/>
    <n v="5081945160"/>
    <n v="5113323083"/>
    <m/>
    <s v="TIENE BL"/>
    <s v="SR2617009"/>
    <x v="0"/>
    <d v="2022-05-19T00:00:00"/>
    <m/>
    <m/>
    <m/>
    <m/>
    <m/>
    <m/>
    <m/>
    <m/>
    <d v="2022-05-19T00:00:00"/>
    <x v="5"/>
  </r>
  <r>
    <s v="Sociedad Comercializadora Ganadera"/>
    <d v="2022-05-24T00:00:00"/>
    <d v="2022-05-24T00:00:00"/>
    <n v="21"/>
    <s v="FEDV328"/>
    <x v="0"/>
    <n v="7768.5"/>
    <x v="328"/>
    <n v="75354450"/>
    <n v="16"/>
    <n v="4502333195"/>
    <n v="5081945160"/>
    <n v="5113349720"/>
    <m/>
    <s v="TIENE BL"/>
    <s v="se anula la 315"/>
    <x v="0"/>
    <d v="2022-05-19T00:00:00"/>
    <m/>
    <m/>
    <m/>
    <m/>
    <m/>
    <m/>
    <m/>
    <m/>
    <d v="2022-05-19T00:00:00"/>
    <x v="5"/>
  </r>
  <r>
    <s v="Sociedad Comercializadora Ganadera"/>
    <d v="2022-05-24T00:00:00"/>
    <d v="2022-05-24T00:00:00"/>
    <n v="21"/>
    <s v="NC154"/>
    <x v="0"/>
    <n v="7768.5"/>
    <x v="11"/>
    <n v="-1165275"/>
    <n v="0"/>
    <n v="4502333195"/>
    <n v="5081945160"/>
    <n v="5113349722"/>
    <m/>
    <m/>
    <m/>
    <x v="0"/>
    <d v="2022-05-19T00:00:00"/>
    <m/>
    <m/>
    <m/>
    <m/>
    <m/>
    <m/>
    <m/>
    <m/>
    <d v="2022-05-19T00:00:00"/>
    <x v="5"/>
  </r>
  <r>
    <s v="Carnes La Italiana L S S A S"/>
    <d v="2022-05-25T00:00:00"/>
    <m/>
    <n v="21"/>
    <s v="FVE-3324"/>
    <x v="1"/>
    <n v="7917.5"/>
    <x v="340"/>
    <n v="73236875"/>
    <n v="14"/>
    <n v="4502333196"/>
    <n v="5081944754"/>
    <n v="5113332043"/>
    <m/>
    <s v="TIENE BL"/>
    <s v="SR2617009"/>
    <x v="0"/>
    <d v="2022-05-19T00:00:00"/>
    <m/>
    <m/>
    <m/>
    <m/>
    <m/>
    <m/>
    <m/>
    <m/>
    <d v="2022-05-19T00:00:00"/>
    <x v="5"/>
  </r>
  <r>
    <s v="Carnes La Italiana L S S A S"/>
    <d v="2022-05-25T00:00:00"/>
    <m/>
    <n v="21"/>
    <s v="ND51"/>
    <x v="1"/>
    <n v="7917.5"/>
    <x v="343"/>
    <n v="270224.27500000002"/>
    <n v="0"/>
    <n v="4502333196"/>
    <n v="5081944754"/>
    <n v="5113332046"/>
    <m/>
    <m/>
    <m/>
    <x v="0"/>
    <d v="2022-05-19T00:00:00"/>
    <m/>
    <m/>
    <m/>
    <m/>
    <m/>
    <m/>
    <m/>
    <m/>
    <d v="2022-05-19T00:00:00"/>
    <x v="5"/>
  </r>
  <r>
    <s v="Gonzalo Hoyos Pulido"/>
    <d v="2022-05-23T00:00:00"/>
    <m/>
    <n v="21"/>
    <s v="FELE-58"/>
    <x v="1"/>
    <n v="6247.5"/>
    <x v="282"/>
    <n v="59351250"/>
    <n v="14"/>
    <n v="4502333197"/>
    <n v="5081944755"/>
    <n v="5113319751"/>
    <m/>
    <s v="CON RETEN "/>
    <s v="SR2593126"/>
    <x v="0"/>
    <d v="2022-05-19T00:00:00"/>
    <m/>
    <m/>
    <m/>
    <m/>
    <m/>
    <m/>
    <m/>
    <m/>
    <d v="2022-05-19T00:00:00"/>
    <x v="5"/>
  </r>
  <r>
    <s v="Adrian Alberto Alvarez Henao"/>
    <d v="2022-05-23T00:00:00"/>
    <m/>
    <n v="21"/>
    <s v="AAAH-41"/>
    <x v="1"/>
    <n v="20358"/>
    <x v="282"/>
    <n v="193401000"/>
    <n v="44"/>
    <n v="4502333198"/>
    <n v="5081945161"/>
    <n v="5113323153"/>
    <m/>
    <s v="TIENE BL"/>
    <m/>
    <x v="0"/>
    <d v="2022-05-19T00:00:00"/>
    <m/>
    <m/>
    <m/>
    <m/>
    <m/>
    <m/>
    <m/>
    <m/>
    <d v="2022-05-19T00:00:00"/>
    <x v="5"/>
  </r>
  <r>
    <s v="Adrian Alberto Alvarez Henao"/>
    <d v="2022-05-23T00:00:00"/>
    <m/>
    <n v="21"/>
    <s v="AD17"/>
    <x v="1"/>
    <n v="20358"/>
    <x v="344"/>
    <n v="-1987958.6999999925"/>
    <n v="0"/>
    <n v="4502333198"/>
    <n v="5081945161"/>
    <n v="5113323156"/>
    <m/>
    <m/>
    <m/>
    <x v="0"/>
    <d v="2022-05-19T00:00:00"/>
    <m/>
    <m/>
    <m/>
    <m/>
    <m/>
    <m/>
    <m/>
    <m/>
    <d v="2022-05-19T00:00:00"/>
    <x v="5"/>
  </r>
  <r>
    <s v="Primavera del Magdalena S.A.S."/>
    <d v="2022-05-24T00:00:00"/>
    <m/>
    <n v="21"/>
    <s v="PRI-68"/>
    <x v="0"/>
    <n v="6754.5"/>
    <x v="278"/>
    <n v="62141400"/>
    <n v="14"/>
    <n v="4502333199"/>
    <n v="5081944756"/>
    <n v="5113327524"/>
    <m/>
    <s v="TIENE BL"/>
    <s v="SR2617009"/>
    <x v="0"/>
    <d v="2022-05-20T00:00:00"/>
    <m/>
    <m/>
    <m/>
    <m/>
    <m/>
    <m/>
    <m/>
    <m/>
    <d v="2022-05-20T00:00:00"/>
    <x v="5"/>
  </r>
  <r>
    <s v="David Martinez Jaramillo"/>
    <d v="2022-05-20T00:00:00"/>
    <d v="2022-05-23T00:00:00"/>
    <n v="21"/>
    <s v="DM194"/>
    <x v="1"/>
    <n v="33861.5"/>
    <x v="328"/>
    <n v="328456550"/>
    <n v="70"/>
    <n v="4502333200"/>
    <n v="5081944757"/>
    <n v="5113322160"/>
    <m/>
    <s v="TIENE BL"/>
    <m/>
    <x v="0"/>
    <d v="2022-05-20T00:00:00"/>
    <m/>
    <m/>
    <m/>
    <m/>
    <m/>
    <m/>
    <m/>
    <m/>
    <d v="2022-05-20T00:00:00"/>
    <x v="5"/>
  </r>
  <r>
    <s v="Adrian Alberto Alvarez Henao"/>
    <d v="2022-05-24T00:00:00"/>
    <d v="2022-05-25T00:00:00"/>
    <n v="21"/>
    <s v="AAAH-42"/>
    <x v="0"/>
    <n v="14541"/>
    <x v="282"/>
    <n v="138139500"/>
    <n v="30"/>
    <n v="4502333201"/>
    <n v="5081945162"/>
    <n v="5113325225"/>
    <m/>
    <s v="TIENE BL"/>
    <s v="SR2617009"/>
    <x v="0"/>
    <d v="2022-05-20T00:00:00"/>
    <m/>
    <m/>
    <m/>
    <m/>
    <m/>
    <m/>
    <m/>
    <m/>
    <d v="2022-05-20T00:00:00"/>
    <x v="5"/>
  </r>
  <r>
    <s v="Adrian Alberto Alvarez Henao"/>
    <d v="2022-05-24T00:00:00"/>
    <d v="2022-05-25T00:00:00"/>
    <n v="21"/>
    <s v="AD18"/>
    <x v="0"/>
    <n v="14541"/>
    <x v="345"/>
    <n v="-62090.070000006352"/>
    <n v="0"/>
    <n v="4502333201"/>
    <n v="5081945162"/>
    <n v="5113325226"/>
    <m/>
    <m/>
    <m/>
    <x v="0"/>
    <d v="2022-05-20T00:00:00"/>
    <m/>
    <m/>
    <m/>
    <m/>
    <m/>
    <m/>
    <m/>
    <m/>
    <d v="2022-05-20T00:00:00"/>
    <x v="5"/>
  </r>
  <r>
    <s v="Jorge Ignacio Sanchez Restrepo"/>
    <d v="2022-05-24T00:00:00"/>
    <d v="2022-05-24T00:00:00"/>
    <n v="21"/>
    <s v="FEJS-31"/>
    <x v="0"/>
    <n v="13950.5"/>
    <x v="320"/>
    <n v="133924800"/>
    <n v="30"/>
    <n v="4502333202"/>
    <n v="5081945163"/>
    <n v="5113320899"/>
    <m/>
    <s v="CON RETEN"/>
    <s v="SR2617009"/>
    <x v="0"/>
    <d v="2022-05-20T00:00:00"/>
    <m/>
    <m/>
    <m/>
    <m/>
    <m/>
    <m/>
    <m/>
    <m/>
    <d v="2022-05-20T00:00:00"/>
    <x v="5"/>
  </r>
  <r>
    <s v="Industria Ganadera Hato Cebu S.A."/>
    <d v="2022-05-24T00:00:00"/>
    <m/>
    <n v="21"/>
    <s v="FEHC297"/>
    <x v="0"/>
    <n v="13430.5"/>
    <x v="320"/>
    <n v="128932800"/>
    <n v="28"/>
    <n v="4502333203"/>
    <n v="5081944908"/>
    <n v="5113320898"/>
    <m/>
    <s v="CON RETEN"/>
    <s v="SR2617009"/>
    <x v="0"/>
    <d v="2022-05-20T00:00:00"/>
    <m/>
    <m/>
    <m/>
    <m/>
    <m/>
    <m/>
    <m/>
    <m/>
    <d v="2022-05-20T00:00:00"/>
    <x v="5"/>
  </r>
  <r>
    <s v="Sociedad Comercializadora Ganadera"/>
    <d v="2022-05-24T00:00:00"/>
    <d v="2022-05-24T00:00:00"/>
    <n v="21"/>
    <s v="FEDV316"/>
    <x v="2"/>
    <n v="20941.5"/>
    <x v="328"/>
    <n v="203132550"/>
    <n v="43"/>
    <n v="4502333204"/>
    <n v="5081944909"/>
    <n v="5113323085"/>
    <m/>
    <s v="TIENE BL"/>
    <s v="SR2617009"/>
    <x v="0"/>
    <d v="2022-05-20T00:00:00"/>
    <m/>
    <m/>
    <m/>
    <m/>
    <m/>
    <m/>
    <m/>
    <m/>
    <d v="2022-05-20T00:00:00"/>
    <x v="5"/>
  </r>
  <r>
    <s v="Sociedad Comercializadora Ganadera"/>
    <d v="2022-05-24T00:00:00"/>
    <d v="2022-05-24T00:00:00"/>
    <n v="21"/>
    <s v="NC149"/>
    <x v="2"/>
    <n v="20941.5"/>
    <x v="346"/>
    <n v="-1123511.4749999924"/>
    <n v="0"/>
    <n v="4502333204"/>
    <n v="5081944909"/>
    <n v="5113323127"/>
    <m/>
    <m/>
    <m/>
    <x v="0"/>
    <d v="2022-05-20T00:00:00"/>
    <m/>
    <m/>
    <m/>
    <m/>
    <m/>
    <m/>
    <m/>
    <m/>
    <d v="2022-05-20T00:00:00"/>
    <x v="5"/>
  </r>
  <r>
    <s v="Sociedad Comercializadora Ganadera"/>
    <d v="2022-05-24T00:00:00"/>
    <d v="2022-05-24T00:00:00"/>
    <n v="21"/>
    <s v="FEDV317"/>
    <x v="2"/>
    <n v="20072.5"/>
    <x v="328"/>
    <n v="194703250"/>
    <n v="45"/>
    <n v="4502333204"/>
    <n v="5081944909"/>
    <n v="5113323130"/>
    <m/>
    <s v="TIENE BL"/>
    <s v="SR2617009"/>
    <x v="0"/>
    <d v="2022-05-20T00:00:00"/>
    <m/>
    <m/>
    <m/>
    <m/>
    <m/>
    <m/>
    <m/>
    <m/>
    <d v="2022-05-20T00:00:00"/>
    <x v="5"/>
  </r>
  <r>
    <s v="Sociedad Comercializadora Ganadera"/>
    <d v="2022-05-24T00:00:00"/>
    <d v="2022-05-24T00:00:00"/>
    <n v="21"/>
    <s v="NC150"/>
    <x v="2"/>
    <n v="20072.5"/>
    <x v="347"/>
    <n v="-270978.75"/>
    <n v="0"/>
    <n v="4502333204"/>
    <n v="5081944909"/>
    <n v="5113323135"/>
    <m/>
    <m/>
    <m/>
    <x v="0"/>
    <d v="2022-05-20T00:00:00"/>
    <m/>
    <m/>
    <m/>
    <m/>
    <m/>
    <m/>
    <m/>
    <m/>
    <d v="2022-05-20T00:00:00"/>
    <x v="5"/>
  </r>
  <r>
    <s v="Fernando Arevalo Reyes"/>
    <d v="2022-05-20T00:00:00"/>
    <m/>
    <n v="21"/>
    <s v="FVE-150"/>
    <x v="2"/>
    <n v="30331"/>
    <x v="262"/>
    <n v="282078300"/>
    <n v="71"/>
    <n v="4502333205"/>
    <n v="5081944910"/>
    <n v="5113322163"/>
    <m/>
    <s v="TIENE BL"/>
    <m/>
    <x v="0"/>
    <d v="2022-05-20T00:00:00"/>
    <m/>
    <m/>
    <m/>
    <m/>
    <m/>
    <m/>
    <m/>
    <m/>
    <d v="2022-05-20T00:00:00"/>
    <x v="5"/>
  </r>
  <r>
    <s v="Fernando Arevalo Reyes"/>
    <d v="2022-05-20T00:00:00"/>
    <m/>
    <n v="21"/>
    <s v="NC40"/>
    <x v="2"/>
    <n v="30331"/>
    <x v="348"/>
    <n v="-1097678.8900000155"/>
    <n v="0"/>
    <n v="4502333205"/>
    <n v="5081944910"/>
    <n v="5113322165"/>
    <m/>
    <m/>
    <m/>
    <x v="0"/>
    <d v="2022-05-20T00:00:00"/>
    <m/>
    <m/>
    <m/>
    <m/>
    <m/>
    <m/>
    <m/>
    <m/>
    <d v="2022-05-20T00:00:00"/>
    <x v="5"/>
  </r>
  <r>
    <s v="Agropecuaria Tabaida S.A.S"/>
    <d v="2022-05-20T00:00:00"/>
    <d v="2022-05-24T00:00:00"/>
    <n v="21"/>
    <s v="MT-1396"/>
    <x v="0"/>
    <n v="40952"/>
    <x v="262"/>
    <n v="380853600"/>
    <n v="84"/>
    <n v="4502336387"/>
    <n v="5081963521"/>
    <n v="5113324035"/>
    <m/>
    <s v="TIENE BL"/>
    <m/>
    <x v="1"/>
    <d v="2022-05-20T00:00:00"/>
    <m/>
    <m/>
    <m/>
    <m/>
    <m/>
    <m/>
    <m/>
    <m/>
    <d v="2022-05-20T00:00:00"/>
    <x v="5"/>
  </r>
  <r>
    <s v="Surtidora Agropecuaria De Colombia"/>
    <d v="2022-05-20T00:00:00"/>
    <d v="2022-05-23T00:00:00"/>
    <n v="21"/>
    <s v="FESA-38"/>
    <x v="0"/>
    <n v="27727"/>
    <x v="340"/>
    <n v="256474750"/>
    <n v="56"/>
    <n v="4502336058"/>
    <n v="5081960039"/>
    <n v="5113323206"/>
    <s v="TIENE BL "/>
    <s v="EJ*4 624200*3 390800*1"/>
    <m/>
    <x v="1"/>
    <d v="2022-05-20T00:00:00"/>
    <n v="4502336058"/>
    <n v="2263400"/>
    <s v="FEMD-4235"/>
    <n v="5113320624"/>
    <s v="FEMD-4234"/>
    <n v="5113320621"/>
    <s v="FEMD-4233*2"/>
    <n v="5113320622"/>
    <d v="2022-05-20T00:00:00"/>
    <x v="5"/>
  </r>
  <r>
    <s v="Carlos Mario Duque Cadavid"/>
    <d v="2022-05-20T00:00:00"/>
    <m/>
    <n v="21"/>
    <s v="CD-109"/>
    <x v="0"/>
    <n v="18549"/>
    <x v="262"/>
    <n v="172505700"/>
    <n v="42"/>
    <n v="4502336381"/>
    <n v="5081963395"/>
    <n v="5113323319"/>
    <m/>
    <m/>
    <s v="CON RETEN"/>
    <x v="1"/>
    <d v="2022-05-20T00:00:00"/>
    <m/>
    <m/>
    <m/>
    <m/>
    <m/>
    <m/>
    <m/>
    <m/>
    <d v="2022-05-20T00:00:00"/>
    <x v="5"/>
  </r>
  <r>
    <s v="Inversiones Valle Del Canalete S.A.S"/>
    <d v="2022-05-20T00:00:00"/>
    <d v="2022-05-24T00:00:00"/>
    <n v="21"/>
    <s v="IVC113"/>
    <x v="0"/>
    <n v="26744.3"/>
    <x v="262"/>
    <n v="248721990"/>
    <n v="56"/>
    <n v="4502336375"/>
    <n v="5081963391"/>
    <n v="5113320904"/>
    <m/>
    <s v="CON RETEN"/>
    <m/>
    <x v="1"/>
    <d v="2022-05-20T00:00:00"/>
    <m/>
    <m/>
    <m/>
    <m/>
    <m/>
    <m/>
    <m/>
    <m/>
    <d v="2022-05-20T00:00:00"/>
    <x v="5"/>
  </r>
  <r>
    <s v="Plenty Investment S.A.S"/>
    <d v="2022-05-23T00:00:00"/>
    <m/>
    <n v="21"/>
    <s v="FE-43"/>
    <x v="0"/>
    <n v="14231"/>
    <x v="262"/>
    <n v="132348300"/>
    <n v="28"/>
    <n v="4502336371"/>
    <n v="5081963322"/>
    <n v="5113319882"/>
    <m/>
    <s v="CON RETEN "/>
    <m/>
    <x v="1"/>
    <d v="2022-05-20T00:00:00"/>
    <m/>
    <m/>
    <m/>
    <m/>
    <m/>
    <m/>
    <m/>
    <m/>
    <d v="2022-05-20T00:00:00"/>
    <x v="5"/>
  </r>
  <r>
    <s v="Sociedad Comercializadora Ganadera"/>
    <d v="2022-05-26T00:00:00"/>
    <d v="2022-05-26T00:00:00"/>
    <n v="21"/>
    <s v="FEDV319"/>
    <x v="0"/>
    <n v="68805.5"/>
    <x v="328"/>
    <n v="667413350"/>
    <n v="150"/>
    <n v="4502333206"/>
    <n v="5081944911"/>
    <n v="5113330058"/>
    <m/>
    <s v="TIENE BL"/>
    <s v="SR2617009"/>
    <x v="0"/>
    <d v="2022-05-21T00:00:00"/>
    <m/>
    <m/>
    <m/>
    <m/>
    <m/>
    <m/>
    <m/>
    <m/>
    <d v="2022-05-21T00:00:00"/>
    <x v="5"/>
  </r>
  <r>
    <s v="Sociedad Comercializadora Ganadera"/>
    <d v="2022-05-26T00:00:00"/>
    <d v="2022-05-26T00:00:00"/>
    <n v="21"/>
    <s v="NC151"/>
    <x v="0"/>
    <n v="68805.5"/>
    <x v="13"/>
    <n v="-3440275"/>
    <n v="0"/>
    <n v="4502333206"/>
    <n v="5081944911"/>
    <n v="5113330059"/>
    <m/>
    <m/>
    <m/>
    <x v="0"/>
    <d v="2022-05-21T00:00:00"/>
    <m/>
    <m/>
    <m/>
    <m/>
    <m/>
    <m/>
    <m/>
    <m/>
    <d v="2022-05-21T00:00:00"/>
    <x v="5"/>
  </r>
  <r>
    <s v="Tanagro S.A.S Zomac"/>
    <d v="2022-05-25T00:00:00"/>
    <d v="2022-05-25T00:00:00"/>
    <n v="21"/>
    <s v="Z105"/>
    <x v="0"/>
    <n v="13910"/>
    <x v="319"/>
    <n v="127276500"/>
    <n v="30"/>
    <n v="4502333207"/>
    <n v="5081944912"/>
    <n v="5113324477"/>
    <m/>
    <s v="CON RETEN"/>
    <m/>
    <x v="0"/>
    <d v="2022-05-21T00:00:00"/>
    <m/>
    <m/>
    <m/>
    <m/>
    <m/>
    <m/>
    <m/>
    <m/>
    <d v="2022-05-21T00:00:00"/>
    <x v="5"/>
  </r>
  <r>
    <s v="Tanagro S.A.S Zomac"/>
    <d v="2022-05-25T00:00:00"/>
    <d v="2022-05-25T00:00:00"/>
    <n v="21"/>
    <s v="NCR85"/>
    <x v="0"/>
    <n v="13910"/>
    <x v="2"/>
    <n v="-1391000"/>
    <n v="0"/>
    <n v="4502333207"/>
    <n v="5081944912"/>
    <n v="5113324478"/>
    <m/>
    <m/>
    <m/>
    <x v="0"/>
    <d v="2022-05-21T00:00:00"/>
    <m/>
    <m/>
    <m/>
    <m/>
    <m/>
    <m/>
    <m/>
    <m/>
    <d v="2022-05-21T00:00:00"/>
    <x v="5"/>
  </r>
  <r>
    <s v="Jaime Angel Botero"/>
    <d v="2022-05-21T00:00:00"/>
    <d v="2022-05-24T00:00:00"/>
    <n v="21"/>
    <s v="JAB-24"/>
    <x v="0"/>
    <n v="6477.5"/>
    <x v="319"/>
    <n v="59269125"/>
    <n v="15"/>
    <n v="4502333208"/>
    <n v="5081944913"/>
    <n v="5113323480"/>
    <m/>
    <s v="CON RETEN"/>
    <m/>
    <x v="0"/>
    <d v="2022-05-21T00:00:00"/>
    <m/>
    <m/>
    <m/>
    <m/>
    <m/>
    <m/>
    <m/>
    <m/>
    <d v="2022-05-21T00:00:00"/>
    <x v="5"/>
  </r>
  <r>
    <s v="Alexander Bautista Perez"/>
    <d v="2022-05-21T00:00:00"/>
    <d v="2022-05-24T00:00:00"/>
    <n v="21"/>
    <s v="FACE-344"/>
    <x v="1"/>
    <n v="15548"/>
    <x v="265"/>
    <n v="146151200"/>
    <n v="30"/>
    <n v="4502333209"/>
    <n v="5081945164"/>
    <n v="5113323174"/>
    <m/>
    <s v="CON RETEN"/>
    <m/>
    <x v="0"/>
    <d v="2022-05-21T00:00:00"/>
    <m/>
    <m/>
    <m/>
    <m/>
    <m/>
    <m/>
    <m/>
    <m/>
    <d v="2022-05-21T00:00:00"/>
    <x v="5"/>
  </r>
  <r>
    <s v="Comercializadora Delirio S.A.S"/>
    <d v="2022-05-24T00:00:00"/>
    <d v="2022-05-24T00:00:00"/>
    <n v="21"/>
    <s v="FE-198"/>
    <x v="1"/>
    <n v="13598"/>
    <x v="282"/>
    <n v="129181000"/>
    <n v="28"/>
    <n v="4502333210"/>
    <n v="5081944914"/>
    <n v="5113347393"/>
    <m/>
    <s v="TIENE BL"/>
    <s v="SR2617009"/>
    <x v="0"/>
    <d v="2022-05-21T00:00:00"/>
    <m/>
    <m/>
    <m/>
    <m/>
    <m/>
    <m/>
    <m/>
    <m/>
    <d v="2022-05-21T00:00:00"/>
    <x v="5"/>
  </r>
  <r>
    <s v="Comercializadora Delirio S.A.S"/>
    <d v="2022-05-24T00:00:00"/>
    <d v="2022-05-25T00:00:00"/>
    <n v="21"/>
    <s v="NC220"/>
    <x v="1"/>
    <n v="13598"/>
    <x v="349"/>
    <n v="-325264.16000000096"/>
    <n v="0"/>
    <n v="4502333210"/>
    <n v="5081944914"/>
    <n v="5113347394"/>
    <m/>
    <m/>
    <s v="Se solicita por correo "/>
    <x v="0"/>
    <d v="2022-05-21T00:00:00"/>
    <m/>
    <m/>
    <m/>
    <m/>
    <m/>
    <m/>
    <m/>
    <m/>
    <d v="2022-05-21T00:00:00"/>
    <x v="5"/>
  </r>
  <r>
    <s v="Misionagro S.A.S"/>
    <d v="2022-05-22T00:00:00"/>
    <m/>
    <n v="21"/>
    <s v="MISI-106"/>
    <x v="1"/>
    <n v="19797"/>
    <x v="237"/>
    <n v="178173000"/>
    <n v="42"/>
    <n v="4502337037"/>
    <n v="5081978078"/>
    <n v="5113323172"/>
    <s v="CON RETEN"/>
    <s v="EJ*3 1792800*3"/>
    <m/>
    <x v="0"/>
    <d v="2022-05-22T00:00:00"/>
    <n v="4902272546"/>
    <n v="5378400"/>
    <s v="FEMD-4275*3"/>
    <n v="5113331570"/>
    <m/>
    <m/>
    <m/>
    <m/>
    <d v="2022-05-22T00:00:00"/>
    <x v="5"/>
  </r>
  <r>
    <s v="Rafael Ignacio Jaramillo Londoño"/>
    <d v="2022-05-26T00:00:00"/>
    <m/>
    <n v="21"/>
    <s v="GAN-64"/>
    <x v="1"/>
    <n v="7883"/>
    <x v="350"/>
    <n v="75282650"/>
    <n v="15"/>
    <n v="4502333211"/>
    <n v="5081963204"/>
    <n v="5113334820"/>
    <m/>
    <s v="TIENE BL"/>
    <s v="NO contesta le hable por WA"/>
    <x v="0"/>
    <d v="2022-05-22T00:00:00"/>
    <m/>
    <m/>
    <m/>
    <m/>
    <m/>
    <m/>
    <m/>
    <m/>
    <d v="2022-05-22T00:00:00"/>
    <x v="5"/>
  </r>
  <r>
    <s v="Rafael Ignacio Jaramillo Londoño"/>
    <d v="2022-05-26T00:00:00"/>
    <m/>
    <n v="21"/>
    <s v="NC229"/>
    <x v="1"/>
    <n v="7883"/>
    <x v="13"/>
    <n v="-394150"/>
    <n v="0"/>
    <n v="4502333211"/>
    <n v="5081963204"/>
    <n v="5113334824"/>
    <m/>
    <m/>
    <m/>
    <x v="0"/>
    <d v="2022-05-22T00:00:00"/>
    <m/>
    <m/>
    <m/>
    <m/>
    <m/>
    <m/>
    <m/>
    <m/>
    <d v="2022-05-22T00:00:00"/>
    <x v="5"/>
  </r>
  <r>
    <s v="Alexander Bautista Perez"/>
    <d v="2022-05-25T00:00:00"/>
    <d v="2022-05-25T00:00:00"/>
    <n v="21"/>
    <s v="FACE-345"/>
    <x v="4"/>
    <n v="28864"/>
    <x v="351"/>
    <n v="278077219.19999999"/>
    <n v="61"/>
    <n v="4502338011"/>
    <n v="5082000475"/>
    <n v="5113327525"/>
    <m/>
    <s v="CON RETEN"/>
    <m/>
    <x v="6"/>
    <d v="2022-05-22T00:00:00"/>
    <m/>
    <m/>
    <m/>
    <m/>
    <m/>
    <m/>
    <m/>
    <m/>
    <d v="2022-05-22T00:00:00"/>
    <x v="5"/>
  </r>
  <r>
    <s v="Luis Fernando Rojas Prada"/>
    <d v="2022-05-27T00:00:00"/>
    <d v="2022-05-27T00:00:00"/>
    <n v="21"/>
    <s v="FELC-906"/>
    <x v="4"/>
    <n v="84272"/>
    <x v="213"/>
    <n v="716312000"/>
    <n v="168"/>
    <n v="4502336063"/>
    <n v="5081960109"/>
    <n v="5113340155"/>
    <m/>
    <s v="EJ *12 2878500*12"/>
    <s v="NO CONTESTA "/>
    <x v="6"/>
    <d v="2022-05-22T00:00:00"/>
    <n v="4502336063"/>
    <n v="34542000"/>
    <s v="FEMD-4251*4"/>
    <n v="5113320752"/>
    <s v="FEMD-4250*8"/>
    <n v="5113320432"/>
    <m/>
    <m/>
    <d v="2022-05-22T00:00:00"/>
    <x v="5"/>
  </r>
  <r>
    <s v="Savanna &amp; Compañia S.A.S ZOMAC"/>
    <d v="2022-05-20T00:00:00"/>
    <m/>
    <n v="21"/>
    <s v="S-40"/>
    <x v="4"/>
    <n v="7310"/>
    <x v="308"/>
    <n v="61038500"/>
    <n v="14"/>
    <n v="4502336434"/>
    <n v="5081963916"/>
    <n v="5113331670"/>
    <s v="TIENE BL"/>
    <s v="EJ 3597980"/>
    <s v="TIENE BL"/>
    <x v="6"/>
    <d v="2022-05-22T00:00:00"/>
    <n v="4502336434"/>
    <n v="3597980"/>
    <s v="FEMD-4248"/>
    <n v="5113320435"/>
    <m/>
    <m/>
    <m/>
    <m/>
    <d v="2022-05-22T00:00:00"/>
    <x v="5"/>
  </r>
  <r>
    <s v="Gilberto Echeverri Jaramillo"/>
    <d v="2022-05-26T00:00:00"/>
    <d v="2022-05-27T00:00:00"/>
    <n v="21"/>
    <s v="FE-85"/>
    <x v="2"/>
    <n v="7268"/>
    <x v="265"/>
    <n v="68319200"/>
    <n v="14"/>
    <n v="4502337549"/>
    <n v="5082011785"/>
    <n v="5113331404"/>
    <m/>
    <s v="CON RETEN"/>
    <m/>
    <x v="7"/>
    <d v="2022-05-22T00:00:00"/>
    <m/>
    <m/>
    <m/>
    <m/>
    <m/>
    <m/>
    <m/>
    <m/>
    <d v="2022-05-22T00:00:00"/>
    <x v="5"/>
  </r>
  <r>
    <s v="Nestor De Jesus Buitrago Trujillo"/>
    <d v="2022-05-25T00:00:00"/>
    <d v="2022-05-26T00:00:00"/>
    <n v="21"/>
    <s v="NGAE 25"/>
    <x v="2"/>
    <n v="29779"/>
    <x v="352"/>
    <n v="279538200"/>
    <n v="56"/>
    <n v="4502338380"/>
    <n v="5082011912"/>
    <n v="5113327612"/>
    <m/>
    <s v="CON RETEN"/>
    <m/>
    <x v="7"/>
    <d v="2022-05-22T00:00:00"/>
    <m/>
    <m/>
    <m/>
    <m/>
    <m/>
    <m/>
    <m/>
    <m/>
    <d v="2022-05-22T00:00:00"/>
    <x v="5"/>
  </r>
  <r>
    <s v="Fernando Sierra Lopez "/>
    <d v="2022-05-27T00:00:00"/>
    <d v="2022-06-01T00:00:00"/>
    <n v="21"/>
    <s v="A-442"/>
    <x v="2"/>
    <n v="36497"/>
    <x v="353"/>
    <n v="344896650"/>
    <n v="70"/>
    <n v="4502338388"/>
    <n v="5082011966"/>
    <n v="5113343800"/>
    <m/>
    <s v="CON RETEN"/>
    <m/>
    <x v="7"/>
    <d v="2022-05-22T00:00:00"/>
    <m/>
    <m/>
    <m/>
    <m/>
    <m/>
    <m/>
    <m/>
    <m/>
    <d v="2022-05-22T00:00:00"/>
    <x v="5"/>
  </r>
  <r>
    <s v="Sociedad Comercializadora Ganadera"/>
    <d v="2022-05-26T00:00:00"/>
    <d v="2022-05-26T00:00:00"/>
    <n v="21"/>
    <s v="FEDV320"/>
    <x v="2"/>
    <n v="16348"/>
    <x v="354"/>
    <n v="156870830.56"/>
    <n v="28"/>
    <n v="4502338392"/>
    <n v="5082011983"/>
    <n v="5113330016"/>
    <m/>
    <s v="TIENE BL"/>
    <s v="SR2621052"/>
    <x v="7"/>
    <d v="2022-05-22T00:00:00"/>
    <m/>
    <m/>
    <m/>
    <m/>
    <m/>
    <m/>
    <m/>
    <m/>
    <d v="2022-05-22T00:00:00"/>
    <x v="5"/>
  </r>
  <r>
    <s v="Lina Maria Pelaez Gomez"/>
    <d v="2022-05-23T00:00:00"/>
    <d v="2022-05-25T00:00:00"/>
    <n v="21"/>
    <s v="LP92"/>
    <x v="0"/>
    <n v="13962.5"/>
    <x v="328"/>
    <n v="135436250"/>
    <n v="30"/>
    <n v="4502333212"/>
    <n v="5081983242"/>
    <n v="5113347396"/>
    <m/>
    <s v="TIENE BL"/>
    <s v="Lo pedi por WA"/>
    <x v="0"/>
    <d v="2022-05-23T00:00:00"/>
    <m/>
    <m/>
    <m/>
    <m/>
    <m/>
    <m/>
    <m/>
    <m/>
    <d v="2022-05-23T00:00:00"/>
    <x v="5"/>
  </r>
  <r>
    <s v="Lina Maria Pelaez Gomez"/>
    <d v="2022-05-25T00:00:00"/>
    <d v="2022-05-25T00:00:00"/>
    <n v="21"/>
    <s v="NC70"/>
    <x v="0"/>
    <n v="13962.5"/>
    <x v="13"/>
    <n v="-698125"/>
    <n v="0"/>
    <n v="4502333212"/>
    <n v="5081983242"/>
    <n v="5113347397"/>
    <m/>
    <m/>
    <m/>
    <x v="0"/>
    <d v="2022-05-23T00:00:00"/>
    <m/>
    <m/>
    <m/>
    <m/>
    <m/>
    <m/>
    <m/>
    <m/>
    <d v="2022-05-23T00:00:00"/>
    <x v="5"/>
  </r>
  <r>
    <s v="Hacienda El Retaque y CIA. LTDA"/>
    <d v="2022-05-25T00:00:00"/>
    <d v="2022-05-25T00:00:00"/>
    <n v="21"/>
    <s v="HRT13"/>
    <x v="1"/>
    <n v="27696"/>
    <x v="237"/>
    <n v="249264000"/>
    <n v="56"/>
    <n v="4502336155"/>
    <n v="5081996890"/>
    <n v="5113327551"/>
    <s v="CON RETEN"/>
    <s v="NUMA*4 920000*4"/>
    <m/>
    <x v="0"/>
    <d v="2022-05-23T00:00:00"/>
    <n v="4502336155"/>
    <n v="3680000"/>
    <s v="MOVI-1480*4"/>
    <n v="5113324843"/>
    <m/>
    <m/>
    <m/>
    <m/>
    <d v="2022-05-23T00:00:00"/>
    <x v="5"/>
  </r>
  <r>
    <s v="Distrimora Limitada"/>
    <d v="2022-05-23T00:00:00"/>
    <m/>
    <n v="21"/>
    <s v="FE-125"/>
    <x v="2"/>
    <n v="6865.5"/>
    <x v="262"/>
    <n v="63849150"/>
    <n v="13"/>
    <n v="4502333213"/>
    <n v="5081982127"/>
    <n v="5113347424"/>
    <s v="CON RETEN "/>
    <m/>
    <s v="Se pidio por correo no contestan "/>
    <x v="0"/>
    <d v="2022-05-23T00:00:00"/>
    <m/>
    <m/>
    <m/>
    <m/>
    <m/>
    <m/>
    <m/>
    <m/>
    <d v="2022-05-23T00:00:00"/>
    <x v="5"/>
  </r>
  <r>
    <s v="Distrimora Limitada"/>
    <d v="2022-05-23T00:00:00"/>
    <m/>
    <n v="21"/>
    <s v="ND4"/>
    <x v="2"/>
    <n v="6865.5"/>
    <x v="11"/>
    <n v="1029825"/>
    <n v="0"/>
    <n v="4502333213"/>
    <n v="5081982127"/>
    <n v="5113347426"/>
    <m/>
    <m/>
    <m/>
    <x v="0"/>
    <d v="2022-05-23T00:00:00"/>
    <m/>
    <m/>
    <m/>
    <m/>
    <m/>
    <m/>
    <m/>
    <m/>
    <d v="2022-05-23T00:00:00"/>
    <x v="5"/>
  </r>
  <r>
    <s v="Agropecuaria 3H Blanco S.A.S"/>
    <d v="2022-05-25T00:00:00"/>
    <d v="2022-05-25T00:00:00"/>
    <n v="21"/>
    <s v="A3H-42"/>
    <x v="2"/>
    <n v="7274.5"/>
    <x v="262"/>
    <n v="67652850"/>
    <n v="15"/>
    <n v="4502333214"/>
    <n v="5081983243"/>
    <n v="5113347401"/>
    <m/>
    <s v="CON RETEN "/>
    <s v="Se envia correo a recepcion "/>
    <x v="0"/>
    <d v="2022-05-23T00:00:00"/>
    <m/>
    <m/>
    <m/>
    <m/>
    <m/>
    <m/>
    <m/>
    <m/>
    <d v="2022-05-23T00:00:00"/>
    <x v="5"/>
  </r>
  <r>
    <s v="Agropecuaria 3H Blanco S.A.S"/>
    <d v="2022-05-25T00:00:00"/>
    <d v="2022-05-25T00:00:00"/>
    <n v="21"/>
    <s v="DF-22"/>
    <x v="2"/>
    <n v="7274.5"/>
    <x v="2"/>
    <n v="727450"/>
    <n v="0"/>
    <n v="4502333214"/>
    <n v="5081983243"/>
    <n v="5113347402"/>
    <m/>
    <m/>
    <s v="SR2617009"/>
    <x v="0"/>
    <d v="2022-05-23T00:00:00"/>
    <m/>
    <m/>
    <m/>
    <m/>
    <m/>
    <m/>
    <m/>
    <m/>
    <d v="2022-05-23T00:00:00"/>
    <x v="5"/>
  </r>
  <r>
    <s v="Jorge Luis Reyes Vargas"/>
    <d v="2022-05-30T00:00:00"/>
    <d v="2022-06-03T00:00:00"/>
    <n v="21"/>
    <s v="FE-63"/>
    <x v="2"/>
    <n v="6421.5"/>
    <x v="340"/>
    <n v="59398875"/>
    <n v="14"/>
    <n v="4502333215"/>
    <n v="5081982258"/>
    <n v="5113349870"/>
    <m/>
    <s v="CON RETEN"/>
    <s v="Q tenia problemas con los contadores pero ya la  hicieron "/>
    <x v="0"/>
    <d v="2022-05-23T00:00:00"/>
    <m/>
    <m/>
    <m/>
    <m/>
    <m/>
    <m/>
    <m/>
    <m/>
    <d v="2022-05-23T00:00:00"/>
    <x v="5"/>
  </r>
  <r>
    <s v="Botero S.A.S."/>
    <d v="2022-05-23T00:00:00"/>
    <m/>
    <n v="21"/>
    <s v="P-172"/>
    <x v="2"/>
    <n v="6455"/>
    <x v="282"/>
    <n v="61322500"/>
    <n v="14"/>
    <n v="4502333216"/>
    <n v="5081982259"/>
    <n v="5113327554"/>
    <m/>
    <s v="CON RETEN"/>
    <m/>
    <x v="0"/>
    <d v="2022-05-23T00:00:00"/>
    <m/>
    <m/>
    <m/>
    <m/>
    <m/>
    <m/>
    <m/>
    <m/>
    <d v="2022-05-23T00:00:00"/>
    <x v="5"/>
  </r>
  <r>
    <s v="Maria Victoria Martinez Jaramillo"/>
    <d v="2022-05-25T00:00:00"/>
    <m/>
    <n v="21"/>
    <s v="FE-30"/>
    <x v="2"/>
    <n v="6283.5"/>
    <x v="282"/>
    <n v="59693250"/>
    <n v="15"/>
    <n v="4502338572"/>
    <n v="5082014813"/>
    <n v="5113328696"/>
    <m/>
    <s v="TIENE BL"/>
    <m/>
    <x v="0"/>
    <d v="2022-05-23T00:00:00"/>
    <m/>
    <m/>
    <m/>
    <m/>
    <m/>
    <m/>
    <m/>
    <m/>
    <d v="2022-05-23T00:00:00"/>
    <x v="5"/>
  </r>
  <r>
    <s v="Agropecuaria El Barzal S.A.S"/>
    <d v="2022-05-23T00:00:00"/>
    <d v="2022-04-25T00:00:00"/>
    <n v="21"/>
    <s v="FE-59"/>
    <x v="2"/>
    <n v="14917"/>
    <x v="265"/>
    <n v="140219800"/>
    <n v="28"/>
    <n v="4502333218"/>
    <n v="5081982261"/>
    <n v="5113327556"/>
    <m/>
    <s v="TIENE BL"/>
    <m/>
    <x v="0"/>
    <d v="2022-05-23T00:00:00"/>
    <m/>
    <m/>
    <m/>
    <m/>
    <m/>
    <m/>
    <m/>
    <m/>
    <d v="2022-05-23T00:00:00"/>
    <x v="5"/>
  </r>
  <r>
    <s v="Agropecuaria El Barzal S.A.S"/>
    <d v="2022-05-23T00:00:00"/>
    <d v="2022-04-25T00:00:00"/>
    <n v="21"/>
    <s v="NC210"/>
    <x v="2"/>
    <n v="14917"/>
    <x v="355"/>
    <n v="-182434.90999999348"/>
    <n v="0"/>
    <n v="4502333218"/>
    <n v="5081982261"/>
    <n v="5113327607"/>
    <m/>
    <m/>
    <m/>
    <x v="0"/>
    <d v="2022-05-23T00:00:00"/>
    <m/>
    <m/>
    <m/>
    <m/>
    <m/>
    <m/>
    <m/>
    <m/>
    <d v="2022-05-23T00:00:00"/>
    <x v="5"/>
  </r>
  <r>
    <s v="Sociedad Comercializadora Ganadera"/>
    <d v="2022-05-26T00:00:00"/>
    <d v="2022-05-26T00:00:00"/>
    <n v="21"/>
    <s v="FEDV321"/>
    <x v="4"/>
    <n v="35293"/>
    <x v="356"/>
    <n v="342225900"/>
    <n v="75"/>
    <n v="4502338505"/>
    <n v="5082013752"/>
    <n v="5113330015"/>
    <m/>
    <s v="TIENE BL"/>
    <s v="SR2621052"/>
    <x v="6"/>
    <d v="2022-05-23T00:00:00"/>
    <m/>
    <m/>
    <m/>
    <m/>
    <m/>
    <m/>
    <m/>
    <m/>
    <d v="2022-05-23T00:00:00"/>
    <x v="5"/>
  </r>
  <r>
    <s v="HEVLA S.A.S"/>
    <d v="2022-05-23T00:00:00"/>
    <m/>
    <n v="21"/>
    <s v="FE-552"/>
    <x v="4"/>
    <n v="12942"/>
    <x v="206"/>
    <n v="106771500"/>
    <n v="28"/>
    <n v="4502336070"/>
    <n v="5081960182"/>
    <n v="5113319748"/>
    <s v="CON RETEN"/>
    <s v="EJ*2 2982600*2"/>
    <m/>
    <x v="6"/>
    <d v="2022-05-23T00:00:00"/>
    <n v="4502336070"/>
    <n v="5965200"/>
    <s v="FEMD-4257*2"/>
    <n v="5113320388"/>
    <m/>
    <m/>
    <m/>
    <m/>
    <d v="2022-05-23T00:00:00"/>
    <x v="5"/>
  </r>
  <r>
    <s v="Sociedad Comercializadora Ganadera"/>
    <d v="2022-05-25T00:00:00"/>
    <d v="2022-05-25T00:00:00"/>
    <n v="21"/>
    <s v="FEDV318"/>
    <x v="2"/>
    <n v="37884"/>
    <x v="320"/>
    <n v="363686400"/>
    <n v="71"/>
    <n v="4502338403"/>
    <n v="5082012157"/>
    <n v="5113329252"/>
    <m/>
    <s v="TIENE BL"/>
    <s v="SR2617009"/>
    <x v="7"/>
    <d v="2022-05-23T00:00:00"/>
    <m/>
    <m/>
    <m/>
    <m/>
    <m/>
    <m/>
    <m/>
    <m/>
    <d v="2022-05-23T00:00:00"/>
    <x v="5"/>
  </r>
  <r>
    <s v="Misionagro S.A.S"/>
    <d v="2022-05-24T00:00:00"/>
    <m/>
    <n v="21"/>
    <s v="MISI-107"/>
    <x v="0"/>
    <n v="20680"/>
    <x v="237"/>
    <n v="186120000"/>
    <n v="42"/>
    <n v="4502338189"/>
    <n v="5082002423"/>
    <n v="5113327608"/>
    <s v="CON RETEN"/>
    <s v="EJ*3 1792800*3"/>
    <m/>
    <x v="0"/>
    <d v="2022-05-24T00:00:00"/>
    <n v="4902272550"/>
    <n v="5378400"/>
    <s v="FEMD-4244*3"/>
    <n v="5113331573"/>
    <m/>
    <m/>
    <m/>
    <m/>
    <d v="2022-05-24T00:00:00"/>
    <x v="5"/>
  </r>
  <r>
    <s v="Margie Rodriguez Rodriguez"/>
    <d v="2022-05-27T00:00:00"/>
    <m/>
    <n v="21"/>
    <s v="FE-58"/>
    <x v="0"/>
    <n v="7191.5"/>
    <x v="294"/>
    <n v="65083075"/>
    <n v="15"/>
    <n v="4502333219"/>
    <n v="5081999362"/>
    <n v="5113361763"/>
    <m/>
    <s v="CON RETEN"/>
    <s v="SR2636581"/>
    <x v="0"/>
    <d v="2022-05-24T00:00:00"/>
    <m/>
    <m/>
    <m/>
    <m/>
    <m/>
    <m/>
    <m/>
    <m/>
    <d v="2022-05-24T00:00:00"/>
    <x v="5"/>
  </r>
  <r>
    <s v="Margie Rodriguez Rodriguez"/>
    <d v="2022-05-27T00:00:00"/>
    <m/>
    <n v="21"/>
    <s v="NC225"/>
    <x v="0"/>
    <n v="7191.5"/>
    <x v="357"/>
    <n v="-99026.955000003145"/>
    <n v="0"/>
    <n v="4502333219"/>
    <n v="5081999362"/>
    <n v="5113361764"/>
    <m/>
    <m/>
    <s v="La pedi por WA"/>
    <x v="0"/>
    <d v="2022-05-24T00:00:00"/>
    <m/>
    <m/>
    <m/>
    <m/>
    <m/>
    <m/>
    <m/>
    <m/>
    <d v="2022-05-24T00:00:00"/>
    <x v="5"/>
  </r>
  <r>
    <s v="Gerardo Junco Espinosa"/>
    <d v="2022-05-24T00:00:00"/>
    <d v="2022-05-28T00:00:00"/>
    <n v="21"/>
    <s v="FVE-418"/>
    <x v="0"/>
    <n v="6650"/>
    <x v="278"/>
    <n v="61180000"/>
    <n v="15"/>
    <n v="4502333220"/>
    <n v="5081999363"/>
    <n v="5113340210"/>
    <m/>
    <s v="CON RETEN"/>
    <m/>
    <x v="0"/>
    <d v="2022-05-24T00:00:00"/>
    <m/>
    <m/>
    <m/>
    <m/>
    <m/>
    <m/>
    <m/>
    <m/>
    <d v="2022-05-24T00:00:00"/>
    <x v="5"/>
  </r>
  <r>
    <s v="Gerardo Junco Espinosa"/>
    <d v="2022-05-24T00:00:00"/>
    <d v="2022-05-28T00:00:00"/>
    <n v="21"/>
    <s v="NCE19"/>
    <x v="0"/>
    <n v="6650"/>
    <x v="358"/>
    <n v="-39434.500000001935"/>
    <n v="0"/>
    <n v="4502333220"/>
    <n v="5081999363"/>
    <n v="5113340214"/>
    <m/>
    <m/>
    <m/>
    <x v="0"/>
    <d v="2022-05-24T00:00:00"/>
    <m/>
    <m/>
    <m/>
    <m/>
    <m/>
    <m/>
    <m/>
    <m/>
    <d v="2022-05-24T00:00:00"/>
    <x v="5"/>
  </r>
  <r>
    <s v="Alexander Bautista Perez"/>
    <d v="2022-05-24T00:00:00"/>
    <d v="2022-05-27T00:00:00"/>
    <n v="21"/>
    <s v="FACE-347"/>
    <x v="0"/>
    <n v="29130"/>
    <x v="265"/>
    <n v="273822000"/>
    <n v="60"/>
    <n v="4502333221"/>
    <n v="5081999571"/>
    <n v="5113340238"/>
    <m/>
    <s v="CON RETEN"/>
    <s v="SR2617009"/>
    <x v="0"/>
    <d v="2022-05-24T00:00:00"/>
    <m/>
    <m/>
    <m/>
    <m/>
    <m/>
    <m/>
    <m/>
    <m/>
    <d v="2022-05-24T00:00:00"/>
    <x v="5"/>
  </r>
  <r>
    <s v="Alexander Bautista Perez"/>
    <d v="2022-05-27T00:00:00"/>
    <m/>
    <n v="21"/>
    <s v="NC237"/>
    <x v="0"/>
    <n v="29130"/>
    <x v="359"/>
    <n v="-1906558.5000000212"/>
    <n v="0"/>
    <n v="4502333221"/>
    <n v="5081999571"/>
    <n v="5113340241"/>
    <m/>
    <m/>
    <m/>
    <x v="0"/>
    <d v="2022-05-24T00:00:00"/>
    <m/>
    <m/>
    <m/>
    <m/>
    <m/>
    <m/>
    <m/>
    <m/>
    <d v="2022-05-24T00:00:00"/>
    <x v="5"/>
  </r>
  <r>
    <s v="Rodolfo De Jesus Jaramillo Calle"/>
    <d v="2022-05-28T00:00:00"/>
    <d v="2022-05-31T00:00:00"/>
    <n v="21"/>
    <s v="FE-95"/>
    <x v="0"/>
    <n v="7382"/>
    <x v="350"/>
    <n v="70498100"/>
    <n v="15"/>
    <n v="4502333222"/>
    <n v="5081997357"/>
    <n v="5113342426"/>
    <m/>
    <s v="TIENE BL"/>
    <m/>
    <x v="0"/>
    <d v="2022-05-24T00:00:00"/>
    <m/>
    <m/>
    <m/>
    <m/>
    <m/>
    <m/>
    <m/>
    <m/>
    <d v="2022-05-24T00:00:00"/>
    <x v="5"/>
  </r>
  <r>
    <s v="Rodolfo De Jesus Jaramillo Calle"/>
    <d v="2022-05-28T00:00:00"/>
    <d v="2022-05-31T00:00:00"/>
    <n v="21"/>
    <s v="NC254"/>
    <x v="0"/>
    <n v="7382"/>
    <x v="13"/>
    <n v="-369100"/>
    <n v="0"/>
    <n v="4502333222"/>
    <n v="5081997357"/>
    <n v="5113342459"/>
    <m/>
    <m/>
    <m/>
    <x v="0"/>
    <d v="2022-05-24T00:00:00"/>
    <m/>
    <m/>
    <m/>
    <m/>
    <m/>
    <m/>
    <m/>
    <m/>
    <d v="2022-05-24T00:00:00"/>
    <x v="5"/>
  </r>
  <r>
    <s v="Edwar Florez Zabaleta"/>
    <d v="2022-05-24T00:00:00"/>
    <d v="2022-05-28T00:00:00"/>
    <n v="21"/>
    <s v="GANA-16"/>
    <x v="0"/>
    <n v="19496.5"/>
    <x v="278"/>
    <n v="179367800"/>
    <n v="40"/>
    <n v="4502333223"/>
    <n v="5081997548"/>
    <n v="5113348871"/>
    <m/>
    <s v="TIENE BL"/>
    <s v="Se solicito por correo no contesta"/>
    <x v="0"/>
    <d v="2022-05-24T00:00:00"/>
    <m/>
    <m/>
    <m/>
    <m/>
    <m/>
    <m/>
    <m/>
    <m/>
    <d v="2022-05-24T00:00:00"/>
    <x v="5"/>
  </r>
  <r>
    <s v="Edwar Florez Zabaleta"/>
    <d v="2022-05-24T00:00:00"/>
    <d v="2022-05-28T00:00:00"/>
    <n v="21"/>
    <s v="DF29"/>
    <x v="0"/>
    <n v="19496.5"/>
    <x v="2"/>
    <n v="1949650"/>
    <n v="0"/>
    <n v="4502333223"/>
    <n v="5081997548"/>
    <n v="5113364959"/>
    <m/>
    <m/>
    <m/>
    <x v="0"/>
    <d v="2022-05-24T00:00:00"/>
    <m/>
    <m/>
    <m/>
    <m/>
    <m/>
    <m/>
    <m/>
    <m/>
    <d v="2022-05-24T00:00:00"/>
    <x v="5"/>
  </r>
  <r>
    <s v="Lina Maria Pelaez Gomez"/>
    <d v="2022-05-24T00:00:00"/>
    <d v="2022-04-27T00:00:00"/>
    <n v="21"/>
    <s v="LP93"/>
    <x v="1"/>
    <n v="20367.5"/>
    <x v="328"/>
    <n v="197564750"/>
    <n v="43"/>
    <n v="4502333224"/>
    <n v="5081999364"/>
    <n v="5113340280"/>
    <m/>
    <s v="TIENE BL"/>
    <m/>
    <x v="0"/>
    <d v="2022-05-24T00:00:00"/>
    <m/>
    <m/>
    <m/>
    <m/>
    <m/>
    <m/>
    <m/>
    <m/>
    <d v="2022-05-24T00:00:00"/>
    <x v="5"/>
  </r>
  <r>
    <s v="Inversiones Castilla Barbosa S.A.S."/>
    <d v="2022-05-24T00:00:00"/>
    <d v="2022-05-27T00:00:00"/>
    <n v="21"/>
    <s v="FE-71"/>
    <x v="2"/>
    <n v="20979"/>
    <x v="265"/>
    <n v="197202600"/>
    <n v="42"/>
    <n v="4502333225"/>
    <n v="5081997549"/>
    <n v="5113340284"/>
    <s v="TIENE BL"/>
    <m/>
    <m/>
    <x v="0"/>
    <d v="2022-05-24T00:00:00"/>
    <m/>
    <m/>
    <m/>
    <m/>
    <m/>
    <m/>
    <m/>
    <m/>
    <d v="2022-05-24T00:00:00"/>
    <x v="5"/>
  </r>
  <r>
    <s v="Inversiones Castilla Barbosa S.A.S."/>
    <d v="2022-05-24T00:00:00"/>
    <d v="2022-05-27T00:00:00"/>
    <n v="21"/>
    <s v="DF231"/>
    <x v="2"/>
    <n v="20979"/>
    <x v="2"/>
    <n v="2097900"/>
    <n v="0"/>
    <n v="4502333225"/>
    <n v="5081997549"/>
    <n v="5113347405"/>
    <m/>
    <m/>
    <s v="Lo va a enviar nuevamente - LO ENVIE AL CORREO RECEP"/>
    <x v="0"/>
    <d v="2022-05-24T00:00:00"/>
    <m/>
    <m/>
    <m/>
    <m/>
    <m/>
    <m/>
    <m/>
    <m/>
    <d v="2022-05-24T00:00:00"/>
    <x v="5"/>
  </r>
  <r>
    <s v="Sociedad Comercializadora Ganadera"/>
    <d v="2022-05-27T00:00:00"/>
    <d v="2022-05-27T00:00:00"/>
    <n v="21"/>
    <s v="FEDV322"/>
    <x v="3"/>
    <n v="12070"/>
    <x v="54"/>
    <n v="94146000"/>
    <n v="44"/>
    <n v="4502339706"/>
    <n v="5082036856"/>
    <n v="5113334325"/>
    <m/>
    <s v="TIENE BL"/>
    <m/>
    <x v="2"/>
    <d v="2022-05-26T00:00:00"/>
    <m/>
    <m/>
    <m/>
    <m/>
    <m/>
    <m/>
    <m/>
    <m/>
    <d v="2022-05-26T00:00:00"/>
    <x v="5"/>
  </r>
  <r>
    <s v="Juan Alberto Saldarriaga Marin"/>
    <d v="2022-05-30T00:00:00"/>
    <m/>
    <n v="22"/>
    <n v="6038"/>
    <x v="0"/>
    <n v="7752"/>
    <x v="282"/>
    <n v="73644000"/>
    <n v="13"/>
    <n v="4502338064"/>
    <n v="5082073377"/>
    <n v="5113349137"/>
    <m/>
    <s v="TIENE BL"/>
    <s v="se  solicita por correo "/>
    <x v="0"/>
    <d v="2022-05-27T00:00:00"/>
    <m/>
    <m/>
    <m/>
    <m/>
    <m/>
    <m/>
    <m/>
    <m/>
    <d v="2022-05-27T00:00:00"/>
    <x v="5"/>
  </r>
  <r>
    <s v="Juan Alberto Saldarriaga Marin"/>
    <d v="2022-05-30T00:00:00"/>
    <m/>
    <n v="22"/>
    <s v="NC1115"/>
    <x v="0"/>
    <n v="7752"/>
    <x v="360"/>
    <n v="-815045.27999999549"/>
    <n v="0"/>
    <n v="4502338064"/>
    <n v="5082073377"/>
    <n v="5113349138"/>
    <m/>
    <m/>
    <m/>
    <x v="0"/>
    <d v="2022-05-27T00:00:00"/>
    <m/>
    <m/>
    <m/>
    <m/>
    <m/>
    <m/>
    <m/>
    <m/>
    <d v="2022-05-27T00:00:00"/>
    <x v="5"/>
  </r>
  <r>
    <s v="Adrian Alberto Alvarez Henao"/>
    <d v="2022-05-31T00:00:00"/>
    <d v="2022-05-31T00:00:00"/>
    <n v="22"/>
    <s v="AAAH-43"/>
    <x v="1"/>
    <n v="20580"/>
    <x v="282"/>
    <n v="195510000"/>
    <n v="45"/>
    <n v="4502338065"/>
    <n v="5082073514"/>
    <n v="5113346331"/>
    <m/>
    <s v="TIENE BL"/>
    <m/>
    <x v="0"/>
    <d v="2022-05-27T00:00:00"/>
    <m/>
    <m/>
    <m/>
    <m/>
    <m/>
    <m/>
    <m/>
    <m/>
    <d v="2022-05-27T00:00:00"/>
    <x v="5"/>
  </r>
  <r>
    <s v="Adrian Alberto Alvarez Henao"/>
    <d v="2022-05-31T00:00:00"/>
    <d v="2022-05-31T00:00:00"/>
    <n v="22"/>
    <s v="AD19"/>
    <x v="1"/>
    <n v="20580"/>
    <x v="361"/>
    <n v="-537549.60000001651"/>
    <n v="0"/>
    <n v="4502338065"/>
    <n v="5082073514"/>
    <n v="5113346332"/>
    <m/>
    <m/>
    <m/>
    <x v="0"/>
    <d v="2022-05-27T00:00:00"/>
    <m/>
    <m/>
    <m/>
    <m/>
    <m/>
    <m/>
    <m/>
    <m/>
    <d v="2022-05-27T00:00:00"/>
    <x v="5"/>
  </r>
  <r>
    <s v="Lismenia Torcoroma Rincon Hernandez"/>
    <d v="2022-05-27T00:00:00"/>
    <m/>
    <n v="22"/>
    <s v="GANA-201"/>
    <x v="1"/>
    <n v="7664"/>
    <x v="266"/>
    <n v="71658400"/>
    <n v="15"/>
    <n v="4502338066"/>
    <n v="5082073572"/>
    <n v="5113347418"/>
    <m/>
    <s v="TIENE BL"/>
    <s v="SR2617009"/>
    <x v="0"/>
    <d v="2022-05-27T00:00:00"/>
    <m/>
    <m/>
    <m/>
    <m/>
    <m/>
    <m/>
    <m/>
    <m/>
    <d v="2022-05-27T00:00:00"/>
    <x v="5"/>
  </r>
  <r>
    <s v="Lismenia Torcoroma Rincon Hernandez"/>
    <d v="2022-05-27T00:00:00"/>
    <m/>
    <n v="22"/>
    <s v="NC000046"/>
    <x v="1"/>
    <n v="7664"/>
    <x v="362"/>
    <n v="-295600.47999999777"/>
    <n v="0"/>
    <n v="4502338066"/>
    <n v="5082073572"/>
    <n v="5113347419"/>
    <m/>
    <m/>
    <m/>
    <x v="0"/>
    <d v="2022-05-27T00:00:00"/>
    <m/>
    <m/>
    <m/>
    <m/>
    <m/>
    <m/>
    <m/>
    <m/>
    <d v="2022-05-27T00:00:00"/>
    <x v="5"/>
  </r>
  <r>
    <s v="Multicarnicos S.A"/>
    <d v="2022-05-31T00:00:00"/>
    <d v="2022-06-01T00:00:00"/>
    <n v="22"/>
    <s v="MUL336"/>
    <x v="1"/>
    <n v="6730"/>
    <x v="265"/>
    <n v="63262000"/>
    <n v="15"/>
    <n v="4502342159"/>
    <n v="5082095249"/>
    <n v="5113347420"/>
    <m/>
    <s v="TIENE BL"/>
    <m/>
    <x v="0"/>
    <d v="2022-05-27T00:00:00"/>
    <m/>
    <m/>
    <m/>
    <m/>
    <m/>
    <m/>
    <m/>
    <m/>
    <d v="2022-05-27T00:00:00"/>
    <x v="5"/>
  </r>
  <r>
    <s v="Multicarnicos S.A"/>
    <d v="2022-05-31T00:00:00"/>
    <d v="2022-06-01T00:00:00"/>
    <n v="22"/>
    <s v="NC43"/>
    <x v="1"/>
    <n v="6730"/>
    <x v="288"/>
    <n v="-38428.299999994124"/>
    <n v="0"/>
    <n v="4502342159"/>
    <n v="5082095249"/>
    <n v="5113347423"/>
    <m/>
    <m/>
    <m/>
    <x v="0"/>
    <d v="2022-05-27T00:00:00"/>
    <m/>
    <m/>
    <m/>
    <m/>
    <m/>
    <m/>
    <m/>
    <m/>
    <d v="2022-05-27T00:00:00"/>
    <x v="5"/>
  </r>
  <r>
    <s v="Atria Ganaderia S.A.S."/>
    <d v="2022-06-02T00:00:00"/>
    <m/>
    <n v="22"/>
    <s v="FE-31"/>
    <x v="0"/>
    <n v="13020"/>
    <x v="220"/>
    <n v="112623000"/>
    <n v="28"/>
    <n v="4502341244"/>
    <n v="5082075593"/>
    <n v="5113349145"/>
    <m/>
    <s v="NUMA*2 1152250*2"/>
    <m/>
    <x v="0"/>
    <d v="2022-05-27T00:00:00"/>
    <n v="4902277238"/>
    <n v="2304500"/>
    <s v="MOVI-1493*2"/>
    <n v="5113341783"/>
    <m/>
    <m/>
    <m/>
    <m/>
    <d v="2022-05-27T00:00:00"/>
    <x v="5"/>
  </r>
  <r>
    <s v="Gonzalo Hoyos Pulido"/>
    <d v="2022-05-27T00:00:00"/>
    <d v="2022-05-31T00:00:00"/>
    <n v="22"/>
    <s v="FELE59"/>
    <x v="0"/>
    <n v="6218.5"/>
    <x v="282"/>
    <n v="59075750"/>
    <n v="14"/>
    <n v="4502338069"/>
    <n v="5082073448"/>
    <n v="5113346143"/>
    <m/>
    <s v="CON RETEN "/>
    <m/>
    <x v="0"/>
    <d v="2022-05-27T00:00:00"/>
    <m/>
    <m/>
    <m/>
    <m/>
    <m/>
    <m/>
    <m/>
    <m/>
    <d v="2022-05-27T00:00:00"/>
    <x v="5"/>
  </r>
  <r>
    <s v="Gonzalo Hoyos Pulido"/>
    <d v="2022-05-31T00:00:00"/>
    <d v="2022-05-31T00:00:00"/>
    <n v="22"/>
    <s v="ND1"/>
    <x v="0"/>
    <n v="6218.5"/>
    <x v="363"/>
    <n v="582113.78500000003"/>
    <n v="0"/>
    <n v="4502338069"/>
    <n v="5082073448"/>
    <n v="5113346145"/>
    <m/>
    <m/>
    <s v="SR2640866"/>
    <x v="0"/>
    <d v="2022-05-27T00:00:00"/>
    <m/>
    <m/>
    <m/>
    <m/>
    <m/>
    <m/>
    <m/>
    <m/>
    <d v="2022-05-27T00:00:00"/>
    <x v="5"/>
  </r>
  <r>
    <s v="Yoan Andres Carrascal Sanchez"/>
    <d v="2022-06-01T00:00:00"/>
    <m/>
    <n v="22"/>
    <s v="FEYC-4"/>
    <x v="2"/>
    <n v="5421"/>
    <x v="278"/>
    <n v="49873200"/>
    <n v="13"/>
    <n v="4502338071"/>
    <n v="5082073214"/>
    <n v="5113347557"/>
    <m/>
    <s v="TIENE BL"/>
    <s v="SR2621052"/>
    <x v="0"/>
    <d v="2022-05-27T00:00:00"/>
    <m/>
    <m/>
    <m/>
    <m/>
    <m/>
    <m/>
    <m/>
    <m/>
    <d v="2022-05-27T00:00:00"/>
    <x v="5"/>
  </r>
  <r>
    <s v="Yoan Andres Carrascal Sanchez"/>
    <d v="2022-06-01T00:00:00"/>
    <m/>
    <n v="22"/>
    <s v="NC3"/>
    <x v="2"/>
    <n v="5421"/>
    <x v="364"/>
    <n v="-225622.02000000433"/>
    <n v="0"/>
    <n v="4502338071"/>
    <n v="5082073214"/>
    <n v="5113347559"/>
    <m/>
    <m/>
    <m/>
    <x v="0"/>
    <d v="2022-05-27T00:00:00"/>
    <m/>
    <m/>
    <m/>
    <m/>
    <m/>
    <m/>
    <m/>
    <m/>
    <d v="2022-05-27T00:00:00"/>
    <x v="5"/>
  </r>
  <r>
    <s v="David Martinez Jaramillo"/>
    <d v="2022-05-28T00:00:00"/>
    <d v="2022-05-31T00:00:00"/>
    <n v="22"/>
    <s v="DM195"/>
    <x v="2"/>
    <n v="28282"/>
    <x v="328"/>
    <n v="274335400"/>
    <n v="58"/>
    <n v="4502338073"/>
    <n v="5082064889"/>
    <n v="5113351751"/>
    <m/>
    <s v="CON RETEN "/>
    <s v="SR"/>
    <x v="0"/>
    <d v="2022-05-27T00:00:00"/>
    <m/>
    <m/>
    <m/>
    <m/>
    <m/>
    <m/>
    <m/>
    <m/>
    <d v="2022-05-27T00:00:00"/>
    <x v="5"/>
  </r>
  <r>
    <s v="David Martinez Jaramillo"/>
    <d v="2022-05-31T00:00:00"/>
    <d v="2022-05-31T00:00:00"/>
    <n v="22"/>
    <s v="NC38"/>
    <x v="2"/>
    <n v="28282"/>
    <x v="365"/>
    <n v="-636627.82000000612"/>
    <n v="0"/>
    <n v="4502338073"/>
    <n v="5082064889"/>
    <n v="5113351754"/>
    <m/>
    <m/>
    <m/>
    <x v="0"/>
    <d v="2022-05-27T00:00:00"/>
    <m/>
    <m/>
    <m/>
    <m/>
    <m/>
    <m/>
    <m/>
    <m/>
    <d v="2022-05-27T00:00:00"/>
    <x v="5"/>
  </r>
  <r>
    <s v="David Martinez Jaramillo"/>
    <d v="2022-05-28T00:00:00"/>
    <d v="2022-05-31T00:00:00"/>
    <n v="22"/>
    <s v="DM196"/>
    <x v="2"/>
    <n v="6681.5"/>
    <x v="328"/>
    <n v="64810550"/>
    <n v="43"/>
    <n v="4502338073"/>
    <n v="5082064889"/>
    <n v="5113351756"/>
    <m/>
    <s v="CON RETEN "/>
    <s v="SR"/>
    <x v="0"/>
    <d v="2022-05-27T00:00:00"/>
    <m/>
    <m/>
    <m/>
    <m/>
    <m/>
    <m/>
    <m/>
    <m/>
    <d v="2022-05-27T00:00:00"/>
    <x v="5"/>
  </r>
  <r>
    <s v="Wilson Antonio Montes Lopez"/>
    <d v="2022-05-27T00:00:00"/>
    <d v="2022-06-01T00:00:00"/>
    <n v="22"/>
    <s v="MAML-12"/>
    <x v="2"/>
    <n v="6170"/>
    <x v="320"/>
    <n v="59232000"/>
    <n v="14"/>
    <n v="4502338074"/>
    <n v="5082073215"/>
    <n v="5113346237"/>
    <m/>
    <s v="TIENE BL"/>
    <m/>
    <x v="0"/>
    <d v="2022-05-27T00:00:00"/>
    <m/>
    <m/>
    <m/>
    <m/>
    <m/>
    <m/>
    <m/>
    <m/>
    <d v="2022-05-27T00:00:00"/>
    <x v="5"/>
  </r>
  <r>
    <s v="Sociedad Comercializadora Ganadera"/>
    <d v="2022-05-31T00:00:00"/>
    <d v="2022-05-31T00:00:00"/>
    <n v="22"/>
    <s v="FEDV324"/>
    <x v="2"/>
    <n v="29842"/>
    <x v="328"/>
    <n v="289467400"/>
    <n v="60"/>
    <n v="4502338075"/>
    <n v="5082073216"/>
    <n v="5113346626"/>
    <m/>
    <s v="TIENE BL"/>
    <m/>
    <x v="0"/>
    <d v="2022-05-27T00:00:00"/>
    <m/>
    <m/>
    <m/>
    <m/>
    <m/>
    <m/>
    <m/>
    <m/>
    <d v="2022-05-27T00:00:00"/>
    <x v="5"/>
  </r>
  <r>
    <s v="Sociedad Comercializadora Ganadera"/>
    <d v="2022-05-31T00:00:00"/>
    <d v="2022-05-31T00:00:00"/>
    <n v="22"/>
    <s v="FEDV323"/>
    <x v="2"/>
    <n v="7647.5"/>
    <x v="328"/>
    <n v="74180750"/>
    <n v="15"/>
    <n v="4502338075"/>
    <n v="5082073216"/>
    <n v="5113346694"/>
    <m/>
    <s v="TIENE BL"/>
    <s v="Se envia nuevamente a recep"/>
    <x v="0"/>
    <d v="2022-05-27T00:00:00"/>
    <m/>
    <m/>
    <m/>
    <m/>
    <m/>
    <m/>
    <m/>
    <m/>
    <d v="2022-05-27T00:00:00"/>
    <x v="5"/>
  </r>
  <r>
    <s v="Luis Fernando Rojas Prada"/>
    <d v="2022-05-31T00:00:00"/>
    <d v="2022-05-31T00:00:00"/>
    <n v="22"/>
    <s v="FELC-908"/>
    <x v="4"/>
    <n v="31968"/>
    <x v="234"/>
    <n v="270129600"/>
    <n v="70"/>
    <n v="4502340897"/>
    <n v="5082071155"/>
    <n v="5113342421"/>
    <s v="TIENE BL"/>
    <s v="EJ*5 3039600*5"/>
    <m/>
    <x v="6"/>
    <d v="2022-05-27T00:00:00"/>
    <n v="4502340897"/>
    <n v="15198000"/>
    <s v="FEMD-4284*5"/>
    <n v="5113341799"/>
    <m/>
    <m/>
    <m/>
    <m/>
    <d v="2022-05-27T00:00:00"/>
    <x v="5"/>
  </r>
  <r>
    <s v="Alexander Bautista Perez"/>
    <d v="2022-05-31T00:00:00"/>
    <d v="2022-05-31T00:00:00"/>
    <n v="22"/>
    <s v="FACE-348"/>
    <x v="4"/>
    <n v="6530"/>
    <x v="366"/>
    <n v="63014500"/>
    <n v="14"/>
    <n v="4502338076"/>
    <n v="5082072480"/>
    <n v="5113346334"/>
    <m/>
    <s v="CON RETEN"/>
    <s v="SR2617009"/>
    <x v="6"/>
    <d v="2022-05-27T00:00:00"/>
    <m/>
    <m/>
    <m/>
    <m/>
    <m/>
    <m/>
    <m/>
    <m/>
    <d v="2022-05-27T00:00:00"/>
    <x v="5"/>
  </r>
  <r>
    <s v="Inversiones Valle Del Canalete S.A.S"/>
    <d v="2022-05-27T00:00:00"/>
    <d v="2022-05-31T00:00:00"/>
    <n v="22"/>
    <s v="IVC114"/>
    <x v="0"/>
    <n v="26799"/>
    <x v="262"/>
    <n v="249230700"/>
    <n v="56"/>
    <n v="4502338077"/>
    <n v="5082075422"/>
    <n v="5113346335"/>
    <m/>
    <s v="CON RETEN"/>
    <m/>
    <x v="1"/>
    <d v="2022-05-27T00:00:00"/>
    <m/>
    <m/>
    <m/>
    <m/>
    <m/>
    <m/>
    <m/>
    <m/>
    <d v="2022-05-27T00:00:00"/>
    <x v="5"/>
  </r>
  <r>
    <s v="Manzur Aldana y CIA S. En C."/>
    <d v="2022-06-01T00:00:00"/>
    <m/>
    <n v="22"/>
    <s v="MAFE-37"/>
    <x v="0"/>
    <n v="14612"/>
    <x v="262"/>
    <n v="135891600"/>
    <n v="28"/>
    <n v="4502338078"/>
    <n v="5082075502"/>
    <n v="5113347432"/>
    <m/>
    <s v="CON RETEN"/>
    <m/>
    <x v="1"/>
    <d v="2022-05-27T00:00:00"/>
    <m/>
    <m/>
    <m/>
    <m/>
    <m/>
    <m/>
    <m/>
    <m/>
    <d v="2022-05-27T00:00:00"/>
    <x v="5"/>
  </r>
  <r>
    <s v="Surtidora Agropecuaria De Colombia"/>
    <d v="2022-05-27T00:00:00"/>
    <d v="2022-05-31T00:00:00"/>
    <n v="22"/>
    <s v="FESA-39"/>
    <x v="0"/>
    <n v="27340"/>
    <x v="340"/>
    <n v="252895000"/>
    <n v="56"/>
    <n v="4502341245"/>
    <n v="5082075728"/>
    <n v="5113347436"/>
    <s v="TIENE BL "/>
    <s v="EJ*4 624200*1 789800*2 744800*1"/>
    <s v="IN235243"/>
    <x v="1"/>
    <d v="2022-05-27T00:00:00"/>
    <n v="4502341245"/>
    <n v="2948600"/>
    <s v="FEMD-4299*2"/>
    <n v="5113346160"/>
    <s v="FEMD-4300"/>
    <n v="5113346161"/>
    <s v="FEMD-4295"/>
    <n v="5113346465"/>
    <d v="2022-05-27T00:00:00"/>
    <x v="5"/>
  </r>
  <r>
    <s v="Carlos Mario Duque Cadavid"/>
    <d v="2022-05-27T00:00:00"/>
    <m/>
    <n v="22"/>
    <s v="CD-110"/>
    <x v="0"/>
    <n v="20688"/>
    <x v="262"/>
    <n v="192398400"/>
    <n v="42"/>
    <n v="4502338081"/>
    <n v="5082075737"/>
    <n v="5113358042"/>
    <m/>
    <m/>
    <s v="CON RETEN"/>
    <x v="1"/>
    <d v="2022-05-27T00:00:00"/>
    <m/>
    <m/>
    <m/>
    <m/>
    <m/>
    <m/>
    <m/>
    <m/>
    <d v="2022-05-27T00:00:00"/>
    <x v="5"/>
  </r>
  <r>
    <s v="31416 S.A.S"/>
    <d v="2022-05-27T00:00:00"/>
    <d v="2022-06-01T00:00:00"/>
    <n v="22"/>
    <s v="PI-154"/>
    <x v="0"/>
    <n v="15408"/>
    <x v="266"/>
    <n v="144064800"/>
    <n v="30"/>
    <n v="4502338082"/>
    <n v="5082075813"/>
    <n v="5113346330"/>
    <m/>
    <s v="CON RETEN"/>
    <m/>
    <x v="1"/>
    <d v="2022-05-27T00:00:00"/>
    <m/>
    <m/>
    <m/>
    <m/>
    <m/>
    <m/>
    <m/>
    <m/>
    <d v="2022-05-27T00:00:00"/>
    <x v="5"/>
  </r>
  <r>
    <s v="Agropecuaria Tabaida S.A.S"/>
    <d v="2022-05-27T00:00:00"/>
    <d v="2022-06-01T00:00:00"/>
    <n v="22"/>
    <s v="MT-1403"/>
    <x v="0"/>
    <n v="19637"/>
    <x v="262"/>
    <n v="182624100"/>
    <n v="42"/>
    <n v="4502338083"/>
    <n v="5082075908"/>
    <n v="5113347450"/>
    <m/>
    <s v="TIENE BL"/>
    <m/>
    <x v="1"/>
    <d v="2022-05-27T00:00:00"/>
    <m/>
    <m/>
    <m/>
    <m/>
    <m/>
    <m/>
    <m/>
    <m/>
    <d v="2022-05-27T00:00:00"/>
    <x v="5"/>
  </r>
  <r>
    <s v="Adrian Alberto Alvarez Henao"/>
    <d v="2022-06-01T00:00:00"/>
    <d v="2022-06-01T00:00:00"/>
    <n v="22"/>
    <s v="AAAH-44"/>
    <x v="0"/>
    <n v="12153.5"/>
    <x v="282"/>
    <n v="115458250"/>
    <n v="30"/>
    <n v="4502338084"/>
    <n v="5082073422"/>
    <n v="5113347451"/>
    <m/>
    <s v="TIENE BL"/>
    <s v="SR2640866"/>
    <x v="0"/>
    <d v="2022-05-28T00:00:00"/>
    <m/>
    <m/>
    <m/>
    <m/>
    <m/>
    <m/>
    <m/>
    <m/>
    <d v="2022-05-28T00:00:00"/>
    <x v="5"/>
  </r>
  <r>
    <s v="Adrian Alberto Alvarez Henao"/>
    <d v="2022-06-01T00:00:00"/>
    <d v="2022-06-01T00:00:00"/>
    <n v="22"/>
    <s v="AD20"/>
    <x v="0"/>
    <n v="12153.5"/>
    <x v="367"/>
    <n v="-476295.66500000621"/>
    <n v="0"/>
    <n v="4502338084"/>
    <n v="5082073422"/>
    <n v="5113347453"/>
    <m/>
    <m/>
    <m/>
    <x v="0"/>
    <d v="2022-05-28T00:00:00"/>
    <m/>
    <m/>
    <m/>
    <m/>
    <m/>
    <m/>
    <m/>
    <m/>
    <d v="2022-05-28T00:00:00"/>
    <x v="5"/>
  </r>
  <r>
    <s v="David Martinez Jaramillo"/>
    <d v="2022-05-28T00:00:00"/>
    <d v="2022-05-31T00:00:00"/>
    <n v="22"/>
    <s v="DM196"/>
    <x v="0"/>
    <n v="13385.5"/>
    <x v="328"/>
    <n v="129839350"/>
    <n v="28"/>
    <n v="4502338085"/>
    <n v="5082064889"/>
    <n v="5113351756"/>
    <m/>
    <s v="CON RETEN "/>
    <m/>
    <x v="0"/>
    <d v="2022-05-28T00:00:00"/>
    <m/>
    <m/>
    <m/>
    <m/>
    <m/>
    <m/>
    <m/>
    <m/>
    <d v="2022-05-28T00:00:00"/>
    <x v="5"/>
  </r>
  <r>
    <s v="Sociedad Comercializadora Ganadera"/>
    <d v="2022-06-01T00:00:00"/>
    <d v="2022-06-01T00:00:00"/>
    <n v="22"/>
    <s v="FEDV327"/>
    <x v="2"/>
    <n v="46050"/>
    <x v="328"/>
    <n v="446685000"/>
    <n v="107"/>
    <n v="4502338087"/>
    <n v="5082073423"/>
    <n v="5113355155"/>
    <m/>
    <s v="TIENE BL"/>
    <m/>
    <x v="0"/>
    <d v="2022-05-28T00:00:00"/>
    <m/>
    <m/>
    <m/>
    <m/>
    <m/>
    <m/>
    <m/>
    <m/>
    <d v="2022-05-28T00:00:00"/>
    <x v="5"/>
  </r>
  <r>
    <s v="Sociedad Comercializadora Ganadera"/>
    <d v="2022-06-01T00:00:00"/>
    <d v="2022-06-01T00:00:00"/>
    <n v="22"/>
    <s v="NC152"/>
    <x v="2"/>
    <n v="46050"/>
    <x v="368"/>
    <n v="-561349.5000000234"/>
    <n v="0"/>
    <n v="4502338087"/>
    <n v="5082073423"/>
    <n v="5113355156"/>
    <m/>
    <m/>
    <m/>
    <x v="0"/>
    <d v="2022-05-28T00:00:00"/>
    <m/>
    <m/>
    <m/>
    <m/>
    <m/>
    <m/>
    <m/>
    <m/>
    <d v="2022-05-28T00:00:00"/>
    <x v="5"/>
  </r>
  <r>
    <s v="Tanagro S.A.S Zomac"/>
    <d v="2022-06-02T00:00:00"/>
    <d v="2022-06-02T00:00:00"/>
    <n v="22"/>
    <s v="Z106"/>
    <x v="0"/>
    <n v="6528.5"/>
    <x v="278"/>
    <n v="60062200"/>
    <n v="15"/>
    <n v="4502338088"/>
    <n v="5082073348"/>
    <n v="5113348335"/>
    <m/>
    <m/>
    <m/>
    <x v="0"/>
    <d v="2022-05-29T00:00:00"/>
    <m/>
    <m/>
    <m/>
    <m/>
    <m/>
    <m/>
    <m/>
    <m/>
    <d v="2022-05-29T00:00:00"/>
    <x v="5"/>
  </r>
  <r>
    <s v="David Martinez Jaramillo"/>
    <d v="2022-05-31T00:00:00"/>
    <d v="2022-05-31T00:00:00"/>
    <n v="22"/>
    <s v="NC39"/>
    <x v="0"/>
    <n v="20067"/>
    <x v="369"/>
    <n v="-39331.319999982479"/>
    <n v="0"/>
    <n v="4502338085"/>
    <n v="5082064889"/>
    <n v="5113351778"/>
    <m/>
    <m/>
    <m/>
    <x v="0"/>
    <d v="2022-05-28T00:00:00"/>
    <m/>
    <m/>
    <m/>
    <m/>
    <m/>
    <m/>
    <m/>
    <m/>
    <d v="2022-05-28T00:00:00"/>
    <x v="5"/>
  </r>
  <r>
    <s v="David Martinez Jaramillo"/>
    <d v="2022-05-29T00:00:00"/>
    <d v="2022-05-31T00:00:00"/>
    <n v="22"/>
    <s v="DM197"/>
    <x v="1"/>
    <n v="21484.5"/>
    <x v="328"/>
    <n v="208399650"/>
    <n v="45"/>
    <n v="4502338089"/>
    <n v="5082073424"/>
    <n v="5113351780"/>
    <m/>
    <s v="CON RETEN "/>
    <m/>
    <x v="0"/>
    <d v="2022-05-29T00:00:00"/>
    <m/>
    <m/>
    <m/>
    <m/>
    <m/>
    <m/>
    <m/>
    <m/>
    <d v="2022-05-29T00:00:00"/>
    <x v="5"/>
  </r>
  <r>
    <s v="Distrimora Limitada"/>
    <d v="2022-06-02T00:00:00"/>
    <m/>
    <n v="22"/>
    <s v="FE-126"/>
    <x v="1"/>
    <n v="6945"/>
    <x v="266"/>
    <n v="64935750"/>
    <n v="14"/>
    <n v="4502338090"/>
    <n v="5082073349"/>
    <n v="5113349725"/>
    <m/>
    <s v="CON RETEN"/>
    <m/>
    <x v="0"/>
    <d v="2022-05-29T00:00:00"/>
    <m/>
    <m/>
    <m/>
    <m/>
    <m/>
    <m/>
    <m/>
    <m/>
    <d v="2022-05-29T00:00:00"/>
    <x v="5"/>
  </r>
  <r>
    <s v="Distrimora Limitada"/>
    <d v="2022-06-02T00:00:00"/>
    <m/>
    <n v="22"/>
    <s v="ND5"/>
    <x v="1"/>
    <n v="6945"/>
    <x v="2"/>
    <n v="694500"/>
    <n v="0"/>
    <n v="4502338090"/>
    <n v="5082073349"/>
    <n v="5113349767"/>
    <m/>
    <m/>
    <m/>
    <x v="0"/>
    <d v="2022-05-29T00:00:00"/>
    <m/>
    <m/>
    <m/>
    <m/>
    <m/>
    <m/>
    <m/>
    <m/>
    <d v="2022-05-29T00:00:00"/>
    <x v="5"/>
  </r>
  <r>
    <s v="Lismenia Torcoroma Rincon Hernandez"/>
    <d v="2022-05-29T00:00:00"/>
    <m/>
    <n v="22"/>
    <s v="GANA-203"/>
    <x v="2"/>
    <n v="12228"/>
    <x v="266"/>
    <n v="114331800"/>
    <n v="30"/>
    <n v="4502338091"/>
    <n v="5082073425"/>
    <n v="5113368462"/>
    <m/>
    <s v="TIENE BL"/>
    <s v="SR2640866 se solicito por correo "/>
    <x v="0"/>
    <d v="2022-05-29T00:00:00"/>
    <m/>
    <m/>
    <m/>
    <m/>
    <m/>
    <m/>
    <m/>
    <m/>
    <d v="2022-05-29T00:00:00"/>
    <x v="5"/>
  </r>
  <r>
    <s v="Lismenia Torcoroma Rincon Hernandez"/>
    <d v="2022-05-29T00:00:00"/>
    <m/>
    <n v="22"/>
    <s v="NC000047"/>
    <x v="2"/>
    <n v="12228"/>
    <x v="370"/>
    <n v="-494989.43999999465"/>
    <n v="0"/>
    <n v="4502338091"/>
    <n v="5082073425"/>
    <n v="5113368463"/>
    <m/>
    <m/>
    <m/>
    <x v="0"/>
    <d v="2022-05-29T00:00:00"/>
    <m/>
    <m/>
    <m/>
    <m/>
    <m/>
    <m/>
    <m/>
    <m/>
    <d v="2022-05-29T00:00:00"/>
    <x v="5"/>
  </r>
  <r>
    <s v="Alexander Bautista Perez"/>
    <d v="2022-06-02T00:00:00"/>
    <d v="2022-06-02T00:00:00"/>
    <n v="22"/>
    <s v="FACE-349"/>
    <x v="2"/>
    <n v="20534.5"/>
    <x v="320"/>
    <n v="197131200"/>
    <n v="43"/>
    <n v="4502338093"/>
    <n v="5082073426"/>
    <n v="5113348835"/>
    <m/>
    <s v="CON RETEN"/>
    <m/>
    <x v="0"/>
    <d v="2022-05-29T00:00:00"/>
    <m/>
    <m/>
    <m/>
    <m/>
    <m/>
    <m/>
    <m/>
    <m/>
    <d v="2022-05-29T00:00:00"/>
    <x v="5"/>
  </r>
  <r>
    <s v="Juan Alberto Saldarriaga Marin"/>
    <d v="2022-05-29T00:00:00"/>
    <m/>
    <n v="22"/>
    <n v="6035"/>
    <x v="2"/>
    <n v="34750"/>
    <x v="265"/>
    <n v="326650000"/>
    <n v="73"/>
    <n v="4502340959"/>
    <n v="5082071150"/>
    <n v="5113348834"/>
    <m/>
    <s v="TIENE BL"/>
    <m/>
    <x v="7"/>
    <d v="2022-05-29T00:00:00"/>
    <m/>
    <m/>
    <m/>
    <m/>
    <m/>
    <m/>
    <m/>
    <m/>
    <d v="2022-05-29T00:00:00"/>
    <x v="5"/>
  </r>
  <r>
    <s v="Guamal S EN C"/>
    <d v="2022-06-06T00:00:00"/>
    <d v="2022-06-06T00:00:00"/>
    <n v="22"/>
    <s v="F-124"/>
    <x v="0"/>
    <n v="7371"/>
    <x v="278"/>
    <n v="67813200"/>
    <n v="15"/>
    <n v="4502338095"/>
    <n v="5082079369"/>
    <n v="5113355402"/>
    <m/>
    <s v="CON RETEN"/>
    <m/>
    <x v="0"/>
    <d v="2022-05-30T00:00:00"/>
    <m/>
    <m/>
    <m/>
    <m/>
    <m/>
    <m/>
    <m/>
    <m/>
    <d v="2022-05-30T00:00:00"/>
    <x v="5"/>
  </r>
  <r>
    <s v="Rafael Francisco Delgado Serrano"/>
    <d v="2022-06-02T00:00:00"/>
    <m/>
    <n v="22"/>
    <s v="RFDS-148"/>
    <x v="0"/>
    <n v="6529.5"/>
    <x v="265"/>
    <n v="61377300"/>
    <n v="14"/>
    <n v="4502338096"/>
    <n v="5082079370"/>
    <n v="5113351503"/>
    <m/>
    <s v="CON RETEN"/>
    <m/>
    <x v="0"/>
    <d v="2022-05-30T00:00:00"/>
    <m/>
    <m/>
    <m/>
    <m/>
    <m/>
    <m/>
    <m/>
    <m/>
    <d v="2022-05-30T00:00:00"/>
    <x v="5"/>
  </r>
  <r>
    <s v="La OKA S.A.S."/>
    <d v="2022-06-02T00:00:00"/>
    <m/>
    <n v="22"/>
    <s v="FEOK-66"/>
    <x v="0"/>
    <n v="6501"/>
    <x v="340"/>
    <n v="60134250"/>
    <n v="14"/>
    <n v="4502338097"/>
    <n v="5082079371"/>
    <n v="5113348836"/>
    <m/>
    <s v="CON RETEN"/>
    <m/>
    <x v="0"/>
    <d v="2022-05-30T00:00:00"/>
    <m/>
    <m/>
    <m/>
    <m/>
    <m/>
    <m/>
    <m/>
    <m/>
    <d v="2022-05-30T00:00:00"/>
    <x v="5"/>
  </r>
  <r>
    <s v="La OKA S.A.S."/>
    <d v="2022-06-02T00:00:00"/>
    <m/>
    <n v="22"/>
    <s v="NC212"/>
    <x v="0"/>
    <n v="6501"/>
    <x v="11"/>
    <n v="-975150"/>
    <n v="0"/>
    <n v="4502338097"/>
    <n v="5082079371"/>
    <n v="5113348868"/>
    <m/>
    <m/>
    <m/>
    <x v="0"/>
    <d v="2022-05-30T00:00:00"/>
    <m/>
    <m/>
    <m/>
    <m/>
    <m/>
    <m/>
    <m/>
    <m/>
    <d v="2022-05-30T00:00:00"/>
    <x v="5"/>
  </r>
  <r>
    <s v="Jorge Armando Ortega Trigos"/>
    <d v="2022-05-30T00:00:00"/>
    <d v="2022-06-08T00:00:00"/>
    <n v="22"/>
    <s v="FVE-24"/>
    <x v="0"/>
    <n v="7207"/>
    <x v="262"/>
    <n v="67025100"/>
    <n v="15"/>
    <n v="4502338098"/>
    <n v="5082079929"/>
    <n v="5113368363"/>
    <m/>
    <s v="TIENE BL"/>
    <s v="Se envio a recepcion "/>
    <x v="0"/>
    <d v="2022-05-30T00:00:00"/>
    <m/>
    <m/>
    <m/>
    <m/>
    <m/>
    <m/>
    <m/>
    <m/>
    <d v="2022-05-30T00:00:00"/>
    <x v="5"/>
  </r>
  <r>
    <s v="Rafael Ignacio Jaramillo Londoño"/>
    <d v="2022-06-02T00:00:00"/>
    <d v="2022-06-03T00:00:00"/>
    <n v="22"/>
    <s v="GAN-65"/>
    <x v="0"/>
    <n v="7800"/>
    <x v="350"/>
    <n v="74490000"/>
    <n v="15"/>
    <n v="4502338099"/>
    <n v="5082079372"/>
    <n v="5113355397"/>
    <m/>
    <s v="TIENE BL"/>
    <m/>
    <x v="0"/>
    <d v="2022-05-30T00:00:00"/>
    <m/>
    <m/>
    <m/>
    <m/>
    <m/>
    <m/>
    <m/>
    <m/>
    <d v="2022-05-30T00:00:00"/>
    <x v="5"/>
  </r>
  <r>
    <s v="Rafael Ignacio Jaramillo Londoño"/>
    <d v="2022-06-02T00:00:00"/>
    <d v="2022-06-03T00:00:00"/>
    <n v="22"/>
    <s v="NC230"/>
    <x v="0"/>
    <n v="7800"/>
    <x v="13"/>
    <n v="-390000"/>
    <n v="0"/>
    <n v="4502338099"/>
    <n v="5082079372"/>
    <n v="5113355400"/>
    <m/>
    <m/>
    <m/>
    <x v="0"/>
    <d v="2022-05-30T00:00:00"/>
    <m/>
    <m/>
    <m/>
    <m/>
    <m/>
    <m/>
    <m/>
    <m/>
    <d v="2022-05-30T00:00:00"/>
    <x v="5"/>
  </r>
  <r>
    <s v="Rodolfo De Jesus Jaramillo Calle"/>
    <d v="2022-05-30T00:00:00"/>
    <m/>
    <n v="22"/>
    <s v="FE-96"/>
    <x v="0"/>
    <n v="7771"/>
    <x v="350"/>
    <n v="74213050"/>
    <n v="15"/>
    <n v="4502338100"/>
    <n v="5082079373"/>
    <n v="5113368312"/>
    <m/>
    <s v="TIENE BL"/>
    <m/>
    <x v="0"/>
    <d v="2022-05-30T00:00:00"/>
    <m/>
    <m/>
    <m/>
    <m/>
    <m/>
    <m/>
    <m/>
    <m/>
    <d v="2022-05-30T00:00:00"/>
    <x v="5"/>
  </r>
  <r>
    <s v="Rodolfo De Jesus Jaramillo Calle"/>
    <d v="2022-06-03T00:00:00"/>
    <m/>
    <n v="22"/>
    <s v="NC255"/>
    <x v="0"/>
    <n v="7771"/>
    <x v="371"/>
    <n v="-837636.09000000684"/>
    <n v="0"/>
    <n v="4502338100"/>
    <n v="5082079373"/>
    <n v="5113368314"/>
    <m/>
    <m/>
    <s v="Se solicito por correo "/>
    <x v="0"/>
    <d v="2022-05-30T00:00:00"/>
    <m/>
    <m/>
    <m/>
    <m/>
    <m/>
    <m/>
    <m/>
    <m/>
    <d v="2022-05-30T00:00:00"/>
    <x v="5"/>
  </r>
  <r>
    <s v="David Martinez Jaramillo"/>
    <d v="2022-05-30T00:00:00"/>
    <m/>
    <n v="22"/>
    <s v="DM-198"/>
    <x v="1"/>
    <n v="31532"/>
    <x v="328"/>
    <n v="305860400"/>
    <n v="70"/>
    <n v="4502338101"/>
    <n v="5082079374"/>
    <n v="5113351781"/>
    <m/>
    <s v="CON RETEN "/>
    <m/>
    <x v="0"/>
    <d v="2022-05-30T00:00:00"/>
    <m/>
    <m/>
    <m/>
    <m/>
    <m/>
    <m/>
    <m/>
    <m/>
    <d v="2022-05-30T00:00:00"/>
    <x v="5"/>
  </r>
  <r>
    <s v="David Martinez Jaramillo"/>
    <d v="2022-06-02T00:00:00"/>
    <d v="2022-06-02T00:00:00"/>
    <n v="22"/>
    <s v="NC40"/>
    <x v="1"/>
    <n v="31532"/>
    <x v="372"/>
    <n v="-151353.59999997704"/>
    <n v="0"/>
    <n v="4502338101"/>
    <n v="5082079374"/>
    <n v="5113351782"/>
    <m/>
    <m/>
    <m/>
    <x v="0"/>
    <d v="2022-05-30T00:00:00"/>
    <m/>
    <m/>
    <m/>
    <m/>
    <m/>
    <m/>
    <m/>
    <m/>
    <d v="2022-05-30T00:00:00"/>
    <x v="5"/>
  </r>
  <r>
    <s v="Luis Fernando Rojas Prada"/>
    <d v="2022-06-01T00:00:00"/>
    <d v="2022-06-01T00:00:00"/>
    <n v="22"/>
    <s v="FELC-911"/>
    <x v="0"/>
    <n v="38033"/>
    <x v="373"/>
    <n v="338433227.52999997"/>
    <n v="72"/>
    <n v="4502342805"/>
    <n v="5082109108"/>
    <n v="5113347477"/>
    <m/>
    <s v="TIENE BL"/>
    <m/>
    <x v="4"/>
    <d v="2022-05-30T00:00:00"/>
    <m/>
    <m/>
    <m/>
    <m/>
    <m/>
    <m/>
    <m/>
    <m/>
    <d v="2022-05-30T00:00:00"/>
    <x v="5"/>
  </r>
  <r>
    <s v="Savanna &amp; Compañia S.A.S ZOMAC"/>
    <d v="2022-06-01T00:00:00"/>
    <d v="2022-06-03T00:00:00"/>
    <n v="22"/>
    <s v="S-41"/>
    <x v="0"/>
    <n v="5846"/>
    <x v="283"/>
    <n v="51737100"/>
    <n v="12"/>
    <n v="4502338104"/>
    <n v="5082109114"/>
    <n v="5113350174"/>
    <m/>
    <s v="TIENE BL"/>
    <m/>
    <x v="4"/>
    <d v="2022-05-30T00:00:00"/>
    <m/>
    <m/>
    <m/>
    <m/>
    <m/>
    <m/>
    <m/>
    <m/>
    <d v="2022-05-30T00:00:00"/>
    <x v="5"/>
  </r>
  <r>
    <s v="Agropecuaria Tabaida S.A.S"/>
    <d v="2022-05-30T00:00:00"/>
    <d v="2022-06-02T00:00:00"/>
    <n v="22"/>
    <s v="MT-1407"/>
    <x v="2"/>
    <n v="19089"/>
    <x v="262"/>
    <n v="177527700"/>
    <n v="42"/>
    <n v="4502338105"/>
    <n v="5082109117"/>
    <n v="5113351811"/>
    <m/>
    <s v="TIENE BL"/>
    <m/>
    <x v="1"/>
    <d v="2022-05-30T00:00:00"/>
    <m/>
    <m/>
    <m/>
    <m/>
    <m/>
    <m/>
    <m/>
    <m/>
    <d v="2022-05-30T00:00:00"/>
    <x v="5"/>
  </r>
  <r>
    <s v="Sociedad Comercializadora Ganadera"/>
    <d v="2022-05-31T00:00:00"/>
    <d v="2022-05-31T00:00:00"/>
    <n v="22"/>
    <s v="FEDV325"/>
    <x v="2"/>
    <n v="72026"/>
    <x v="328"/>
    <n v="698652200"/>
    <n v="140"/>
    <n v="4502338106"/>
    <n v="5082080310"/>
    <n v="5113346749"/>
    <m/>
    <s v="TIENE BL"/>
    <m/>
    <x v="7"/>
    <d v="2022-05-30T00:00:00"/>
    <m/>
    <m/>
    <m/>
    <m/>
    <m/>
    <m/>
    <m/>
    <m/>
    <d v="2022-05-30T00:00:00"/>
    <x v="5"/>
  </r>
  <r>
    <s v="Juan Alberto Saldarriaga Marin"/>
    <d v="2022-05-30T00:00:00"/>
    <m/>
    <n v="22"/>
    <n v="6037"/>
    <x v="2"/>
    <n v="13349"/>
    <x v="265"/>
    <n v="125480600"/>
    <n v="28"/>
    <n v="4502338107"/>
    <n v="5082080371"/>
    <n v="5113348869"/>
    <m/>
    <s v="TIENE BL"/>
    <m/>
    <x v="7"/>
    <d v="2022-05-30T00:00:00"/>
    <m/>
    <m/>
    <m/>
    <m/>
    <m/>
    <m/>
    <m/>
    <m/>
    <d v="2022-05-30T00:00:00"/>
    <x v="5"/>
  </r>
  <r>
    <s v="Sociedad Comercializadora Ganadera"/>
    <d v="2022-06-03T00:00:00"/>
    <d v="2022-06-03T00:00:00"/>
    <n v="22"/>
    <s v="FEDV330"/>
    <x v="0"/>
    <n v="36495.5"/>
    <x v="328"/>
    <n v="354006350"/>
    <n v="75"/>
    <n v="4502338108"/>
    <n v="5082093604"/>
    <n v="5113355359"/>
    <m/>
    <s v="TIENE BL"/>
    <m/>
    <x v="0"/>
    <d v="2022-05-31T00:00:00"/>
    <m/>
    <m/>
    <m/>
    <m/>
    <m/>
    <m/>
    <m/>
    <m/>
    <d v="2022-05-31T00:00:00"/>
    <x v="5"/>
  </r>
  <r>
    <s v="Sociedad Comercializadora Ganadera"/>
    <d v="2022-06-03T00:00:00"/>
    <d v="2022-06-03T00:00:00"/>
    <n v="22"/>
    <s v="NC155"/>
    <x v="0"/>
    <n v="51130.5"/>
    <x v="374"/>
    <n v="-3148616.1899999962"/>
    <n v="0"/>
    <n v="4502338108"/>
    <n v="5082093604"/>
    <n v="5113355360"/>
    <m/>
    <m/>
    <m/>
    <x v="0"/>
    <d v="2022-05-31T00:00:00"/>
    <m/>
    <m/>
    <m/>
    <m/>
    <m/>
    <m/>
    <m/>
    <m/>
    <d v="2022-05-31T00:00:00"/>
    <x v="5"/>
  </r>
  <r>
    <s v="Sociedad Comercializadora Ganadera"/>
    <d v="2022-06-03T00:00:00"/>
    <d v="2022-06-03T00:00:00"/>
    <n v="22"/>
    <s v="FEDV330"/>
    <x v="0"/>
    <n v="15013.25"/>
    <x v="328"/>
    <n v="145628525"/>
    <n v="30"/>
    <n v="4502339453"/>
    <n v="5082093604"/>
    <n v="5113355359"/>
    <m/>
    <s v="TIENE BL"/>
    <m/>
    <x v="0"/>
    <d v="2022-05-31T00:00:00"/>
    <m/>
    <m/>
    <m/>
    <m/>
    <m/>
    <m/>
    <m/>
    <m/>
    <d v="2022-05-31T00:00:00"/>
    <x v="5"/>
  </r>
  <r>
    <s v="Sociedad Comercializadora Ganadera"/>
    <d v="2022-06-03T00:00:00"/>
    <d v="2022-06-03T00:00:00"/>
    <n v="22"/>
    <s v="FEDV329"/>
    <x v="1"/>
    <n v="15013.25"/>
    <x v="328"/>
    <n v="145628525"/>
    <n v="30"/>
    <n v="4502339453"/>
    <n v="5082093606"/>
    <n v="5113355357"/>
    <m/>
    <s v="TIENE BL"/>
    <m/>
    <x v="0"/>
    <d v="2022-05-31T00:00:00"/>
    <m/>
    <m/>
    <m/>
    <m/>
    <m/>
    <m/>
    <m/>
    <m/>
    <d v="2022-05-31T00:00:00"/>
    <x v="5"/>
  </r>
  <r>
    <s v="Lina Maria Pelaez Gomez"/>
    <d v="2022-06-01T00:00:00"/>
    <d v="2022-06-03T00:00:00"/>
    <n v="22"/>
    <s v="LP94"/>
    <x v="0"/>
    <n v="6284"/>
    <x v="328"/>
    <n v="60954800"/>
    <n v="14"/>
    <n v="4502338110"/>
    <n v="5082079375"/>
    <n v="5113349803"/>
    <m/>
    <s v="TIENE BL"/>
    <m/>
    <x v="0"/>
    <d v="2022-05-31T00:00:00"/>
    <m/>
    <m/>
    <m/>
    <m/>
    <m/>
    <m/>
    <m/>
    <m/>
    <d v="2022-05-31T00:00:00"/>
    <x v="5"/>
  </r>
  <r>
    <s v="Lina Maria Pelaez Gomez"/>
    <d v="2022-06-01T00:00:00"/>
    <d v="2022-06-03T00:00:00"/>
    <n v="22"/>
    <s v="LP94"/>
    <x v="0"/>
    <n v="27559"/>
    <x v="328"/>
    <n v="267322300"/>
    <n v="57"/>
    <n v="4502341031"/>
    <n v="5082079375"/>
    <n v="5113349803"/>
    <m/>
    <s v="TIENE BL"/>
    <m/>
    <x v="0"/>
    <d v="2022-05-31T00:00:00"/>
    <m/>
    <m/>
    <m/>
    <m/>
    <m/>
    <m/>
    <m/>
    <m/>
    <d v="2022-05-31T00:00:00"/>
    <x v="5"/>
  </r>
  <r>
    <s v="Lina Maria Pelaez Gomez"/>
    <d v="2022-06-03T00:00:00"/>
    <d v="2022-06-03T00:00:00"/>
    <n v="22"/>
    <s v="NC71"/>
    <x v="0"/>
    <n v="33843"/>
    <x v="375"/>
    <n v="-1756790.129999995"/>
    <n v="0"/>
    <n v="4502341031"/>
    <n v="5082079375"/>
    <n v="5113349806"/>
    <m/>
    <m/>
    <m/>
    <x v="0"/>
    <d v="2022-05-31T00:00:00"/>
    <m/>
    <m/>
    <m/>
    <m/>
    <m/>
    <m/>
    <m/>
    <m/>
    <d v="2022-05-31T00:00:00"/>
    <x v="5"/>
  </r>
  <r>
    <s v="Hacienda El Retaque y CIA. LTDA"/>
    <d v="2022-01-06T00:00:00"/>
    <d v="2022-01-06T00:00:00"/>
    <n v="22"/>
    <s v="HRT14"/>
    <x v="4"/>
    <n v="21041"/>
    <x v="237"/>
    <n v="189369000"/>
    <n v="42"/>
    <n v="4502341969"/>
    <n v="5082092463"/>
    <n v="5113346751"/>
    <s v="CON RETEN"/>
    <s v="NUMA*3 1092500*3"/>
    <m/>
    <x v="3"/>
    <d v="2022-05-31T00:00:00"/>
    <n v="4502341969"/>
    <n v="3277500"/>
    <s v="MOVI-1502*3"/>
    <n v="5113346055"/>
    <m/>
    <m/>
    <m/>
    <m/>
    <d v="2022-05-31T00:00:00"/>
    <x v="5"/>
  </r>
  <r>
    <s v="Ganadera Yalu S En C."/>
    <d v="2022-05-31T00:00:00"/>
    <m/>
    <n v="22"/>
    <s v="GY-12"/>
    <x v="1"/>
    <n v="6968"/>
    <x v="340"/>
    <n v="64454000"/>
    <n v="15"/>
    <n v="4502338111"/>
    <n v="5082093891"/>
    <n v="5113351802"/>
    <m/>
    <s v="CON RETEN"/>
    <m/>
    <x v="0"/>
    <d v="2022-05-31T00:00:00"/>
    <m/>
    <m/>
    <m/>
    <m/>
    <m/>
    <m/>
    <m/>
    <m/>
    <d v="2022-05-31T00:00:00"/>
    <x v="5"/>
  </r>
  <r>
    <s v="Ganadera Yalu S En C."/>
    <d v="2022-05-31T00:00:00"/>
    <m/>
    <n v="22"/>
    <s v="NC23"/>
    <x v="1"/>
    <n v="6968"/>
    <x v="13"/>
    <n v="-348400"/>
    <n v="0"/>
    <n v="4502338111"/>
    <n v="5082093891"/>
    <n v="5113351804"/>
    <m/>
    <m/>
    <m/>
    <x v="0"/>
    <d v="2022-05-31T00:00:00"/>
    <m/>
    <m/>
    <m/>
    <m/>
    <m/>
    <m/>
    <m/>
    <m/>
    <d v="2022-05-31T00:00:00"/>
    <x v="5"/>
  </r>
  <r>
    <s v="Agropecuaria Aldana S.A.S"/>
    <d v="2022-06-06T00:00:00"/>
    <m/>
    <n v="22"/>
    <s v="FE-12"/>
    <x v="1"/>
    <n v="6363.5"/>
    <x v="278"/>
    <n v="58544200"/>
    <n v="14"/>
    <n v="4502338112"/>
    <n v="5082093605"/>
    <n v="5113354523"/>
    <m/>
    <s v="CON RETEN "/>
    <s v="IN232135 no llego el xml "/>
    <x v="0"/>
    <d v="2022-05-31T00:00:00"/>
    <m/>
    <m/>
    <m/>
    <m/>
    <m/>
    <m/>
    <m/>
    <m/>
    <d v="2022-05-31T00:00:00"/>
    <x v="5"/>
  </r>
  <r>
    <s v="Agropecuaria Aldana S.A.S"/>
    <d v="2022-06-03T00:00:00"/>
    <m/>
    <n v="22"/>
    <s v="NC21"/>
    <x v="1"/>
    <n v="6363.5"/>
    <x v="376"/>
    <n v="-357565.06500000326"/>
    <n v="0"/>
    <n v="4502338112"/>
    <n v="5082093605"/>
    <n v="5113354525"/>
    <m/>
    <m/>
    <m/>
    <x v="0"/>
    <d v="2022-05-31T00:00:00"/>
    <m/>
    <m/>
    <m/>
    <m/>
    <m/>
    <m/>
    <m/>
    <m/>
    <d v="2022-05-31T00:00:00"/>
    <x v="5"/>
  </r>
  <r>
    <s v="Sociedad Comercializadora Ganadera"/>
    <m/>
    <m/>
    <n v="22"/>
    <s v="FEDV326"/>
    <x v="3"/>
    <n v="5018"/>
    <x v="54"/>
    <n v="39140400"/>
    <n v="18"/>
    <n v="4502338113"/>
    <n v="5082092350"/>
    <n v="5113355358"/>
    <m/>
    <s v="TIENE BL"/>
    <m/>
    <x v="2"/>
    <d v="2022-05-31T00:00:00"/>
    <m/>
    <m/>
    <m/>
    <m/>
    <m/>
    <m/>
    <m/>
    <m/>
    <d v="2022-05-31T00:00:00"/>
    <x v="5"/>
  </r>
  <r>
    <s v="Mauricio De Jesús Bernal Jaramillo"/>
    <d v="2022-06-06T00:00:00"/>
    <d v="2022-06-06T00:00:00"/>
    <n v="22"/>
    <s v="FE183"/>
    <x v="2"/>
    <n v="13531"/>
    <x v="319"/>
    <n v="123808650"/>
    <n v="30"/>
    <n v="4502338114"/>
    <n v="5082131248"/>
    <n v="5113354086"/>
    <m/>
    <s v="CON RETEN"/>
    <m/>
    <x v="1"/>
    <d v="2022-06-01T00:00:00"/>
    <m/>
    <m/>
    <m/>
    <m/>
    <m/>
    <m/>
    <m/>
    <m/>
    <d v="2022-06-01T00:00:00"/>
    <x v="6"/>
  </r>
  <r>
    <s v="Manuel Antonio Anniccharico Vuelva"/>
    <d v="2022-06-04T00:00:00"/>
    <m/>
    <n v="22"/>
    <s v="FMA-24"/>
    <x v="2"/>
    <n v="13491"/>
    <x v="273"/>
    <n v="122768100"/>
    <n v="28"/>
    <n v="4502338115"/>
    <n v="5082130706"/>
    <n v="5113362986"/>
    <m/>
    <s v="CON RETEN"/>
    <m/>
    <x v="1"/>
    <d v="2022-06-01T00:00:00"/>
    <m/>
    <m/>
    <m/>
    <m/>
    <m/>
    <m/>
    <m/>
    <m/>
    <d v="2022-06-01T00:00:00"/>
    <x v="6"/>
  </r>
  <r>
    <s v="Gustavo Adolfo Puello Montoya"/>
    <d v="2022-06-01T00:00:00"/>
    <d v="2022-06-03T00:00:00"/>
    <n v="22"/>
    <s v="GAP-84"/>
    <x v="2"/>
    <n v="20360"/>
    <x v="377"/>
    <n v="186254501.59999999"/>
    <n v="42"/>
    <n v="4502338116"/>
    <n v="5082130846"/>
    <n v="5113349867"/>
    <m/>
    <m/>
    <m/>
    <x v="1"/>
    <d v="2022-06-01T00:00:00"/>
    <m/>
    <m/>
    <m/>
    <m/>
    <m/>
    <m/>
    <m/>
    <m/>
    <d v="2022-06-01T00:00:00"/>
    <x v="6"/>
  </r>
  <r>
    <s v="Sociedad Comercializadora Ganadera"/>
    <d v="2022-06-07T00:00:00"/>
    <d v="2022-06-07T00:00:00"/>
    <n v="23"/>
    <s v="FEDV334"/>
    <x v="0"/>
    <n v="13650.5"/>
    <x v="366"/>
    <n v="131727325"/>
    <n v="30"/>
    <n v="4502342483"/>
    <n v="5082130568"/>
    <n v="5113356513"/>
    <m/>
    <s v="TIENE BL"/>
    <s v="SR2640866"/>
    <x v="0"/>
    <d v="2022-06-02T00:00:00"/>
    <m/>
    <m/>
    <m/>
    <m/>
    <m/>
    <m/>
    <m/>
    <m/>
    <d v="2022-06-02T00:00:00"/>
    <x v="6"/>
  </r>
  <r>
    <s v="Sociedad Comercializadora Ganadera"/>
    <d v="2022-06-07T00:00:00"/>
    <d v="2022-06-07T00:00:00"/>
    <n v="23"/>
    <s v="NC159"/>
    <x v="0"/>
    <n v="13650.5"/>
    <x v="124"/>
    <n v="-2730100"/>
    <n v="0"/>
    <n v="4502342483"/>
    <n v="5082130568"/>
    <n v="5113356515"/>
    <m/>
    <m/>
    <m/>
    <x v="0"/>
    <d v="2022-06-02T00:00:00"/>
    <m/>
    <m/>
    <m/>
    <m/>
    <m/>
    <m/>
    <m/>
    <m/>
    <d v="2022-06-02T00:00:00"/>
    <x v="6"/>
  </r>
  <r>
    <s v="Sociedad Comercializadora Ganadera"/>
    <d v="2022-06-07T00:00:00"/>
    <d v="2022-06-07T00:00:00"/>
    <n v="23"/>
    <s v="FEDV335"/>
    <x v="0"/>
    <n v="41916"/>
    <x v="366"/>
    <n v="404489400"/>
    <n v="90"/>
    <n v="4502342483"/>
    <n v="5082130568"/>
    <n v="5113356516"/>
    <m/>
    <s v="TIENE BL"/>
    <s v=" SR2655264"/>
    <x v="0"/>
    <d v="2022-06-02T00:00:00"/>
    <m/>
    <m/>
    <m/>
    <m/>
    <m/>
    <m/>
    <m/>
    <m/>
    <d v="2022-06-02T00:00:00"/>
    <x v="6"/>
  </r>
  <r>
    <s v="Sociedad Comercializadora Ganadera"/>
    <d v="2022-06-07T00:00:00"/>
    <d v="2022-06-07T00:00:00"/>
    <n v="23"/>
    <s v="NC160"/>
    <x v="0"/>
    <n v="41916"/>
    <x v="378"/>
    <n v="-226346.39999998474"/>
    <n v="0"/>
    <n v="4502342483"/>
    <n v="5082130568"/>
    <n v="5113356528"/>
    <m/>
    <m/>
    <m/>
    <x v="0"/>
    <d v="2022-06-02T00:00:00"/>
    <m/>
    <m/>
    <m/>
    <m/>
    <m/>
    <m/>
    <m/>
    <m/>
    <d v="2022-06-02T00:00:00"/>
    <x v="6"/>
  </r>
  <r>
    <s v="Andres Felipe Mantilla Acosta"/>
    <d v="2022-06-02T00:00:00"/>
    <d v="2022-06-07T00:00:00"/>
    <n v="23"/>
    <s v="FEFE15"/>
    <x v="0"/>
    <n v="6920.5"/>
    <x v="340"/>
    <n v="64014625"/>
    <n v="15"/>
    <n v="4502342484"/>
    <n v="5082130569"/>
    <n v="5113356550"/>
    <m/>
    <s v="TIENE BL"/>
    <m/>
    <x v="0"/>
    <d v="2022-06-02T00:00:00"/>
    <m/>
    <m/>
    <m/>
    <m/>
    <m/>
    <m/>
    <m/>
    <m/>
    <d v="2022-06-02T00:00:00"/>
    <x v="6"/>
  </r>
  <r>
    <s v="Andres Felipe Mantilla Acosta"/>
    <d v="2022-06-02T00:00:00"/>
    <d v="2022-06-07T00:00:00"/>
    <n v="23"/>
    <s v="NC2"/>
    <x v="0"/>
    <n v="6920.5"/>
    <x v="2"/>
    <n v="-692050"/>
    <n v="0"/>
    <n v="4502342484"/>
    <n v="5082130569"/>
    <n v="5113356553"/>
    <m/>
    <m/>
    <m/>
    <x v="0"/>
    <d v="2022-06-02T00:00:00"/>
    <m/>
    <m/>
    <m/>
    <m/>
    <m/>
    <m/>
    <m/>
    <m/>
    <d v="2022-06-02T00:00:00"/>
    <x v="6"/>
  </r>
  <r>
    <s v="Guamal S EN C"/>
    <d v="2022-06-06T00:00:00"/>
    <m/>
    <n v="23"/>
    <s v="F-125"/>
    <x v="0"/>
    <n v="7263"/>
    <x v="278"/>
    <n v="66819600"/>
    <n v="15"/>
    <n v="4502342485"/>
    <n v="5082130570"/>
    <n v="5113355403"/>
    <m/>
    <s v="CON RETEN "/>
    <m/>
    <x v="0"/>
    <d v="2022-06-02T00:00:00"/>
    <m/>
    <m/>
    <m/>
    <m/>
    <m/>
    <m/>
    <m/>
    <m/>
    <d v="2022-06-02T00:00:00"/>
    <x v="6"/>
  </r>
  <r>
    <s v="Guamal S EN C"/>
    <d v="2022-06-06T00:00:00"/>
    <m/>
    <n v="23"/>
    <s v="F102"/>
    <x v="0"/>
    <n v="7263"/>
    <x v="13"/>
    <n v="-363150"/>
    <n v="0"/>
    <n v="4502342485"/>
    <n v="5082130570"/>
    <n v="5113355404"/>
    <m/>
    <m/>
    <m/>
    <x v="0"/>
    <d v="2022-06-02T00:00:00"/>
    <m/>
    <m/>
    <m/>
    <m/>
    <m/>
    <m/>
    <m/>
    <m/>
    <d v="2022-06-02T00:00:00"/>
    <x v="6"/>
  </r>
  <r>
    <s v="Marco Antonio Trillos Criado"/>
    <d v="2022-06-06T00:00:00"/>
    <d v="2022-06-07T00:00:00"/>
    <n v="23"/>
    <s v="M23"/>
    <x v="0"/>
    <n v="15194.5"/>
    <x v="340"/>
    <n v="140549125"/>
    <n v="29"/>
    <n v="4502342486"/>
    <n v="5082130571"/>
    <n v="5113356556"/>
    <m/>
    <s v="TIENE BL"/>
    <m/>
    <x v="0"/>
    <d v="2022-06-02T00:00:00"/>
    <m/>
    <m/>
    <m/>
    <m/>
    <m/>
    <m/>
    <m/>
    <m/>
    <d v="2022-06-02T00:00:00"/>
    <x v="6"/>
  </r>
  <r>
    <s v="Lina Maria Pelaez Gomez"/>
    <d v="2022-06-03T00:00:00"/>
    <d v="2022-06-06T00:00:00"/>
    <n v="23"/>
    <s v="LP95"/>
    <x v="1"/>
    <n v="33866"/>
    <x v="320"/>
    <n v="325113600"/>
    <n v="71"/>
    <n v="4502342487"/>
    <n v="5082133178"/>
    <n v="5113354229"/>
    <m/>
    <s v="TIENE BL"/>
    <m/>
    <x v="0"/>
    <d v="2022-06-02T00:00:00"/>
    <m/>
    <m/>
    <m/>
    <m/>
    <m/>
    <m/>
    <m/>
    <m/>
    <d v="2022-06-02T00:00:00"/>
    <x v="6"/>
  </r>
  <r>
    <s v="Lina Maria Pelaez Gomez"/>
    <d v="2022-06-06T00:00:00"/>
    <d v="2022-06-06T00:00:00"/>
    <n v="23"/>
    <s v="NC72"/>
    <x v="1"/>
    <n v="33866"/>
    <x v="379"/>
    <n v="-5800568.4800000219"/>
    <n v="0"/>
    <n v="4502342487"/>
    <n v="5082133178"/>
    <n v="5113354231"/>
    <m/>
    <m/>
    <m/>
    <x v="0"/>
    <d v="2022-06-02T00:00:00"/>
    <m/>
    <m/>
    <m/>
    <m/>
    <m/>
    <m/>
    <m/>
    <m/>
    <d v="2022-06-02T00:00:00"/>
    <x v="6"/>
  </r>
  <r>
    <s v="Agropecuaria Tabaida S.A.S"/>
    <d v="2022-06-02T00:00:00"/>
    <m/>
    <n v="23"/>
    <s v="MT-1413"/>
    <x v="2"/>
    <n v="40573"/>
    <x v="294"/>
    <n v="367185650"/>
    <n v="84"/>
    <n v="4502344469"/>
    <n v="5082134291"/>
    <n v="5113356508"/>
    <m/>
    <s v="EJ*6 1857700*3 1793900*3"/>
    <m/>
    <x v="0"/>
    <d v="2022-06-02T00:00:00"/>
    <n v="4902280190"/>
    <n v="10954800"/>
    <s v="FEMD-4315*3"/>
    <n v="5113357647"/>
    <s v="FEMD-4314*3"/>
    <n v="5113357606"/>
    <m/>
    <m/>
    <d v="2022-06-02T00:00:00"/>
    <x v="6"/>
  </r>
  <r>
    <s v="Sociedad Comercializadora Ganadera"/>
    <d v="2022-06-07T00:00:00"/>
    <d v="2022-06-07T00:00:00"/>
    <n v="23"/>
    <s v="FEDV331"/>
    <x v="0"/>
    <n v="6982.5"/>
    <x v="366"/>
    <n v="67381125"/>
    <n v="15"/>
    <n v="4502342488"/>
    <n v="5082169141"/>
    <n v="5113355362"/>
    <m/>
    <s v="TIENE BL"/>
    <s v="SR2640866"/>
    <x v="0"/>
    <d v="2022-06-03T00:00:00"/>
    <m/>
    <m/>
    <m/>
    <m/>
    <m/>
    <m/>
    <m/>
    <m/>
    <d v="2022-06-03T00:00:00"/>
    <x v="6"/>
  </r>
  <r>
    <s v="Juan Alberto Saldarriaga Marin"/>
    <d v="2022-06-03T00:00:00"/>
    <m/>
    <n v="23"/>
    <n v="6040"/>
    <x v="0"/>
    <n v="42380.5"/>
    <x v="282"/>
    <n v="402614750"/>
    <n v="84"/>
    <n v="4502342506"/>
    <n v="5082117659"/>
    <n v="5113358071"/>
    <m/>
    <m/>
    <s v="SR2640866"/>
    <x v="0"/>
    <d v="2022-06-03T00:00:00"/>
    <m/>
    <m/>
    <m/>
    <m/>
    <m/>
    <m/>
    <m/>
    <m/>
    <d v="2022-06-03T00:00:00"/>
    <x v="6"/>
  </r>
  <r>
    <s v="Inversiones Valle Del Canalete S.A.S"/>
    <d v="2022-06-03T00:00:00"/>
    <d v="2022-03-07T00:00:00"/>
    <n v="23"/>
    <s v="IVC116"/>
    <x v="1"/>
    <n v="26782"/>
    <x v="273"/>
    <n v="243716200"/>
    <n v="56"/>
    <n v="4502347132"/>
    <n v="5082197684"/>
    <n v="5113358045"/>
    <m/>
    <s v="EJ*4 1793900*4"/>
    <m/>
    <x v="0"/>
    <d v="2022-06-03T00:00:00"/>
    <n v="4902280920"/>
    <n v="7175600"/>
    <s v="FEMD-4335*4"/>
    <n v="5113357649"/>
    <m/>
    <m/>
    <m/>
    <m/>
    <d v="2022-06-03T00:00:00"/>
    <x v="6"/>
  </r>
  <r>
    <s v="Sociedad Comercializadora Ganadera"/>
    <d v="2022-06-07T00:00:00"/>
    <d v="2022-06-07T00:00:00"/>
    <n v="23"/>
    <s v="FEDV331"/>
    <x v="0"/>
    <n v="41069.5"/>
    <x v="366"/>
    <n v="396320675"/>
    <n v="91"/>
    <n v="4502342489"/>
    <n v="5082169141"/>
    <n v="5113355362"/>
    <m/>
    <s v="TIENE BL"/>
    <s v="SR2640866"/>
    <x v="0"/>
    <d v="2022-06-03T00:00:00"/>
    <m/>
    <m/>
    <m/>
    <m/>
    <m/>
    <m/>
    <m/>
    <m/>
    <d v="2022-06-03T00:00:00"/>
    <x v="6"/>
  </r>
  <r>
    <s v="Sociedad Comercializadora Ganadera"/>
    <d v="2022-06-07T00:00:00"/>
    <d v="2022-06-07T00:00:00"/>
    <n v="23"/>
    <s v="NC156"/>
    <x v="0"/>
    <n v="48052"/>
    <x v="380"/>
    <n v="-273415.88000002445"/>
    <n v="0"/>
    <n v="4502342489"/>
    <n v="5082169141"/>
    <n v="5113355959"/>
    <m/>
    <m/>
    <m/>
    <x v="0"/>
    <d v="2022-06-03T00:00:00"/>
    <m/>
    <m/>
    <m/>
    <m/>
    <m/>
    <m/>
    <m/>
    <m/>
    <d v="2022-06-03T00:00:00"/>
    <x v="6"/>
  </r>
  <r>
    <s v="Sociedad Comercializadora Ganadera"/>
    <d v="2022-06-07T00:00:00"/>
    <d v="2022-06-07T00:00:00"/>
    <n v="23"/>
    <s v="FEDV332"/>
    <x v="2"/>
    <n v="13162.5"/>
    <x v="366"/>
    <n v="127018125"/>
    <n v="30"/>
    <n v="4502343729"/>
    <n v="5082169146"/>
    <n v="5113355963"/>
    <m/>
    <s v="TIENE BL"/>
    <s v="SR2640866"/>
    <x v="0"/>
    <d v="2022-06-03T00:00:00"/>
    <m/>
    <m/>
    <m/>
    <m/>
    <m/>
    <m/>
    <m/>
    <m/>
    <d v="2022-06-03T00:00:00"/>
    <x v="6"/>
  </r>
  <r>
    <s v="Sociedad Comercializadora Ganadera"/>
    <d v="2022-06-07T00:00:00"/>
    <d v="2022-06-07T00:00:00"/>
    <n v="23"/>
    <s v="NC157"/>
    <x v="2"/>
    <n v="13162.5"/>
    <x v="381"/>
    <n v="-75289.499999991385"/>
    <n v="0"/>
    <n v="4502343729"/>
    <n v="5082169146"/>
    <n v="5113355978"/>
    <m/>
    <m/>
    <m/>
    <x v="0"/>
    <d v="2022-06-03T00:00:00"/>
    <m/>
    <m/>
    <m/>
    <m/>
    <m/>
    <m/>
    <m/>
    <m/>
    <d v="2022-06-03T00:00:00"/>
    <x v="6"/>
  </r>
  <r>
    <s v="David Martinez Jaramillo"/>
    <d v="2022-06-03T00:00:00"/>
    <d v="2022-06-06T00:00:00"/>
    <n v="23"/>
    <s v="DM199"/>
    <x v="2"/>
    <n v="25054"/>
    <x v="320"/>
    <n v="240518400"/>
    <n v="60"/>
    <n v="4502342490"/>
    <n v="5082178338"/>
    <n v="5113358333"/>
    <m/>
    <s v="CON RETEN "/>
    <s v="SR2640866"/>
    <x v="0"/>
    <d v="2022-06-03T00:00:00"/>
    <m/>
    <m/>
    <m/>
    <m/>
    <m/>
    <m/>
    <m/>
    <m/>
    <d v="2022-06-03T00:00:00"/>
    <x v="6"/>
  </r>
  <r>
    <s v="David Martinez Jaramillo"/>
    <d v="2022-06-06T00:00:00"/>
    <d v="2022-06-06T00:00:00"/>
    <n v="23"/>
    <s v="NC41"/>
    <x v="2"/>
    <n v="25054"/>
    <x v="382"/>
    <n v="-1643291.8600000036"/>
    <n v="0"/>
    <n v="4502342490"/>
    <n v="5082178338"/>
    <n v="5113358334"/>
    <m/>
    <m/>
    <m/>
    <x v="0"/>
    <d v="2022-06-03T00:00:00"/>
    <m/>
    <m/>
    <m/>
    <m/>
    <m/>
    <m/>
    <m/>
    <m/>
    <d v="2022-06-03T00:00:00"/>
    <x v="6"/>
  </r>
  <r>
    <s v="Angela Maria Restrepo Diaz"/>
    <d v="2022-06-07T00:00:00"/>
    <d v="2022-06-07T00:00:00"/>
    <n v="23"/>
    <s v="AR87"/>
    <x v="0"/>
    <n v="20664"/>
    <x v="237"/>
    <n v="185976000"/>
    <n v="42"/>
    <n v="4502347134"/>
    <n v="5082197685"/>
    <n v="5113358067"/>
    <m/>
    <s v="NUMA*3 920000*3"/>
    <m/>
    <x v="0"/>
    <d v="2022-06-04T00:00:00"/>
    <n v="4902280923"/>
    <n v="2760000"/>
    <s v="MOVI-1519*3"/>
    <n v="5113357324"/>
    <m/>
    <m/>
    <m/>
    <m/>
    <d v="2022-06-04T00:00:00"/>
    <x v="6"/>
  </r>
  <r>
    <s v="Carlos Mario Duque Cadavid"/>
    <d v="2022-06-04T00:00:00"/>
    <m/>
    <n v="23"/>
    <s v="CD-111"/>
    <x v="0"/>
    <n v="20427"/>
    <x v="273"/>
    <n v="185885700"/>
    <n v="42"/>
    <n v="4502347135"/>
    <n v="5082197687"/>
    <n v="5113358043"/>
    <m/>
    <s v="EJ*3 1771100*3"/>
    <m/>
    <x v="0"/>
    <d v="2022-06-04T00:00:00"/>
    <n v="4902280924"/>
    <n v="5313300"/>
    <s v="FEMD-4349*3"/>
    <n v="5113357318"/>
    <m/>
    <m/>
    <m/>
    <m/>
    <d v="2022-06-04T00:00:00"/>
    <x v="6"/>
  </r>
  <r>
    <s v="Lismenia Torcoroma Rincon Hernandez"/>
    <d v="2022-06-07T00:00:00"/>
    <d v="2022-06-07T00:00:00"/>
    <n v="23"/>
    <s v="GANA210"/>
    <x v="0"/>
    <n v="6560.5"/>
    <x v="266"/>
    <n v="61340675"/>
    <n v="16"/>
    <n v="4502342492"/>
    <n v="5082178339"/>
    <n v="5113357020"/>
    <m/>
    <s v="TIENE BL"/>
    <s v="SR2640866"/>
    <x v="0"/>
    <d v="2022-06-04T00:00:00"/>
    <m/>
    <m/>
    <m/>
    <m/>
    <m/>
    <m/>
    <m/>
    <m/>
    <d v="2022-06-04T00:00:00"/>
    <x v="6"/>
  </r>
  <r>
    <s v="Lismenia Torcoroma Rincon Hernandez"/>
    <d v="2022-06-07T00:00:00"/>
    <d v="2022-06-07T00:00:00"/>
    <n v="23"/>
    <s v="NC000048"/>
    <x v="0"/>
    <n v="6560.5"/>
    <x v="383"/>
    <n v="-601532.24500000337"/>
    <n v="0"/>
    <n v="4502342492"/>
    <n v="5082178339"/>
    <n v="5113357022"/>
    <m/>
    <m/>
    <m/>
    <x v="0"/>
    <d v="2022-06-04T00:00:00"/>
    <m/>
    <m/>
    <m/>
    <m/>
    <m/>
    <m/>
    <m/>
    <m/>
    <d v="2022-06-04T00:00:00"/>
    <x v="6"/>
  </r>
  <r>
    <s v="Pedro Alirio Barajas Gomez"/>
    <d v="2022-06-07T00:00:00"/>
    <m/>
    <n v="23"/>
    <s v="FE-272"/>
    <x v="0"/>
    <n v="5970"/>
    <x v="278"/>
    <n v="54924000"/>
    <n v="14"/>
    <n v="4502342493"/>
    <n v="5082169144"/>
    <n v="5113358038"/>
    <m/>
    <s v="CON RETEN"/>
    <m/>
    <x v="0"/>
    <d v="2022-06-04T00:00:00"/>
    <m/>
    <m/>
    <m/>
    <m/>
    <m/>
    <m/>
    <m/>
    <m/>
    <d v="2022-06-04T00:00:00"/>
    <x v="6"/>
  </r>
  <r>
    <s v="Pedro Alirio Barajas Gomez"/>
    <d v="2022-06-07T00:00:00"/>
    <m/>
    <n v="23"/>
    <s v="NC68"/>
    <x v="0"/>
    <n v="5970"/>
    <x v="384"/>
    <n v="-37372.200000001307"/>
    <n v="0"/>
    <n v="4502342493"/>
    <n v="5082169144"/>
    <n v="5113358041"/>
    <m/>
    <m/>
    <m/>
    <x v="0"/>
    <d v="2022-06-04T00:00:00"/>
    <m/>
    <m/>
    <m/>
    <m/>
    <m/>
    <m/>
    <m/>
    <m/>
    <d v="2022-06-04T00:00:00"/>
    <x v="6"/>
  </r>
  <r>
    <s v="Hugo Alfonso Portillo Rodriguez"/>
    <d v="2022-06-05T00:00:00"/>
    <d v="2022-06-08T00:00:00"/>
    <n v="23"/>
    <s v="E-137"/>
    <x v="2"/>
    <n v="7037.5"/>
    <x v="278"/>
    <n v="64745000"/>
    <n v="14"/>
    <n v="4502342494"/>
    <n v="5082169145"/>
    <n v="5113358826"/>
    <m/>
    <s v="TIENE BL"/>
    <m/>
    <x v="0"/>
    <d v="2022-06-04T00:00:00"/>
    <m/>
    <m/>
    <m/>
    <m/>
    <m/>
    <m/>
    <m/>
    <m/>
    <d v="2022-06-04T00:00:00"/>
    <x v="6"/>
  </r>
  <r>
    <s v="Hugo Alfonso Portillo Rodriguez"/>
    <d v="2022-06-05T00:00:00"/>
    <d v="2022-06-08T00:00:00"/>
    <n v="23"/>
    <s v="NC16"/>
    <x v="2"/>
    <n v="7037.5"/>
    <x v="385"/>
    <n v="-263976.62500000151"/>
    <n v="0"/>
    <n v="4502342494"/>
    <n v="5082169145"/>
    <n v="5113358898"/>
    <m/>
    <m/>
    <m/>
    <x v="0"/>
    <d v="2022-06-04T00:00:00"/>
    <m/>
    <m/>
    <m/>
    <m/>
    <m/>
    <m/>
    <m/>
    <m/>
    <d v="2022-06-04T00:00:00"/>
    <x v="6"/>
  </r>
  <r>
    <s v="David Martinez Jaramillo"/>
    <d v="2022-06-04T00:00:00"/>
    <d v="2022-06-07T00:00:00"/>
    <n v="23"/>
    <s v="DM200"/>
    <x v="2"/>
    <n v="20403.5"/>
    <x v="320"/>
    <n v="195873600"/>
    <n v="44"/>
    <n v="4502342495"/>
    <n v="5082178340"/>
    <n v="5113358335"/>
    <m/>
    <s v="CON RETEN "/>
    <s v="SR2640866"/>
    <x v="0"/>
    <d v="2022-06-04T00:00:00"/>
    <m/>
    <m/>
    <m/>
    <m/>
    <m/>
    <m/>
    <m/>
    <m/>
    <d v="2022-06-04T00:00:00"/>
    <x v="6"/>
  </r>
  <r>
    <s v="David Martinez Jaramillo"/>
    <d v="2022-06-07T00:00:00"/>
    <d v="2022-06-07T00:00:00"/>
    <n v="23"/>
    <s v="NC42"/>
    <x v="2"/>
    <n v="20403.5"/>
    <x v="13"/>
    <n v="-1020175"/>
    <n v="0"/>
    <n v="4502342495"/>
    <n v="5082178340"/>
    <n v="5113358367"/>
    <m/>
    <m/>
    <m/>
    <x v="0"/>
    <d v="2022-06-04T00:00:00"/>
    <m/>
    <m/>
    <m/>
    <m/>
    <m/>
    <m/>
    <m/>
    <m/>
    <d v="2022-06-04T00:00:00"/>
    <x v="6"/>
  </r>
  <r>
    <s v="Sociedad Comercializadora Ganadera"/>
    <d v="2022-06-07T00:00:00"/>
    <d v="2022-06-07T00:00:00"/>
    <n v="23"/>
    <s v="FEDV333"/>
    <x v="0"/>
    <n v="27997.5"/>
    <x v="366"/>
    <n v="270175875"/>
    <n v="60"/>
    <n v="4502342497"/>
    <n v="5082183892"/>
    <n v="5113355981"/>
    <m/>
    <s v="TIENE BL"/>
    <s v="SR2640866"/>
    <x v="0"/>
    <d v="2022-06-05T00:00:00"/>
    <m/>
    <m/>
    <m/>
    <m/>
    <m/>
    <m/>
    <m/>
    <m/>
    <d v="2022-06-05T00:00:00"/>
    <x v="6"/>
  </r>
  <r>
    <s v="Sociedad Comercializadora Ganadera"/>
    <d v="2022-06-07T00:00:00"/>
    <d v="2022-06-07T00:00:00"/>
    <n v="23"/>
    <s v="NC158"/>
    <x v="0"/>
    <n v="27997.5"/>
    <x v="386"/>
    <n v="-1438791.5249999836"/>
    <n v="0"/>
    <n v="4502342497"/>
    <n v="5082183892"/>
    <n v="5113355983"/>
    <m/>
    <m/>
    <m/>
    <x v="0"/>
    <d v="2022-06-05T00:00:00"/>
    <m/>
    <m/>
    <m/>
    <m/>
    <m/>
    <m/>
    <m/>
    <m/>
    <d v="2022-06-05T00:00:00"/>
    <x v="6"/>
  </r>
  <r>
    <s v="Lismenia Torcoroma Rincon Hernandez"/>
    <d v="2022-06-07T00:00:00"/>
    <d v="2022-06-07T00:00:00"/>
    <n v="23"/>
    <s v="GANA211"/>
    <x v="0"/>
    <n v="39851.5"/>
    <x v="266"/>
    <n v="372611525"/>
    <n v="84"/>
    <n v="4502342498"/>
    <n v="5082183893"/>
    <n v="5113356275"/>
    <m/>
    <s v="CON RETEN"/>
    <m/>
    <x v="0"/>
    <d v="2022-06-05T00:00:00"/>
    <m/>
    <m/>
    <m/>
    <m/>
    <m/>
    <m/>
    <m/>
    <m/>
    <d v="2022-06-05T00:00:00"/>
    <x v="6"/>
  </r>
  <r>
    <s v="Lismenia Torcoroma Rincon Hernandez"/>
    <d v="2022-06-07T00:00:00"/>
    <d v="2022-06-07T00:00:00"/>
    <n v="23"/>
    <s v="NC000049"/>
    <x v="0"/>
    <n v="39851.5"/>
    <x v="387"/>
    <n v="-39054.469999982604"/>
    <n v="0"/>
    <n v="4502342498"/>
    <n v="5082183893"/>
    <n v="5113356276"/>
    <m/>
    <m/>
    <m/>
    <x v="0"/>
    <d v="2022-06-05T00:00:00"/>
    <m/>
    <m/>
    <m/>
    <m/>
    <m/>
    <m/>
    <m/>
    <m/>
    <d v="2022-06-05T00:00:00"/>
    <x v="6"/>
  </r>
  <r>
    <s v="Guillermo Acevedo Plata"/>
    <d v="2022-06-08T00:00:00"/>
    <d v="2022-06-08T00:00:00"/>
    <n v="23"/>
    <s v="FVE-6"/>
    <x v="1"/>
    <n v="7105"/>
    <x v="340"/>
    <n v="65721250"/>
    <n v="15"/>
    <n v="4502342499"/>
    <n v="5082184360"/>
    <n v="5113358825"/>
    <m/>
    <s v="CON RETEN"/>
    <s v=" SR2655264"/>
    <x v="0"/>
    <d v="2022-06-05T00:00:00"/>
    <m/>
    <m/>
    <m/>
    <m/>
    <m/>
    <m/>
    <m/>
    <m/>
    <d v="2022-06-05T00:00:00"/>
    <x v="6"/>
  </r>
  <r>
    <s v="David Martinez Jaramillo"/>
    <d v="2022-06-05T00:00:00"/>
    <d v="2022-06-07T00:00:00"/>
    <n v="23"/>
    <s v="DM201"/>
    <x v="1"/>
    <n v="21028.5"/>
    <x v="320"/>
    <n v="201873600"/>
    <n v="42"/>
    <n v="4502342501"/>
    <n v="5082184361"/>
    <n v="5113358368"/>
    <m/>
    <s v="CON RETEN "/>
    <m/>
    <x v="0"/>
    <d v="2022-06-05T00:00:00"/>
    <m/>
    <m/>
    <m/>
    <m/>
    <m/>
    <m/>
    <m/>
    <m/>
    <d v="2022-06-05T00:00:00"/>
    <x v="6"/>
  </r>
  <r>
    <s v="Luis Eduardo Sanchez Ruedas"/>
    <d v="2022-06-06T00:00:00"/>
    <m/>
    <n v="23"/>
    <s v="FE-159"/>
    <x v="0"/>
    <n v="28718.5"/>
    <x v="266"/>
    <n v="268517975"/>
    <n v="60"/>
    <n v="4502342503"/>
    <n v="5082198707"/>
    <n v="5113366835"/>
    <m/>
    <s v="CON RETEN"/>
    <m/>
    <x v="0"/>
    <d v="2022-06-06T00:00:00"/>
    <m/>
    <m/>
    <m/>
    <m/>
    <m/>
    <m/>
    <m/>
    <m/>
    <d v="2022-06-06T00:00:00"/>
    <x v="6"/>
  </r>
  <r>
    <s v="Luis Eduardo Sanchez Ruedas"/>
    <d v="2022-06-10T00:00:00"/>
    <m/>
    <n v="23"/>
    <s v="DF29"/>
    <x v="0"/>
    <n v="28718.5"/>
    <x v="388"/>
    <n v="1396580.655"/>
    <n v="0"/>
    <n v="4502342503"/>
    <n v="5082198707"/>
    <n v="5113372393"/>
    <m/>
    <m/>
    <s v="SR2655264 la pedi por WA "/>
    <x v="0"/>
    <d v="2022-06-06T00:00:00"/>
    <m/>
    <m/>
    <m/>
    <m/>
    <m/>
    <m/>
    <m/>
    <m/>
    <d v="2022-06-06T00:00:00"/>
    <x v="6"/>
  </r>
  <r>
    <s v="Miguel Antonio Carrascal Pacheco"/>
    <d v="2022-06-09T00:00:00"/>
    <d v="2022-06-10T00:00:00"/>
    <n v="23"/>
    <s v="FAMC3"/>
    <x v="0"/>
    <n v="7247"/>
    <x v="340"/>
    <n v="67034750"/>
    <n v="14"/>
    <n v="4502342504"/>
    <n v="5082198838"/>
    <n v="5113364960"/>
    <m/>
    <s v="TIENE BL"/>
    <m/>
    <x v="0"/>
    <d v="2022-06-06T00:00:00"/>
    <m/>
    <m/>
    <m/>
    <m/>
    <m/>
    <m/>
    <m/>
    <m/>
    <d v="2022-06-06T00:00:00"/>
    <x v="6"/>
  </r>
  <r>
    <s v="Miguel Antonio Carrascal Pacheco"/>
    <d v="2022-06-09T00:00:00"/>
    <d v="2022-06-10T00:00:00"/>
    <n v="23"/>
    <s v="NCR39"/>
    <x v="0"/>
    <n v="7247"/>
    <x v="389"/>
    <n v="-872176.45000000263"/>
    <n v="0"/>
    <n v="4502342504"/>
    <n v="5082198838"/>
    <n v="5113364961"/>
    <m/>
    <m/>
    <m/>
    <x v="0"/>
    <d v="2022-06-06T00:00:00"/>
    <m/>
    <m/>
    <m/>
    <m/>
    <m/>
    <m/>
    <m/>
    <m/>
    <d v="2022-06-06T00:00:00"/>
    <x v="6"/>
  </r>
  <r>
    <s v="David Martinez Jaramillo"/>
    <d v="2022-06-07T00:00:00"/>
    <d v="2022-06-10T00:00:00"/>
    <n v="23"/>
    <s v="DM202"/>
    <x v="0"/>
    <n v="18979.5"/>
    <x v="320"/>
    <n v="182203200"/>
    <n v="42"/>
    <n v="4502342505"/>
    <n v="5082199155"/>
    <n v="5113366348"/>
    <m/>
    <s v="TIENE BL"/>
    <m/>
    <x v="0"/>
    <d v="2022-06-07T00:00:00"/>
    <m/>
    <m/>
    <m/>
    <m/>
    <m/>
    <m/>
    <m/>
    <m/>
    <d v="2022-06-07T00:00:00"/>
    <x v="6"/>
  </r>
  <r>
    <s v="David Martinez Jaramillo"/>
    <d v="2022-06-07T00:00:00"/>
    <d v="2022-06-10T00:00:00"/>
    <n v="23"/>
    <s v="DM202"/>
    <x v="0"/>
    <n v="13587.5"/>
    <x v="320"/>
    <n v="130440000"/>
    <n v="30"/>
    <n v="4502343747"/>
    <n v="5082199155"/>
    <n v="5113366348"/>
    <m/>
    <s v="TIENE BL"/>
    <s v=" SR2655264"/>
    <x v="0"/>
    <d v="2022-06-07T00:00:00"/>
    <m/>
    <m/>
    <m/>
    <m/>
    <m/>
    <m/>
    <m/>
    <m/>
    <d v="2022-06-07T00:00:00"/>
    <x v="6"/>
  </r>
  <r>
    <s v="David Martinez Jaramillo"/>
    <d v="2022-06-10T00:00:00"/>
    <d v="2022-06-10T00:00:00"/>
    <n v="23"/>
    <s v="NC43"/>
    <x v="0"/>
    <n v="32567"/>
    <x v="390"/>
    <n v="-191819.62999998103"/>
    <n v="0"/>
    <n v="4502343747"/>
    <n v="5082199155"/>
    <n v="5113366350"/>
    <m/>
    <m/>
    <m/>
    <x v="0"/>
    <d v="2022-06-07T00:00:00"/>
    <m/>
    <m/>
    <m/>
    <m/>
    <m/>
    <m/>
    <m/>
    <m/>
    <d v="2022-06-07T00:00:00"/>
    <x v="6"/>
  </r>
  <r>
    <s v="Sociedad Comercializadora Ganadera"/>
    <d v="2022-06-10T00:00:00"/>
    <d v="2022-06-10T00:00:00"/>
    <n v="23"/>
    <s v="FEDV336"/>
    <x v="0"/>
    <n v="12798"/>
    <x v="366"/>
    <n v="123500700"/>
    <n v="28"/>
    <n v="4502343745"/>
    <n v="5082199029"/>
    <n v="5113365533"/>
    <m/>
    <s v="TIENE BL"/>
    <s v=" SR2655264"/>
    <x v="0"/>
    <d v="2022-06-07T00:00:00"/>
    <m/>
    <m/>
    <m/>
    <m/>
    <m/>
    <m/>
    <m/>
    <m/>
    <d v="2022-06-07T00:00:00"/>
    <x v="6"/>
  </r>
  <r>
    <s v="Sociedad Comercializadora Ganadera"/>
    <d v="2022-06-10T00:00:00"/>
    <d v="2022-06-10T00:00:00"/>
    <n v="23"/>
    <s v="FEDV337"/>
    <x v="0"/>
    <n v="14518.5"/>
    <x v="366"/>
    <n v="140103525"/>
    <n v="30"/>
    <n v="4502343745"/>
    <n v="5082199029"/>
    <n v="5113364962"/>
    <m/>
    <s v="TIENE BL"/>
    <s v=" SR2655264"/>
    <x v="0"/>
    <d v="2022-06-07T00:00:00"/>
    <m/>
    <m/>
    <m/>
    <m/>
    <m/>
    <m/>
    <m/>
    <m/>
    <d v="2022-06-07T00:00:00"/>
    <x v="6"/>
  </r>
  <r>
    <s v="Henry Alonso Pacheco Peñaranda"/>
    <d v="2022-06-10T00:00:00"/>
    <m/>
    <n v="23"/>
    <s v="1PAC-12"/>
    <x v="0"/>
    <n v="28554.5"/>
    <x v="340"/>
    <n v="264129125"/>
    <n v="56"/>
    <n v="4502342507"/>
    <n v="5082199004"/>
    <n v="5113365954"/>
    <m/>
    <s v="TIENE BL"/>
    <s v="SR2636581 LA REGISTRAN esperar BL"/>
    <x v="0"/>
    <d v="2022-06-07T00:00:00"/>
    <m/>
    <m/>
    <m/>
    <m/>
    <m/>
    <m/>
    <m/>
    <m/>
    <d v="2022-06-07T00:00:00"/>
    <x v="6"/>
  </r>
  <r>
    <s v="Agropecuaria El Barzal S.A.S"/>
    <d v="2022-06-07T00:00:00"/>
    <d v="2022-06-10T00:00:00"/>
    <n v="23"/>
    <s v="FE-60"/>
    <x v="0"/>
    <n v="14109"/>
    <x v="265"/>
    <n v="132624600"/>
    <n v="28"/>
    <n v="4502342508"/>
    <n v="5082199006"/>
    <n v="5113365048"/>
    <m/>
    <s v="TIENE BL"/>
    <s v=" SR2655264"/>
    <x v="0"/>
    <d v="2022-06-07T00:00:00"/>
    <m/>
    <m/>
    <m/>
    <m/>
    <m/>
    <m/>
    <m/>
    <m/>
    <d v="2022-06-07T00:00:00"/>
    <x v="6"/>
  </r>
  <r>
    <s v="Agropecuaria El Barzal S.A.S"/>
    <d v="2022-06-07T00:00:00"/>
    <d v="2022-06-10T00:00:00"/>
    <n v="23"/>
    <s v="ND12"/>
    <x v="0"/>
    <n v="14109"/>
    <x v="13"/>
    <n v="705450"/>
    <n v="0"/>
    <n v="4502342508"/>
    <n v="5082199006"/>
    <n v="5113365050"/>
    <m/>
    <m/>
    <s v=" SR2655264"/>
    <x v="0"/>
    <d v="2022-06-07T00:00:00"/>
    <m/>
    <m/>
    <m/>
    <m/>
    <m/>
    <m/>
    <m/>
    <m/>
    <d v="2022-06-07T00:00:00"/>
    <x v="6"/>
  </r>
  <r>
    <s v="Agroindustria Ganadera Valle Del Cesar"/>
    <d v="2022-06-14T00:00:00"/>
    <m/>
    <n v="23"/>
    <s v="FE-47"/>
    <x v="0"/>
    <n v="13970.5"/>
    <x v="273"/>
    <n v="127131550"/>
    <n v="28"/>
    <n v="4502342509"/>
    <n v="5082199007"/>
    <n v="5113369550"/>
    <m/>
    <s v="CON RETEN"/>
    <s v="Se solicito por WA Armando S"/>
    <x v="0"/>
    <d v="2022-06-07T00:00:00"/>
    <m/>
    <m/>
    <m/>
    <m/>
    <m/>
    <m/>
    <m/>
    <m/>
    <d v="2022-06-07T00:00:00"/>
    <x v="6"/>
  </r>
  <r>
    <s v="Agroindustria Ganadera Valle Del Cesar"/>
    <d v="2022-06-14T00:00:00"/>
    <m/>
    <n v="23"/>
    <s v="C0029"/>
    <x v="0"/>
    <n v="13970.5"/>
    <x v="391"/>
    <n v="-275777.66999999696"/>
    <n v="0"/>
    <n v="4502342509"/>
    <n v="5082199007"/>
    <n v="5113369551"/>
    <m/>
    <m/>
    <m/>
    <x v="0"/>
    <d v="2022-06-07T00:00:00"/>
    <m/>
    <m/>
    <m/>
    <m/>
    <m/>
    <m/>
    <m/>
    <m/>
    <d v="2022-06-07T00:00:00"/>
    <x v="6"/>
  </r>
  <r>
    <s v="Adrian Alberto Alvarez Henao"/>
    <d v="2022-06-10T00:00:00"/>
    <m/>
    <n v="23"/>
    <s v="AAAH-45"/>
    <x v="0"/>
    <n v="13567.5"/>
    <x v="282"/>
    <n v="128891250"/>
    <n v="30"/>
    <n v="4502343750"/>
    <n v="5082199156"/>
    <n v="5113367048"/>
    <m/>
    <s v="TIENE BL"/>
    <s v=" SR2655264"/>
    <x v="0"/>
    <d v="2022-06-07T00:00:00"/>
    <m/>
    <m/>
    <m/>
    <m/>
    <m/>
    <m/>
    <m/>
    <m/>
    <d v="2022-06-07T00:00:00"/>
    <x v="6"/>
  </r>
  <r>
    <s v="Adrian Alberto Alvarez Henao"/>
    <d v="2022-06-10T00:00:00"/>
    <m/>
    <n v="23"/>
    <s v="AD21"/>
    <x v="0"/>
    <n v="13567.5"/>
    <x v="392"/>
    <n v="-259817.62499999505"/>
    <n v="0"/>
    <n v="4502343750"/>
    <n v="5082199156"/>
    <n v="5113367050"/>
    <m/>
    <m/>
    <m/>
    <x v="0"/>
    <d v="2022-06-07T00:00:00"/>
    <m/>
    <m/>
    <m/>
    <m/>
    <m/>
    <m/>
    <m/>
    <m/>
    <d v="2022-06-07T00:00:00"/>
    <x v="6"/>
  </r>
  <r>
    <s v="Surtidora Agropecuaria De Colombia"/>
    <d v="2022-06-08T00:00:00"/>
    <d v="2022-06-10T00:00:00"/>
    <n v="23"/>
    <s v="FESA-40"/>
    <x v="1"/>
    <n v="20960"/>
    <x v="273"/>
    <n v="190736000"/>
    <n v="42"/>
    <n v="4502347137"/>
    <n v="5082197788"/>
    <n v="5113361849"/>
    <s v="TIENE BL "/>
    <s v="EJ*3  1863200*2 1633100*1"/>
    <s v="SR2655264 TIENE BL "/>
    <x v="0"/>
    <d v="2022-06-07T00:00:00"/>
    <n v="4902280925"/>
    <n v="5359500"/>
    <s v="FEMD-4374*3"/>
    <n v="5113372560"/>
    <m/>
    <m/>
    <m/>
    <m/>
    <d v="2022-06-07T00:00:00"/>
    <x v="6"/>
  </r>
  <r>
    <s v="Andres Jaramillo Bernal"/>
    <d v="2022-06-07T00:00:00"/>
    <d v="2022-06-14T00:00:00"/>
    <n v="23"/>
    <s v="FEVA-5177"/>
    <x v="1"/>
    <n v="6444"/>
    <x v="278"/>
    <n v="59284800"/>
    <n v="14"/>
    <n v="4502343458"/>
    <n v="5082199028"/>
    <n v="5113368808"/>
    <m/>
    <s v="TIENE BL"/>
    <s v="SR2655264 se solicito por WA"/>
    <x v="0"/>
    <d v="2022-06-07T00:00:00"/>
    <m/>
    <m/>
    <m/>
    <m/>
    <m/>
    <m/>
    <m/>
    <m/>
    <d v="2022-06-07T00:00:00"/>
    <x v="6"/>
  </r>
  <r>
    <s v="Andres Jaramillo Bernal"/>
    <d v="2022-06-07T00:00:00"/>
    <d v="2022-06-14T00:00:00"/>
    <n v="23"/>
    <s v="NCE31"/>
    <x v="1"/>
    <n v="6444"/>
    <x v="13"/>
    <n v="-322200"/>
    <n v="0"/>
    <n v="4502343458"/>
    <n v="5082199028"/>
    <n v="5113368809"/>
    <m/>
    <m/>
    <m/>
    <x v="0"/>
    <d v="2022-06-07T00:00:00"/>
    <m/>
    <m/>
    <m/>
    <m/>
    <m/>
    <m/>
    <m/>
    <m/>
    <d v="2022-06-07T00:00:00"/>
    <x v="6"/>
  </r>
  <r>
    <s v="David Martinez Jaramillo"/>
    <d v="2022-06-10T00:00:00"/>
    <d v="2022-06-13T00:00:00"/>
    <n v="24"/>
    <s v="DM203"/>
    <x v="0"/>
    <n v="49212"/>
    <x v="282"/>
    <n v="467514000"/>
    <n v="101"/>
    <n v="4502347616"/>
    <n v="5082232964"/>
    <n v="5113369784"/>
    <m/>
    <s v="TIENE BL"/>
    <s v=" SR2655264"/>
    <x v="0"/>
    <d v="2022-06-09T00:00:00"/>
    <m/>
    <m/>
    <m/>
    <m/>
    <m/>
    <m/>
    <m/>
    <m/>
    <d v="2022-06-09T00:00:00"/>
    <x v="6"/>
  </r>
  <r>
    <s v="David Martinez Jaramillo"/>
    <d v="2022-06-10T00:00:00"/>
    <d v="2022-06-13T00:00:00"/>
    <n v="24"/>
    <s v="DM203"/>
    <x v="0"/>
    <n v="21620.5"/>
    <x v="282"/>
    <n v="205394750"/>
    <n v="42"/>
    <n v="4502348648"/>
    <n v="5082232964"/>
    <n v="5113369784"/>
    <m/>
    <s v="TIENE BL"/>
    <s v=" SR2655264"/>
    <x v="0"/>
    <d v="2022-06-09T00:00:00"/>
    <m/>
    <m/>
    <m/>
    <m/>
    <m/>
    <m/>
    <m/>
    <m/>
    <d v="2022-06-09T00:00:00"/>
    <x v="6"/>
  </r>
  <r>
    <s v="David Martinez Jaramillo"/>
    <d v="2022-06-13T00:00:00"/>
    <d v="2022-06-13T00:00:00"/>
    <n v="24"/>
    <s v="NC44"/>
    <x v="0"/>
    <n v="70832.5"/>
    <x v="393"/>
    <n v="-60207.625000025771"/>
    <n v="0"/>
    <n v="4502348648"/>
    <n v="5082232964"/>
    <n v="5113369786"/>
    <m/>
    <m/>
    <m/>
    <x v="0"/>
    <d v="2022-06-09T00:00:00"/>
    <m/>
    <m/>
    <m/>
    <m/>
    <m/>
    <m/>
    <m/>
    <m/>
    <d v="2022-06-09T00:00:00"/>
    <x v="6"/>
  </r>
  <r>
    <s v="Carlos Mario Duque Cadavid"/>
    <d v="2022-06-09T00:00:00"/>
    <m/>
    <n v="24"/>
    <s v="CD-112"/>
    <x v="0"/>
    <n v="21799"/>
    <x v="314"/>
    <n v="195101050"/>
    <n v="42"/>
    <n v="4502349043"/>
    <n v="5082233026"/>
    <n v="5113369702"/>
    <m/>
    <s v="EJ*3 1638223*3"/>
    <s v="hoy la envian "/>
    <x v="0"/>
    <d v="2022-06-09T00:00:00"/>
    <n v="4902284894"/>
    <n v="4914669"/>
    <s v="FEMD-4375*3"/>
    <n v="5113372562"/>
    <m/>
    <m/>
    <m/>
    <m/>
    <d v="2022-06-09T00:00:00"/>
    <x v="6"/>
  </r>
  <r>
    <s v="Sociedad Comercializadora Ganadera"/>
    <d v="2022-06-13T00:00:00"/>
    <d v="2022-06-13T00:00:00"/>
    <n v="24"/>
    <s v="FEDV339"/>
    <x v="1"/>
    <n v="24524"/>
    <x v="320"/>
    <n v="235430400"/>
    <n v="45"/>
    <n v="4502347617"/>
    <n v="5082232966"/>
    <n v="5113368538"/>
    <m/>
    <s v="TIENE BL"/>
    <s v=" SR2655264"/>
    <x v="0"/>
    <d v="2022-06-09T00:00:00"/>
    <m/>
    <m/>
    <m/>
    <m/>
    <m/>
    <m/>
    <m/>
    <m/>
    <d v="2022-06-09T00:00:00"/>
    <x v="6"/>
  </r>
  <r>
    <s v="Inversiones y Negocios V&amp;V S.A.S"/>
    <d v="2022-06-14T00:00:00"/>
    <d v="2022-06-14T00:00:00"/>
    <n v="24"/>
    <s v="FE-1662"/>
    <x v="1"/>
    <n v="6828.5"/>
    <x v="282"/>
    <n v="64870750"/>
    <n v="14"/>
    <n v="4502347618"/>
    <n v="5082232967"/>
    <n v="5113368539"/>
    <m/>
    <s v="CON RETEN"/>
    <m/>
    <x v="0"/>
    <d v="2022-06-09T00:00:00"/>
    <m/>
    <m/>
    <m/>
    <m/>
    <m/>
    <m/>
    <m/>
    <m/>
    <d v="2022-06-09T00:00:00"/>
    <x v="6"/>
  </r>
  <r>
    <s v="Angel David Castilla Sanchez"/>
    <d v="2022-06-14T00:00:00"/>
    <m/>
    <n v="24"/>
    <s v="FED-741"/>
    <x v="0"/>
    <n v="14043.5"/>
    <x v="319"/>
    <n v="128498025"/>
    <n v="30"/>
    <n v="4502347619"/>
    <n v="5082259564"/>
    <n v="5113371373"/>
    <m/>
    <s v="TIENE BL"/>
    <m/>
    <x v="0"/>
    <d v="2022-06-10T00:00:00"/>
    <m/>
    <m/>
    <m/>
    <m/>
    <m/>
    <m/>
    <m/>
    <m/>
    <d v="2022-06-10T00:00:00"/>
    <x v="6"/>
  </r>
  <r>
    <s v="Sociedad Comercializadora Ganadera"/>
    <d v="2022-06-13T00:00:00"/>
    <d v="2022-06-13T00:00:00"/>
    <n v="24"/>
    <s v="FEDV340"/>
    <x v="0"/>
    <n v="33989.5"/>
    <x v="320"/>
    <n v="326299200"/>
    <n v="75"/>
    <n v="4502347620"/>
    <n v="5082260201"/>
    <n v="5113368543"/>
    <m/>
    <s v="TIENE BL"/>
    <m/>
    <x v="0"/>
    <d v="2022-06-10T00:00:00"/>
    <m/>
    <m/>
    <m/>
    <m/>
    <m/>
    <m/>
    <m/>
    <m/>
    <d v="2022-06-10T00:00:00"/>
    <x v="6"/>
  </r>
  <r>
    <s v="Sociedad Comercializadora Ganadera"/>
    <d v="2022-06-13T00:00:00"/>
    <d v="2022-06-13T00:00:00"/>
    <n v="24"/>
    <s v="FEDV341"/>
    <x v="0"/>
    <n v="13974"/>
    <x v="320"/>
    <n v="134150400"/>
    <n v="31"/>
    <n v="4502347620"/>
    <n v="5082260201"/>
    <n v="5113368567"/>
    <m/>
    <s v="TIENE BL"/>
    <m/>
    <x v="0"/>
    <d v="2022-06-10T00:00:00"/>
    <m/>
    <m/>
    <m/>
    <m/>
    <m/>
    <m/>
    <m/>
    <m/>
    <d v="2022-06-10T00:00:00"/>
    <x v="6"/>
  </r>
  <r>
    <s v="Sociedad Comercializadora Ganadera"/>
    <d v="2022-06-14T00:00:00"/>
    <d v="2022-06-14T00:00:00"/>
    <n v="24"/>
    <s v="NC161"/>
    <x v="0"/>
    <n v="13974"/>
    <x v="394"/>
    <n v="-1510449.660000002"/>
    <n v="0"/>
    <n v="4502347620"/>
    <n v="5082260201"/>
    <n v="5113368810"/>
    <m/>
    <m/>
    <m/>
    <x v="0"/>
    <d v="2022-06-10T00:00:00"/>
    <m/>
    <m/>
    <m/>
    <m/>
    <m/>
    <m/>
    <m/>
    <m/>
    <d v="2022-06-10T00:00:00"/>
    <x v="6"/>
  </r>
  <r>
    <s v="Luis Eduardo Sanchez Ruedas"/>
    <d v="2022-06-13T00:00:00"/>
    <d v="2022-06-13T00:00:00"/>
    <n v="24"/>
    <s v="FE-160"/>
    <x v="0"/>
    <n v="13517.5"/>
    <x v="278"/>
    <n v="124361000"/>
    <n v="30"/>
    <n v="4502351037"/>
    <n v="5082276774"/>
    <n v="5113367110"/>
    <m/>
    <s v="CON RETEN"/>
    <s v="SR2655264"/>
    <x v="0"/>
    <d v="2022-06-10T00:00:00"/>
    <m/>
    <m/>
    <m/>
    <m/>
    <m/>
    <m/>
    <m/>
    <m/>
    <d v="2022-06-10T00:00:00"/>
    <x v="6"/>
  </r>
  <r>
    <s v="Luis Eduardo Sanchez Ruedas"/>
    <m/>
    <m/>
    <n v="24"/>
    <s v="DF210"/>
    <x v="0"/>
    <n v="13517.5"/>
    <x v="395"/>
    <n v="1312143.7249999999"/>
    <n v="0"/>
    <n v="4502351037"/>
    <n v="5082276774"/>
    <n v="5113366850"/>
    <m/>
    <m/>
    <s v="SR2655264"/>
    <x v="0"/>
    <d v="2022-06-10T00:00:00"/>
    <m/>
    <m/>
    <m/>
    <m/>
    <m/>
    <m/>
    <m/>
    <m/>
    <d v="2022-06-10T00:00:00"/>
    <x v="6"/>
  </r>
  <r>
    <s v="Adrian Alberto Alvarez Henao"/>
    <d v="2022-06-13T00:00:00"/>
    <d v="2022-06-13T00:00:00"/>
    <n v="24"/>
    <s v="AAAH-46"/>
    <x v="0"/>
    <n v="21643.5"/>
    <x v="265"/>
    <n v="203448900"/>
    <n v="45"/>
    <n v="4502347623"/>
    <n v="5082260202"/>
    <n v="5113368308"/>
    <m/>
    <s v="TIENE BL"/>
    <s v=" SR2655264"/>
    <x v="0"/>
    <d v="2022-06-10T00:00:00"/>
    <m/>
    <m/>
    <m/>
    <m/>
    <m/>
    <m/>
    <m/>
    <m/>
    <d v="2022-06-10T00:00:00"/>
    <x v="6"/>
  </r>
  <r>
    <s v="Adrian Alberto Alvarez Henao"/>
    <d v="2022-06-13T00:00:00"/>
    <d v="2022-06-13T00:00:00"/>
    <n v="24"/>
    <s v="AD22"/>
    <x v="0"/>
    <n v="21643.5"/>
    <x v="396"/>
    <n v="-98694.35999998897"/>
    <n v="0"/>
    <n v="4502347623"/>
    <n v="5082260202"/>
    <n v="5113368309"/>
    <m/>
    <m/>
    <m/>
    <x v="0"/>
    <d v="2022-06-10T00:00:00"/>
    <m/>
    <m/>
    <m/>
    <m/>
    <m/>
    <m/>
    <m/>
    <m/>
    <d v="2022-06-10T00:00:00"/>
    <x v="6"/>
  </r>
  <r>
    <s v="Sociedad Comercializadora Ganadera"/>
    <d v="2022-06-13T00:00:00"/>
    <d v="2022-06-13T00:00:00"/>
    <n v="24"/>
    <s v="FEDV343"/>
    <x v="0"/>
    <n v="8291.5"/>
    <x v="366"/>
    <n v="80012975"/>
    <n v="15"/>
    <n v="4502349665"/>
    <n v="5082259711"/>
    <n v="5113374822"/>
    <m/>
    <s v="TIENE BL"/>
    <m/>
    <x v="0"/>
    <d v="2022-06-10T00:00:00"/>
    <m/>
    <m/>
    <m/>
    <m/>
    <m/>
    <m/>
    <m/>
    <m/>
    <d v="2022-06-10T00:00:00"/>
    <x v="6"/>
  </r>
  <r>
    <s v="Sociedad Comercializadora Ganadera"/>
    <d v="2022-06-13T00:00:00"/>
    <d v="2022-06-13T00:00:00"/>
    <n v="24"/>
    <s v="FEDV343"/>
    <x v="0"/>
    <n v="14293"/>
    <x v="366"/>
    <n v="137927450"/>
    <n v="30"/>
    <n v="4502347624"/>
    <n v="5082259711"/>
    <n v="5113374822"/>
    <m/>
    <s v="TIENE BL"/>
    <m/>
    <x v="0"/>
    <d v="2022-06-11T00:00:00"/>
    <m/>
    <m/>
    <m/>
    <m/>
    <m/>
    <m/>
    <m/>
    <m/>
    <d v="2022-06-11T00:00:00"/>
    <x v="6"/>
  </r>
  <r>
    <s v="Sociedad Comercializadora Ganadera"/>
    <d v="2022-06-16T00:00:00"/>
    <d v="2022-06-16T00:00:00"/>
    <n v="24"/>
    <s v="NC162"/>
    <x v="0"/>
    <n v="22584.5"/>
    <x v="13"/>
    <n v="-1129225"/>
    <n v="0"/>
    <n v="4502347624"/>
    <n v="5082259711"/>
    <n v="5113374823"/>
    <m/>
    <m/>
    <m/>
    <x v="0"/>
    <d v="2022-06-11T00:00:00"/>
    <m/>
    <m/>
    <m/>
    <m/>
    <m/>
    <m/>
    <m/>
    <m/>
    <d v="2022-06-11T00:00:00"/>
    <x v="6"/>
  </r>
  <r>
    <s v="Sociedad Comercializadora Ganadera"/>
    <d v="2022-06-13T00:00:00"/>
    <d v="2022-06-13T00:00:00"/>
    <n v="24"/>
    <s v="FEDV342"/>
    <x v="0"/>
    <n v="50575"/>
    <x v="366"/>
    <n v="488048750"/>
    <n v="105"/>
    <n v="4502347624"/>
    <n v="5082259711"/>
    <n v="5113368590"/>
    <m/>
    <s v="TIENE BL"/>
    <m/>
    <x v="0"/>
    <d v="2022-06-11T00:00:00"/>
    <m/>
    <m/>
    <m/>
    <m/>
    <m/>
    <m/>
    <m/>
    <m/>
    <d v="2022-06-11T00:00:00"/>
    <x v="6"/>
  </r>
  <r>
    <s v="Mauricio De Jesús Bernal Jaramillo"/>
    <d v="2022-06-13T00:00:00"/>
    <d v="2022-06-14T00:00:00"/>
    <n v="24"/>
    <s v="FE-186"/>
    <x v="0"/>
    <n v="18927"/>
    <x v="251"/>
    <n v="168450300"/>
    <n v="42"/>
    <n v="4502349082"/>
    <n v="5082233728"/>
    <n v="5113368594"/>
    <s v="CON RETEN"/>
    <s v="EJ*3 1623900*3"/>
    <m/>
    <x v="0"/>
    <d v="2022-06-10T00:00:00"/>
    <n v="4902285301"/>
    <n v="4871700"/>
    <s v="FEMD-4396*3"/>
    <n v="5113372563"/>
    <m/>
    <m/>
    <m/>
    <m/>
    <d v="2022-06-10T00:00:00"/>
    <x v="6"/>
  </r>
  <r>
    <s v="Sociedad Comercializadora Ganadera"/>
    <d v="2022-06-13T00:00:00"/>
    <d v="2022-06-13T00:00:00"/>
    <n v="24"/>
    <s v="FEDV344"/>
    <x v="0"/>
    <n v="7675.5"/>
    <x v="366"/>
    <n v="74068575"/>
    <n v="13"/>
    <n v="4502350184"/>
    <n v="5082269972"/>
    <n v="5113369857"/>
    <m/>
    <s v="TIENE BL"/>
    <m/>
    <x v="0"/>
    <d v="2022-06-11T00:00:00"/>
    <m/>
    <m/>
    <m/>
    <m/>
    <m/>
    <m/>
    <m/>
    <m/>
    <d v="2022-06-11T00:00:00"/>
    <x v="6"/>
  </r>
  <r>
    <s v="Sociedad Comercializadora Ganadera"/>
    <d v="2022-06-16T00:00:00"/>
    <d v="2022-06-16T00:00:00"/>
    <n v="24"/>
    <s v="ND23"/>
    <x v="0"/>
    <n v="7675.5"/>
    <x v="397"/>
    <n v="250144.54500000001"/>
    <n v="0"/>
    <n v="4502350184"/>
    <n v="5082269972"/>
    <n v="5113374817"/>
    <m/>
    <m/>
    <m/>
    <x v="0"/>
    <d v="2022-06-11T00:00:00"/>
    <m/>
    <m/>
    <m/>
    <m/>
    <m/>
    <m/>
    <m/>
    <m/>
    <d v="2022-06-11T00:00:00"/>
    <x v="6"/>
  </r>
  <r>
    <s v="Margie Rodriguez Rodriguez"/>
    <d v="2022-06-13T00:00:00"/>
    <m/>
    <n v="24"/>
    <s v="FE-61"/>
    <x v="0"/>
    <n v="13985.5"/>
    <x v="237"/>
    <n v="125869500"/>
    <n v="30"/>
    <n v="4502347625"/>
    <n v="5082259712"/>
    <n v="5113368337"/>
    <m/>
    <s v="CON RETEN"/>
    <s v="TABLERO SI "/>
    <x v="0"/>
    <d v="2022-06-11T00:00:00"/>
    <m/>
    <m/>
    <m/>
    <m/>
    <m/>
    <m/>
    <m/>
    <m/>
    <d v="2022-06-11T00:00:00"/>
    <x v="6"/>
  </r>
  <r>
    <s v="Margie Rodriguez Rodriguez"/>
    <d v="2022-06-13T00:00:00"/>
    <m/>
    <n v="24"/>
    <s v="NC226"/>
    <x v="0"/>
    <n v="13985.5"/>
    <x v="2"/>
    <n v="-1398550"/>
    <n v="0"/>
    <n v="4502347625"/>
    <n v="5082259712"/>
    <n v="5113368338"/>
    <m/>
    <m/>
    <s v="TABLERO SI "/>
    <x v="0"/>
    <d v="2022-06-11T00:00:00"/>
    <m/>
    <m/>
    <m/>
    <m/>
    <m/>
    <m/>
    <m/>
    <m/>
    <d v="2022-06-11T00:00:00"/>
    <x v="6"/>
  </r>
  <r>
    <s v="Lina Maria Pelaez Gomez"/>
    <d v="2022-06-13T00:00:00"/>
    <d v="2022-06-13T00:00:00"/>
    <n v="24"/>
    <s v="LP96"/>
    <x v="0"/>
    <n v="22161"/>
    <x v="282"/>
    <n v="210529500"/>
    <n v="42"/>
    <n v="4502347626"/>
    <n v="5082269578"/>
    <n v="5113369780"/>
    <m/>
    <s v="TIENE BL"/>
    <s v=" SR2655264"/>
    <x v="0"/>
    <d v="2022-06-11T00:00:00"/>
    <m/>
    <m/>
    <m/>
    <m/>
    <m/>
    <m/>
    <m/>
    <m/>
    <d v="2022-06-11T00:00:00"/>
    <x v="6"/>
  </r>
  <r>
    <s v="Lina Maria Pelaez Gomez"/>
    <d v="2022-06-13T00:00:00"/>
    <d v="2022-06-13T00:00:00"/>
    <n v="24"/>
    <s v="ND9"/>
    <x v="0"/>
    <n v="22161"/>
    <x v="13"/>
    <n v="1108050"/>
    <n v="0"/>
    <n v="4502347626"/>
    <n v="5082269578"/>
    <n v="5113369783"/>
    <m/>
    <m/>
    <s v=" SR2655264"/>
    <x v="0"/>
    <d v="2022-06-11T00:00:00"/>
    <m/>
    <m/>
    <m/>
    <m/>
    <m/>
    <m/>
    <m/>
    <m/>
    <d v="2022-06-11T00:00:00"/>
    <x v="6"/>
  </r>
  <r>
    <s v="Rafael Francisco Delgado Serrano"/>
    <d v="2022-06-13T00:00:00"/>
    <m/>
    <n v="24"/>
    <s v="RFDS-149"/>
    <x v="0"/>
    <n v="12700.5"/>
    <x v="278"/>
    <n v="116844600"/>
    <n v="27"/>
    <n v="4502347627"/>
    <n v="5082259713"/>
    <n v="5113371816"/>
    <m/>
    <s v="CON RETEN"/>
    <m/>
    <x v="0"/>
    <d v="2022-06-11T00:00:00"/>
    <m/>
    <m/>
    <m/>
    <m/>
    <m/>
    <m/>
    <m/>
    <m/>
    <d v="2022-06-11T00:00:00"/>
    <x v="6"/>
  </r>
  <r>
    <s v="Rafael Francisco Delgado Serrano"/>
    <d v="2022-06-14T00:00:00"/>
    <m/>
    <n v="24"/>
    <s v="NCR-23"/>
    <x v="0"/>
    <n v="12700.5"/>
    <x v="13"/>
    <n v="-635025"/>
    <n v="0"/>
    <n v="4502347627"/>
    <n v="5082259713"/>
    <n v="5113371947"/>
    <m/>
    <m/>
    <m/>
    <x v="0"/>
    <d v="2022-06-11T00:00:00"/>
    <m/>
    <m/>
    <m/>
    <m/>
    <m/>
    <m/>
    <m/>
    <m/>
    <d v="2022-06-11T00:00:00"/>
    <x v="6"/>
  </r>
  <r>
    <s v="Angela Maria Restrepo Diaz"/>
    <d v="2022-06-14T00:00:00"/>
    <d v="2022-06-14T00:00:00"/>
    <n v="24"/>
    <s v="AR88"/>
    <x v="1"/>
    <n v="27298"/>
    <x v="251"/>
    <n v="242952200"/>
    <n v="56"/>
    <n v="4502350563"/>
    <n v="5082270479"/>
    <n v="5113369697"/>
    <m/>
    <s v="NUMA*4 920000*4"/>
    <m/>
    <x v="0"/>
    <d v="2022-06-12T00:00:00"/>
    <n v="4902285321"/>
    <n v="3680000"/>
    <s v="MOVI-1540*4"/>
    <n v="5113372418"/>
    <m/>
    <m/>
    <m/>
    <m/>
    <d v="2022-06-12T00:00:00"/>
    <x v="6"/>
  </r>
  <r>
    <s v="Andres Jaramillo Bernal"/>
    <d v="2022-06-14T00:00:00"/>
    <d v="2022-06-14T00:00:00"/>
    <n v="24"/>
    <s v="FEVA-5178"/>
    <x v="1"/>
    <n v="6833"/>
    <x v="273"/>
    <n v="62180300"/>
    <n v="14"/>
    <n v="4502347628"/>
    <n v="5082269579"/>
    <n v="5113371419"/>
    <m/>
    <s v="TIENE BL"/>
    <s v=" SR2655264"/>
    <x v="0"/>
    <d v="2022-06-12T00:00:00"/>
    <m/>
    <m/>
    <m/>
    <m/>
    <m/>
    <m/>
    <m/>
    <m/>
    <d v="2022-06-12T00:00:00"/>
    <x v="6"/>
  </r>
  <r>
    <s v="Andres Jaramillo Bernal"/>
    <d v="2022-06-14T00:00:00"/>
    <d v="2022-06-14T00:00:00"/>
    <n v="24"/>
    <s v="NCE32"/>
    <x v="1"/>
    <n v="6833"/>
    <x v="2"/>
    <n v="-683300"/>
    <n v="0"/>
    <n v="4502347628"/>
    <n v="5082269579"/>
    <n v="5113371420"/>
    <m/>
    <m/>
    <m/>
    <x v="0"/>
    <d v="2022-06-12T00:00:00"/>
    <m/>
    <m/>
    <m/>
    <m/>
    <m/>
    <m/>
    <m/>
    <m/>
    <d v="2022-06-12T00:00:00"/>
    <x v="6"/>
  </r>
  <r>
    <s v="Jorge Armando Ortega Trigos"/>
    <d v="2022-06-13T00:00:00"/>
    <d v="2022-06-21T00:00:00"/>
    <n v="24"/>
    <s v="FVE-25"/>
    <x v="0"/>
    <n v="20506"/>
    <x v="278"/>
    <n v="188655200"/>
    <n v="43"/>
    <n v="4502347629"/>
    <n v="5082290466"/>
    <n v="5113389431"/>
    <m/>
    <s v="TIENE BL"/>
    <s v="IN235052"/>
    <x v="0"/>
    <d v="2022-06-13T00:00:00"/>
    <m/>
    <m/>
    <m/>
    <m/>
    <m/>
    <m/>
    <m/>
    <m/>
    <d v="2022-06-13T00:00:00"/>
    <x v="6"/>
  </r>
  <r>
    <s v="Jorge Armando Ortega Trigos"/>
    <d v="2022-06-13T00:00:00"/>
    <m/>
    <n v="24"/>
    <s v="NCV5"/>
    <x v="0"/>
    <n v="20506"/>
    <x v="398"/>
    <n v="-3517394.1800000132"/>
    <n v="0"/>
    <n v="4502347629"/>
    <n v="5082290466"/>
    <n v="5113389434"/>
    <m/>
    <m/>
    <s v="En revision por parte de mesa de ayuda "/>
    <x v="0"/>
    <d v="2022-06-13T00:00:00"/>
    <m/>
    <m/>
    <m/>
    <m/>
    <m/>
    <m/>
    <m/>
    <m/>
    <d v="2022-06-13T00:00:00"/>
    <x v="6"/>
  </r>
  <r>
    <s v="Rodolfo De Jesus Jaramillo Calle"/>
    <d v="2022-06-13T00:00:00"/>
    <d v="2022-06-16T00:00:00"/>
    <n v="24"/>
    <s v="FE-97"/>
    <x v="0"/>
    <n v="7485.5"/>
    <x v="353"/>
    <n v="70737975"/>
    <n v="15"/>
    <n v="4502347630"/>
    <n v="5082288581"/>
    <n v="5113381391"/>
    <m/>
    <s v="TIENE BL"/>
    <m/>
    <x v="0"/>
    <d v="2022-06-13T00:00:00"/>
    <m/>
    <m/>
    <m/>
    <m/>
    <m/>
    <m/>
    <m/>
    <m/>
    <d v="2022-06-13T00:00:00"/>
    <x v="6"/>
  </r>
  <r>
    <s v="Rodolfo De Jesus Jaramillo Calle"/>
    <d v="2022-06-16T00:00:00"/>
    <d v="2022-06-16T00:00:00"/>
    <n v="24"/>
    <s v="NC256"/>
    <x v="0"/>
    <n v="7485.5"/>
    <x v="11"/>
    <n v="-1122825"/>
    <n v="0"/>
    <n v="4502347630"/>
    <n v="5082288581"/>
    <n v="5113381394"/>
    <m/>
    <m/>
    <m/>
    <x v="0"/>
    <d v="2022-06-13T00:00:00"/>
    <m/>
    <m/>
    <m/>
    <m/>
    <m/>
    <m/>
    <m/>
    <m/>
    <d v="2022-06-13T00:00:00"/>
    <x v="6"/>
  </r>
  <r>
    <s v="Agropecuaria Tabaida S.A.S"/>
    <d v="2022-06-14T00:00:00"/>
    <d v="2022-06-14T00:00:00"/>
    <n v="24"/>
    <s v="MT1430"/>
    <x v="0"/>
    <n v="20159"/>
    <x v="314"/>
    <n v="180423050"/>
    <n v="42"/>
    <n v="4502351717"/>
    <n v="5082290107"/>
    <n v="5113377744"/>
    <m/>
    <s v="TYC 4792500"/>
    <s v="TIENE BL"/>
    <x v="0"/>
    <d v="2022-06-13T00:00:00"/>
    <n v="4902285329"/>
    <n v="4792500"/>
    <s v="ETE-3153"/>
    <n v="5113381402"/>
    <m/>
    <m/>
    <m/>
    <m/>
    <d v="2022-06-13T00:00:00"/>
    <x v="6"/>
  </r>
  <r>
    <s v="Agroindustria Ganadera Valle Del Cesar"/>
    <d v="2022-06-17T00:00:00"/>
    <m/>
    <n v="24"/>
    <s v="FE-48"/>
    <x v="1"/>
    <n v="14496.5"/>
    <x v="237"/>
    <n v="130468500"/>
    <n v="28"/>
    <n v="4502347631"/>
    <n v="5082288735"/>
    <n v="5113381043"/>
    <m/>
    <s v="CON RETEN"/>
    <m/>
    <x v="0"/>
    <d v="2022-06-13T00:00:00"/>
    <m/>
    <m/>
    <m/>
    <m/>
    <m/>
    <m/>
    <m/>
    <m/>
    <d v="2022-06-13T00:00:00"/>
    <x v="6"/>
  </r>
  <r>
    <s v="Agroindustria Ganadera Valle Del Cesar"/>
    <d v="2022-06-17T00:00:00"/>
    <m/>
    <n v="24"/>
    <s v="C00210"/>
    <x v="1"/>
    <n v="14496.5"/>
    <x v="399"/>
    <n v="-1020263.6699999884"/>
    <n v="0"/>
    <n v="4502347631"/>
    <n v="5082288735"/>
    <n v="5113381044"/>
    <m/>
    <m/>
    <m/>
    <x v="0"/>
    <d v="2022-06-13T00:00:00"/>
    <m/>
    <m/>
    <m/>
    <m/>
    <m/>
    <m/>
    <m/>
    <m/>
    <d v="2022-06-13T00:00:00"/>
    <x v="6"/>
  </r>
  <r>
    <s v="Guamal S EN C"/>
    <d v="2022-06-16T00:00:00"/>
    <d v="2022-06-16T00:00:00"/>
    <n v="24"/>
    <s v="F-126"/>
    <x v="1"/>
    <n v="14765"/>
    <x v="273"/>
    <n v="134361500"/>
    <n v="30"/>
    <n v="4502347632"/>
    <n v="5082324605"/>
    <n v="5113374920"/>
    <m/>
    <s v="CON RETEN "/>
    <s v=" SR2655264"/>
    <x v="0"/>
    <d v="2022-06-13T00:00:00"/>
    <m/>
    <m/>
    <m/>
    <m/>
    <m/>
    <m/>
    <m/>
    <m/>
    <d v="2022-06-13T00:00:00"/>
    <x v="6"/>
  </r>
  <r>
    <s v="Guamal S EN C"/>
    <d v="2022-06-16T00:00:00"/>
    <d v="2022-06-16T00:00:00"/>
    <n v="24"/>
    <s v="F103"/>
    <x v="1"/>
    <n v="14765"/>
    <x v="13"/>
    <n v="-738250"/>
    <n v="0"/>
    <n v="4502347632"/>
    <n v="5082324605"/>
    <n v="5113374921"/>
    <m/>
    <m/>
    <s v=" SR2655264"/>
    <x v="0"/>
    <d v="2022-06-13T00:00:00"/>
    <m/>
    <m/>
    <m/>
    <m/>
    <m/>
    <m/>
    <m/>
    <m/>
    <d v="2022-06-13T00:00:00"/>
    <x v="6"/>
  </r>
  <r>
    <s v="Inversiones Valle Del Canalete S.A.S"/>
    <d v="2022-06-14T00:00:00"/>
    <d v="2022-06-14T00:00:00"/>
    <n v="24"/>
    <s v="IVC-117"/>
    <x v="0"/>
    <n v="6830"/>
    <x v="314"/>
    <n v="61128500"/>
    <n v="14"/>
    <n v="4502352711"/>
    <n v="5082310391"/>
    <n v="5113373518"/>
    <s v="CON RETEN"/>
    <s v="EJ 1793900"/>
    <m/>
    <x v="0"/>
    <d v="2022-06-14T00:00:00"/>
    <n v="4902285335"/>
    <n v="1793900"/>
    <s v="FEMD-4424*3"/>
    <n v="5113374306"/>
    <m/>
    <m/>
    <m/>
    <m/>
    <d v="2022-06-14T00:00:00"/>
    <x v="6"/>
  </r>
  <r>
    <s v="Agropecuaria Tabaida S.A.S"/>
    <d v="2022-06-13T00:00:00"/>
    <d v="2022-06-14T00:00:00"/>
    <n v="24"/>
    <s v="MT1429"/>
    <x v="1"/>
    <n v="20007"/>
    <x v="314"/>
    <n v="179062650"/>
    <n v="42"/>
    <n v="4502352717"/>
    <n v="5082310395"/>
    <n v="5113377746"/>
    <m/>
    <s v="EJ*3 1776100*3"/>
    <s v="TIENE BL"/>
    <x v="0"/>
    <d v="2022-06-14T00:00:00"/>
    <n v="4902285337"/>
    <n v="5328300"/>
    <s v="FEMD-4423*3"/>
    <n v="5113372684"/>
    <m/>
    <m/>
    <m/>
    <m/>
    <d v="2022-06-14T00:00:00"/>
    <x v="6"/>
  </r>
  <r>
    <s v="Inversiones Valle Del Canalete S.A.S"/>
    <d v="2022-06-14T00:00:00"/>
    <d v="2022-06-14T00:00:00"/>
    <n v="24"/>
    <s v="IVC-117"/>
    <x v="1"/>
    <n v="13660"/>
    <x v="314"/>
    <n v="122257000"/>
    <n v="28"/>
    <n v="4502352729"/>
    <n v="5082310391"/>
    <n v="5113373518"/>
    <s v="CON RETEN"/>
    <s v="EJ*2 1793900*2"/>
    <m/>
    <x v="0"/>
    <d v="2022-06-14T00:00:00"/>
    <n v="4902285340"/>
    <n v="3587800"/>
    <s v="FEMD-4424*3"/>
    <n v="5113374306"/>
    <m/>
    <m/>
    <m/>
    <m/>
    <d v="2022-06-14T00:00:00"/>
    <x v="6"/>
  </r>
  <r>
    <s v="Robinson Jose Chica Vega"/>
    <d v="2022-06-21T00:00:00"/>
    <d v="2022-06-21T00:00:00"/>
    <n v="25"/>
    <s v="FEC-946"/>
    <x v="0"/>
    <n v="14403"/>
    <x v="273"/>
    <n v="131067300"/>
    <n v="28"/>
    <n v="4502352909"/>
    <n v="5082361825"/>
    <n v="5113382353"/>
    <m/>
    <s v="CON RETEN"/>
    <m/>
    <x v="0"/>
    <d v="2022-06-17T00:00:00"/>
    <m/>
    <m/>
    <m/>
    <m/>
    <m/>
    <m/>
    <m/>
    <m/>
    <d v="2022-06-17T00:00:00"/>
    <x v="6"/>
  </r>
  <r>
    <s v="Robinson Jose Chica Vega"/>
    <d v="2022-06-21T00:00:00"/>
    <d v="2022-06-21T00:00:00"/>
    <n v="25"/>
    <s v="NC217"/>
    <x v="0"/>
    <n v="14403"/>
    <x v="400"/>
    <n v="-63949.320000007334"/>
    <n v="0"/>
    <n v="4502352909"/>
    <n v="5082361825"/>
    <n v="5113382355"/>
    <m/>
    <m/>
    <m/>
    <x v="0"/>
    <d v="2022-06-17T00:00:00"/>
    <m/>
    <m/>
    <m/>
    <m/>
    <m/>
    <m/>
    <m/>
    <m/>
    <d v="2022-06-17T00:00:00"/>
    <x v="6"/>
  </r>
  <r>
    <s v="Agropecuaria 3H Blanco S.A.S"/>
    <d v="2022-06-22T00:00:00"/>
    <d v="2022-06-22T00:00:00"/>
    <n v="25"/>
    <s v="A3H-45"/>
    <x v="0"/>
    <n v="34336"/>
    <x v="278"/>
    <n v="315891200"/>
    <n v="71"/>
    <n v="4502352910"/>
    <n v="5082362350"/>
    <n v="5113385924"/>
    <m/>
    <s v="CON RETEN "/>
    <s v="Se reenvia a recepcion "/>
    <x v="0"/>
    <d v="2022-06-17T00:00:00"/>
    <m/>
    <m/>
    <m/>
    <m/>
    <m/>
    <m/>
    <m/>
    <m/>
    <d v="2022-06-17T00:00:00"/>
    <x v="6"/>
  </r>
  <r>
    <s v="Sociedad Comercializadora Ganadera"/>
    <d v="2022-06-21T00:00:00"/>
    <d v="2022-06-21T00:00:00"/>
    <n v="25"/>
    <s v="FEDV345"/>
    <x v="0"/>
    <n v="64877"/>
    <x v="401"/>
    <n v="617953425"/>
    <n v="134"/>
    <n v="4502352911"/>
    <n v="5082361826"/>
    <n v="5113384299"/>
    <m/>
    <s v="TIENE BL"/>
    <m/>
    <x v="0"/>
    <d v="2022-06-17T00:00:00"/>
    <m/>
    <m/>
    <m/>
    <m/>
    <m/>
    <m/>
    <m/>
    <m/>
    <d v="2022-06-17T00:00:00"/>
    <x v="6"/>
  </r>
  <r>
    <s v="Sociedad Comercializadora Ganadera"/>
    <d v="2022-06-21T00:00:00"/>
    <d v="2022-06-21T00:00:00"/>
    <n v="25"/>
    <s v="NC163"/>
    <x v="0"/>
    <n v="64877"/>
    <x v="402"/>
    <n v="-269239.54999997641"/>
    <n v="0"/>
    <n v="4502352911"/>
    <n v="5082361826"/>
    <n v="5113384300"/>
    <m/>
    <m/>
    <m/>
    <x v="0"/>
    <d v="2022-06-17T00:00:00"/>
    <m/>
    <m/>
    <m/>
    <m/>
    <m/>
    <m/>
    <m/>
    <m/>
    <d v="2022-06-17T00:00:00"/>
    <x v="6"/>
  </r>
  <r>
    <s v="Sociedad Comercializadora Ganadera"/>
    <d v="2022-06-21T00:00:00"/>
    <d v="2022-06-21T00:00:00"/>
    <n v="25"/>
    <s v="FEDV346"/>
    <x v="0"/>
    <n v="7150.5"/>
    <x v="401"/>
    <n v="68108512.5"/>
    <n v="15"/>
    <n v="4502352911"/>
    <n v="5082361826"/>
    <n v="5113384301"/>
    <m/>
    <s v="TIENE BL"/>
    <m/>
    <x v="0"/>
    <d v="2022-06-17T00:00:00"/>
    <m/>
    <m/>
    <m/>
    <m/>
    <m/>
    <m/>
    <m/>
    <m/>
    <d v="2022-06-17T00:00:00"/>
    <x v="6"/>
  </r>
  <r>
    <s v="Sociedad Comercializadora Ganadera"/>
    <d v="2022-06-21T00:00:00"/>
    <d v="2022-06-21T00:00:00"/>
    <n v="25"/>
    <s v="NC164"/>
    <x v="0"/>
    <n v="7150.5"/>
    <x v="403"/>
    <n v="-800355.46500000206"/>
    <n v="0"/>
    <n v="4502352911"/>
    <n v="5082361826"/>
    <n v="5113384302"/>
    <m/>
    <m/>
    <m/>
    <x v="0"/>
    <d v="2022-06-17T00:00:00"/>
    <m/>
    <m/>
    <m/>
    <m/>
    <m/>
    <m/>
    <m/>
    <m/>
    <d v="2022-06-17T00:00:00"/>
    <x v="6"/>
  </r>
  <r>
    <s v="David Martinez Jaramillo"/>
    <d v="2022-06-18T00:00:00"/>
    <d v="2022-06-21T00:00:00"/>
    <n v="25"/>
    <s v="DM204"/>
    <x v="1"/>
    <n v="21378.5"/>
    <x v="353"/>
    <n v="202026825"/>
    <n v="42"/>
    <n v="4502352912"/>
    <n v="5082362351"/>
    <n v="5113384347"/>
    <m/>
    <s v="TIENE BL"/>
    <m/>
    <x v="0"/>
    <d v="2022-06-17T00:00:00"/>
    <m/>
    <m/>
    <m/>
    <m/>
    <m/>
    <m/>
    <m/>
    <m/>
    <d v="2022-06-17T00:00:00"/>
    <x v="6"/>
  </r>
  <r>
    <s v="David Martinez Jaramillo"/>
    <d v="2022-06-18T00:00:00"/>
    <d v="2022-06-21T00:00:00"/>
    <n v="25"/>
    <s v="DM204"/>
    <x v="0"/>
    <n v="21461.5"/>
    <x v="353"/>
    <n v="202811175"/>
    <n v="42"/>
    <n v="4502353720"/>
    <n v="5082362351"/>
    <n v="5113384347"/>
    <m/>
    <s v="TIENE BL"/>
    <m/>
    <x v="0"/>
    <d v="2022-06-17T00:00:00"/>
    <m/>
    <m/>
    <m/>
    <m/>
    <m/>
    <m/>
    <m/>
    <m/>
    <d v="2022-06-17T00:00:00"/>
    <x v="6"/>
  </r>
  <r>
    <s v="David Martinez Jaramillo"/>
    <d v="2022-06-21T00:00:00"/>
    <d v="2022-06-21T00:00:00"/>
    <n v="25"/>
    <s v="NC45"/>
    <x v="0"/>
    <n v="42840"/>
    <x v="404"/>
    <n v="-63403.199999981298"/>
    <n v="0"/>
    <n v="4502353720"/>
    <n v="5082362351"/>
    <n v="5113384348"/>
    <m/>
    <m/>
    <m/>
    <x v="0"/>
    <d v="2022-06-17T00:00:00"/>
    <m/>
    <m/>
    <m/>
    <m/>
    <m/>
    <m/>
    <m/>
    <m/>
    <d v="2022-06-17T00:00:00"/>
    <x v="6"/>
  </r>
  <r>
    <s v="David Martinez Jaramillo"/>
    <d v="2022-06-18T00:00:00"/>
    <d v="2022-06-21T00:00:00"/>
    <n v="25"/>
    <s v="DM205"/>
    <x v="0"/>
    <n v="22026.5"/>
    <x v="353"/>
    <n v="208150425"/>
    <n v="45"/>
    <n v="4502352913"/>
    <n v="5082378909"/>
    <n v="5113384350"/>
    <m/>
    <s v="TIENE BL"/>
    <m/>
    <x v="0"/>
    <d v="2022-06-18T00:00:00"/>
    <m/>
    <m/>
    <m/>
    <m/>
    <m/>
    <m/>
    <m/>
    <m/>
    <d v="2022-06-18T00:00:00"/>
    <x v="6"/>
  </r>
  <r>
    <s v="Lina Maria Pelaez Gomez"/>
    <d v="2022-06-18T00:00:00"/>
    <d v="2022-06-21T00:00:00"/>
    <n v="25"/>
    <s v="LP97"/>
    <x v="0"/>
    <n v="21772"/>
    <x v="353"/>
    <n v="205745400"/>
    <n v="42"/>
    <n v="4502352914"/>
    <n v="5082378112"/>
    <n v="5113384351"/>
    <m/>
    <s v="TIENE BL"/>
    <m/>
    <x v="0"/>
    <d v="2022-06-18T00:00:00"/>
    <m/>
    <m/>
    <m/>
    <m/>
    <m/>
    <m/>
    <m/>
    <m/>
    <d v="2022-06-18T00:00:00"/>
    <x v="6"/>
  </r>
  <r>
    <s v="Lina Maria Pelaez Gomez"/>
    <d v="2022-06-21T00:00:00"/>
    <d v="2022-06-21T00:00:00"/>
    <n v="25"/>
    <s v="NC73"/>
    <x v="0"/>
    <n v="21772"/>
    <x v="405"/>
    <n v="-2299558.6400000174"/>
    <n v="0"/>
    <n v="4502352914"/>
    <n v="5082378112"/>
    <n v="5113384353"/>
    <m/>
    <m/>
    <m/>
    <x v="0"/>
    <d v="2022-06-18T00:00:00"/>
    <m/>
    <m/>
    <m/>
    <m/>
    <m/>
    <m/>
    <m/>
    <m/>
    <d v="2022-06-18T00:00:00"/>
    <x v="6"/>
  </r>
  <r>
    <s v="Inversiones Castilla Barbosa S.A.S."/>
    <d v="2022-06-18T00:00:00"/>
    <d v="2022-06-21T00:00:00"/>
    <n v="25"/>
    <s v="FE-72"/>
    <x v="0"/>
    <n v="21567"/>
    <x v="319"/>
    <n v="197338050"/>
    <n v="42"/>
    <n v="4502352915"/>
    <n v="5082378115"/>
    <n v="5113384525"/>
    <m/>
    <s v="TIENE BL"/>
    <m/>
    <x v="0"/>
    <d v="2022-06-18T00:00:00"/>
    <m/>
    <m/>
    <m/>
    <m/>
    <m/>
    <m/>
    <m/>
    <m/>
    <d v="2022-06-18T00:00:00"/>
    <x v="6"/>
  </r>
  <r>
    <s v="Inversiones Castilla Barbosa S.A.S."/>
    <d v="2022-06-18T00:00:00"/>
    <d v="2022-06-21T00:00:00"/>
    <n v="25"/>
    <s v="DF232"/>
    <x v="0"/>
    <n v="21567"/>
    <x v="2"/>
    <n v="2156700"/>
    <n v="0"/>
    <n v="4502352915"/>
    <n v="5082378115"/>
    <n v="5113387489"/>
    <m/>
    <m/>
    <s v="Se solicito por correo - Llego por wa se envia al correo recep"/>
    <x v="0"/>
    <d v="2022-06-18T00:00:00"/>
    <m/>
    <m/>
    <m/>
    <m/>
    <m/>
    <m/>
    <m/>
    <m/>
    <d v="2022-06-18T00:00:00"/>
    <x v="6"/>
  </r>
  <r>
    <s v="Sociedad Comercializadora Ganadera"/>
    <d v="2022-06-21T00:00:00"/>
    <d v="2022-06-21T00:00:00"/>
    <n v="25"/>
    <s v="FEDV347"/>
    <x v="0"/>
    <n v="41253.5"/>
    <x v="401"/>
    <n v="392939587.5"/>
    <n v="91"/>
    <n v="4502352916"/>
    <n v="5082378910"/>
    <n v="5113384305"/>
    <m/>
    <s v="TIENE BL"/>
    <m/>
    <x v="0"/>
    <d v="2022-06-18T00:00:00"/>
    <m/>
    <m/>
    <m/>
    <m/>
    <m/>
    <m/>
    <m/>
    <m/>
    <d v="2022-06-18T00:00:00"/>
    <x v="6"/>
  </r>
  <r>
    <s v="Sociedad Comercializadora Ganadera"/>
    <d v="2022-06-21T00:00:00"/>
    <d v="2022-06-21T00:00:00"/>
    <n v="25"/>
    <s v="NC165"/>
    <x v="0"/>
    <n v="41253.5"/>
    <x v="406"/>
    <n v="-2747483.100000015"/>
    <n v="0"/>
    <n v="4502352916"/>
    <n v="5082378910"/>
    <n v="5113384340"/>
    <m/>
    <m/>
    <m/>
    <x v="0"/>
    <d v="2022-06-18T00:00:00"/>
    <m/>
    <m/>
    <m/>
    <m/>
    <m/>
    <m/>
    <m/>
    <m/>
    <d v="2022-06-18T00:00:00"/>
    <x v="6"/>
  </r>
  <r>
    <s v="Sociedad Comercializadora Ganadera"/>
    <d v="2022-06-21T00:00:00"/>
    <d v="2022-06-21T00:00:00"/>
    <n v="25"/>
    <s v="FEDV348"/>
    <x v="0"/>
    <n v="20343"/>
    <x v="401"/>
    <n v="193767075"/>
    <n v="45"/>
    <n v="4502352916"/>
    <n v="5082378910"/>
    <n v="5113384341"/>
    <m/>
    <s v="TIENE BL"/>
    <m/>
    <x v="0"/>
    <d v="2022-06-18T00:00:00"/>
    <m/>
    <m/>
    <m/>
    <m/>
    <m/>
    <m/>
    <m/>
    <m/>
    <d v="2022-06-18T00:00:00"/>
    <x v="6"/>
  </r>
  <r>
    <s v="Adrian Alberto Alvarez Henao"/>
    <d v="2022-06-24T00:00:00"/>
    <d v="2022-06-24T00:00:00"/>
    <n v="25"/>
    <s v="AAAH-48"/>
    <x v="0"/>
    <n v="7799"/>
    <x v="265"/>
    <n v="73310600"/>
    <n v="15"/>
    <n v="4502352917"/>
    <n v="5082378116"/>
    <n v="5113397393"/>
    <m/>
    <s v="TIENE BL"/>
    <m/>
    <x v="0"/>
    <d v="2022-06-19T00:00:00"/>
    <m/>
    <m/>
    <m/>
    <m/>
    <m/>
    <m/>
    <m/>
    <m/>
    <d v="2022-06-19T00:00:00"/>
    <x v="6"/>
  </r>
  <r>
    <s v="Adrian Alberto Alvarez Henao"/>
    <d v="2022-06-24T00:00:00"/>
    <d v="2022-06-24T00:00:00"/>
    <n v="25"/>
    <s v="AD24"/>
    <x v="0"/>
    <n v="7799"/>
    <x v="407"/>
    <n v="-599119.17999999772"/>
    <n v="0"/>
    <n v="4502352917"/>
    <n v="5082378116"/>
    <n v="5113397421"/>
    <m/>
    <m/>
    <m/>
    <x v="0"/>
    <d v="2022-06-19T00:00:00"/>
    <m/>
    <m/>
    <m/>
    <m/>
    <m/>
    <m/>
    <m/>
    <m/>
    <d v="2022-06-19T00:00:00"/>
    <x v="6"/>
  </r>
  <r>
    <s v="Adrian Alberto Alvarez Henao"/>
    <d v="2022-06-21T00:00:00"/>
    <d v="2022-06-22T00:00:00"/>
    <n v="25"/>
    <s v="AAAH-47"/>
    <x v="0"/>
    <n v="7126"/>
    <x v="265"/>
    <n v="66984400"/>
    <n v="15"/>
    <n v="4502354883"/>
    <n v="5082378912"/>
    <n v="5113384770"/>
    <m/>
    <s v="TIENE BL"/>
    <m/>
    <x v="0"/>
    <d v="2022-06-20T00:00:00"/>
    <m/>
    <m/>
    <m/>
    <m/>
    <m/>
    <m/>
    <m/>
    <m/>
    <d v="2022-06-20T00:00:00"/>
    <x v="6"/>
  </r>
  <r>
    <s v="Adrian Alberto Alvarez Henao"/>
    <d v="2022-06-21T00:00:00"/>
    <d v="2022-06-22T00:00:00"/>
    <n v="25"/>
    <s v="AD23"/>
    <x v="0"/>
    <n v="7126"/>
    <x v="408"/>
    <n v="-1369545.9400000037"/>
    <n v="0"/>
    <n v="4502354883"/>
    <n v="5082378912"/>
    <n v="5113384774"/>
    <m/>
    <m/>
    <m/>
    <x v="0"/>
    <d v="2022-06-20T00:00:00"/>
    <m/>
    <m/>
    <m/>
    <m/>
    <m/>
    <m/>
    <m/>
    <m/>
    <d v="2022-06-20T00:00:00"/>
    <x v="6"/>
  </r>
  <r>
    <s v="Rafael Ignacio Jaramillo Londoño"/>
    <d v="2022-06-21T00:00:00"/>
    <d v="2022-06-21T00:00:00"/>
    <n v="25"/>
    <s v="GAN-66"/>
    <x v="0"/>
    <n v="7525.5"/>
    <x v="353"/>
    <n v="71115975"/>
    <n v="15"/>
    <n v="4502352918"/>
    <n v="5082378117"/>
    <n v="5113388672"/>
    <m/>
    <s v="TIENE BL"/>
    <m/>
    <x v="0"/>
    <d v="2022-06-19T00:00:00"/>
    <m/>
    <m/>
    <m/>
    <m/>
    <m/>
    <m/>
    <m/>
    <m/>
    <d v="2022-06-19T00:00:00"/>
    <x v="6"/>
  </r>
  <r>
    <s v="Inversiones El Rezago y CIA LTDA"/>
    <d v="2022-06-21T00:00:00"/>
    <d v="2022-06-21T00:00:00"/>
    <n v="25"/>
    <s v="RZO23"/>
    <x v="1"/>
    <n v="26042"/>
    <x v="251"/>
    <n v="231773800"/>
    <n v="56"/>
    <n v="4502355764"/>
    <n v="5082382634"/>
    <n v="5113385479"/>
    <s v="CON RETEN"/>
    <s v="NUMA*4 920000*4"/>
    <m/>
    <x v="0"/>
    <d v="2022-06-19T00:00:00"/>
    <n v="4902289898"/>
    <n v="3680000"/>
    <s v="MOVI-1552*4"/>
    <n v="5113389091"/>
    <m/>
    <m/>
    <m/>
    <m/>
    <d v="2022-06-19T00:00:00"/>
    <x v="6"/>
  </r>
  <r>
    <s v="La OKA S.A.S."/>
    <d v="2022-06-20T00:00:00"/>
    <m/>
    <n v="25"/>
    <s v="FEOK-69"/>
    <x v="0"/>
    <n v="6538"/>
    <x v="294"/>
    <n v="59168900"/>
    <n v="14"/>
    <n v="4502352919"/>
    <n v="5082378591"/>
    <n v="5113388210"/>
    <m/>
    <s v="CON RETEN"/>
    <m/>
    <x v="0"/>
    <d v="2022-06-20T00:00:00"/>
    <m/>
    <m/>
    <m/>
    <m/>
    <m/>
    <m/>
    <m/>
    <m/>
    <d v="2022-06-20T00:00:00"/>
    <x v="6"/>
  </r>
  <r>
    <s v="Laura Susana Pino Amaya"/>
    <d v="2022-06-24T00:00:00"/>
    <d v="2022-06-24T00:00:00"/>
    <n v="25"/>
    <s v="S-107"/>
    <x v="0"/>
    <n v="6555.5"/>
    <x v="273"/>
    <n v="59655050"/>
    <n v="14"/>
    <n v="4502352920"/>
    <n v="5082378592"/>
    <n v="5113402017"/>
    <m/>
    <s v="Con retencion"/>
    <s v="CON RETEN "/>
    <x v="0"/>
    <d v="2022-06-20T00:00:00"/>
    <m/>
    <m/>
    <m/>
    <m/>
    <m/>
    <m/>
    <m/>
    <m/>
    <d v="2022-06-20T00:00:00"/>
    <x v="6"/>
  </r>
  <r>
    <s v="Laura Susana Pino Amaya"/>
    <d v="2022-06-24T00:00:00"/>
    <d v="2022-06-24T00:00:00"/>
    <n v="25"/>
    <s v="S-108"/>
    <x v="0"/>
    <n v="6555.5"/>
    <x v="13"/>
    <n v="327775"/>
    <n v="0"/>
    <n v="4502352920"/>
    <n v="5082378592"/>
    <n v="5113402019"/>
    <m/>
    <m/>
    <s v="Estan tramitando la bolsa le martes confirma"/>
    <x v="0"/>
    <d v="2022-06-20T00:00:00"/>
    <m/>
    <m/>
    <m/>
    <m/>
    <m/>
    <m/>
    <m/>
    <m/>
    <d v="2022-06-20T00:00:00"/>
    <x v="6"/>
  </r>
  <r>
    <s v="Olger Fernando Rojas Angarita"/>
    <d v="2022-06-22T00:00:00"/>
    <d v="2022-06-22T00:00:00"/>
    <n v="25"/>
    <s v="OR182"/>
    <x v="0"/>
    <n v="6518.5"/>
    <x v="319"/>
    <n v="59644275"/>
    <n v="14"/>
    <n v="4502352921"/>
    <n v="5082378593"/>
    <n v="5113388676"/>
    <m/>
    <m/>
    <m/>
    <x v="0"/>
    <d v="2022-06-20T00:00:00"/>
    <m/>
    <m/>
    <m/>
    <m/>
    <m/>
    <m/>
    <m/>
    <m/>
    <d v="2022-06-20T00:00:00"/>
    <x v="6"/>
  </r>
  <r>
    <s v="Olger Fernando Rojas Angarita"/>
    <d v="2022-06-22T00:00:00"/>
    <d v="2022-06-22T00:00:00"/>
    <n v="25"/>
    <s v="NDE4"/>
    <x v="0"/>
    <n v="6518.5"/>
    <x v="409"/>
    <n v="286488.07500000001"/>
    <n v="0"/>
    <n v="4502352921"/>
    <n v="5082378593"/>
    <n v="5113388697"/>
    <m/>
    <m/>
    <m/>
    <x v="0"/>
    <d v="2022-06-20T00:00:00"/>
    <m/>
    <m/>
    <m/>
    <m/>
    <m/>
    <m/>
    <m/>
    <m/>
    <d v="2022-06-20T00:00:00"/>
    <x v="6"/>
  </r>
  <r>
    <s v="Jorge Ignacio Sanchez Restrepo"/>
    <d v="2022-06-23T00:00:00"/>
    <d v="2022-06-23T00:00:00"/>
    <n v="25"/>
    <s v="FEJS-32"/>
    <x v="0"/>
    <n v="20726.5"/>
    <x v="353"/>
    <n v="195865425"/>
    <n v="45"/>
    <n v="4502352922"/>
    <n v="5082378911"/>
    <n v="5113390565"/>
    <m/>
    <s v="CON RETEN"/>
    <m/>
    <x v="0"/>
    <d v="2022-06-20T00:00:00"/>
    <m/>
    <m/>
    <m/>
    <m/>
    <m/>
    <m/>
    <m/>
    <m/>
    <d v="2022-06-20T00:00:00"/>
    <x v="6"/>
  </r>
  <r>
    <s v="Jorge Ignacio Sanchez Restrepo"/>
    <d v="2022-06-23T00:00:00"/>
    <d v="2022-06-23T00:00:00"/>
    <n v="25"/>
    <s v="NC13"/>
    <x v="0"/>
    <n v="20726.5"/>
    <x v="410"/>
    <n v="-38344.025000007539"/>
    <n v="0"/>
    <n v="4502352922"/>
    <n v="5082378911"/>
    <n v="5113390612"/>
    <m/>
    <m/>
    <m/>
    <x v="0"/>
    <d v="2022-06-20T00:00:00"/>
    <m/>
    <m/>
    <m/>
    <m/>
    <m/>
    <m/>
    <m/>
    <m/>
    <d v="2022-06-20T00:00:00"/>
    <x v="6"/>
  </r>
  <r>
    <s v="Industria Ganadera Hato Cebu S.A."/>
    <d v="2022-06-22T00:00:00"/>
    <d v="2022-06-22T00:00:00"/>
    <n v="25"/>
    <s v="FEHC311"/>
    <x v="0"/>
    <n v="13789"/>
    <x v="353"/>
    <n v="130306050"/>
    <n v="28"/>
    <n v="4502352923"/>
    <n v="5082378594"/>
    <n v="5113389460"/>
    <m/>
    <s v="CON RETEN"/>
    <m/>
    <x v="0"/>
    <d v="2022-06-20T00:00:00"/>
    <m/>
    <m/>
    <m/>
    <m/>
    <m/>
    <m/>
    <m/>
    <m/>
    <d v="2022-06-20T00:00:00"/>
    <x v="6"/>
  </r>
  <r>
    <s v="Agropecuaria Tabaida S.A.S"/>
    <d v="2022-06-20T00:00:00"/>
    <d v="2022-06-22T00:00:00"/>
    <n v="25"/>
    <s v="MT-1437"/>
    <x v="1"/>
    <n v="19312"/>
    <x v="251"/>
    <n v="171876800"/>
    <n v="42"/>
    <n v="4502355778"/>
    <n v="5082382854"/>
    <n v="5113419294"/>
    <m/>
    <s v="EJ*3 1793900*3"/>
    <s v="TIENE BL"/>
    <x v="0"/>
    <d v="2022-06-20T00:00:00"/>
    <n v="4902289899"/>
    <n v="5381700"/>
    <s v="FEMD-4455*3"/>
    <n v="5113385237"/>
    <m/>
    <m/>
    <m/>
    <m/>
    <d v="2022-06-20T00:00:00"/>
    <x v="6"/>
  </r>
  <r>
    <s v="Inversiones y Negocios V&amp;V S.A.S"/>
    <d v="2022-06-22T00:00:00"/>
    <d v="2022-06-23T00:00:00"/>
    <n v="25"/>
    <s v="FE-1664"/>
    <x v="1"/>
    <n v="6481"/>
    <x v="353"/>
    <n v="61245450"/>
    <n v="14"/>
    <n v="4502352924"/>
    <n v="5082378595"/>
    <n v="5113411347"/>
    <m/>
    <s v="CON RETEN"/>
    <s v="Se envio correo a facturación"/>
    <x v="0"/>
    <d v="2022-06-20T00:00:00"/>
    <m/>
    <m/>
    <m/>
    <m/>
    <m/>
    <m/>
    <m/>
    <m/>
    <d v="2022-06-20T00:00:00"/>
    <x v="6"/>
  </r>
  <r>
    <s v="Inversiones y Negocios V&amp;V S.A.S"/>
    <d v="2022-06-22T00:00:00"/>
    <d v="2022-06-23T00:00:00"/>
    <n v="25"/>
    <s v="NC13045"/>
    <x v="1"/>
    <n v="6481"/>
    <x v="13"/>
    <n v="-324050"/>
    <n v="0"/>
    <n v="4502352924"/>
    <n v="5082378595"/>
    <n v="5113411348"/>
    <m/>
    <m/>
    <m/>
    <x v="0"/>
    <d v="2022-06-20T00:00:00"/>
    <m/>
    <m/>
    <m/>
    <m/>
    <m/>
    <m/>
    <m/>
    <m/>
    <d v="2022-06-20T00:00:00"/>
    <x v="6"/>
  </r>
  <r>
    <s v="Andres Felipe Mantilla Acosta"/>
    <d v="2022-06-23T00:00:00"/>
    <d v="2022-06-23T00:00:00"/>
    <n v="25"/>
    <s v="FEFE17"/>
    <x v="0"/>
    <n v="13801.5"/>
    <x v="273"/>
    <n v="125593650"/>
    <n v="30"/>
    <n v="4502352925"/>
    <n v="5082455252"/>
    <n v="5113396784"/>
    <m/>
    <s v="TIENE BL"/>
    <m/>
    <x v="0"/>
    <d v="2022-06-21T00:00:00"/>
    <m/>
    <m/>
    <m/>
    <m/>
    <m/>
    <m/>
    <m/>
    <m/>
    <d v="2022-06-21T00:00:00"/>
    <x v="6"/>
  </r>
  <r>
    <s v="Andres Felipe Mantilla Acosta"/>
    <d v="2022-06-23T00:00:00"/>
    <d v="2022-06-23T00:00:00"/>
    <n v="25"/>
    <s v="NC3"/>
    <x v="0"/>
    <n v="13801.5"/>
    <x v="411"/>
    <n v="-75494.204999990965"/>
    <n v="0"/>
    <n v="4502352925"/>
    <n v="5082455252"/>
    <n v="5113396785"/>
    <m/>
    <m/>
    <m/>
    <x v="0"/>
    <d v="2022-06-21T00:00:00"/>
    <m/>
    <m/>
    <m/>
    <m/>
    <m/>
    <m/>
    <m/>
    <m/>
    <d v="2022-06-21T00:00:00"/>
    <x v="6"/>
  </r>
  <r>
    <s v="Agropecuaria Tabaida S.A.S"/>
    <d v="2022-06-21T00:00:00"/>
    <d v="2022-06-22T00:00:00"/>
    <n v="25"/>
    <s v="MT-1438"/>
    <x v="1"/>
    <n v="20023"/>
    <x v="251"/>
    <n v="178204700"/>
    <n v="42"/>
    <n v="4502355792"/>
    <n v="5082383011"/>
    <n v="5113419296"/>
    <m/>
    <s v="TYC 4792500"/>
    <s v="TIENE BL"/>
    <x v="0"/>
    <d v="2022-06-21T00:00:00"/>
    <n v="4902289902"/>
    <n v="4792500"/>
    <s v="ETE-3177"/>
    <n v="5113403739"/>
    <m/>
    <m/>
    <m/>
    <m/>
    <d v="2022-06-21T00:00:00"/>
    <x v="6"/>
  </r>
  <r>
    <s v="La Ceiba S.A"/>
    <d v="2022-06-30T00:00:00"/>
    <d v="2022-07-06T00:00:00"/>
    <n v="25"/>
    <s v="FE-1826"/>
    <x v="1"/>
    <n v="7043.5"/>
    <x v="273"/>
    <n v="64095850"/>
    <n v="14"/>
    <n v="4502352926"/>
    <n v="5082399719"/>
    <n v="5113419801"/>
    <m/>
    <m/>
    <s v="Nicolas valida "/>
    <x v="0"/>
    <d v="2022-06-21T00:00:00"/>
    <m/>
    <m/>
    <m/>
    <m/>
    <m/>
    <m/>
    <m/>
    <m/>
    <d v="2022-06-21T00:00:00"/>
    <x v="6"/>
  </r>
  <r>
    <s v="Sociedad Comercializadora Ganadera"/>
    <d v="2022-06-23T00:00:00"/>
    <d v="2022-06-23T00:00:00"/>
    <n v="25"/>
    <s v="FEDV349"/>
    <x v="3"/>
    <n v="9836"/>
    <x v="54"/>
    <n v="76720800"/>
    <n v="40"/>
    <n v="4502357316"/>
    <n v="5082417203"/>
    <n v="5113389465"/>
    <m/>
    <s v="TIENE BL"/>
    <m/>
    <x v="2"/>
    <d v="2022-06-22T00:00:00"/>
    <m/>
    <m/>
    <m/>
    <m/>
    <m/>
    <m/>
    <m/>
    <m/>
    <d v="2022-06-22T00:00:00"/>
    <x v="6"/>
  </r>
  <r>
    <s v="Primavera del Magdalena S.A.S."/>
    <d v="2022-06-28T00:00:00"/>
    <d v="2022-06-28T00:00:00"/>
    <n v="26"/>
    <s v="PRI-75"/>
    <x v="0"/>
    <n v="6852.5"/>
    <x v="294"/>
    <n v="62015125"/>
    <n v="14"/>
    <n v="4502356789"/>
    <n v="5082457331"/>
    <n v="5113402748"/>
    <m/>
    <s v="TIENE BL"/>
    <m/>
    <x v="0"/>
    <d v="2022-06-24T00:00:00"/>
    <m/>
    <m/>
    <m/>
    <m/>
    <m/>
    <m/>
    <m/>
    <m/>
    <d v="2022-06-24T00:00:00"/>
    <x v="6"/>
  </r>
  <r>
    <s v="Primavera del Magdalena S.A.S."/>
    <d v="2022-06-28T00:00:00"/>
    <d v="2022-06-28T00:00:00"/>
    <n v="26"/>
    <s v="D00210"/>
    <x v="0"/>
    <n v="6852.5"/>
    <x v="13"/>
    <n v="342625"/>
    <n v="0"/>
    <n v="4502356789"/>
    <n v="5082457331"/>
    <n v="5113402752"/>
    <m/>
    <m/>
    <m/>
    <x v="0"/>
    <d v="2022-06-24T00:00:00"/>
    <m/>
    <m/>
    <m/>
    <m/>
    <m/>
    <m/>
    <m/>
    <m/>
    <d v="2022-06-24T00:00:00"/>
    <x v="6"/>
  </r>
  <r>
    <s v="Gonzalo Hoyos Pulido"/>
    <d v="2022-06-29T00:00:00"/>
    <m/>
    <n v="26"/>
    <s v="FELE-61"/>
    <x v="0"/>
    <n v="12543"/>
    <x v="266"/>
    <n v="117277050"/>
    <n v="28"/>
    <n v="4502356790"/>
    <n v="5082457332"/>
    <n v="5113411352"/>
    <m/>
    <s v="CON RETEN "/>
    <m/>
    <x v="0"/>
    <d v="2022-06-24T00:00:00"/>
    <m/>
    <m/>
    <m/>
    <m/>
    <m/>
    <m/>
    <m/>
    <m/>
    <d v="2022-06-24T00:00:00"/>
    <x v="6"/>
  </r>
  <r>
    <s v="Mauricio De Jesús Bernal Jaramillo"/>
    <d v="2022-06-28T00:00:00"/>
    <d v="2022-06-28T00:00:00"/>
    <n v="26"/>
    <s v="FE-189"/>
    <x v="0"/>
    <n v="12792"/>
    <x v="244"/>
    <n v="112569600"/>
    <n v="28"/>
    <n v="4502358727"/>
    <n v="5082455559"/>
    <n v="5113402128"/>
    <m/>
    <s v="EJ*2 1623900*2"/>
    <m/>
    <x v="0"/>
    <d v="2022-06-24T00:00:00"/>
    <n v="4902293381"/>
    <n v="3247800"/>
    <s v="FEMD-4471*2"/>
    <n v="5113396711"/>
    <m/>
    <m/>
    <m/>
    <m/>
    <d v="2022-06-24T00:00:00"/>
    <x v="6"/>
  </r>
  <r>
    <s v="David Martinez Jaramillo"/>
    <d v="2022-06-28T00:00:00"/>
    <d v="2022-06-28T00:00:00"/>
    <n v="26"/>
    <s v="DM-207"/>
    <x v="0"/>
    <n v="21381"/>
    <x v="265"/>
    <n v="200981400"/>
    <n v="43"/>
    <n v="4502361363"/>
    <n v="5082515491"/>
    <n v="5113409004"/>
    <m/>
    <s v="TIENE BL"/>
    <m/>
    <x v="0"/>
    <d v="2022-06-24T00:00:00"/>
    <m/>
    <m/>
    <m/>
    <m/>
    <m/>
    <m/>
    <m/>
    <m/>
    <d v="2022-06-24T00:00:00"/>
    <x v="6"/>
  </r>
  <r>
    <s v="Sociedad Comercializadora Ganadera"/>
    <d v="2022-06-29T00:00:00"/>
    <d v="2022-06-29T00:00:00"/>
    <n v="26"/>
    <s v="FEDV350"/>
    <x v="0"/>
    <n v="64784.5"/>
    <x v="412"/>
    <n v="610593912.5"/>
    <n v="135"/>
    <n v="4502356792"/>
    <n v="5082457333"/>
    <n v="5113406962"/>
    <m/>
    <s v="TIENE BL"/>
    <m/>
    <x v="0"/>
    <d v="2022-06-24T00:00:00"/>
    <m/>
    <m/>
    <m/>
    <m/>
    <m/>
    <m/>
    <m/>
    <m/>
    <d v="2022-06-24T00:00:00"/>
    <x v="6"/>
  </r>
  <r>
    <s v="Sociedad Comercializadora Ganadera"/>
    <d v="2022-06-29T00:00:00"/>
    <d v="2022-06-29T00:00:00"/>
    <n v="26"/>
    <s v="NC166"/>
    <x v="0"/>
    <n v="64784.5"/>
    <x v="233"/>
    <n v="-384819.930000033"/>
    <n v="0"/>
    <n v="4502356792"/>
    <n v="5082457333"/>
    <n v="5113406964"/>
    <m/>
    <m/>
    <m/>
    <x v="0"/>
    <d v="2022-06-24T00:00:00"/>
    <m/>
    <m/>
    <m/>
    <m/>
    <m/>
    <m/>
    <m/>
    <m/>
    <d v="2022-06-24T00:00:00"/>
    <x v="6"/>
  </r>
  <r>
    <s v="Inversiones y Negocios V&amp;V S.A.S"/>
    <d v="2022-06-30T00:00:00"/>
    <d v="2022-06-30T00:00:00"/>
    <n v="26"/>
    <s v="FE-1665"/>
    <x v="0"/>
    <n v="6629.5"/>
    <x v="265"/>
    <n v="62317300"/>
    <n v="14"/>
    <n v="4502356794"/>
    <n v="5082457334"/>
    <n v="5113413576"/>
    <m/>
    <s v="CON RETEN"/>
    <s v="Se envio correo a facturación"/>
    <x v="0"/>
    <d v="2022-06-24T00:00:00"/>
    <m/>
    <m/>
    <m/>
    <m/>
    <m/>
    <m/>
    <m/>
    <m/>
    <d v="2022-06-24T00:00:00"/>
    <x v="6"/>
  </r>
  <r>
    <s v="Tanagro S.A.S Zomac"/>
    <d v="2022-06-29T00:00:00"/>
    <d v="2022-06-29T00:00:00"/>
    <n v="26"/>
    <s v="Z107"/>
    <x v="0"/>
    <n v="6756"/>
    <x v="237"/>
    <n v="60804000"/>
    <n v="15"/>
    <n v="4502356795"/>
    <n v="5082457335"/>
    <n v="5113407014"/>
    <m/>
    <s v="CON RETEN"/>
    <m/>
    <x v="0"/>
    <d v="2022-06-24T00:00:00"/>
    <m/>
    <m/>
    <m/>
    <m/>
    <m/>
    <m/>
    <m/>
    <m/>
    <d v="2022-06-24T00:00:00"/>
    <x v="6"/>
  </r>
  <r>
    <s v="Jairo De Jesus Restrepo Gonzalez"/>
    <d v="2022-06-24T00:00:00"/>
    <d v="2022-06-28T00:00:00"/>
    <n v="26"/>
    <s v="FEV-9"/>
    <x v="0"/>
    <n v="7029.5"/>
    <x v="237"/>
    <n v="63265500"/>
    <n v="14"/>
    <n v="4502356796"/>
    <n v="5082457336"/>
    <n v="5113426806"/>
    <m/>
    <s v="CON RETEN"/>
    <s v="se solicito por correo "/>
    <x v="0"/>
    <d v="2022-06-24T00:00:00"/>
    <m/>
    <m/>
    <m/>
    <m/>
    <m/>
    <m/>
    <m/>
    <m/>
    <d v="2022-06-24T00:00:00"/>
    <x v="6"/>
  </r>
  <r>
    <s v="Jairo De Jesus Restrepo Gonzalez"/>
    <d v="2022-06-24T00:00:00"/>
    <d v="2022-06-28T00:00:00"/>
    <n v="26"/>
    <s v="DF22"/>
    <x v="0"/>
    <n v="7029.5"/>
    <x v="13"/>
    <n v="351475"/>
    <n v="0"/>
    <n v="4502356796"/>
    <n v="5082457336"/>
    <n v="5113429566"/>
    <m/>
    <s v="SR2686881"/>
    <s v="Se solicito nuevamente por correo va a validar Oscar Rpo "/>
    <x v="0"/>
    <d v="2022-06-24T00:00:00"/>
    <m/>
    <m/>
    <m/>
    <m/>
    <m/>
    <m/>
    <m/>
    <m/>
    <d v="2022-06-24T00:00:00"/>
    <x v="6"/>
  </r>
  <r>
    <s v="Margie Rodriguez Rodriguez"/>
    <d v="2022-06-29T00:00:00"/>
    <m/>
    <n v="26"/>
    <s v="FE-63"/>
    <x v="0"/>
    <n v="14465"/>
    <x v="314"/>
    <n v="129461750"/>
    <n v="30"/>
    <n v="4502356797"/>
    <n v="5082457337"/>
    <n v="5113417158"/>
    <m/>
    <s v="CON RETEN"/>
    <s v="Se pidio por wa 2 veces"/>
    <x v="0"/>
    <d v="2022-06-24T00:00:00"/>
    <m/>
    <m/>
    <m/>
    <m/>
    <m/>
    <m/>
    <m/>
    <m/>
    <d v="2022-06-24T00:00:00"/>
    <x v="6"/>
  </r>
  <r>
    <s v="Margie Rodriguez Rodriguez"/>
    <d v="2022-06-30T00:00:00"/>
    <m/>
    <n v="26"/>
    <s v="NC227"/>
    <x v="0"/>
    <n v="14465"/>
    <x v="413"/>
    <n v="-1714536.4500000095"/>
    <n v="0"/>
    <n v="4502356797"/>
    <n v="5082457337"/>
    <n v="5113417160"/>
    <m/>
    <m/>
    <m/>
    <x v="0"/>
    <d v="2022-06-24T00:00:00"/>
    <m/>
    <m/>
    <m/>
    <m/>
    <m/>
    <m/>
    <m/>
    <m/>
    <d v="2022-06-24T00:00:00"/>
    <x v="6"/>
  </r>
  <r>
    <s v="Misionagro S.A.S"/>
    <d v="2022-06-25T00:00:00"/>
    <m/>
    <n v="26"/>
    <s v="MISI-115"/>
    <x v="0"/>
    <n v="15049"/>
    <x v="244"/>
    <n v="132431200"/>
    <n v="28"/>
    <n v="4502358731"/>
    <n v="5082456058"/>
    <n v="5113415003"/>
    <s v="CON RETEN"/>
    <s v="EJ*2 1638500*2"/>
    <m/>
    <x v="0"/>
    <d v="2022-06-25T00:00:00"/>
    <n v="4902294548"/>
    <n v="3277000"/>
    <s v="FEMD-4482*2"/>
    <n v="5113406734"/>
    <m/>
    <m/>
    <m/>
    <m/>
    <d v="2022-06-25T00:00:00"/>
    <x v="6"/>
  </r>
  <r>
    <s v="Sociedad Comercializadora Ganadera"/>
    <d v="2022-06-29T00:00:00"/>
    <d v="2022-06-29T00:00:00"/>
    <n v="26"/>
    <s v="FEDV351"/>
    <x v="0"/>
    <n v="21150"/>
    <x v="412"/>
    <n v="199338750"/>
    <n v="45"/>
    <n v="4502356799"/>
    <n v="5082471483"/>
    <n v="5113406966"/>
    <m/>
    <s v="TIENE BL"/>
    <m/>
    <x v="0"/>
    <d v="2022-06-25T00:00:00"/>
    <m/>
    <m/>
    <m/>
    <m/>
    <m/>
    <m/>
    <m/>
    <m/>
    <d v="2022-06-25T00:00:00"/>
    <x v="6"/>
  </r>
  <r>
    <s v="Sociedad Comercializadora Ganadera"/>
    <d v="2022-06-29T00:00:00"/>
    <d v="2022-06-29T00:00:00"/>
    <n v="26"/>
    <s v="NC167"/>
    <x v="0"/>
    <n v="21150"/>
    <x v="414"/>
    <n v="-1136389.4999999907"/>
    <n v="0"/>
    <n v="4502356799"/>
    <n v="5082471483"/>
    <n v="5113407009"/>
    <m/>
    <m/>
    <m/>
    <x v="0"/>
    <d v="2022-06-25T00:00:00"/>
    <m/>
    <m/>
    <m/>
    <m/>
    <m/>
    <m/>
    <m/>
    <m/>
    <d v="2022-06-25T00:00:00"/>
    <x v="6"/>
  </r>
  <r>
    <s v="David Martinez Jaramillo"/>
    <d v="2022-06-28T00:00:00"/>
    <d v="2022-06-28T00:00:00"/>
    <n v="26"/>
    <s v="DM-208"/>
    <x v="1"/>
    <n v="7180.5"/>
    <x v="265"/>
    <n v="67496700"/>
    <n v="15"/>
    <n v="4502356800"/>
    <n v="5082472892"/>
    <n v="5113405079"/>
    <m/>
    <s v="TIENE BL"/>
    <m/>
    <x v="0"/>
    <d v="2022-06-25T00:00:00"/>
    <m/>
    <m/>
    <m/>
    <m/>
    <m/>
    <m/>
    <m/>
    <m/>
    <d v="2022-06-25T00:00:00"/>
    <x v="6"/>
  </r>
  <r>
    <s v="David Martinez Jaramillo"/>
    <d v="2022-06-28T00:00:00"/>
    <d v="2022-06-28T00:00:00"/>
    <n v="26"/>
    <s v="NC46"/>
    <x v="1"/>
    <n v="7180.5"/>
    <x v="2"/>
    <n v="-718050"/>
    <n v="0"/>
    <n v="4502356800"/>
    <n v="5082472892"/>
    <n v="5113405083"/>
    <m/>
    <m/>
    <m/>
    <x v="0"/>
    <d v="2022-06-25T00:00:00"/>
    <m/>
    <m/>
    <m/>
    <m/>
    <m/>
    <m/>
    <m/>
    <m/>
    <d v="2022-06-25T00:00:00"/>
    <x v="6"/>
  </r>
  <r>
    <s v="Lina Maria Pelaez Gomez"/>
    <d v="2022-06-25T00:00:00"/>
    <d v="2022-06-28T00:00:00"/>
    <n v="26"/>
    <s v="LP-98"/>
    <x v="1"/>
    <n v="6487.5"/>
    <x v="265"/>
    <n v="60982500"/>
    <n v="15"/>
    <n v="4502356801"/>
    <n v="5082472893"/>
    <n v="5113405020"/>
    <m/>
    <s v="TIENE BL"/>
    <m/>
    <x v="0"/>
    <d v="2022-06-25T00:00:00"/>
    <m/>
    <m/>
    <m/>
    <m/>
    <m/>
    <m/>
    <m/>
    <m/>
    <d v="2022-06-25T00:00:00"/>
    <x v="6"/>
  </r>
  <r>
    <s v="Lina Maria Pelaez Gomez"/>
    <d v="2022-06-28T00:00:00"/>
    <d v="2022-06-28T00:00:00"/>
    <n v="26"/>
    <s v="NC74"/>
    <x v="1"/>
    <n v="6487.5"/>
    <x v="415"/>
    <n v="-74800.875000004249"/>
    <n v="0"/>
    <n v="4502356801"/>
    <n v="5082472893"/>
    <n v="5113405077"/>
    <m/>
    <m/>
    <m/>
    <x v="0"/>
    <d v="2022-06-25T00:00:00"/>
    <m/>
    <m/>
    <m/>
    <m/>
    <m/>
    <m/>
    <m/>
    <m/>
    <d v="2022-06-25T00:00:00"/>
    <x v="6"/>
  </r>
  <r>
    <s v="Sociedad Comercializadora Ganadera"/>
    <d v="2022-06-29T00:00:00"/>
    <d v="2022-06-29T00:00:00"/>
    <n v="26"/>
    <s v="FEDV352"/>
    <x v="1"/>
    <n v="15346"/>
    <x v="412"/>
    <n v="144636050"/>
    <n v="30"/>
    <n v="4502356802"/>
    <n v="5082471485"/>
    <n v="5113407010"/>
    <m/>
    <s v="TIENE BL"/>
    <m/>
    <x v="0"/>
    <d v="2022-06-25T00:00:00"/>
    <m/>
    <m/>
    <m/>
    <m/>
    <m/>
    <m/>
    <m/>
    <m/>
    <d v="2022-06-25T00:00:00"/>
    <x v="6"/>
  </r>
  <r>
    <s v="Sociedad Comercializadora Ganadera"/>
    <d v="2022-06-29T00:00:00"/>
    <d v="2022-06-29T00:00:00"/>
    <n v="26"/>
    <s v="NC168"/>
    <x v="1"/>
    <n v="15346"/>
    <x v="416"/>
    <n v="-1140821.6400000022"/>
    <n v="0"/>
    <n v="4502356802"/>
    <n v="5082471485"/>
    <n v="5113407012"/>
    <m/>
    <m/>
    <m/>
    <x v="0"/>
    <d v="2022-06-25T00:00:00"/>
    <m/>
    <m/>
    <m/>
    <m/>
    <m/>
    <m/>
    <m/>
    <m/>
    <d v="2022-06-25T00:00:00"/>
    <x v="6"/>
  </r>
  <r>
    <s v="Sociedad Comercializadora Ganadera"/>
    <d v="2022-06-29T00:00:00"/>
    <d v="2022-06-29T00:00:00"/>
    <n v="26"/>
    <s v="FEDV353"/>
    <x v="1"/>
    <n v="6974.5"/>
    <x v="412"/>
    <n v="65734662.5"/>
    <n v="15"/>
    <n v="4502356802"/>
    <n v="5082471485"/>
    <n v="5113407013"/>
    <m/>
    <s v="TIENE BL"/>
    <m/>
    <x v="0"/>
    <d v="2022-06-25T00:00:00"/>
    <m/>
    <m/>
    <m/>
    <m/>
    <m/>
    <m/>
    <m/>
    <m/>
    <d v="2022-06-25T00:00:00"/>
    <x v="6"/>
  </r>
  <r>
    <s v="Luis Fernando Rojas Prada"/>
    <d v="2022-06-29T00:00:00"/>
    <d v="2022-06-29T00:00:00"/>
    <n v="26"/>
    <s v="FELC -938"/>
    <x v="0"/>
    <n v="13612"/>
    <x v="76"/>
    <n v="110257200"/>
    <n v="28"/>
    <n v="4502359900"/>
    <n v="5082480491"/>
    <n v="5113404623"/>
    <s v="CON RETEN"/>
    <s v="EJ*2 2982600*2"/>
    <s v="RETENCION"/>
    <x v="0"/>
    <d v="2022-06-26T00:00:00"/>
    <n v="4902294666"/>
    <n v="5965200"/>
    <s v="FEMD-4485*2"/>
    <n v="5113406693"/>
    <m/>
    <m/>
    <m/>
    <m/>
    <d v="2022-06-26T00:00:00"/>
    <x v="6"/>
  </r>
  <r>
    <s v="Jorge Armando Ortega Trigos"/>
    <d v="2022-06-26T00:00:00"/>
    <m/>
    <n v="26"/>
    <s v="FVE-26"/>
    <x v="0"/>
    <n v="13900.5"/>
    <x v="294"/>
    <n v="125799525"/>
    <n v="30"/>
    <n v="4502356803"/>
    <n v="5082482112"/>
    <n v="5113431492"/>
    <m/>
    <s v="TIENE BL"/>
    <m/>
    <x v="0"/>
    <d v="2022-06-26T00:00:00"/>
    <m/>
    <m/>
    <m/>
    <m/>
    <m/>
    <m/>
    <m/>
    <m/>
    <d v="2022-06-26T00:00:00"/>
    <x v="6"/>
  </r>
  <r>
    <s v="Jorge Armando Ortega Trigos"/>
    <d v="2022-07-12T00:00:00"/>
    <m/>
    <n v="26"/>
    <s v="NCV6"/>
    <x v="0"/>
    <n v="13900.5"/>
    <x v="13"/>
    <n v="-695025"/>
    <n v="0"/>
    <n v="4502356803"/>
    <n v="5082482112"/>
    <n v="5113431497"/>
    <m/>
    <m/>
    <s v="Se pido por correo y por wa "/>
    <x v="0"/>
    <d v="2022-06-26T00:00:00"/>
    <m/>
    <m/>
    <m/>
    <m/>
    <m/>
    <m/>
    <m/>
    <m/>
    <d v="2022-06-26T00:00:00"/>
    <x v="6"/>
  </r>
  <r>
    <s v="Inversiones Castilla Barbosa S.A.S."/>
    <d v="2022-08-26T00:00:00"/>
    <d v="2022-06-28T00:00:00"/>
    <n v="26"/>
    <s v="FE-73"/>
    <x v="0"/>
    <n v="14612.5"/>
    <x v="273"/>
    <n v="132973750"/>
    <n v="28"/>
    <n v="4502356804"/>
    <n v="5082475687"/>
    <n v="5113403148"/>
    <m/>
    <s v="TIENE BL"/>
    <m/>
    <x v="0"/>
    <d v="2022-06-26T00:00:00"/>
    <m/>
    <m/>
    <m/>
    <m/>
    <m/>
    <m/>
    <m/>
    <m/>
    <d v="2022-06-26T00:00:00"/>
    <x v="6"/>
  </r>
  <r>
    <s v="Inversiones Castilla Barbosa S.A.S."/>
    <d v="2022-08-26T00:00:00"/>
    <d v="2022-06-28T00:00:00"/>
    <n v="26"/>
    <s v="DF233"/>
    <x v="0"/>
    <n v="14612.5"/>
    <x v="13"/>
    <n v="730625"/>
    <n v="0"/>
    <n v="4502356804"/>
    <n v="5082475687"/>
    <n v="5113403150"/>
    <m/>
    <m/>
    <m/>
    <x v="0"/>
    <d v="2022-06-26T00:00:00"/>
    <m/>
    <m/>
    <m/>
    <m/>
    <m/>
    <m/>
    <m/>
    <m/>
    <d v="2022-06-26T00:00:00"/>
    <x v="6"/>
  </r>
  <r>
    <s v="Agropecuaria Tabaida S.A.S"/>
    <d v="2022-06-26T00:00:00"/>
    <d v="2022-06-29T00:00:00"/>
    <n v="26"/>
    <s v="MT-1445"/>
    <x v="1"/>
    <n v="33101"/>
    <x v="244"/>
    <n v="291288800"/>
    <n v="70"/>
    <n v="4502360022"/>
    <n v="5082483921"/>
    <n v="5113410140"/>
    <s v="TIENE BL"/>
    <s v="EJ*2 1793900*2  TYC 4792500"/>
    <m/>
    <x v="0"/>
    <d v="2022-06-26T00:00:00"/>
    <n v="4902294672"/>
    <s v="3587800y 4792500"/>
    <s v="FEMD-4486*2"/>
    <n v="5113406691"/>
    <s v="ETE-3201"/>
    <n v="5113411401"/>
    <m/>
    <m/>
    <d v="2022-06-26T00:00:00"/>
    <x v="6"/>
  </r>
  <r>
    <s v="Itakia S.A.S. ZOMAC"/>
    <d v="2022-06-27T00:00:00"/>
    <d v="2022-07-01T00:00:00"/>
    <n v="26"/>
    <s v="FE-100027"/>
    <x v="0"/>
    <n v="13663.5"/>
    <x v="294"/>
    <n v="123654675"/>
    <n v="30"/>
    <n v="4502356805"/>
    <n v="5082481395"/>
    <n v="5113417163"/>
    <m/>
    <s v="CON RETEN"/>
    <m/>
    <x v="0"/>
    <d v="2022-06-27T00:00:00"/>
    <m/>
    <m/>
    <m/>
    <m/>
    <m/>
    <m/>
    <m/>
    <m/>
    <d v="2022-06-27T00:00:00"/>
    <x v="6"/>
  </r>
  <r>
    <s v="La Ceiba S.A"/>
    <d v="2022-07-06T00:00:00"/>
    <d v="2022-07-06T00:00:00"/>
    <n v="26"/>
    <s v="FE-1827"/>
    <x v="0"/>
    <n v="6387"/>
    <x v="294"/>
    <n v="57802350"/>
    <n v="14"/>
    <n v="4502356806"/>
    <n v="5082481397"/>
    <n v="5113419802"/>
    <m/>
    <m/>
    <s v="Nicolas valida "/>
    <x v="0"/>
    <d v="2022-06-27T00:00:00"/>
    <m/>
    <m/>
    <m/>
    <m/>
    <m/>
    <m/>
    <m/>
    <m/>
    <d v="2022-06-27T00:00:00"/>
    <x v="6"/>
  </r>
  <r>
    <s v="La Ceiba S.A"/>
    <d v="2022-07-06T00:00:00"/>
    <d v="2022-07-06T00:00:00"/>
    <n v="26"/>
    <s v="FE-1828"/>
    <x v="0"/>
    <n v="6387"/>
    <x v="417"/>
    <n v="320563.52999999997"/>
    <n v="0"/>
    <n v="4502356806"/>
    <n v="5082481397"/>
    <n v="5113419828"/>
    <m/>
    <m/>
    <m/>
    <x v="0"/>
    <d v="2022-06-27T00:00:00"/>
    <m/>
    <m/>
    <m/>
    <m/>
    <m/>
    <m/>
    <m/>
    <m/>
    <d v="2022-06-27T00:00:00"/>
    <x v="6"/>
  </r>
  <r>
    <s v="Yoan Andres Carrascal Sanchez"/>
    <d v="2022-06-30T00:00:00"/>
    <d v="2022-07-01T00:00:00"/>
    <n v="26"/>
    <s v="FEYC-5"/>
    <x v="0"/>
    <n v="6953"/>
    <x v="237"/>
    <n v="62577000"/>
    <n v="14"/>
    <n v="4502356807"/>
    <n v="5082481468"/>
    <n v="5113417164"/>
    <m/>
    <s v="TIENE BL"/>
    <m/>
    <x v="0"/>
    <d v="2022-06-27T00:00:00"/>
    <m/>
    <m/>
    <m/>
    <m/>
    <m/>
    <m/>
    <m/>
    <m/>
    <d v="2022-06-27T00:00:00"/>
    <x v="6"/>
  </r>
  <r>
    <s v="Yoan Andres Carrascal Sanchez"/>
    <d v="2022-06-30T00:00:00"/>
    <d v="2022-07-01T00:00:00"/>
    <n v="26"/>
    <s v="NC4"/>
    <x v="0"/>
    <n v="6953"/>
    <x v="418"/>
    <n v="-126753.18999999696"/>
    <n v="0"/>
    <n v="4502356807"/>
    <n v="5082481468"/>
    <n v="5113417165"/>
    <m/>
    <m/>
    <m/>
    <x v="0"/>
    <d v="2022-06-27T00:00:00"/>
    <m/>
    <m/>
    <m/>
    <m/>
    <m/>
    <m/>
    <m/>
    <m/>
    <d v="2022-06-27T00:00:00"/>
    <x v="6"/>
  </r>
  <r>
    <s v="Maria Victoria Yepes Garcia"/>
    <d v="2022-06-27T00:00:00"/>
    <d v="2022-06-30T00:00:00"/>
    <n v="26"/>
    <s v="MVYG32"/>
    <x v="0"/>
    <n v="6933.5"/>
    <x v="237"/>
    <n v="62401500"/>
    <n v="14"/>
    <n v="4502356808"/>
    <n v="5082481469"/>
    <n v="5113410795"/>
    <m/>
    <s v="TIENE BL"/>
    <m/>
    <x v="0"/>
    <d v="2022-06-27T00:00:00"/>
    <m/>
    <m/>
    <m/>
    <m/>
    <m/>
    <m/>
    <m/>
    <m/>
    <d v="2022-06-27T00:00:00"/>
    <x v="6"/>
  </r>
  <r>
    <s v="Maria Victoria Yepes Garcia"/>
    <d v="2022-06-27T00:00:00"/>
    <d v="2022-06-30T00:00:00"/>
    <n v="26"/>
    <n v="8"/>
    <x v="0"/>
    <n v="6933.5"/>
    <x v="13"/>
    <n v="346675"/>
    <n v="0"/>
    <n v="4502356808"/>
    <n v="5082481469"/>
    <n v="5113410839"/>
    <m/>
    <m/>
    <m/>
    <x v="0"/>
    <d v="2022-06-27T00:00:00"/>
    <m/>
    <m/>
    <m/>
    <m/>
    <m/>
    <m/>
    <m/>
    <m/>
    <d v="2022-06-27T00:00:00"/>
    <x v="6"/>
  </r>
  <r>
    <s v="Sociedad Comercializadora Ganadera"/>
    <d v="2022-07-05T00:00:00"/>
    <d v="2022-07-05T00:00:00"/>
    <n v="26"/>
    <s v="FEDV354"/>
    <x v="3"/>
    <n v="10986"/>
    <x v="54"/>
    <n v="85690800"/>
    <n v="40"/>
    <n v="4502361376"/>
    <n v="5082515701"/>
    <n v="5113419293"/>
    <m/>
    <s v="TIENE BL"/>
    <m/>
    <x v="2"/>
    <d v="2022-06-27T00:00:00"/>
    <m/>
    <m/>
    <m/>
    <m/>
    <m/>
    <m/>
    <m/>
    <m/>
    <d v="2022-06-27T00:00:00"/>
    <x v="6"/>
  </r>
  <r>
    <s v="Primavera del Magdalena S.A.S."/>
    <d v="2022-06-30T00:00:00"/>
    <d v="2022-07-06T00:00:00"/>
    <n v="26"/>
    <s v="PRI-76"/>
    <x v="0"/>
    <n v="6670.5"/>
    <x v="294"/>
    <n v="60368025"/>
    <n v="14"/>
    <n v="4502356809"/>
    <n v="5082493543"/>
    <n v="5113419275"/>
    <m/>
    <s v="TIENE BL"/>
    <m/>
    <x v="0"/>
    <d v="2022-06-28T00:00:00"/>
    <m/>
    <m/>
    <m/>
    <m/>
    <m/>
    <m/>
    <m/>
    <m/>
    <d v="2022-06-28T00:00:00"/>
    <x v="6"/>
  </r>
  <r>
    <s v="Primavera del Magdalena S.A.S."/>
    <d v="2022-06-30T00:00:00"/>
    <d v="2022-07-06T00:00:00"/>
    <n v="26"/>
    <s v="D00211"/>
    <x v="0"/>
    <n v="6670.5"/>
    <x v="13"/>
    <n v="333525"/>
    <n v="0"/>
    <n v="4502356809"/>
    <n v="5082493543"/>
    <n v="5113419287"/>
    <m/>
    <m/>
    <m/>
    <x v="0"/>
    <d v="2022-06-28T00:00:00"/>
    <m/>
    <m/>
    <m/>
    <m/>
    <m/>
    <m/>
    <m/>
    <m/>
    <d v="2022-06-28T00:00:00"/>
    <x v="6"/>
  </r>
  <r>
    <s v="Inversiones Valle Del Canalete S.A.S"/>
    <d v="2022-06-28T00:00:00"/>
    <d v="2022-06-29T00:00:00"/>
    <n v="26"/>
    <s v="IVC118"/>
    <x v="0"/>
    <n v="13620"/>
    <x v="244"/>
    <n v="119856000"/>
    <n v="28"/>
    <n v="4502359905"/>
    <n v="5082480590"/>
    <n v="5113404602"/>
    <s v="CON RETEN"/>
    <s v="EJ*2 1793900*2"/>
    <m/>
    <x v="0"/>
    <d v="2022-06-28T00:00:00"/>
    <n v="4902294674"/>
    <n v="3587800"/>
    <s v="FEMD-4494*2"/>
    <n v="5113404704"/>
    <m/>
    <m/>
    <m/>
    <m/>
    <d v="2022-06-28T00:00:00"/>
    <x v="6"/>
  </r>
  <r>
    <s v="Carlos Mario Duque Cadavid"/>
    <d v="2022-06-28T00:00:00"/>
    <m/>
    <n v="26"/>
    <s v="CD-113"/>
    <x v="0"/>
    <n v="14560"/>
    <x v="244"/>
    <n v="128128000"/>
    <n v="28"/>
    <n v="4502359923"/>
    <n v="5082480805"/>
    <n v="5113415002"/>
    <m/>
    <s v="EJ*2 1771100*2"/>
    <m/>
    <x v="0"/>
    <d v="2022-06-28T00:00:00"/>
    <n v="4902294689"/>
    <n v="3542200"/>
    <s v="FEMD-4495*2"/>
    <n v="5113404702"/>
    <m/>
    <m/>
    <m/>
    <m/>
    <d v="2022-06-28T00:00:00"/>
    <x v="6"/>
  </r>
  <r>
    <s v="Fernando Arevalo Reyes"/>
    <d v="2022-06-28T00:00:00"/>
    <m/>
    <n v="26"/>
    <s v="FVE-156"/>
    <x v="0"/>
    <n v="14323"/>
    <x v="294"/>
    <n v="129623150"/>
    <n v="30"/>
    <n v="4502356810"/>
    <n v="5082493864"/>
    <n v="5113423554"/>
    <m/>
    <s v="TIENE BL"/>
    <s v="Se pidio por correo "/>
    <x v="0"/>
    <d v="2022-06-28T00:00:00"/>
    <m/>
    <m/>
    <m/>
    <m/>
    <m/>
    <m/>
    <m/>
    <m/>
    <d v="2022-06-28T00:00:00"/>
    <x v="6"/>
  </r>
  <r>
    <s v="Fernando Arevalo Reyes"/>
    <d v="2022-06-28T00:00:00"/>
    <m/>
    <n v="26"/>
    <s v="ND7"/>
    <x v="0"/>
    <n v="14323"/>
    <x v="13"/>
    <n v="716150"/>
    <n v="0"/>
    <n v="4502356810"/>
    <n v="5082493864"/>
    <n v="5113423555"/>
    <m/>
    <m/>
    <m/>
    <x v="0"/>
    <d v="2022-06-28T00:00:00"/>
    <m/>
    <m/>
    <m/>
    <m/>
    <m/>
    <m/>
    <m/>
    <m/>
    <d v="2022-06-28T00:00:00"/>
    <x v="6"/>
  </r>
  <r>
    <s v="Miguel Antonio Carrascal Pacheco"/>
    <d v="2022-06-30T00:00:00"/>
    <d v="2022-07-06T00:00:00"/>
    <n v="26"/>
    <s v="FAMC-4"/>
    <x v="0"/>
    <n v="6451"/>
    <x v="237"/>
    <n v="58059000"/>
    <n v="15"/>
    <n v="4502356811"/>
    <n v="5082493865"/>
    <n v="5113420031"/>
    <m/>
    <s v="TIENE BL"/>
    <m/>
    <x v="0"/>
    <d v="2022-06-28T00:00:00"/>
    <m/>
    <m/>
    <m/>
    <m/>
    <m/>
    <m/>
    <m/>
    <m/>
    <d v="2022-06-28T00:00:00"/>
    <x v="6"/>
  </r>
  <r>
    <s v="Miguel Antonio Carrascal Pacheco"/>
    <d v="2022-07-01T00:00:00"/>
    <d v="2022-07-06T00:00:00"/>
    <n v="26"/>
    <s v="NCR40"/>
    <x v="0"/>
    <n v="6451"/>
    <x v="419"/>
    <n v="-117859.77000000281"/>
    <n v="0"/>
    <n v="4502356811"/>
    <n v="5082493865"/>
    <n v="5113420033"/>
    <m/>
    <m/>
    <m/>
    <x v="0"/>
    <d v="2022-06-28T00:00:00"/>
    <m/>
    <m/>
    <m/>
    <m/>
    <m/>
    <m/>
    <m/>
    <m/>
    <d v="2022-06-28T00:00:00"/>
    <x v="6"/>
  </r>
  <r>
    <s v="Luis Francisco Pereira Florez"/>
    <d v="2022-07-04T00:00:00"/>
    <d v="2022-07-05T00:00:00"/>
    <n v="26"/>
    <s v="FP1-1"/>
    <x v="0"/>
    <n v="8094.5"/>
    <x v="237"/>
    <n v="72850500"/>
    <n v="15"/>
    <n v="4502356812"/>
    <n v="5082493544"/>
    <n v="5113419289"/>
    <m/>
    <s v="TIENE BL"/>
    <m/>
    <x v="0"/>
    <d v="2022-06-28T00:00:00"/>
    <m/>
    <m/>
    <m/>
    <m/>
    <m/>
    <m/>
    <m/>
    <m/>
    <d v="2022-06-28T00:00:00"/>
    <x v="6"/>
  </r>
  <r>
    <s v="Luis Francisco Pereira Florez"/>
    <d v="2022-07-04T00:00:00"/>
    <d v="2022-07-05T00:00:00"/>
    <n v="26"/>
    <s v="FP2"/>
    <x v="0"/>
    <n v="8094.5"/>
    <x v="420"/>
    <n v="344420.97499999998"/>
    <n v="0"/>
    <n v="4502356812"/>
    <n v="5082493544"/>
    <n v="5113420035"/>
    <m/>
    <m/>
    <m/>
    <x v="0"/>
    <d v="2022-06-28T00:00:00"/>
    <m/>
    <m/>
    <m/>
    <m/>
    <m/>
    <m/>
    <m/>
    <m/>
    <d v="2022-06-28T00:00:00"/>
    <x v="6"/>
  </r>
  <r>
    <s v="Sociedad Comercializadora Ganadera"/>
    <d v="2022-07-06T00:00:00"/>
    <d v="2022-07-06T00:00:00"/>
    <n v="27"/>
    <s v="FEDV355"/>
    <x v="0"/>
    <n v="55228"/>
    <x v="266"/>
    <n v="516381800"/>
    <n v="120"/>
    <n v="4502361050"/>
    <n v="5082554786"/>
    <n v="5113420167"/>
    <m/>
    <s v="TIENE BL"/>
    <m/>
    <x v="0"/>
    <d v="2022-07-01T00:00:00"/>
    <m/>
    <m/>
    <m/>
    <m/>
    <m/>
    <m/>
    <m/>
    <m/>
    <d v="2022-07-01T00:00:00"/>
    <x v="7"/>
  </r>
  <r>
    <s v="Sociedad Comercializadora Ganadera"/>
    <d v="2022-07-06T00:00:00"/>
    <d v="2022-07-06T00:00:00"/>
    <n v="27"/>
    <s v="NC169"/>
    <x v="0"/>
    <n v="55228"/>
    <x v="421"/>
    <n v="-306515.3999999598"/>
    <n v="0"/>
    <n v="4502361050"/>
    <n v="5082554786"/>
    <n v="5113420169"/>
    <m/>
    <m/>
    <m/>
    <x v="0"/>
    <d v="2022-07-01T00:00:00"/>
    <m/>
    <m/>
    <m/>
    <m/>
    <m/>
    <m/>
    <m/>
    <m/>
    <d v="2022-07-01T00:00:00"/>
    <x v="7"/>
  </r>
  <r>
    <s v="Inversiones y Negocios V&amp;V S.A.S"/>
    <d v="2022-07-05T00:00:00"/>
    <d v="2022-07-05T00:00:00"/>
    <n v="27"/>
    <s v="FE-1677"/>
    <x v="0"/>
    <n v="13153.5"/>
    <x v="266"/>
    <n v="122985225"/>
    <n v="28"/>
    <n v="4502361051"/>
    <n v="5082554787"/>
    <n v="5113423412"/>
    <m/>
    <s v="CON RETEN"/>
    <m/>
    <x v="0"/>
    <d v="2022-07-01T00:00:00"/>
    <m/>
    <m/>
    <m/>
    <m/>
    <m/>
    <m/>
    <m/>
    <m/>
    <d v="2022-07-01T00:00:00"/>
    <x v="7"/>
  </r>
  <r>
    <s v="Inversiones y Negocios V&amp;V S.A.S"/>
    <d v="2022-07-05T00:00:00"/>
    <d v="2022-07-05T00:00:00"/>
    <n v="27"/>
    <s v="NC13046"/>
    <x v="0"/>
    <n v="13153.5"/>
    <x v="13"/>
    <n v="-657675"/>
    <n v="0"/>
    <n v="4502361051"/>
    <n v="5082554787"/>
    <n v="5113423414"/>
    <m/>
    <m/>
    <s v="Se pidio por correo "/>
    <x v="0"/>
    <d v="2022-07-01T00:00:00"/>
    <m/>
    <m/>
    <m/>
    <m/>
    <m/>
    <m/>
    <m/>
    <m/>
    <d v="2022-07-01T00:00:00"/>
    <x v="7"/>
  </r>
  <r>
    <s v="Rodolfo De Jesus Jaramillo Calle"/>
    <d v="2022-07-01T00:00:00"/>
    <m/>
    <n v="27"/>
    <s v="FE-99"/>
    <x v="0"/>
    <n v="7345"/>
    <x v="266"/>
    <n v="68675750"/>
    <n v="15"/>
    <n v="4502361052"/>
    <n v="5082554968"/>
    <n v="5113430391"/>
    <m/>
    <s v="TIENE BL"/>
    <s v="Se pidio por correo "/>
    <x v="0"/>
    <d v="2022-07-01T00:00:00"/>
    <m/>
    <m/>
    <m/>
    <m/>
    <m/>
    <m/>
    <m/>
    <m/>
    <d v="2022-07-01T00:00:00"/>
    <x v="7"/>
  </r>
  <r>
    <s v="Rodolfo De Jesus Jaramillo Calle"/>
    <d v="2022-07-06T00:00:00"/>
    <d v="2022-07-07T00:00:00"/>
    <n v="27"/>
    <s v="NC257"/>
    <x v="0"/>
    <n v="7345"/>
    <x v="2"/>
    <n v="-734500"/>
    <n v="0"/>
    <n v="4502361052"/>
    <n v="5082554968"/>
    <n v="5113430392"/>
    <m/>
    <m/>
    <m/>
    <x v="0"/>
    <d v="2022-07-01T00:00:00"/>
    <m/>
    <m/>
    <m/>
    <m/>
    <m/>
    <m/>
    <m/>
    <m/>
    <d v="2022-07-01T00:00:00"/>
    <x v="7"/>
  </r>
  <r>
    <s v="Adrian Alberto Alvarez Henao"/>
    <d v="2022-07-05T00:00:00"/>
    <d v="2022-07-07T00:00:00"/>
    <n v="27"/>
    <s v="AAAH-49"/>
    <x v="0"/>
    <n v="6050.5"/>
    <x v="266"/>
    <n v="56572175"/>
    <n v="15"/>
    <n v="4502361053"/>
    <n v="5082555114"/>
    <n v="5113424524"/>
    <m/>
    <s v="TIENE BL"/>
    <m/>
    <x v="0"/>
    <d v="2022-07-01T00:00:00"/>
    <m/>
    <m/>
    <m/>
    <m/>
    <m/>
    <m/>
    <m/>
    <m/>
    <d v="2022-07-01T00:00:00"/>
    <x v="7"/>
  </r>
  <r>
    <s v="Adrian Alberto Alvarez Henao"/>
    <d v="2022-07-05T00:00:00"/>
    <d v="2022-07-07T00:00:00"/>
    <n v="27"/>
    <s v="AD25"/>
    <x v="0"/>
    <n v="6050.5"/>
    <x v="422"/>
    <n v="-1327903.2349999961"/>
    <n v="0"/>
    <n v="4502361053"/>
    <n v="5082555114"/>
    <n v="5113424538"/>
    <m/>
    <m/>
    <m/>
    <x v="0"/>
    <d v="2022-07-01T00:00:00"/>
    <m/>
    <m/>
    <m/>
    <m/>
    <m/>
    <m/>
    <m/>
    <m/>
    <d v="2022-07-01T00:00:00"/>
    <x v="7"/>
  </r>
  <r>
    <s v="Jairo De Jesus Restrepo Gonzalez"/>
    <d v="2022-07-01T00:00:00"/>
    <d v="2022-07-05T00:00:00"/>
    <n v="27"/>
    <s v="FEV-10"/>
    <x v="0"/>
    <n v="13612.5"/>
    <x v="314"/>
    <n v="121831875"/>
    <n v="28"/>
    <n v="4502361054"/>
    <n v="5082554969"/>
    <n v="5113418851"/>
    <m/>
    <s v="CON RETEN"/>
    <m/>
    <x v="0"/>
    <d v="2022-07-01T00:00:00"/>
    <m/>
    <m/>
    <m/>
    <m/>
    <m/>
    <m/>
    <m/>
    <m/>
    <d v="2022-07-01T00:00:00"/>
    <x v="7"/>
  </r>
  <r>
    <s v="Margie Rodriguez Rodriguez"/>
    <d v="2022-07-05T00:00:00"/>
    <m/>
    <n v="27"/>
    <s v="FE-64"/>
    <x v="0"/>
    <n v="6673.5"/>
    <x v="314"/>
    <n v="59727825"/>
    <n v="15"/>
    <n v="4502361055"/>
    <n v="5082554970"/>
    <n v="5113418796"/>
    <m/>
    <s v="CON RETEN"/>
    <m/>
    <x v="0"/>
    <d v="2022-07-01T00:00:00"/>
    <m/>
    <m/>
    <m/>
    <m/>
    <m/>
    <m/>
    <m/>
    <m/>
    <d v="2022-07-01T00:00:00"/>
    <x v="7"/>
  </r>
  <r>
    <s v="Margie Rodriguez Rodriguez"/>
    <d v="2022-07-05T00:00:00"/>
    <m/>
    <n v="27"/>
    <s v="NC228"/>
    <x v="0"/>
    <n v="6673.5"/>
    <x v="423"/>
    <n v="-807626.97000000288"/>
    <n v="0"/>
    <n v="4502361055"/>
    <n v="5082554970"/>
    <n v="5113418847"/>
    <m/>
    <m/>
    <m/>
    <x v="0"/>
    <d v="2022-07-01T00:00:00"/>
    <m/>
    <m/>
    <m/>
    <m/>
    <m/>
    <m/>
    <m/>
    <m/>
    <d v="2022-07-01T00:00:00"/>
    <x v="7"/>
  </r>
  <r>
    <s v="Fernando Arevalo Reyes"/>
    <d v="2022-07-01T00:00:00"/>
    <m/>
    <n v="27"/>
    <s v="FVE-157"/>
    <x v="0"/>
    <n v="14205"/>
    <x v="237"/>
    <n v="127845000"/>
    <n v="30"/>
    <n v="4502361056"/>
    <n v="5082555115"/>
    <n v="5113423618"/>
    <m/>
    <s v="TIENE BL"/>
    <m/>
    <x v="0"/>
    <d v="2022-07-01T00:00:00"/>
    <m/>
    <m/>
    <m/>
    <m/>
    <m/>
    <m/>
    <m/>
    <m/>
    <d v="2022-07-01T00:00:00"/>
    <x v="7"/>
  </r>
  <r>
    <s v="Fernando Arevalo Reyes"/>
    <d v="2022-07-01T00:00:00"/>
    <m/>
    <n v="27"/>
    <s v="NC41"/>
    <x v="0"/>
    <n v="14205"/>
    <x v="13"/>
    <n v="-710250"/>
    <n v="0"/>
    <n v="4502361056"/>
    <n v="5082555115"/>
    <n v="5113423619"/>
    <m/>
    <m/>
    <m/>
    <x v="0"/>
    <d v="2022-07-01T00:00:00"/>
    <m/>
    <m/>
    <m/>
    <m/>
    <m/>
    <m/>
    <m/>
    <m/>
    <d v="2022-07-01T00:00:00"/>
    <x v="7"/>
  </r>
  <r>
    <s v="Andres Jose Peña Rodriguez"/>
    <d v="2022-07-07T00:00:00"/>
    <m/>
    <n v="27"/>
    <s v="FE-13"/>
    <x v="0"/>
    <n v="14990.5"/>
    <x v="237"/>
    <n v="134914500"/>
    <n v="30"/>
    <n v="4502361058"/>
    <n v="5082555116"/>
    <n v="5113448847"/>
    <m/>
    <s v="TIENE BL"/>
    <s v="Esta en el proceso del registro "/>
    <x v="0"/>
    <d v="2022-07-01T00:00:00"/>
    <m/>
    <m/>
    <m/>
    <m/>
    <m/>
    <m/>
    <m/>
    <m/>
    <d v="2022-07-01T00:00:00"/>
    <x v="7"/>
  </r>
  <r>
    <s v="Organización Empresarial Blanco Hernandez Y CIA. S.C.A."/>
    <d v="2022-07-01T00:00:00"/>
    <m/>
    <n v="27"/>
    <s v="ORG-94"/>
    <x v="0"/>
    <n v="7032"/>
    <x v="294"/>
    <n v="63639600"/>
    <n v="14"/>
    <n v="4502361059"/>
    <n v="5082554971"/>
    <n v="5113423458"/>
    <m/>
    <s v="CON RETEN"/>
    <m/>
    <x v="0"/>
    <d v="2022-07-01T00:00:00"/>
    <m/>
    <m/>
    <m/>
    <m/>
    <m/>
    <m/>
    <m/>
    <m/>
    <d v="2022-07-01T00:00:00"/>
    <x v="7"/>
  </r>
  <r>
    <s v="Organización Empresarial Blanco Hernandez Y CIA. S.C.A."/>
    <d v="2022-07-01T00:00:00"/>
    <m/>
    <n v="27"/>
    <s v="NC214"/>
    <x v="0"/>
    <n v="7032"/>
    <x v="424"/>
    <n v="-60475.200000002558"/>
    <n v="0"/>
    <n v="4502361059"/>
    <n v="5082554971"/>
    <n v="5113423459"/>
    <m/>
    <s v="Se envia nuevamente al correo recep"/>
    <s v="Se solicito por WA "/>
    <x v="0"/>
    <d v="2022-07-01T00:00:00"/>
    <m/>
    <m/>
    <m/>
    <m/>
    <m/>
    <m/>
    <m/>
    <m/>
    <d v="2022-07-01T00:00:00"/>
    <x v="7"/>
  </r>
  <r>
    <s v="Carlos Mario Duque Cadavid"/>
    <d v="2022-07-01T00:00:00"/>
    <m/>
    <n v="27"/>
    <s v="CD-114"/>
    <x v="1"/>
    <n v="14588"/>
    <x v="219"/>
    <n v="127645000"/>
    <n v="28"/>
    <n v="4502363056"/>
    <n v="5082555372"/>
    <n v="5113422246"/>
    <m/>
    <s v="EJ*2 1638223*2"/>
    <m/>
    <x v="0"/>
    <d v="2022-07-01T00:00:00"/>
    <n v="4902297570"/>
    <n v="3276446"/>
    <s v="FEMD-4522*2"/>
    <n v="5113418064"/>
    <m/>
    <m/>
    <m/>
    <m/>
    <d v="2022-07-01T00:00:00"/>
    <x v="7"/>
  </r>
  <r>
    <s v="Andres Jaramillo Bernal"/>
    <d v="2022-07-07T00:00:00"/>
    <d v="2022-07-08T00:00:00"/>
    <n v="27"/>
    <s v="FEVA-5184"/>
    <x v="1"/>
    <n v="6980.5"/>
    <x v="237"/>
    <n v="62824500"/>
    <n v="14"/>
    <n v="4502361061"/>
    <n v="5082554972"/>
    <n v="5113423892"/>
    <m/>
    <s v="TIENE BL"/>
    <m/>
    <x v="0"/>
    <d v="2022-07-01T00:00:00"/>
    <m/>
    <m/>
    <m/>
    <m/>
    <m/>
    <m/>
    <m/>
    <m/>
    <d v="2022-07-01T00:00:00"/>
    <x v="7"/>
  </r>
  <r>
    <s v="Andres Jaramillo Bernal"/>
    <d v="2022-07-07T00:00:00"/>
    <d v="2022-07-08T00:00:00"/>
    <n v="27"/>
    <s v="NCE33"/>
    <x v="1"/>
    <n v="6980.5"/>
    <x v="13"/>
    <n v="-349025"/>
    <n v="0"/>
    <n v="4502361061"/>
    <n v="5082554972"/>
    <n v="5113423895"/>
    <m/>
    <m/>
    <m/>
    <x v="0"/>
    <d v="2022-07-01T00:00:00"/>
    <m/>
    <m/>
    <m/>
    <m/>
    <m/>
    <m/>
    <m/>
    <m/>
    <d v="2022-07-01T00:00:00"/>
    <x v="7"/>
  </r>
  <r>
    <s v="Rafael Francisco Delgado Serrano"/>
    <d v="2022-07-06T00:00:00"/>
    <m/>
    <n v="27"/>
    <s v="RFDS-157"/>
    <x v="0"/>
    <n v="13147"/>
    <x v="237"/>
    <n v="118323000"/>
    <n v="28"/>
    <n v="4502361062"/>
    <n v="5082570170"/>
    <n v="5113420426"/>
    <m/>
    <s v="CON RETEN"/>
    <m/>
    <x v="0"/>
    <d v="2022-07-02T00:00:00"/>
    <m/>
    <m/>
    <m/>
    <m/>
    <m/>
    <m/>
    <m/>
    <m/>
    <d v="2022-07-02T00:00:00"/>
    <x v="7"/>
  </r>
  <r>
    <s v="Rafael Francisco Delgado Serrano"/>
    <d v="2022-07-06T00:00:00"/>
    <m/>
    <n v="27"/>
    <s v="NCR24"/>
    <x v="0"/>
    <n v="13147"/>
    <x v="2"/>
    <n v="-1314700"/>
    <n v="0"/>
    <n v="4502361062"/>
    <n v="5082570170"/>
    <n v="5113420847"/>
    <m/>
    <m/>
    <m/>
    <x v="0"/>
    <d v="2022-07-02T00:00:00"/>
    <m/>
    <m/>
    <m/>
    <m/>
    <m/>
    <m/>
    <m/>
    <m/>
    <d v="2022-07-02T00:00:00"/>
    <x v="7"/>
  </r>
  <r>
    <s v="Sociedad Comercializadora Ganadera"/>
    <d v="2022-07-06T00:00:00"/>
    <d v="2022-07-06T00:00:00"/>
    <n v="27"/>
    <s v="FEDV356"/>
    <x v="0"/>
    <n v="30510"/>
    <x v="266"/>
    <n v="285268500"/>
    <n v="60"/>
    <n v="4502361063"/>
    <n v="5082570171"/>
    <n v="5113420171"/>
    <m/>
    <s v="TIENE BL"/>
    <m/>
    <x v="0"/>
    <d v="2022-07-02T00:00:00"/>
    <m/>
    <m/>
    <m/>
    <m/>
    <m/>
    <m/>
    <m/>
    <m/>
    <d v="2022-07-02T00:00:00"/>
    <x v="7"/>
  </r>
  <r>
    <s v="Sociedad Comercializadora Ganadera"/>
    <d v="2022-07-06T00:00:00"/>
    <d v="2022-07-06T00:00:00"/>
    <n v="27"/>
    <s v="NC170"/>
    <x v="0"/>
    <n v="30510"/>
    <x v="11"/>
    <n v="-4576500"/>
    <n v="0"/>
    <n v="4502361063"/>
    <n v="5082570171"/>
    <n v="5113420173"/>
    <m/>
    <m/>
    <m/>
    <x v="0"/>
    <d v="2022-07-02T00:00:00"/>
    <m/>
    <m/>
    <m/>
    <m/>
    <m/>
    <m/>
    <m/>
    <m/>
    <d v="2022-07-02T00:00:00"/>
    <x v="7"/>
  </r>
  <r>
    <s v="Sociedad Comercializadora Ganadera"/>
    <d v="2022-07-06T00:00:00"/>
    <d v="2022-07-06T00:00:00"/>
    <n v="27"/>
    <s v="FEDV357"/>
    <x v="0"/>
    <n v="7328"/>
    <x v="266"/>
    <n v="68516800"/>
    <n v="15"/>
    <n v="4502361063"/>
    <n v="5082570171"/>
    <n v="5113420174"/>
    <m/>
    <s v="TIENE BL"/>
    <m/>
    <x v="0"/>
    <d v="2022-07-02T00:00:00"/>
    <m/>
    <m/>
    <m/>
    <m/>
    <m/>
    <m/>
    <m/>
    <m/>
    <d v="2022-07-02T00:00:00"/>
    <x v="7"/>
  </r>
  <r>
    <s v="31416 S.A.S"/>
    <d v="2022-07-07T00:00:00"/>
    <d v="2022-07-07T00:00:00"/>
    <n v="27"/>
    <s v="PI 156"/>
    <x v="0"/>
    <n v="14705"/>
    <x v="219"/>
    <n v="128668750"/>
    <n v="28"/>
    <n v="4502363709"/>
    <n v="5082570662"/>
    <n v="5113423410"/>
    <s v=" "/>
    <s v="EJ*2 1648800*2"/>
    <s v="CON RETEN"/>
    <x v="0"/>
    <d v="2022-07-02T00:00:00"/>
    <n v="4902298847"/>
    <n v="3297600"/>
    <s v="FEMD-4541*2"/>
    <n v="5113419532"/>
    <m/>
    <m/>
    <m/>
    <m/>
    <d v="2022-07-02T00:00:00"/>
    <x v="7"/>
  </r>
  <r>
    <s v="Tanagro S.A.S Zomac"/>
    <d v="2022-07-02T00:00:00"/>
    <d v="2022-07-07T00:00:00"/>
    <n v="27"/>
    <s v="Z108"/>
    <x v="0"/>
    <n v="13863"/>
    <x v="314"/>
    <n v="124073850"/>
    <n v="31"/>
    <n v="4502361064"/>
    <n v="5082570172"/>
    <n v="5113422053"/>
    <m/>
    <s v="CON RETEN"/>
    <m/>
    <x v="0"/>
    <d v="2022-07-02T00:00:00"/>
    <m/>
    <m/>
    <m/>
    <m/>
    <m/>
    <m/>
    <m/>
    <m/>
    <d v="2022-07-02T00:00:00"/>
    <x v="7"/>
  </r>
  <r>
    <s v="Tanagro S.A.S Zomac"/>
    <d v="2022-07-07T00:00:00"/>
    <d v="2022-07-07T00:00:00"/>
    <n v="27"/>
    <s v="NCR86"/>
    <x v="0"/>
    <n v="13863"/>
    <x v="2"/>
    <n v="-1386300"/>
    <n v="0"/>
    <n v="4502361064"/>
    <n v="5082570172"/>
    <n v="5113422054"/>
    <m/>
    <m/>
    <m/>
    <x v="0"/>
    <d v="2022-07-02T00:00:00"/>
    <m/>
    <m/>
    <m/>
    <m/>
    <m/>
    <m/>
    <m/>
    <m/>
    <d v="2022-07-02T00:00:00"/>
    <x v="7"/>
  </r>
  <r>
    <s v="Tanagro S.A.S Zomac"/>
    <d v="2022-07-08T00:00:00"/>
    <d v="2022-07-08T00:00:00"/>
    <n v="27"/>
    <s v="Z109"/>
    <x v="0"/>
    <n v="13592"/>
    <x v="314"/>
    <n v="121648400"/>
    <n v="29"/>
    <n v="4502361065"/>
    <n v="5082570173"/>
    <n v="5113423482"/>
    <m/>
    <s v="CON RETEN"/>
    <m/>
    <x v="0"/>
    <d v="2022-07-03T00:00:00"/>
    <m/>
    <m/>
    <m/>
    <m/>
    <m/>
    <m/>
    <m/>
    <m/>
    <d v="2022-07-03T00:00:00"/>
    <x v="7"/>
  </r>
  <r>
    <s v="Tanagro S.A.S Zomac"/>
    <d v="2022-07-08T00:00:00"/>
    <d v="2022-07-08T00:00:00"/>
    <n v="27"/>
    <s v="NCR87"/>
    <x v="0"/>
    <n v="13592"/>
    <x v="2"/>
    <n v="-1359200"/>
    <n v="0"/>
    <n v="4502361065"/>
    <n v="5082570173"/>
    <n v="5113423483"/>
    <m/>
    <m/>
    <m/>
    <x v="0"/>
    <d v="2022-07-03T00:00:00"/>
    <m/>
    <m/>
    <m/>
    <m/>
    <m/>
    <m/>
    <m/>
    <m/>
    <d v="2022-07-03T00:00:00"/>
    <x v="7"/>
  </r>
  <r>
    <s v="Agropecuaria Tabaida S.A.S"/>
    <d v="2022-07-03T00:00:00"/>
    <d v="2022-07-05T00:00:00"/>
    <n v="27"/>
    <s v="MT1455"/>
    <x v="0"/>
    <n v="20122"/>
    <x v="219"/>
    <n v="176067500"/>
    <n v="42"/>
    <n v="4502363711"/>
    <n v="5082570667"/>
    <n v="5113423553"/>
    <s v="TIENE BL"/>
    <s v="TYC 4792500"/>
    <s v="TIENE BL"/>
    <x v="0"/>
    <d v="2022-07-03T00:00:00"/>
    <n v="4902298849"/>
    <n v="4792500"/>
    <s v="ETE-3225"/>
    <n v="5113435720"/>
    <m/>
    <m/>
    <m/>
    <m/>
    <d v="2022-07-03T00:00:00"/>
    <x v="7"/>
  </r>
  <r>
    <s v="Lismenia Torcoroma Rincon Hernandez"/>
    <d v="2022-07-04T00:00:00"/>
    <m/>
    <n v="27"/>
    <s v="GANA-221"/>
    <x v="1"/>
    <n v="14931.5"/>
    <x v="237"/>
    <n v="134383500"/>
    <n v="29"/>
    <n v="4502361066"/>
    <n v="5082570277"/>
    <n v="5113422050"/>
    <m/>
    <s v="TIENE BL"/>
    <m/>
    <x v="0"/>
    <d v="2022-07-04T00:00:00"/>
    <m/>
    <m/>
    <m/>
    <m/>
    <m/>
    <m/>
    <m/>
    <m/>
    <d v="2022-07-04T00:00:00"/>
    <x v="7"/>
  </r>
  <r>
    <s v="Lismenia Torcoroma Rincon Hernandez"/>
    <d v="2022-07-04T00:00:00"/>
    <m/>
    <n v="27"/>
    <n v="1096797"/>
    <x v="1"/>
    <n v="14931.5"/>
    <x v="425"/>
    <n v="-2092351.0949999881"/>
    <n v="0"/>
    <n v="4502361066"/>
    <n v="5082570277"/>
    <n v="5113422051"/>
    <m/>
    <m/>
    <m/>
    <x v="0"/>
    <d v="2022-07-04T00:00:00"/>
    <m/>
    <m/>
    <m/>
    <m/>
    <m/>
    <m/>
    <m/>
    <m/>
    <d v="2022-07-04T00:00:00"/>
    <x v="7"/>
  </r>
  <r>
    <s v="Sociedad Comercializadora Ganadera"/>
    <d v="2022-07-07T00:00:00"/>
    <d v="2022-07-07T00:00:00"/>
    <n v="27"/>
    <s v="FEDV358"/>
    <x v="1"/>
    <n v="14063"/>
    <x v="266"/>
    <n v="131489050"/>
    <n v="31"/>
    <n v="4502361068"/>
    <n v="5082570438"/>
    <n v="5113423978"/>
    <m/>
    <s v="TIENE BL"/>
    <m/>
    <x v="0"/>
    <d v="2022-07-04T00:00:00"/>
    <m/>
    <m/>
    <m/>
    <m/>
    <m/>
    <m/>
    <m/>
    <m/>
    <d v="2022-07-04T00:00:00"/>
    <x v="7"/>
  </r>
  <r>
    <s v="Sociedad Comercializadora Ganadera"/>
    <d v="2022-07-07T00:00:00"/>
    <d v="2022-07-07T00:00:00"/>
    <n v="27"/>
    <s v="NC171"/>
    <x v="1"/>
    <n v="14063"/>
    <x v="426"/>
    <n v="-2339380.0500000049"/>
    <n v="0"/>
    <n v="4502361068"/>
    <n v="5082570438"/>
    <n v="5113423979"/>
    <m/>
    <m/>
    <m/>
    <x v="0"/>
    <d v="2022-07-04T00:00:00"/>
    <m/>
    <m/>
    <m/>
    <m/>
    <m/>
    <m/>
    <m/>
    <m/>
    <d v="2022-07-04T00:00:00"/>
    <x v="7"/>
  </r>
  <r>
    <s v="Agropecuaria Tabaida S.A.S"/>
    <d v="2022-07-05T00:00:00"/>
    <d v="2022-07-06T00:00:00"/>
    <n v="27"/>
    <s v="MT1457"/>
    <x v="0"/>
    <n v="20175"/>
    <x v="219"/>
    <n v="176531250"/>
    <n v="42"/>
    <n v="4502364997"/>
    <n v="5082592201"/>
    <n v="5113432343"/>
    <s v="TIENE BL"/>
    <s v="TYC 4473000"/>
    <s v="TIENE BL"/>
    <x v="0"/>
    <d v="2022-07-05T00:00:00"/>
    <n v="4902298853"/>
    <n v="4473000"/>
    <s v="ETE-3226"/>
    <n v="5113431305"/>
    <m/>
    <m/>
    <m/>
    <m/>
    <d v="2022-07-05T00:00:00"/>
    <x v="7"/>
  </r>
  <r>
    <s v="Inversiones Valle Del Canalete S.A.S"/>
    <d v="2022-07-05T00:00:00"/>
    <d v="2022-07-08T00:00:00"/>
    <n v="27"/>
    <s v="IVC119"/>
    <x v="0"/>
    <n v="13847"/>
    <x v="219"/>
    <n v="121161250"/>
    <n v="28"/>
    <n v="4502364669"/>
    <n v="5082588559"/>
    <n v="5113426712"/>
    <s v="CON RETEN"/>
    <s v="EJ*2 1793900*2"/>
    <m/>
    <x v="0"/>
    <d v="2022-07-05T00:00:00"/>
    <n v="4902298854"/>
    <n v="3587800"/>
    <s v="FEMD-4552*2"/>
    <n v="5113419805"/>
    <m/>
    <m/>
    <m/>
    <m/>
    <d v="2022-07-05T00:00:00"/>
    <x v="7"/>
  </r>
  <r>
    <s v="Agropecuaria Hacienda Manzanares S.A.S ZOMAC"/>
    <d v="2022-07-07T00:00:00"/>
    <d v="2022-07-07T00:00:00"/>
    <n v="27"/>
    <s v="AHM-2"/>
    <x v="0"/>
    <n v="13022"/>
    <x v="273"/>
    <n v="118500200"/>
    <n v="28"/>
    <n v="4502364771"/>
    <n v="5082603241"/>
    <n v="5113423462"/>
    <m/>
    <s v="CON RETEN"/>
    <m/>
    <x v="0"/>
    <d v="2022-07-05T00:00:00"/>
    <m/>
    <m/>
    <m/>
    <m/>
    <m/>
    <m/>
    <m/>
    <m/>
    <d v="2022-07-05T00:00:00"/>
    <x v="7"/>
  </r>
  <r>
    <s v="Primavera del Magdalena S.A.S."/>
    <d v="2022-07-08T00:00:00"/>
    <d v="2022-07-08T00:00:00"/>
    <n v="27"/>
    <s v="PRI-77"/>
    <x v="0"/>
    <n v="6928.5"/>
    <x v="294"/>
    <n v="62702925"/>
    <n v="14"/>
    <n v="4502361069"/>
    <n v="5082587159"/>
    <n v="5113426826"/>
    <m/>
    <s v="TIENE BL"/>
    <m/>
    <x v="0"/>
    <d v="2022-07-05T00:00:00"/>
    <m/>
    <m/>
    <m/>
    <m/>
    <m/>
    <m/>
    <m/>
    <m/>
    <d v="2022-07-05T00:00:00"/>
    <x v="7"/>
  </r>
  <r>
    <s v="Primavera del Magdalena S.A.S."/>
    <d v="2022-07-08T00:00:00"/>
    <m/>
    <n v="27"/>
    <s v="C0025"/>
    <x v="0"/>
    <n v="6928.5"/>
    <x v="13"/>
    <n v="-346425"/>
    <n v="0"/>
    <n v="4502361069"/>
    <n v="5082587159"/>
    <n v="5113426830"/>
    <m/>
    <m/>
    <m/>
    <x v="0"/>
    <d v="2022-07-05T00:00:00"/>
    <m/>
    <m/>
    <m/>
    <m/>
    <m/>
    <m/>
    <m/>
    <m/>
    <d v="2022-07-05T00:00:00"/>
    <x v="7"/>
  </r>
  <r>
    <s v="Lina Maria Pelaez Gomez"/>
    <d v="2022-07-05T00:00:00"/>
    <d v="2022-07-07T00:00:00"/>
    <n v="27"/>
    <s v="LP101"/>
    <x v="0"/>
    <n v="7171"/>
    <x v="266"/>
    <n v="67048850"/>
    <n v="15"/>
    <n v="4502361070"/>
    <n v="5082588706"/>
    <n v="5113424469"/>
    <m/>
    <s v="TIENE BL"/>
    <m/>
    <x v="0"/>
    <d v="2022-07-05T00:00:00"/>
    <m/>
    <m/>
    <m/>
    <m/>
    <m/>
    <m/>
    <m/>
    <m/>
    <d v="2022-07-05T00:00:00"/>
    <x v="7"/>
  </r>
  <r>
    <s v="Lina Maria Pelaez Gomez"/>
    <d v="2022-07-07T00:00:00"/>
    <d v="2022-07-07T00:00:00"/>
    <n v="27"/>
    <s v="NC75"/>
    <x v="0"/>
    <n v="7171"/>
    <x v="2"/>
    <n v="-717100"/>
    <n v="0"/>
    <n v="4502361070"/>
    <n v="5082588706"/>
    <n v="5113424471"/>
    <m/>
    <m/>
    <m/>
    <x v="0"/>
    <d v="2022-07-05T00:00:00"/>
    <m/>
    <m/>
    <m/>
    <m/>
    <m/>
    <m/>
    <m/>
    <m/>
    <d v="2022-07-05T00:00:00"/>
    <x v="7"/>
  </r>
  <r>
    <s v="Lina Maria Pelaez Gomez"/>
    <d v="2022-07-07T00:00:00"/>
    <d v="2022-07-07T00:00:00"/>
    <n v="27"/>
    <s v="LP102"/>
    <x v="1"/>
    <n v="6701"/>
    <x v="266"/>
    <n v="62654350"/>
    <n v="15"/>
    <n v="4502361071"/>
    <n v="5082588707"/>
    <n v="5113424473"/>
    <m/>
    <s v="TIENE BL"/>
    <m/>
    <x v="0"/>
    <d v="2022-07-05T00:00:00"/>
    <m/>
    <m/>
    <m/>
    <m/>
    <m/>
    <m/>
    <m/>
    <m/>
    <d v="2022-07-05T00:00:00"/>
    <x v="7"/>
  </r>
  <r>
    <s v="Lina Maria Pelaez Gomez"/>
    <d v="2022-07-07T00:00:00"/>
    <d v="2022-07-07T00:00:00"/>
    <n v="27"/>
    <s v="NC76"/>
    <x v="1"/>
    <n v="6701"/>
    <x v="427"/>
    <n v="-374987.95999999414"/>
    <n v="0"/>
    <n v="4502361071"/>
    <n v="5082588707"/>
    <n v="5113424474"/>
    <m/>
    <m/>
    <m/>
    <x v="0"/>
    <d v="2022-07-05T00:00:00"/>
    <m/>
    <m/>
    <m/>
    <m/>
    <m/>
    <m/>
    <m/>
    <m/>
    <d v="2022-07-05T00:00:00"/>
    <x v="7"/>
  </r>
  <r>
    <s v="David Martinez Jaramillo"/>
    <d v="2022-07-05T00:00:00"/>
    <d v="2022-07-07T00:00:00"/>
    <n v="27"/>
    <s v="DM210"/>
    <x v="1"/>
    <n v="28245"/>
    <x v="266"/>
    <n v="264090750"/>
    <n v="60"/>
    <n v="4502366636"/>
    <n v="5082624713"/>
    <n v="5113424475"/>
    <m/>
    <s v="TIENE BL"/>
    <m/>
    <x v="0"/>
    <d v="2022-07-05T00:00:00"/>
    <m/>
    <m/>
    <m/>
    <m/>
    <m/>
    <m/>
    <m/>
    <m/>
    <d v="2022-07-05T00:00:00"/>
    <x v="7"/>
  </r>
  <r>
    <s v="David Martinez Jaramillo"/>
    <d v="2022-07-07T00:00:00"/>
    <d v="2022-07-07T00:00:00"/>
    <n v="27"/>
    <s v="NC47"/>
    <x v="1"/>
    <n v="28245"/>
    <x v="2"/>
    <n v="-2824500"/>
    <n v="0"/>
    <n v="4502366636"/>
    <n v="5082624713"/>
    <n v="5113424476"/>
    <m/>
    <m/>
    <m/>
    <x v="0"/>
    <d v="2022-07-05T00:00:00"/>
    <m/>
    <m/>
    <m/>
    <m/>
    <m/>
    <m/>
    <m/>
    <m/>
    <d v="2022-07-05T00:00:00"/>
    <x v="7"/>
  </r>
  <r>
    <s v="Sociedad Comercializadora Ganadera"/>
    <d v="2022-07-07T00:00:00"/>
    <d v="2022-07-07T00:00:00"/>
    <n v="27"/>
    <s v="FEDV359"/>
    <x v="3"/>
    <n v="5528"/>
    <x v="54"/>
    <n v="43118400"/>
    <n v="20"/>
    <n v="4502365223"/>
    <n v="5082601191"/>
    <n v="5113423980"/>
    <m/>
    <s v="TIENE BL"/>
    <m/>
    <x v="2"/>
    <d v="2022-07-06T00:00:00"/>
    <m/>
    <m/>
    <m/>
    <m/>
    <m/>
    <m/>
    <m/>
    <m/>
    <d v="2022-07-06T00:00:00"/>
    <x v="7"/>
  </r>
  <r>
    <s v="Lina Maria Pelaez Gomez"/>
    <d v="2022-07-08T00:00:00"/>
    <d v="2022-07-11T00:00:00"/>
    <n v="28"/>
    <s v="LP103"/>
    <x v="0"/>
    <n v="7087"/>
    <x v="340"/>
    <n v="65554750"/>
    <n v="15"/>
    <n v="4502364822"/>
    <n v="5082622602"/>
    <n v="5113429483"/>
    <m/>
    <s v="TIENE BL"/>
    <m/>
    <x v="0"/>
    <d v="2022-07-07T00:00:00"/>
    <m/>
    <m/>
    <m/>
    <m/>
    <m/>
    <m/>
    <m/>
    <m/>
    <d v="2022-07-07T00:00:00"/>
    <x v="7"/>
  </r>
  <r>
    <s v="Lina Maria Pelaez Gomez"/>
    <d v="2022-07-11T00:00:00"/>
    <d v="2022-07-11T00:00:00"/>
    <n v="28"/>
    <s v="NC77"/>
    <x v="0"/>
    <n v="7087"/>
    <x v="13"/>
    <n v="-354350"/>
    <n v="0"/>
    <n v="4502364822"/>
    <n v="5082622602"/>
    <n v="5113429485"/>
    <m/>
    <m/>
    <m/>
    <x v="0"/>
    <d v="2022-07-07T00:00:00"/>
    <m/>
    <m/>
    <m/>
    <m/>
    <m/>
    <m/>
    <m/>
    <m/>
    <d v="2022-07-07T00:00:00"/>
    <x v="7"/>
  </r>
  <r>
    <s v="Agropecuaria Tabaida S.A.S"/>
    <d v="2022-07-06T00:00:00"/>
    <d v="2022-07-11T00:00:00"/>
    <n v="28"/>
    <s v="MT-1464"/>
    <x v="1"/>
    <n v="19732"/>
    <x v="220"/>
    <n v="170681800"/>
    <n v="42"/>
    <n v="4502366266"/>
    <n v="5082621185"/>
    <n v="5113444674"/>
    <s v="TIENE BL"/>
    <s v="TYC 4792500"/>
    <m/>
    <x v="0"/>
    <d v="2022-07-07T00:00:00"/>
    <n v="4902301826"/>
    <n v="4792500"/>
    <s v="ETE-3235"/>
    <n v="5113435718"/>
    <m/>
    <m/>
    <m/>
    <m/>
    <d v="2022-07-07T00:00:00"/>
    <x v="7"/>
  </r>
  <r>
    <s v="Inversiones y Negocios V&amp;V S.A.S"/>
    <d v="2022-07-11T00:00:00"/>
    <d v="2022-07-11T00:00:00"/>
    <n v="28"/>
    <s v="FE-1679"/>
    <x v="1"/>
    <n v="12840.5"/>
    <x v="340"/>
    <n v="118774625"/>
    <n v="28"/>
    <n v="4502364823"/>
    <n v="5082622603"/>
    <n v="5113437955"/>
    <m/>
    <s v="CON RETEN"/>
    <s v="Se envia nuevamente "/>
    <x v="0"/>
    <d v="2022-07-07T00:00:00"/>
    <m/>
    <m/>
    <m/>
    <m/>
    <m/>
    <m/>
    <m/>
    <m/>
    <d v="2022-07-07T00:00:00"/>
    <x v="7"/>
  </r>
  <r>
    <s v="Inversiones y Negocios V&amp;V S.A.S"/>
    <d v="2022-07-11T00:00:00"/>
    <d v="2022-07-11T00:00:00"/>
    <n v="28"/>
    <s v="NC13049"/>
    <x v="1"/>
    <n v="12840.5"/>
    <x v="13"/>
    <n v="-642025"/>
    <n v="0"/>
    <n v="4502364823"/>
    <n v="5082622603"/>
    <n v="5113437956"/>
    <m/>
    <m/>
    <m/>
    <x v="0"/>
    <d v="2022-07-07T00:00:00"/>
    <m/>
    <m/>
    <m/>
    <m/>
    <m/>
    <m/>
    <m/>
    <m/>
    <d v="2022-07-07T00:00:00"/>
    <x v="7"/>
  </r>
  <r>
    <s v="Lismenia Torcoroma Rincon Hernandez"/>
    <d v="2022-07-07T00:00:00"/>
    <m/>
    <n v="28"/>
    <s v="GANA-224"/>
    <x v="2"/>
    <n v="33044.5"/>
    <x v="283"/>
    <n v="292443825"/>
    <n v="70"/>
    <n v="4502364825"/>
    <n v="5082622604"/>
    <n v="5113429486"/>
    <m/>
    <s v="TIENE BL"/>
    <m/>
    <x v="0"/>
    <d v="2022-07-07T00:00:00"/>
    <m/>
    <m/>
    <m/>
    <m/>
    <m/>
    <m/>
    <m/>
    <m/>
    <d v="2022-07-07T00:00:00"/>
    <x v="7"/>
  </r>
  <r>
    <s v="Jorge Armando Ortega Trigos"/>
    <d v="2022-07-07T00:00:00"/>
    <m/>
    <n v="28"/>
    <s v="FVE27"/>
    <x v="2"/>
    <n v="21538"/>
    <x v="283"/>
    <n v="190611300"/>
    <n v="45"/>
    <n v="4502364827"/>
    <n v="5082622890"/>
    <n v="5113439778"/>
    <m/>
    <s v="TIENE BL"/>
    <s v="Se solicita por WA "/>
    <x v="0"/>
    <d v="2022-07-07T00:00:00"/>
    <m/>
    <m/>
    <m/>
    <m/>
    <m/>
    <m/>
    <m/>
    <m/>
    <d v="2022-07-07T00:00:00"/>
    <x v="7"/>
  </r>
  <r>
    <s v="Jorge Armando Ortega Trigos"/>
    <d v="2022-07-07T00:00:00"/>
    <m/>
    <n v="28"/>
    <s v="NCV7"/>
    <x v="2"/>
    <n v="21538"/>
    <x v="13"/>
    <n v="-1076900"/>
    <n v="0"/>
    <n v="4502364827"/>
    <n v="5082622890"/>
    <n v="5113439785"/>
    <m/>
    <m/>
    <s v="Se envia nuevamente a recepcion"/>
    <x v="0"/>
    <d v="2022-07-07T00:00:00"/>
    <m/>
    <m/>
    <m/>
    <m/>
    <m/>
    <m/>
    <m/>
    <m/>
    <d v="2022-07-07T00:00:00"/>
    <x v="7"/>
  </r>
  <r>
    <s v="Andres Felipe Mantilla Acosta"/>
    <d v="2022-07-07T00:00:00"/>
    <d v="2022-07-12T00:00:00"/>
    <n v="28"/>
    <s v="FEFE20"/>
    <x v="2"/>
    <n v="7702.5"/>
    <x v="251"/>
    <n v="68552250"/>
    <n v="14"/>
    <n v="4502364829"/>
    <n v="5082622891"/>
    <n v="5113430388"/>
    <m/>
    <s v="TIENE BL"/>
    <m/>
    <x v="0"/>
    <d v="2022-07-07T00:00:00"/>
    <m/>
    <m/>
    <m/>
    <m/>
    <m/>
    <m/>
    <m/>
    <m/>
    <d v="2022-07-07T00:00:00"/>
    <x v="7"/>
  </r>
  <r>
    <s v="Andres Felipe Mantilla Acosta"/>
    <d v="2022-07-07T00:00:00"/>
    <d v="2022-07-12T00:00:00"/>
    <n v="28"/>
    <s v="ND1"/>
    <x v="2"/>
    <n v="7702.5"/>
    <x v="13"/>
    <n v="385125"/>
    <n v="0"/>
    <n v="4502364829"/>
    <n v="5082622891"/>
    <n v="5113430389"/>
    <m/>
    <m/>
    <m/>
    <x v="0"/>
    <d v="2022-07-07T00:00:00"/>
    <m/>
    <m/>
    <m/>
    <m/>
    <m/>
    <m/>
    <m/>
    <m/>
    <d v="2022-07-07T00:00:00"/>
    <x v="7"/>
  </r>
  <r>
    <s v="Inversiones Tres P &amp; CIA S. En C"/>
    <d v="2022-07-07T00:00:00"/>
    <d v="2022-07-11T00:00:00"/>
    <n v="28"/>
    <s v="FE-59"/>
    <x v="2"/>
    <n v="19829"/>
    <x v="314"/>
    <n v="177469550"/>
    <n v="42"/>
    <n v="4502364830"/>
    <n v="5082622605"/>
    <n v="5113431504"/>
    <m/>
    <s v="TIENE BL"/>
    <m/>
    <x v="0"/>
    <d v="2022-07-07T00:00:00"/>
    <m/>
    <m/>
    <m/>
    <m/>
    <m/>
    <m/>
    <m/>
    <m/>
    <d v="2022-07-07T00:00:00"/>
    <x v="7"/>
  </r>
  <r>
    <s v="Andres Felipe Vasquez Velez"/>
    <d v="2022-07-14T00:00:00"/>
    <m/>
    <n v="28"/>
    <s v="FE-19"/>
    <x v="2"/>
    <n v="10753.5"/>
    <x v="340"/>
    <n v="99469875"/>
    <n v="26"/>
    <n v="4502364831"/>
    <n v="5082622606"/>
    <n v="5113442683"/>
    <m/>
    <s v="TIENE BL"/>
    <s v="Se solicita por WA "/>
    <x v="0"/>
    <d v="2022-07-07T00:00:00"/>
    <m/>
    <m/>
    <m/>
    <m/>
    <m/>
    <m/>
    <m/>
    <m/>
    <d v="2022-07-07T00:00:00"/>
    <x v="7"/>
  </r>
  <r>
    <s v="Andres Felipe Vasquez Velez"/>
    <d v="2022-07-14T00:00:00"/>
    <m/>
    <n v="28"/>
    <s v="NC11"/>
    <x v="2"/>
    <n v="10753.5"/>
    <x v="428"/>
    <n v="-270127.9200000086"/>
    <n v="0"/>
    <n v="4502364831"/>
    <n v="5082622606"/>
    <n v="5113442685"/>
    <m/>
    <m/>
    <m/>
    <x v="0"/>
    <d v="2022-07-07T00:00:00"/>
    <m/>
    <m/>
    <m/>
    <m/>
    <m/>
    <m/>
    <m/>
    <m/>
    <d v="2022-07-07T00:00:00"/>
    <x v="7"/>
  </r>
  <r>
    <s v="Carlos Mario Duque Cadavid"/>
    <d v="2022-07-07T00:00:00"/>
    <m/>
    <n v="28"/>
    <s v="CD-116"/>
    <x v="2"/>
    <n v="28803"/>
    <x v="220"/>
    <n v="249145950"/>
    <n v="56"/>
    <n v="4502366269"/>
    <n v="5082621186"/>
    <n v="5113430246"/>
    <m/>
    <s v="EJ*4 1771100*4"/>
    <m/>
    <x v="0"/>
    <d v="2022-07-07T00:00:00"/>
    <n v="4902301828"/>
    <n v="7084400"/>
    <s v="FEMD-4582*2"/>
    <n v="5113435682"/>
    <s v="FEMD-4583*2"/>
    <n v="5113435684"/>
    <m/>
    <m/>
    <d v="2022-07-07T00:00:00"/>
    <x v="7"/>
  </r>
  <r>
    <s v="Luis Fernando Rojas Prada"/>
    <d v="2022-07-11T00:00:00"/>
    <d v="2022-07-11T00:00:00"/>
    <n v="28"/>
    <s v="FELC -952"/>
    <x v="0"/>
    <n v="29850"/>
    <x v="220"/>
    <n v="258202500"/>
    <n v="58"/>
    <n v="4502367807"/>
    <n v="5082662474"/>
    <n v="5113429619"/>
    <s v="CON RETEN"/>
    <m/>
    <m/>
    <x v="4"/>
    <d v="2022-07-07T00:00:00"/>
    <m/>
    <m/>
    <m/>
    <m/>
    <m/>
    <m/>
    <m/>
    <m/>
    <d v="2022-07-07T00:00:00"/>
    <x v="7"/>
  </r>
  <r>
    <s v="La Ceiba S.A"/>
    <d v="2022-07-13T00:00:00"/>
    <m/>
    <n v="28"/>
    <s v="FE-1832"/>
    <x v="0"/>
    <n v="5999"/>
    <x v="314"/>
    <n v="53691050"/>
    <n v="13"/>
    <n v="4502364832"/>
    <n v="5082627984"/>
    <n v="5113437192"/>
    <m/>
    <s v="CON RETEN"/>
    <s v="Se solicita por WA "/>
    <x v="0"/>
    <d v="2022-07-08T00:00:00"/>
    <m/>
    <m/>
    <m/>
    <m/>
    <m/>
    <m/>
    <m/>
    <m/>
    <d v="2022-07-08T00:00:00"/>
    <x v="7"/>
  </r>
  <r>
    <s v="Luis Eduardo Sanchez Ruedas"/>
    <d v="2022-04-13T00:00:00"/>
    <d v="2022-07-14T00:00:00"/>
    <n v="28"/>
    <s v="FE-172"/>
    <x v="0"/>
    <n v="25574"/>
    <x v="283"/>
    <n v="226329900"/>
    <n v="57"/>
    <n v="4502370642"/>
    <n v="5082717714"/>
    <n v="5113437125"/>
    <m/>
    <s v="CON RETEN"/>
    <s v="Se solicita por WA "/>
    <x v="0"/>
    <d v="2022-07-08T00:00:00"/>
    <m/>
    <m/>
    <m/>
    <m/>
    <m/>
    <m/>
    <m/>
    <m/>
    <d v="2022-07-08T00:00:00"/>
    <x v="7"/>
  </r>
  <r>
    <s v="Luis Eduardo Sanchez Ruedas"/>
    <d v="2022-07-14T00:00:00"/>
    <m/>
    <n v="28"/>
    <s v="NC214"/>
    <x v="0"/>
    <n v="25574"/>
    <x v="429"/>
    <n v="-230677.48000001116"/>
    <n v="0"/>
    <n v="4502370642"/>
    <n v="5082717714"/>
    <n v="5113437126"/>
    <m/>
    <m/>
    <m/>
    <x v="0"/>
    <d v="2022-07-08T00:00:00"/>
    <m/>
    <m/>
    <m/>
    <m/>
    <m/>
    <m/>
    <m/>
    <m/>
    <d v="2022-07-08T00:00:00"/>
    <x v="7"/>
  </r>
  <r>
    <s v="Jorge Ignacio Sanchez Restrepo"/>
    <d v="2022-07-12T00:00:00"/>
    <d v="2022-07-12T00:00:00"/>
    <n v="28"/>
    <s v="FEJS-34"/>
    <x v="0"/>
    <n v="6557"/>
    <x v="340"/>
    <n v="60652250"/>
    <n v="15"/>
    <n v="4502364834"/>
    <n v="5082628228"/>
    <n v="5113432474"/>
    <m/>
    <s v="CON RETEN"/>
    <m/>
    <x v="0"/>
    <d v="2022-07-08T00:00:00"/>
    <m/>
    <m/>
    <m/>
    <m/>
    <m/>
    <m/>
    <m/>
    <m/>
    <d v="2022-07-08T00:00:00"/>
    <x v="7"/>
  </r>
  <r>
    <s v="Jorge Ignacio Sanchez Restrepo"/>
    <d v="2022-07-12T00:00:00"/>
    <d v="2022-07-12T00:00:00"/>
    <n v="28"/>
    <s v="NC14"/>
    <x v="0"/>
    <n v="6557"/>
    <x v="13"/>
    <n v="-327850"/>
    <n v="0"/>
    <n v="4502364834"/>
    <n v="5082628228"/>
    <n v="5113432475"/>
    <m/>
    <m/>
    <m/>
    <x v="0"/>
    <d v="2022-07-08T00:00:00"/>
    <m/>
    <m/>
    <m/>
    <m/>
    <m/>
    <m/>
    <m/>
    <m/>
    <d v="2022-07-08T00:00:00"/>
    <x v="7"/>
  </r>
  <r>
    <s v="La OKA S.A.S."/>
    <d v="2022-07-13T00:00:00"/>
    <m/>
    <n v="28"/>
    <s v="FEOK-71"/>
    <x v="0"/>
    <n v="6473.5"/>
    <x v="283"/>
    <n v="57290475"/>
    <n v="14"/>
    <n v="4502364835"/>
    <n v="5082627986"/>
    <n v="5113433128"/>
    <m/>
    <s v="CON RETEN"/>
    <m/>
    <x v="0"/>
    <d v="2022-07-08T00:00:00"/>
    <m/>
    <m/>
    <m/>
    <m/>
    <m/>
    <m/>
    <m/>
    <m/>
    <d v="2022-07-08T00:00:00"/>
    <x v="7"/>
  </r>
  <r>
    <s v="La OKA S.A.S."/>
    <d v="2022-07-13T00:00:00"/>
    <m/>
    <n v="28"/>
    <s v="NC214"/>
    <x v="0"/>
    <n v="6473.5"/>
    <x v="2"/>
    <n v="-647350"/>
    <n v="0"/>
    <n v="4502364835"/>
    <n v="5082627986"/>
    <n v="5113433129"/>
    <m/>
    <m/>
    <m/>
    <x v="0"/>
    <d v="2022-07-08T00:00:00"/>
    <m/>
    <m/>
    <m/>
    <m/>
    <m/>
    <m/>
    <m/>
    <m/>
    <d v="2022-07-08T00:00:00"/>
    <x v="7"/>
  </r>
  <r>
    <s v="Agropecuaria Tabaida S.A.S"/>
    <d v="2022-07-08T00:00:00"/>
    <d v="2022-07-11T00:00:00"/>
    <n v="28"/>
    <s v="MT-1459"/>
    <x v="1"/>
    <n v="20341"/>
    <x v="220"/>
    <n v="175949650"/>
    <n v="42"/>
    <n v="4502366868"/>
    <n v="5082628137"/>
    <n v="5113444728"/>
    <s v="TIENE BL"/>
    <s v="EJ*3 1857700*3"/>
    <m/>
    <x v="0"/>
    <d v="2022-07-08T00:00:00"/>
    <n v="4902301830"/>
    <n v="5573100"/>
    <s v="FEMD-4589*3"/>
    <n v="5113435648"/>
    <m/>
    <m/>
    <m/>
    <m/>
    <d v="2022-07-08T00:00:00"/>
    <x v="7"/>
  </r>
  <r>
    <s v="David Martinez Jaramillo"/>
    <d v="2022-07-08T00:00:00"/>
    <d v="2022-07-11T00:00:00"/>
    <n v="28"/>
    <s v="DM211"/>
    <x v="1"/>
    <n v="13466"/>
    <x v="340"/>
    <n v="124560500"/>
    <n v="30"/>
    <n v="4502364836"/>
    <n v="5082628148"/>
    <n v="5113430629"/>
    <m/>
    <s v="TIENE BL"/>
    <m/>
    <x v="0"/>
    <d v="2022-07-08T00:00:00"/>
    <m/>
    <m/>
    <m/>
    <m/>
    <m/>
    <m/>
    <m/>
    <m/>
    <d v="2022-07-08T00:00:00"/>
    <x v="7"/>
  </r>
  <r>
    <s v="David Martinez Jaramillo"/>
    <d v="2022-07-11T00:00:00"/>
    <d v="2022-07-11T00:00:00"/>
    <n v="28"/>
    <s v="NC48"/>
    <x v="1"/>
    <n v="13466"/>
    <x v="2"/>
    <n v="-1346600"/>
    <n v="0"/>
    <n v="4502364836"/>
    <n v="5082628148"/>
    <n v="5113430631"/>
    <m/>
    <m/>
    <m/>
    <x v="0"/>
    <d v="2022-07-08T00:00:00"/>
    <m/>
    <m/>
    <m/>
    <m/>
    <m/>
    <m/>
    <m/>
    <m/>
    <d v="2022-07-08T00:00:00"/>
    <x v="7"/>
  </r>
  <r>
    <s v="Fernando Arevalo Reyes"/>
    <d v="2022-07-08T00:00:00"/>
    <m/>
    <n v="28"/>
    <s v="FVE-158"/>
    <x v="2"/>
    <n v="6830"/>
    <x v="283"/>
    <n v="60445500"/>
    <n v="15"/>
    <n v="4502364837"/>
    <n v="5082628229"/>
    <n v="5113436521"/>
    <m/>
    <s v="TIENE BL"/>
    <s v="q lo envia el dia de hoy "/>
    <x v="0"/>
    <d v="2022-07-08T00:00:00"/>
    <m/>
    <m/>
    <m/>
    <m/>
    <m/>
    <m/>
    <m/>
    <m/>
    <d v="2022-07-08T00:00:00"/>
    <x v="7"/>
  </r>
  <r>
    <s v="Fernando Arevalo Reyes"/>
    <d v="2022-07-08T00:00:00"/>
    <m/>
    <n v="28"/>
    <s v="NC42"/>
    <x v="2"/>
    <n v="6830"/>
    <x v="2"/>
    <n v="-683000"/>
    <n v="0"/>
    <n v="4502364837"/>
    <n v="5082628229"/>
    <n v="5113436522"/>
    <m/>
    <m/>
    <m/>
    <x v="0"/>
    <d v="2022-07-08T00:00:00"/>
    <m/>
    <m/>
    <m/>
    <m/>
    <m/>
    <m/>
    <m/>
    <m/>
    <d v="2022-07-08T00:00:00"/>
    <x v="7"/>
  </r>
  <r>
    <s v="Guillermo Acevedo Plata"/>
    <d v="2022-07-08T00:00:00"/>
    <d v="2022-07-12T00:00:00"/>
    <n v="28"/>
    <s v="FVE-7"/>
    <x v="2"/>
    <n v="6732"/>
    <x v="283"/>
    <n v="59578200"/>
    <n v="15"/>
    <n v="4502364838"/>
    <n v="5082628150"/>
    <n v="5113431505"/>
    <m/>
    <s v="CON RETEN"/>
    <m/>
    <x v="0"/>
    <d v="2022-07-08T00:00:00"/>
    <m/>
    <m/>
    <m/>
    <m/>
    <m/>
    <m/>
    <m/>
    <m/>
    <d v="2022-07-08T00:00:00"/>
    <x v="7"/>
  </r>
  <r>
    <s v="Jorge Luis Reyes Vargas"/>
    <d v="2022-07-12T00:00:00"/>
    <d v="2022-07-12T00:00:00"/>
    <n v="28"/>
    <s v="FE-68"/>
    <x v="2"/>
    <n v="5590"/>
    <x v="314"/>
    <n v="50030500"/>
    <n v="14"/>
    <n v="4502364839"/>
    <n v="5082628152"/>
    <n v="5113432467"/>
    <m/>
    <s v="CON RETEN"/>
    <m/>
    <x v="0"/>
    <d v="2022-07-08T00:00:00"/>
    <m/>
    <m/>
    <m/>
    <m/>
    <m/>
    <m/>
    <m/>
    <m/>
    <d v="2022-07-08T00:00:00"/>
    <x v="7"/>
  </r>
  <r>
    <s v="Jorge Luis Reyes Vargas"/>
    <d v="2022-07-12T00:00:00"/>
    <d v="2022-07-12T00:00:00"/>
    <n v="28"/>
    <s v="NCRE14"/>
    <x v="2"/>
    <n v="5590"/>
    <x v="430"/>
    <n v="-587173.60000000487"/>
    <n v="0"/>
    <n v="4502364839"/>
    <n v="5082628152"/>
    <n v="5113432469"/>
    <m/>
    <m/>
    <m/>
    <x v="0"/>
    <d v="2022-07-08T00:00:00"/>
    <m/>
    <m/>
    <m/>
    <m/>
    <m/>
    <m/>
    <m/>
    <m/>
    <d v="2022-07-08T00:00:00"/>
    <x v="7"/>
  </r>
  <r>
    <s v="Carnes La Italiana L S S A S"/>
    <d v="2022-07-12T00:00:00"/>
    <d v="2022-07-12T00:00:00"/>
    <n v="28"/>
    <s v="FVE-3597"/>
    <x v="2"/>
    <n v="7078.5"/>
    <x v="283"/>
    <n v="62644725"/>
    <n v="14"/>
    <n v="4502364840"/>
    <n v="5082628153"/>
    <n v="5113433654"/>
    <m/>
    <s v="TIENE BL"/>
    <m/>
    <x v="0"/>
    <d v="2022-07-08T00:00:00"/>
    <m/>
    <m/>
    <m/>
    <m/>
    <m/>
    <m/>
    <m/>
    <m/>
    <d v="2022-07-08T00:00:00"/>
    <x v="7"/>
  </r>
  <r>
    <s v="Carnes La Italiana L S S A S"/>
    <d v="2022-07-12T00:00:00"/>
    <d v="2022-07-12T00:00:00"/>
    <n v="28"/>
    <s v="NC99"/>
    <x v="2"/>
    <n v="7078.5"/>
    <x v="13"/>
    <n v="-353925"/>
    <n v="0"/>
    <n v="4502364840"/>
    <n v="5082628153"/>
    <n v="5113433656"/>
    <m/>
    <m/>
    <m/>
    <x v="0"/>
    <d v="2022-07-08T00:00:00"/>
    <m/>
    <m/>
    <m/>
    <m/>
    <m/>
    <m/>
    <m/>
    <m/>
    <d v="2022-07-08T00:00:00"/>
    <x v="7"/>
  </r>
  <r>
    <s v="Tanagro S.A.S Zomac"/>
    <d v="2022-07-08T00:00:00"/>
    <d v="2022-07-12T00:00:00"/>
    <n v="28"/>
    <s v="Z110"/>
    <x v="2"/>
    <n v="18671.5"/>
    <x v="283"/>
    <n v="165242775"/>
    <n v="45"/>
    <n v="4502364841"/>
    <n v="5082628154"/>
    <n v="5113431445"/>
    <m/>
    <s v="CON RETEN"/>
    <m/>
    <x v="0"/>
    <d v="2022-07-08T00:00:00"/>
    <m/>
    <m/>
    <m/>
    <m/>
    <m/>
    <m/>
    <m/>
    <m/>
    <d v="2022-07-08T00:00:00"/>
    <x v="7"/>
  </r>
  <r>
    <s v="Tanagro S.A.S Zomac"/>
    <d v="2022-07-08T00:00:00"/>
    <d v="2022-07-12T00:00:00"/>
    <n v="28"/>
    <s v="NCR88"/>
    <x v="2"/>
    <n v="18671.5"/>
    <x v="431"/>
    <n v="-4121920.340000004"/>
    <n v="0"/>
    <n v="4502364841"/>
    <n v="5082628154"/>
    <n v="5113431446"/>
    <m/>
    <m/>
    <m/>
    <x v="0"/>
    <d v="2022-07-08T00:00:00"/>
    <m/>
    <m/>
    <m/>
    <m/>
    <m/>
    <m/>
    <m/>
    <m/>
    <d v="2022-07-08T00:00:00"/>
    <x v="7"/>
  </r>
  <r>
    <s v="Surtidora Agropecuaria De Colombia"/>
    <d v="2022-07-12T00:00:00"/>
    <d v="2022-07-12T00:00:00"/>
    <n v="28"/>
    <s v="FESA-44"/>
    <x v="0"/>
    <n v="13710"/>
    <x v="283"/>
    <n v="121333500"/>
    <n v="28"/>
    <n v="4502368268"/>
    <n v="5082673688"/>
    <n v="5113432342"/>
    <s v="TIENE BL "/>
    <m/>
    <m/>
    <x v="1"/>
    <d v="2022-07-08T00:00:00"/>
    <m/>
    <m/>
    <m/>
    <m/>
    <m/>
    <m/>
    <m/>
    <m/>
    <d v="2022-07-08T00:00:00"/>
    <x v="7"/>
  </r>
  <r>
    <s v="31416 S.A.S"/>
    <d v="2022-07-12T00:00:00"/>
    <d v="2022-07-12T00:00:00"/>
    <n v="28"/>
    <s v="PI 157"/>
    <x v="0"/>
    <n v="15332"/>
    <x v="283"/>
    <n v="135688200"/>
    <n v="30"/>
    <n v="4502368271"/>
    <n v="5082673576"/>
    <n v="5113430927"/>
    <s v=" "/>
    <s v="CON RETEN"/>
    <m/>
    <x v="1"/>
    <d v="2022-07-08T00:00:00"/>
    <m/>
    <m/>
    <m/>
    <m/>
    <m/>
    <m/>
    <m/>
    <m/>
    <d v="2022-07-08T00:00:00"/>
    <x v="7"/>
  </r>
  <r>
    <s v="Mauricio De Jesús Bernal Jaramillo"/>
    <d v="2022-07-12T00:00:00"/>
    <d v="2022-07-12T00:00:00"/>
    <n v="28"/>
    <s v="FE-192"/>
    <x v="0"/>
    <n v="12549"/>
    <x v="432"/>
    <n v="110908187.49000001"/>
    <n v="30"/>
    <n v="4502368272"/>
    <n v="5082673697"/>
    <n v="5113430245"/>
    <m/>
    <s v="CON RETEN"/>
    <m/>
    <x v="1"/>
    <d v="2022-07-08T00:00:00"/>
    <m/>
    <m/>
    <m/>
    <m/>
    <m/>
    <m/>
    <m/>
    <m/>
    <d v="2022-07-08T00:00:00"/>
    <x v="7"/>
  </r>
  <r>
    <s v="Savanna &amp; Compañia S.A.S ZOMAC"/>
    <d v="2022-07-08T00:00:00"/>
    <d v="2022-07-12T00:00:00"/>
    <n v="28"/>
    <s v="S-42"/>
    <x v="0"/>
    <n v="5909"/>
    <x v="244"/>
    <n v="51999200"/>
    <n v="14"/>
    <n v="4502368300"/>
    <n v="5082695018"/>
    <n v="5113436523"/>
    <m/>
    <s v="TIENE BL"/>
    <s v="Se pidio por WA "/>
    <x v="4"/>
    <d v="2022-07-08T00:00:00"/>
    <m/>
    <m/>
    <m/>
    <m/>
    <m/>
    <m/>
    <m/>
    <m/>
    <d v="2022-07-08T00:00:00"/>
    <x v="7"/>
  </r>
  <r>
    <s v="Inversiones Valle Del Canalete S.A.S"/>
    <d v="2022-07-12T00:00:00"/>
    <d v="2022-07-12T00:00:00"/>
    <n v="28"/>
    <s v="IVC120"/>
    <x v="0"/>
    <n v="27825"/>
    <x v="220"/>
    <n v="240686250"/>
    <n v="56"/>
    <n v="4502367512"/>
    <n v="5082658491"/>
    <n v="5113431502"/>
    <s v="CON RETEN"/>
    <s v="EJ *4 1793900*4"/>
    <m/>
    <x v="0"/>
    <d v="2022-07-09T00:00:00"/>
    <n v="4902301833"/>
    <n v="7175600"/>
    <s v="FEMD-4593*4"/>
    <n v="5113435655"/>
    <m/>
    <m/>
    <m/>
    <m/>
    <d v="2022-07-09T00:00:00"/>
    <x v="7"/>
  </r>
  <r>
    <s v="Andres Jaramillo Bernal"/>
    <d v="2022-07-12T00:00:00"/>
    <d v="2022-07-12T00:00:00"/>
    <n v="28"/>
    <s v="FEVA-5186"/>
    <x v="0"/>
    <n v="13082.5"/>
    <x v="283"/>
    <n v="115780125"/>
    <n v="28"/>
    <n v="4502364844"/>
    <n v="5082657864"/>
    <n v="5113432471"/>
    <m/>
    <s v="CON RETEN"/>
    <m/>
    <x v="0"/>
    <d v="2022-07-09T00:00:00"/>
    <m/>
    <m/>
    <m/>
    <m/>
    <m/>
    <m/>
    <m/>
    <m/>
    <d v="2022-07-09T00:00:00"/>
    <x v="7"/>
  </r>
  <r>
    <s v="Andres Jaramillo Bernal"/>
    <d v="2022-07-12T00:00:00"/>
    <d v="2022-07-12T00:00:00"/>
    <n v="28"/>
    <s v="NCE34"/>
    <x v="0"/>
    <n v="13082.5"/>
    <x v="13"/>
    <n v="-654125"/>
    <n v="0"/>
    <n v="4502364844"/>
    <n v="5082657864"/>
    <n v="5113432472"/>
    <m/>
    <m/>
    <m/>
    <x v="0"/>
    <d v="2022-07-09T00:00:00"/>
    <m/>
    <m/>
    <m/>
    <m/>
    <m/>
    <m/>
    <m/>
    <m/>
    <d v="2022-07-09T00:00:00"/>
    <x v="7"/>
  </r>
  <r>
    <s v="Sociedad Comercializadora Ganadera"/>
    <d v="2022-07-12T00:00:00"/>
    <d v="2022-07-12T00:00:00"/>
    <n v="28"/>
    <s v="FEDV360"/>
    <x v="2"/>
    <n v="58092"/>
    <x v="340"/>
    <n v="537351000"/>
    <n v="120"/>
    <n v="4502364845"/>
    <n v="5082657865"/>
    <n v="5113432476"/>
    <m/>
    <s v="TIENE BL"/>
    <m/>
    <x v="0"/>
    <d v="2022-07-09T00:00:00"/>
    <m/>
    <m/>
    <m/>
    <m/>
    <m/>
    <m/>
    <m/>
    <m/>
    <d v="2022-07-09T00:00:00"/>
    <x v="7"/>
  </r>
  <r>
    <s v="Sociedad Comercializadora Ganadera"/>
    <d v="2022-07-12T00:00:00"/>
    <d v="2022-07-12T00:00:00"/>
    <n v="28"/>
    <s v="NC172"/>
    <x v="2"/>
    <n v="58092"/>
    <x v="433"/>
    <n v="-75519.599999957733"/>
    <n v="0"/>
    <n v="4502364845"/>
    <n v="5082657865"/>
    <n v="5113432517"/>
    <m/>
    <m/>
    <m/>
    <x v="0"/>
    <d v="2022-07-09T00:00:00"/>
    <m/>
    <m/>
    <m/>
    <m/>
    <m/>
    <m/>
    <m/>
    <m/>
    <d v="2022-07-09T00:00:00"/>
    <x v="7"/>
  </r>
  <r>
    <s v="David Martinez Jaramillo"/>
    <d v="2022-07-10T00:00:00"/>
    <d v="2022-07-13T00:00:00"/>
    <n v="28"/>
    <s v="DM212"/>
    <x v="0"/>
    <n v="13116.5"/>
    <x v="340"/>
    <n v="121327625"/>
    <n v="30"/>
    <n v="4502364846"/>
    <n v="5082657866"/>
    <n v="5113436518"/>
    <m/>
    <s v="TIENE BL"/>
    <s v="Se pidio por WA "/>
    <x v="0"/>
    <d v="2022-07-10T00:00:00"/>
    <m/>
    <m/>
    <m/>
    <m/>
    <m/>
    <m/>
    <m/>
    <m/>
    <d v="2022-07-10T00:00:00"/>
    <x v="7"/>
  </r>
  <r>
    <s v="David Martinez Jaramillo"/>
    <d v="2022-07-13T00:00:00"/>
    <d v="2022-07-13T00:00:00"/>
    <n v="28"/>
    <s v="NC49"/>
    <x v="0"/>
    <n v="13116.5"/>
    <x v="434"/>
    <n v="-2046698.6600000116"/>
    <n v="0"/>
    <n v="4502364846"/>
    <n v="5082657866"/>
    <n v="5113436520"/>
    <m/>
    <m/>
    <m/>
    <x v="0"/>
    <d v="2022-07-10T00:00:00"/>
    <m/>
    <m/>
    <m/>
    <m/>
    <m/>
    <m/>
    <m/>
    <m/>
    <d v="2022-07-10T00:00:00"/>
    <x v="7"/>
  </r>
  <r>
    <s v="Sociedad Comercializadora Ganadera"/>
    <d v="2022-07-13T00:00:00"/>
    <d v="2022-07-13T00:00:00"/>
    <n v="28"/>
    <s v="FEDV362"/>
    <x v="1"/>
    <n v="20629"/>
    <x v="340"/>
    <n v="190818250"/>
    <n v="44"/>
    <n v="4502364847"/>
    <n v="5082657867"/>
    <n v="5113437233"/>
    <m/>
    <s v="TIENE BL"/>
    <m/>
    <x v="0"/>
    <d v="2022-07-10T00:00:00"/>
    <m/>
    <m/>
    <m/>
    <m/>
    <m/>
    <m/>
    <m/>
    <m/>
    <d v="2022-07-10T00:00:00"/>
    <x v="7"/>
  </r>
  <r>
    <s v="Sociedad Comercializadora Ganadera"/>
    <d v="2022-07-13T00:00:00"/>
    <d v="2022-07-13T00:00:00"/>
    <n v="28"/>
    <s v="NC173"/>
    <x v="1"/>
    <n v="20629"/>
    <x v="435"/>
    <n v="-2441029.5699999984"/>
    <n v="0"/>
    <n v="4502364847"/>
    <n v="5082657867"/>
    <n v="5113437235"/>
    <m/>
    <m/>
    <m/>
    <x v="0"/>
    <d v="2022-07-10T00:00:00"/>
    <m/>
    <m/>
    <m/>
    <m/>
    <m/>
    <m/>
    <m/>
    <m/>
    <d v="2022-07-10T00:00:00"/>
    <x v="7"/>
  </r>
  <r>
    <s v="Adrian Alberto Alvarez Henao"/>
    <d v="2022-07-13T00:00:00"/>
    <m/>
    <n v="28"/>
    <s v="AAAH-50"/>
    <x v="2"/>
    <n v="7928.5"/>
    <x v="340"/>
    <n v="73338625"/>
    <n v="15"/>
    <n v="4502364848"/>
    <n v="5082658144"/>
    <n v="5113437344"/>
    <m/>
    <s v="TIENE BL"/>
    <m/>
    <x v="0"/>
    <d v="2022-07-10T00:00:00"/>
    <m/>
    <m/>
    <m/>
    <m/>
    <m/>
    <m/>
    <m/>
    <m/>
    <d v="2022-07-10T00:00:00"/>
    <x v="7"/>
  </r>
  <r>
    <s v="Adrian Alberto Alvarez Henao"/>
    <d v="2022-07-13T00:00:00"/>
    <m/>
    <n v="28"/>
    <s v="AD26"/>
    <x v="2"/>
    <n v="7928.5"/>
    <x v="436"/>
    <n v="-1163348.8049999964"/>
    <n v="0"/>
    <n v="4502364848"/>
    <n v="5082658144"/>
    <n v="5113437345"/>
    <m/>
    <m/>
    <m/>
    <x v="0"/>
    <d v="2022-07-10T00:00:00"/>
    <m/>
    <m/>
    <m/>
    <m/>
    <m/>
    <m/>
    <m/>
    <m/>
    <d v="2022-07-10T00:00:00"/>
    <x v="7"/>
  </r>
  <r>
    <s v="Inversiones Agropecuaria Triplesiete S.A.S."/>
    <d v="2022-07-18T00:00:00"/>
    <d v="2022-07-18T00:00:00"/>
    <n v="28"/>
    <s v="FEVM 495"/>
    <x v="0"/>
    <n v="15049.5"/>
    <x v="283"/>
    <n v="133188075"/>
    <n v="30"/>
    <n v="4502364849"/>
    <n v="5082694121"/>
    <n v="5113442717"/>
    <m/>
    <s v="CON RETEN"/>
    <m/>
    <x v="0"/>
    <d v="2022-07-11T00:00:00"/>
    <m/>
    <m/>
    <m/>
    <m/>
    <m/>
    <m/>
    <m/>
    <m/>
    <d v="2022-07-11T00:00:00"/>
    <x v="7"/>
  </r>
  <r>
    <s v="Celso Jose Osorio Duarte"/>
    <d v="2022-07-18T00:00:00"/>
    <d v="2022-07-18T00:00:00"/>
    <n v="28"/>
    <s v="FE-31"/>
    <x v="0"/>
    <n v="6798"/>
    <x v="219"/>
    <n v="59482500"/>
    <n v="14"/>
    <n v="4502367868"/>
    <n v="5082695446"/>
    <n v="5113448785"/>
    <m/>
    <s v="TIENE BL"/>
    <m/>
    <x v="0"/>
    <d v="2022-07-11T00:00:00"/>
    <m/>
    <m/>
    <m/>
    <m/>
    <m/>
    <m/>
    <m/>
    <m/>
    <d v="2022-07-11T00:00:00"/>
    <x v="7"/>
  </r>
  <r>
    <s v="Celso Jose Osorio Duarte"/>
    <d v="2022-07-18T00:00:00"/>
    <d v="2022-07-18T00:00:00"/>
    <n v="28"/>
    <s v="NC7"/>
    <x v="0"/>
    <n v="6798"/>
    <x v="13"/>
    <n v="-339900"/>
    <n v="0"/>
    <n v="4502367868"/>
    <n v="5082695446"/>
    <n v="5113448786"/>
    <m/>
    <m/>
    <m/>
    <x v="0"/>
    <d v="2022-07-11T00:00:00"/>
    <m/>
    <m/>
    <m/>
    <m/>
    <m/>
    <m/>
    <m/>
    <m/>
    <d v="2022-07-11T00:00:00"/>
    <x v="7"/>
  </r>
  <r>
    <s v="Sociedad Comercializadora Ganadera"/>
    <d v="2022-07-13T00:00:00"/>
    <d v="2022-07-13T00:00:00"/>
    <n v="28"/>
    <s v="FEDV361"/>
    <x v="1"/>
    <n v="14391.5"/>
    <x v="340"/>
    <n v="133121375"/>
    <n v="30"/>
    <n v="4502364847"/>
    <n v="5082657867"/>
    <n v="5113435276"/>
    <m/>
    <s v="TIENE BL"/>
    <m/>
    <x v="0"/>
    <d v="2022-07-10T00:00:00"/>
    <m/>
    <m/>
    <m/>
    <m/>
    <m/>
    <m/>
    <m/>
    <m/>
    <d v="2022-07-10T00:00:00"/>
    <x v="7"/>
  </r>
  <r>
    <s v="Sociedad Comercializadora Ganadera"/>
    <d v="2022-07-14T00:00:00"/>
    <d v="2022-07-14T00:00:00"/>
    <n v="28"/>
    <s v="FEDV363"/>
    <x v="1"/>
    <n v="23910.5"/>
    <x v="340"/>
    <n v="221172125"/>
    <n v="47"/>
    <n v="4502364850"/>
    <n v="5082694122"/>
    <n v="5113437299"/>
    <m/>
    <s v="TIENE BL"/>
    <m/>
    <x v="0"/>
    <d v="2022-07-11T00:00:00"/>
    <m/>
    <m/>
    <m/>
    <m/>
    <m/>
    <m/>
    <m/>
    <m/>
    <d v="2022-07-11T00:00:00"/>
    <x v="7"/>
  </r>
  <r>
    <s v="Sociedad Comercializadora Ganadera"/>
    <d v="2022-07-14T00:00:00"/>
    <d v="2022-07-14T00:00:00"/>
    <n v="28"/>
    <s v="NC174"/>
    <x v="1"/>
    <n v="23910.5"/>
    <x v="437"/>
    <n v="-3973446.8900000071"/>
    <n v="0"/>
    <n v="4502364850"/>
    <n v="5082694122"/>
    <n v="5113437302"/>
    <m/>
    <m/>
    <m/>
    <x v="0"/>
    <d v="2022-07-11T00:00:00"/>
    <m/>
    <m/>
    <m/>
    <m/>
    <m/>
    <m/>
    <m/>
    <m/>
    <d v="2022-07-11T00:00:00"/>
    <x v="7"/>
  </r>
  <r>
    <s v="Sociedad Comercializadora Ganadera"/>
    <d v="2022-07-14T00:00:00"/>
    <d v="2022-07-14T00:00:00"/>
    <n v="28"/>
    <s v="FEDV364"/>
    <x v="1"/>
    <n v="7448"/>
    <x v="340"/>
    <n v="68894000"/>
    <n v="14"/>
    <n v="4502364850"/>
    <n v="5082694122"/>
    <n v="5113437297"/>
    <m/>
    <s v="TIENE BL"/>
    <m/>
    <x v="0"/>
    <d v="2022-07-11T00:00:00"/>
    <m/>
    <m/>
    <m/>
    <m/>
    <m/>
    <m/>
    <m/>
    <m/>
    <d v="2022-07-11T00:00:00"/>
    <x v="7"/>
  </r>
  <r>
    <s v="Sociedad Comercializadora Ganadera"/>
    <d v="2022-07-14T00:00:00"/>
    <d v="2022-07-14T00:00:00"/>
    <n v="28"/>
    <s v="NC175"/>
    <x v="1"/>
    <n v="7448"/>
    <x v="438"/>
    <n v="-260828.96000000325"/>
    <n v="0"/>
    <n v="4502364850"/>
    <n v="5082694122"/>
    <n v="5113437298"/>
    <m/>
    <m/>
    <m/>
    <x v="0"/>
    <d v="2022-07-11T00:00:00"/>
    <m/>
    <m/>
    <m/>
    <m/>
    <m/>
    <m/>
    <m/>
    <m/>
    <d v="2022-07-11T00:00:00"/>
    <x v="7"/>
  </r>
  <r>
    <s v="Agropecuaria los Molinos S.A.S"/>
    <d v="2022-07-06T00:00:00"/>
    <m/>
    <n v="28"/>
    <s v="FEMO-1010000716"/>
    <x v="5"/>
    <n v="12728"/>
    <x v="439"/>
    <n v="100589384"/>
    <n v="30"/>
    <n v="4502366308"/>
    <n v="5082621375"/>
    <n v="5113437231"/>
    <s v="TIENE BL"/>
    <s v="EJ*2 570200*2"/>
    <s v="TIENE BL"/>
    <x v="2"/>
    <d v="2022-07-11T00:00:00"/>
    <n v="4502366308"/>
    <n v="1140400"/>
    <s v="FEMD-4612*2"/>
    <n v="5113435838"/>
    <m/>
    <m/>
    <m/>
    <m/>
    <d v="2022-07-11T00:00:00"/>
    <x v="7"/>
  </r>
  <r>
    <s v="Maria Victoria Yepes Garcia"/>
    <d v="2022-07-12T00:00:00"/>
    <d v="2022-07-14T00:00:00"/>
    <n v="28"/>
    <s v="MVYG33"/>
    <x v="0"/>
    <n v="6825.5"/>
    <x v="283"/>
    <n v="60405675"/>
    <n v="14"/>
    <n v="4502371020"/>
    <n v="5082730582"/>
    <n v="5113438346"/>
    <s v="CON RETEN"/>
    <m/>
    <m/>
    <x v="0"/>
    <d v="2022-07-12T00:00:00"/>
    <m/>
    <m/>
    <m/>
    <m/>
    <m/>
    <m/>
    <m/>
    <m/>
    <d v="2022-07-12T00:00:00"/>
    <x v="7"/>
  </r>
  <r>
    <s v="Maria Victoria Yepes Garcia"/>
    <d v="2022-07-12T00:00:00"/>
    <d v="2022-07-14T00:00:00"/>
    <n v="28"/>
    <n v="9"/>
    <x v="0"/>
    <n v="6825.5"/>
    <x v="13"/>
    <n v="-341275"/>
    <n v="0"/>
    <n v="4502371020"/>
    <n v="5082730582"/>
    <n v="5113438360"/>
    <m/>
    <m/>
    <m/>
    <x v="0"/>
    <d v="2022-07-12T00:00:00"/>
    <m/>
    <m/>
    <m/>
    <m/>
    <m/>
    <m/>
    <m/>
    <m/>
    <d v="2022-07-12T00:00:00"/>
    <x v="7"/>
  </r>
  <r>
    <s v="Misionagro S.A.S"/>
    <d v="2022-07-12T00:00:00"/>
    <d v="2022-07-14T00:00:00"/>
    <n v="28"/>
    <s v="MISI-120"/>
    <x v="0"/>
    <n v="15005"/>
    <x v="220"/>
    <n v="129793250"/>
    <n v="28"/>
    <n v="4502367998"/>
    <n v="5082664320"/>
    <n v="5113437007"/>
    <s v="CON RETEN"/>
    <s v="EJ*2 1840900*2"/>
    <m/>
    <x v="0"/>
    <d v="2022-07-12T00:00:00"/>
    <n v="4902301834"/>
    <n v="3681800"/>
    <s v="FEMD-4614*2"/>
    <n v="5113436512"/>
    <m/>
    <m/>
    <m/>
    <m/>
    <d v="2022-07-12T00:00:00"/>
    <x v="7"/>
  </r>
  <r>
    <s v="Agropecuaria los Molinos S.A.S"/>
    <d v="2022-07-06T00:00:00"/>
    <d v="2022-07-07T00:00:00"/>
    <n v="28"/>
    <s v="FEMO-1010000715"/>
    <x v="0"/>
    <n v="190271"/>
    <x v="440"/>
    <n v="1833261085"/>
    <n v="364"/>
    <n v="4502365447"/>
    <n v="5082603723"/>
    <n v="5113437230"/>
    <s v="TIENE BL"/>
    <s v="EJ*5 570200*5"/>
    <s v="TIENE BL"/>
    <x v="2"/>
    <d v="2022-07-12T00:00:00"/>
    <n v="4902302392"/>
    <n v="2851000"/>
    <s v="FEMD-4626*5"/>
    <n v="5113436511"/>
    <m/>
    <m/>
    <m/>
    <m/>
    <d v="2022-07-12T00:00:00"/>
    <x v="7"/>
  </r>
  <r>
    <s v="Agropecuaria los Molinos S.A.S"/>
    <d v="2022-07-06T00:00:00"/>
    <d v="2022-07-07T00:00:00"/>
    <n v="28"/>
    <s v="FEMO-1010000715"/>
    <x v="0"/>
    <n v="190271"/>
    <x v="440"/>
    <n v="1833261085"/>
    <n v="70"/>
    <n v="4502365447"/>
    <n v="5082603723"/>
    <n v="5113437230"/>
    <s v="TIENE BL"/>
    <s v="EJ*5 570200*5"/>
    <m/>
    <x v="2"/>
    <d v="2022-07-13T00:00:00"/>
    <n v="4902302392"/>
    <n v="2851000"/>
    <s v="FEMD-4636*5"/>
    <n v="5113441736"/>
    <m/>
    <m/>
    <m/>
    <m/>
    <d v="2022-07-13T00:00:00"/>
    <x v="7"/>
  </r>
  <r>
    <s v="David Martinez Jaramillo"/>
    <d v="2022-07-15T00:00:00"/>
    <d v="2022-07-18T00:00:00"/>
    <n v="29"/>
    <s v="DM213"/>
    <x v="0"/>
    <n v="13638.5"/>
    <x v="319"/>
    <n v="124792275"/>
    <n v="30"/>
    <n v="4502369704"/>
    <n v="5082733163"/>
    <n v="5113450920"/>
    <m/>
    <s v="TIENE BL"/>
    <m/>
    <x v="0"/>
    <d v="2022-07-14T00:00:00"/>
    <m/>
    <m/>
    <m/>
    <m/>
    <m/>
    <m/>
    <m/>
    <m/>
    <d v="2022-07-14T00:00:00"/>
    <x v="7"/>
  </r>
  <r>
    <s v="David Martinez Jaramillo"/>
    <d v="2022-07-18T00:00:00"/>
    <d v="2022-07-18T00:00:00"/>
    <n v="29"/>
    <s v="NC50"/>
    <x v="0"/>
    <n v="13638.5"/>
    <x v="11"/>
    <n v="-2045775"/>
    <n v="0"/>
    <n v="4502369704"/>
    <n v="5082733163"/>
    <n v="5113450922"/>
    <m/>
    <m/>
    <m/>
    <x v="0"/>
    <d v="2022-07-14T00:00:00"/>
    <m/>
    <m/>
    <m/>
    <m/>
    <m/>
    <m/>
    <m/>
    <m/>
    <d v="2022-07-14T00:00:00"/>
    <x v="7"/>
  </r>
  <r>
    <s v="Andres Felipe Mantilla Acosta"/>
    <d v="2022-07-14T00:00:00"/>
    <d v="2022-07-19T00:00:00"/>
    <n v="29"/>
    <s v="FEFE21"/>
    <x v="0"/>
    <n v="13839.5"/>
    <x v="219"/>
    <n v="121095625"/>
    <n v="30"/>
    <n v="4502369705"/>
    <n v="5082733164"/>
    <n v="5113448712"/>
    <m/>
    <s v="TIENE BL"/>
    <m/>
    <x v="0"/>
    <d v="2022-07-14T00:00:00"/>
    <m/>
    <m/>
    <m/>
    <m/>
    <m/>
    <m/>
    <m/>
    <m/>
    <d v="2022-07-14T00:00:00"/>
    <x v="7"/>
  </r>
  <r>
    <s v="Andres Felipe Mantilla Acosta"/>
    <d v="2022-07-14T00:00:00"/>
    <d v="2022-07-19T00:00:00"/>
    <n v="29"/>
    <s v="NC4"/>
    <x v="0"/>
    <n v="13839.5"/>
    <x v="441"/>
    <n v="-730863.99499999289"/>
    <n v="0"/>
    <n v="4502369705"/>
    <n v="5082733164"/>
    <n v="5113448714"/>
    <m/>
    <m/>
    <m/>
    <x v="0"/>
    <d v="2022-07-14T00:00:00"/>
    <m/>
    <m/>
    <m/>
    <m/>
    <m/>
    <m/>
    <m/>
    <m/>
    <d v="2022-07-14T00:00:00"/>
    <x v="7"/>
  </r>
  <r>
    <s v="Jorge Armando Ortega Trigos"/>
    <d v="2022-07-14T00:00:00"/>
    <m/>
    <n v="29"/>
    <s v="FVE-28"/>
    <x v="0"/>
    <n v="14379.5"/>
    <x v="219"/>
    <n v="125820625"/>
    <n v="30"/>
    <n v="4502369706"/>
    <n v="5082736092"/>
    <n v="5113460727"/>
    <m/>
    <s v="TIENE BL"/>
    <s v="Se envio nuevamente a recepcion "/>
    <x v="0"/>
    <d v="2022-07-14T00:00:00"/>
    <m/>
    <m/>
    <m/>
    <m/>
    <m/>
    <m/>
    <m/>
    <m/>
    <d v="2022-07-14T00:00:00"/>
    <x v="7"/>
  </r>
  <r>
    <s v="Jorge Armando Ortega Trigos"/>
    <d v="2022-07-14T00:00:00"/>
    <m/>
    <n v="29"/>
    <s v="NCV8"/>
    <x v="0"/>
    <n v="14379.5"/>
    <x v="11"/>
    <n v="-2156925"/>
    <n v="0"/>
    <n v="4502369706"/>
    <n v="5082736092"/>
    <n v="5113460729"/>
    <m/>
    <m/>
    <m/>
    <x v="0"/>
    <d v="2022-07-14T00:00:00"/>
    <m/>
    <m/>
    <m/>
    <m/>
    <m/>
    <m/>
    <m/>
    <m/>
    <d v="2022-07-14T00:00:00"/>
    <x v="7"/>
  </r>
  <r>
    <s v="Gabriel Humberto Loza Duran"/>
    <d v="2022-07-14T00:00:00"/>
    <d v="2022-07-19T00:00:00"/>
    <n v="29"/>
    <s v="FE-43"/>
    <x v="0"/>
    <n v="7583"/>
    <x v="219"/>
    <n v="66351250"/>
    <n v="14"/>
    <n v="4502369707"/>
    <n v="5082733166"/>
    <n v="5113448782"/>
    <m/>
    <s v="CON RETEN"/>
    <m/>
    <x v="0"/>
    <d v="2022-07-14T00:00:00"/>
    <m/>
    <m/>
    <m/>
    <m/>
    <m/>
    <m/>
    <m/>
    <m/>
    <d v="2022-07-14T00:00:00"/>
    <x v="7"/>
  </r>
  <r>
    <s v="Gabriel Humberto Loza Duran"/>
    <d v="2022-07-14T00:00:00"/>
    <d v="2022-07-19T00:00:00"/>
    <n v="29"/>
    <s v="NC24"/>
    <x v="0"/>
    <n v="7583"/>
    <x v="442"/>
    <n v="-123451.24000000497"/>
    <n v="0"/>
    <n v="4502369707"/>
    <n v="5082733166"/>
    <n v="5113448783"/>
    <m/>
    <m/>
    <m/>
    <x v="0"/>
    <d v="2022-07-14T00:00:00"/>
    <m/>
    <m/>
    <m/>
    <m/>
    <m/>
    <m/>
    <m/>
    <m/>
    <d v="2022-07-14T00:00:00"/>
    <x v="7"/>
  </r>
  <r>
    <s v="Sociedad Comercializadora Ganadera"/>
    <d v="2022-07-19T00:00:00"/>
    <d v="2022-07-19T00:00:00"/>
    <n v="29"/>
    <s v="FEDV366"/>
    <x v="0"/>
    <n v="45620.5"/>
    <x v="319"/>
    <n v="417427575"/>
    <n v="90"/>
    <n v="4502369708"/>
    <n v="5082733209"/>
    <n v="5113448715"/>
    <m/>
    <s v="TIENE BL"/>
    <m/>
    <x v="0"/>
    <d v="2022-07-14T00:00:00"/>
    <m/>
    <m/>
    <m/>
    <m/>
    <m/>
    <m/>
    <m/>
    <m/>
    <d v="2022-07-14T00:00:00"/>
    <x v="7"/>
  </r>
  <r>
    <s v="Sociedad Comercializadora Ganadera"/>
    <d v="2022-07-19T00:00:00"/>
    <d v="2022-07-19T00:00:00"/>
    <n v="29"/>
    <s v="NC176"/>
    <x v="0"/>
    <n v="45620.5"/>
    <x v="443"/>
    <n v="-37408.809999986726"/>
    <n v="0"/>
    <n v="4502369708"/>
    <n v="5082733209"/>
    <n v="5113448716"/>
    <m/>
    <m/>
    <m/>
    <x v="0"/>
    <d v="2022-07-14T00:00:00"/>
    <m/>
    <m/>
    <m/>
    <m/>
    <m/>
    <m/>
    <m/>
    <m/>
    <d v="2022-07-14T00:00:00"/>
    <x v="7"/>
  </r>
  <r>
    <s v="Sociedad Comercializadora Ganadera"/>
    <d v="2022-07-19T00:00:00"/>
    <d v="2022-07-19T00:00:00"/>
    <n v="29"/>
    <s v="FEDV367"/>
    <x v="0"/>
    <n v="14455.5"/>
    <x v="319"/>
    <n v="132267825"/>
    <n v="30"/>
    <n v="4502369708"/>
    <n v="5082733209"/>
    <n v="5113448758"/>
    <m/>
    <s v="TIENE BL"/>
    <m/>
    <x v="0"/>
    <d v="2022-07-14T00:00:00"/>
    <m/>
    <m/>
    <m/>
    <m/>
    <m/>
    <m/>
    <m/>
    <m/>
    <d v="2022-07-14T00:00:00"/>
    <x v="7"/>
  </r>
  <r>
    <s v="Sociedad Comercializadora Ganadera"/>
    <d v="2022-07-19T00:00:00"/>
    <d v="2022-07-19T00:00:00"/>
    <n v="29"/>
    <s v="NC177"/>
    <x v="0"/>
    <n v="14455.5"/>
    <x v="11"/>
    <n v="-2168325"/>
    <n v="0"/>
    <n v="4502369708"/>
    <n v="5082733209"/>
    <n v="5113448760"/>
    <m/>
    <m/>
    <m/>
    <x v="0"/>
    <d v="2022-07-14T00:00:00"/>
    <m/>
    <m/>
    <m/>
    <m/>
    <m/>
    <m/>
    <m/>
    <m/>
    <d v="2022-07-14T00:00:00"/>
    <x v="7"/>
  </r>
  <r>
    <s v="Tanagro S.A.S Zomac"/>
    <d v="2022-07-14T00:00:00"/>
    <d v="2022-07-19T00:00:00"/>
    <n v="29"/>
    <s v="Z111"/>
    <x v="0"/>
    <n v="18162"/>
    <x v="219"/>
    <n v="158917500"/>
    <n v="45"/>
    <n v="4502369709"/>
    <n v="5082733212"/>
    <n v="5113445866"/>
    <m/>
    <s v="CON RETEN"/>
    <m/>
    <x v="0"/>
    <d v="2022-07-14T00:00:00"/>
    <m/>
    <m/>
    <m/>
    <m/>
    <m/>
    <m/>
    <m/>
    <m/>
    <d v="2022-07-14T00:00:00"/>
    <x v="7"/>
  </r>
  <r>
    <s v="Tanagro S.A.S Zomac"/>
    <d v="2022-07-14T00:00:00"/>
    <d v="2022-07-19T00:00:00"/>
    <n v="29"/>
    <s v="NCR89"/>
    <x v="0"/>
    <n v="18162"/>
    <x v="444"/>
    <n v="-3334361.5800000029"/>
    <n v="0"/>
    <n v="4502369709"/>
    <n v="5082733212"/>
    <n v="5113445869"/>
    <m/>
    <m/>
    <m/>
    <x v="0"/>
    <d v="2022-07-14T00:00:00"/>
    <m/>
    <m/>
    <m/>
    <m/>
    <m/>
    <m/>
    <m/>
    <m/>
    <d v="2022-07-14T00:00:00"/>
    <x v="7"/>
  </r>
  <r>
    <s v="Jaime Angel Botero"/>
    <d v="2022-07-19T00:00:00"/>
    <d v="2022-07-19T00:00:00"/>
    <n v="29"/>
    <s v="JAB-28"/>
    <x v="0"/>
    <n v="6476"/>
    <x v="219"/>
    <n v="56665000"/>
    <n v="15"/>
    <n v="4502369710"/>
    <n v="5082733214"/>
    <n v="5113445858"/>
    <m/>
    <s v="CON RETEN"/>
    <m/>
    <x v="0"/>
    <d v="2022-07-14T00:00:00"/>
    <m/>
    <m/>
    <m/>
    <m/>
    <m/>
    <m/>
    <m/>
    <m/>
    <d v="2022-07-14T00:00:00"/>
    <x v="7"/>
  </r>
  <r>
    <s v="Jaime Angel Botero"/>
    <d v="2022-07-19T00:00:00"/>
    <d v="2022-07-19T00:00:00"/>
    <n v="29"/>
    <s v="NC28"/>
    <x v="0"/>
    <n v="6476"/>
    <x v="445"/>
    <n v="-723822.52000000281"/>
    <n v="0"/>
    <n v="4502369710"/>
    <n v="5082733214"/>
    <n v="5113445860"/>
    <m/>
    <m/>
    <m/>
    <x v="0"/>
    <d v="2022-07-14T00:00:00"/>
    <m/>
    <m/>
    <m/>
    <m/>
    <m/>
    <m/>
    <m/>
    <m/>
    <d v="2022-07-14T00:00:00"/>
    <x v="7"/>
  </r>
  <r>
    <s v="Agroinversiones LA Argentina S.A.S"/>
    <d v="2022-07-14T00:00:00"/>
    <d v="2022-07-22T00:00:00"/>
    <n v="29"/>
    <s v="FE-24"/>
    <x v="0"/>
    <n v="21738"/>
    <x v="283"/>
    <n v="192381300"/>
    <n v="42"/>
    <n v="4502369712"/>
    <n v="5082733215"/>
    <n v="5113453923"/>
    <m/>
    <s v="TIENE BL"/>
    <s v="Estan revisando "/>
    <x v="0"/>
    <d v="2022-07-14T00:00:00"/>
    <m/>
    <m/>
    <m/>
    <m/>
    <m/>
    <m/>
    <m/>
    <m/>
    <d v="2022-07-14T00:00:00"/>
    <x v="7"/>
  </r>
  <r>
    <s v="Primavera del Magdalena S.A.S."/>
    <d v="2022-07-18T00:00:00"/>
    <d v="2022-07-19T00:00:00"/>
    <n v="29"/>
    <s v="PRI-78"/>
    <x v="0"/>
    <n v="6410.5"/>
    <x v="283"/>
    <n v="56732925"/>
    <n v="14"/>
    <n v="4502370307"/>
    <n v="5082733216"/>
    <n v="5113446257"/>
    <m/>
    <s v="TIENE BL"/>
    <m/>
    <x v="0"/>
    <d v="2022-07-14T00:00:00"/>
    <m/>
    <m/>
    <m/>
    <m/>
    <m/>
    <m/>
    <m/>
    <m/>
    <d v="2022-07-14T00:00:00"/>
    <x v="7"/>
  </r>
  <r>
    <s v="Sociedad Comercializadora Ganadera"/>
    <d v="2022-07-19T00:00:00"/>
    <d v="2022-07-19T00:00:00"/>
    <n v="29"/>
    <s v="FEDV368"/>
    <x v="0"/>
    <n v="6266"/>
    <x v="319"/>
    <n v="57333900"/>
    <n v="12"/>
    <n v="4502369714"/>
    <n v="5082766421"/>
    <n v="5113449484"/>
    <m/>
    <s v="TIENE BL"/>
    <m/>
    <x v="0"/>
    <d v="2022-07-15T00:00:00"/>
    <m/>
    <m/>
    <m/>
    <m/>
    <m/>
    <m/>
    <m/>
    <m/>
    <d v="2022-07-15T00:00:00"/>
    <x v="7"/>
  </r>
  <r>
    <s v="Sociedad Comercializadora Ganadera"/>
    <d v="2022-07-19T00:00:00"/>
    <d v="2022-07-19T00:00:00"/>
    <n v="29"/>
    <s v="NC178"/>
    <x v="0"/>
    <n v="6266"/>
    <x v="446"/>
    <n v="-1195427.4800000042"/>
    <n v="0"/>
    <n v="4502369714"/>
    <n v="5082766421"/>
    <n v="5113449485"/>
    <m/>
    <m/>
    <m/>
    <x v="0"/>
    <d v="2022-07-15T00:00:00"/>
    <m/>
    <m/>
    <m/>
    <m/>
    <m/>
    <m/>
    <m/>
    <m/>
    <d v="2022-07-15T00:00:00"/>
    <x v="7"/>
  </r>
  <r>
    <s v="Sociedad Comercializadora Ganadera"/>
    <d v="2022-07-19T00:00:00"/>
    <d v="2022-07-19T00:00:00"/>
    <n v="29"/>
    <s v="FEDV369"/>
    <x v="0"/>
    <n v="44019"/>
    <x v="319"/>
    <n v="402773850"/>
    <n v="93"/>
    <n v="4502369714"/>
    <n v="5082766421"/>
    <n v="5113450245"/>
    <m/>
    <s v="TIENE BL"/>
    <m/>
    <x v="0"/>
    <d v="2022-07-15T00:00:00"/>
    <m/>
    <m/>
    <m/>
    <m/>
    <m/>
    <m/>
    <m/>
    <m/>
    <d v="2022-07-15T00:00:00"/>
    <x v="7"/>
  </r>
  <r>
    <s v="Sociedad Comercializadora Ganadera"/>
    <d v="2022-07-21T00:00:00"/>
    <d v="2022-07-21T00:00:00"/>
    <n v="29"/>
    <s v="NC179"/>
    <x v="0"/>
    <n v="44019"/>
    <x v="447"/>
    <n v="-4441076.9099999741"/>
    <n v="0"/>
    <n v="4502369714"/>
    <n v="5082766421"/>
    <n v="5113450377"/>
    <m/>
    <m/>
    <m/>
    <x v="0"/>
    <d v="2022-07-15T00:00:00"/>
    <m/>
    <m/>
    <m/>
    <m/>
    <m/>
    <m/>
    <m/>
    <m/>
    <d v="2022-07-15T00:00:00"/>
    <x v="7"/>
  </r>
  <r>
    <s v="Inversiones y Negocios V&amp;V S.A.S"/>
    <d v="2022-07-19T00:00:00"/>
    <d v="2022-07-19T00:00:00"/>
    <n v="29"/>
    <s v="FE-1682"/>
    <x v="0"/>
    <n v="12782"/>
    <x v="319"/>
    <n v="116955300"/>
    <n v="28"/>
    <n v="4502369716"/>
    <n v="5082766422"/>
    <n v="5113448764"/>
    <m/>
    <s v="CON RETEN"/>
    <m/>
    <x v="0"/>
    <d v="2022-07-15T00:00:00"/>
    <m/>
    <m/>
    <m/>
    <m/>
    <m/>
    <m/>
    <m/>
    <m/>
    <d v="2022-07-15T00:00:00"/>
    <x v="7"/>
  </r>
  <r>
    <s v="Inversiones y Negocios V&amp;V S.A.S"/>
    <d v="2022-07-19T00:00:00"/>
    <d v="2022-07-19T00:00:00"/>
    <n v="29"/>
    <s v="NC13050"/>
    <x v="0"/>
    <n v="12782"/>
    <x v="13"/>
    <n v="-639100"/>
    <n v="0"/>
    <n v="4502369716"/>
    <n v="5082766422"/>
    <n v="5113448766"/>
    <m/>
    <m/>
    <m/>
    <x v="0"/>
    <d v="2022-07-15T00:00:00"/>
    <m/>
    <m/>
    <m/>
    <m/>
    <m/>
    <m/>
    <m/>
    <m/>
    <d v="2022-07-15T00:00:00"/>
    <x v="7"/>
  </r>
  <r>
    <s v="Adrian Alberto Alvarez Henao"/>
    <d v="2022-07-19T00:00:00"/>
    <m/>
    <n v="29"/>
    <s v="AAAH-51"/>
    <x v="0"/>
    <n v="6547.5"/>
    <x v="319"/>
    <n v="59909625"/>
    <n v="15"/>
    <n v="4502369717"/>
    <n v="5082766995"/>
    <n v="5113449906"/>
    <m/>
    <s v="TIENE BL"/>
    <m/>
    <x v="0"/>
    <d v="2022-07-15T00:00:00"/>
    <m/>
    <m/>
    <m/>
    <m/>
    <m/>
    <m/>
    <m/>
    <m/>
    <d v="2022-07-15T00:00:00"/>
    <x v="7"/>
  </r>
  <r>
    <s v="Adrian Alberto Alvarez Henao"/>
    <d v="2022-07-19T00:00:00"/>
    <m/>
    <n v="29"/>
    <s v="AD27"/>
    <x v="0"/>
    <n v="6547.5"/>
    <x v="448"/>
    <n v="-1097753.8499999992"/>
    <n v="0"/>
    <n v="4502369717"/>
    <n v="5082766995"/>
    <n v="5113449957"/>
    <m/>
    <m/>
    <m/>
    <x v="0"/>
    <d v="2022-07-15T00:00:00"/>
    <m/>
    <m/>
    <m/>
    <m/>
    <m/>
    <m/>
    <m/>
    <m/>
    <d v="2022-07-15T00:00:00"/>
    <x v="7"/>
  </r>
  <r>
    <s v="Agropecuaria 3H Blanco S.A.S"/>
    <d v="2022-07-19T00:00:00"/>
    <d v="2022-07-22T00:00:00"/>
    <n v="29"/>
    <s v="A3H-46"/>
    <x v="0"/>
    <n v="7894.5"/>
    <x v="283"/>
    <n v="69866325"/>
    <n v="15"/>
    <n v="4502369718"/>
    <n v="5082766996"/>
    <n v="5113453598"/>
    <m/>
    <s v="CON RETEN "/>
    <s v="se reenvio al correo de recepcion "/>
    <x v="0"/>
    <d v="2022-07-15T00:00:00"/>
    <m/>
    <m/>
    <m/>
    <m/>
    <m/>
    <m/>
    <m/>
    <m/>
    <d v="2022-07-15T00:00:00"/>
    <x v="7"/>
  </r>
  <r>
    <s v="Carnes La Italiana L S S A S"/>
    <d v="2022-07-19T00:00:00"/>
    <m/>
    <n v="29"/>
    <s v="FVE-3650"/>
    <x v="0"/>
    <n v="7117"/>
    <x v="219"/>
    <n v="62273750"/>
    <n v="14"/>
    <n v="4502369719"/>
    <n v="5082766423"/>
    <n v="5113453059"/>
    <m/>
    <s v="TIENE BL"/>
    <m/>
    <x v="0"/>
    <d v="2022-07-15T00:00:00"/>
    <m/>
    <m/>
    <m/>
    <m/>
    <m/>
    <m/>
    <m/>
    <m/>
    <d v="2022-07-15T00:00:00"/>
    <x v="7"/>
  </r>
  <r>
    <s v="Carnes La Italiana L S S A S"/>
    <d v="2022-07-19T00:00:00"/>
    <m/>
    <n v="29"/>
    <s v="NC106"/>
    <x v="0"/>
    <n v="7117"/>
    <x v="13"/>
    <n v="-355850"/>
    <n v="0"/>
    <n v="4502369719"/>
    <n v="5082766423"/>
    <n v="5113453061"/>
    <m/>
    <m/>
    <m/>
    <x v="0"/>
    <d v="2022-07-15T00:00:00"/>
    <m/>
    <m/>
    <m/>
    <m/>
    <m/>
    <m/>
    <m/>
    <m/>
    <d v="2022-07-15T00:00:00"/>
    <x v="7"/>
  </r>
  <r>
    <s v="Miguel Antonio Carrascal Pacheco"/>
    <d v="2022-07-21T00:00:00"/>
    <d v="2022-07-22T00:00:00"/>
    <n v="29"/>
    <s v="FAMC-5"/>
    <x v="0"/>
    <n v="7366"/>
    <x v="219"/>
    <n v="64452500"/>
    <n v="15"/>
    <n v="4502369754"/>
    <n v="5082766468"/>
    <n v="5113453201"/>
    <m/>
    <s v="TIENE BL"/>
    <m/>
    <x v="0"/>
    <d v="2022-07-15T00:00:00"/>
    <m/>
    <m/>
    <m/>
    <m/>
    <m/>
    <m/>
    <m/>
    <m/>
    <d v="2022-07-15T00:00:00"/>
    <x v="7"/>
  </r>
  <r>
    <s v="Miguel Antonio Carrascal Pacheco"/>
    <d v="2022-07-22T00:00:00"/>
    <d v="2022-07-22T00:00:00"/>
    <n v="29"/>
    <s v="NCR41"/>
    <x v="0"/>
    <n v="7366"/>
    <x v="13"/>
    <n v="-368300"/>
    <n v="0"/>
    <n v="4502369754"/>
    <n v="5082766468"/>
    <n v="5113453204"/>
    <m/>
    <m/>
    <m/>
    <x v="0"/>
    <d v="2022-07-15T00:00:00"/>
    <m/>
    <m/>
    <m/>
    <m/>
    <m/>
    <m/>
    <m/>
    <m/>
    <d v="2022-07-15T00:00:00"/>
    <x v="7"/>
  </r>
  <r>
    <s v="La OKA S.A.S."/>
    <d v="2022-07-19T00:00:00"/>
    <m/>
    <n v="29"/>
    <s v="FEOK-74"/>
    <x v="0"/>
    <n v="6834"/>
    <x v="219"/>
    <n v="59797500"/>
    <n v="14"/>
    <n v="4502369756"/>
    <n v="5082766469"/>
    <n v="5113452628"/>
    <m/>
    <s v="CON RETEN"/>
    <m/>
    <x v="0"/>
    <d v="2022-07-15T00:00:00"/>
    <m/>
    <m/>
    <m/>
    <m/>
    <m/>
    <m/>
    <m/>
    <m/>
    <d v="2022-07-15T00:00:00"/>
    <x v="7"/>
  </r>
  <r>
    <s v="La OKA S.A.S."/>
    <d v="2022-07-19T00:00:00"/>
    <d v="2022-07-22T00:00:00"/>
    <n v="29"/>
    <s v="NC216"/>
    <x v="0"/>
    <n v="6834"/>
    <x v="11"/>
    <n v="-1025100"/>
    <n v="0"/>
    <n v="4502369756"/>
    <n v="5082766469"/>
    <n v="5113452631"/>
    <m/>
    <m/>
    <m/>
    <x v="0"/>
    <d v="2022-07-15T00:00:00"/>
    <m/>
    <m/>
    <m/>
    <m/>
    <m/>
    <m/>
    <m/>
    <m/>
    <d v="2022-07-15T00:00:00"/>
    <x v="7"/>
  </r>
  <r>
    <s v="Agropecuaria Hacienda Manzanares S.A.S ZOMAC"/>
    <d v="2022-07-27T00:00:00"/>
    <d v="2022-07-29T00:00:00"/>
    <n v="29"/>
    <s v="AHM-4"/>
    <x v="0"/>
    <n v="18314"/>
    <x v="283"/>
    <n v="162078900"/>
    <n v="42"/>
    <n v="4502369759"/>
    <n v="5082766470"/>
    <n v="5113475035"/>
    <m/>
    <s v="CON RETEN"/>
    <m/>
    <x v="0"/>
    <d v="2022-07-15T00:00:00"/>
    <m/>
    <m/>
    <m/>
    <m/>
    <m/>
    <m/>
    <m/>
    <m/>
    <d v="2022-07-15T00:00:00"/>
    <x v="7"/>
  </r>
  <r>
    <s v="Agropecuaria Hacienda Manzanares S.A.S ZOMAC"/>
    <d v="2022-07-28T00:00:00"/>
    <d v="2022-07-29T00:00:00"/>
    <n v="29"/>
    <s v="AMNC2"/>
    <x v="0"/>
    <n v="18314"/>
    <x v="449"/>
    <n v="-955441.38000000129"/>
    <n v="0"/>
    <n v="4502369759"/>
    <n v="5082766470"/>
    <n v="5113475057"/>
    <m/>
    <m/>
    <m/>
    <x v="0"/>
    <d v="2022-07-15T00:00:00"/>
    <m/>
    <m/>
    <m/>
    <m/>
    <m/>
    <m/>
    <m/>
    <m/>
    <d v="2022-07-15T00:00:00"/>
    <x v="7"/>
  </r>
  <r>
    <s v="Margie Rodriguez Rodriguez"/>
    <d v="2022-07-19T00:00:00"/>
    <d v="2022-07-19T00:00:00"/>
    <n v="29"/>
    <s v="FE-65"/>
    <x v="0"/>
    <n v="13939"/>
    <x v="219"/>
    <n v="121966250"/>
    <n v="30"/>
    <n v="4502369761"/>
    <n v="5082766471"/>
    <n v="5113446551"/>
    <m/>
    <s v="CON RETEN"/>
    <m/>
    <x v="0"/>
    <d v="2022-07-15T00:00:00"/>
    <m/>
    <m/>
    <m/>
    <m/>
    <m/>
    <m/>
    <m/>
    <m/>
    <d v="2022-07-15T00:00:00"/>
    <x v="7"/>
  </r>
  <r>
    <s v="Margie Rodriguez Rodriguez"/>
    <d v="2022-07-19T00:00:00"/>
    <d v="2022-07-19T00:00:00"/>
    <n v="29"/>
    <s v="NC229"/>
    <x v="0"/>
    <n v="13939"/>
    <x v="2"/>
    <n v="-1393900"/>
    <n v="0"/>
    <n v="4502369761"/>
    <n v="5082766471"/>
    <n v="5113446553"/>
    <m/>
    <m/>
    <m/>
    <x v="0"/>
    <d v="2022-07-15T00:00:00"/>
    <m/>
    <m/>
    <m/>
    <m/>
    <m/>
    <m/>
    <m/>
    <m/>
    <d v="2022-07-15T00:00:00"/>
    <x v="7"/>
  </r>
  <r>
    <s v="Deyci Tellez Sierra"/>
    <d v="2022-07-20T00:00:00"/>
    <m/>
    <n v="29"/>
    <s v="FE-1"/>
    <x v="0"/>
    <n v="5993.5"/>
    <x v="319"/>
    <n v="54840525"/>
    <n v="14"/>
    <n v="4502371333"/>
    <n v="5082766472"/>
    <n v="5113490269"/>
    <m/>
    <s v="CON RETEN"/>
    <s v="por WA hoy la envian "/>
    <x v="0"/>
    <d v="2022-07-15T00:00:00"/>
    <m/>
    <m/>
    <m/>
    <m/>
    <m/>
    <m/>
    <m/>
    <m/>
    <d v="2022-07-15T00:00:00"/>
    <x v="7"/>
  </r>
  <r>
    <s v="Deyci Tellez Sierra"/>
    <d v="2022-07-20T00:00:00"/>
    <m/>
    <n v="29"/>
    <s v="NC2"/>
    <x v="0"/>
    <n v="5993.5"/>
    <x v="450"/>
    <n v="-113996.37000000261"/>
    <n v="0"/>
    <n v="4502371333"/>
    <n v="5082766472"/>
    <n v="5113490270"/>
    <m/>
    <s v="Caso # IN242345"/>
    <m/>
    <x v="0"/>
    <d v="2022-07-15T00:00:00"/>
    <m/>
    <m/>
    <m/>
    <m/>
    <m/>
    <m/>
    <m/>
    <m/>
    <d v="2022-07-15T00:00:00"/>
    <x v="7"/>
  </r>
  <r>
    <s v="Agropecuaria Tabaida S.A.S"/>
    <d v="2022-07-15T00:00:00"/>
    <d v="2022-07-21T00:00:00"/>
    <n v="29"/>
    <s v="MT-1479"/>
    <x v="2"/>
    <n v="40130"/>
    <x v="227"/>
    <n v="349131000"/>
    <n v="84"/>
    <n v="4502373018"/>
    <n v="5082786091"/>
    <n v="5113449756"/>
    <m/>
    <s v="TIENE BL"/>
    <m/>
    <x v="1"/>
    <d v="2022-07-15T00:00:00"/>
    <m/>
    <m/>
    <m/>
    <m/>
    <m/>
    <m/>
    <m/>
    <m/>
    <d v="2022-07-15T00:00:00"/>
    <x v="7"/>
  </r>
  <r>
    <s v="Surtidora Agropecuaria De Colombia"/>
    <d v="2022-07-19T00:00:00"/>
    <d v="2022-07-19T00:00:00"/>
    <n v="29"/>
    <s v="FESA-45"/>
    <x v="2"/>
    <n v="13787"/>
    <x v="219"/>
    <n v="120636250"/>
    <n v="28"/>
    <n v="4502373033"/>
    <n v="5082786348"/>
    <n v="5113448851"/>
    <m/>
    <s v="TIENE BL"/>
    <m/>
    <x v="1"/>
    <d v="2022-07-15T00:00:00"/>
    <m/>
    <m/>
    <m/>
    <m/>
    <m/>
    <m/>
    <m/>
    <m/>
    <d v="2022-07-15T00:00:00"/>
    <x v="7"/>
  </r>
  <r>
    <s v="Carlos Mario Duque Cadavid"/>
    <d v="2022-07-15T00:00:00"/>
    <m/>
    <n v="29"/>
    <s v="CD-118"/>
    <x v="2"/>
    <n v="21863"/>
    <x v="219"/>
    <n v="191301250"/>
    <n v="42"/>
    <n v="4502373021"/>
    <n v="5082786096"/>
    <n v="5113448778"/>
    <m/>
    <m/>
    <m/>
    <x v="1"/>
    <d v="2022-07-15T00:00:00"/>
    <m/>
    <m/>
    <m/>
    <m/>
    <m/>
    <m/>
    <m/>
    <m/>
    <d v="2022-07-15T00:00:00"/>
    <x v="7"/>
  </r>
  <r>
    <s v="Inversiones Valle Del Canalete S.A.S"/>
    <d v="2022-07-19T00:00:00"/>
    <d v="2022-07-19T00:00:00"/>
    <n v="29"/>
    <s v="IVC122"/>
    <x v="2"/>
    <n v="19804"/>
    <x v="219"/>
    <n v="173285000"/>
    <n v="42"/>
    <n v="4502373023"/>
    <n v="5082786200"/>
    <n v="5113448780"/>
    <m/>
    <s v="CON RETEN"/>
    <m/>
    <x v="1"/>
    <d v="2022-07-15T00:00:00"/>
    <m/>
    <m/>
    <m/>
    <m/>
    <m/>
    <m/>
    <m/>
    <m/>
    <d v="2022-07-15T00:00:00"/>
    <x v="7"/>
  </r>
  <r>
    <s v="31416 S.A.S"/>
    <d v="2022-07-15T00:00:00"/>
    <d v="2022-07-19T00:00:00"/>
    <n v="29"/>
    <s v="PI 159"/>
    <x v="2"/>
    <n v="15484"/>
    <x v="219"/>
    <n v="135485000"/>
    <n v="30"/>
    <n v="4502373027"/>
    <n v="5082786205"/>
    <n v="5113446372"/>
    <s v=" "/>
    <s v="CON RETEN"/>
    <m/>
    <x v="1"/>
    <d v="2022-07-15T00:00:00"/>
    <m/>
    <m/>
    <m/>
    <m/>
    <m/>
    <m/>
    <m/>
    <m/>
    <d v="2022-07-15T00:00:00"/>
    <x v="7"/>
  </r>
  <r>
    <s v="Mauricio De Jesús Bernal Jaramillo"/>
    <d v="2022-07-21T00:00:00"/>
    <d v="2022-07-21T00:00:00"/>
    <n v="29"/>
    <s v="FE-193"/>
    <x v="2"/>
    <n v="6905"/>
    <x v="227"/>
    <n v="60073500"/>
    <n v="15"/>
    <n v="4502373032"/>
    <n v="5082786272"/>
    <n v="5113448949"/>
    <m/>
    <s v="CON RETEN"/>
    <m/>
    <x v="1"/>
    <d v="2022-07-15T00:00:00"/>
    <m/>
    <m/>
    <m/>
    <m/>
    <m/>
    <m/>
    <m/>
    <m/>
    <d v="2022-07-15T00:00:00"/>
    <x v="7"/>
  </r>
  <r>
    <s v="Inversiones Castilla Barbosa S.A.S."/>
    <d v="2022-07-17T00:00:00"/>
    <d v="2022-07-19T00:00:00"/>
    <n v="29"/>
    <s v="FE-74"/>
    <x v="1"/>
    <n v="14762.5"/>
    <x v="283"/>
    <n v="130648125"/>
    <n v="28"/>
    <n v="4502369720"/>
    <n v="5082766424"/>
    <n v="5113453050"/>
    <m/>
    <s v="TIENE BL"/>
    <s v="se pidio por WA"/>
    <x v="0"/>
    <d v="2022-07-17T00:00:00"/>
    <m/>
    <m/>
    <m/>
    <m/>
    <m/>
    <m/>
    <m/>
    <m/>
    <d v="2022-07-17T00:00:00"/>
    <x v="7"/>
  </r>
  <r>
    <s v="Inversiones Castilla Barbosa S.A.S."/>
    <d v="2022-07-17T00:00:00"/>
    <d v="2022-07-19T00:00:00"/>
    <n v="29"/>
    <s v="DF234"/>
    <x v="1"/>
    <n v="14762.5"/>
    <x v="13"/>
    <n v="738125"/>
    <n v="0"/>
    <n v="4502369720"/>
    <n v="5082766424"/>
    <n v="5113453056"/>
    <m/>
    <m/>
    <m/>
    <x v="0"/>
    <d v="2022-07-17T00:00:00"/>
    <m/>
    <m/>
    <m/>
    <m/>
    <m/>
    <m/>
    <m/>
    <m/>
    <d v="2022-07-17T00:00:00"/>
    <x v="7"/>
  </r>
  <r>
    <s v="Lismenia Torcoroma Rincon Hernandez"/>
    <m/>
    <m/>
    <n v="29"/>
    <n v="1096797"/>
    <x v="1"/>
    <n v="26604"/>
    <x v="219"/>
    <n v="232785000"/>
    <n v="56"/>
    <n v="4502369721"/>
    <n v="5082766425"/>
    <n v="5113448849"/>
    <m/>
    <s v="CON RETEN"/>
    <m/>
    <x v="0"/>
    <d v="2022-07-17T00:00:00"/>
    <m/>
    <m/>
    <m/>
    <m/>
    <m/>
    <m/>
    <m/>
    <m/>
    <d v="2022-07-17T00:00:00"/>
    <x v="7"/>
  </r>
  <r>
    <s v="Lismenia Torcoroma Rincon Hernandez"/>
    <d v="2022-07-17T00:00:00"/>
    <d v="2022-07-19T00:00:00"/>
    <n v="29"/>
    <s v="ND000016"/>
    <x v="1"/>
    <n v="26604"/>
    <x v="13"/>
    <n v="1330200"/>
    <n v="0"/>
    <n v="4502369721"/>
    <n v="5082766425"/>
    <n v="5113448850"/>
    <m/>
    <m/>
    <m/>
    <x v="0"/>
    <d v="2022-07-17T00:00:00"/>
    <m/>
    <m/>
    <m/>
    <m/>
    <m/>
    <m/>
    <m/>
    <m/>
    <d v="2022-07-17T00:00:00"/>
    <x v="7"/>
  </r>
  <r>
    <s v="Andres Jaramillo Bernal"/>
    <d v="2022-07-17T00:00:00"/>
    <d v="2022-07-21T00:00:00"/>
    <n v="29"/>
    <s v="FEVA-5189"/>
    <x v="2"/>
    <n v="19284.5"/>
    <x v="219"/>
    <n v="168739375"/>
    <n v="42"/>
    <n v="4502369722"/>
    <n v="5082766426"/>
    <n v="5113449965"/>
    <m/>
    <s v="CON RETEN"/>
    <m/>
    <x v="0"/>
    <d v="2022-07-17T00:00:00"/>
    <m/>
    <m/>
    <m/>
    <m/>
    <m/>
    <m/>
    <m/>
    <m/>
    <d v="2022-07-17T00:00:00"/>
    <x v="7"/>
  </r>
  <r>
    <s v="Agroinversiones RG S.A.S"/>
    <d v="2022-07-17T00:00:00"/>
    <d v="2022-07-19T00:00:00"/>
    <n v="29"/>
    <s v="FE-72"/>
    <x v="2"/>
    <n v="7106"/>
    <x v="283"/>
    <n v="62888100"/>
    <n v="14"/>
    <n v="4502369723"/>
    <n v="5082766427"/>
    <n v="5113448761"/>
    <m/>
    <s v="CON RETEN"/>
    <m/>
    <x v="0"/>
    <d v="2022-07-17T00:00:00"/>
    <m/>
    <m/>
    <m/>
    <m/>
    <m/>
    <m/>
    <m/>
    <m/>
    <d v="2022-07-17T00:00:00"/>
    <x v="7"/>
  </r>
  <r>
    <s v="Agroinversiones RG S.A.S"/>
    <d v="2022-07-17T00:00:00"/>
    <d v="2022-07-19T00:00:00"/>
    <n v="29"/>
    <s v="DF24"/>
    <x v="2"/>
    <n v="7106"/>
    <x v="13"/>
    <n v="355300"/>
    <n v="0"/>
    <n v="4502369723"/>
    <n v="5082766427"/>
    <n v="5113448762"/>
    <m/>
    <m/>
    <m/>
    <x v="0"/>
    <d v="2022-07-17T00:00:00"/>
    <m/>
    <m/>
    <m/>
    <m/>
    <m/>
    <m/>
    <m/>
    <m/>
    <d v="2022-07-17T00:00:00"/>
    <x v="7"/>
  </r>
  <r>
    <s v="Inversiones Tres P &amp; CIA S. En C"/>
    <d v="2022-07-17T00:00:00"/>
    <d v="2022-07-19T00:00:00"/>
    <n v="29"/>
    <s v="FE-60"/>
    <x v="2"/>
    <n v="6736"/>
    <x v="283"/>
    <n v="59613600"/>
    <n v="14"/>
    <n v="4502369724"/>
    <n v="5082766997"/>
    <n v="5113453044"/>
    <m/>
    <s v="TIENE BL"/>
    <m/>
    <x v="0"/>
    <d v="2022-07-17T00:00:00"/>
    <m/>
    <m/>
    <m/>
    <m/>
    <m/>
    <m/>
    <m/>
    <m/>
    <d v="2022-07-17T00:00:00"/>
    <x v="7"/>
  </r>
  <r>
    <s v="Inversiones Tres P &amp; CIA S. En C"/>
    <d v="2022-07-17T00:00:00"/>
    <d v="2022-07-19T00:00:00"/>
    <n v="29"/>
    <s v="NC23"/>
    <x v="2"/>
    <n v="6736"/>
    <x v="451"/>
    <n v="-515169.27999999706"/>
    <n v="0"/>
    <n v="4502369724"/>
    <n v="5082766997"/>
    <n v="5113453048"/>
    <m/>
    <m/>
    <m/>
    <x v="0"/>
    <d v="2022-07-17T00:00:00"/>
    <m/>
    <m/>
    <m/>
    <m/>
    <m/>
    <m/>
    <m/>
    <m/>
    <d v="2022-07-17T00:00:00"/>
    <x v="7"/>
  </r>
  <r>
    <s v="Lina Maria Pelaez Gomez"/>
    <d v="2022-07-18T00:00:00"/>
    <d v="2022-07-20T00:00:00"/>
    <n v="29"/>
    <s v="LP104"/>
    <x v="2"/>
    <n v="6583"/>
    <x v="319"/>
    <n v="60234450"/>
    <n v="14"/>
    <n v="4502369725"/>
    <n v="5082786527"/>
    <n v="5113450924"/>
    <m/>
    <s v="TIENE BL"/>
    <m/>
    <x v="0"/>
    <d v="2022-07-18T00:00:00"/>
    <m/>
    <m/>
    <m/>
    <m/>
    <m/>
    <m/>
    <m/>
    <m/>
    <d v="2022-07-18T00:00:00"/>
    <x v="7"/>
  </r>
  <r>
    <s v="Lina Maria Pelaez Gomez"/>
    <d v="2022-07-20T00:00:00"/>
    <d v="2022-07-20T00:00:00"/>
    <n v="29"/>
    <s v="NC78"/>
    <x v="2"/>
    <n v="6583"/>
    <x v="13"/>
    <n v="-329150"/>
    <n v="0"/>
    <n v="4502369725"/>
    <n v="5082786527"/>
    <n v="5113450926"/>
    <m/>
    <m/>
    <m/>
    <x v="0"/>
    <d v="2022-07-18T00:00:00"/>
    <m/>
    <m/>
    <m/>
    <m/>
    <m/>
    <m/>
    <m/>
    <m/>
    <d v="2022-07-18T00:00:00"/>
    <x v="7"/>
  </r>
  <r>
    <s v="Agropecuaria los Molinos S.A.S"/>
    <d v="2022-07-06T00:00:00"/>
    <d v="2022-07-07T00:00:00"/>
    <n v="29"/>
    <s v="FEMO-1010000715"/>
    <x v="0"/>
    <n v="190271"/>
    <x v="440"/>
    <n v="1833261085"/>
    <n v="56"/>
    <n v="4502365447"/>
    <n v="5082603723"/>
    <n v="5113437230"/>
    <m/>
    <s v="EJ*4 1650000*3 1580000*1"/>
    <s v="TIENE BL"/>
    <x v="0"/>
    <d v="2022-07-19T00:00:00"/>
    <n v="4902306494"/>
    <n v="6530000"/>
    <s v="FEMD-4675*4"/>
    <n v="5113449638"/>
    <m/>
    <m/>
    <m/>
    <m/>
    <d v="2022-07-19T00:00:00"/>
    <x v="7"/>
  </r>
  <r>
    <s v="David Martinez Jaramillo"/>
    <d v="2022-07-20T00:00:00"/>
    <m/>
    <n v="29"/>
    <s v="DM-214"/>
    <x v="1"/>
    <n v="14824"/>
    <x v="319"/>
    <n v="135639600"/>
    <n v="30"/>
    <n v="4502369726"/>
    <n v="5082806075"/>
    <n v="5113457360"/>
    <m/>
    <s v="TIENE BL"/>
    <m/>
    <x v="0"/>
    <d v="2022-07-19T00:00:00"/>
    <m/>
    <m/>
    <m/>
    <m/>
    <m/>
    <m/>
    <m/>
    <m/>
    <d v="2022-07-19T00:00:00"/>
    <x v="7"/>
  </r>
  <r>
    <s v="David Martinez Jaramillo"/>
    <d v="2022-07-23T00:00:00"/>
    <m/>
    <n v="29"/>
    <s v="NC51"/>
    <x v="1"/>
    <n v="14824"/>
    <x v="13"/>
    <n v="-741200"/>
    <n v="0"/>
    <n v="4502369726"/>
    <n v="5082806075"/>
    <n v="5113457361"/>
    <m/>
    <m/>
    <m/>
    <x v="0"/>
    <d v="2022-07-19T00:00:00"/>
    <m/>
    <m/>
    <m/>
    <m/>
    <m/>
    <m/>
    <m/>
    <m/>
    <d v="2022-07-19T00:00:00"/>
    <x v="7"/>
  </r>
  <r>
    <s v="Sociedad Comercializadora Ganadera"/>
    <d v="2022-07-21T00:00:00"/>
    <d v="2022-07-21T00:00:00"/>
    <n v="29"/>
    <s v="FEDV370"/>
    <x v="3"/>
    <n v="9515"/>
    <x v="54"/>
    <n v="74217000"/>
    <n v="40"/>
    <n v="4502375079"/>
    <n v="5082834067"/>
    <n v="5113453899"/>
    <m/>
    <s v="TIENE BL"/>
    <m/>
    <x v="2"/>
    <d v="2022-07-20T00:00:00"/>
    <m/>
    <m/>
    <m/>
    <m/>
    <m/>
    <m/>
    <m/>
    <m/>
    <d v="2022-07-20T00:00:00"/>
    <x v="7"/>
  </r>
  <r>
    <s v="Olger Fernando Rojas Angarita"/>
    <d v="2022-07-25T00:00:00"/>
    <m/>
    <n v="30"/>
    <s v="OR-190"/>
    <x v="0"/>
    <n v="13599.5"/>
    <x v="219"/>
    <n v="118995625"/>
    <n v="30"/>
    <n v="4502373279"/>
    <n v="5082838515"/>
    <n v="5113460671"/>
    <m/>
    <s v="CON RETEN "/>
    <m/>
    <x v="0"/>
    <d v="2022-07-21T00:00:00"/>
    <m/>
    <m/>
    <m/>
    <m/>
    <m/>
    <m/>
    <m/>
    <m/>
    <d v="2022-07-21T00:00:00"/>
    <x v="7"/>
  </r>
  <r>
    <s v="Olger Fernando Rojas Angarita"/>
    <d v="2022-07-25T00:00:00"/>
    <m/>
    <n v="30"/>
    <n v="11"/>
    <x v="0"/>
    <n v="13599.5"/>
    <x v="452"/>
    <n v="-1635203.8799999971"/>
    <n v="0"/>
    <n v="4502373279"/>
    <n v="5082838515"/>
    <n v="5113460675"/>
    <m/>
    <m/>
    <m/>
    <x v="0"/>
    <d v="2022-07-21T00:00:00"/>
    <m/>
    <m/>
    <m/>
    <m/>
    <m/>
    <m/>
    <m/>
    <m/>
    <d v="2022-07-21T00:00:00"/>
    <x v="7"/>
  </r>
  <r>
    <s v="Sociedad Comercializadora Ganadera"/>
    <d v="2022-07-26T00:00:00"/>
    <d v="2022-07-26T00:00:00"/>
    <n v="30"/>
    <s v="FEDV372"/>
    <x v="0"/>
    <n v="30148"/>
    <x v="319"/>
    <n v="275854200"/>
    <n v="60"/>
    <n v="4502373280"/>
    <n v="5082838516"/>
    <n v="5113461255"/>
    <s v="CON RETEN"/>
    <s v="TIENE BL"/>
    <m/>
    <x v="0"/>
    <d v="2022-07-21T00:00:00"/>
    <m/>
    <m/>
    <m/>
    <m/>
    <m/>
    <m/>
    <m/>
    <m/>
    <d v="2022-07-21T00:00:00"/>
    <x v="7"/>
  </r>
  <r>
    <s v="Sociedad Comercializadora Ganadera"/>
    <d v="2022-07-26T00:00:00"/>
    <d v="2022-07-26T00:00:00"/>
    <n v="30"/>
    <s v="NC180"/>
    <x v="0"/>
    <n v="30148"/>
    <x v="453"/>
    <n v="-37685"/>
    <n v="0"/>
    <n v="4502373280"/>
    <n v="5082838516"/>
    <n v="5113461307"/>
    <m/>
    <m/>
    <m/>
    <x v="0"/>
    <d v="2022-07-21T00:00:00"/>
    <m/>
    <m/>
    <m/>
    <m/>
    <m/>
    <m/>
    <m/>
    <m/>
    <d v="2022-07-21T00:00:00"/>
    <x v="7"/>
  </r>
  <r>
    <s v="Agropecuaria Tabaida S.A.S"/>
    <d v="2022-07-21T00:00:00"/>
    <d v="2022-07-22T00:00:00"/>
    <n v="30"/>
    <s v="MT1483"/>
    <x v="0"/>
    <n v="39854"/>
    <x v="188"/>
    <n v="334773600"/>
    <n v="83"/>
    <n v="4502375246"/>
    <n v="5082838003"/>
    <n v="5113456452"/>
    <m/>
    <s v="EJ*3 1793900*3 TYC 4792500"/>
    <s v="TIENE BL"/>
    <x v="0"/>
    <d v="2022-07-21T00:00:00"/>
    <n v="4902310763"/>
    <s v="5381700 - 4792500"/>
    <s v="FEMD-4690*3"/>
    <n v="5113456694"/>
    <s v="ETE-3291"/>
    <n v="5113462627"/>
    <m/>
    <m/>
    <d v="2022-07-21T00:00:00"/>
    <x v="7"/>
  </r>
  <r>
    <s v="Eugenio Villegas Molina"/>
    <d v="2022-08-01T00:00:00"/>
    <d v="2022-08-01T00:00:00"/>
    <n v="30"/>
    <s v="FE-1"/>
    <x v="0"/>
    <n v="7317"/>
    <x v="220"/>
    <n v="63292050"/>
    <n v="15"/>
    <n v="4502373281"/>
    <n v="5082838517"/>
    <n v="5113490602"/>
    <m/>
    <s v="CON RETEN"/>
    <s v="Va a revisar "/>
    <x v="0"/>
    <d v="2022-07-21T00:00:00"/>
    <m/>
    <m/>
    <m/>
    <m/>
    <m/>
    <m/>
    <m/>
    <m/>
    <d v="2022-07-21T00:00:00"/>
    <x v="7"/>
  </r>
  <r>
    <s v="Eugenio Villegas Molina"/>
    <d v="2022-08-01T00:00:00"/>
    <d v="2022-08-01T00:00:00"/>
    <n v="30"/>
    <s v="FE2"/>
    <x v="0"/>
    <n v="7317"/>
    <x v="11"/>
    <n v="-1097550"/>
    <n v="0"/>
    <n v="4502373281"/>
    <n v="5082838517"/>
    <n v="5113490603"/>
    <s v="CON RETEN"/>
    <m/>
    <m/>
    <x v="0"/>
    <d v="2022-07-21T00:00:00"/>
    <m/>
    <m/>
    <m/>
    <m/>
    <m/>
    <m/>
    <m/>
    <m/>
    <d v="2022-07-21T00:00:00"/>
    <x v="7"/>
  </r>
  <r>
    <s v="Lina Maria Pelaez Gomez"/>
    <d v="2022-07-22T00:00:00"/>
    <d v="2022-07-25T00:00:00"/>
    <n v="30"/>
    <s v="LP105"/>
    <x v="0"/>
    <n v="21297.5"/>
    <x v="237"/>
    <n v="191677500"/>
    <n v="45"/>
    <n v="4502373282"/>
    <n v="5082838578"/>
    <n v="5113465079"/>
    <m/>
    <s v="TIENE BL"/>
    <m/>
    <x v="0"/>
    <d v="2022-07-21T00:00:00"/>
    <m/>
    <m/>
    <m/>
    <m/>
    <m/>
    <m/>
    <m/>
    <m/>
    <d v="2022-07-21T00:00:00"/>
    <x v="7"/>
  </r>
  <r>
    <s v="Lina Maria Pelaez Gomez"/>
    <d v="2022-07-25T00:00:00"/>
    <d v="2022-07-25T00:00:00"/>
    <n v="30"/>
    <s v="NC79"/>
    <x v="0"/>
    <n v="21297.5"/>
    <x v="11"/>
    <n v="-3194625"/>
    <n v="0"/>
    <n v="4502373282"/>
    <n v="5082838578"/>
    <n v="5113465083"/>
    <m/>
    <m/>
    <m/>
    <x v="0"/>
    <d v="2022-07-21T00:00:00"/>
    <m/>
    <m/>
    <m/>
    <m/>
    <m/>
    <m/>
    <m/>
    <m/>
    <d v="2022-07-21T00:00:00"/>
    <x v="7"/>
  </r>
  <r>
    <s v="Rafael Francisco Delgado Serrano"/>
    <d v="2022-07-26T00:00:00"/>
    <m/>
    <n v="30"/>
    <s v="RFDS-158"/>
    <x v="0"/>
    <n v="6690.5"/>
    <x v="219"/>
    <n v="58541875"/>
    <n v="14"/>
    <n v="4502373283"/>
    <n v="5082838579"/>
    <n v="5113487355"/>
    <m/>
    <s v="CON RETEN"/>
    <m/>
    <x v="0"/>
    <d v="2022-07-21T00:00:00"/>
    <m/>
    <m/>
    <m/>
    <m/>
    <m/>
    <m/>
    <m/>
    <m/>
    <d v="2022-07-21T00:00:00"/>
    <x v="7"/>
  </r>
  <r>
    <s v="Rafael Francisco Delgado Serrano"/>
    <d v="2022-07-26T00:00:00"/>
    <m/>
    <n v="30"/>
    <s v="NCR25"/>
    <x v="0"/>
    <n v="6690.5"/>
    <x v="2"/>
    <n v="-669050"/>
    <n v="0"/>
    <n v="4502373283"/>
    <n v="5082838579"/>
    <n v="5113487359"/>
    <m/>
    <m/>
    <m/>
    <x v="0"/>
    <d v="2022-07-21T00:00:00"/>
    <m/>
    <m/>
    <m/>
    <m/>
    <m/>
    <m/>
    <m/>
    <m/>
    <d v="2022-07-21T00:00:00"/>
    <x v="7"/>
  </r>
  <r>
    <s v="Savanna &amp; Compañia S.A.S ZOMAC"/>
    <d v="2022-07-22T00:00:00"/>
    <d v="2022-07-25T00:00:00"/>
    <n v="30"/>
    <s v="S-43"/>
    <x v="0"/>
    <n v="7441"/>
    <x v="149"/>
    <n v="59155950"/>
    <n v="14"/>
    <n v="4502375251"/>
    <n v="5082838005"/>
    <n v="5113459483"/>
    <m/>
    <s v="EJ*1 3562300*1"/>
    <m/>
    <x v="0"/>
    <d v="2022-07-21T00:00:00"/>
    <n v="4902310772"/>
    <n v="3562300"/>
    <s v="FEMD-4691*1"/>
    <n v="5113456691"/>
    <m/>
    <m/>
    <m/>
    <m/>
    <d v="2022-07-21T00:00:00"/>
    <x v="7"/>
  </r>
  <r>
    <s v="Agropecuaria Lobo Berbesi S.A.S"/>
    <d v="2022-07-21T00:00:00"/>
    <m/>
    <n v="30"/>
    <s v="LB-107"/>
    <x v="1"/>
    <n v="14121.5"/>
    <x v="220"/>
    <n v="122150975"/>
    <n v="28"/>
    <n v="4502373284"/>
    <n v="5082838580"/>
    <n v="5113477335"/>
    <m/>
    <s v="TIENE BL "/>
    <m/>
    <x v="0"/>
    <d v="2022-07-21T00:00:00"/>
    <m/>
    <m/>
    <m/>
    <m/>
    <m/>
    <m/>
    <m/>
    <m/>
    <d v="2022-07-21T00:00:00"/>
    <x v="7"/>
  </r>
  <r>
    <s v="Agropecuaria Lobo Berbesi S.A.S"/>
    <d v="2022-07-28T00:00:00"/>
    <m/>
    <n v="30"/>
    <s v="NCR2"/>
    <x v="1"/>
    <n v="14121.5"/>
    <x v="454"/>
    <n v="-2179794.7400000081"/>
    <n v="0"/>
    <n v="4502373284"/>
    <n v="5082838580"/>
    <n v="5113477359"/>
    <m/>
    <m/>
    <m/>
    <x v="0"/>
    <d v="2022-07-21T00:00:00"/>
    <m/>
    <m/>
    <m/>
    <m/>
    <m/>
    <m/>
    <m/>
    <m/>
    <d v="2022-07-21T00:00:00"/>
    <x v="7"/>
  </r>
  <r>
    <s v="Primavera del Magdalena S.A.S."/>
    <d v="2022-07-28T00:00:00"/>
    <d v="2022-07-28T00:00:00"/>
    <n v="30"/>
    <s v="PRI-81"/>
    <x v="0"/>
    <n v="6754.5"/>
    <x v="219"/>
    <n v="59101875"/>
    <n v="14"/>
    <n v="4502373285"/>
    <n v="5082871371"/>
    <n v="5113472831"/>
    <m/>
    <s v="TIENE BL"/>
    <s v="hoy la envian "/>
    <x v="0"/>
    <d v="2022-07-22T00:00:00"/>
    <m/>
    <m/>
    <m/>
    <m/>
    <m/>
    <m/>
    <m/>
    <m/>
    <d v="2022-07-22T00:00:00"/>
    <x v="7"/>
  </r>
  <r>
    <s v="Primavera del Magdalena S.A.S."/>
    <d v="2022-07-28T00:00:00"/>
    <d v="2022-07-28T00:00:00"/>
    <n v="30"/>
    <s v="C0026"/>
    <x v="0"/>
    <n v="6754.5"/>
    <x v="13"/>
    <n v="-337725"/>
    <n v="0"/>
    <n v="4502373285"/>
    <n v="5082871371"/>
    <n v="5113472877"/>
    <m/>
    <m/>
    <m/>
    <x v="0"/>
    <d v="2022-07-22T00:00:00"/>
    <m/>
    <m/>
    <m/>
    <m/>
    <m/>
    <m/>
    <m/>
    <m/>
    <d v="2022-07-22T00:00:00"/>
    <x v="7"/>
  </r>
  <r>
    <s v="Inversiones y Negocios V&amp;V S.A.S"/>
    <d v="2022-07-26T00:00:00"/>
    <d v="2022-07-16T00:00:00"/>
    <n v="30"/>
    <s v="FE-1683"/>
    <x v="0"/>
    <n v="6594.5"/>
    <x v="294"/>
    <n v="59680225"/>
    <n v="14"/>
    <n v="4502373286"/>
    <n v="5082871372"/>
    <n v="5113460903"/>
    <m/>
    <s v="CON RETEN"/>
    <m/>
    <x v="0"/>
    <d v="2022-07-22T00:00:00"/>
    <m/>
    <m/>
    <m/>
    <m/>
    <m/>
    <m/>
    <m/>
    <m/>
    <d v="2022-07-22T00:00:00"/>
    <x v="7"/>
  </r>
  <r>
    <s v="Inversiones y Negocios V&amp;V S.A.S"/>
    <d v="2022-07-26T00:00:00"/>
    <d v="2022-07-16T00:00:00"/>
    <n v="30"/>
    <s v="NC13051"/>
    <x v="0"/>
    <n v="6594.5"/>
    <x v="2"/>
    <n v="-659450"/>
    <n v="0"/>
    <n v="4502373286"/>
    <n v="5082871372"/>
    <n v="5113460905"/>
    <m/>
    <m/>
    <m/>
    <x v="0"/>
    <d v="2022-07-22T00:00:00"/>
    <m/>
    <m/>
    <m/>
    <m/>
    <m/>
    <m/>
    <m/>
    <m/>
    <d v="2022-07-22T00:00:00"/>
    <x v="7"/>
  </r>
  <r>
    <s v="La OKA S.A.S."/>
    <d v="2022-07-27T00:00:00"/>
    <m/>
    <n v="30"/>
    <s v="FEOK-75"/>
    <x v="0"/>
    <n v="6687"/>
    <x v="220"/>
    <n v="57842550"/>
    <n v="14"/>
    <n v="4502373287"/>
    <n v="5082871373"/>
    <n v="5113464609"/>
    <m/>
    <s v="CON RETEN"/>
    <m/>
    <x v="0"/>
    <d v="2022-07-22T00:00:00"/>
    <m/>
    <m/>
    <m/>
    <m/>
    <m/>
    <m/>
    <m/>
    <m/>
    <d v="2022-07-22T00:00:00"/>
    <x v="7"/>
  </r>
  <r>
    <s v="La OKA S.A.S."/>
    <d v="2022-07-27T00:00:00"/>
    <m/>
    <n v="30"/>
    <s v="NC217"/>
    <x v="0"/>
    <n v="6687"/>
    <x v="124"/>
    <n v="-1337400"/>
    <n v="0"/>
    <n v="4502373287"/>
    <n v="5082871373"/>
    <n v="5113464610"/>
    <m/>
    <m/>
    <m/>
    <x v="0"/>
    <d v="2022-07-22T00:00:00"/>
    <m/>
    <m/>
    <m/>
    <m/>
    <m/>
    <m/>
    <m/>
    <m/>
    <d v="2022-07-22T00:00:00"/>
    <x v="7"/>
  </r>
  <r>
    <s v="Maria Alicia Montaño Parra"/>
    <d v="2022-07-26T00:00:00"/>
    <m/>
    <n v="30"/>
    <s v="FE-17"/>
    <x v="0"/>
    <n v="7563.5"/>
    <x v="220"/>
    <n v="65424275"/>
    <n v="15"/>
    <n v="4502373288"/>
    <n v="5082871374"/>
    <n v="5113461316"/>
    <m/>
    <s v="CON RETEN"/>
    <m/>
    <x v="0"/>
    <d v="2022-07-22T00:00:00"/>
    <m/>
    <m/>
    <m/>
    <m/>
    <m/>
    <m/>
    <m/>
    <m/>
    <d v="2022-07-22T00:00:00"/>
    <x v="7"/>
  </r>
  <r>
    <s v="Maria Alicia Montaño Parra"/>
    <d v="2022-07-26T00:00:00"/>
    <m/>
    <n v="30"/>
    <s v="FE3"/>
    <x v="0"/>
    <n v="7563.5"/>
    <x v="455"/>
    <n v="-1535919.9449999977"/>
    <n v="0"/>
    <n v="4502373288"/>
    <n v="5082871374"/>
    <n v="5113461359"/>
    <m/>
    <m/>
    <m/>
    <x v="0"/>
    <d v="2022-07-22T00:00:00"/>
    <m/>
    <m/>
    <m/>
    <m/>
    <m/>
    <m/>
    <m/>
    <m/>
    <d v="2022-07-22T00:00:00"/>
    <x v="7"/>
  </r>
  <r>
    <s v="Carnes La Italiana L S S A S"/>
    <d v="2022-07-30T00:00:00"/>
    <d v="2022-08-02T00:00:00"/>
    <n v="30"/>
    <s v="FVE-3718"/>
    <x v="0"/>
    <n v="7482"/>
    <x v="220"/>
    <n v="64719300"/>
    <n v="14"/>
    <n v="4502373289"/>
    <n v="5082871375"/>
    <n v="5113484583"/>
    <m/>
    <s v="TIENE BL"/>
    <s v="tiene pendiente validacion antes de facturar "/>
    <x v="0"/>
    <d v="2022-07-22T00:00:00"/>
    <m/>
    <m/>
    <m/>
    <m/>
    <m/>
    <m/>
    <m/>
    <m/>
    <d v="2022-07-22T00:00:00"/>
    <x v="7"/>
  </r>
  <r>
    <s v="Carnes La Italiana L S S A S"/>
    <d v="2022-07-30T00:00:00"/>
    <d v="2022-08-02T00:00:00"/>
    <n v="30"/>
    <s v="NC112"/>
    <x v="0"/>
    <n v="7482"/>
    <x v="456"/>
    <n v="-1247324.2199999935"/>
    <n v="0"/>
    <n v="4502373289"/>
    <n v="5082871375"/>
    <n v="5113484617"/>
    <m/>
    <m/>
    <m/>
    <x v="0"/>
    <d v="2022-07-22T00:00:00"/>
    <m/>
    <m/>
    <m/>
    <m/>
    <m/>
    <m/>
    <m/>
    <m/>
    <d v="2022-07-22T00:00:00"/>
    <x v="7"/>
  </r>
  <r>
    <s v="Inversiones Agropecuaria Triplesiete S.A.S."/>
    <d v="2022-07-29T00:00:00"/>
    <d v="2022-07-29T00:00:00"/>
    <n v="30"/>
    <s v="FEVM507"/>
    <x v="2"/>
    <n v="8363.5"/>
    <x v="220"/>
    <n v="72344275"/>
    <n v="15"/>
    <n v="4502373290"/>
    <n v="5082871452"/>
    <n v="5113478830"/>
    <m/>
    <s v="CON RETEN"/>
    <s v="La pedi por WA"/>
    <x v="0"/>
    <d v="2022-07-22T00:00:00"/>
    <m/>
    <m/>
    <m/>
    <m/>
    <m/>
    <m/>
    <m/>
    <m/>
    <d v="2022-07-22T00:00:00"/>
    <x v="7"/>
  </r>
  <r>
    <s v="Inversiones Agropecuaria Triplesiete S.A.S."/>
    <d v="2022-07-29T00:00:00"/>
    <d v="2022-07-29T00:00:00"/>
    <n v="30"/>
    <s v="NC34"/>
    <x v="2"/>
    <n v="8363.5"/>
    <x v="457"/>
    <n v="-960380.70499999938"/>
    <n v="0"/>
    <n v="4502373290"/>
    <n v="5082871452"/>
    <n v="5113478832"/>
    <m/>
    <m/>
    <m/>
    <x v="0"/>
    <d v="2022-07-22T00:00:00"/>
    <m/>
    <m/>
    <m/>
    <m/>
    <m/>
    <m/>
    <m/>
    <m/>
    <d v="2022-07-22T00:00:00"/>
    <x v="7"/>
  </r>
  <r>
    <s v="Lismenia Torcoroma Rincon Hernandez"/>
    <d v="2022-07-22T00:00:00"/>
    <d v="2022-07-26T00:00:00"/>
    <n v="30"/>
    <s v="GANA-230"/>
    <x v="2"/>
    <n v="20565.5"/>
    <x v="220"/>
    <n v="177891575"/>
    <n v="45"/>
    <n v="4502373291"/>
    <n v="3701504458"/>
    <n v="5113460406"/>
    <m/>
    <s v="CON RETEN"/>
    <m/>
    <x v="0"/>
    <d v="2022-07-22T00:00:00"/>
    <m/>
    <m/>
    <m/>
    <m/>
    <m/>
    <m/>
    <m/>
    <m/>
    <d v="2022-07-22T00:00:00"/>
    <x v="7"/>
  </r>
  <r>
    <s v="Lismenia Torcoroma Rincon Hernandez"/>
    <d v="2022-07-22T00:00:00"/>
    <d v="2022-07-26T00:00:00"/>
    <n v="30"/>
    <s v="NC000052"/>
    <x v="2"/>
    <n v="20565.5"/>
    <x v="2"/>
    <n v="-2056550"/>
    <n v="0"/>
    <n v="4502373291"/>
    <n v="3701504458"/>
    <n v="5113460487"/>
    <m/>
    <m/>
    <m/>
    <x v="0"/>
    <d v="2022-07-22T00:00:00"/>
    <m/>
    <m/>
    <m/>
    <m/>
    <m/>
    <m/>
    <m/>
    <m/>
    <d v="2022-07-22T00:00:00"/>
    <x v="7"/>
  </r>
  <r>
    <s v="Rafael Prieto Ortiz"/>
    <d v="2022-07-23T00:00:00"/>
    <d v="2022-07-26T00:00:00"/>
    <n v="30"/>
    <s v="FER-5"/>
    <x v="2"/>
    <n v="13837.5"/>
    <x v="219"/>
    <n v="121078125"/>
    <n v="28"/>
    <n v="4502373293"/>
    <n v="5082871377"/>
    <n v="5113462770"/>
    <m/>
    <s v="CON RETEN"/>
    <m/>
    <x v="0"/>
    <d v="2022-07-22T00:00:00"/>
    <m/>
    <m/>
    <m/>
    <m/>
    <m/>
    <m/>
    <m/>
    <m/>
    <d v="2022-07-22T00:00:00"/>
    <x v="7"/>
  </r>
  <r>
    <s v="Agroinversiones RG S.A.S"/>
    <d v="2022-07-27T00:00:00"/>
    <d v="2022-07-27T00:00:00"/>
    <n v="30"/>
    <s v="FE-74"/>
    <x v="2"/>
    <n v="14459.5"/>
    <x v="219"/>
    <n v="126520625"/>
    <n v="28"/>
    <n v="4502373294"/>
    <n v="5082871458"/>
    <n v="5113469679"/>
    <m/>
    <s v="CON RETEN"/>
    <m/>
    <x v="0"/>
    <d v="2022-07-22T00:00:00"/>
    <m/>
    <m/>
    <m/>
    <m/>
    <m/>
    <m/>
    <m/>
    <m/>
    <d v="2022-07-22T00:00:00"/>
    <x v="7"/>
  </r>
  <r>
    <s v="Sociedad Comercializadora Ganadera"/>
    <d v="2022-07-26T00:00:00"/>
    <d v="2022-07-26T00:00:00"/>
    <n v="30"/>
    <s v="FEDV373"/>
    <x v="2"/>
    <n v="49567"/>
    <x v="294"/>
    <n v="448581350"/>
    <n v="105"/>
    <n v="4502373295"/>
    <n v="5082871459"/>
    <n v="5113461308"/>
    <m/>
    <s v="TIENE BL"/>
    <m/>
    <x v="0"/>
    <d v="2022-07-22T00:00:00"/>
    <m/>
    <m/>
    <m/>
    <m/>
    <m/>
    <m/>
    <m/>
    <m/>
    <d v="2022-07-22T00:00:00"/>
    <x v="7"/>
  </r>
  <r>
    <s v="Sociedad Comercializadora Ganadera"/>
    <d v="2022-07-26T00:00:00"/>
    <d v="2022-07-26T00:00:00"/>
    <n v="30"/>
    <s v="NC181"/>
    <x v="2"/>
    <n v="49567"/>
    <x v="458"/>
    <n v="-9989733.1800000425"/>
    <n v="0"/>
    <n v="4502373295"/>
    <n v="5082871459"/>
    <n v="5113461309"/>
    <m/>
    <m/>
    <m/>
    <x v="0"/>
    <d v="2022-07-22T00:00:00"/>
    <m/>
    <m/>
    <m/>
    <m/>
    <m/>
    <m/>
    <m/>
    <m/>
    <d v="2022-07-22T00:00:00"/>
    <x v="7"/>
  </r>
  <r>
    <s v="Carlos Mario Duque Cadavid"/>
    <d v="2022-07-22T00:00:00"/>
    <m/>
    <n v="30"/>
    <s v="CD-119"/>
    <x v="2"/>
    <n v="21000"/>
    <x v="224"/>
    <n v="179550000"/>
    <n v="42"/>
    <n v="4502377141"/>
    <n v="5082891650"/>
    <n v="5113464089"/>
    <m/>
    <s v="CON RETEN"/>
    <m/>
    <x v="1"/>
    <d v="2022-07-22T00:00:00"/>
    <m/>
    <m/>
    <m/>
    <m/>
    <m/>
    <m/>
    <m/>
    <m/>
    <d v="2022-07-22T00:00:00"/>
    <x v="7"/>
  </r>
  <r>
    <s v="Inversiones Valle Del Canalete S.A.S"/>
    <d v="2022-07-22T00:00:00"/>
    <d v="2022-07-26T00:00:00"/>
    <n v="30"/>
    <s v="IVC124"/>
    <x v="2"/>
    <n v="20005"/>
    <x v="224"/>
    <n v="171042750"/>
    <n v="42"/>
    <n v="4502377143"/>
    <n v="5082891656"/>
    <n v="5113464093"/>
    <m/>
    <s v="CON RETEN"/>
    <m/>
    <x v="1"/>
    <d v="2022-07-22T00:00:00"/>
    <m/>
    <m/>
    <m/>
    <m/>
    <m/>
    <m/>
    <m/>
    <m/>
    <d v="2022-07-22T00:00:00"/>
    <x v="7"/>
  </r>
  <r>
    <s v="Mauricio De Jesús Bernal Jaramillo"/>
    <d v="2022-07-29T00:00:00"/>
    <d v="2022-07-29T00:00:00"/>
    <n v="30"/>
    <s v="FE-194"/>
    <x v="2"/>
    <n v="6684"/>
    <x v="213"/>
    <n v="56814000"/>
    <n v="15"/>
    <n v="4502377147"/>
    <n v="5082891863"/>
    <n v="5113475887"/>
    <m/>
    <s v="CON RETEN"/>
    <m/>
    <x v="1"/>
    <d v="2022-07-22T00:00:00"/>
    <m/>
    <m/>
    <m/>
    <m/>
    <m/>
    <m/>
    <m/>
    <m/>
    <d v="2022-07-22T00:00:00"/>
    <x v="7"/>
  </r>
  <r>
    <s v="Multicarnicos S.A"/>
    <d v="2022-07-27T00:00:00"/>
    <d v="2022-07-27T00:00:00"/>
    <n v="30"/>
    <s v="MUL371"/>
    <x v="0"/>
    <n v="19785"/>
    <x v="219"/>
    <n v="173118750"/>
    <n v="43"/>
    <n v="4502373296"/>
    <n v="5082871453"/>
    <n v="5113465495"/>
    <m/>
    <s v="TIENE BL"/>
    <m/>
    <x v="0"/>
    <d v="2022-07-23T00:00:00"/>
    <m/>
    <m/>
    <m/>
    <m/>
    <m/>
    <m/>
    <m/>
    <m/>
    <d v="2022-07-23T00:00:00"/>
    <x v="7"/>
  </r>
  <r>
    <s v="Multicarnicos S.A"/>
    <d v="2022-07-27T00:00:00"/>
    <d v="2022-07-27T00:00:00"/>
    <n v="30"/>
    <s v="NC45"/>
    <x v="0"/>
    <n v="19785"/>
    <x v="2"/>
    <n v="-1978500"/>
    <n v="0"/>
    <n v="4502373296"/>
    <n v="5082871453"/>
    <n v="5113465577"/>
    <m/>
    <m/>
    <m/>
    <x v="0"/>
    <d v="2022-07-23T00:00:00"/>
    <m/>
    <m/>
    <m/>
    <m/>
    <m/>
    <m/>
    <m/>
    <m/>
    <d v="2022-07-23T00:00:00"/>
    <x v="7"/>
  </r>
  <r>
    <s v="Sociedad Comercializadora Ganadera"/>
    <d v="2022-07-28T00:00:00"/>
    <d v="2022-07-28T00:00:00"/>
    <n v="30"/>
    <s v="FEDV375"/>
    <x v="2"/>
    <n v="15011.5"/>
    <x v="294"/>
    <n v="135854075"/>
    <n v="29"/>
    <n v="4502373297"/>
    <n v="5082871460"/>
    <n v="5113470976"/>
    <m/>
    <s v="TIENE BL"/>
    <m/>
    <x v="0"/>
    <d v="2022-07-23T00:00:00"/>
    <m/>
    <m/>
    <m/>
    <m/>
    <m/>
    <m/>
    <m/>
    <m/>
    <d v="2022-07-23T00:00:00"/>
    <x v="7"/>
  </r>
  <r>
    <s v="Sociedad Comercializadora Ganadera"/>
    <d v="2022-07-28T00:00:00"/>
    <d v="2022-07-28T00:00:00"/>
    <n v="30"/>
    <s v="NC182"/>
    <x v="2"/>
    <n v="15011.5"/>
    <x v="459"/>
    <n v="-77309.224999994534"/>
    <n v="0"/>
    <n v="4502373297"/>
    <n v="5082871460"/>
    <n v="5113471117"/>
    <m/>
    <m/>
    <m/>
    <x v="0"/>
    <d v="2022-07-23T00:00:00"/>
    <m/>
    <m/>
    <m/>
    <m/>
    <m/>
    <m/>
    <m/>
    <m/>
    <d v="2022-07-23T00:00:00"/>
    <x v="7"/>
  </r>
  <r>
    <s v="Sociedad Comercializadora Ganadera"/>
    <d v="2022-07-28T00:00:00"/>
    <d v="2022-07-28T00:00:00"/>
    <n v="30"/>
    <s v="FEDV376"/>
    <x v="2"/>
    <n v="14728"/>
    <x v="294"/>
    <n v="133288400"/>
    <n v="30"/>
    <n v="4502373297"/>
    <n v="5082871460"/>
    <n v="5113471120"/>
    <m/>
    <s v="TIENE BL"/>
    <m/>
    <x v="0"/>
    <d v="2022-07-23T00:00:00"/>
    <m/>
    <m/>
    <m/>
    <m/>
    <m/>
    <m/>
    <m/>
    <m/>
    <d v="2022-07-23T00:00:00"/>
    <x v="7"/>
  </r>
  <r>
    <s v="Sociedad Comercializadora Ganadera"/>
    <d v="2022-07-28T00:00:00"/>
    <d v="2022-07-28T00:00:00"/>
    <n v="30"/>
    <s v="NC183"/>
    <x v="2"/>
    <n v="14728"/>
    <x v="11"/>
    <n v="-2209200"/>
    <n v="0"/>
    <n v="4502373297"/>
    <n v="5082871460"/>
    <n v="5113471121"/>
    <m/>
    <m/>
    <m/>
    <x v="0"/>
    <d v="2022-07-23T00:00:00"/>
    <m/>
    <m/>
    <m/>
    <m/>
    <m/>
    <m/>
    <m/>
    <m/>
    <d v="2022-07-23T00:00:00"/>
    <x v="7"/>
  </r>
  <r>
    <s v="Agroindustria Ganadera Valle Del Cesar"/>
    <d v="2022-07-27T00:00:00"/>
    <m/>
    <n v="30"/>
    <s v="FE-49"/>
    <x v="2"/>
    <n v="13619"/>
    <x v="220"/>
    <n v="117804350"/>
    <n v="28"/>
    <n v="4502373298"/>
    <n v="5082871461"/>
    <n v="5113469626"/>
    <m/>
    <s v="CON RETEN"/>
    <m/>
    <x v="0"/>
    <d v="2022-07-23T00:00:00"/>
    <m/>
    <m/>
    <m/>
    <m/>
    <m/>
    <m/>
    <m/>
    <m/>
    <d v="2022-07-23T00:00:00"/>
    <x v="7"/>
  </r>
  <r>
    <s v="Agroindustria Ganadera Valle Del Cesar"/>
    <d v="2022-07-27T00:00:00"/>
    <m/>
    <n v="30"/>
    <s v="C00211"/>
    <x v="2"/>
    <n v="13619"/>
    <x v="13"/>
    <n v="-680950"/>
    <n v="0"/>
    <n v="4502373298"/>
    <n v="5082871461"/>
    <n v="5113469677"/>
    <m/>
    <m/>
    <m/>
    <x v="0"/>
    <d v="2022-07-23T00:00:00"/>
    <m/>
    <m/>
    <m/>
    <m/>
    <m/>
    <m/>
    <m/>
    <m/>
    <d v="2022-07-23T00:00:00"/>
    <x v="7"/>
  </r>
  <r>
    <s v="Rafael Ignacio Jaramillo Londoño"/>
    <d v="2022-07-24T00:00:00"/>
    <d v="2022-07-27T00:00:00"/>
    <n v="30"/>
    <s v="GAN-69"/>
    <x v="0"/>
    <n v="7936.5"/>
    <x v="294"/>
    <n v="71825325"/>
    <n v="15"/>
    <n v="4502373299"/>
    <n v="5082871462"/>
    <n v="5113484668"/>
    <m/>
    <s v="TIENE BL"/>
    <m/>
    <x v="0"/>
    <d v="2022-07-24T00:00:00"/>
    <m/>
    <m/>
    <m/>
    <m/>
    <m/>
    <m/>
    <m/>
    <m/>
    <d v="2022-07-24T00:00:00"/>
    <x v="7"/>
  </r>
  <r>
    <s v="Rafael Ignacio Jaramillo Londoño"/>
    <d v="2022-07-24T00:00:00"/>
    <d v="2022-07-27T00:00:00"/>
    <n v="30"/>
    <s v="GAN-69"/>
    <x v="0"/>
    <n v="7125.5"/>
    <x v="294"/>
    <n v="64485775"/>
    <n v="15"/>
    <n v="4502376085"/>
    <n v="5082871462"/>
    <n v="5113484668"/>
    <m/>
    <s v="TIENE BL"/>
    <m/>
    <x v="0"/>
    <d v="2022-07-25T00:00:00"/>
    <m/>
    <m/>
    <m/>
    <m/>
    <m/>
    <m/>
    <m/>
    <m/>
    <d v="2022-07-25T00:00:00"/>
    <x v="7"/>
  </r>
  <r>
    <s v="Rafael Ignacio Jaramillo Londoño"/>
    <d v="2022-07-24T00:00:00"/>
    <d v="2022-07-27T00:00:00"/>
    <n v="30"/>
    <s v="NC232"/>
    <x v="0"/>
    <n v="15062"/>
    <x v="13"/>
    <n v="-753100"/>
    <n v="0"/>
    <n v="4502376085"/>
    <n v="5082871462"/>
    <n v="5113484670"/>
    <m/>
    <m/>
    <m/>
    <x v="0"/>
    <d v="2022-07-25T00:00:00"/>
    <m/>
    <m/>
    <m/>
    <m/>
    <m/>
    <m/>
    <m/>
    <m/>
    <d v="2022-07-25T00:00:00"/>
    <x v="7"/>
  </r>
  <r>
    <s v="Tanagro S.A.S Zomac"/>
    <d v="2022-07-24T00:00:00"/>
    <d v="2022-07-28T00:00:00"/>
    <n v="30"/>
    <s v="Z112"/>
    <x v="0"/>
    <n v="38759.5"/>
    <x v="220"/>
    <n v="335269675"/>
    <n v="90"/>
    <n v="4502373300"/>
    <n v="5082871463"/>
    <n v="5113470327"/>
    <m/>
    <s v="CON RETEN"/>
    <m/>
    <x v="0"/>
    <d v="2022-07-24T00:00:00"/>
    <m/>
    <m/>
    <m/>
    <m/>
    <m/>
    <m/>
    <m/>
    <m/>
    <d v="2022-07-24T00:00:00"/>
    <x v="7"/>
  </r>
  <r>
    <s v="Tanagro S.A.S Zomac"/>
    <d v="2022-07-26T00:00:00"/>
    <d v="2022-07-28T00:00:00"/>
    <n v="30"/>
    <s v="NCR90"/>
    <x v="0"/>
    <n v="38759.5"/>
    <x v="460"/>
    <n v="-8021278.5250000283"/>
    <n v="0"/>
    <n v="4502373300"/>
    <n v="5082871463"/>
    <n v="5113470330"/>
    <m/>
    <m/>
    <m/>
    <x v="0"/>
    <d v="2022-07-24T00:00:00"/>
    <m/>
    <m/>
    <m/>
    <m/>
    <m/>
    <m/>
    <m/>
    <m/>
    <d v="2022-07-24T00:00:00"/>
    <x v="7"/>
  </r>
  <r>
    <s v="David Martinez Jaramillo"/>
    <d v="2022-07-23T00:00:00"/>
    <d v="2022-07-28T00:00:00"/>
    <n v="30"/>
    <s v="DM223"/>
    <x v="0"/>
    <n v="14482"/>
    <x v="294"/>
    <n v="131062100"/>
    <n v="30"/>
    <n v="4502373302"/>
    <n v="5082878491"/>
    <n v="5113473215"/>
    <m/>
    <s v="TIENE BL"/>
    <m/>
    <x v="0"/>
    <d v="2022-07-25T00:00:00"/>
    <m/>
    <m/>
    <m/>
    <m/>
    <m/>
    <m/>
    <m/>
    <m/>
    <d v="2022-07-25T00:00:00"/>
    <x v="7"/>
  </r>
  <r>
    <s v="David Martinez Jaramillo"/>
    <d v="2022-07-28T00:00:00"/>
    <d v="2022-07-28T00:00:00"/>
    <n v="30"/>
    <s v="NC52"/>
    <x v="0"/>
    <n v="14482"/>
    <x v="2"/>
    <n v="-1448200"/>
    <n v="0"/>
    <n v="4502373302"/>
    <n v="5082878491"/>
    <n v="5113473314"/>
    <m/>
    <m/>
    <m/>
    <x v="0"/>
    <d v="2022-07-25T00:00:00"/>
    <m/>
    <m/>
    <m/>
    <m/>
    <m/>
    <m/>
    <m/>
    <m/>
    <d v="2022-07-25T00:00:00"/>
    <x v="7"/>
  </r>
  <r>
    <s v="Inversiones Tres P &amp; CIA S. En C"/>
    <d v="2022-07-25T00:00:00"/>
    <m/>
    <n v="30"/>
    <s v="FE-61"/>
    <x v="0"/>
    <n v="14493"/>
    <x v="219"/>
    <n v="126813750"/>
    <n v="30"/>
    <n v="4502373303"/>
    <n v="5082898405"/>
    <n v="5113471971"/>
    <m/>
    <s v="TIENE BL"/>
    <m/>
    <x v="0"/>
    <d v="2022-07-25T00:00:00"/>
    <m/>
    <m/>
    <m/>
    <m/>
    <m/>
    <m/>
    <m/>
    <m/>
    <d v="2022-07-25T00:00:00"/>
    <x v="7"/>
  </r>
  <r>
    <s v="Inversiones Tres P &amp; CIA S. En C"/>
    <d v="2022-07-25T00:00:00"/>
    <m/>
    <n v="30"/>
    <s v="NC24"/>
    <x v="0"/>
    <n v="14493"/>
    <x v="13"/>
    <n v="-724650"/>
    <n v="0"/>
    <n v="4502373303"/>
    <n v="5082898405"/>
    <n v="5113471972"/>
    <m/>
    <m/>
    <m/>
    <x v="0"/>
    <d v="2022-07-25T00:00:00"/>
    <m/>
    <m/>
    <m/>
    <m/>
    <m/>
    <m/>
    <m/>
    <m/>
    <d v="2022-07-25T00:00:00"/>
    <x v="7"/>
  </r>
  <r>
    <s v="Luis Fernando Rojas Prada"/>
    <d v="2022-07-27T00:00:00"/>
    <d v="2022-07-27T00:00:00"/>
    <n v="30"/>
    <s v="FELC -970"/>
    <x v="0"/>
    <n v="13594"/>
    <x v="76"/>
    <n v="110111400"/>
    <n v="28"/>
    <n v="4502376411"/>
    <n v="5082872175"/>
    <n v="5113465874"/>
    <m/>
    <s v="EJ*2 2979200*2"/>
    <s v="RETENCION"/>
    <x v="0"/>
    <d v="2022-07-25T00:00:00"/>
    <n v="4902310775"/>
    <n v="5958400"/>
    <s v="FEMD-4722*1"/>
    <n v="5113462737"/>
    <s v="FEMD-4723*1"/>
    <n v="5113462740"/>
    <m/>
    <m/>
    <d v="2022-07-25T00:00:00"/>
    <x v="7"/>
  </r>
  <r>
    <s v="Gonzalo Hoyos Pulido"/>
    <d v="2022-07-28T00:00:00"/>
    <m/>
    <n v="30"/>
    <s v="FELE-65"/>
    <x v="1"/>
    <n v="6054.5"/>
    <x v="294"/>
    <n v="54793225"/>
    <n v="14"/>
    <n v="4502373304"/>
    <n v="5082893176"/>
    <n v="5113474819"/>
    <m/>
    <s v="CON RETEN "/>
    <m/>
    <x v="0"/>
    <d v="2022-07-25T00:00:00"/>
    <m/>
    <m/>
    <m/>
    <m/>
    <m/>
    <m/>
    <m/>
    <m/>
    <d v="2022-07-25T00:00:00"/>
    <x v="7"/>
  </r>
  <r>
    <s v="Gonzalo Hoyos Pulido"/>
    <d v="2022-07-28T00:00:00"/>
    <m/>
    <n v="30"/>
    <s v="NC8"/>
    <x v="1"/>
    <n v="6054.5"/>
    <x v="2"/>
    <n v="-605450"/>
    <n v="0"/>
    <n v="4502373304"/>
    <n v="5082893176"/>
    <n v="5113474824"/>
    <m/>
    <m/>
    <m/>
    <x v="0"/>
    <d v="2022-07-25T00:00:00"/>
    <m/>
    <m/>
    <m/>
    <m/>
    <m/>
    <m/>
    <m/>
    <m/>
    <d v="2022-07-25T00:00:00"/>
    <x v="7"/>
  </r>
  <r>
    <s v="Jose Ignacio Cruz Mendoza"/>
    <d v="2022-07-25T00:00:00"/>
    <d v="2022-07-29T00:00:00"/>
    <n v="30"/>
    <s v="FEJI - 3"/>
    <x v="1"/>
    <n v="7397"/>
    <x v="219"/>
    <n v="64723750"/>
    <n v="15"/>
    <n v="4502373305"/>
    <n v="5082893177"/>
    <n v="5113475337"/>
    <m/>
    <s v="CON RETEN"/>
    <m/>
    <x v="0"/>
    <d v="2022-07-25T00:00:00"/>
    <m/>
    <m/>
    <m/>
    <m/>
    <m/>
    <m/>
    <m/>
    <m/>
    <d v="2022-07-25T00:00:00"/>
    <x v="7"/>
  </r>
  <r>
    <s v="Misionagro S.A.S"/>
    <d v="2022-07-25T00:00:00"/>
    <m/>
    <n v="30"/>
    <s v="MISI-122"/>
    <x v="1"/>
    <n v="23166"/>
    <x v="308"/>
    <n v="193436100"/>
    <n v="42"/>
    <n v="4502376417"/>
    <n v="5082872308"/>
    <n v="5113470332"/>
    <m/>
    <s v="EJ*3 1840900*3"/>
    <m/>
    <x v="0"/>
    <d v="2022-07-25T00:00:00"/>
    <n v="4902310777"/>
    <n v="5522700"/>
    <s v="FEMD-4721*3"/>
    <n v="5113459676"/>
    <m/>
    <m/>
    <m/>
    <m/>
    <d v="2022-07-25T00:00:00"/>
    <x v="7"/>
  </r>
  <r>
    <s v="Angel David Castilla Sanchez"/>
    <d v="2022-08-02T00:00:00"/>
    <d v="2022-08-04T00:00:00"/>
    <n v="30"/>
    <s v="FED-840"/>
    <x v="0"/>
    <n v="14501"/>
    <x v="220"/>
    <n v="125433650"/>
    <n v="30"/>
    <n v="4502373306"/>
    <n v="5082915793"/>
    <n v="5113489627"/>
    <m/>
    <s v="TIENE BL"/>
    <s v="Se envia nuevamente"/>
    <x v="0"/>
    <d v="2022-07-26T00:00:00"/>
    <m/>
    <m/>
    <m/>
    <m/>
    <m/>
    <m/>
    <m/>
    <m/>
    <d v="2022-07-26T00:00:00"/>
    <x v="7"/>
  </r>
  <r>
    <s v="Angel David Castilla Sanchez"/>
    <d v="2022-08-02T00:00:00"/>
    <d v="2022-08-04T00:00:00"/>
    <n v="30"/>
    <s v="EC12"/>
    <x v="0"/>
    <n v="14501"/>
    <x v="13"/>
    <n v="-725050"/>
    <n v="0"/>
    <n v="4502373306"/>
    <n v="5082915793"/>
    <n v="5113489628"/>
    <m/>
    <m/>
    <m/>
    <x v="0"/>
    <d v="2022-07-26T00:00:00"/>
    <m/>
    <m/>
    <m/>
    <m/>
    <m/>
    <m/>
    <m/>
    <m/>
    <d v="2022-07-26T00:00:00"/>
    <x v="7"/>
  </r>
  <r>
    <s v="Rodana Inversiones S.A.S."/>
    <d v="2022-07-29T00:00:00"/>
    <d v="2022-08-04T00:00:00"/>
    <n v="30"/>
    <n v="60"/>
    <x v="0"/>
    <n v="7075"/>
    <x v="219"/>
    <n v="61906250"/>
    <n v="15"/>
    <n v="4502373307"/>
    <n v="5082914084"/>
    <n v="5113488698"/>
    <m/>
    <s v="TIENE BL"/>
    <s v="VA CON REGISTRO EN BOLSA "/>
    <x v="0"/>
    <d v="2022-07-26T00:00:00"/>
    <m/>
    <m/>
    <m/>
    <m/>
    <m/>
    <m/>
    <m/>
    <m/>
    <d v="2022-07-26T00:00:00"/>
    <x v="7"/>
  </r>
  <r>
    <s v="Rodana Inversiones S.A.S."/>
    <d v="2022-07-29T00:00:00"/>
    <d v="2022-08-04T00:00:00"/>
    <n v="30"/>
    <n v="60"/>
    <x v="0"/>
    <n v="20611"/>
    <x v="219"/>
    <n v="180346250"/>
    <n v="45"/>
    <n v="4502377737"/>
    <n v="5082914084"/>
    <n v="5113488698"/>
    <m/>
    <s v="TIENE BL"/>
    <m/>
    <x v="0"/>
    <d v="2022-07-27T00:00:00"/>
    <m/>
    <m/>
    <m/>
    <m/>
    <m/>
    <m/>
    <m/>
    <m/>
    <d v="2022-07-27T00:00:00"/>
    <x v="7"/>
  </r>
  <r>
    <s v="David Martinez Jaramillo"/>
    <d v="2022-07-27T00:00:00"/>
    <d v="2022-07-28T00:00:00"/>
    <n v="30"/>
    <s v="DM224"/>
    <x v="0"/>
    <n v="21771.5"/>
    <x v="294"/>
    <n v="197032075"/>
    <n v="45"/>
    <n v="4502373308"/>
    <n v="5082914085"/>
    <n v="5113473209"/>
    <m/>
    <s v="TIENE BL"/>
    <m/>
    <x v="0"/>
    <d v="2022-07-26T00:00:00"/>
    <m/>
    <m/>
    <m/>
    <m/>
    <m/>
    <m/>
    <m/>
    <m/>
    <d v="2022-07-26T00:00:00"/>
    <x v="7"/>
  </r>
  <r>
    <s v="David Martinez Jaramillo"/>
    <d v="2022-07-28T00:00:00"/>
    <d v="2022-07-28T00:00:00"/>
    <n v="30"/>
    <s v="NC53"/>
    <x v="0"/>
    <n v="21771.5"/>
    <x v="13"/>
    <n v="-1088575"/>
    <n v="0"/>
    <n v="4502373308"/>
    <n v="5082914085"/>
    <n v="5113473213"/>
    <m/>
    <m/>
    <m/>
    <x v="0"/>
    <d v="2022-07-26T00:00:00"/>
    <m/>
    <m/>
    <m/>
    <m/>
    <m/>
    <m/>
    <m/>
    <m/>
    <d v="2022-07-26T00:00:00"/>
    <x v="7"/>
  </r>
  <r>
    <s v="Gentil Antonio Osorio Aguilar"/>
    <d v="2022-07-28T00:00:00"/>
    <m/>
    <n v="30"/>
    <s v="FEG5"/>
    <x v="0"/>
    <n v="22763.5"/>
    <x v="220"/>
    <n v="196904275"/>
    <n v="42"/>
    <n v="4502373310"/>
    <n v="5082915794"/>
    <n v="5113477360"/>
    <m/>
    <s v="TIENE BL"/>
    <m/>
    <x v="0"/>
    <d v="2022-07-26T00:00:00"/>
    <m/>
    <m/>
    <m/>
    <m/>
    <m/>
    <m/>
    <m/>
    <m/>
    <d v="2022-07-26T00:00:00"/>
    <x v="7"/>
  </r>
  <r>
    <s v="Agropecuaria los Molinos S.A.S"/>
    <d v="2022-07-06T00:00:00"/>
    <d v="2022-07-07T00:00:00"/>
    <n v="30"/>
    <s v="FEMO-1010000715"/>
    <x v="1"/>
    <n v="190271"/>
    <x v="440"/>
    <n v="1833261085"/>
    <n v="70"/>
    <n v="4502365447"/>
    <n v="5082603723"/>
    <n v="5113437230"/>
    <m/>
    <s v="EJ*5 1750000*5"/>
    <m/>
    <x v="0"/>
    <d v="2022-07-26T00:00:00"/>
    <n v="4902310780"/>
    <n v="8750000"/>
    <s v="FEMD-4751*5"/>
    <n v="5113471207"/>
    <m/>
    <m/>
    <m/>
    <m/>
    <d v="2022-07-26T00:00:00"/>
    <x v="7"/>
  </r>
  <r>
    <s v="Sociedad Comercializadora Ganadera"/>
    <d v="2022-07-28T00:00:00"/>
    <d v="2022-07-28T00:00:00"/>
    <n v="30"/>
    <s v="FEDV377"/>
    <x v="3"/>
    <n v="17089"/>
    <x v="56"/>
    <n v="129876400"/>
    <n v="60"/>
    <n v="4502379039"/>
    <n v="5082933495"/>
    <n v="5113497744"/>
    <m/>
    <s v="TIENE BL"/>
    <m/>
    <x v="2"/>
    <d v="2022-07-27T00:00:00"/>
    <m/>
    <m/>
    <m/>
    <m/>
    <m/>
    <m/>
    <m/>
    <m/>
    <d v="2022-07-27T00:00:00"/>
    <x v="7"/>
  </r>
  <r>
    <s v="Andres Jaramillo Bernal"/>
    <d v="2022-08-02T00:00:00"/>
    <d v="2022-08-02T00:00:00"/>
    <n v="31"/>
    <s v="FEVA-5192"/>
    <x v="0"/>
    <n v="13003"/>
    <x v="220"/>
    <n v="112475950"/>
    <n v="28"/>
    <n v="4502378466"/>
    <n v="5082959844"/>
    <n v="5113484671"/>
    <m/>
    <s v="CON RETEN"/>
    <m/>
    <x v="0"/>
    <d v="2022-07-28T00:00:00"/>
    <m/>
    <m/>
    <m/>
    <m/>
    <m/>
    <m/>
    <m/>
    <m/>
    <d v="2022-07-28T00:00:00"/>
    <x v="7"/>
  </r>
  <r>
    <s v="Andres Jaramillo Bernal"/>
    <d v="2022-08-02T00:00:00"/>
    <d v="2022-08-02T00:00:00"/>
    <n v="31"/>
    <s v="NCE35"/>
    <x v="0"/>
    <n v="13003"/>
    <x v="13"/>
    <n v="-650150"/>
    <n v="0"/>
    <n v="4502378466"/>
    <n v="5082959844"/>
    <n v="5113484673"/>
    <m/>
    <m/>
    <m/>
    <x v="0"/>
    <d v="2022-07-28T00:00:00"/>
    <m/>
    <m/>
    <m/>
    <m/>
    <m/>
    <m/>
    <m/>
    <m/>
    <d v="2022-07-28T00:00:00"/>
    <x v="7"/>
  </r>
  <r>
    <s v="Robinson Jose Chica Vega"/>
    <d v="2022-08-02T00:00:00"/>
    <d v="2022-08-02T00:00:00"/>
    <n v="31"/>
    <s v="FEC-1106"/>
    <x v="0"/>
    <n v="14508"/>
    <x v="224"/>
    <n v="124043400"/>
    <n v="28"/>
    <n v="4502378467"/>
    <n v="5082959846"/>
    <n v="5113497937"/>
    <m/>
    <s v="CON RETEN"/>
    <s v="No contesta se envia correo "/>
    <x v="0"/>
    <d v="2022-07-28T00:00:00"/>
    <m/>
    <m/>
    <m/>
    <m/>
    <m/>
    <m/>
    <m/>
    <m/>
    <d v="2022-07-28T00:00:00"/>
    <x v="7"/>
  </r>
  <r>
    <s v="Robinson Jose Chica Vega"/>
    <d v="2022-08-02T00:00:00"/>
    <m/>
    <n v="31"/>
    <s v="NC220"/>
    <x v="0"/>
    <n v="14508"/>
    <x v="461"/>
    <n v="-785753.27999999793"/>
    <n v="0"/>
    <n v="4502378467"/>
    <n v="5082959846"/>
    <n v="5113497940"/>
    <m/>
    <m/>
    <m/>
    <x v="0"/>
    <d v="2022-07-28T00:00:00"/>
    <m/>
    <m/>
    <m/>
    <m/>
    <m/>
    <m/>
    <m/>
    <m/>
    <d v="2022-07-28T00:00:00"/>
    <x v="7"/>
  </r>
  <r>
    <s v="Juan Pablo Sierra Cardona"/>
    <d v="2022-08-01T00:00:00"/>
    <d v="2022-08-04T00:00:00"/>
    <n v="31"/>
    <s v="JPS-1278"/>
    <x v="0"/>
    <n v="6447.5"/>
    <x v="314"/>
    <n v="57705125"/>
    <n v="14"/>
    <n v="4502378468"/>
    <n v="5082959847"/>
    <n v="5113488580"/>
    <m/>
    <s v="TIENE BL"/>
    <s v="esta validando con la contadora "/>
    <x v="0"/>
    <d v="2022-07-28T00:00:00"/>
    <m/>
    <m/>
    <m/>
    <m/>
    <m/>
    <m/>
    <m/>
    <m/>
    <d v="2022-07-28T00:00:00"/>
    <x v="7"/>
  </r>
  <r>
    <s v="David Martinez Jaramillo"/>
    <d v="2022-08-01T00:00:00"/>
    <d v="2022-08-01T00:00:00"/>
    <n v="31"/>
    <s v="DM230"/>
    <x v="0"/>
    <n v="13592.5"/>
    <x v="314"/>
    <n v="121652875"/>
    <n v="28"/>
    <n v="4502378469"/>
    <n v="5082960248"/>
    <n v="5113486447"/>
    <m/>
    <s v="TIENE BL"/>
    <s v="DM229 PARA ANULAR "/>
    <x v="0"/>
    <d v="2022-07-28T00:00:00"/>
    <m/>
    <m/>
    <m/>
    <m/>
    <m/>
    <m/>
    <m/>
    <m/>
    <d v="2022-07-28T00:00:00"/>
    <x v="7"/>
  </r>
  <r>
    <s v="David Martinez Jaramillo"/>
    <d v="2022-08-01T00:00:00"/>
    <d v="2022-08-01T00:00:00"/>
    <n v="31"/>
    <s v="NC56"/>
    <x v="0"/>
    <n v="13592.5"/>
    <x v="11"/>
    <n v="-2038875"/>
    <n v="0"/>
    <n v="4502378469"/>
    <n v="5082960248"/>
    <n v="5113486448"/>
    <m/>
    <m/>
    <s v="NC54 PARA ANULAR "/>
    <x v="0"/>
    <d v="2022-07-28T00:00:00"/>
    <m/>
    <m/>
    <m/>
    <m/>
    <m/>
    <m/>
    <m/>
    <m/>
    <d v="2022-07-28T00:00:00"/>
    <x v="7"/>
  </r>
  <r>
    <s v="Miguel Antonio Carrascal Pacheco"/>
    <d v="2022-08-02T00:00:00"/>
    <d v="2022-08-03T00:00:00"/>
    <n v="31"/>
    <s v="FAMC6"/>
    <x v="2"/>
    <n v="19056"/>
    <x v="224"/>
    <n v="162928800"/>
    <n v="44"/>
    <n v="4502378470"/>
    <n v="5082962560"/>
    <n v="5113486554"/>
    <m/>
    <s v="TIENE BL"/>
    <m/>
    <x v="0"/>
    <d v="2022-07-28T00:00:00"/>
    <m/>
    <m/>
    <m/>
    <m/>
    <m/>
    <m/>
    <m/>
    <m/>
    <d v="2022-07-28T00:00:00"/>
    <x v="7"/>
  </r>
  <r>
    <s v="Miguel Antonio Carrascal Pacheco"/>
    <d v="2022-08-02T00:00:00"/>
    <d v="2022-08-03T00:00:00"/>
    <n v="31"/>
    <s v="NCR42"/>
    <x v="2"/>
    <n v="19056"/>
    <x v="274"/>
    <n v="-3601202.8799999915"/>
    <n v="0"/>
    <n v="4502378470"/>
    <n v="5082962560"/>
    <n v="5113486598"/>
    <m/>
    <m/>
    <m/>
    <x v="0"/>
    <d v="2022-07-28T00:00:00"/>
    <m/>
    <m/>
    <m/>
    <m/>
    <m/>
    <m/>
    <m/>
    <m/>
    <d v="2022-07-28T00:00:00"/>
    <x v="7"/>
  </r>
  <r>
    <s v="Carlos Enrique Galan Prada"/>
    <d v="2022-08-02T00:00:00"/>
    <d v="2022-08-02T00:00:00"/>
    <n v="31"/>
    <s v="FVEC14"/>
    <x v="2"/>
    <n v="6665"/>
    <x v="220"/>
    <n v="57652250"/>
    <n v="14"/>
    <n v="4502378471"/>
    <n v="5082960249"/>
    <n v="5113484619"/>
    <m/>
    <s v="CON RETEN"/>
    <m/>
    <x v="0"/>
    <d v="2022-07-28T00:00:00"/>
    <m/>
    <m/>
    <m/>
    <m/>
    <m/>
    <m/>
    <m/>
    <m/>
    <d v="2022-07-28T00:00:00"/>
    <x v="7"/>
  </r>
  <r>
    <s v="Carlos Enrique Galan Prada"/>
    <d v="2022-08-02T00:00:00"/>
    <d v="2022-08-02T00:00:00"/>
    <n v="31"/>
    <s v="NCEE8"/>
    <x v="2"/>
    <n v="6665"/>
    <x v="462"/>
    <n v="-1396117.5499999956"/>
    <n v="0"/>
    <n v="4502378471"/>
    <n v="5082960249"/>
    <n v="5113484620"/>
    <m/>
    <m/>
    <m/>
    <x v="0"/>
    <d v="2022-07-28T00:00:00"/>
    <m/>
    <m/>
    <m/>
    <m/>
    <m/>
    <m/>
    <m/>
    <m/>
    <d v="2022-07-28T00:00:00"/>
    <x v="7"/>
  </r>
  <r>
    <s v="Lina Maria Pelaez Gomez"/>
    <d v="2022-08-01T00:00:00"/>
    <d v="2022-08-01T00:00:00"/>
    <n v="31"/>
    <s v="LP106"/>
    <x v="2"/>
    <n v="6675"/>
    <x v="314"/>
    <n v="59741250"/>
    <n v="14"/>
    <n v="4502378472"/>
    <n v="5082960250"/>
    <n v="5113486357"/>
    <m/>
    <s v="TIENE BL"/>
    <m/>
    <x v="0"/>
    <d v="2022-07-28T00:00:00"/>
    <m/>
    <m/>
    <m/>
    <m/>
    <m/>
    <m/>
    <m/>
    <m/>
    <d v="2022-07-28T00:00:00"/>
    <x v="7"/>
  </r>
  <r>
    <s v="Lina Maria Pelaez Gomez"/>
    <d v="2022-08-01T00:00:00"/>
    <d v="2022-08-01T00:00:00"/>
    <n v="31"/>
    <s v="NC80"/>
    <x v="2"/>
    <n v="6675"/>
    <x v="2"/>
    <n v="-667500"/>
    <n v="0"/>
    <n v="4502378472"/>
    <n v="5082960250"/>
    <n v="5113486359"/>
    <m/>
    <m/>
    <m/>
    <x v="0"/>
    <d v="2022-07-28T00:00:00"/>
    <m/>
    <m/>
    <m/>
    <m/>
    <m/>
    <m/>
    <m/>
    <m/>
    <d v="2022-07-28T00:00:00"/>
    <x v="7"/>
  </r>
  <r>
    <s v="Luis Guillermo Vasquez Velez"/>
    <d v="2022-08-02T00:00:00"/>
    <d v="2022-08-02T00:00:00"/>
    <n v="31"/>
    <s v="FELG-1"/>
    <x v="2"/>
    <n v="5923"/>
    <x v="314"/>
    <n v="53010850"/>
    <n v="15"/>
    <n v="4502378474"/>
    <n v="5082962561"/>
    <n v="5113485410"/>
    <m/>
    <s v="CON RETEN"/>
    <m/>
    <x v="0"/>
    <d v="2022-07-28T00:00:00"/>
    <m/>
    <m/>
    <m/>
    <m/>
    <m/>
    <m/>
    <m/>
    <m/>
    <d v="2022-07-28T00:00:00"/>
    <x v="7"/>
  </r>
  <r>
    <s v="Luis Guillermo Vasquez Velez"/>
    <d v="2022-08-02T00:00:00"/>
    <d v="2022-08-02T00:00:00"/>
    <n v="31"/>
    <s v="NC21"/>
    <x v="2"/>
    <n v="5923"/>
    <x v="463"/>
    <n v="-342230.9400000039"/>
    <n v="0"/>
    <n v="4502378474"/>
    <n v="5082962561"/>
    <n v="5113485412"/>
    <m/>
    <m/>
    <m/>
    <x v="0"/>
    <d v="2022-07-28T00:00:00"/>
    <m/>
    <m/>
    <m/>
    <m/>
    <m/>
    <m/>
    <m/>
    <m/>
    <d v="2022-07-28T00:00:00"/>
    <x v="7"/>
  </r>
  <r>
    <s v="Juan Camilo Vasquez Velez"/>
    <d v="2022-08-02T00:00:00"/>
    <d v="2022-08-03T00:00:00"/>
    <n v="31"/>
    <s v="FEJC-1"/>
    <x v="2"/>
    <n v="5887"/>
    <x v="314"/>
    <n v="52688650"/>
    <n v="15"/>
    <n v="4502378476"/>
    <n v="5082962562"/>
    <n v="5113487315"/>
    <m/>
    <s v="TIENE BL"/>
    <m/>
    <x v="0"/>
    <d v="2022-07-28T00:00:00"/>
    <m/>
    <m/>
    <m/>
    <m/>
    <m/>
    <m/>
    <m/>
    <m/>
    <d v="2022-07-28T00:00:00"/>
    <x v="7"/>
  </r>
  <r>
    <s v="Juan Camilo Vasquez Velez"/>
    <d v="2022-08-02T00:00:00"/>
    <d v="2022-08-03T00:00:00"/>
    <n v="31"/>
    <s v="NC21"/>
    <x v="2"/>
    <n v="5887"/>
    <x v="464"/>
    <n v="-462659.33000000083"/>
    <n v="0"/>
    <n v="4502378476"/>
    <n v="5082962562"/>
    <n v="5113487348"/>
    <m/>
    <m/>
    <m/>
    <x v="0"/>
    <d v="2022-07-28T00:00:00"/>
    <m/>
    <m/>
    <m/>
    <m/>
    <m/>
    <m/>
    <m/>
    <m/>
    <d v="2022-07-28T00:00:00"/>
    <x v="7"/>
  </r>
  <r>
    <s v="Carlos Mario Duque Cadavid"/>
    <d v="2022-07-29T00:00:00"/>
    <m/>
    <n v="31"/>
    <s v="CD-120"/>
    <x v="0"/>
    <n v="28287"/>
    <x v="207"/>
    <n v="234782100"/>
    <n v="56"/>
    <n v="4502380954"/>
    <n v="5082982964"/>
    <n v="5113487412"/>
    <m/>
    <s v="EJ*4 1771000*2 1793900*2"/>
    <m/>
    <x v="0"/>
    <d v="2022-07-29T00:00:00"/>
    <n v="4902316679"/>
    <n v="7128000"/>
    <s v="FEMD-4788*2"/>
    <n v="5113482849"/>
    <s v="FEMD-4787*2"/>
    <n v="5113482851"/>
    <m/>
    <m/>
    <d v="2022-07-29T00:00:00"/>
    <x v="7"/>
  </r>
  <r>
    <s v="Lina Maria Pelaez Gomez"/>
    <d v="2022-08-01T00:00:00"/>
    <d v="2022-08-01T00:00:00"/>
    <n v="31"/>
    <s v="LP107"/>
    <x v="2"/>
    <n v="6146.5"/>
    <x v="314"/>
    <n v="55011175"/>
    <n v="13"/>
    <n v="4502378477"/>
    <n v="5082981756"/>
    <n v="5113486306"/>
    <m/>
    <s v="TIENE BL"/>
    <m/>
    <x v="0"/>
    <d v="2022-07-29T00:00:00"/>
    <m/>
    <m/>
    <m/>
    <m/>
    <m/>
    <m/>
    <m/>
    <m/>
    <d v="2022-07-29T00:00:00"/>
    <x v="7"/>
  </r>
  <r>
    <s v="Sociedad Comercializadora Ganadera"/>
    <d v="2022-08-02T00:00:00"/>
    <d v="2022-08-02T00:00:00"/>
    <n v="31"/>
    <s v="FEDV378"/>
    <x v="0"/>
    <n v="35805.5"/>
    <x v="314"/>
    <n v="320459225"/>
    <n v="75"/>
    <n v="4502378478"/>
    <n v="5082981757"/>
    <n v="5113488523"/>
    <m/>
    <s v="TIENE BL"/>
    <m/>
    <x v="0"/>
    <d v="2022-07-29T00:00:00"/>
    <m/>
    <m/>
    <m/>
    <m/>
    <m/>
    <m/>
    <m/>
    <m/>
    <d v="2022-07-29T00:00:00"/>
    <x v="7"/>
  </r>
  <r>
    <s v="Sociedad Comercializadora Ganadera"/>
    <d v="2022-08-04T00:00:00"/>
    <d v="2022-08-04T00:00:00"/>
    <n v="31"/>
    <s v="NC188"/>
    <x v="0"/>
    <n v="52283.5"/>
    <x v="465"/>
    <n v="-1000183.3549999582"/>
    <n v="0"/>
    <n v="4502378478"/>
    <n v="5082981757"/>
    <n v="5113488526"/>
    <s v="ND24-ND25"/>
    <s v="anula NC185 y NC184"/>
    <m/>
    <x v="0"/>
    <d v="2022-07-29T00:00:00"/>
    <m/>
    <m/>
    <m/>
    <m/>
    <m/>
    <m/>
    <m/>
    <m/>
    <d v="2022-07-29T00:00:00"/>
    <x v="7"/>
  </r>
  <r>
    <s v="Sociedad Comercializadora Ganadera"/>
    <d v="2022-08-02T00:00:00"/>
    <d v="2022-08-02T00:00:00"/>
    <n v="31"/>
    <s v="FEDV378"/>
    <x v="2"/>
    <n v="16478"/>
    <x v="314"/>
    <n v="147478100"/>
    <n v="30"/>
    <n v="4502378479"/>
    <n v="5082981757"/>
    <n v="5113488523"/>
    <m/>
    <s v="TIENE BL"/>
    <m/>
    <x v="0"/>
    <d v="2022-07-29T00:00:00"/>
    <m/>
    <m/>
    <m/>
    <m/>
    <m/>
    <m/>
    <m/>
    <m/>
    <d v="2022-07-29T00:00:00"/>
    <x v="7"/>
  </r>
  <r>
    <s v="Sociedad Comercializadora Ganadera"/>
    <d v="2022-08-02T00:00:00"/>
    <d v="2022-08-02T00:00:00"/>
    <n v="31"/>
    <s v="FEDV379"/>
    <x v="2"/>
    <n v="13913.5"/>
    <x v="314"/>
    <n v="124525825"/>
    <n v="30"/>
    <n v="4502378479"/>
    <n v="5082982868"/>
    <n v="5113503948"/>
    <m/>
    <s v="TIENE BL"/>
    <m/>
    <x v="0"/>
    <d v="2022-07-29T00:00:00"/>
    <m/>
    <m/>
    <m/>
    <m/>
    <m/>
    <m/>
    <m/>
    <m/>
    <d v="2022-07-29T00:00:00"/>
    <x v="7"/>
  </r>
  <r>
    <s v="Sociedad Comercializadora Ganadera"/>
    <d v="2022-08-12T00:00:00"/>
    <d v="2022-08-12T00:00:00"/>
    <n v="31"/>
    <s v="NC191"/>
    <x v="2"/>
    <n v="13913.5"/>
    <x v="2"/>
    <n v="-1391350"/>
    <n v="0"/>
    <n v="4502378479"/>
    <n v="5082982868"/>
    <n v="5113503949"/>
    <s v="ND27"/>
    <s v="anula NC186"/>
    <m/>
    <x v="0"/>
    <d v="2022-07-29T00:00:00"/>
    <m/>
    <m/>
    <m/>
    <m/>
    <m/>
    <m/>
    <m/>
    <m/>
    <d v="2022-07-29T00:00:00"/>
    <x v="7"/>
  </r>
  <r>
    <s v="Jorge Armando Ortega Trigos"/>
    <d v="2022-08-05T00:00:00"/>
    <m/>
    <n v="31"/>
    <s v="FVE-30"/>
    <x v="2"/>
    <n v="22086"/>
    <x v="224"/>
    <n v="188835300"/>
    <n v="45"/>
    <n v="4502380603"/>
    <n v="5082982857"/>
    <n v="5113497668"/>
    <m/>
    <s v="TIENE BL"/>
    <m/>
    <x v="0"/>
    <d v="2022-07-29T00:00:00"/>
    <m/>
    <m/>
    <m/>
    <m/>
    <m/>
    <m/>
    <m/>
    <m/>
    <d v="2022-07-29T00:00:00"/>
    <x v="7"/>
  </r>
  <r>
    <s v="Jorge Armando Ortega Trigos"/>
    <d v="2022-08-05T00:00:00"/>
    <m/>
    <n v="31"/>
    <s v="ND2"/>
    <x v="2"/>
    <n v="22086"/>
    <x v="13"/>
    <n v="1104300"/>
    <n v="0"/>
    <n v="4502380603"/>
    <n v="5082982857"/>
    <n v="5113497670"/>
    <m/>
    <m/>
    <m/>
    <x v="0"/>
    <d v="2022-07-29T00:00:00"/>
    <m/>
    <m/>
    <m/>
    <m/>
    <m/>
    <m/>
    <m/>
    <m/>
    <d v="2022-07-29T00:00:00"/>
    <x v="7"/>
  </r>
  <r>
    <s v="HEVLA S.A.S"/>
    <d v="2022-08-02T00:00:00"/>
    <d v="2022-08-02T00:00:00"/>
    <n v="31"/>
    <s v="FE-593"/>
    <x v="0"/>
    <n v="15313"/>
    <x v="151"/>
    <n v="124800950"/>
    <n v="28"/>
    <n v="4502380957"/>
    <n v="5082982965"/>
    <n v="5113484204"/>
    <m/>
    <s v="EJ*2 2982600*2"/>
    <m/>
    <x v="0"/>
    <d v="2022-07-30T00:00:00"/>
    <n v="4902316691"/>
    <n v="5965200"/>
    <s v="FEMD-4804*2"/>
    <n v="5113485811"/>
    <m/>
    <m/>
    <m/>
    <m/>
    <d v="2022-07-30T00:00:00"/>
    <x v="7"/>
  </r>
  <r>
    <s v="Sociedad Comercializadora Ganadera"/>
    <d v="2022-08-02T00:00:00"/>
    <d v="2022-08-02T00:00:00"/>
    <n v="31"/>
    <s v="FEDV381"/>
    <x v="0"/>
    <n v="15191"/>
    <x v="314"/>
    <n v="135959450"/>
    <n v="30"/>
    <n v="4502378481"/>
    <n v="5082982869"/>
    <n v="5113485465"/>
    <m/>
    <s v="TIENE BL"/>
    <m/>
    <x v="0"/>
    <d v="2022-07-30T00:00:00"/>
    <m/>
    <m/>
    <m/>
    <m/>
    <m/>
    <m/>
    <m/>
    <m/>
    <d v="2022-07-30T00:00:00"/>
    <x v="7"/>
  </r>
  <r>
    <s v="Sociedad Comercializadora Ganadera"/>
    <d v="2022-08-02T00:00:00"/>
    <d v="2022-08-02T00:00:00"/>
    <n v="31"/>
    <s v="FEDV380"/>
    <x v="0"/>
    <n v="7669.5"/>
    <x v="314"/>
    <n v="68642025"/>
    <n v="15"/>
    <n v="4502380612"/>
    <n v="5082982978"/>
    <n v="5113488520"/>
    <m/>
    <s v="TIENE BL"/>
    <m/>
    <x v="0"/>
    <d v="2022-07-30T00:00:00"/>
    <m/>
    <m/>
    <m/>
    <m/>
    <m/>
    <m/>
    <m/>
    <m/>
    <d v="2022-07-30T00:00:00"/>
    <x v="7"/>
  </r>
  <r>
    <s v="Sociedad Comercializadora Ganadera"/>
    <d v="2022-04-08T00:00:00"/>
    <d v="2022-04-08T00:00:00"/>
    <n v="31"/>
    <s v="NC189"/>
    <x v="1"/>
    <n v="7669.5"/>
    <x v="2"/>
    <n v="-766950"/>
    <n v="0"/>
    <n v="4502380612"/>
    <n v="5082982978"/>
    <n v="5113488521"/>
    <m/>
    <m/>
    <m/>
    <x v="0"/>
    <d v="2022-07-30T00:00:00"/>
    <m/>
    <m/>
    <m/>
    <m/>
    <m/>
    <m/>
    <m/>
    <m/>
    <d v="2022-07-30T00:00:00"/>
    <x v="7"/>
  </r>
  <r>
    <s v="Jorge Armando Ortega Trigos"/>
    <d v="2022-08-05T00:00:00"/>
    <m/>
    <n v="31"/>
    <s v="FVE-31"/>
    <x v="0"/>
    <n v="14826"/>
    <x v="224"/>
    <n v="126762300"/>
    <n v="30"/>
    <n v="4502380548"/>
    <n v="5082982960"/>
    <n v="5113497671"/>
    <m/>
    <s v="TIENE BL"/>
    <m/>
    <x v="0"/>
    <d v="2022-07-30T00:00:00"/>
    <m/>
    <m/>
    <m/>
    <m/>
    <m/>
    <m/>
    <m/>
    <m/>
    <d v="2022-07-30T00:00:00"/>
    <x v="7"/>
  </r>
  <r>
    <s v="Miguel Antonio Carrascal Pacheco"/>
    <d v="2022-08-02T00:00:00"/>
    <d v="2022-08-03T00:00:00"/>
    <n v="31"/>
    <s v="FAMC7"/>
    <x v="2"/>
    <n v="7281"/>
    <x v="220"/>
    <n v="62980650"/>
    <n v="15"/>
    <n v="4502378483"/>
    <n v="5082982959"/>
    <n v="5113486301"/>
    <m/>
    <s v="TIENE BL"/>
    <m/>
    <x v="0"/>
    <d v="2022-07-30T00:00:00"/>
    <m/>
    <m/>
    <m/>
    <m/>
    <m/>
    <m/>
    <m/>
    <m/>
    <d v="2022-07-30T00:00:00"/>
    <x v="7"/>
  </r>
  <r>
    <s v="Miguel Antonio Carrascal Pacheco"/>
    <d v="2022-08-02T00:00:00"/>
    <d v="2022-08-03T00:00:00"/>
    <n v="31"/>
    <s v="NDE9"/>
    <x v="2"/>
    <n v="7281"/>
    <x v="13"/>
    <n v="364050"/>
    <n v="0"/>
    <n v="4502378483"/>
    <n v="5082982959"/>
    <n v="5113486302"/>
    <m/>
    <m/>
    <m/>
    <x v="0"/>
    <d v="2022-07-30T00:00:00"/>
    <m/>
    <m/>
    <m/>
    <m/>
    <m/>
    <m/>
    <m/>
    <m/>
    <d v="2022-07-30T00:00:00"/>
    <x v="7"/>
  </r>
  <r>
    <s v="Oscar Fabian Quintero Ardila"/>
    <d v="2022-07-30T00:00:00"/>
    <d v="2022-08-02T00:00:00"/>
    <n v="31"/>
    <s v="FE-50"/>
    <x v="2"/>
    <n v="6083"/>
    <x v="224"/>
    <n v="52009650"/>
    <n v="13"/>
    <n v="4502378484"/>
    <n v="5082982145"/>
    <n v="5113487594"/>
    <m/>
    <s v="CON RETEN"/>
    <m/>
    <x v="0"/>
    <d v="2022-07-30T00:00:00"/>
    <m/>
    <m/>
    <m/>
    <m/>
    <m/>
    <m/>
    <m/>
    <m/>
    <d v="2022-07-30T00:00:00"/>
    <x v="7"/>
  </r>
  <r>
    <s v="Oscar Fabian Quintero Ardila"/>
    <d v="2022-08-02T00:00:00"/>
    <d v="2022-08-02T00:00:00"/>
    <n v="31"/>
    <s v="NC15"/>
    <x v="2"/>
    <n v="6083"/>
    <x v="466"/>
    <n v="-98970.410000002652"/>
    <n v="0"/>
    <n v="4502378484"/>
    <n v="5082982145"/>
    <n v="5113487595"/>
    <m/>
    <m/>
    <m/>
    <x v="0"/>
    <d v="2022-07-30T00:00:00"/>
    <m/>
    <m/>
    <m/>
    <m/>
    <m/>
    <m/>
    <m/>
    <m/>
    <d v="2022-07-30T00:00:00"/>
    <x v="7"/>
  </r>
  <r>
    <s v="Juan Alberto Saldarriaga Marin"/>
    <d v="2022-07-30T00:00:00"/>
    <d v="2022-08-04T00:00:00"/>
    <n v="31"/>
    <n v="6082"/>
    <x v="2"/>
    <n v="13418"/>
    <x v="314"/>
    <n v="120091100"/>
    <n v="28"/>
    <n v="4502378485"/>
    <n v="5082982146"/>
    <n v="5113488700"/>
    <m/>
    <s v="TIENE BL"/>
    <m/>
    <x v="0"/>
    <d v="2022-07-30T00:00:00"/>
    <m/>
    <m/>
    <m/>
    <m/>
    <m/>
    <m/>
    <m/>
    <m/>
    <d v="2022-07-30T00:00:00"/>
    <x v="7"/>
  </r>
  <r>
    <s v="David Martinez Jaramillo"/>
    <d v="2022-07-30T00:00:00"/>
    <d v="2022-08-02T00:00:00"/>
    <n v="31"/>
    <s v="DM231"/>
    <x v="2"/>
    <n v="6960.5"/>
    <x v="314"/>
    <n v="62296475"/>
    <n v="15"/>
    <n v="4502378487"/>
    <n v="5082982147"/>
    <n v="5113486413"/>
    <m/>
    <s v="TIENE BL"/>
    <m/>
    <x v="0"/>
    <d v="2022-07-30T00:00:00"/>
    <m/>
    <m/>
    <m/>
    <m/>
    <m/>
    <m/>
    <m/>
    <m/>
    <d v="2022-07-30T00:00:00"/>
    <x v="7"/>
  </r>
  <r>
    <s v="David Martinez Jaramillo"/>
    <d v="2022-08-02T00:00:00"/>
    <d v="2022-08-02T00:00:00"/>
    <n v="31"/>
    <s v="NC57"/>
    <x v="2"/>
    <n v="6960.5"/>
    <x v="11"/>
    <n v="1044075"/>
    <n v="0"/>
    <n v="4502378487"/>
    <n v="5082982147"/>
    <n v="5113486414"/>
    <m/>
    <m/>
    <m/>
    <x v="0"/>
    <d v="2022-07-30T00:00:00"/>
    <m/>
    <m/>
    <m/>
    <m/>
    <m/>
    <m/>
    <m/>
    <m/>
    <d v="2022-07-30T00:00:00"/>
    <x v="7"/>
  </r>
  <r>
    <s v="Hugo Alfonso Portillo Rodriguez"/>
    <d v="2022-08-01T00:00:00"/>
    <d v="2022-08-03T00:00:00"/>
    <n v="31"/>
    <s v="E-156"/>
    <x v="0"/>
    <n v="7418"/>
    <x v="224"/>
    <n v="63423900"/>
    <n v="14"/>
    <n v="4502379043"/>
    <n v="5082990682"/>
    <n v="5113493741"/>
    <m/>
    <s v="TIENE BL"/>
    <m/>
    <x v="0"/>
    <d v="2022-07-31T00:00:00"/>
    <m/>
    <m/>
    <m/>
    <m/>
    <m/>
    <m/>
    <m/>
    <m/>
    <d v="2022-07-31T00:00:00"/>
    <x v="7"/>
  </r>
  <r>
    <s v="Hugo Alfonso Portillo Rodriguez"/>
    <d v="2022-08-01T00:00:00"/>
    <d v="2022-08-08T00:00:00"/>
    <n v="31"/>
    <s v="NC18"/>
    <x v="0"/>
    <n v="7418"/>
    <x v="467"/>
    <n v="-296571.63999999675"/>
    <n v="0"/>
    <n v="4502379043"/>
    <n v="5082990682"/>
    <n v="5113493743"/>
    <m/>
    <m/>
    <m/>
    <x v="0"/>
    <d v="2022-07-31T00:00:00"/>
    <m/>
    <m/>
    <m/>
    <m/>
    <m/>
    <m/>
    <m/>
    <m/>
    <d v="2022-07-31T00:00:00"/>
    <x v="7"/>
  </r>
  <r>
    <s v="Carlos Andres Castilla Angarita"/>
    <d v="2022-08-02T00:00:00"/>
    <m/>
    <n v="31"/>
    <s v="CACA-20"/>
    <x v="0"/>
    <n v="6093.5"/>
    <x v="224"/>
    <n v="52099425"/>
    <n v="13"/>
    <n v="4502378489"/>
    <n v="5082990335"/>
    <n v="5113488582"/>
    <m/>
    <s v="TIENE BL "/>
    <m/>
    <x v="0"/>
    <d v="2022-07-31T00:00:00"/>
    <m/>
    <m/>
    <m/>
    <m/>
    <m/>
    <m/>
    <m/>
    <m/>
    <d v="2022-07-31T00:00:00"/>
    <x v="7"/>
  </r>
  <r>
    <s v="Carlos Andres Castilla Angarita"/>
    <d v="2022-08-05T00:00:00"/>
    <m/>
    <n v="31"/>
    <s v="ND9"/>
    <x v="0"/>
    <n v="6093.5"/>
    <x v="468"/>
    <n v="225398.56499999866"/>
    <n v="0"/>
    <n v="5083283183"/>
    <n v="5082990335"/>
    <n v="5113491004"/>
    <m/>
    <m/>
    <m/>
    <x v="0"/>
    <d v="2022-07-31T00:00:00"/>
    <m/>
    <m/>
    <m/>
    <m/>
    <m/>
    <m/>
    <m/>
    <m/>
    <d v="2022-07-31T00:00:00"/>
    <x v="7"/>
  </r>
  <r>
    <s v="Sociedad Comercializadora Ganadera"/>
    <d v="2022-08-03T00:00:00"/>
    <d v="2022-08-03T00:00:00"/>
    <n v="31"/>
    <s v="FEDV382"/>
    <x v="1"/>
    <n v="14806"/>
    <x v="314"/>
    <n v="132513700"/>
    <n v="30"/>
    <n v="4502378490"/>
    <n v="5082990336"/>
    <n v="5113503955"/>
    <m/>
    <s v="TIENE BL"/>
    <m/>
    <x v="0"/>
    <d v="2022-07-31T00:00:00"/>
    <m/>
    <m/>
    <m/>
    <m/>
    <m/>
    <m/>
    <m/>
    <m/>
    <d v="2022-07-31T00:00:00"/>
    <x v="7"/>
  </r>
  <r>
    <s v="Andres Jaramillo Bernal"/>
    <d v="2022-08-03T00:00:00"/>
    <d v="2022-08-03T00:00:00"/>
    <n v="31"/>
    <s v="FEVA-5198"/>
    <x v="1"/>
    <n v="6711.5"/>
    <x v="224"/>
    <n v="57383325"/>
    <n v="14"/>
    <n v="4502378491"/>
    <n v="5082990337"/>
    <n v="5113485609"/>
    <m/>
    <s v="CON RETEN"/>
    <m/>
    <x v="0"/>
    <d v="2022-07-31T00:00:00"/>
    <m/>
    <m/>
    <m/>
    <m/>
    <m/>
    <m/>
    <m/>
    <m/>
    <d v="2022-07-31T00:00:00"/>
    <x v="7"/>
  </r>
  <r>
    <s v="Andres Jaramillo Bernal"/>
    <d v="2022-08-03T00:00:00"/>
    <d v="2022-08-03T00:00:00"/>
    <n v="31"/>
    <s v="NCE36"/>
    <x v="1"/>
    <n v="6711.5"/>
    <x v="2"/>
    <n v="-671150"/>
    <n v="0"/>
    <n v="4502378491"/>
    <n v="5082990337"/>
    <n v="5113485611"/>
    <m/>
    <m/>
    <m/>
    <x v="0"/>
    <d v="2022-07-31T00:00:00"/>
    <m/>
    <m/>
    <m/>
    <m/>
    <m/>
    <m/>
    <m/>
    <m/>
    <d v="2022-07-31T00:00:00"/>
    <x v="7"/>
  </r>
  <r>
    <s v="Adrian Alberto Alvarez Henao"/>
    <d v="2022-08-03T00:00:00"/>
    <d v="2022-08-04T00:00:00"/>
    <n v="31"/>
    <s v="AAAH-55"/>
    <x v="1"/>
    <n v="6801"/>
    <x v="314"/>
    <n v="60868950"/>
    <n v="14"/>
    <n v="4502378492"/>
    <n v="5082992502"/>
    <n v="5113490737"/>
    <m/>
    <s v="TIENE BL"/>
    <m/>
    <x v="0"/>
    <d v="2022-07-31T00:00:00"/>
    <m/>
    <m/>
    <m/>
    <m/>
    <m/>
    <m/>
    <m/>
    <m/>
    <d v="2022-07-31T00:00:00"/>
    <x v="7"/>
  </r>
  <r>
    <s v="Adrian Alberto Alvarez Henao"/>
    <d v="2022-08-03T00:00:00"/>
    <d v="2022-08-04T00:00:00"/>
    <n v="31"/>
    <s v="AD28"/>
    <x v="1"/>
    <n v="6801"/>
    <x v="469"/>
    <n v="-1764723.479999997"/>
    <n v="0"/>
    <n v="4502378492"/>
    <n v="5082992502"/>
    <n v="5113490738"/>
    <m/>
    <m/>
    <m/>
    <x v="0"/>
    <d v="2022-07-31T00:00:00"/>
    <m/>
    <m/>
    <m/>
    <m/>
    <m/>
    <m/>
    <m/>
    <m/>
    <d v="2022-07-31T00:00:00"/>
    <x v="7"/>
  </r>
  <r>
    <s v="Sociedad Comercializadora Ganadera"/>
    <d v="2022-08-03T00:00:00"/>
    <d v="2022-08-03T00:00:00"/>
    <n v="31"/>
    <s v="FEDV382"/>
    <x v="2"/>
    <n v="29522"/>
    <x v="314"/>
    <n v="264221900"/>
    <n v="60"/>
    <n v="4502378493"/>
    <n v="5082990336"/>
    <n v="5113503955"/>
    <m/>
    <s v="TIENE BL"/>
    <m/>
    <x v="0"/>
    <d v="2022-07-31T00:00:00"/>
    <m/>
    <m/>
    <m/>
    <m/>
    <m/>
    <m/>
    <m/>
    <m/>
    <d v="2022-07-31T00:00:00"/>
    <x v="7"/>
  </r>
  <r>
    <s v="Sociedad Comercializadora Ganadera"/>
    <d v="2022-08-12T00:00:00"/>
    <d v="2022-08-12T00:00:00"/>
    <n v="31"/>
    <s v="NC192"/>
    <x v="2"/>
    <n v="44328"/>
    <x v="13"/>
    <n v="-2216400"/>
    <n v="0"/>
    <n v="4502378493"/>
    <n v="5082990336"/>
    <n v="5113503957"/>
    <s v="ND28"/>
    <s v="anula NC187"/>
    <m/>
    <x v="0"/>
    <d v="2022-07-31T00:00:00"/>
    <m/>
    <m/>
    <m/>
    <m/>
    <m/>
    <m/>
    <m/>
    <m/>
    <d v="2022-07-31T00:00:00"/>
    <x v="7"/>
  </r>
  <r>
    <s v="Lismenia Torcoroma Rincon Hernandez"/>
    <d v="2022-07-31T00:00:00"/>
    <m/>
    <n v="31"/>
    <s v="GANA-237"/>
    <x v="2"/>
    <n v="19661.5"/>
    <x v="224"/>
    <n v="168105825"/>
    <n v="45"/>
    <n v="4502378494"/>
    <n v="5082990679"/>
    <n v="5113484625"/>
    <m/>
    <s v="CON RETEN"/>
    <m/>
    <x v="0"/>
    <d v="2022-07-31T00:00:00"/>
    <m/>
    <m/>
    <m/>
    <m/>
    <m/>
    <m/>
    <m/>
    <m/>
    <d v="2022-07-31T00:00:00"/>
    <x v="7"/>
  </r>
  <r>
    <s v="Lismenia Torcoroma Rincon Hernandez"/>
    <d v="2022-07-31T00:00:00"/>
    <d v="2022-07-31T00:00:00"/>
    <n v="31"/>
    <s v="NC000053"/>
    <x v="2"/>
    <n v="19661.5"/>
    <x v="470"/>
    <n v="-113840.08500001716"/>
    <n v="0"/>
    <n v="4502378494"/>
    <n v="5082990679"/>
    <n v="5113484667"/>
    <m/>
    <m/>
    <m/>
    <x v="0"/>
    <d v="2022-07-31T00:00:00"/>
    <m/>
    <m/>
    <m/>
    <m/>
    <m/>
    <m/>
    <m/>
    <m/>
    <d v="2022-07-31T00:00:00"/>
    <x v="7"/>
  </r>
  <r>
    <s v="Margie Rodriguez Rodriguez"/>
    <d v="2022-08-02T00:00:00"/>
    <d v="2022-08-02T00:00:00"/>
    <n v="31"/>
    <s v="FE66"/>
    <x v="2"/>
    <n v="6774"/>
    <x v="220"/>
    <n v="58595100"/>
    <n v="15"/>
    <n v="4502378495"/>
    <n v="5082990680"/>
    <n v="5113486601"/>
    <m/>
    <s v="CON RETEN"/>
    <m/>
    <x v="0"/>
    <d v="2022-07-31T00:00:00"/>
    <m/>
    <m/>
    <m/>
    <m/>
    <m/>
    <m/>
    <m/>
    <m/>
    <d v="2022-07-31T00:00:00"/>
    <x v="7"/>
  </r>
  <r>
    <s v="Margie Rodriguez Rodriguez"/>
    <d v="2022-08-02T00:00:00"/>
    <d v="2022-08-02T00:00:00"/>
    <n v="31"/>
    <s v="NC230"/>
    <x v="2"/>
    <n v="6774"/>
    <x v="13"/>
    <n v="-338700"/>
    <n v="0"/>
    <n v="4502378495"/>
    <n v="5082990680"/>
    <n v="5113486602"/>
    <m/>
    <m/>
    <m/>
    <x v="0"/>
    <d v="2022-07-31T00:00:00"/>
    <m/>
    <m/>
    <m/>
    <m/>
    <m/>
    <m/>
    <m/>
    <m/>
    <d v="2022-07-31T00:00:00"/>
    <x v="7"/>
  </r>
  <r>
    <s v="Fernando Arevalo Reyes"/>
    <d v="2022-07-31T00:00:00"/>
    <d v="2022-08-04T00:00:00"/>
    <n v="31"/>
    <s v="FVE-163"/>
    <x v="2"/>
    <n v="6531.5"/>
    <x v="224"/>
    <n v="55844325"/>
    <n v="14"/>
    <n v="4502378496"/>
    <n v="5082992503"/>
    <n v="5113487596"/>
    <m/>
    <s v="TIENE BL"/>
    <m/>
    <x v="0"/>
    <d v="2022-07-31T00:00:00"/>
    <m/>
    <m/>
    <m/>
    <m/>
    <m/>
    <m/>
    <m/>
    <m/>
    <d v="2022-07-31T00:00:00"/>
    <x v="7"/>
  </r>
  <r>
    <s v="Fernando Arevalo Reyes"/>
    <d v="2022-07-31T00:00:00"/>
    <d v="2022-08-04T00:00:00"/>
    <n v="31"/>
    <s v="NC43"/>
    <x v="2"/>
    <n v="6531.5"/>
    <x v="13"/>
    <n v="-326575"/>
    <n v="0"/>
    <n v="4502378496"/>
    <n v="5082992503"/>
    <n v="5113487657"/>
    <m/>
    <m/>
    <m/>
    <x v="0"/>
    <d v="2022-07-31T00:00:00"/>
    <m/>
    <m/>
    <m/>
    <m/>
    <m/>
    <m/>
    <m/>
    <m/>
    <d v="2022-07-31T00:00:00"/>
    <x v="7"/>
  </r>
  <r>
    <s v="Andres Jose Peña Rodriguez"/>
    <d v="2022-08-03T00:00:00"/>
    <m/>
    <n v="31"/>
    <s v="FE-14"/>
    <x v="2"/>
    <n v="6546.5"/>
    <x v="224"/>
    <n v="55972575"/>
    <n v="14"/>
    <n v="4502378497"/>
    <n v="5082990681"/>
    <n v="5113487413"/>
    <m/>
    <s v="TIENE BL"/>
    <m/>
    <x v="0"/>
    <d v="2022-07-31T00:00:00"/>
    <m/>
    <m/>
    <m/>
    <m/>
    <m/>
    <m/>
    <m/>
    <m/>
    <d v="2022-07-31T00:00:00"/>
    <x v="7"/>
  </r>
  <r>
    <s v="Andres Jose Peña Rodriguez"/>
    <d v="2022-08-03T00:00:00"/>
    <m/>
    <n v="31"/>
    <s v="FE-15"/>
    <x v="2"/>
    <n v="6546.5"/>
    <x v="2"/>
    <n v="654650"/>
    <n v="0"/>
    <n v="4502378497"/>
    <n v="5082990681"/>
    <n v="5113487415"/>
    <m/>
    <m/>
    <m/>
    <x v="0"/>
    <d v="2022-07-31T00:00:00"/>
    <m/>
    <m/>
    <m/>
    <m/>
    <m/>
    <m/>
    <m/>
    <m/>
    <d v="2022-07-31T00:00:00"/>
    <x v="7"/>
  </r>
  <r>
    <s v="Agropecuaria Tabaida S.A.S"/>
    <d v="2022-07-31T00:00:00"/>
    <d v="2022-08-03T00:00:00"/>
    <n v="31"/>
    <s v="MT1491"/>
    <x v="2"/>
    <n v="40656"/>
    <x v="188"/>
    <n v="341510400"/>
    <n v="84"/>
    <n v="4502382725"/>
    <n v="5083019400"/>
    <n v="5113487544"/>
    <m/>
    <s v="TIENE BL"/>
    <m/>
    <x v="1"/>
    <d v="2022-07-31T00:00:00"/>
    <m/>
    <m/>
    <m/>
    <m/>
    <m/>
    <m/>
    <m/>
    <m/>
    <d v="2022-07-31T00:00:00"/>
    <x v="7"/>
  </r>
  <r>
    <s v="Surtidora Agropecuaria De Colombia"/>
    <d v="2022-07-31T00:00:00"/>
    <d v="2022-08-03T00:00:00"/>
    <n v="31"/>
    <s v="FESA-46"/>
    <x v="2"/>
    <n v="28038"/>
    <x v="234"/>
    <n v="236921100"/>
    <n v="56"/>
    <n v="4502382754"/>
    <n v="5083019583"/>
    <n v="5113488699"/>
    <m/>
    <s v="TIENE BL"/>
    <s v="Mensaje a Cristina"/>
    <x v="1"/>
    <d v="2022-07-31T00:00:00"/>
    <m/>
    <m/>
    <m/>
    <m/>
    <m/>
    <m/>
    <m/>
    <m/>
    <d v="2022-07-31T00:00:00"/>
    <x v="7"/>
  </r>
  <r>
    <s v="Maria Ines Saade Mejia"/>
    <d v="2022-07-31T00:00:00"/>
    <d v="2022-08-04T00:00:00"/>
    <n v="31"/>
    <s v="FE-141"/>
    <x v="2"/>
    <n v="7041"/>
    <x v="234"/>
    <n v="59496450"/>
    <n v="14"/>
    <n v="4502382737"/>
    <n v="5083019470"/>
    <n v="5113491005"/>
    <m/>
    <s v="CON RETEN"/>
    <m/>
    <x v="1"/>
    <d v="2022-07-31T00:00:00"/>
    <m/>
    <m/>
    <m/>
    <m/>
    <m/>
    <m/>
    <m/>
    <m/>
    <d v="2022-07-31T00:00:00"/>
    <x v="7"/>
  </r>
  <r>
    <s v="Mauricio De Jesús Bernal Jaramillo"/>
    <d v="2022-08-06T00:00:00"/>
    <d v="2022-08-06T00:00:00"/>
    <n v="31"/>
    <s v="FE-197"/>
    <x v="2"/>
    <n v="6791"/>
    <x v="234"/>
    <n v="57383950"/>
    <n v="15"/>
    <n v="4502382742"/>
    <n v="5083019476"/>
    <n v="5113492692"/>
    <m/>
    <s v="CON RETEN"/>
    <m/>
    <x v="1"/>
    <d v="2022-07-31T00:00:00"/>
    <m/>
    <m/>
    <m/>
    <m/>
    <m/>
    <m/>
    <m/>
    <m/>
    <d v="2022-07-31T00:00:00"/>
    <x v="7"/>
  </r>
  <r>
    <s v="Jorge Armando Ortega Trigos"/>
    <d v="2022-08-05T00:00:00"/>
    <m/>
    <n v="31"/>
    <s v="FVE-32"/>
    <x v="0"/>
    <n v="7592.5"/>
    <x v="224"/>
    <n v="64915875"/>
    <n v="15"/>
    <n v="4502380551"/>
    <n v="5083007373"/>
    <n v="5113497672"/>
    <m/>
    <s v="TIENE BL"/>
    <m/>
    <x v="0"/>
    <d v="2022-08-01T00:00:00"/>
    <m/>
    <m/>
    <m/>
    <m/>
    <m/>
    <m/>
    <m/>
    <m/>
    <d v="2022-08-01T00:00:00"/>
    <x v="8"/>
  </r>
  <r>
    <s v="Jorge Armando Ortega Trigos"/>
    <d v="2022-08-05T00:00:00"/>
    <m/>
    <n v="31"/>
    <s v="ND3"/>
    <x v="0"/>
    <n v="7592.5"/>
    <x v="471"/>
    <n v="697826.67499999888"/>
    <n v="0"/>
    <n v="4502380551"/>
    <n v="5083007373"/>
    <n v="5113497675"/>
    <m/>
    <m/>
    <m/>
    <x v="0"/>
    <d v="2022-08-01T00:00:00"/>
    <m/>
    <m/>
    <m/>
    <m/>
    <m/>
    <m/>
    <m/>
    <m/>
    <d v="2022-08-01T00:00:00"/>
    <x v="8"/>
  </r>
  <r>
    <s v="Luis Fernando Rojas Prada"/>
    <d v="2022-08-03T00:00:00"/>
    <d v="2022-08-03T00:00:00"/>
    <n v="31"/>
    <s v="FELC-980"/>
    <x v="1"/>
    <n v="21809"/>
    <x v="145"/>
    <n v="175562450"/>
    <n v="42"/>
    <n v="4502382083"/>
    <n v="5083004070"/>
    <n v="5113485938"/>
    <m/>
    <s v="EJ*3 2982600*3"/>
    <s v="CON RETEN"/>
    <x v="0"/>
    <d v="2022-08-01T00:00:00"/>
    <n v="4902316699"/>
    <n v="8947800"/>
    <s v="FEMD-4812*3"/>
    <n v="5113485749"/>
    <m/>
    <m/>
    <m/>
    <m/>
    <d v="2022-08-01T00:00:00"/>
    <x v="8"/>
  </r>
  <r>
    <s v="Tanagro S.A.S Zomac"/>
    <d v="2022-08-01T00:00:00"/>
    <d v="2022-08-04T00:00:00"/>
    <n v="31"/>
    <s v="Z113"/>
    <x v="1"/>
    <n v="5885.5"/>
    <x v="224"/>
    <n v="50321025"/>
    <n v="15"/>
    <n v="4502378499"/>
    <n v="5083005289"/>
    <n v="5113488795"/>
    <m/>
    <s v="CON RETEN"/>
    <m/>
    <x v="0"/>
    <d v="2022-08-01T00:00:00"/>
    <m/>
    <m/>
    <m/>
    <m/>
    <m/>
    <m/>
    <m/>
    <m/>
    <d v="2022-08-01T00:00:00"/>
    <x v="8"/>
  </r>
  <r>
    <s v="Tanagro S.A.S Zomac"/>
    <d v="2022-08-04T00:00:00"/>
    <d v="2022-08-04T00:00:00"/>
    <n v="31"/>
    <s v="NCR91"/>
    <x v="1"/>
    <n v="5885.5"/>
    <x v="472"/>
    <n v="-1267207.0049999971"/>
    <n v="0"/>
    <n v="4502378499"/>
    <n v="5083005289"/>
    <n v="5113488796"/>
    <m/>
    <m/>
    <m/>
    <x v="0"/>
    <d v="2022-08-01T00:00:00"/>
    <m/>
    <m/>
    <m/>
    <m/>
    <m/>
    <m/>
    <m/>
    <m/>
    <d v="2022-08-01T00:00:00"/>
    <x v="8"/>
  </r>
  <r>
    <s v="Angel David Castilla Sanchez"/>
    <d v="2022-08-05T00:00:00"/>
    <d v="2022-08-09T00:00:00"/>
    <n v="31"/>
    <s v="FED-848"/>
    <x v="0"/>
    <n v="13989"/>
    <x v="224"/>
    <n v="119605950"/>
    <n v="30"/>
    <n v="4502378500"/>
    <n v="5083024606"/>
    <n v="5113497854"/>
    <m/>
    <s v="TIENE BL"/>
    <m/>
    <x v="0"/>
    <d v="2022-08-02T00:00:00"/>
    <m/>
    <m/>
    <m/>
    <m/>
    <m/>
    <m/>
    <m/>
    <m/>
    <d v="2022-08-02T00:00:00"/>
    <x v="8"/>
  </r>
  <r>
    <s v="Agropecuaria los Molinos S.A.S"/>
    <d v="2022-07-06T00:00:00"/>
    <d v="2022-07-07T00:00:00"/>
    <n v="31"/>
    <s v="FEMO-1010000715"/>
    <x v="0"/>
    <n v="190271"/>
    <x v="440"/>
    <n v="1833261085"/>
    <n v="98"/>
    <n v="4502365447"/>
    <n v="5082603723"/>
    <n v="5113437230"/>
    <s v="TIENE BL"/>
    <s v="EJ*7 1750000*3 1730000*4"/>
    <m/>
    <x v="0"/>
    <d v="2022-08-02T00:00:00"/>
    <n v="4902347665"/>
    <n v="12170000"/>
    <s v="FEMD-4815*4"/>
    <n v="5113487523"/>
    <s v="FEMD-4814*3"/>
    <m/>
    <m/>
    <m/>
    <d v="2022-08-02T00:00:00"/>
    <x v="8"/>
  </r>
  <r>
    <s v="Inversiones Valle Del Canalete S.A.S"/>
    <d v="2022-08-04T00:00:00"/>
    <d v="2022-08-04T00:00:00"/>
    <n v="31"/>
    <s v="IVC125"/>
    <x v="1"/>
    <n v="27260"/>
    <x v="207"/>
    <n v="226258000"/>
    <n v="56"/>
    <n v="4502383047"/>
    <n v="5083023119"/>
    <n v="5113488579"/>
    <m/>
    <s v="EJ*4 1793900*4"/>
    <s v="CON RETEN"/>
    <x v="0"/>
    <d v="2022-08-02T00:00:00"/>
    <n v="4902316704"/>
    <n v="7175600"/>
    <s v="FEMD-4817*4"/>
    <n v="5113487479"/>
    <m/>
    <m/>
    <m/>
    <m/>
    <d v="2022-08-02T00:00:00"/>
    <x v="8"/>
  </r>
  <r>
    <s v="Sociedad Comercializadora Ganadera"/>
    <d v="2022-08-05T00:00:00"/>
    <d v="2022-08-05T00:00:00"/>
    <n v="31"/>
    <s v="FEDV384"/>
    <x v="3"/>
    <n v="9126"/>
    <x v="56"/>
    <n v="69357600"/>
    <n v="32"/>
    <n v="4502384916"/>
    <n v="5083056537"/>
    <n v="5113492782"/>
    <m/>
    <s v="TIENE BL"/>
    <m/>
    <x v="2"/>
    <d v="2022-08-03T00:00:00"/>
    <m/>
    <m/>
    <m/>
    <m/>
    <m/>
    <m/>
    <m/>
    <m/>
    <d v="2022-08-03T00:00:00"/>
    <x v="8"/>
  </r>
  <r>
    <s v="Juan Pablo Sierra Cardona"/>
    <d v="2022-08-04T00:00:00"/>
    <m/>
    <n v="32"/>
    <s v="JPS-1300"/>
    <x v="0"/>
    <n v="12258.5"/>
    <x v="244"/>
    <n v="107874800"/>
    <n v="28"/>
    <n v="4502383111"/>
    <n v="5083052829"/>
    <n v="5113501259"/>
    <m/>
    <s v="TIENE BL"/>
    <m/>
    <x v="0"/>
    <d v="2022-08-04T00:00:00"/>
    <m/>
    <m/>
    <m/>
    <m/>
    <m/>
    <m/>
    <m/>
    <m/>
    <d v="2022-08-04T00:00:00"/>
    <x v="8"/>
  </r>
  <r>
    <s v="Juan Pablo Sierra Cardona"/>
    <d v="2022-08-04T00:00:00"/>
    <m/>
    <n v="32"/>
    <s v="JPS-1301"/>
    <x v="0"/>
    <n v="12258.5"/>
    <x v="473"/>
    <n v="573084.875"/>
    <n v="0"/>
    <n v="4502383111"/>
    <n v="5083052829"/>
    <n v="5113501261"/>
    <m/>
    <m/>
    <m/>
    <x v="0"/>
    <d v="2022-08-04T00:00:00"/>
    <m/>
    <m/>
    <m/>
    <m/>
    <m/>
    <m/>
    <m/>
    <m/>
    <d v="2022-08-04T00:00:00"/>
    <x v="8"/>
  </r>
  <r>
    <s v="Multicarnicos S.A"/>
    <d v="2022-08-05T00:00:00"/>
    <d v="2022-08-09T00:00:00"/>
    <n v="32"/>
    <s v="MUL-376"/>
    <x v="0"/>
    <n v="20780"/>
    <x v="213"/>
    <n v="176630000"/>
    <n v="42"/>
    <n v="4502383112"/>
    <n v="5083052830"/>
    <n v="5113496558"/>
    <m/>
    <s v="TIENE BL"/>
    <m/>
    <x v="0"/>
    <d v="2022-08-04T00:00:00"/>
    <m/>
    <m/>
    <m/>
    <m/>
    <m/>
    <m/>
    <m/>
    <m/>
    <d v="2022-08-04T00:00:00"/>
    <x v="8"/>
  </r>
  <r>
    <s v="David Martinez Jaramillo"/>
    <d v="2022-07-08T00:00:00"/>
    <d v="2022-08-09T00:00:00"/>
    <n v="32"/>
    <s v="DM240"/>
    <x v="0"/>
    <n v="21393.5"/>
    <x v="244"/>
    <n v="188262800"/>
    <n v="45"/>
    <n v="4502383113"/>
    <n v="5083052831"/>
    <n v="5113496472"/>
    <m/>
    <s v="TIENE BL"/>
    <m/>
    <x v="0"/>
    <d v="2022-08-04T00:00:00"/>
    <m/>
    <m/>
    <m/>
    <m/>
    <m/>
    <m/>
    <m/>
    <m/>
    <d v="2022-08-04T00:00:00"/>
    <x v="8"/>
  </r>
  <r>
    <s v="David Martinez Jaramillo"/>
    <d v="2022-08-09T00:00:00"/>
    <d v="2022-08-09T00:00:00"/>
    <n v="32"/>
    <s v="NC58"/>
    <x v="0"/>
    <n v="21393.5"/>
    <x v="13"/>
    <n v="-1069675"/>
    <n v="0"/>
    <n v="4502383113"/>
    <n v="5083052831"/>
    <n v="5113496473"/>
    <m/>
    <m/>
    <m/>
    <x v="0"/>
    <d v="2022-08-04T00:00:00"/>
    <m/>
    <m/>
    <m/>
    <m/>
    <m/>
    <m/>
    <m/>
    <m/>
    <d v="2022-08-04T00:00:00"/>
    <x v="8"/>
  </r>
  <r>
    <s v="Carlos Mario Duque Cadavid"/>
    <d v="2022-08-04T00:00:00"/>
    <m/>
    <n v="32"/>
    <s v="CD-121"/>
    <x v="1"/>
    <n v="28528"/>
    <x v="76"/>
    <n v="231076800"/>
    <n v="56"/>
    <n v="4502384803"/>
    <n v="5083055594"/>
    <n v="5113498204"/>
    <m/>
    <s v="EJ*4 1771100*4"/>
    <m/>
    <x v="0"/>
    <d v="2022-08-04T00:00:00"/>
    <n v="4902320852"/>
    <n v="7084400"/>
    <s v="FEMD-4825*4"/>
    <n v="5113490775"/>
    <m/>
    <m/>
    <m/>
    <m/>
    <d v="2022-08-04T00:00:00"/>
    <x v="8"/>
  </r>
  <r>
    <s v="Andres Felipe Mantilla Acosta"/>
    <d v="2022-08-04T00:00:00"/>
    <d v="2022-08-09T00:00:00"/>
    <n v="32"/>
    <s v="FEFE24"/>
    <x v="2"/>
    <n v="6599"/>
    <x v="213"/>
    <n v="56091500"/>
    <n v="15"/>
    <n v="4502383114"/>
    <n v="5083052832"/>
    <n v="5113498023"/>
    <m/>
    <s v="TIENE BL"/>
    <m/>
    <x v="0"/>
    <d v="2022-08-04T00:00:00"/>
    <m/>
    <m/>
    <m/>
    <m/>
    <m/>
    <m/>
    <m/>
    <m/>
    <d v="2022-08-04T00:00:00"/>
    <x v="8"/>
  </r>
  <r>
    <s v="Andres Felipe Mantilla Acosta"/>
    <d v="2022-08-04T00:00:00"/>
    <d v="2022-08-09T00:00:00"/>
    <n v="32"/>
    <s v="NC5"/>
    <x v="2"/>
    <n v="6599"/>
    <x v="474"/>
    <n v="-39791.970000004323"/>
    <n v="0"/>
    <n v="4502383114"/>
    <n v="5083052832"/>
    <n v="5113498026"/>
    <m/>
    <m/>
    <m/>
    <x v="0"/>
    <d v="2022-08-04T00:00:00"/>
    <m/>
    <m/>
    <m/>
    <m/>
    <m/>
    <m/>
    <m/>
    <m/>
    <d v="2022-08-04T00:00:00"/>
    <x v="8"/>
  </r>
  <r>
    <s v="Sociedad Comercializadora Ganadera"/>
    <d v="2022-08-10T00:00:00"/>
    <d v="2022-08-10T00:00:00"/>
    <n v="32"/>
    <s v="FEDV385"/>
    <x v="2"/>
    <n v="22263.5"/>
    <x v="244"/>
    <n v="195918800"/>
    <n v="46"/>
    <n v="4502383115"/>
    <n v="5083054060"/>
    <n v="5113500902"/>
    <m/>
    <s v="TIENE BL"/>
    <m/>
    <x v="0"/>
    <d v="2022-08-04T00:00:00"/>
    <m/>
    <m/>
    <m/>
    <m/>
    <m/>
    <m/>
    <m/>
    <m/>
    <d v="2022-08-04T00:00:00"/>
    <x v="8"/>
  </r>
  <r>
    <s v="Sociedad Comercializadora Ganadera"/>
    <d v="2022-08-10T00:00:00"/>
    <d v="2022-08-10T00:00:00"/>
    <n v="32"/>
    <s v="NC190"/>
    <x v="2"/>
    <n v="22263.5"/>
    <x v="475"/>
    <n v="-230872.49500001781"/>
    <n v="0"/>
    <n v="4502383115"/>
    <n v="5083054060"/>
    <n v="5113500906"/>
    <m/>
    <m/>
    <m/>
    <x v="0"/>
    <d v="2022-08-04T00:00:00"/>
    <m/>
    <m/>
    <m/>
    <m/>
    <m/>
    <m/>
    <m/>
    <m/>
    <d v="2022-08-04T00:00:00"/>
    <x v="8"/>
  </r>
  <r>
    <s v="Sociedad Comercializadora Ganadera"/>
    <d v="2022-08-10T00:00:00"/>
    <d v="2022-08-10T00:00:00"/>
    <n v="32"/>
    <s v="FEDV386"/>
    <x v="2"/>
    <n v="22819.5"/>
    <x v="244"/>
    <n v="200811600"/>
    <n v="45"/>
    <n v="4502383115"/>
    <n v="5083054060"/>
    <n v="5113500919"/>
    <m/>
    <s v="TIENE BL"/>
    <m/>
    <x v="0"/>
    <d v="2022-08-04T00:00:00"/>
    <m/>
    <m/>
    <m/>
    <m/>
    <m/>
    <m/>
    <m/>
    <m/>
    <d v="2022-08-04T00:00:00"/>
    <x v="8"/>
  </r>
  <r>
    <s v="Juan Alberto Saldarriaga Marin"/>
    <d v="2022-08-04T00:00:00"/>
    <m/>
    <n v="32"/>
    <n v="6089"/>
    <x v="2"/>
    <n v="6590.5"/>
    <x v="244"/>
    <n v="57996400"/>
    <n v="14"/>
    <n v="4502383116"/>
    <n v="5083052833"/>
    <n v="5113497641"/>
    <m/>
    <s v="TIENE BL"/>
    <m/>
    <x v="0"/>
    <d v="2022-08-04T00:00:00"/>
    <m/>
    <m/>
    <m/>
    <m/>
    <m/>
    <m/>
    <m/>
    <m/>
    <d v="2022-08-04T00:00:00"/>
    <x v="8"/>
  </r>
  <r>
    <s v="Juan Alberto Saldarriaga Marin"/>
    <d v="2022-08-04T00:00:00"/>
    <m/>
    <n v="32"/>
    <s v="NC1122"/>
    <x v="2"/>
    <n v="6590.5"/>
    <x v="13"/>
    <n v="-329525"/>
    <n v="0"/>
    <n v="4502383116"/>
    <n v="5083052833"/>
    <n v="5113497644"/>
    <m/>
    <m/>
    <m/>
    <x v="0"/>
    <d v="2022-08-04T00:00:00"/>
    <m/>
    <m/>
    <m/>
    <m/>
    <m/>
    <m/>
    <m/>
    <m/>
    <d v="2022-08-04T00:00:00"/>
    <x v="8"/>
  </r>
  <r>
    <s v="Guamal S EN C"/>
    <d v="2022-08-09T00:00:00"/>
    <d v="2022-08-09T00:00:00"/>
    <n v="32"/>
    <s v="F-135"/>
    <x v="2"/>
    <n v="12743.5"/>
    <x v="188"/>
    <n v="107045400"/>
    <n v="28"/>
    <n v="4502383117"/>
    <n v="5083052834"/>
    <n v="5113495737"/>
    <m/>
    <s v="CON RETEN "/>
    <m/>
    <x v="0"/>
    <d v="2022-08-04T00:00:00"/>
    <m/>
    <m/>
    <m/>
    <m/>
    <m/>
    <m/>
    <m/>
    <m/>
    <d v="2022-08-04T00:00:00"/>
    <x v="8"/>
  </r>
  <r>
    <s v="Guamal S EN C"/>
    <d v="2022-08-09T00:00:00"/>
    <d v="2022-08-09T00:00:00"/>
    <n v="32"/>
    <s v="F104"/>
    <x v="2"/>
    <n v="12743.5"/>
    <x v="476"/>
    <n v="-675660.37000000558"/>
    <n v="0"/>
    <n v="4502383117"/>
    <n v="5083052834"/>
    <n v="5113495738"/>
    <m/>
    <m/>
    <m/>
    <x v="0"/>
    <d v="2022-08-04T00:00:00"/>
    <m/>
    <m/>
    <m/>
    <m/>
    <m/>
    <m/>
    <m/>
    <m/>
    <d v="2022-08-04T00:00:00"/>
    <x v="8"/>
  </r>
  <r>
    <s v="Rodana Inversiones S.A.S."/>
    <d v="2022-08-10T00:00:00"/>
    <m/>
    <n v="32"/>
    <n v="61"/>
    <x v="2"/>
    <n v="6774"/>
    <x v="213"/>
    <n v="57579000"/>
    <n v="15"/>
    <n v="4502383118"/>
    <n v="5083052835"/>
    <n v="5113501258"/>
    <m/>
    <s v="TIENE BL"/>
    <m/>
    <x v="0"/>
    <d v="2022-08-04T00:00:00"/>
    <m/>
    <m/>
    <m/>
    <m/>
    <m/>
    <m/>
    <m/>
    <m/>
    <d v="2022-08-04T00:00:00"/>
    <x v="8"/>
  </r>
  <r>
    <s v="David Martinez Jaramillo"/>
    <d v="2022-08-08T00:00:00"/>
    <d v="2022-08-09T00:00:00"/>
    <n v="32"/>
    <s v="DM242"/>
    <x v="0"/>
    <n v="7667"/>
    <x v="244"/>
    <n v="67469600"/>
    <n v="14"/>
    <n v="4502383119"/>
    <n v="5083089322"/>
    <n v="5113498434"/>
    <m/>
    <s v="TIENE BL"/>
    <m/>
    <x v="0"/>
    <d v="2022-08-05T00:00:00"/>
    <m/>
    <m/>
    <m/>
    <m/>
    <m/>
    <m/>
    <m/>
    <m/>
    <d v="2022-08-05T00:00:00"/>
    <x v="8"/>
  </r>
  <r>
    <s v="David Martinez Jaramillo"/>
    <d v="2022-08-09T00:00:00"/>
    <d v="2022-08-09T00:00:00"/>
    <n v="32"/>
    <s v="NC59"/>
    <x v="0"/>
    <n v="7667"/>
    <x v="477"/>
    <n v="-828189.34000000334"/>
    <n v="0"/>
    <n v="4502383119"/>
    <n v="5083089322"/>
    <n v="5113498436"/>
    <m/>
    <m/>
    <m/>
    <x v="0"/>
    <d v="2022-08-05T00:00:00"/>
    <m/>
    <m/>
    <m/>
    <m/>
    <m/>
    <m/>
    <m/>
    <m/>
    <d v="2022-08-05T00:00:00"/>
    <x v="8"/>
  </r>
  <r>
    <s v="Maria Victoria Yepes Garcia"/>
    <d v="2022-08-05T00:00:00"/>
    <d v="2022-08-09T00:00:00"/>
    <n v="32"/>
    <s v="MVYG34"/>
    <x v="1"/>
    <n v="6601.5"/>
    <x v="188"/>
    <n v="55452600"/>
    <n v="14"/>
    <n v="4502383120"/>
    <n v="5083089323"/>
    <n v="5113497741"/>
    <m/>
    <s v="TIENE BL"/>
    <m/>
    <x v="0"/>
    <d v="2022-08-05T00:00:00"/>
    <m/>
    <m/>
    <m/>
    <m/>
    <m/>
    <m/>
    <m/>
    <m/>
    <d v="2022-08-05T00:00:00"/>
    <x v="8"/>
  </r>
  <r>
    <s v="Inversiones Valle Del Canalete S.A.S"/>
    <d v="2022-08-09T00:00:00"/>
    <d v="2022-08-10T00:00:00"/>
    <n v="32"/>
    <s v="IVC126"/>
    <x v="1"/>
    <n v="26955"/>
    <x v="76"/>
    <n v="218335500"/>
    <n v="56"/>
    <n v="4502385522"/>
    <n v="5083079736"/>
    <n v="5113503100"/>
    <m/>
    <s v="EJ* 1793900*4"/>
    <s v="CON RETEN"/>
    <x v="0"/>
    <d v="2022-08-05T00:00:00"/>
    <n v="4902320853"/>
    <n v="7175600"/>
    <s v="FEMD-4830*4"/>
    <n v="5113502100"/>
    <m/>
    <m/>
    <m/>
    <m/>
    <d v="2022-08-05T00:00:00"/>
    <x v="8"/>
  </r>
  <r>
    <s v="Sociedad Comercializadora Ganadera"/>
    <d v="2022-08-10T00:00:00"/>
    <d v="2022-08-10T00:00:00"/>
    <n v="32"/>
    <s v="FEDV387"/>
    <x v="2"/>
    <n v="34908"/>
    <x v="244"/>
    <n v="307190400"/>
    <n v="75"/>
    <n v="4502383121"/>
    <n v="5083089324"/>
    <n v="5113500923"/>
    <m/>
    <s v="TIENE BL"/>
    <m/>
    <x v="0"/>
    <d v="2022-08-05T00:00:00"/>
    <m/>
    <m/>
    <m/>
    <m/>
    <m/>
    <m/>
    <m/>
    <m/>
    <d v="2022-08-05T00:00:00"/>
    <x v="8"/>
  </r>
  <r>
    <s v="Sociedad Comercializadora Ganadera"/>
    <d v="2022-08-10T00:00:00"/>
    <d v="2022-08-10T00:00:00"/>
    <n v="32"/>
    <s v="ND26"/>
    <x v="2"/>
    <n v="34908"/>
    <x v="478"/>
    <n v="5408296.4400000097"/>
    <n v="0"/>
    <n v="4502383121"/>
    <n v="5083089324"/>
    <n v="5113500948"/>
    <m/>
    <m/>
    <m/>
    <x v="0"/>
    <d v="2022-08-05T00:00:00"/>
    <m/>
    <m/>
    <m/>
    <m/>
    <m/>
    <m/>
    <m/>
    <m/>
    <d v="2022-08-05T00:00:00"/>
    <x v="8"/>
  </r>
  <r>
    <s v="Carlos Enrique Galan Prada"/>
    <d v="2022-08-10T00:00:00"/>
    <d v="2022-08-10T00:00:00"/>
    <n v="32"/>
    <s v="FVEC15"/>
    <x v="2"/>
    <n v="12614.5"/>
    <x v="213"/>
    <n v="107223250"/>
    <n v="28"/>
    <n v="4502383122"/>
    <n v="5083089325"/>
    <n v="5113500543"/>
    <m/>
    <s v="CON RETEN"/>
    <m/>
    <x v="0"/>
    <d v="2022-08-05T00:00:00"/>
    <m/>
    <m/>
    <m/>
    <m/>
    <m/>
    <m/>
    <m/>
    <m/>
    <d v="2022-08-05T00:00:00"/>
    <x v="8"/>
  </r>
  <r>
    <s v="Adrian Alberto Alvarez Henao"/>
    <d v="2022-08-11T00:00:00"/>
    <d v="2022-08-11T00:00:00"/>
    <n v="32"/>
    <s v="AAAH-58"/>
    <x v="2"/>
    <n v="6641.5"/>
    <x v="244"/>
    <n v="58445200"/>
    <n v="15"/>
    <n v="4502383124"/>
    <n v="5083090665"/>
    <n v="5113517741"/>
    <m/>
    <s v="TIENE BL"/>
    <m/>
    <x v="0"/>
    <d v="2022-08-05T00:00:00"/>
    <m/>
    <m/>
    <m/>
    <m/>
    <m/>
    <m/>
    <m/>
    <m/>
    <d v="2022-08-05T00:00:00"/>
    <x v="8"/>
  </r>
  <r>
    <s v="Adrian Alberto Alvarez Henao"/>
    <d v="2022-08-11T00:00:00"/>
    <d v="2022-08-11T00:00:00"/>
    <n v="32"/>
    <s v="AD29"/>
    <x v="2"/>
    <n v="6641.5"/>
    <x v="479"/>
    <n v="-518169.83000000293"/>
    <n v="0"/>
    <n v="4502383124"/>
    <n v="5083090665"/>
    <n v="5113517743"/>
    <m/>
    <m/>
    <m/>
    <x v="0"/>
    <d v="2022-08-05T00:00:00"/>
    <m/>
    <m/>
    <m/>
    <m/>
    <m/>
    <m/>
    <m/>
    <m/>
    <d v="2022-08-05T00:00:00"/>
    <x v="8"/>
  </r>
  <r>
    <s v="Jaime Angel Botero"/>
    <d v="2022-08-10T00:00:00"/>
    <m/>
    <n v="32"/>
    <s v="JAB-30"/>
    <x v="2"/>
    <n v="5943"/>
    <x v="188"/>
    <n v="49921200"/>
    <n v="14"/>
    <n v="4502383125"/>
    <n v="5083089326"/>
    <n v="5113500544"/>
    <m/>
    <s v="CON RETEN"/>
    <m/>
    <x v="0"/>
    <d v="2022-08-05T00:00:00"/>
    <m/>
    <m/>
    <m/>
    <m/>
    <m/>
    <m/>
    <m/>
    <m/>
    <d v="2022-08-05T00:00:00"/>
    <x v="8"/>
  </r>
  <r>
    <s v="Jaime Angel Botero"/>
    <d v="2022-08-10T00:00:00"/>
    <m/>
    <n v="32"/>
    <s v="NC29"/>
    <x v="2"/>
    <n v="5943"/>
    <x v="480"/>
    <n v="-1008527.1000000043"/>
    <n v="0"/>
    <n v="4502383125"/>
    <n v="5083089326"/>
    <n v="5113500545"/>
    <m/>
    <m/>
    <m/>
    <x v="0"/>
    <d v="2022-08-05T00:00:00"/>
    <m/>
    <m/>
    <m/>
    <m/>
    <m/>
    <m/>
    <m/>
    <m/>
    <d v="2022-08-05T00:00:00"/>
    <x v="8"/>
  </r>
  <r>
    <s v="Andres Jaramillo Bernal"/>
    <d v="2022-08-06T00:00:00"/>
    <d v="2022-08-10T00:00:00"/>
    <n v="32"/>
    <s v="FEVA-5201"/>
    <x v="2"/>
    <n v="6526.5"/>
    <x v="188"/>
    <n v="54822600"/>
    <n v="14"/>
    <n v="4502383126"/>
    <n v="5083089327"/>
    <n v="5113497780"/>
    <m/>
    <s v="CON RETEN"/>
    <m/>
    <x v="0"/>
    <d v="2022-08-05T00:00:00"/>
    <m/>
    <m/>
    <m/>
    <m/>
    <m/>
    <m/>
    <m/>
    <m/>
    <d v="2022-08-05T00:00:00"/>
    <x v="8"/>
  </r>
  <r>
    <s v="Marco Antonio Trillos Criado"/>
    <d v="2022-08-09T00:00:00"/>
    <d v="2022-08-10T00:00:00"/>
    <n v="32"/>
    <s v="M26"/>
    <x v="2"/>
    <n v="6378"/>
    <x v="188"/>
    <n v="53575200"/>
    <n v="14"/>
    <n v="4502383127"/>
    <n v="5083089328"/>
    <n v="5113500483"/>
    <m/>
    <s v="TIENE BL"/>
    <m/>
    <x v="0"/>
    <d v="2022-08-05T00:00:00"/>
    <m/>
    <m/>
    <m/>
    <m/>
    <m/>
    <m/>
    <m/>
    <m/>
    <d v="2022-08-05T00:00:00"/>
    <x v="8"/>
  </r>
  <r>
    <s v="Ecoagro Bonanza S.A.S"/>
    <d v="2022-08-05T00:00:00"/>
    <m/>
    <n v="32"/>
    <s v="FVE-107"/>
    <x v="2"/>
    <n v="7125.5"/>
    <x v="188"/>
    <n v="59854200"/>
    <n v="14"/>
    <n v="4502383128"/>
    <n v="5083089329"/>
    <n v="5113502035"/>
    <m/>
    <s v="CON RETEN"/>
    <m/>
    <x v="0"/>
    <d v="2022-08-05T00:00:00"/>
    <m/>
    <m/>
    <m/>
    <m/>
    <m/>
    <m/>
    <m/>
    <m/>
    <d v="2022-08-05T00:00:00"/>
    <x v="8"/>
  </r>
  <r>
    <s v="Hugo Alfonso Portillo Rodriguez"/>
    <d v="2022-08-07T00:00:00"/>
    <d v="2022-08-10T00:00:00"/>
    <n v="32"/>
    <s v="E-163"/>
    <x v="2"/>
    <n v="14220.5"/>
    <x v="188"/>
    <n v="119452200"/>
    <n v="29"/>
    <n v="4502383130"/>
    <n v="5083090666"/>
    <n v="5113503102"/>
    <m/>
    <s v="TIENE BL"/>
    <m/>
    <x v="0"/>
    <d v="2022-08-05T00:00:00"/>
    <m/>
    <m/>
    <m/>
    <m/>
    <m/>
    <m/>
    <m/>
    <m/>
    <d v="2022-08-05T00:00:00"/>
    <x v="8"/>
  </r>
  <r>
    <s v="Maria Cecilia Gomez Urrea"/>
    <d v="2022-10-08T00:00:00"/>
    <d v="2022-08-10T00:00:00"/>
    <n v="32"/>
    <s v="FE-432"/>
    <x v="2"/>
    <n v="13205"/>
    <x v="213"/>
    <n v="112242500"/>
    <n v="29"/>
    <n v="4502383131"/>
    <n v="5083090664"/>
    <n v="5113511769"/>
    <m/>
    <s v="TIENE BL"/>
    <m/>
    <x v="0"/>
    <d v="2022-08-05T00:00:00"/>
    <m/>
    <m/>
    <m/>
    <m/>
    <m/>
    <m/>
    <m/>
    <m/>
    <d v="2022-08-05T00:00:00"/>
    <x v="8"/>
  </r>
  <r>
    <s v="Fernando Arevalo Reyes"/>
    <d v="2022-08-05T00:00:00"/>
    <d v="2022-08-12T00:00:00"/>
    <n v="32"/>
    <s v="FVE-164"/>
    <x v="2"/>
    <n v="7860.5"/>
    <x v="188"/>
    <n v="66028200"/>
    <n v="14"/>
    <n v="4502383132"/>
    <n v="5083089330"/>
    <n v="5113503103"/>
    <m/>
    <s v="TIENE BL"/>
    <m/>
    <x v="0"/>
    <d v="2022-08-05T00:00:00"/>
    <m/>
    <m/>
    <m/>
    <m/>
    <m/>
    <m/>
    <m/>
    <m/>
    <d v="2022-08-05T00:00:00"/>
    <x v="8"/>
  </r>
  <r>
    <s v="Fernando Arevalo Reyes"/>
    <d v="2022-08-05T00:00:00"/>
    <d v="2022-08-12T00:00:00"/>
    <n v="32"/>
    <s v="ND8"/>
    <x v="2"/>
    <n v="7860.5"/>
    <x v="11"/>
    <n v="1179075"/>
    <n v="0"/>
    <n v="4502383132"/>
    <n v="5083089330"/>
    <n v="5113503105"/>
    <m/>
    <m/>
    <m/>
    <x v="0"/>
    <d v="2022-08-05T00:00:00"/>
    <m/>
    <m/>
    <m/>
    <m/>
    <m/>
    <m/>
    <m/>
    <m/>
    <d v="2022-08-05T00:00:00"/>
    <x v="8"/>
  </r>
  <r>
    <s v="Pedro Milton Botero Bernal"/>
    <d v="2022-08-10T00:00:00"/>
    <d v="2022-08-10T00:00:00"/>
    <n v="32"/>
    <s v="FEMB-210"/>
    <x v="2"/>
    <n v="5943.5"/>
    <x v="213"/>
    <n v="50519750"/>
    <n v="14"/>
    <n v="4502383133"/>
    <n v="5083089331"/>
    <n v="5113501665"/>
    <m/>
    <s v="CON RETEN"/>
    <m/>
    <x v="0"/>
    <d v="2022-08-05T00:00:00"/>
    <m/>
    <m/>
    <m/>
    <m/>
    <m/>
    <m/>
    <m/>
    <m/>
    <d v="2022-08-05T00:00:00"/>
    <x v="8"/>
  </r>
  <r>
    <s v="Surtidora Agropecuaria De Colombia"/>
    <d v="2022-08-05T00:00:00"/>
    <d v="2022-08-09T00:00:00"/>
    <n v="32"/>
    <s v="FESA-47"/>
    <x v="2"/>
    <n v="27439"/>
    <x v="207"/>
    <n v="227743700"/>
    <n v="56"/>
    <n v="4502387073"/>
    <n v="5083109382"/>
    <n v="5113511878"/>
    <m/>
    <s v="TIENE BL"/>
    <m/>
    <x v="1"/>
    <d v="2022-08-05T00:00:00"/>
    <m/>
    <m/>
    <m/>
    <m/>
    <m/>
    <m/>
    <m/>
    <m/>
    <d v="2022-08-05T00:00:00"/>
    <x v="8"/>
  </r>
  <r>
    <s v="Agropecuaria El Uberrimo S.A.S"/>
    <d v="2022-08-12T00:00:00"/>
    <m/>
    <n v="32"/>
    <s v="FE-256"/>
    <x v="2"/>
    <n v="15888"/>
    <x v="481"/>
    <n v="131810025.60000001"/>
    <n v="30"/>
    <n v="4502387050"/>
    <n v="5083109286"/>
    <n v="5113520471"/>
    <m/>
    <s v="CON RETEN"/>
    <m/>
    <x v="1"/>
    <d v="2022-08-05T00:00:00"/>
    <m/>
    <m/>
    <m/>
    <m/>
    <m/>
    <m/>
    <m/>
    <m/>
    <d v="2022-08-05T00:00:00"/>
    <x v="8"/>
  </r>
  <r>
    <s v="Maria Ines Saade Mejia"/>
    <d v="2022-08-05T00:00:00"/>
    <d v="2022-08-09T00:00:00"/>
    <n v="32"/>
    <s v="FE-144"/>
    <x v="2"/>
    <n v="6785"/>
    <x v="207"/>
    <n v="56315500"/>
    <n v="14"/>
    <n v="4502387069"/>
    <n v="5083109353"/>
    <n v="5113497785"/>
    <m/>
    <s v="CON RETEN"/>
    <m/>
    <x v="1"/>
    <d v="2022-08-05T00:00:00"/>
    <m/>
    <m/>
    <m/>
    <m/>
    <m/>
    <m/>
    <m/>
    <m/>
    <d v="2022-08-05T00:00:00"/>
    <x v="8"/>
  </r>
  <r>
    <s v="Misionagro S.A.S"/>
    <d v="2022-08-05T00:00:00"/>
    <m/>
    <n v="32"/>
    <s v="MISI-126"/>
    <x v="2"/>
    <n v="15800"/>
    <x v="482"/>
    <n v="132658853.99999999"/>
    <n v="28"/>
    <n v="4502387084"/>
    <n v="5083109384"/>
    <n v="5113496557"/>
    <s v="CON RETEN"/>
    <m/>
    <m/>
    <x v="1"/>
    <d v="2022-08-05T00:00:00"/>
    <m/>
    <m/>
    <m/>
    <m/>
    <m/>
    <m/>
    <m/>
    <m/>
    <d v="2022-08-05T00:00:00"/>
    <x v="8"/>
  </r>
  <r>
    <s v="Agropecuaria Tabaida S.A.S"/>
    <d v="2022-08-06T00:00:00"/>
    <d v="2022-08-03T00:00:00"/>
    <n v="32"/>
    <s v="MT1494"/>
    <x v="0"/>
    <n v="20022"/>
    <x v="76"/>
    <n v="162178200"/>
    <n v="42"/>
    <n v="4502385523"/>
    <n v="5083091168"/>
    <n v="5113497711"/>
    <s v="TIENE BL"/>
    <s v="TYC 4792500"/>
    <m/>
    <x v="0"/>
    <d v="2022-08-06T00:00:00"/>
    <n v="4902320855"/>
    <n v="4792500"/>
    <s v="ETE-3371"/>
    <n v="5113499193"/>
    <m/>
    <m/>
    <m/>
    <m/>
    <d v="2022-08-06T00:00:00"/>
    <x v="8"/>
  </r>
  <r>
    <s v="HEVLA S.A.S"/>
    <d v="2022-08-06T00:00:00"/>
    <d v="2022-08-10T00:00:00"/>
    <n v="32"/>
    <s v="FE-609"/>
    <x v="0"/>
    <n v="14874"/>
    <x v="117"/>
    <n v="118992000"/>
    <n v="28"/>
    <n v="4502385524"/>
    <n v="5083079737"/>
    <n v="5113497778"/>
    <m/>
    <s v="EJ*2 2982600*2"/>
    <m/>
    <x v="0"/>
    <d v="2022-08-06T00:00:00"/>
    <n v="4902320856"/>
    <n v="5965200"/>
    <s v="FEMD-4843*2"/>
    <n v="5113501096"/>
    <m/>
    <m/>
    <m/>
    <m/>
    <d v="2022-08-06T00:00:00"/>
    <x v="8"/>
  </r>
  <r>
    <s v="Lina Maria Pelaez Gomez"/>
    <d v="2022-08-06T00:00:00"/>
    <d v="2022-08-09T00:00:00"/>
    <n v="32"/>
    <s v="LP108"/>
    <x v="0"/>
    <n v="7449.5"/>
    <x v="244"/>
    <n v="65555600"/>
    <n v="15"/>
    <n v="4502383134"/>
    <n v="5083090936"/>
    <n v="5113498429"/>
    <m/>
    <s v="TIENE BL"/>
    <m/>
    <x v="0"/>
    <d v="2022-08-06T00:00:00"/>
    <m/>
    <m/>
    <m/>
    <m/>
    <m/>
    <m/>
    <m/>
    <m/>
    <d v="2022-08-06T00:00:00"/>
    <x v="8"/>
  </r>
  <r>
    <s v="Lina Maria Pelaez Gomez"/>
    <d v="2022-08-09T00:00:00"/>
    <d v="2022-08-09T00:00:00"/>
    <n v="32"/>
    <s v="NC81"/>
    <x v="0"/>
    <n v="7449.5"/>
    <x v="483"/>
    <n v="-61756.355000006501"/>
    <n v="0"/>
    <n v="4502383134"/>
    <n v="5083090936"/>
    <n v="5113498432"/>
    <m/>
    <m/>
    <m/>
    <x v="0"/>
    <d v="2022-08-06T00:00:00"/>
    <m/>
    <m/>
    <m/>
    <m/>
    <m/>
    <m/>
    <m/>
    <m/>
    <d v="2022-08-06T00:00:00"/>
    <x v="8"/>
  </r>
  <r>
    <s v="Marco Antonio Trillos Criado"/>
    <d v="2022-08-06T00:00:00"/>
    <d v="2022-08-10T00:00:00"/>
    <n v="32"/>
    <s v="M27"/>
    <x v="2"/>
    <n v="6640"/>
    <x v="188"/>
    <n v="55776000"/>
    <n v="14"/>
    <n v="4502383136"/>
    <n v="5083090937"/>
    <n v="5113500484"/>
    <m/>
    <s v="TIENE BL"/>
    <m/>
    <x v="0"/>
    <d v="2022-08-06T00:00:00"/>
    <m/>
    <m/>
    <m/>
    <m/>
    <m/>
    <m/>
    <m/>
    <m/>
    <d v="2022-08-06T00:00:00"/>
    <x v="8"/>
  </r>
  <r>
    <s v="Deyci Tellez Sierra"/>
    <d v="2022-08-10T00:00:00"/>
    <m/>
    <n v="32"/>
    <s v="FE-2"/>
    <x v="2"/>
    <n v="12807"/>
    <x v="244"/>
    <n v="112701600"/>
    <n v="28"/>
    <n v="4502383137"/>
    <n v="5083090958"/>
    <n v="5113500898"/>
    <m/>
    <s v="CON RETEN"/>
    <m/>
    <x v="0"/>
    <d v="2022-08-06T00:00:00"/>
    <m/>
    <m/>
    <m/>
    <m/>
    <m/>
    <m/>
    <m/>
    <m/>
    <d v="2022-08-06T00:00:00"/>
    <x v="8"/>
  </r>
  <r>
    <s v="Deyci Tellez Sierra"/>
    <d v="2022-08-10T00:00:00"/>
    <m/>
    <n v="32"/>
    <s v="NC4"/>
    <x v="2"/>
    <n v="12807"/>
    <x v="484"/>
    <n v="-113598.09000001026"/>
    <n v="0"/>
    <n v="4502383137"/>
    <n v="5083090958"/>
    <n v="5113500899"/>
    <m/>
    <m/>
    <m/>
    <x v="0"/>
    <d v="2022-08-06T00:00:00"/>
    <m/>
    <m/>
    <m/>
    <m/>
    <m/>
    <m/>
    <m/>
    <m/>
    <d v="2022-08-06T00:00:00"/>
    <x v="8"/>
  </r>
  <r>
    <s v="Inversiones El Rezago y CIA LTDA"/>
    <d v="2022-08-07T00:00:00"/>
    <m/>
    <n v="32"/>
    <s v="RZO-26"/>
    <x v="1"/>
    <n v="12747"/>
    <x v="207"/>
    <n v="105800100"/>
    <n v="28"/>
    <n v="4502385525"/>
    <n v="5083095458"/>
    <n v="5113498010"/>
    <m/>
    <s v="NUMA*2 920000*2"/>
    <m/>
    <x v="0"/>
    <d v="2022-08-07T00:00:00"/>
    <n v="4902320857"/>
    <n v="1840000"/>
    <s v="MOVI-1694*2"/>
    <n v="5113500418"/>
    <m/>
    <m/>
    <m/>
    <m/>
    <d v="2022-08-07T00:00:00"/>
    <x v="8"/>
  </r>
  <r>
    <s v="Gonzalo Hoyos Pulido"/>
    <d v="2022-08-07T00:00:00"/>
    <m/>
    <n v="32"/>
    <s v="FELE-66"/>
    <x v="1"/>
    <n v="6186"/>
    <x v="244"/>
    <n v="54436800"/>
    <n v="15"/>
    <n v="4502383138"/>
    <n v="5083092065"/>
    <n v="5113500967"/>
    <m/>
    <s v="CON RETEN "/>
    <m/>
    <x v="0"/>
    <d v="2022-08-07T00:00:00"/>
    <m/>
    <m/>
    <m/>
    <m/>
    <m/>
    <m/>
    <m/>
    <m/>
    <d v="2022-08-07T00:00:00"/>
    <x v="8"/>
  </r>
  <r>
    <s v="Gonzalo Hoyos Pulido"/>
    <d v="2022-08-07T00:00:00"/>
    <m/>
    <n v="32"/>
    <s v="NC9"/>
    <x v="1"/>
    <n v="6186"/>
    <x v="485"/>
    <n v="-115740.0599999946"/>
    <n v="0"/>
    <n v="4502383138"/>
    <n v="5083092065"/>
    <n v="5113500970"/>
    <m/>
    <m/>
    <m/>
    <x v="0"/>
    <d v="2022-08-07T00:00:00"/>
    <m/>
    <m/>
    <m/>
    <m/>
    <m/>
    <m/>
    <m/>
    <m/>
    <d v="2022-08-07T00:00:00"/>
    <x v="8"/>
  </r>
  <r>
    <s v="Monterojo S.A.S"/>
    <d v="2022-07-08T00:00:00"/>
    <d v="2022-08-11T00:00:00"/>
    <n v="32"/>
    <s v="FVE42"/>
    <x v="2"/>
    <n v="7959"/>
    <x v="63"/>
    <n v="62478150"/>
    <n v="15"/>
    <n v="4502385495"/>
    <n v="5083091832"/>
    <n v="5113502034"/>
    <m/>
    <s v="EJ 2982800"/>
    <s v="CON RETE"/>
    <x v="0"/>
    <d v="2022-08-07T00:00:00"/>
    <n v="4502385495"/>
    <n v="2982800"/>
    <s v="FEMD-4850"/>
    <n v="5113501976"/>
    <m/>
    <m/>
    <m/>
    <m/>
    <d v="2022-08-07T00:00:00"/>
    <x v="8"/>
  </r>
  <r>
    <s v="Lismenia Torcoroma Rincon Hernandez"/>
    <d v="2022-08-07T00:00:00"/>
    <d v="2022-08-10T00:00:00"/>
    <n v="32"/>
    <s v="GANA-241"/>
    <x v="2"/>
    <n v="12460"/>
    <x v="188"/>
    <n v="104664000"/>
    <n v="28"/>
    <n v="4502383139"/>
    <n v="5083092066"/>
    <n v="5113498116"/>
    <m/>
    <s v="CON RETEN"/>
    <m/>
    <x v="0"/>
    <d v="2022-08-07T00:00:00"/>
    <m/>
    <m/>
    <m/>
    <m/>
    <m/>
    <m/>
    <m/>
    <m/>
    <d v="2022-08-07T00:00:00"/>
    <x v="8"/>
  </r>
  <r>
    <s v="Manzur Aldana y CIA S. En C."/>
    <d v="2022-08-10T00:00:00"/>
    <m/>
    <n v="32"/>
    <s v="MAFE-40"/>
    <x v="2"/>
    <n v="6697"/>
    <x v="175"/>
    <n v="54915400"/>
    <n v="14"/>
    <n v="4502387779"/>
    <n v="5083122583"/>
    <n v="5113500624"/>
    <m/>
    <s v="CON RETEN"/>
    <m/>
    <x v="1"/>
    <d v="2022-08-07T00:00:00"/>
    <m/>
    <m/>
    <m/>
    <m/>
    <m/>
    <m/>
    <m/>
    <m/>
    <d v="2022-08-07T00:00:00"/>
    <x v="8"/>
  </r>
  <r>
    <s v="Mauricio De Jesús Bernal Jaramillo"/>
    <d v="2022-08-10T00:00:00"/>
    <d v="2022-08-10T00:00:00"/>
    <n v="32"/>
    <s v="FE-198"/>
    <x v="2"/>
    <n v="13875"/>
    <x v="206"/>
    <n v="114468750"/>
    <n v="30"/>
    <n v="4502387770"/>
    <n v="5083122377"/>
    <n v="5113500708"/>
    <m/>
    <s v="CON RETEN"/>
    <m/>
    <x v="1"/>
    <d v="2022-08-07T00:00:00"/>
    <m/>
    <m/>
    <m/>
    <m/>
    <m/>
    <m/>
    <m/>
    <m/>
    <d v="2022-08-07T00:00:00"/>
    <x v="8"/>
  </r>
  <r>
    <s v="Manuel Antonio Anniccharico Vuelva"/>
    <d v="2022-08-11T00:00:00"/>
    <m/>
    <n v="32"/>
    <s v="FMA-27"/>
    <x v="2"/>
    <n v="7160"/>
    <x v="207"/>
    <n v="59428000"/>
    <n v="14"/>
    <n v="4502387763"/>
    <n v="5083122316"/>
    <n v="5113500712"/>
    <m/>
    <s v="CON RETEN"/>
    <m/>
    <x v="1"/>
    <d v="2022-08-07T00:00:00"/>
    <m/>
    <m/>
    <m/>
    <m/>
    <m/>
    <m/>
    <m/>
    <m/>
    <d v="2022-08-07T00:00:00"/>
    <x v="8"/>
  </r>
  <r>
    <s v="Juan Carlos Mendez Anaya"/>
    <d v="2022-08-11T00:00:00"/>
    <d v="2022-08-11T00:00:00"/>
    <n v="32"/>
    <s v="FEJC-32"/>
    <x v="2"/>
    <n v="14970"/>
    <x v="486"/>
    <n v="122692473.3"/>
    <n v="28"/>
    <n v="4502387747"/>
    <n v="5083123536"/>
    <n v="5113502029"/>
    <m/>
    <s v="RETE FUENTE"/>
    <m/>
    <x v="1"/>
    <d v="2022-08-07T00:00:00"/>
    <m/>
    <m/>
    <m/>
    <m/>
    <m/>
    <m/>
    <m/>
    <m/>
    <d v="2022-08-07T00:00:00"/>
    <x v="8"/>
  </r>
  <r>
    <s v="Maria Alicia Montaño Parra"/>
    <d v="2022-08-10T00:00:00"/>
    <m/>
    <n v="32"/>
    <s v="FE-19"/>
    <x v="0"/>
    <n v="5388"/>
    <x v="188"/>
    <n v="45259200"/>
    <n v="14"/>
    <n v="4502383140"/>
    <n v="5083105771"/>
    <n v="5113500715"/>
    <m/>
    <s v="CON RETEN"/>
    <m/>
    <x v="0"/>
    <d v="2022-08-08T00:00:00"/>
    <m/>
    <m/>
    <m/>
    <m/>
    <m/>
    <m/>
    <m/>
    <m/>
    <d v="2022-08-08T00:00:00"/>
    <x v="8"/>
  </r>
  <r>
    <s v="Maria Alicia Montaño Parra"/>
    <d v="2022-08-10T00:00:00"/>
    <m/>
    <n v="32"/>
    <s v="FE4"/>
    <x v="0"/>
    <n v="5388"/>
    <x v="487"/>
    <n v="-869299.92000000074"/>
    <n v="0"/>
    <n v="4502383140"/>
    <n v="5083105771"/>
    <n v="5113500767"/>
    <m/>
    <m/>
    <m/>
    <x v="0"/>
    <d v="2022-08-08T00:00:00"/>
    <m/>
    <m/>
    <m/>
    <m/>
    <m/>
    <m/>
    <m/>
    <m/>
    <d v="2022-08-08T00:00:00"/>
    <x v="8"/>
  </r>
  <r>
    <s v="Gabriel Humberto Loza Duran"/>
    <d v="2022-08-08T00:00:00"/>
    <d v="2022-08-12T00:00:00"/>
    <n v="32"/>
    <s v="FE-46"/>
    <x v="0"/>
    <n v="7104"/>
    <x v="188"/>
    <n v="59673600"/>
    <n v="14"/>
    <n v="4502383141"/>
    <n v="5083105954"/>
    <n v="5113503960"/>
    <m/>
    <s v="CON RETEN"/>
    <m/>
    <x v="0"/>
    <d v="2022-08-08T00:00:00"/>
    <m/>
    <m/>
    <m/>
    <m/>
    <m/>
    <m/>
    <m/>
    <m/>
    <d v="2022-08-08T00:00:00"/>
    <x v="8"/>
  </r>
  <r>
    <s v="Hacienda El Retaque y CIA. LTDA"/>
    <d v="2022-08-08T00:00:00"/>
    <m/>
    <n v="32"/>
    <s v="HRT-16"/>
    <x v="1"/>
    <n v="14360"/>
    <x v="207"/>
    <n v="119188000"/>
    <n v="28"/>
    <n v="4502386465"/>
    <n v="5083095504"/>
    <n v="5113497970"/>
    <m/>
    <s v="NUMA*2 920000*2"/>
    <m/>
    <x v="0"/>
    <d v="2022-08-08T00:00:00"/>
    <n v="4902320858"/>
    <n v="1840000"/>
    <s v="MOVI-1693*2"/>
    <n v="5113500419"/>
    <m/>
    <m/>
    <m/>
    <m/>
    <d v="2022-08-08T00:00:00"/>
    <x v="8"/>
  </r>
  <r>
    <s v="Sociedad Comercializadora Ganadera"/>
    <d v="2022-08-11T00:00:00"/>
    <d v="2022-08-11T00:00:00"/>
    <n v="32"/>
    <s v="FEDV389"/>
    <x v="0"/>
    <n v="30664.5"/>
    <x v="244"/>
    <n v="269847600"/>
    <n v="60"/>
    <n v="4502383142"/>
    <n v="5083124217"/>
    <n v="5113503159"/>
    <m/>
    <s v="TIENE BL"/>
    <m/>
    <x v="0"/>
    <d v="2022-08-09T00:00:00"/>
    <m/>
    <m/>
    <m/>
    <m/>
    <m/>
    <m/>
    <m/>
    <m/>
    <d v="2022-08-09T00:00:00"/>
    <x v="8"/>
  </r>
  <r>
    <s v="Lismenia Torcoroma Rincon Hernandez"/>
    <d v="2022-08-09T00:00:00"/>
    <d v="2022-08-11T00:00:00"/>
    <n v="32"/>
    <s v="GANA242"/>
    <x v="0"/>
    <n v="12351.5"/>
    <x v="188"/>
    <n v="103752600"/>
    <n v="28"/>
    <n v="4502383143"/>
    <n v="5083124258"/>
    <n v="5113503076"/>
    <m/>
    <s v="CON RETEN"/>
    <m/>
    <x v="0"/>
    <d v="2022-08-09T00:00:00"/>
    <m/>
    <m/>
    <m/>
    <m/>
    <m/>
    <m/>
    <m/>
    <m/>
    <d v="2022-08-09T00:00:00"/>
    <x v="8"/>
  </r>
  <r>
    <s v="Lismenia Torcoroma Rincon Hernandez"/>
    <d v="2022-08-09T00:00:00"/>
    <d v="2022-08-11T00:00:00"/>
    <n v="32"/>
    <s v="NC000054"/>
    <x v="0"/>
    <n v="12351.5"/>
    <x v="488"/>
    <n v="-39154.2550000009"/>
    <n v="0"/>
    <n v="4502383143"/>
    <n v="5083124258"/>
    <n v="5113503076"/>
    <m/>
    <m/>
    <m/>
    <x v="0"/>
    <d v="2022-08-09T00:00:00"/>
    <m/>
    <m/>
    <m/>
    <m/>
    <m/>
    <m/>
    <m/>
    <m/>
    <d v="2022-08-09T00:00:00"/>
    <x v="8"/>
  </r>
  <r>
    <s v="Edward Fabian Mejia Abril"/>
    <d v="2022-08-11T00:00:00"/>
    <m/>
    <n v="32"/>
    <s v="FELE-94"/>
    <x v="0"/>
    <n v="12916"/>
    <x v="244"/>
    <n v="113660800"/>
    <n v="30"/>
    <n v="4502383145"/>
    <n v="5083124360"/>
    <n v="5113514868"/>
    <m/>
    <m/>
    <s v="CON RETENCION "/>
    <x v="0"/>
    <d v="2022-08-09T00:00:00"/>
    <m/>
    <m/>
    <m/>
    <m/>
    <m/>
    <m/>
    <m/>
    <m/>
    <d v="2022-08-09T00:00:00"/>
    <x v="8"/>
  </r>
  <r>
    <s v="Edward Fabian Mejia Abril"/>
    <d v="2022-08-11T00:00:00"/>
    <m/>
    <n v="32"/>
    <s v="NCRE7"/>
    <x v="0"/>
    <n v="12916"/>
    <x v="358"/>
    <n v="-76591.880000003759"/>
    <n v="0"/>
    <n v="4502383145"/>
    <n v="5083124360"/>
    <n v="5113514871"/>
    <m/>
    <m/>
    <m/>
    <x v="0"/>
    <d v="2022-08-09T00:00:00"/>
    <m/>
    <m/>
    <m/>
    <m/>
    <m/>
    <m/>
    <m/>
    <m/>
    <d v="2022-08-09T00:00:00"/>
    <x v="8"/>
  </r>
  <r>
    <s v="Luis Fernando Rojas Prada"/>
    <d v="2022-08-10T00:00:00"/>
    <d v="2022-08-10T00:00:00"/>
    <n v="32"/>
    <s v="FELC -987"/>
    <x v="0"/>
    <n v="29128"/>
    <x v="113"/>
    <n v="230111200"/>
    <n v="56"/>
    <n v="4502386983"/>
    <n v="5083107983"/>
    <n v="5113497823"/>
    <m/>
    <s v="EJ*4 2982600*4"/>
    <s v="CON RETEN"/>
    <x v="0"/>
    <d v="2022-08-09T00:00:00"/>
    <n v="4902320860"/>
    <n v="11930400"/>
    <s v="FEMD-4858*4"/>
    <n v="5113500971"/>
    <m/>
    <m/>
    <m/>
    <m/>
    <d v="2022-08-09T00:00:00"/>
    <x v="8"/>
  </r>
  <r>
    <s v="Agropecuaria Tabaida S.A.S"/>
    <d v="2022-08-09T00:00:00"/>
    <d v="2022-08-10T00:00:00"/>
    <n v="32"/>
    <s v="MT1502"/>
    <x v="1"/>
    <n v="20648"/>
    <x v="76"/>
    <n v="167248800"/>
    <n v="42"/>
    <n v="4502386985"/>
    <n v="5083107985"/>
    <n v="5113497849"/>
    <s v="TIENE BL"/>
    <s v="EJ*3 1793900*3"/>
    <s v="TIENE BL"/>
    <x v="0"/>
    <d v="2022-08-09T00:00:00"/>
    <n v="4902320862"/>
    <n v="5381700"/>
    <s v="FEMD-4861*3"/>
    <n v="5113500925"/>
    <m/>
    <m/>
    <m/>
    <m/>
    <d v="2022-08-09T00:00:00"/>
    <x v="8"/>
  </r>
  <r>
    <s v="Andres Felipe Mantilla Acosta"/>
    <d v="2022-08-11T00:00:00"/>
    <d v="2022-08-12T00:00:00"/>
    <n v="32"/>
    <s v="FEFE25"/>
    <x v="1"/>
    <n v="6699"/>
    <x v="188"/>
    <n v="56271600"/>
    <n v="15"/>
    <n v="4502383146"/>
    <n v="5083124259"/>
    <n v="5113507329"/>
    <m/>
    <s v="TIENE BL"/>
    <m/>
    <x v="0"/>
    <d v="2022-08-09T00:00:00"/>
    <m/>
    <m/>
    <m/>
    <m/>
    <m/>
    <m/>
    <m/>
    <m/>
    <d v="2022-08-09T00:00:00"/>
    <x v="8"/>
  </r>
  <r>
    <s v="Andres Felipe Mantilla Acosta"/>
    <d v="2022-08-11T00:00:00"/>
    <d v="2022-08-12T00:00:00"/>
    <n v="32"/>
    <s v="NC6"/>
    <x v="1"/>
    <n v="6699"/>
    <x v="489"/>
    <n v="-414534.11999999464"/>
    <n v="0"/>
    <n v="4502383146"/>
    <n v="5083124259"/>
    <n v="5113507333"/>
    <m/>
    <m/>
    <m/>
    <x v="0"/>
    <d v="2022-08-09T00:00:00"/>
    <m/>
    <m/>
    <m/>
    <m/>
    <m/>
    <m/>
    <m/>
    <m/>
    <d v="2022-08-09T00:00:00"/>
    <x v="8"/>
  </r>
  <r>
    <s v="Sociedad Comercializadora Ganadera"/>
    <d v="2022-08-11T00:00:00"/>
    <d v="2022-08-11T00:00:00"/>
    <n v="32"/>
    <s v="FEDV388"/>
    <x v="3"/>
    <n v="9776"/>
    <x v="5"/>
    <n v="72342400"/>
    <n v="33"/>
    <n v="4502389215"/>
    <n v="5083145741"/>
    <n v="5113502033"/>
    <m/>
    <s v="TIENE BL"/>
    <m/>
    <x v="2"/>
    <d v="2022-08-10T00:00:00"/>
    <m/>
    <m/>
    <m/>
    <m/>
    <m/>
    <m/>
    <m/>
    <m/>
    <d v="2022-08-10T00:00:00"/>
    <x v="8"/>
  </r>
  <r>
    <s v="Fernando Arevalo Reyes"/>
    <d v="2022-08-12T00:00:00"/>
    <m/>
    <n v="33"/>
    <s v="FVE-167"/>
    <x v="0"/>
    <n v="7419.5"/>
    <x v="207"/>
    <n v="61581850"/>
    <n v="14"/>
    <n v="4502388139"/>
    <n v="5083185879"/>
    <n v="5113515296"/>
    <m/>
    <s v="TIENE BL"/>
    <m/>
    <x v="0"/>
    <d v="2022-08-12T00:00:00"/>
    <m/>
    <m/>
    <m/>
    <m/>
    <m/>
    <m/>
    <m/>
    <m/>
    <d v="2022-08-12T00:00:00"/>
    <x v="8"/>
  </r>
  <r>
    <s v="Fernando Arevalo Reyes"/>
    <d v="2022-08-12T00:00:00"/>
    <m/>
    <n v="33"/>
    <s v="ND9"/>
    <x v="0"/>
    <n v="7419.5"/>
    <x v="2"/>
    <n v="741950"/>
    <n v="0"/>
    <n v="4502388139"/>
    <n v="5083185879"/>
    <n v="5113515358"/>
    <m/>
    <m/>
    <m/>
    <x v="0"/>
    <d v="2022-08-12T00:00:00"/>
    <m/>
    <m/>
    <m/>
    <m/>
    <m/>
    <m/>
    <m/>
    <m/>
    <d v="2022-08-12T00:00:00"/>
    <x v="8"/>
  </r>
  <r>
    <s v="Sociedad Comercializadora Ganadera"/>
    <d v="2022-08-16T00:00:00"/>
    <d v="2022-08-16T00:00:00"/>
    <n v="33"/>
    <s v="FEDV390"/>
    <x v="0"/>
    <n v="28636"/>
    <x v="227"/>
    <n v="249133200"/>
    <n v="60"/>
    <n v="4502388140"/>
    <n v="5083185880"/>
    <n v="5113512157"/>
    <m/>
    <s v="TIENE BL"/>
    <m/>
    <x v="0"/>
    <d v="2022-08-12T00:00:00"/>
    <m/>
    <m/>
    <m/>
    <m/>
    <m/>
    <m/>
    <m/>
    <m/>
    <d v="2022-08-12T00:00:00"/>
    <x v="8"/>
  </r>
  <r>
    <s v="Sociedad Comercializadora Ganadera"/>
    <d v="2022-08-16T00:00:00"/>
    <d v="2022-08-16T00:00:00"/>
    <n v="33"/>
    <s v="NC193"/>
    <x v="0"/>
    <n v="28636"/>
    <x v="62"/>
    <n v="-79321.720000012501"/>
    <n v="0"/>
    <n v="4502388140"/>
    <n v="5083185880"/>
    <n v="5113512159"/>
    <m/>
    <m/>
    <m/>
    <x v="0"/>
    <d v="2022-08-12T00:00:00"/>
    <m/>
    <m/>
    <m/>
    <m/>
    <m/>
    <m/>
    <m/>
    <m/>
    <d v="2022-08-12T00:00:00"/>
    <x v="8"/>
  </r>
  <r>
    <s v="Yoan Andres Carrascal Sanchez"/>
    <d v="2022-08-18T00:00:00"/>
    <d v="2022-08-18T00:00:00"/>
    <n v="33"/>
    <s v="FEYC-6"/>
    <x v="0"/>
    <n v="5980"/>
    <x v="207"/>
    <n v="49634000"/>
    <n v="14"/>
    <n v="4502388141"/>
    <n v="5083185881"/>
    <n v="5113517459"/>
    <m/>
    <s v="TIENE BL"/>
    <s v="Esta haciendo el tramite "/>
    <x v="0"/>
    <d v="2022-08-12T00:00:00"/>
    <m/>
    <m/>
    <m/>
    <m/>
    <m/>
    <m/>
    <m/>
    <m/>
    <d v="2022-08-12T00:00:00"/>
    <x v="8"/>
  </r>
  <r>
    <s v="Yoan Andres Carrascal Sanchez"/>
    <d v="2022-08-18T00:00:00"/>
    <d v="2022-08-18T00:00:00"/>
    <n v="33"/>
    <s v="NC5"/>
    <x v="0"/>
    <n v="5980"/>
    <x v="490"/>
    <n v="-152071.40000000174"/>
    <n v="0"/>
    <n v="4502388141"/>
    <n v="5083185881"/>
    <n v="5113517460"/>
    <m/>
    <m/>
    <m/>
    <x v="0"/>
    <d v="2022-08-12T00:00:00"/>
    <m/>
    <m/>
    <m/>
    <m/>
    <m/>
    <m/>
    <m/>
    <m/>
    <d v="2022-08-12T00:00:00"/>
    <x v="8"/>
  </r>
  <r>
    <s v="Oscar Fabian Quintero Ardila"/>
    <d v="2022-08-12T00:00:00"/>
    <d v="2022-08-22T00:00:00"/>
    <n v="33"/>
    <s v="FE-54"/>
    <x v="0"/>
    <n v="12938"/>
    <x v="207"/>
    <n v="107385400"/>
    <n v="30"/>
    <n v="4502388142"/>
    <n v="5083185986"/>
    <n v="5113524902"/>
    <m/>
    <s v="CON RETEN"/>
    <m/>
    <x v="0"/>
    <d v="2022-08-12T00:00:00"/>
    <m/>
    <m/>
    <m/>
    <m/>
    <m/>
    <m/>
    <m/>
    <m/>
    <d v="2022-08-12T00:00:00"/>
    <x v="8"/>
  </r>
  <r>
    <s v="Oscar Fabian Quintero Ardila"/>
    <d v="2022-08-12T00:00:00"/>
    <d v="2022-08-22T00:00:00"/>
    <n v="33"/>
    <s v="ND5"/>
    <x v="0"/>
    <n v="12938"/>
    <x v="491"/>
    <n v="569272"/>
    <n v="0"/>
    <n v="4502388142"/>
    <n v="5083185986"/>
    <n v="5113524903"/>
    <m/>
    <m/>
    <m/>
    <x v="0"/>
    <d v="2022-08-12T00:00:00"/>
    <m/>
    <m/>
    <m/>
    <m/>
    <m/>
    <m/>
    <m/>
    <m/>
    <d v="2022-08-12T00:00:00"/>
    <x v="8"/>
  </r>
  <r>
    <s v="Agropecuaria Tabaida S.A.S"/>
    <d v="2022-08-12T00:00:00"/>
    <d v="2022-08-16T00:00:00"/>
    <n v="33"/>
    <s v="MT1507"/>
    <x v="0"/>
    <n v="20192"/>
    <x v="117"/>
    <n v="161536000"/>
    <n v="40"/>
    <n v="4502390419"/>
    <n v="5083185761"/>
    <n v="5113512117"/>
    <s v="TIENE BL"/>
    <s v="TYC 4792500"/>
    <m/>
    <x v="0"/>
    <d v="2022-08-12T00:00:00"/>
    <n v="4902325247"/>
    <n v="4792500"/>
    <s v="ETE-3401"/>
    <n v="5113513222"/>
    <m/>
    <m/>
    <m/>
    <m/>
    <d v="2022-08-12T00:00:00"/>
    <x v="8"/>
  </r>
  <r>
    <s v="Carlos Mario Duque Cadavid"/>
    <d v="2022-08-12T00:00:00"/>
    <m/>
    <n v="33"/>
    <s v="CD-122"/>
    <x v="1"/>
    <n v="22463"/>
    <x v="117"/>
    <n v="179704000"/>
    <n v="42"/>
    <n v="4502390420"/>
    <n v="5083185762"/>
    <n v="5113510015"/>
    <m/>
    <s v="EJ*3 1638223*3"/>
    <m/>
    <x v="0"/>
    <d v="2022-08-12T00:00:00"/>
    <n v="4902325255"/>
    <n v="4914669"/>
    <s v="FEMD-4904*3"/>
    <n v="5113516720"/>
    <m/>
    <m/>
    <m/>
    <m/>
    <d v="2022-08-12T00:00:00"/>
    <x v="8"/>
  </r>
  <r>
    <s v="Andres Jaramillo Bernal"/>
    <d v="2022-08-13T00:00:00"/>
    <d v="2022-08-17T00:00:00"/>
    <n v="33"/>
    <s v="FEVA-5204"/>
    <x v="1"/>
    <n v="6495.5"/>
    <x v="207"/>
    <n v="53912650"/>
    <n v="14"/>
    <n v="4502388143"/>
    <n v="5083185882"/>
    <n v="5113512162"/>
    <m/>
    <s v="CON RETEN"/>
    <m/>
    <x v="0"/>
    <d v="2022-08-12T00:00:00"/>
    <m/>
    <m/>
    <m/>
    <m/>
    <m/>
    <m/>
    <m/>
    <m/>
    <d v="2022-08-12T00:00:00"/>
    <x v="8"/>
  </r>
  <r>
    <s v="Andres Jaramillo Bernal"/>
    <d v="2022-08-13T00:00:00"/>
    <d v="2022-08-17T00:00:00"/>
    <n v="33"/>
    <s v="NCE37"/>
    <x v="1"/>
    <n v="6495.5"/>
    <x v="13"/>
    <n v="-324775"/>
    <n v="0"/>
    <n v="4502388143"/>
    <n v="5083185882"/>
    <n v="5113512164"/>
    <m/>
    <m/>
    <m/>
    <x v="0"/>
    <d v="2022-08-12T00:00:00"/>
    <m/>
    <m/>
    <m/>
    <m/>
    <m/>
    <m/>
    <m/>
    <m/>
    <d v="2022-08-12T00:00:00"/>
    <x v="8"/>
  </r>
  <r>
    <s v="Jorge Armando Ortega Trigos"/>
    <d v="2022-08-12T00:00:00"/>
    <m/>
    <n v="33"/>
    <s v="FVE-33"/>
    <x v="0"/>
    <n v="28516"/>
    <x v="207"/>
    <n v="236682800"/>
    <n v="60"/>
    <n v="4502388144"/>
    <n v="5083185987"/>
    <n v="5113525015"/>
    <m/>
    <s v="TIENE BL"/>
    <m/>
    <x v="0"/>
    <d v="2022-08-12T00:00:00"/>
    <m/>
    <m/>
    <m/>
    <m/>
    <m/>
    <m/>
    <m/>
    <m/>
    <d v="2022-08-12T00:00:00"/>
    <x v="8"/>
  </r>
  <r>
    <s v="Jorge Armando Ortega Trigos"/>
    <d v="2022-08-12T00:00:00"/>
    <m/>
    <n v="33"/>
    <s v="NCV9"/>
    <x v="0"/>
    <n v="28516"/>
    <x v="492"/>
    <n v="-1525035.6799999876"/>
    <n v="0"/>
    <n v="4502388144"/>
    <n v="5083185987"/>
    <n v="5113525016"/>
    <m/>
    <m/>
    <m/>
    <x v="0"/>
    <d v="2022-08-12T00:00:00"/>
    <m/>
    <m/>
    <m/>
    <m/>
    <m/>
    <m/>
    <m/>
    <m/>
    <d v="2022-08-12T00:00:00"/>
    <x v="8"/>
  </r>
  <r>
    <s v="Sociedad Comercializadora Ganadera"/>
    <d v="2022-08-16T00:00:00"/>
    <d v="2022-08-16T00:00:00"/>
    <n v="33"/>
    <s v="FEDV391"/>
    <x v="0"/>
    <n v="14759"/>
    <x v="227"/>
    <n v="128403300"/>
    <n v="30"/>
    <n v="4502388145"/>
    <n v="5083185883"/>
    <n v="5113512121"/>
    <m/>
    <s v="TIENE BL"/>
    <m/>
    <x v="0"/>
    <d v="2022-08-13T00:00:00"/>
    <m/>
    <m/>
    <m/>
    <m/>
    <m/>
    <m/>
    <m/>
    <m/>
    <d v="2022-08-13T00:00:00"/>
    <x v="8"/>
  </r>
  <r>
    <s v="Sociedad Comercializadora Ganadera"/>
    <d v="2022-08-16T00:00:00"/>
    <d v="2022-08-16T00:00:00"/>
    <n v="33"/>
    <s v="NC194"/>
    <x v="0"/>
    <n v="14759"/>
    <x v="493"/>
    <n v="-2513310.1100000129"/>
    <n v="0"/>
    <n v="4502388145"/>
    <n v="5083185883"/>
    <n v="5113512125"/>
    <m/>
    <m/>
    <m/>
    <x v="0"/>
    <d v="2022-08-13T00:00:00"/>
    <m/>
    <m/>
    <m/>
    <m/>
    <m/>
    <m/>
    <m/>
    <m/>
    <d v="2022-08-13T00:00:00"/>
    <x v="8"/>
  </r>
  <r>
    <s v="Sociedad Comercializadora Ganadera"/>
    <d v="2022-08-16T00:00:00"/>
    <d v="2022-08-16T00:00:00"/>
    <n v="33"/>
    <s v="FEDV392"/>
    <x v="0"/>
    <n v="7620"/>
    <x v="227"/>
    <n v="66294000"/>
    <n v="15"/>
    <n v="4502388145"/>
    <n v="5083185883"/>
    <n v="5113512119"/>
    <m/>
    <s v="TIENE BL"/>
    <m/>
    <x v="0"/>
    <d v="2022-08-13T00:00:00"/>
    <m/>
    <m/>
    <m/>
    <m/>
    <m/>
    <m/>
    <m/>
    <m/>
    <d v="2022-08-13T00:00:00"/>
    <x v="8"/>
  </r>
  <r>
    <s v="David Martinez Jaramillo"/>
    <d v="2022-08-13T00:00:00"/>
    <d v="2022-08-16T00:00:00"/>
    <n v="33"/>
    <s v="DM244"/>
    <x v="0"/>
    <n v="12055"/>
    <x v="227"/>
    <n v="104878500"/>
    <n v="28"/>
    <n v="4502388146"/>
    <n v="5083185884"/>
    <n v="5113513070"/>
    <m/>
    <s v="TIENE BL"/>
    <m/>
    <x v="0"/>
    <d v="2022-08-13T00:00:00"/>
    <m/>
    <m/>
    <m/>
    <m/>
    <m/>
    <m/>
    <m/>
    <m/>
    <d v="2022-08-13T00:00:00"/>
    <x v="8"/>
  </r>
  <r>
    <s v="David Martinez Jaramillo"/>
    <d v="2022-08-16T00:00:00"/>
    <d v="2022-08-16T00:00:00"/>
    <n v="33"/>
    <s v="NC60"/>
    <x v="0"/>
    <n v="12055"/>
    <x v="494"/>
    <n v="-1477099.1500000078"/>
    <n v="0"/>
    <n v="4502388146"/>
    <n v="5083185884"/>
    <n v="5113513072"/>
    <m/>
    <m/>
    <m/>
    <x v="0"/>
    <d v="2022-08-13T00:00:00"/>
    <m/>
    <m/>
    <m/>
    <m/>
    <m/>
    <m/>
    <m/>
    <m/>
    <d v="2022-08-13T00:00:00"/>
    <x v="8"/>
  </r>
  <r>
    <s v="Guamal S EN C"/>
    <d v="2022-08-17T00:00:00"/>
    <d v="2022-08-17T00:00:00"/>
    <n v="33"/>
    <s v="F-138"/>
    <x v="0"/>
    <n v="14131"/>
    <x v="207"/>
    <n v="117287300"/>
    <n v="30"/>
    <n v="4502388147"/>
    <n v="5083185885"/>
    <n v="5113509994"/>
    <m/>
    <s v="CON RETEN "/>
    <m/>
    <x v="0"/>
    <d v="2022-08-13T00:00:00"/>
    <m/>
    <m/>
    <m/>
    <m/>
    <m/>
    <m/>
    <m/>
    <m/>
    <d v="2022-08-13T00:00:00"/>
    <x v="8"/>
  </r>
  <r>
    <s v="Guamal S EN C"/>
    <d v="2022-08-17T00:00:00"/>
    <d v="2022-08-17T00:00:00"/>
    <n v="33"/>
    <s v="F105"/>
    <x v="0"/>
    <n v="14131"/>
    <x v="13"/>
    <n v="-706550"/>
    <n v="0"/>
    <n v="4502388147"/>
    <n v="5083185885"/>
    <n v="5113510008"/>
    <m/>
    <m/>
    <m/>
    <x v="0"/>
    <d v="2022-08-13T00:00:00"/>
    <m/>
    <m/>
    <m/>
    <m/>
    <m/>
    <m/>
    <m/>
    <m/>
    <d v="2022-08-13T00:00:00"/>
    <x v="8"/>
  </r>
  <r>
    <s v="Roque Paez Cardenas"/>
    <d v="2022-08-14T00:00:00"/>
    <d v="2022-08-18T00:00:00"/>
    <n v="33"/>
    <s v="FE-4"/>
    <x v="0"/>
    <n v="13313.5"/>
    <x v="207"/>
    <n v="110502050"/>
    <n v="28"/>
    <n v="4502390051"/>
    <n v="5083188174"/>
    <n v="5113517161"/>
    <m/>
    <s v="TIENE BL"/>
    <m/>
    <x v="0"/>
    <d v="2022-08-14T00:00:00"/>
    <m/>
    <m/>
    <m/>
    <m/>
    <m/>
    <m/>
    <m/>
    <m/>
    <d v="2022-08-14T00:00:00"/>
    <x v="8"/>
  </r>
  <r>
    <s v="Rafael Francisco Delgado Serrano"/>
    <d v="2022-08-17T00:00:00"/>
    <m/>
    <n v="33"/>
    <s v="RFDS-165"/>
    <x v="0"/>
    <n v="6547"/>
    <x v="188"/>
    <n v="54994800"/>
    <n v="14"/>
    <n v="4502388148"/>
    <n v="5083188170"/>
    <n v="5113513099"/>
    <m/>
    <s v="CON RETEN"/>
    <m/>
    <x v="0"/>
    <d v="2022-08-14T00:00:00"/>
    <m/>
    <m/>
    <m/>
    <m/>
    <m/>
    <m/>
    <m/>
    <m/>
    <d v="2022-08-14T00:00:00"/>
    <x v="8"/>
  </r>
  <r>
    <s v="Rafael Francisco Delgado Serrano"/>
    <d v="2022-08-17T00:00:00"/>
    <m/>
    <n v="33"/>
    <s v="NCR26"/>
    <x v="0"/>
    <n v="6547"/>
    <x v="13"/>
    <n v="-327350"/>
    <n v="0"/>
    <n v="4502388148"/>
    <n v="5083188170"/>
    <n v="5113513101"/>
    <m/>
    <m/>
    <m/>
    <x v="0"/>
    <d v="2022-08-14T00:00:00"/>
    <m/>
    <m/>
    <m/>
    <m/>
    <m/>
    <m/>
    <m/>
    <m/>
    <d v="2022-08-14T00:00:00"/>
    <x v="8"/>
  </r>
  <r>
    <s v="Lismenia Torcoroma Rincon Hernandez"/>
    <d v="2022-08-14T00:00:00"/>
    <d v="2022-08-16T00:00:00"/>
    <n v="33"/>
    <s v="GANA244"/>
    <x v="0"/>
    <n v="6478.5"/>
    <x v="207"/>
    <n v="53771550"/>
    <n v="15"/>
    <n v="4502388149"/>
    <n v="5083188171"/>
    <n v="5113509945"/>
    <m/>
    <s v="CON RETEN"/>
    <m/>
    <x v="0"/>
    <d v="2022-08-14T00:00:00"/>
    <m/>
    <m/>
    <m/>
    <m/>
    <m/>
    <m/>
    <m/>
    <m/>
    <d v="2022-08-14T00:00:00"/>
    <x v="8"/>
  </r>
  <r>
    <s v="Miguel Antonio Carrascal Pacheco"/>
    <d v="2022-08-17T00:00:00"/>
    <d v="2022-08-17T00:00:00"/>
    <n v="33"/>
    <s v="FAMC8"/>
    <x v="0"/>
    <n v="7315.5"/>
    <x v="207"/>
    <n v="60718650"/>
    <n v="15"/>
    <n v="4502388150"/>
    <n v="5083188310"/>
    <n v="5113520276"/>
    <m/>
    <s v="TIENE BL"/>
    <m/>
    <x v="0"/>
    <d v="2022-08-14T00:00:00"/>
    <m/>
    <m/>
    <m/>
    <m/>
    <m/>
    <m/>
    <m/>
    <m/>
    <d v="2022-08-14T00:00:00"/>
    <x v="8"/>
  </r>
  <r>
    <s v="Miguel Antonio Carrascal Pacheco"/>
    <d v="2022-08-17T00:00:00"/>
    <m/>
    <n v="33"/>
    <s v="NCR43"/>
    <x v="0"/>
    <n v="7315.5"/>
    <x v="2"/>
    <n v="-731550"/>
    <n v="0"/>
    <n v="4502388150"/>
    <n v="5083188310"/>
    <n v="5113520308"/>
    <m/>
    <m/>
    <m/>
    <x v="0"/>
    <d v="2022-08-14T00:00:00"/>
    <m/>
    <m/>
    <m/>
    <m/>
    <m/>
    <m/>
    <m/>
    <m/>
    <d v="2022-08-14T00:00:00"/>
    <x v="8"/>
  </r>
  <r>
    <s v="Andres Jaramillo Bernal"/>
    <d v="2022-08-14T00:00:00"/>
    <d v="2022-08-17T00:00:00"/>
    <n v="33"/>
    <s v="FEVA-5205"/>
    <x v="0"/>
    <n v="12526.5"/>
    <x v="207"/>
    <n v="103969950"/>
    <n v="28"/>
    <n v="4502388151"/>
    <n v="5083188172"/>
    <n v="5113512165"/>
    <m/>
    <s v="CON RETEN"/>
    <m/>
    <x v="0"/>
    <d v="2022-08-14T00:00:00"/>
    <m/>
    <m/>
    <m/>
    <m/>
    <m/>
    <m/>
    <m/>
    <m/>
    <d v="2022-08-14T00:00:00"/>
    <x v="8"/>
  </r>
  <r>
    <s v="Andres Jaramillo Bernal"/>
    <d v="2022-08-14T00:00:00"/>
    <d v="2022-08-17T00:00:00"/>
    <n v="33"/>
    <s v="NCE38"/>
    <x v="0"/>
    <n v="12526.5"/>
    <x v="13"/>
    <n v="-626325"/>
    <n v="0"/>
    <n v="4502388151"/>
    <n v="5083188172"/>
    <n v="5113512187"/>
    <m/>
    <m/>
    <m/>
    <x v="0"/>
    <d v="2022-08-14T00:00:00"/>
    <m/>
    <m/>
    <m/>
    <m/>
    <m/>
    <m/>
    <m/>
    <m/>
    <d v="2022-08-14T00:00:00"/>
    <x v="8"/>
  </r>
  <r>
    <s v="David Martinez Jaramillo"/>
    <d v="2022-08-14T00:00:00"/>
    <d v="2022-08-16T00:00:00"/>
    <n v="33"/>
    <s v="DM245"/>
    <x v="0"/>
    <n v="7716.5"/>
    <x v="227"/>
    <n v="67133550"/>
    <n v="14"/>
    <n v="4502388152"/>
    <n v="5083188173"/>
    <n v="5113513073"/>
    <m/>
    <s v="TIENE BL"/>
    <m/>
    <x v="0"/>
    <d v="2022-08-14T00:00:00"/>
    <m/>
    <m/>
    <m/>
    <m/>
    <m/>
    <m/>
    <m/>
    <m/>
    <d v="2022-08-14T00:00:00"/>
    <x v="8"/>
  </r>
  <r>
    <s v="David Martinez Jaramillo"/>
    <d v="2022-08-16T00:00:00"/>
    <d v="2022-08-16T00:00:00"/>
    <n v="33"/>
    <s v="NC61"/>
    <x v="0"/>
    <n v="7716.5"/>
    <x v="495"/>
    <n v="-186507.80500000058"/>
    <n v="0"/>
    <n v="4502388152"/>
    <n v="5083188173"/>
    <n v="5113513076"/>
    <m/>
    <m/>
    <m/>
    <x v="0"/>
    <d v="2022-08-14T00:00:00"/>
    <m/>
    <m/>
    <m/>
    <m/>
    <m/>
    <m/>
    <m/>
    <m/>
    <d v="2022-08-14T00:00:00"/>
    <x v="8"/>
  </r>
  <r>
    <s v="HEVLA S.A.S"/>
    <d v="2022-08-14T00:00:00"/>
    <d v="2022-08-17T00:00:00"/>
    <n v="33"/>
    <s v="FE-611"/>
    <x v="1"/>
    <n v="15193"/>
    <x v="149"/>
    <n v="120784350"/>
    <n v="28"/>
    <n v="4502390421"/>
    <n v="5083185796"/>
    <n v="5113510359"/>
    <m/>
    <s v="EJ*2 2982600*2"/>
    <m/>
    <x v="0"/>
    <d v="2022-08-14T00:00:00"/>
    <n v="4902325259"/>
    <n v="5965200"/>
    <s v="FEMD-4913*2"/>
    <n v="5113556644"/>
    <m/>
    <m/>
    <m/>
    <m/>
    <d v="2022-08-14T00:00:00"/>
    <x v="8"/>
  </r>
  <r>
    <s v="Sociedad Comercializadora Ganadera"/>
    <d v="2022-08-18T00:00:00"/>
    <d v="2022-08-18T00:00:00"/>
    <n v="33"/>
    <s v="FEDV393"/>
    <x v="0"/>
    <n v="14264"/>
    <x v="227"/>
    <n v="124096800"/>
    <n v="28"/>
    <n v="4502388154"/>
    <n v="5083200048"/>
    <n v="5113517783"/>
    <m/>
    <s v="TIENE BL"/>
    <m/>
    <x v="0"/>
    <d v="2022-08-15T00:00:00"/>
    <m/>
    <m/>
    <m/>
    <m/>
    <m/>
    <m/>
    <m/>
    <m/>
    <d v="2022-08-15T00:00:00"/>
    <x v="8"/>
  </r>
  <r>
    <s v="Sociedad Comercializadora Ganadera"/>
    <d v="2022-08-18T00:00:00"/>
    <d v="2022-08-18T00:00:00"/>
    <n v="33"/>
    <s v="NC195"/>
    <x v="0"/>
    <n v="14264"/>
    <x v="13"/>
    <n v="-713200"/>
    <n v="0"/>
    <n v="4502388154"/>
    <n v="5083200048"/>
    <n v="5113517786"/>
    <m/>
    <m/>
    <m/>
    <x v="0"/>
    <d v="2022-08-15T00:00:00"/>
    <m/>
    <m/>
    <m/>
    <m/>
    <m/>
    <m/>
    <m/>
    <m/>
    <d v="2022-08-15T00:00:00"/>
    <x v="8"/>
  </r>
  <r>
    <s v="Invegarey S.A.S"/>
    <d v="2022-08-22T00:00:00"/>
    <d v="2022-08-22T00:00:00"/>
    <n v="33"/>
    <s v="INV-73"/>
    <x v="0"/>
    <n v="13446.5"/>
    <x v="188"/>
    <n v="112950600"/>
    <n v="28"/>
    <n v="4502388155"/>
    <n v="5083200049"/>
    <n v="5113523895"/>
    <m/>
    <s v="CON RETEN"/>
    <m/>
    <x v="0"/>
    <d v="2022-08-15T00:00:00"/>
    <m/>
    <m/>
    <m/>
    <m/>
    <m/>
    <m/>
    <m/>
    <m/>
    <d v="2022-08-15T00:00:00"/>
    <x v="8"/>
  </r>
  <r>
    <s v="Multicarnicos S.A"/>
    <d v="2022-08-15T00:00:00"/>
    <d v="2022-08-18T00:00:00"/>
    <n v="33"/>
    <s v="MUL-381"/>
    <x v="1"/>
    <n v="13339.5"/>
    <x v="188"/>
    <n v="112051800"/>
    <n v="29"/>
    <n v="4502388156"/>
    <n v="5083202571"/>
    <n v="5113514030"/>
    <m/>
    <s v="TIENE BL"/>
    <m/>
    <x v="0"/>
    <d v="2022-08-15T00:00:00"/>
    <m/>
    <m/>
    <m/>
    <m/>
    <m/>
    <m/>
    <m/>
    <m/>
    <d v="2022-08-15T00:00:00"/>
    <x v="8"/>
  </r>
  <r>
    <s v="Multicarnicos S.A"/>
    <d v="2022-08-15T00:00:00"/>
    <d v="2022-08-18T00:00:00"/>
    <n v="33"/>
    <s v="NC46"/>
    <x v="1"/>
    <n v="13339.5"/>
    <x v="13"/>
    <n v="-666975"/>
    <n v="0"/>
    <n v="4502388156"/>
    <n v="5083202571"/>
    <n v="5113514031"/>
    <m/>
    <m/>
    <m/>
    <x v="0"/>
    <d v="2022-08-15T00:00:00"/>
    <m/>
    <m/>
    <m/>
    <m/>
    <m/>
    <m/>
    <m/>
    <m/>
    <d v="2022-08-15T00:00:00"/>
    <x v="8"/>
  </r>
  <r>
    <s v="Inversiones y Negocios V&amp;V S.A.S"/>
    <d v="2022-08-18T00:00:00"/>
    <d v="2022-08-18T00:00:00"/>
    <n v="33"/>
    <s v="FE-1698"/>
    <x v="1"/>
    <n v="6507"/>
    <x v="227"/>
    <n v="56610900"/>
    <n v="14"/>
    <n v="4502388157"/>
    <n v="5083200050"/>
    <n v="5113516437"/>
    <m/>
    <s v="CON RETEN"/>
    <m/>
    <x v="0"/>
    <d v="2022-08-15T00:00:00"/>
    <m/>
    <m/>
    <m/>
    <m/>
    <m/>
    <m/>
    <m/>
    <m/>
    <d v="2022-08-15T00:00:00"/>
    <x v="8"/>
  </r>
  <r>
    <s v="Inversiones y Negocios V&amp;V S.A.S"/>
    <d v="2022-08-18T00:00:00"/>
    <d v="2022-08-18T00:00:00"/>
    <n v="33"/>
    <s v="NC13052"/>
    <x v="1"/>
    <n v="6507"/>
    <x v="13"/>
    <n v="-325350"/>
    <n v="0"/>
    <n v="4502388157"/>
    <n v="5083200050"/>
    <n v="5113516438"/>
    <m/>
    <m/>
    <m/>
    <x v="0"/>
    <d v="2022-08-15T00:00:00"/>
    <m/>
    <m/>
    <m/>
    <m/>
    <m/>
    <m/>
    <m/>
    <m/>
    <d v="2022-08-15T00:00:00"/>
    <x v="8"/>
  </r>
  <r>
    <s v="David Martinez Jaramillo"/>
    <d v="2022-08-15T00:00:00"/>
    <d v="2022-08-18T00:00:00"/>
    <n v="33"/>
    <s v="DM247"/>
    <x v="1"/>
    <n v="7372"/>
    <x v="227"/>
    <n v="64136400"/>
    <n v="15"/>
    <n v="4502388158"/>
    <n v="5083200051"/>
    <n v="5113513766"/>
    <m/>
    <s v="TIENE BL"/>
    <m/>
    <x v="0"/>
    <d v="2022-08-15T00:00:00"/>
    <m/>
    <m/>
    <m/>
    <m/>
    <m/>
    <m/>
    <m/>
    <m/>
    <d v="2022-08-15T00:00:00"/>
    <x v="8"/>
  </r>
  <r>
    <s v="LA OKA S.A.S."/>
    <d v="2022-08-30T00:00:00"/>
    <m/>
    <n v="33"/>
    <s v="FEOK78"/>
    <x v="0"/>
    <n v="12465.5"/>
    <x v="207"/>
    <n v="103463650"/>
    <n v="28"/>
    <n v="4502388160"/>
    <n v="5083216996"/>
    <n v="5113552572"/>
    <m/>
    <s v="CON RETEN"/>
    <m/>
    <x v="0"/>
    <d v="2022-08-16T00:00:00"/>
    <m/>
    <m/>
    <m/>
    <m/>
    <m/>
    <m/>
    <m/>
    <m/>
    <d v="2022-08-16T00:00:00"/>
    <x v="8"/>
  </r>
  <r>
    <s v="LA OKA S.A.S."/>
    <d v="2022-08-30T00:00:00"/>
    <d v="2022-08-30T00:00:00"/>
    <n v="33"/>
    <s v="NC218"/>
    <x v="0"/>
    <n v="12465.5"/>
    <x v="13"/>
    <n v="-623275"/>
    <n v="0"/>
    <n v="4502388160"/>
    <n v="5083216996"/>
    <n v="5113552596"/>
    <m/>
    <m/>
    <m/>
    <x v="0"/>
    <d v="2022-08-16T00:00:00"/>
    <m/>
    <m/>
    <m/>
    <m/>
    <m/>
    <m/>
    <m/>
    <m/>
    <d v="2022-08-16T00:00:00"/>
    <x v="8"/>
  </r>
  <r>
    <s v="Agropecuaria Tabaida S.A.S"/>
    <d v="2022-08-16T00:00:00"/>
    <d v="2022-08-16T00:00:00"/>
    <n v="33"/>
    <s v="MT1508"/>
    <x v="0"/>
    <n v="20234"/>
    <x v="117"/>
    <n v="161872000"/>
    <n v="42"/>
    <n v="4502391418"/>
    <n v="5083185761"/>
    <n v="5113512118"/>
    <s v="TIENE BL"/>
    <s v="EJ*3 1793900*3"/>
    <m/>
    <x v="0"/>
    <d v="2022-08-16T00:00:00"/>
    <n v="4902325262"/>
    <n v="5381700"/>
    <s v="FEMD-4930*3"/>
    <n v="5113516889"/>
    <m/>
    <m/>
    <m/>
    <m/>
    <d v="2022-08-16T00:00:00"/>
    <x v="8"/>
  </r>
  <r>
    <s v="Sociedad Comercializadora Ganadera"/>
    <d v="2022-08-18T00:00:00"/>
    <d v="2022-08-18T00:00:00"/>
    <n v="33"/>
    <s v="FEDV395"/>
    <x v="0"/>
    <n v="7555"/>
    <x v="227"/>
    <n v="65728500"/>
    <n v="14"/>
    <n v="4502388162"/>
    <n v="5083217344"/>
    <n v="5113521328"/>
    <m/>
    <s v="TIENE BL"/>
    <m/>
    <x v="0"/>
    <d v="2022-08-16T00:00:00"/>
    <m/>
    <m/>
    <m/>
    <m/>
    <m/>
    <m/>
    <m/>
    <m/>
    <d v="2022-08-16T00:00:00"/>
    <x v="8"/>
  </r>
  <r>
    <s v="Sociedad Comercializadora Ganadera"/>
    <d v="2022-08-18T00:00:00"/>
    <d v="2022-08-18T00:00:00"/>
    <n v="33"/>
    <s v="FEDV396"/>
    <x v="0"/>
    <n v="23261.5"/>
    <x v="227"/>
    <n v="202375050"/>
    <n v="50"/>
    <n v="4502388162"/>
    <n v="5083217344"/>
    <n v="5113522474"/>
    <m/>
    <s v="TIENE BL"/>
    <m/>
    <x v="0"/>
    <d v="2022-08-16T00:00:00"/>
    <m/>
    <m/>
    <m/>
    <m/>
    <m/>
    <m/>
    <m/>
    <m/>
    <d v="2022-08-16T00:00:00"/>
    <x v="8"/>
  </r>
  <r>
    <s v="Sociedad Comercializadora Ganadera"/>
    <d v="2022-08-18T00:00:00"/>
    <d v="2022-08-18T00:00:00"/>
    <n v="33"/>
    <s v="NC196"/>
    <x v="0"/>
    <n v="23261.5"/>
    <x v="496"/>
    <n v="-2615523.0600000117"/>
    <n v="0"/>
    <n v="4502388162"/>
    <n v="5083217344"/>
    <n v="5113522475"/>
    <m/>
    <m/>
    <m/>
    <x v="0"/>
    <d v="2022-08-16T00:00:00"/>
    <m/>
    <m/>
    <m/>
    <m/>
    <m/>
    <m/>
    <m/>
    <m/>
    <d v="2022-08-16T00:00:00"/>
    <x v="8"/>
  </r>
  <r>
    <s v="Inversiones Agropecuaria Triplesiete S.A.S."/>
    <d v="2022-08-16T00:00:00"/>
    <d v="2022-08-22T00:00:00"/>
    <n v="33"/>
    <s v="FEVM 517"/>
    <x v="0"/>
    <n v="7089"/>
    <x v="207"/>
    <n v="58838700"/>
    <n v="15"/>
    <n v="4502388163"/>
    <n v="5083216997"/>
    <n v="5113524969"/>
    <m/>
    <s v="CON RETEN"/>
    <m/>
    <x v="0"/>
    <d v="2022-08-16T00:00:00"/>
    <m/>
    <m/>
    <m/>
    <m/>
    <m/>
    <m/>
    <m/>
    <m/>
    <d v="2022-08-16T00:00:00"/>
    <x v="8"/>
  </r>
  <r>
    <s v="Inversiones Agropecuaria Triplesiete S.A.S."/>
    <d v="2022-08-16T00:00:00"/>
    <d v="2022-08-22T00:00:00"/>
    <n v="33"/>
    <s v="ND9"/>
    <x v="0"/>
    <n v="7089"/>
    <x v="13"/>
    <n v="354450"/>
    <n v="0"/>
    <n v="4502388163"/>
    <n v="5083216997"/>
    <n v="5113524975"/>
    <m/>
    <m/>
    <m/>
    <x v="0"/>
    <d v="2022-08-16T00:00:00"/>
    <m/>
    <m/>
    <m/>
    <m/>
    <m/>
    <m/>
    <m/>
    <m/>
    <d v="2022-08-16T00:00:00"/>
    <x v="8"/>
  </r>
  <r>
    <s v="Inversiones Valle Del Canalete S.A.S"/>
    <d v="2022-08-16T00:00:00"/>
    <d v="2022-09-19T00:00:00"/>
    <n v="33"/>
    <s v="IVC130"/>
    <x v="1"/>
    <n v="20149"/>
    <x v="117"/>
    <n v="161192000"/>
    <n v="42"/>
    <n v="4502391419"/>
    <n v="5083204187"/>
    <n v="5113518028"/>
    <m/>
    <s v="EJ*3 1793900*3"/>
    <s v="CON RETEN"/>
    <x v="0"/>
    <d v="2022-08-16T00:00:00"/>
    <n v="4902325266"/>
    <n v="5381700"/>
    <s v="FEMD-4933*3"/>
    <n v="5113516400"/>
    <m/>
    <m/>
    <m/>
    <m/>
    <d v="2022-08-16T00:00:00"/>
    <x v="8"/>
  </r>
  <r>
    <s v="Lina Maria Pelaez Gomez"/>
    <d v="2022-08-19T00:00:00"/>
    <d v="2022-08-19T00:00:00"/>
    <n v="33"/>
    <s v="LP109"/>
    <x v="1"/>
    <n v="6860"/>
    <x v="227"/>
    <n v="59682000"/>
    <n v="15"/>
    <n v="4502388164"/>
    <n v="5083217089"/>
    <n v="5113518031"/>
    <m/>
    <s v="TIENE BL"/>
    <m/>
    <x v="0"/>
    <d v="2022-08-16T00:00:00"/>
    <m/>
    <m/>
    <m/>
    <m/>
    <m/>
    <m/>
    <m/>
    <m/>
    <d v="2022-08-16T00:00:00"/>
    <x v="8"/>
  </r>
  <r>
    <s v="Lina Maria Pelaez Gomez"/>
    <d v="2022-08-19T00:00:00"/>
    <d v="2022-08-19T00:00:00"/>
    <n v="33"/>
    <s v="NC82"/>
    <x v="1"/>
    <n v="6860"/>
    <x v="497"/>
    <n v="-853178.20000000554"/>
    <n v="0"/>
    <n v="4502388164"/>
    <n v="5083217089"/>
    <n v="5113518032"/>
    <m/>
    <m/>
    <m/>
    <x v="0"/>
    <d v="2022-08-16T00:00:00"/>
    <m/>
    <m/>
    <m/>
    <m/>
    <m/>
    <m/>
    <m/>
    <m/>
    <d v="2022-08-16T00:00:00"/>
    <x v="8"/>
  </r>
  <r>
    <s v="Sociedad Comercializadora Ganadera"/>
    <d v="2022-08-18T00:00:00"/>
    <d v="2022-08-18T00:00:00"/>
    <n v="33"/>
    <s v="FEDV394"/>
    <x v="3"/>
    <n v="8192"/>
    <x v="5"/>
    <n v="60620800"/>
    <n v="32"/>
    <n v="4502392622"/>
    <n v="5083234331"/>
    <n v="5113525173"/>
    <m/>
    <s v="TIENE BL"/>
    <m/>
    <x v="2"/>
    <d v="2022-08-17T00:00:00"/>
    <m/>
    <m/>
    <m/>
    <m/>
    <m/>
    <m/>
    <m/>
    <m/>
    <d v="2022-08-17T00:00:00"/>
    <x v="8"/>
  </r>
  <r>
    <s v="Guillermo Acevedo Plata"/>
    <d v="2022-08-18T00:00:00"/>
    <d v="2022-08-22T00:00:00"/>
    <n v="34"/>
    <s v="FVE-8"/>
    <x v="0"/>
    <n v="6770.5"/>
    <x v="175"/>
    <n v="55518100"/>
    <n v="15"/>
    <n v="4502392145"/>
    <n v="5083260062"/>
    <n v="5113521499"/>
    <m/>
    <s v="CON RETEN"/>
    <m/>
    <x v="0"/>
    <d v="2022-08-18T00:00:00"/>
    <m/>
    <m/>
    <m/>
    <m/>
    <m/>
    <m/>
    <m/>
    <m/>
    <d v="2022-08-18T00:00:00"/>
    <x v="8"/>
  </r>
  <r>
    <s v="Luis Manuel Urrego Ortiz"/>
    <d v="2022-08-18T00:00:00"/>
    <d v="2022-08-24T00:00:00"/>
    <n v="34"/>
    <s v="FE-98"/>
    <x v="0"/>
    <n v="28660.5"/>
    <x v="175"/>
    <n v="235016100"/>
    <n v="56"/>
    <n v="4502392146"/>
    <n v="5083258499"/>
    <n v="5113528118"/>
    <m/>
    <s v="CON RETEN"/>
    <m/>
    <x v="0"/>
    <d v="2022-08-18T00:00:00"/>
    <m/>
    <m/>
    <m/>
    <m/>
    <m/>
    <m/>
    <m/>
    <m/>
    <d v="2022-08-18T00:00:00"/>
    <x v="8"/>
  </r>
  <r>
    <s v="Andres Felipe Vasquez Velez"/>
    <d v="2022-08-31T00:00:00"/>
    <d v="2022-08-31T00:00:00"/>
    <n v="34"/>
    <s v="FEAF-2"/>
    <x v="0"/>
    <n v="6017.5"/>
    <x v="248"/>
    <n v="51750500"/>
    <n v="15"/>
    <n v="4502392147"/>
    <n v="5083260063"/>
    <n v="5113556483"/>
    <m/>
    <s v="TIENE BL"/>
    <m/>
    <x v="0"/>
    <d v="2022-08-18T00:00:00"/>
    <m/>
    <m/>
    <m/>
    <m/>
    <m/>
    <m/>
    <m/>
    <m/>
    <d v="2022-08-18T00:00:00"/>
    <x v="8"/>
  </r>
  <r>
    <s v="Andres Felipe Vasquez Velez"/>
    <d v="2022-08-31T00:00:00"/>
    <d v="2022-08-31T00:00:00"/>
    <n v="34"/>
    <s v="NC22"/>
    <x v="0"/>
    <n v="6017.5"/>
    <x v="498"/>
    <n v="-569195.32500000088"/>
    <n v="0"/>
    <n v="4502392147"/>
    <n v="5083260063"/>
    <n v="5113556487"/>
    <m/>
    <m/>
    <m/>
    <x v="0"/>
    <d v="2022-08-18T00:00:00"/>
    <m/>
    <m/>
    <m/>
    <m/>
    <m/>
    <m/>
    <m/>
    <m/>
    <d v="2022-08-18T00:00:00"/>
    <x v="8"/>
  </r>
  <r>
    <s v="Inversiones y Negocios V&amp;V S.A.S"/>
    <d v="2022-08-22T00:00:00"/>
    <d v="2022-08-22T00:00:00"/>
    <n v="34"/>
    <s v="FE-1699"/>
    <x v="0"/>
    <n v="12832"/>
    <x v="248"/>
    <n v="110355200"/>
    <n v="28"/>
    <n v="4502392148"/>
    <n v="5083258501"/>
    <n v="5113520807"/>
    <m/>
    <s v="CON RETEN"/>
    <m/>
    <x v="0"/>
    <d v="2022-08-18T00:00:00"/>
    <m/>
    <m/>
    <m/>
    <m/>
    <m/>
    <m/>
    <m/>
    <m/>
    <d v="2022-08-18T00:00:00"/>
    <x v="8"/>
  </r>
  <r>
    <s v="Sociedad Comercializadora Ganadera"/>
    <d v="2022-08-22T00:00:00"/>
    <d v="2022-08-22T00:00:00"/>
    <n v="34"/>
    <s v="FEDV398"/>
    <x v="1"/>
    <n v="7827"/>
    <x v="248"/>
    <n v="67312200"/>
    <n v="15"/>
    <n v="4502392149"/>
    <n v="5083258502"/>
    <n v="5113522628"/>
    <m/>
    <s v="TIENE BL"/>
    <m/>
    <x v="0"/>
    <d v="2022-08-18T00:00:00"/>
    <m/>
    <m/>
    <m/>
    <m/>
    <m/>
    <m/>
    <m/>
    <m/>
    <d v="2022-08-18T00:00:00"/>
    <x v="8"/>
  </r>
  <r>
    <s v="Sociedad Comercializadora Ganadera"/>
    <d v="2022-08-22T00:00:00"/>
    <d v="2022-08-22T00:00:00"/>
    <n v="34"/>
    <s v="FEDV398"/>
    <x v="2"/>
    <n v="22160"/>
    <x v="248"/>
    <n v="190576000"/>
    <n v="45"/>
    <n v="4502392158"/>
    <n v="5083258502"/>
    <n v="5113522628"/>
    <m/>
    <s v="TIENE BL"/>
    <m/>
    <x v="0"/>
    <d v="2022-08-18T00:00:00"/>
    <m/>
    <m/>
    <m/>
    <m/>
    <m/>
    <m/>
    <m/>
    <m/>
    <d v="2022-08-18T00:00:00"/>
    <x v="8"/>
  </r>
  <r>
    <s v="Hugo Alfonso Portillo Rodriguez"/>
    <d v="2022-08-18T00:00:00"/>
    <d v="2022-08-24T00:00:00"/>
    <n v="34"/>
    <s v="E-168"/>
    <x v="2"/>
    <n v="14078.5"/>
    <x v="175"/>
    <n v="115443700"/>
    <n v="28"/>
    <n v="4502392150"/>
    <n v="5083258503"/>
    <n v="5113528088"/>
    <m/>
    <s v="TIENE BL"/>
    <m/>
    <x v="0"/>
    <d v="2022-08-18T00:00:00"/>
    <m/>
    <m/>
    <m/>
    <m/>
    <m/>
    <m/>
    <m/>
    <m/>
    <d v="2022-08-18T00:00:00"/>
    <x v="8"/>
  </r>
  <r>
    <s v="Andres Felipe Mantilla Acosta"/>
    <d v="2022-08-18T00:00:00"/>
    <d v="2022-08-23T00:00:00"/>
    <n v="34"/>
    <s v="FEFE28"/>
    <x v="2"/>
    <n v="6436.5"/>
    <x v="207"/>
    <n v="53422950"/>
    <n v="14"/>
    <n v="4502392151"/>
    <n v="5083258504"/>
    <n v="5113524543"/>
    <m/>
    <s v="TIENE BL"/>
    <m/>
    <x v="0"/>
    <d v="2022-08-18T00:00:00"/>
    <m/>
    <m/>
    <m/>
    <m/>
    <m/>
    <m/>
    <m/>
    <m/>
    <d v="2022-08-18T00:00:00"/>
    <x v="8"/>
  </r>
  <r>
    <s v="Olger Fernando Rojas Angarita"/>
    <d v="2022-08-22T00:00:00"/>
    <m/>
    <n v="34"/>
    <s v="OR-196"/>
    <x v="2"/>
    <n v="6812"/>
    <x v="207"/>
    <n v="56539600"/>
    <n v="14"/>
    <n v="4502392153"/>
    <n v="5083258505"/>
    <n v="5113525517"/>
    <m/>
    <s v="TIENE BL"/>
    <m/>
    <x v="0"/>
    <d v="2022-08-18T00:00:00"/>
    <m/>
    <m/>
    <m/>
    <m/>
    <m/>
    <m/>
    <m/>
    <m/>
    <d v="2022-08-18T00:00:00"/>
    <x v="8"/>
  </r>
  <r>
    <s v="Olger Fernando Rojas Angarita"/>
    <d v="2022-08-22T00:00:00"/>
    <m/>
    <n v="34"/>
    <n v="12"/>
    <x v="2"/>
    <n v="6812"/>
    <x v="499"/>
    <n v="-29836.559999994548"/>
    <n v="0"/>
    <n v="4502392153"/>
    <n v="5083258505"/>
    <n v="5113525521"/>
    <m/>
    <m/>
    <m/>
    <x v="0"/>
    <d v="2022-08-18T00:00:00"/>
    <m/>
    <m/>
    <m/>
    <m/>
    <m/>
    <m/>
    <m/>
    <m/>
    <d v="2022-08-18T00:00:00"/>
    <x v="8"/>
  </r>
  <r>
    <s v="Adrian Alberto Alvarez Henao"/>
    <d v="2022-08-23T00:00:00"/>
    <d v="2022-08-23T00:00:00"/>
    <n v="34"/>
    <s v="AAAH-61"/>
    <x v="2"/>
    <n v="13927.5"/>
    <x v="248"/>
    <n v="119776500"/>
    <n v="30"/>
    <n v="4502392154"/>
    <n v="5083260064"/>
    <n v="5113527999"/>
    <m/>
    <s v="TIENE BL"/>
    <m/>
    <x v="0"/>
    <d v="2022-08-18T00:00:00"/>
    <m/>
    <m/>
    <m/>
    <m/>
    <m/>
    <m/>
    <m/>
    <m/>
    <d v="2022-08-18T00:00:00"/>
    <x v="8"/>
  </r>
  <r>
    <s v="Adrian Alberto Alvarez Henao"/>
    <d v="2022-08-23T00:00:00"/>
    <d v="2022-08-23T00:00:00"/>
    <n v="34"/>
    <s v="AD30"/>
    <x v="2"/>
    <n v="13927.5"/>
    <x v="500"/>
    <n v="-1147904.550000001"/>
    <n v="0"/>
    <n v="4502392154"/>
    <n v="5083260064"/>
    <n v="5113527999"/>
    <m/>
    <m/>
    <m/>
    <x v="0"/>
    <d v="2022-08-18T00:00:00"/>
    <m/>
    <m/>
    <m/>
    <m/>
    <m/>
    <m/>
    <m/>
    <m/>
    <d v="2022-08-18T00:00:00"/>
    <x v="8"/>
  </r>
  <r>
    <s v="Marco Antonio Trillos Criado"/>
    <d v="2022-08-23T00:00:00"/>
    <d v="2022-08-23T00:00:00"/>
    <n v="34"/>
    <s v="M29"/>
    <x v="2"/>
    <n v="12224.5"/>
    <x v="175"/>
    <n v="100240900"/>
    <n v="28"/>
    <n v="4502392156"/>
    <n v="5083258506"/>
    <n v="5113547048"/>
    <m/>
    <s v="TIENE BL"/>
    <m/>
    <x v="0"/>
    <d v="2022-08-18T00:00:00"/>
    <m/>
    <m/>
    <m/>
    <m/>
    <m/>
    <m/>
    <m/>
    <m/>
    <d v="2022-08-18T00:00:00"/>
    <x v="8"/>
  </r>
  <r>
    <s v="Marco Antonio Trillos Criado"/>
    <d v="2022-08-23T00:00:00"/>
    <d v="2022-08-23T00:00:00"/>
    <n v="34"/>
    <s v="NC6"/>
    <x v="2"/>
    <n v="12224.5"/>
    <x v="13"/>
    <n v="-611225"/>
    <n v="0"/>
    <n v="4502392156"/>
    <n v="5083258506"/>
    <n v="5113547051"/>
    <m/>
    <m/>
    <m/>
    <x v="0"/>
    <d v="2022-08-18T00:00:00"/>
    <m/>
    <m/>
    <m/>
    <m/>
    <m/>
    <m/>
    <m/>
    <m/>
    <d v="2022-08-18T00:00:00"/>
    <x v="8"/>
  </r>
  <r>
    <s v="Jairo De Jesus Restrepo Gonzalez"/>
    <d v="2022-08-25T00:00:00"/>
    <d v="2022-08-25T00:00:00"/>
    <n v="34"/>
    <s v="FEV-11"/>
    <x v="2"/>
    <n v="7148"/>
    <x v="175"/>
    <n v="58613600"/>
    <n v="14"/>
    <n v="4502392157"/>
    <n v="5083258507"/>
    <n v="5113560348"/>
    <m/>
    <s v="CON RETEN"/>
    <m/>
    <x v="0"/>
    <d v="2022-08-18T00:00:00"/>
    <m/>
    <m/>
    <m/>
    <m/>
    <m/>
    <m/>
    <m/>
    <m/>
    <d v="2022-08-18T00:00:00"/>
    <x v="8"/>
  </r>
  <r>
    <s v="Jairo De Jesus Restrepo Gonzalez"/>
    <d v="2022-08-25T00:00:00"/>
    <d v="2022-08-25T00:00:00"/>
    <n v="34"/>
    <s v="NC22"/>
    <x v="2"/>
    <n v="7148"/>
    <x v="13"/>
    <n v="-357400"/>
    <n v="0"/>
    <n v="4502392157"/>
    <n v="5083258507"/>
    <n v="5113560351"/>
    <m/>
    <m/>
    <m/>
    <x v="0"/>
    <d v="2022-08-18T00:00:00"/>
    <m/>
    <m/>
    <m/>
    <m/>
    <m/>
    <m/>
    <m/>
    <m/>
    <d v="2022-08-18T00:00:00"/>
    <x v="8"/>
  </r>
  <r>
    <s v="Rafael Francisco Delgado Serrano"/>
    <m/>
    <m/>
    <n v="34"/>
    <s v="RFDS-166"/>
    <x v="0"/>
    <n v="6912.5"/>
    <x v="207"/>
    <n v="57373750"/>
    <n v="14"/>
    <n v="4502392159"/>
    <n v="5083283181"/>
    <n v="5113524953"/>
    <m/>
    <s v="CON RETEN"/>
    <m/>
    <x v="0"/>
    <d v="2022-08-19T00:00:00"/>
    <m/>
    <m/>
    <m/>
    <m/>
    <m/>
    <m/>
    <m/>
    <m/>
    <d v="2022-08-19T00:00:00"/>
    <x v="8"/>
  </r>
  <r>
    <s v="Rafael Francisco Delgado Serrano"/>
    <m/>
    <m/>
    <n v="34"/>
    <s v="NCR27"/>
    <x v="0"/>
    <n v="6912.5"/>
    <x v="2"/>
    <n v="-691250"/>
    <n v="0"/>
    <n v="4502392159"/>
    <n v="5083283181"/>
    <n v="5113524956"/>
    <m/>
    <m/>
    <m/>
    <x v="0"/>
    <d v="2022-08-19T00:00:00"/>
    <m/>
    <m/>
    <m/>
    <m/>
    <m/>
    <m/>
    <m/>
    <m/>
    <d v="2022-08-19T00:00:00"/>
    <x v="8"/>
  </r>
  <r>
    <s v="Agropecuaria Lobo Berbesi S.A.S"/>
    <d v="2022-08-22T00:00:00"/>
    <m/>
    <n v="34"/>
    <s v="LB-112"/>
    <x v="0"/>
    <n v="6343"/>
    <x v="175"/>
    <n v="52012600"/>
    <n v="14"/>
    <n v="4502392160"/>
    <n v="5083283182"/>
    <n v="5113535821"/>
    <m/>
    <s v="TIENE BL"/>
    <m/>
    <x v="0"/>
    <d v="2022-08-19T00:00:00"/>
    <m/>
    <m/>
    <m/>
    <m/>
    <m/>
    <m/>
    <m/>
    <m/>
    <d v="2022-08-19T00:00:00"/>
    <x v="8"/>
  </r>
  <r>
    <s v="Agropecuaria Lobo Berbesi S.A.S"/>
    <d v="2022-08-23T00:00:00"/>
    <m/>
    <n v="34"/>
    <s v="NCR3"/>
    <x v="0"/>
    <n v="6343"/>
    <x v="501"/>
    <n v="-674134.03999999841"/>
    <n v="0"/>
    <n v="4502392160"/>
    <n v="5083283182"/>
    <n v="5113535824"/>
    <m/>
    <m/>
    <m/>
    <x v="0"/>
    <d v="2022-08-19T00:00:00"/>
    <m/>
    <m/>
    <m/>
    <m/>
    <m/>
    <m/>
    <m/>
    <m/>
    <d v="2022-08-19T00:00:00"/>
    <x v="8"/>
  </r>
  <r>
    <s v="Multicarnicos S.A"/>
    <d v="2022-08-20T00:00:00"/>
    <d v="2022-08-22T00:00:00"/>
    <n v="34"/>
    <s v="MUL386"/>
    <x v="1"/>
    <n v="34205"/>
    <x v="207"/>
    <n v="283901500"/>
    <n v="73"/>
    <n v="4502392161"/>
    <n v="5083283316"/>
    <n v="5113522629"/>
    <m/>
    <s v="TIENE BL"/>
    <m/>
    <x v="0"/>
    <d v="2022-08-19T00:00:00"/>
    <m/>
    <m/>
    <m/>
    <m/>
    <m/>
    <m/>
    <m/>
    <m/>
    <d v="2022-08-19T00:00:00"/>
    <x v="8"/>
  </r>
  <r>
    <s v="Multicarnicos S.A"/>
    <d v="2022-08-20T00:00:00"/>
    <d v="2022-08-22T00:00:00"/>
    <n v="34"/>
    <s v="NC48"/>
    <x v="1"/>
    <n v="34205"/>
    <x v="502"/>
    <n v="-1865198.6500000225"/>
    <n v="0"/>
    <n v="4502392161"/>
    <n v="5083283316"/>
    <n v="5113522630"/>
    <m/>
    <m/>
    <m/>
    <x v="0"/>
    <d v="2022-08-19T00:00:00"/>
    <m/>
    <m/>
    <m/>
    <m/>
    <m/>
    <m/>
    <m/>
    <m/>
    <d v="2022-08-19T00:00:00"/>
    <x v="8"/>
  </r>
  <r>
    <s v="Miguel Antonio Carrascal Pacheco"/>
    <d v="2022-08-23T00:00:00"/>
    <d v="2022-08-24T00:00:00"/>
    <n v="34"/>
    <s v="FAMC9"/>
    <x v="2"/>
    <n v="21745"/>
    <x v="175"/>
    <n v="178309000"/>
    <n v="43"/>
    <n v="4502392162"/>
    <n v="5083283317"/>
    <n v="5113528059"/>
    <m/>
    <s v="TIENE BL"/>
    <m/>
    <x v="0"/>
    <d v="2022-08-19T00:00:00"/>
    <m/>
    <m/>
    <m/>
    <m/>
    <m/>
    <m/>
    <m/>
    <m/>
    <d v="2022-08-19T00:00:00"/>
    <x v="8"/>
  </r>
  <r>
    <s v="Miguel Antonio Carrascal Pacheco"/>
    <d v="2022-08-23T00:00:00"/>
    <d v="2022-08-24T00:00:00"/>
    <n v="34"/>
    <s v="NDE10"/>
    <x v="2"/>
    <n v="21745"/>
    <x v="13"/>
    <n v="1087250"/>
    <n v="0"/>
    <n v="4502392162"/>
    <n v="5083283317"/>
    <n v="5113528064"/>
    <m/>
    <m/>
    <m/>
    <x v="0"/>
    <d v="2022-08-19T00:00:00"/>
    <m/>
    <m/>
    <m/>
    <m/>
    <m/>
    <m/>
    <m/>
    <m/>
    <d v="2022-08-19T00:00:00"/>
    <x v="8"/>
  </r>
  <r>
    <s v="Oscar Fabian Quintero Ardila"/>
    <d v="2022-08-19T00:00:00"/>
    <m/>
    <n v="34"/>
    <s v="FE-55"/>
    <x v="2"/>
    <n v="6820.5"/>
    <x v="175"/>
    <n v="55928100"/>
    <n v="15"/>
    <n v="4502392163"/>
    <n v="5083283378"/>
    <n v="5113524947"/>
    <m/>
    <s v="TIENE BL"/>
    <m/>
    <x v="0"/>
    <d v="2022-08-19T00:00:00"/>
    <m/>
    <m/>
    <m/>
    <m/>
    <m/>
    <m/>
    <m/>
    <m/>
    <d v="2022-08-19T00:00:00"/>
    <x v="8"/>
  </r>
  <r>
    <s v="Oscar Fabian Quintero Ardila"/>
    <d v="2022-08-19T00:00:00"/>
    <m/>
    <n v="34"/>
    <s v="NC18"/>
    <x v="2"/>
    <n v="6820.5"/>
    <x v="503"/>
    <n v="-139342.81500000198"/>
    <n v="0"/>
    <n v="4502392163"/>
    <n v="5083283378"/>
    <n v="5113524949"/>
    <m/>
    <m/>
    <m/>
    <x v="0"/>
    <d v="2022-08-19T00:00:00"/>
    <m/>
    <m/>
    <m/>
    <m/>
    <m/>
    <m/>
    <m/>
    <m/>
    <d v="2022-08-19T00:00:00"/>
    <x v="8"/>
  </r>
  <r>
    <s v="Carlos Andres Castilla Angarita"/>
    <d v="2022-08-24T00:00:00"/>
    <m/>
    <n v="34"/>
    <s v="CACA-21"/>
    <x v="2"/>
    <n v="13281"/>
    <x v="175"/>
    <n v="108904200"/>
    <n v="30"/>
    <n v="4502392165"/>
    <n v="5083283183"/>
    <n v="5113557108"/>
    <m/>
    <s v="TIENE BL "/>
    <m/>
    <x v="0"/>
    <d v="2022-08-19T00:00:00"/>
    <m/>
    <m/>
    <m/>
    <m/>
    <m/>
    <m/>
    <m/>
    <m/>
    <d v="2022-08-19T00:00:00"/>
    <x v="8"/>
  </r>
  <r>
    <s v="Carlos Andres Castilla Angarita"/>
    <d v="2022-08-24T00:00:00"/>
    <m/>
    <n v="34"/>
    <s v="NC9"/>
    <x v="2"/>
    <n v="13281"/>
    <x v="504"/>
    <n v="-77029.79999999034"/>
    <n v="0"/>
    <n v="4502392165"/>
    <n v="5083283183"/>
    <n v="5113557109"/>
    <m/>
    <m/>
    <m/>
    <x v="0"/>
    <d v="2022-08-19T00:00:00"/>
    <m/>
    <m/>
    <m/>
    <m/>
    <m/>
    <m/>
    <m/>
    <m/>
    <d v="2022-08-19T00:00:00"/>
    <x v="8"/>
  </r>
  <r>
    <s v="Agropecuaria Tabaida S.A.S"/>
    <d v="2022-03-19T00:00:00"/>
    <d v="2022-08-24T00:00:00"/>
    <n v="34"/>
    <s v="MT1518"/>
    <x v="2"/>
    <n v="39445"/>
    <x v="76"/>
    <n v="319504500"/>
    <n v="84"/>
    <n v="4502395322"/>
    <n v="5083309397"/>
    <n v="5113530375"/>
    <s v="TIENE BL"/>
    <m/>
    <m/>
    <x v="1"/>
    <d v="2022-08-19T00:00:00"/>
    <m/>
    <m/>
    <m/>
    <m/>
    <m/>
    <m/>
    <m/>
    <m/>
    <d v="2022-08-19T00:00:00"/>
    <x v="8"/>
  </r>
  <r>
    <s v="Surtidora Agropecuaria De Colombia"/>
    <d v="2022-08-19T00:00:00"/>
    <d v="2022-08-22T00:00:00"/>
    <n v="34"/>
    <s v="FESA-48"/>
    <x v="2"/>
    <n v="27490"/>
    <x v="76"/>
    <n v="222669000"/>
    <n v="56"/>
    <n v="4502395326"/>
    <n v="5083309485"/>
    <n v="5113563131"/>
    <m/>
    <s v="TIENE BL"/>
    <s v="IN249056"/>
    <x v="1"/>
    <d v="2022-08-19T00:00:00"/>
    <m/>
    <m/>
    <m/>
    <m/>
    <m/>
    <m/>
    <m/>
    <m/>
    <d v="2022-08-19T00:00:00"/>
    <x v="8"/>
  </r>
  <r>
    <s v="Carlos Mario Duque Cadavid"/>
    <d v="2022-08-19T00:00:00"/>
    <m/>
    <n v="34"/>
    <s v="CD-123"/>
    <x v="2"/>
    <n v="26667"/>
    <x v="76"/>
    <n v="216002700"/>
    <n v="56"/>
    <n v="4502395330"/>
    <n v="5083309631"/>
    <n v="5113525480"/>
    <m/>
    <s v="CON RETEN"/>
    <m/>
    <x v="1"/>
    <d v="2022-08-19T00:00:00"/>
    <m/>
    <m/>
    <m/>
    <m/>
    <m/>
    <m/>
    <m/>
    <m/>
    <d v="2022-08-19T00:00:00"/>
    <x v="8"/>
  </r>
  <r>
    <s v="La Ceiba S.A"/>
    <d v="2022-08-22T00:00:00"/>
    <m/>
    <n v="34"/>
    <s v="FE-1841"/>
    <x v="0"/>
    <n v="12847"/>
    <x v="207"/>
    <n v="106630100"/>
    <n v="28"/>
    <n v="4502392166"/>
    <n v="5083283342"/>
    <n v="5113525010"/>
    <m/>
    <s v="CON RETEN"/>
    <m/>
    <x v="0"/>
    <d v="2022-08-20T00:00:00"/>
    <m/>
    <m/>
    <m/>
    <m/>
    <m/>
    <m/>
    <m/>
    <m/>
    <d v="2022-08-20T00:00:00"/>
    <x v="8"/>
  </r>
  <r>
    <s v="La Ceiba S.A"/>
    <d v="2022-08-22T00:00:00"/>
    <m/>
    <n v="34"/>
    <s v="NC10033"/>
    <x v="0"/>
    <n v="12847"/>
    <x v="53"/>
    <n v="-39697.230000001873"/>
    <n v="0"/>
    <n v="4502392166"/>
    <n v="5083283342"/>
    <n v="5113525011"/>
    <m/>
    <m/>
    <m/>
    <x v="0"/>
    <d v="2022-08-20T00:00:00"/>
    <m/>
    <m/>
    <m/>
    <m/>
    <m/>
    <m/>
    <m/>
    <m/>
    <d v="2022-08-20T00:00:00"/>
    <x v="8"/>
  </r>
  <r>
    <s v="Juan Alberto Saldarriaga Marin"/>
    <d v="2022-08-20T00:00:00"/>
    <m/>
    <n v="34"/>
    <n v="6100"/>
    <x v="0"/>
    <n v="13724.5"/>
    <x v="248"/>
    <n v="118030700"/>
    <n v="29"/>
    <n v="4502392167"/>
    <n v="5083283379"/>
    <n v="5113533601"/>
    <m/>
    <s v="TIENE BL"/>
    <m/>
    <x v="0"/>
    <d v="2022-08-20T00:00:00"/>
    <m/>
    <m/>
    <m/>
    <m/>
    <m/>
    <m/>
    <m/>
    <m/>
    <d v="2022-08-20T00:00:00"/>
    <x v="8"/>
  </r>
  <r>
    <s v="Juan Alberto Saldarriaga Marin"/>
    <d v="2022-08-22T00:00:00"/>
    <m/>
    <n v="34"/>
    <s v="NC1126"/>
    <x v="0"/>
    <n v="13724.5"/>
    <x v="13"/>
    <n v="-686225"/>
    <n v="0"/>
    <n v="4502392167"/>
    <n v="5083283379"/>
    <n v="5113533602"/>
    <m/>
    <m/>
    <m/>
    <x v="0"/>
    <d v="2022-08-20T00:00:00"/>
    <m/>
    <m/>
    <m/>
    <m/>
    <m/>
    <m/>
    <m/>
    <m/>
    <d v="2022-08-20T00:00:00"/>
    <x v="8"/>
  </r>
  <r>
    <s v="Maria Alicia Montaño Parra"/>
    <d v="2022-08-20T00:00:00"/>
    <m/>
    <n v="34"/>
    <s v="FE-21"/>
    <x v="2"/>
    <n v="6750.5"/>
    <x v="175"/>
    <n v="55354100"/>
    <n v="15"/>
    <n v="4502392168"/>
    <n v="5083283343"/>
    <n v="5113541054"/>
    <m/>
    <s v="CON RETEN"/>
    <m/>
    <x v="0"/>
    <d v="2022-08-20T00:00:00"/>
    <m/>
    <m/>
    <m/>
    <m/>
    <m/>
    <m/>
    <m/>
    <m/>
    <d v="2022-08-20T00:00:00"/>
    <x v="8"/>
  </r>
  <r>
    <s v="Maria Alicia Montaño Parra"/>
    <m/>
    <m/>
    <n v="34"/>
    <n v="1112113"/>
    <x v="2"/>
    <n v="6750.5"/>
    <x v="505"/>
    <n v="-412253.03499999805"/>
    <n v="0"/>
    <n v="4502392168"/>
    <n v="5083283343"/>
    <n v="5113541080"/>
    <m/>
    <m/>
    <m/>
    <x v="0"/>
    <d v="2022-08-20T00:00:00"/>
    <m/>
    <m/>
    <m/>
    <m/>
    <m/>
    <m/>
    <m/>
    <m/>
    <d v="2022-08-20T00:00:00"/>
    <x v="8"/>
  </r>
  <r>
    <s v="Sociedad Comercializadora Ganadera"/>
    <d v="2022-08-23T00:00:00"/>
    <d v="2022-08-23T00:00:00"/>
    <n v="34"/>
    <s v="FEDV399"/>
    <x v="2"/>
    <n v="27037"/>
    <x v="248"/>
    <n v="232518200"/>
    <n v="60"/>
    <n v="4502392169"/>
    <n v="5083283344"/>
    <n v="5113524834"/>
    <m/>
    <s v="TIENE BL"/>
    <m/>
    <x v="0"/>
    <d v="2022-08-20T00:00:00"/>
    <m/>
    <m/>
    <m/>
    <m/>
    <m/>
    <m/>
    <m/>
    <m/>
    <d v="2022-08-20T00:00:00"/>
    <x v="8"/>
  </r>
  <r>
    <s v="Sociedad Comercializadora Ganadera"/>
    <d v="2022-08-23T00:00:00"/>
    <d v="2022-08-23T00:00:00"/>
    <n v="34"/>
    <s v="NC197"/>
    <x v="2"/>
    <n v="27037"/>
    <x v="11"/>
    <n v="-4055550"/>
    <n v="0"/>
    <n v="4502392169"/>
    <n v="5083283344"/>
    <n v="5113524847"/>
    <m/>
    <m/>
    <m/>
    <x v="0"/>
    <d v="2022-08-20T00:00:00"/>
    <m/>
    <m/>
    <m/>
    <m/>
    <m/>
    <m/>
    <m/>
    <m/>
    <d v="2022-08-20T00:00:00"/>
    <x v="8"/>
  </r>
  <r>
    <s v="Sociedad Comercializadora Ganadera"/>
    <d v="2022-08-23T00:00:00"/>
    <d v="2022-08-23T00:00:00"/>
    <n v="34"/>
    <s v="FEDV400"/>
    <x v="2"/>
    <n v="42071.5"/>
    <x v="248"/>
    <n v="361814900"/>
    <n v="90"/>
    <n v="4502392169"/>
    <n v="5083283344"/>
    <n v="5113524847"/>
    <m/>
    <s v="TIENE BL"/>
    <m/>
    <x v="0"/>
    <d v="2022-08-20T00:00:00"/>
    <m/>
    <m/>
    <m/>
    <m/>
    <m/>
    <m/>
    <m/>
    <m/>
    <d v="2022-08-20T00:00:00"/>
    <x v="8"/>
  </r>
  <r>
    <s v="Sociedad Comercializadora Ganadera"/>
    <d v="2022-08-23T00:00:00"/>
    <d v="2022-08-23T00:00:00"/>
    <n v="34"/>
    <s v="NC198"/>
    <x v="2"/>
    <n v="42071.5"/>
    <x v="506"/>
    <n v="-78252.990000024496"/>
    <n v="0"/>
    <n v="4502392169"/>
    <n v="5083283344"/>
    <n v="5113524855"/>
    <m/>
    <m/>
    <m/>
    <x v="0"/>
    <d v="2022-08-20T00:00:00"/>
    <m/>
    <m/>
    <m/>
    <m/>
    <m/>
    <m/>
    <m/>
    <m/>
    <d v="2022-08-20T00:00:00"/>
    <x v="8"/>
  </r>
  <r>
    <s v="Andres Jaramillo Bernal"/>
    <d v="2022-08-21T00:00:00"/>
    <d v="2022-08-23T00:00:00"/>
    <n v="34"/>
    <s v="FEVA-5206"/>
    <x v="1"/>
    <n v="6508"/>
    <x v="175"/>
    <n v="53365600"/>
    <n v="14"/>
    <n v="4502392170"/>
    <n v="5083299495"/>
    <n v="5113525007"/>
    <m/>
    <s v="CON RETEN"/>
    <m/>
    <x v="0"/>
    <d v="2022-08-21T00:00:00"/>
    <m/>
    <m/>
    <m/>
    <m/>
    <m/>
    <m/>
    <m/>
    <m/>
    <d v="2022-08-21T00:00:00"/>
    <x v="8"/>
  </r>
  <r>
    <s v="Andres Jaramillo Bernal"/>
    <d v="2022-08-21T00:00:00"/>
    <d v="2022-08-23T00:00:00"/>
    <n v="34"/>
    <s v="NCE39"/>
    <x v="1"/>
    <n v="6508"/>
    <x v="13"/>
    <n v="-325400"/>
    <n v="0"/>
    <n v="4502392170"/>
    <n v="5083299495"/>
    <n v="5113525008"/>
    <m/>
    <m/>
    <m/>
    <x v="0"/>
    <d v="2022-08-21T00:00:00"/>
    <m/>
    <m/>
    <m/>
    <m/>
    <m/>
    <m/>
    <m/>
    <m/>
    <d v="2022-08-21T00:00:00"/>
    <x v="8"/>
  </r>
  <r>
    <s v="Luis Fernando Rojas Prada"/>
    <d v="2022-08-23T00:00:00"/>
    <d v="2022-08-23T00:00:00"/>
    <n v="34"/>
    <s v="FELC -1001"/>
    <x v="1"/>
    <n v="14761"/>
    <x v="63"/>
    <n v="115873850"/>
    <n v="28"/>
    <n v="4502395075"/>
    <n v="5083299485"/>
    <n v="5113525048"/>
    <m/>
    <s v="EJ*2 2982600*2"/>
    <s v="CON RETEN"/>
    <x v="0"/>
    <d v="2022-08-21T00:00:00"/>
    <n v="4902330092"/>
    <n v="5965200"/>
    <s v="FEMD-4992*2"/>
    <n v="5113541949"/>
    <m/>
    <m/>
    <m/>
    <m/>
    <d v="2022-08-21T00:00:00"/>
    <x v="8"/>
  </r>
  <r>
    <s v="David Martinez Jaramillo"/>
    <d v="2022-08-21T00:00:00"/>
    <d v="2022-08-23T00:00:00"/>
    <n v="34"/>
    <s v="DM248"/>
    <x v="1"/>
    <n v="7362"/>
    <x v="248"/>
    <n v="63313200"/>
    <n v="15"/>
    <n v="4502392173"/>
    <n v="5083299496"/>
    <n v="5113530419"/>
    <m/>
    <s v="TIENE BL"/>
    <m/>
    <x v="0"/>
    <d v="2022-08-21T00:00:00"/>
    <m/>
    <m/>
    <m/>
    <m/>
    <m/>
    <m/>
    <m/>
    <m/>
    <d v="2022-08-21T00:00:00"/>
    <x v="8"/>
  </r>
  <r>
    <s v="Inversiones Valle Del Canalete S.A.S"/>
    <d v="2022-08-24T00:00:00"/>
    <d v="2022-08-24T00:00:00"/>
    <n v="34"/>
    <s v="IVC131"/>
    <x v="2"/>
    <n v="25494"/>
    <x v="76"/>
    <n v="206501400"/>
    <n v="56"/>
    <n v="4502396462"/>
    <n v="5083329816"/>
    <n v="5113530394"/>
    <m/>
    <s v="CON RETEN"/>
    <m/>
    <x v="1"/>
    <d v="2022-08-21T00:00:00"/>
    <m/>
    <m/>
    <m/>
    <m/>
    <m/>
    <m/>
    <m/>
    <m/>
    <d v="2022-08-21T00:00:00"/>
    <x v="8"/>
  </r>
  <r>
    <s v="Agropecuaria El Uberrimo S.A.S"/>
    <m/>
    <m/>
    <n v="34"/>
    <s v="FE-261"/>
    <x v="2"/>
    <n v="15211"/>
    <x v="76"/>
    <n v="123209100"/>
    <n v="30"/>
    <n v="4502396470"/>
    <n v="5083329970"/>
    <n v="5113530485"/>
    <m/>
    <s v="CON RETEN"/>
    <m/>
    <x v="1"/>
    <d v="2022-08-21T00:00:00"/>
    <m/>
    <m/>
    <m/>
    <m/>
    <m/>
    <m/>
    <m/>
    <m/>
    <d v="2022-08-21T00:00:00"/>
    <x v="8"/>
  </r>
  <r>
    <s v="Misionagro S.A.S"/>
    <d v="2022-08-21T00:00:00"/>
    <m/>
    <n v="34"/>
    <s v="MISI-135"/>
    <x v="2"/>
    <n v="24036"/>
    <x v="507"/>
    <n v="196788500.63999999"/>
    <n v="42"/>
    <n v="4502396480"/>
    <n v="5083330114"/>
    <n v="5113530490"/>
    <m/>
    <s v="CON RETEN"/>
    <m/>
    <x v="1"/>
    <d v="2022-08-21T00:00:00"/>
    <m/>
    <m/>
    <m/>
    <m/>
    <m/>
    <m/>
    <m/>
    <m/>
    <d v="2022-08-21T00:00:00"/>
    <x v="8"/>
  </r>
  <r>
    <s v="Jorge Ignacio Sanchez Restrepo"/>
    <d v="2022-08-22T00:00:00"/>
    <d v="2022-08-25T00:00:00"/>
    <n v="34"/>
    <s v="FEJS-42"/>
    <x v="1"/>
    <n v="26922.5"/>
    <x v="248"/>
    <n v="231533500"/>
    <n v="58"/>
    <n v="4502392175"/>
    <n v="5083312729"/>
    <n v="5113530433"/>
    <m/>
    <s v="CON RETEN"/>
    <m/>
    <x v="0"/>
    <d v="2022-08-22T00:00:00"/>
    <m/>
    <m/>
    <m/>
    <m/>
    <m/>
    <m/>
    <m/>
    <m/>
    <d v="2022-08-22T00:00:00"/>
    <x v="8"/>
  </r>
  <r>
    <s v="Jorge Ignacio Sanchez Restrepo"/>
    <d v="2022-08-22T00:00:00"/>
    <d v="2022-08-25T00:00:00"/>
    <n v="34"/>
    <s v="NC15"/>
    <x v="1"/>
    <n v="26922.5"/>
    <x v="404"/>
    <n v="-39845.299999988245"/>
    <n v="0"/>
    <n v="4502392175"/>
    <n v="5083312729"/>
    <n v="5113530532"/>
    <m/>
    <m/>
    <m/>
    <x v="0"/>
    <d v="2022-08-22T00:00:00"/>
    <m/>
    <m/>
    <m/>
    <m/>
    <m/>
    <m/>
    <m/>
    <m/>
    <d v="2022-08-22T00:00:00"/>
    <x v="8"/>
  </r>
  <r>
    <s v="Sociedad Comercializadora Ganadera"/>
    <d v="2022-09-01T00:00:00"/>
    <d v="2022-09-01T00:00:00"/>
    <n v="34"/>
    <s v="FEDV409"/>
    <x v="2"/>
    <n v="6827"/>
    <x v="248"/>
    <n v="58712200"/>
    <n v="15"/>
    <n v="4502392176"/>
    <n v="5083312614"/>
    <n v="5113558539"/>
    <m/>
    <s v="TIENE BL"/>
    <m/>
    <x v="0"/>
    <d v="2022-08-22T00:00:00"/>
    <m/>
    <m/>
    <m/>
    <m/>
    <m/>
    <m/>
    <m/>
    <m/>
    <d v="2022-08-22T00:00:00"/>
    <x v="8"/>
  </r>
  <r>
    <s v="Sociedad Comercializadora Ganadera"/>
    <d v="2022-09-01T00:00:00"/>
    <d v="2022-09-01T00:00:00"/>
    <n v="34"/>
    <s v="NC204"/>
    <x v="2"/>
    <n v="6827"/>
    <x v="13"/>
    <n v="-341350"/>
    <n v="0"/>
    <n v="4502392176"/>
    <n v="5083312614"/>
    <n v="5113558540"/>
    <m/>
    <m/>
    <m/>
    <x v="0"/>
    <d v="2022-08-22T00:00:00"/>
    <m/>
    <m/>
    <m/>
    <m/>
    <m/>
    <m/>
    <m/>
    <m/>
    <d v="2022-08-22T00:00:00"/>
    <x v="8"/>
  </r>
  <r>
    <s v="Edward Fabian Mejia Abril"/>
    <d v="2022-08-22T00:00:00"/>
    <d v="2022-08-30T00:00:00"/>
    <n v="34"/>
    <s v="FELE-96"/>
    <x v="2"/>
    <n v="7025.5"/>
    <x v="175"/>
    <n v="57609100"/>
    <n v="14"/>
    <n v="4502392177"/>
    <n v="5083312615"/>
    <n v="5113547153"/>
    <m/>
    <s v="TIENE BL"/>
    <m/>
    <x v="0"/>
    <d v="2022-08-22T00:00:00"/>
    <m/>
    <m/>
    <m/>
    <m/>
    <m/>
    <m/>
    <m/>
    <m/>
    <d v="2022-08-22T00:00:00"/>
    <x v="8"/>
  </r>
  <r>
    <s v="Edward Fabian Mejia Abril"/>
    <d v="2022-08-22T00:00:00"/>
    <d v="2022-08-30T00:00:00"/>
    <n v="34"/>
    <s v="NCRE8"/>
    <x v="2"/>
    <n v="7025.5"/>
    <x v="508"/>
    <n v="-675923.35500000021"/>
    <n v="0"/>
    <n v="4502392177"/>
    <n v="5083312615"/>
    <n v="5113547156"/>
    <m/>
    <m/>
    <m/>
    <x v="0"/>
    <d v="2022-08-22T00:00:00"/>
    <m/>
    <m/>
    <m/>
    <m/>
    <m/>
    <m/>
    <m/>
    <m/>
    <d v="2022-08-22T00:00:00"/>
    <x v="8"/>
  </r>
  <r>
    <s v="Sociedad Comercializadora Ganadera"/>
    <d v="2022-08-26T00:00:00"/>
    <d v="2022-08-26T00:00:00"/>
    <n v="34"/>
    <s v="FEDV-402"/>
    <x v="0"/>
    <n v="13347.5"/>
    <x v="248"/>
    <n v="114788500"/>
    <n v="30"/>
    <n v="4502392178"/>
    <n v="5083330856"/>
    <n v="5113541498"/>
    <m/>
    <s v="TIENE BL"/>
    <m/>
    <x v="0"/>
    <d v="2022-08-23T00:00:00"/>
    <m/>
    <m/>
    <m/>
    <m/>
    <m/>
    <m/>
    <m/>
    <m/>
    <d v="2022-08-23T00:00:00"/>
    <x v="8"/>
  </r>
  <r>
    <s v="Sociedad Comercializadora Ganadera"/>
    <d v="2022-08-26T00:00:00"/>
    <d v="2022-08-26T00:00:00"/>
    <n v="34"/>
    <s v="NC200"/>
    <x v="0"/>
    <n v="13347.5"/>
    <x v="509"/>
    <n v="-2079673.9749999931"/>
    <n v="0"/>
    <n v="4502392178"/>
    <n v="5083330856"/>
    <n v="5113541529"/>
    <m/>
    <m/>
    <m/>
    <x v="0"/>
    <d v="2022-08-23T00:00:00"/>
    <m/>
    <m/>
    <m/>
    <m/>
    <m/>
    <m/>
    <m/>
    <m/>
    <d v="2022-08-23T00:00:00"/>
    <x v="8"/>
  </r>
  <r>
    <s v="Lina Maria Pelaez Gomez"/>
    <d v="2022-08-23T00:00:00"/>
    <d v="2022-08-29T00:00:00"/>
    <n v="34"/>
    <s v="LP-110"/>
    <x v="0"/>
    <n v="13466"/>
    <x v="248"/>
    <n v="115807600"/>
    <n v="30"/>
    <n v="4502392179"/>
    <n v="5083330857"/>
    <n v="5113547107"/>
    <m/>
    <s v="TIENE BL"/>
    <m/>
    <x v="0"/>
    <d v="2022-08-23T00:00:00"/>
    <m/>
    <m/>
    <m/>
    <m/>
    <m/>
    <m/>
    <m/>
    <m/>
    <d v="2022-08-23T00:00:00"/>
    <x v="8"/>
  </r>
  <r>
    <s v="Lina Maria Pelaez Gomez"/>
    <d v="2022-08-23T00:00:00"/>
    <d v="2022-08-29T00:00:00"/>
    <n v="34"/>
    <s v="NC83"/>
    <x v="0"/>
    <n v="13466"/>
    <x v="13"/>
    <n v="-673300"/>
    <n v="0"/>
    <n v="4502392179"/>
    <n v="5083330857"/>
    <n v="5113547110"/>
    <m/>
    <m/>
    <m/>
    <x v="0"/>
    <d v="2022-08-23T00:00:00"/>
    <m/>
    <m/>
    <m/>
    <m/>
    <m/>
    <m/>
    <m/>
    <m/>
    <d v="2022-08-23T00:00:00"/>
    <x v="8"/>
  </r>
  <r>
    <s v="Luis Fernando Rojas Prada"/>
    <d v="2022-08-23T00:00:00"/>
    <d v="2022-08-23T00:00:00"/>
    <n v="34"/>
    <s v="FELC-1002"/>
    <x v="0"/>
    <n v="7232"/>
    <x v="63"/>
    <n v="56771200"/>
    <n v="14"/>
    <n v="4502395075"/>
    <n v="5083299485"/>
    <n v="5113525050"/>
    <m/>
    <s v="EJ 3062400"/>
    <s v="CON RETEN"/>
    <x v="0"/>
    <d v="2022-08-23T00:00:00"/>
    <n v="4902330097"/>
    <n v="3062400"/>
    <s v="FEMD-5018"/>
    <n v="5113547785"/>
    <m/>
    <m/>
    <m/>
    <m/>
    <d v="2022-08-23T00:00:00"/>
    <x v="8"/>
  </r>
  <r>
    <s v="Agroinversiones RG S.A.S"/>
    <d v="2022-08-26T00:00:00"/>
    <d v="2022-08-26T00:00:00"/>
    <n v="34"/>
    <s v="FE-75"/>
    <x v="0"/>
    <n v="13173.5"/>
    <x v="207"/>
    <n v="109340050"/>
    <n v="28"/>
    <n v="4502392180"/>
    <n v="5083330888"/>
    <n v="5113541601"/>
    <m/>
    <s v="CON RETEN"/>
    <m/>
    <x v="0"/>
    <d v="2022-08-23T00:00:00"/>
    <m/>
    <m/>
    <m/>
    <m/>
    <m/>
    <m/>
    <m/>
    <m/>
    <d v="2022-08-23T00:00:00"/>
    <x v="8"/>
  </r>
  <r>
    <s v="Agroinversiones RG S.A.S"/>
    <d v="2022-08-26T00:00:00"/>
    <d v="2022-08-26T00:00:00"/>
    <n v="34"/>
    <s v="DF25"/>
    <x v="0"/>
    <n v="13173.5"/>
    <x v="13"/>
    <n v="658675"/>
    <n v="0"/>
    <n v="4502392180"/>
    <n v="5083330888"/>
    <n v="5113541603"/>
    <m/>
    <m/>
    <m/>
    <x v="0"/>
    <d v="2022-08-23T00:00:00"/>
    <m/>
    <m/>
    <m/>
    <m/>
    <m/>
    <m/>
    <m/>
    <m/>
    <d v="2022-08-23T00:00:00"/>
    <x v="8"/>
  </r>
  <r>
    <s v="David Martinez Jaramillo"/>
    <d v="2022-08-23T00:00:00"/>
    <d v="2022-08-26T00:00:00"/>
    <n v="34"/>
    <s v="DM-249"/>
    <x v="1"/>
    <n v="26721"/>
    <x v="248"/>
    <n v="229800600"/>
    <n v="59"/>
    <n v="4502392181"/>
    <n v="5083330889"/>
    <n v="5113556530"/>
    <m/>
    <s v="TIENE BL"/>
    <m/>
    <x v="0"/>
    <d v="2022-08-23T00:00:00"/>
    <m/>
    <m/>
    <m/>
    <m/>
    <m/>
    <m/>
    <m/>
    <m/>
    <d v="2022-08-23T00:00:00"/>
    <x v="8"/>
  </r>
  <r>
    <s v="David Martinez Jaramillo"/>
    <d v="2022-08-23T00:00:00"/>
    <d v="2022-08-26T00:00:00"/>
    <n v="34"/>
    <s v="NC62"/>
    <x v="1"/>
    <n v="26721"/>
    <x v="510"/>
    <n v="-3015999.2700000214"/>
    <n v="0"/>
    <n v="4502392181"/>
    <n v="5083330889"/>
    <n v="5113556531"/>
    <m/>
    <m/>
    <m/>
    <x v="0"/>
    <d v="2022-08-23T00:00:00"/>
    <m/>
    <m/>
    <m/>
    <m/>
    <m/>
    <m/>
    <m/>
    <m/>
    <d v="2022-08-23T00:00:00"/>
    <x v="8"/>
  </r>
  <r>
    <s v="Marco Antonio Alvarez Vega"/>
    <d v="2022-08-25T00:00:00"/>
    <m/>
    <n v="34"/>
    <s v="MAV-2"/>
    <x v="2"/>
    <n v="12222"/>
    <x v="175"/>
    <n v="100220400"/>
    <n v="30"/>
    <n v="4502392183"/>
    <n v="5083331082"/>
    <n v="5113539191"/>
    <m/>
    <s v="TIENE BL"/>
    <m/>
    <x v="0"/>
    <d v="2022-08-23T00:00:00"/>
    <m/>
    <m/>
    <m/>
    <m/>
    <m/>
    <m/>
    <m/>
    <m/>
    <d v="2022-08-23T00:00:00"/>
    <x v="8"/>
  </r>
  <r>
    <s v="Marco Antonio Alvarez Vega"/>
    <d v="2022-08-25T00:00:00"/>
    <m/>
    <n v="34"/>
    <s v="NC2"/>
    <x v="2"/>
    <n v="12222"/>
    <x v="511"/>
    <n v="-334638.36000000132"/>
    <n v="0"/>
    <n v="4502392183"/>
    <n v="5083331082"/>
    <n v="5113539194"/>
    <m/>
    <m/>
    <m/>
    <x v="0"/>
    <d v="2022-08-23T00:00:00"/>
    <m/>
    <m/>
    <m/>
    <m/>
    <m/>
    <m/>
    <m/>
    <m/>
    <d v="2022-08-23T00:00:00"/>
    <x v="8"/>
  </r>
  <r>
    <s v="Miguel Antonio Carrascal Pacheco"/>
    <d v="2022-08-28T00:00:00"/>
    <d v="2022-08-30T00:00:00"/>
    <n v="34"/>
    <s v="FAMC-13"/>
    <x v="2"/>
    <n v="13925"/>
    <x v="207"/>
    <n v="115577500"/>
    <n v="30"/>
    <n v="4502392184"/>
    <n v="5083331083"/>
    <n v="5113552985"/>
    <m/>
    <s v="TIENE BL"/>
    <m/>
    <x v="0"/>
    <d v="2022-08-23T00:00:00"/>
    <m/>
    <m/>
    <m/>
    <m/>
    <m/>
    <m/>
    <m/>
    <m/>
    <d v="2022-08-23T00:00:00"/>
    <x v="8"/>
  </r>
  <r>
    <s v="Miguel Antonio Carrascal Pacheco"/>
    <d v="2022-08-28T00:00:00"/>
    <d v="2022-08-30T00:00:00"/>
    <n v="34"/>
    <s v="NDE11"/>
    <x v="2"/>
    <n v="13925"/>
    <x v="2"/>
    <n v="1392500"/>
    <n v="0"/>
    <n v="4502392184"/>
    <n v="5083331083"/>
    <n v="5113553028"/>
    <m/>
    <m/>
    <m/>
    <x v="0"/>
    <d v="2022-08-23T00:00:00"/>
    <m/>
    <m/>
    <m/>
    <m/>
    <m/>
    <m/>
    <m/>
    <m/>
    <d v="2022-08-23T00:00:00"/>
    <x v="8"/>
  </r>
  <r>
    <s v="Hacienda Mozambique S.A.S"/>
    <d v="2022-08-24T00:00:00"/>
    <d v="2022-08-24T00:00:00"/>
    <n v="34"/>
    <s v="HAMO127"/>
    <x v="2"/>
    <n v="7912"/>
    <x v="149"/>
    <n v="62900400"/>
    <n v="14"/>
    <n v="4502399386"/>
    <n v="5083402077"/>
    <n v="5113557910"/>
    <n v="0"/>
    <s v="EJ 2982600"/>
    <s v="CON RETEN -IN249056"/>
    <x v="0"/>
    <d v="2022-08-23T00:00:00"/>
    <n v="4902330118"/>
    <n v="2982600"/>
    <s v="FEMD-5021"/>
    <n v="5113547927"/>
    <m/>
    <m/>
    <m/>
    <m/>
    <d v="2022-08-23T00:00:00"/>
    <x v="8"/>
  </r>
  <r>
    <s v="Sociedad Comercializadora Ganadera"/>
    <d v="2022-08-26T00:00:00"/>
    <d v="2022-08-26T00:00:00"/>
    <n v="34"/>
    <s v="FEDV-401"/>
    <x v="2"/>
    <n v="13685.5"/>
    <x v="248"/>
    <n v="117695300"/>
    <n v="30"/>
    <n v="4502395619"/>
    <n v="5083330890"/>
    <n v="5113535862"/>
    <m/>
    <s v="TIENE BL"/>
    <m/>
    <x v="0"/>
    <d v="2022-08-23T00:00:00"/>
    <m/>
    <m/>
    <m/>
    <m/>
    <m/>
    <m/>
    <m/>
    <m/>
    <d v="2022-08-23T00:00:00"/>
    <x v="8"/>
  </r>
  <r>
    <s v="Mauricio De Jesús Bernal Jaramillo"/>
    <d v="2022-08-26T00:00:00"/>
    <m/>
    <n v="34"/>
    <s v="FE-199"/>
    <x v="2"/>
    <n v="13028"/>
    <x v="76"/>
    <n v="105526800"/>
    <n v="30"/>
    <n v="4502398955"/>
    <n v="5083373502"/>
    <n v="5113538419"/>
    <m/>
    <s v="CON RETEN"/>
    <m/>
    <x v="1"/>
    <d v="2022-08-23T00:00:00"/>
    <m/>
    <m/>
    <m/>
    <m/>
    <m/>
    <m/>
    <m/>
    <m/>
    <d v="2022-08-23T00:00:00"/>
    <x v="8"/>
  </r>
  <r>
    <s v="Tres VE. S.A.S."/>
    <d v="2022-08-23T00:00:00"/>
    <d v="2022-08-27T00:00:00"/>
    <n v="34"/>
    <s v="TVE-144"/>
    <x v="2"/>
    <n v="13407"/>
    <x v="76"/>
    <n v="108596700"/>
    <n v="28"/>
    <n v="4502398965"/>
    <n v="5083373710"/>
    <n v="5113544442"/>
    <m/>
    <s v="CON RETEN"/>
    <m/>
    <x v="1"/>
    <d v="2022-08-23T00:00:00"/>
    <m/>
    <m/>
    <m/>
    <m/>
    <m/>
    <m/>
    <m/>
    <m/>
    <d v="2022-08-23T00:00:00"/>
    <x v="8"/>
  </r>
  <r>
    <s v="Manuel Antonio Anniccharico Vuelva"/>
    <d v="2022-08-27T00:00:00"/>
    <m/>
    <n v="34"/>
    <s v="FMA-28"/>
    <x v="2"/>
    <n v="7459"/>
    <x v="76"/>
    <n v="60417900"/>
    <n v="14"/>
    <n v="4502398975"/>
    <n v="5083373890"/>
    <n v="5113538425"/>
    <m/>
    <s v="CON RETEN"/>
    <m/>
    <x v="1"/>
    <d v="2022-08-23T00:00:00"/>
    <m/>
    <m/>
    <m/>
    <m/>
    <m/>
    <m/>
    <m/>
    <m/>
    <d v="2022-08-23T00:00:00"/>
    <x v="8"/>
  </r>
  <r>
    <s v="Maria Victoria Yepes Garcia"/>
    <d v="2022-08-25T00:00:00"/>
    <d v="2022-08-30T00:00:00"/>
    <n v="35"/>
    <s v="MVYG-35"/>
    <x v="0"/>
    <n v="13267"/>
    <x v="76"/>
    <n v="107462700"/>
    <n v="28"/>
    <n v="4502396699"/>
    <n v="5083364264"/>
    <n v="5113550991"/>
    <m/>
    <s v="TIENE BL"/>
    <m/>
    <x v="0"/>
    <d v="2022-08-25T00:00:00"/>
    <m/>
    <m/>
    <m/>
    <m/>
    <m/>
    <m/>
    <m/>
    <m/>
    <d v="2022-08-25T00:00:00"/>
    <x v="8"/>
  </r>
  <r>
    <s v="Fernando Arevalo Reyes"/>
    <d v="2022-08-25T00:00:00"/>
    <m/>
    <n v="35"/>
    <s v="FVE-170"/>
    <x v="0"/>
    <n v="14559"/>
    <x v="76"/>
    <n v="117927900"/>
    <n v="30"/>
    <n v="4502396700"/>
    <n v="5083367106"/>
    <n v="5113557865"/>
    <m/>
    <s v="TIENE BL"/>
    <m/>
    <x v="0"/>
    <d v="2022-08-25T00:00:00"/>
    <m/>
    <m/>
    <m/>
    <m/>
    <m/>
    <m/>
    <m/>
    <m/>
    <d v="2022-08-25T00:00:00"/>
    <x v="8"/>
  </r>
  <r>
    <s v="Fernando Arevalo Reyes"/>
    <d v="2022-08-25T00:00:00"/>
    <m/>
    <n v="35"/>
    <s v="NC44"/>
    <x v="0"/>
    <n v="14559"/>
    <x v="512"/>
    <n v="-78909.780000001061"/>
    <n v="0"/>
    <n v="4502396700"/>
    <n v="5083367106"/>
    <n v="5113557891"/>
    <m/>
    <m/>
    <m/>
    <x v="0"/>
    <d v="2022-08-25T00:00:00"/>
    <m/>
    <m/>
    <m/>
    <m/>
    <m/>
    <m/>
    <m/>
    <m/>
    <d v="2022-08-25T00:00:00"/>
    <x v="8"/>
  </r>
  <r>
    <s v="Andres Felipe Mantilla Acosta"/>
    <d v="2022-08-25T00:00:00"/>
    <d v="2022-08-30T00:00:00"/>
    <n v="35"/>
    <s v="FEFE29"/>
    <x v="0"/>
    <n v="14579.5"/>
    <x v="76"/>
    <n v="118093950"/>
    <n v="28"/>
    <n v="4502396701"/>
    <n v="5083364265"/>
    <n v="5113549082"/>
    <m/>
    <s v="TIENE BL"/>
    <m/>
    <x v="0"/>
    <d v="2022-08-25T00:00:00"/>
    <m/>
    <m/>
    <m/>
    <m/>
    <m/>
    <m/>
    <m/>
    <m/>
    <d v="2022-08-25T00:00:00"/>
    <x v="8"/>
  </r>
  <r>
    <s v="Andres Felipe Mantilla Acosta"/>
    <d v="2022-08-25T00:00:00"/>
    <d v="2022-08-30T00:00:00"/>
    <n v="35"/>
    <s v="NC8"/>
    <x v="0"/>
    <n v="14579.5"/>
    <x v="513"/>
    <n v="-121884.61999999522"/>
    <n v="0"/>
    <n v="4502396701"/>
    <n v="5083364265"/>
    <n v="5113549083"/>
    <m/>
    <m/>
    <m/>
    <x v="0"/>
    <d v="2022-08-25T00:00:00"/>
    <m/>
    <m/>
    <m/>
    <m/>
    <m/>
    <m/>
    <m/>
    <m/>
    <d v="2022-08-25T00:00:00"/>
    <x v="8"/>
  </r>
  <r>
    <s v="Sociedad Comercializadora Ganadera"/>
    <d v="2022-08-30T00:00:00"/>
    <d v="2022-08-30T00:00:00"/>
    <n v="35"/>
    <s v="FEDV404"/>
    <x v="0"/>
    <n v="41881"/>
    <x v="213"/>
    <n v="355988500"/>
    <n v="90"/>
    <n v="4502396702"/>
    <n v="5083364266"/>
    <n v="5113553110"/>
    <m/>
    <s v="TIENE BL"/>
    <m/>
    <x v="0"/>
    <d v="2022-08-25T00:00:00"/>
    <m/>
    <m/>
    <m/>
    <m/>
    <m/>
    <m/>
    <m/>
    <m/>
    <d v="2022-08-25T00:00:00"/>
    <x v="8"/>
  </r>
  <r>
    <s v="Sociedad Comercializadora Ganadera"/>
    <d v="2022-08-30T00:00:00"/>
    <d v="2022-08-30T00:00:00"/>
    <n v="35"/>
    <s v="NC201"/>
    <x v="0"/>
    <n v="41881"/>
    <x v="514"/>
    <n v="-38111.709999993909"/>
    <n v="0"/>
    <n v="4502396702"/>
    <n v="5083364266"/>
    <n v="5113553180"/>
    <m/>
    <m/>
    <m/>
    <x v="0"/>
    <d v="2022-08-25T00:00:00"/>
    <m/>
    <m/>
    <m/>
    <m/>
    <m/>
    <m/>
    <m/>
    <m/>
    <d v="2022-08-25T00:00:00"/>
    <x v="8"/>
  </r>
  <r>
    <s v="Sociedad Comercializadora Ganadera"/>
    <d v="2022-08-30T00:00:00"/>
    <d v="2022-08-30T00:00:00"/>
    <n v="35"/>
    <s v="FEDV405"/>
    <x v="0"/>
    <n v="7023"/>
    <x v="213"/>
    <n v="59695500"/>
    <n v="15"/>
    <n v="4502396702"/>
    <n v="5083364266"/>
    <n v="5113553398"/>
    <m/>
    <s v="TIENE BL"/>
    <m/>
    <x v="0"/>
    <d v="2022-08-25T00:00:00"/>
    <m/>
    <m/>
    <m/>
    <m/>
    <m/>
    <m/>
    <m/>
    <m/>
    <d v="2022-08-25T00:00:00"/>
    <x v="8"/>
  </r>
  <r>
    <s v="David Martinez Jaramillo"/>
    <d v="2022-08-26T00:00:00"/>
    <d v="2022-08-29T00:00:00"/>
    <n v="35"/>
    <s v="DM250"/>
    <x v="0"/>
    <n v="13927.5"/>
    <x v="213"/>
    <n v="118383750"/>
    <n v="30"/>
    <n v="4502396703"/>
    <n v="5083364267"/>
    <n v="5113550472"/>
    <m/>
    <s v="TIENE BL"/>
    <m/>
    <x v="0"/>
    <d v="2022-08-25T00:00:00"/>
    <m/>
    <m/>
    <m/>
    <m/>
    <m/>
    <m/>
    <m/>
    <m/>
    <d v="2022-08-25T00:00:00"/>
    <x v="8"/>
  </r>
  <r>
    <s v="David Martinez Jaramillo"/>
    <d v="2022-08-29T00:00:00"/>
    <d v="2022-08-29T00:00:00"/>
    <n v="35"/>
    <s v="NC63"/>
    <x v="0"/>
    <n v="28218.5"/>
    <x v="2"/>
    <n v="-2821850"/>
    <n v="0"/>
    <n v="4502396703"/>
    <n v="5083364267"/>
    <n v="5113550473"/>
    <m/>
    <m/>
    <m/>
    <x v="0"/>
    <d v="2022-08-25T00:00:00"/>
    <m/>
    <m/>
    <m/>
    <m/>
    <m/>
    <m/>
    <m/>
    <m/>
    <d v="2022-08-25T00:00:00"/>
    <x v="8"/>
  </r>
  <r>
    <s v="David Martinez Jaramillo"/>
    <d v="2022-08-26T00:00:00"/>
    <d v="2022-08-29T00:00:00"/>
    <n v="35"/>
    <s v="DM250"/>
    <x v="0"/>
    <n v="14291"/>
    <x v="213"/>
    <n v="121473500"/>
    <n v="30"/>
    <n v="4502396707"/>
    <n v="5083364267"/>
    <n v="5113550472"/>
    <m/>
    <s v="TIENE BL"/>
    <m/>
    <x v="0"/>
    <d v="2022-08-26T00:00:00"/>
    <m/>
    <m/>
    <m/>
    <m/>
    <m/>
    <m/>
    <m/>
    <m/>
    <d v="2022-08-26T00:00:00"/>
    <x v="8"/>
  </r>
  <r>
    <s v="Angel David Castilla Sanchez"/>
    <d v="2022-08-30T00:00:00"/>
    <m/>
    <n v="35"/>
    <s v="FED-905"/>
    <x v="2"/>
    <n v="7040"/>
    <x v="76"/>
    <n v="57024000"/>
    <n v="15"/>
    <n v="4502396704"/>
    <n v="5083364398"/>
    <n v="5113562380"/>
    <m/>
    <s v="TIENE BL"/>
    <m/>
    <x v="0"/>
    <d v="2022-08-25T00:00:00"/>
    <m/>
    <m/>
    <m/>
    <m/>
    <m/>
    <m/>
    <m/>
    <m/>
    <d v="2022-08-25T00:00:00"/>
    <x v="8"/>
  </r>
  <r>
    <s v="Angel David Castilla Sanchez"/>
    <d v="2022-08-30T00:00:00"/>
    <m/>
    <n v="35"/>
    <s v="EC14"/>
    <x v="2"/>
    <n v="7040"/>
    <x v="13"/>
    <n v="-352000"/>
    <n v="0"/>
    <n v="4502396704"/>
    <n v="5083364398"/>
    <n v="5113562382"/>
    <m/>
    <m/>
    <m/>
    <x v="0"/>
    <d v="2022-08-25T00:00:00"/>
    <m/>
    <m/>
    <m/>
    <m/>
    <m/>
    <m/>
    <m/>
    <m/>
    <d v="2022-08-25T00:00:00"/>
    <x v="8"/>
  </r>
  <r>
    <s v="Sociedad Comercializadora Ganadera"/>
    <d v="2022-08-30T00:00:00"/>
    <d v="2022-08-30T00:00:00"/>
    <n v="35"/>
    <s v="FEDV405"/>
    <x v="0"/>
    <n v="6482.5"/>
    <x v="213"/>
    <n v="55101250"/>
    <n v="17"/>
    <n v="4502396705"/>
    <n v="5083364266"/>
    <n v="5113553398"/>
    <m/>
    <s v="TIENE BL"/>
    <m/>
    <x v="0"/>
    <d v="2022-08-26T00:00:00"/>
    <m/>
    <m/>
    <m/>
    <m/>
    <m/>
    <m/>
    <m/>
    <m/>
    <d v="2022-08-26T00:00:00"/>
    <x v="8"/>
  </r>
  <r>
    <s v="Sociedad Comercializadora Ganadera"/>
    <d v="2022-08-30T00:00:00"/>
    <d v="2022-08-30T00:00:00"/>
    <n v="35"/>
    <s v="NC202"/>
    <x v="0"/>
    <n v="13505.5"/>
    <x v="515"/>
    <n v="-310761.55500000296"/>
    <n v="0"/>
    <n v="4502396705"/>
    <n v="5083395155"/>
    <n v="5113553341"/>
    <m/>
    <m/>
    <m/>
    <x v="0"/>
    <d v="2022-08-26T00:00:00"/>
    <m/>
    <m/>
    <m/>
    <m/>
    <m/>
    <m/>
    <m/>
    <m/>
    <d v="2022-08-26T00:00:00"/>
    <x v="8"/>
  </r>
  <r>
    <s v="Sociedad Comercializadora Ganadera"/>
    <d v="2022-08-30T00:00:00"/>
    <d v="2022-08-30T00:00:00"/>
    <n v="35"/>
    <s v="FEDV407"/>
    <x v="0"/>
    <n v="28982.5"/>
    <x v="213"/>
    <n v="246351250"/>
    <n v="60"/>
    <n v="4502396705"/>
    <n v="5083395155"/>
    <n v="5113553276"/>
    <m/>
    <s v="TIENE BL"/>
    <m/>
    <x v="0"/>
    <d v="2022-08-26T00:00:00"/>
    <m/>
    <m/>
    <m/>
    <m/>
    <m/>
    <m/>
    <m/>
    <m/>
    <d v="2022-08-26T00:00:00"/>
    <x v="8"/>
  </r>
  <r>
    <s v="Lina Maria Pelaez Gomez"/>
    <d v="2022-08-26T00:00:00"/>
    <d v="2022-08-29T00:00:00"/>
    <n v="35"/>
    <s v="LP-111"/>
    <x v="0"/>
    <n v="6879.5"/>
    <x v="213"/>
    <n v="58475750"/>
    <n v="15"/>
    <n v="4502396706"/>
    <n v="5083395118"/>
    <n v="5113552468"/>
    <m/>
    <s v="TIENE BL"/>
    <m/>
    <x v="0"/>
    <d v="2022-08-26T00:00:00"/>
    <m/>
    <m/>
    <m/>
    <m/>
    <m/>
    <m/>
    <m/>
    <m/>
    <d v="2022-08-26T00:00:00"/>
    <x v="8"/>
  </r>
  <r>
    <s v="Agropecuaria Tabaida S.A.S"/>
    <d v="2022-08-26T00:00:00"/>
    <d v="2022-08-30T00:00:00"/>
    <n v="35"/>
    <s v="MT1530"/>
    <x v="2"/>
    <n v="19510"/>
    <x v="117"/>
    <n v="156080000"/>
    <n v="42"/>
    <n v="4502400556"/>
    <n v="5083421711"/>
    <n v="5113556476"/>
    <s v="TIENE BL"/>
    <m/>
    <m/>
    <x v="1"/>
    <d v="2022-08-26T00:00:00"/>
    <m/>
    <m/>
    <m/>
    <m/>
    <m/>
    <m/>
    <m/>
    <m/>
    <d v="2022-08-26T00:00:00"/>
    <x v="8"/>
  </r>
  <r>
    <s v="Surtidora Agropecuaria De Colombia"/>
    <d v="2022-08-26T00:00:00"/>
    <d v="2022-08-30T00:00:00"/>
    <n v="35"/>
    <s v="FESA-49"/>
    <x v="2"/>
    <n v="27536"/>
    <x v="117"/>
    <n v="220288000"/>
    <n v="56"/>
    <n v="4502400541"/>
    <n v="5083421586"/>
    <n v="5113550886"/>
    <m/>
    <s v="TIENE BL"/>
    <m/>
    <x v="1"/>
    <d v="2022-08-26T00:00:00"/>
    <m/>
    <m/>
    <m/>
    <m/>
    <m/>
    <m/>
    <m/>
    <m/>
    <d v="2022-08-26T00:00:00"/>
    <x v="8"/>
  </r>
  <r>
    <s v="Carlos Mario Duque Cadavid"/>
    <d v="2022-08-26T00:00:00"/>
    <m/>
    <n v="35"/>
    <s v="CD-124"/>
    <x v="2"/>
    <n v="27374"/>
    <x v="117"/>
    <n v="218992000"/>
    <n v="56"/>
    <n v="4502400526"/>
    <n v="5083421468"/>
    <n v="5113547114"/>
    <m/>
    <s v="CON RETEN"/>
    <m/>
    <x v="1"/>
    <d v="2022-08-26T00:00:00"/>
    <m/>
    <m/>
    <m/>
    <m/>
    <m/>
    <m/>
    <m/>
    <m/>
    <d v="2022-08-26T00:00:00"/>
    <x v="8"/>
  </r>
  <r>
    <s v="Sociedad Comercializadora Ganadera"/>
    <d v="2022-08-30T00:00:00"/>
    <d v="2022-08-30T00:00:00"/>
    <n v="35"/>
    <s v="FEDV406"/>
    <x v="0"/>
    <n v="20788.5"/>
    <x v="213"/>
    <n v="176702250"/>
    <n v="45"/>
    <n v="4502396708"/>
    <n v="5083395124"/>
    <n v="5113553406"/>
    <m/>
    <s v="TIENE BL"/>
    <m/>
    <x v="0"/>
    <d v="2022-08-27T00:00:00"/>
    <m/>
    <m/>
    <m/>
    <m/>
    <m/>
    <m/>
    <m/>
    <m/>
    <d v="2022-08-27T00:00:00"/>
    <x v="8"/>
  </r>
  <r>
    <s v="Sociedad Comercializadora Ganadera"/>
    <d v="2022-08-30T00:00:00"/>
    <d v="2022-08-30T00:00:00"/>
    <n v="35"/>
    <s v="NC203"/>
    <x v="0"/>
    <n v="20788.5"/>
    <x v="516"/>
    <n v="-150924.51000000455"/>
    <n v="0"/>
    <n v="4502396708"/>
    <n v="5083395124"/>
    <n v="5113553500"/>
    <m/>
    <m/>
    <m/>
    <x v="0"/>
    <d v="2022-08-27T00:00:00"/>
    <m/>
    <m/>
    <m/>
    <m/>
    <m/>
    <m/>
    <m/>
    <m/>
    <d v="2022-08-27T00:00:00"/>
    <x v="8"/>
  </r>
  <r>
    <s v="Savanna &amp; Compañia S.A.S ZOMAC"/>
    <d v="2022-08-29T00:00:00"/>
    <d v="2022-08-31T00:00:00"/>
    <n v="35"/>
    <s v="S-49"/>
    <x v="0"/>
    <n v="14946"/>
    <x v="56"/>
    <n v="113589600"/>
    <n v="28"/>
    <n v="4502399392"/>
    <n v="5083395359"/>
    <n v="5113563134"/>
    <m/>
    <s v="EJ*2 3697950*2"/>
    <s v="TIENE BL IN249056"/>
    <x v="0"/>
    <d v="2022-08-27T00:00:00"/>
    <n v="4902334134"/>
    <n v="7395900"/>
    <s v="FEMD-5037*2"/>
    <n v="5113551997"/>
    <m/>
    <m/>
    <m/>
    <m/>
    <d v="2022-08-27T00:00:00"/>
    <x v="8"/>
  </r>
  <r>
    <s v="David Martinez Jaramillo"/>
    <d v="2022-08-27T00:00:00"/>
    <d v="2022-08-30T00:00:00"/>
    <n v="35"/>
    <s v="DM251"/>
    <x v="0"/>
    <n v="6393"/>
    <x v="213"/>
    <n v="54340500"/>
    <n v="14"/>
    <n v="4502396710"/>
    <n v="5083395125"/>
    <n v="5113556471"/>
    <m/>
    <s v="TIENE BL"/>
    <m/>
    <x v="0"/>
    <d v="2022-08-27T00:00:00"/>
    <m/>
    <m/>
    <m/>
    <m/>
    <m/>
    <m/>
    <m/>
    <m/>
    <d v="2022-08-27T00:00:00"/>
    <x v="8"/>
  </r>
  <r>
    <s v="David Martinez Jaramillo"/>
    <d v="2022-08-30T00:00:00"/>
    <d v="2022-08-30T00:00:00"/>
    <n v="35"/>
    <s v="NC64"/>
    <x v="0"/>
    <n v="6393"/>
    <x v="517"/>
    <n v="-718317.48000000371"/>
    <n v="0"/>
    <n v="4502396710"/>
    <n v="5083395125"/>
    <n v="5113556474"/>
    <m/>
    <m/>
    <m/>
    <x v="0"/>
    <d v="2022-08-27T00:00:00"/>
    <m/>
    <m/>
    <m/>
    <m/>
    <m/>
    <m/>
    <m/>
    <m/>
    <d v="2022-08-27T00:00:00"/>
    <x v="8"/>
  </r>
  <r>
    <s v="Jairo De Jesus Restrepo Gonzalez"/>
    <d v="2022-08-27T00:00:00"/>
    <d v="2022-08-30T00:00:00"/>
    <n v="35"/>
    <s v="FEV-12"/>
    <x v="0"/>
    <n v="6521.5"/>
    <x v="76"/>
    <n v="52824150"/>
    <n v="14"/>
    <n v="4502396711"/>
    <n v="5083395126"/>
    <n v="5113552427"/>
    <m/>
    <s v="CON RETEN"/>
    <m/>
    <x v="0"/>
    <d v="2022-08-27T00:00:00"/>
    <m/>
    <m/>
    <m/>
    <m/>
    <m/>
    <m/>
    <m/>
    <m/>
    <d v="2022-08-27T00:00:00"/>
    <x v="8"/>
  </r>
  <r>
    <s v="Gentil Antonio Osorio Aguilar"/>
    <d v="2022-08-27T00:00:00"/>
    <d v="2022-08-30T00:00:00"/>
    <n v="35"/>
    <s v="FEG-6"/>
    <x v="1"/>
    <n v="20840"/>
    <x v="76"/>
    <n v="168804000"/>
    <n v="45"/>
    <n v="4502396731"/>
    <n v="5083395157"/>
    <n v="5113552474"/>
    <m/>
    <s v="TIENE BL"/>
    <m/>
    <x v="0"/>
    <d v="2022-08-27T00:00:00"/>
    <m/>
    <m/>
    <m/>
    <m/>
    <m/>
    <m/>
    <m/>
    <m/>
    <d v="2022-08-27T00:00:00"/>
    <x v="8"/>
  </r>
  <r>
    <s v="Agroindustria Ganadera Valle Del Cesar"/>
    <d v="2022-08-30T00:00:00"/>
    <m/>
    <n v="35"/>
    <s v="FE-50"/>
    <x v="1"/>
    <n v="13070.5"/>
    <x v="76"/>
    <n v="105871050"/>
    <n v="28"/>
    <n v="4502396736"/>
    <n v="5083395127"/>
    <n v="5113549085"/>
    <m/>
    <s v="CON RETEN"/>
    <m/>
    <x v="0"/>
    <d v="2022-08-27T00:00:00"/>
    <m/>
    <m/>
    <m/>
    <m/>
    <m/>
    <m/>
    <m/>
    <m/>
    <d v="2022-08-27T00:00:00"/>
    <x v="8"/>
  </r>
  <r>
    <s v="Adrian Alberto Alvarez Henao"/>
    <d v="2022-08-31T00:00:00"/>
    <d v="2022-09-06T00:00:00"/>
    <n v="35"/>
    <s v="AAAH-65"/>
    <x v="0"/>
    <n v="13709"/>
    <x v="213"/>
    <n v="116526500"/>
    <n v="30"/>
    <n v="4502396712"/>
    <n v="5083407155"/>
    <n v="5113563472"/>
    <m/>
    <s v="TIENE BL "/>
    <m/>
    <x v="0"/>
    <d v="2022-08-28T00:00:00"/>
    <m/>
    <m/>
    <m/>
    <m/>
    <m/>
    <m/>
    <m/>
    <m/>
    <d v="2022-08-28T00:00:00"/>
    <x v="8"/>
  </r>
  <r>
    <s v="Adrian Alberto Alvarez Henao"/>
    <d v="2022-08-31T00:00:00"/>
    <d v="2022-09-06T00:00:00"/>
    <n v="35"/>
    <s v="AD31"/>
    <x v="0"/>
    <n v="13709"/>
    <x v="518"/>
    <n v="-2022625.860000012"/>
    <n v="0"/>
    <n v="4502396712"/>
    <n v="5083407155"/>
    <n v="5113563473"/>
    <m/>
    <m/>
    <m/>
    <x v="0"/>
    <d v="2022-08-28T00:00:00"/>
    <m/>
    <m/>
    <m/>
    <m/>
    <m/>
    <m/>
    <m/>
    <m/>
    <d v="2022-08-28T00:00:00"/>
    <x v="8"/>
  </r>
  <r>
    <s v="Miguel Antonio Carrascal Pacheco"/>
    <d v="2022-08-30T00:00:00"/>
    <d v="2022-09-01T00:00:00"/>
    <n v="35"/>
    <s v="FAMC14"/>
    <x v="0"/>
    <n v="6089.5"/>
    <x v="76"/>
    <n v="49324950"/>
    <n v="14"/>
    <n v="4502396713"/>
    <n v="5083407156"/>
    <n v="5113557893"/>
    <m/>
    <s v="TIENE BL"/>
    <m/>
    <x v="0"/>
    <d v="2022-08-28T00:00:00"/>
    <m/>
    <m/>
    <m/>
    <m/>
    <m/>
    <m/>
    <m/>
    <m/>
    <d v="2022-08-28T00:00:00"/>
    <x v="8"/>
  </r>
  <r>
    <s v="Miguel Antonio Carrascal Pacheco"/>
    <d v="2022-08-30T00:00:00"/>
    <d v="2022-09-01T00:00:00"/>
    <n v="35"/>
    <s v="NCR45"/>
    <x v="0"/>
    <n v="6089.5"/>
    <x v="519"/>
    <n v="-1208948.4349999984"/>
    <n v="0"/>
    <n v="4502396713"/>
    <n v="5083407156"/>
    <n v="5113557907"/>
    <m/>
    <m/>
    <m/>
    <x v="0"/>
    <d v="2022-08-28T00:00:00"/>
    <m/>
    <m/>
    <m/>
    <m/>
    <m/>
    <m/>
    <m/>
    <m/>
    <d v="2022-08-28T00:00:00"/>
    <x v="8"/>
  </r>
  <r>
    <s v="Agropecuaria Tabaida S.A.S"/>
    <d v="2022-08-28T00:00:00"/>
    <d v="2022-08-31T00:00:00"/>
    <n v="35"/>
    <s v="MT1531"/>
    <x v="2"/>
    <n v="20481"/>
    <x v="149"/>
    <n v="162823950"/>
    <n v="42"/>
    <n v="4502401364"/>
    <n v="5083440618"/>
    <n v="5113556481"/>
    <s v="TIENE BL"/>
    <m/>
    <m/>
    <x v="1"/>
    <d v="2022-08-28T00:00:00"/>
    <m/>
    <m/>
    <m/>
    <m/>
    <m/>
    <m/>
    <m/>
    <m/>
    <d v="2022-08-28T00:00:00"/>
    <x v="8"/>
  </r>
  <r>
    <s v="Inversiones Valle Del Canalete S.A.S"/>
    <d v="2022-08-28T00:00:00"/>
    <d v="2022-08-31T00:00:00"/>
    <n v="35"/>
    <s v="IVC134"/>
    <x v="2"/>
    <n v="25974"/>
    <x v="117"/>
    <n v="207792000"/>
    <n v="56"/>
    <n v="4502401366"/>
    <n v="5083440622"/>
    <n v="5113557594"/>
    <m/>
    <s v="CON RETEN"/>
    <m/>
    <x v="1"/>
    <d v="2022-08-28T00:00:00"/>
    <m/>
    <m/>
    <m/>
    <m/>
    <m/>
    <m/>
    <m/>
    <m/>
    <d v="2022-08-28T00:00:00"/>
    <x v="8"/>
  </r>
  <r>
    <s v="31416 S.A.S"/>
    <d v="2022-08-28T00:00:00"/>
    <d v="2022-08-30T00:00:00"/>
    <n v="35"/>
    <s v="PI173"/>
    <x v="2"/>
    <n v="15858"/>
    <x v="117"/>
    <n v="126864000"/>
    <n v="30"/>
    <n v="4502401369"/>
    <n v="5083440830"/>
    <n v="5113549084"/>
    <m/>
    <s v="CON RETEN"/>
    <m/>
    <x v="1"/>
    <d v="2022-08-28T00:00:00"/>
    <m/>
    <m/>
    <m/>
    <m/>
    <m/>
    <m/>
    <m/>
    <m/>
    <d v="2022-08-28T00:00:00"/>
    <x v="8"/>
  </r>
  <r>
    <s v="Manzur Aldana y CIA S. En C."/>
    <d v="2022-09-03T00:00:00"/>
    <m/>
    <n v="35"/>
    <s v="MAFE-41"/>
    <x v="2"/>
    <n v="6453"/>
    <x v="149"/>
    <n v="51301350"/>
    <n v="14"/>
    <n v="4502401367"/>
    <n v="5083440750"/>
    <n v="5113560370"/>
    <m/>
    <m/>
    <m/>
    <x v="1"/>
    <d v="2022-08-28T00:00:00"/>
    <m/>
    <m/>
    <m/>
    <m/>
    <m/>
    <m/>
    <m/>
    <m/>
    <d v="2022-08-28T00:00:00"/>
    <x v="8"/>
  </r>
  <r>
    <s v="Mauricio De Jesús Bernal Jaramillo"/>
    <d v="2022-08-31T00:00:00"/>
    <m/>
    <n v="35"/>
    <s v="FE-200"/>
    <x v="2"/>
    <n v="6592"/>
    <x v="117"/>
    <n v="52736000"/>
    <n v="15"/>
    <n v="4502401368"/>
    <n v="5083440756"/>
    <n v="5113556534"/>
    <m/>
    <s v="CON RETEN"/>
    <m/>
    <x v="1"/>
    <d v="2022-08-28T00:00:00"/>
    <m/>
    <m/>
    <m/>
    <m/>
    <m/>
    <m/>
    <m/>
    <m/>
    <d v="2022-08-28T00:00:00"/>
    <x v="8"/>
  </r>
  <r>
    <s v="Hugo Alfonso Portillo Rodriguez"/>
    <d v="2022-08-29T00:00:00"/>
    <d v="2022-09-01T00:00:00"/>
    <n v="35"/>
    <s v="E-174"/>
    <x v="0"/>
    <n v="12541.5"/>
    <x v="76"/>
    <n v="101586150"/>
    <n v="27"/>
    <n v="4502396714"/>
    <n v="5083412998"/>
    <n v="5113558545"/>
    <m/>
    <s v="TIENE BL"/>
    <m/>
    <x v="0"/>
    <d v="2022-08-29T00:00:00"/>
    <m/>
    <m/>
    <m/>
    <m/>
    <m/>
    <m/>
    <m/>
    <m/>
    <d v="2022-08-29T00:00:00"/>
    <x v="8"/>
  </r>
  <r>
    <s v="Hugo Alfonso Portillo Rodriguez"/>
    <d v="2022-08-29T00:00:00"/>
    <d v="2022-09-01T00:00:00"/>
    <n v="35"/>
    <s v="NC20"/>
    <x v="0"/>
    <n v="12541.5"/>
    <x v="13"/>
    <n v="-627075"/>
    <n v="0"/>
    <n v="4502396714"/>
    <n v="5083412998"/>
    <n v="5113558567"/>
    <m/>
    <m/>
    <m/>
    <x v="0"/>
    <d v="2022-08-29T00:00:00"/>
    <m/>
    <m/>
    <m/>
    <m/>
    <m/>
    <m/>
    <m/>
    <m/>
    <d v="2022-08-29T00:00:00"/>
    <x v="8"/>
  </r>
  <r>
    <s v="Inversiones Urbagro S.A.S"/>
    <d v="2022-09-07T00:00:00"/>
    <d v="2022-09-08T00:00:00"/>
    <n v="35"/>
    <s v="FE-20"/>
    <x v="0"/>
    <n v="28209"/>
    <x v="175"/>
    <n v="231313800"/>
    <n v="60"/>
    <n v="4502396715"/>
    <n v="5083412999"/>
    <n v="5113565856"/>
    <m/>
    <s v="CON RETEN"/>
    <m/>
    <x v="0"/>
    <d v="2022-08-29T00:00:00"/>
    <m/>
    <m/>
    <m/>
    <m/>
    <m/>
    <m/>
    <m/>
    <m/>
    <d v="2022-08-29T00:00:00"/>
    <x v="8"/>
  </r>
  <r>
    <s v="Multicarnicos S.A"/>
    <d v="2022-08-30T00:00:00"/>
    <d v="2022-08-31T00:00:00"/>
    <n v="35"/>
    <s v="MUL393"/>
    <x v="0"/>
    <n v="34654"/>
    <x v="175"/>
    <n v="284162800"/>
    <n v="70"/>
    <n v="4502396716"/>
    <n v="5083413000"/>
    <n v="5113556418"/>
    <m/>
    <s v="TIENE BL"/>
    <m/>
    <x v="0"/>
    <d v="2022-08-29T00:00:00"/>
    <m/>
    <m/>
    <m/>
    <m/>
    <m/>
    <m/>
    <m/>
    <m/>
    <d v="2022-08-29T00:00:00"/>
    <x v="8"/>
  </r>
  <r>
    <s v="Multicarnicos S.A"/>
    <d v="2022-08-30T00:00:00"/>
    <d v="2022-08-31T00:00:00"/>
    <n v="35"/>
    <s v="ND9"/>
    <x v="0"/>
    <n v="34654"/>
    <x v="520"/>
    <n v="1631163.77999999"/>
    <n v="0"/>
    <n v="4502396716"/>
    <n v="5083413000"/>
    <n v="5113556420"/>
    <m/>
    <m/>
    <m/>
    <x v="0"/>
    <d v="2022-08-29T00:00:00"/>
    <m/>
    <m/>
    <m/>
    <m/>
    <m/>
    <m/>
    <m/>
    <m/>
    <d v="2022-08-29T00:00:00"/>
    <x v="8"/>
  </r>
  <r>
    <s v="Edward Fabian Mejia Abril"/>
    <d v="2022-08-29T00:00:00"/>
    <m/>
    <n v="35"/>
    <s v="FELE-97"/>
    <x v="1"/>
    <n v="12840"/>
    <x v="213"/>
    <n v="109140000"/>
    <n v="29"/>
    <n v="4502396741"/>
    <n v="5083413293"/>
    <n v="5113565886"/>
    <m/>
    <s v="TIENE BL"/>
    <m/>
    <x v="0"/>
    <d v="2022-08-29T00:00:00"/>
    <m/>
    <m/>
    <m/>
    <m/>
    <m/>
    <m/>
    <m/>
    <m/>
    <d v="2022-08-29T00:00:00"/>
    <x v="8"/>
  </r>
  <r>
    <s v="Sociedad Comercializadora Ganadera"/>
    <d v="2022-08-31T00:00:00"/>
    <d v="2022-08-31T00:00:00"/>
    <n v="35"/>
    <s v="FEDV408"/>
    <x v="3"/>
    <n v="8983"/>
    <x v="5"/>
    <n v="66474200"/>
    <n v="33"/>
    <n v="4502401132"/>
    <n v="5083430001"/>
    <n v="5113557014"/>
    <m/>
    <s v="TIENE BL"/>
    <m/>
    <x v="2"/>
    <d v="2022-08-29T00:00:00"/>
    <m/>
    <m/>
    <m/>
    <m/>
    <m/>
    <m/>
    <m/>
    <m/>
    <d v="2022-08-29T00:00:00"/>
    <x v="8"/>
  </r>
  <r>
    <s v="Inversiones Urbagro S.A.S"/>
    <d v="2022-09-07T00:00:00"/>
    <d v="2022-09-08T00:00:00"/>
    <n v="35"/>
    <s v="FE-21"/>
    <x v="0"/>
    <n v="27081"/>
    <x v="175"/>
    <n v="222064200"/>
    <n v="60"/>
    <n v="4502396717"/>
    <n v="5083432388"/>
    <n v="5113565877"/>
    <m/>
    <s v="CON RETEN"/>
    <m/>
    <x v="0"/>
    <d v="2022-08-30T00:00:00"/>
    <m/>
    <m/>
    <m/>
    <m/>
    <m/>
    <m/>
    <m/>
    <m/>
    <d v="2022-08-30T00:00:00"/>
    <x v="8"/>
  </r>
  <r>
    <s v="Inversiones Urbagro S.A.S"/>
    <d v="2022-09-07T00:00:00"/>
    <d v="2022-09-08T00:00:00"/>
    <n v="35"/>
    <s v="NC10"/>
    <x v="0"/>
    <n v="27081"/>
    <x v="2"/>
    <n v="-2708100"/>
    <n v="0"/>
    <n v="4502396717"/>
    <n v="5083432388"/>
    <n v="5113565880"/>
    <m/>
    <m/>
    <m/>
    <x v="0"/>
    <d v="2022-08-30T00:00:00"/>
    <m/>
    <m/>
    <m/>
    <m/>
    <m/>
    <m/>
    <m/>
    <m/>
    <d v="2022-08-30T00:00:00"/>
    <x v="8"/>
  </r>
  <r>
    <s v="Primavera del Magdalena S.A.S."/>
    <d v="2022-09-05T00:00:00"/>
    <d v="2022-09-05T00:00:00"/>
    <n v="35"/>
    <s v="PRI-87"/>
    <x v="0"/>
    <n v="6481"/>
    <x v="175"/>
    <n v="53144200"/>
    <n v="15"/>
    <n v="4502396718"/>
    <n v="5083432389"/>
    <n v="5113562185"/>
    <m/>
    <s v="TIENE BL"/>
    <m/>
    <x v="0"/>
    <d v="2022-08-30T00:00:00"/>
    <m/>
    <m/>
    <m/>
    <m/>
    <m/>
    <m/>
    <m/>
    <m/>
    <d v="2022-08-30T00:00:00"/>
    <x v="8"/>
  </r>
  <r>
    <s v="Primavera del Magdalena S.A.S."/>
    <d v="2022-09-05T00:00:00"/>
    <d v="2022-09-05T00:00:00"/>
    <n v="35"/>
    <s v="D00212"/>
    <x v="0"/>
    <n v="6481"/>
    <x v="13"/>
    <n v="324050"/>
    <n v="0"/>
    <n v="4502396718"/>
    <n v="5083432389"/>
    <n v="5113562210"/>
    <m/>
    <m/>
    <m/>
    <x v="0"/>
    <d v="2022-08-30T00:00:00"/>
    <m/>
    <m/>
    <m/>
    <m/>
    <m/>
    <m/>
    <m/>
    <m/>
    <d v="2022-08-30T00:00:00"/>
    <x v="8"/>
  </r>
  <r>
    <s v="Jorge Luis Reyes Vargas"/>
    <d v="2022-09-12T00:00:00"/>
    <d v="2022-09-12T00:00:00"/>
    <n v="35"/>
    <s v="FE-75"/>
    <x v="0"/>
    <n v="6450"/>
    <x v="175"/>
    <n v="52890000"/>
    <n v="14"/>
    <n v="4502396720"/>
    <n v="5083432390"/>
    <n v="5113575989"/>
    <m/>
    <s v="CON RETEN"/>
    <m/>
    <x v="0"/>
    <d v="2022-08-30T00:00:00"/>
    <m/>
    <m/>
    <m/>
    <m/>
    <m/>
    <m/>
    <m/>
    <m/>
    <d v="2022-08-30T00:00:00"/>
    <x v="8"/>
  </r>
  <r>
    <s v="Luis Fernando Rojas Prada"/>
    <d v="2022-08-31T00:00:00"/>
    <d v="2022-08-31T00:00:00"/>
    <n v="35"/>
    <s v="FELC -1007"/>
    <x v="1"/>
    <n v="14899"/>
    <x v="54"/>
    <n v="116212200"/>
    <n v="28"/>
    <n v="4502400810"/>
    <n v="5083425200"/>
    <n v="5113556612"/>
    <m/>
    <s v="EJ*2 3079200*2"/>
    <s v="CON RETEN"/>
    <x v="0"/>
    <d v="2022-08-30T00:00:00"/>
    <n v="4902334135"/>
    <n v="6158400"/>
    <s v="FEMD-5054*2"/>
    <n v="5113552055"/>
    <m/>
    <m/>
    <m/>
    <m/>
    <d v="2022-08-30T00:00:00"/>
    <x v="8"/>
  </r>
  <r>
    <s v="Inversiones y Negocios V&amp;V S.A.S"/>
    <d v="2022-09-02T00:00:00"/>
    <d v="2022-09-02T00:00:00"/>
    <n v="35"/>
    <s v="FE-1701"/>
    <x v="1"/>
    <n v="6515"/>
    <x v="213"/>
    <n v="55377500"/>
    <n v="14"/>
    <n v="4502396742"/>
    <n v="5083432391"/>
    <n v="5113559773"/>
    <m/>
    <s v="CON RETEN"/>
    <m/>
    <x v="0"/>
    <d v="2022-08-30T00:00:00"/>
    <m/>
    <m/>
    <m/>
    <m/>
    <m/>
    <m/>
    <m/>
    <m/>
    <d v="2022-08-30T00:00:00"/>
    <x v="8"/>
  </r>
  <r>
    <s v="Fernando Arevalo Reyes"/>
    <d v="2022-09-01T00:00:00"/>
    <m/>
    <n v="36"/>
    <s v="FVE-171"/>
    <x v="0"/>
    <n v="7477"/>
    <x v="145"/>
    <n v="60189850"/>
    <n v="15"/>
    <n v="4502401836"/>
    <n v="5083489896"/>
    <n v="5113572865"/>
    <m/>
    <s v="TIENE BL"/>
    <m/>
    <x v="0"/>
    <d v="2022-09-01T00:00:00"/>
    <m/>
    <m/>
    <m/>
    <m/>
    <m/>
    <m/>
    <m/>
    <m/>
    <d v="2022-09-01T00:00:00"/>
    <x v="9"/>
  </r>
  <r>
    <s v="Sociedad Comercializadora Ganadera"/>
    <d v="2022-09-07T00:00:00"/>
    <d v="2022-09-07T00:00:00"/>
    <n v="36"/>
    <s v="FEDV411"/>
    <x v="0"/>
    <n v="7272"/>
    <x v="234"/>
    <n v="61448400"/>
    <n v="15"/>
    <n v="4502401837"/>
    <n v="5083489897"/>
    <n v="5113567138"/>
    <m/>
    <s v="TIENE BL"/>
    <m/>
    <x v="0"/>
    <d v="2022-09-01T00:00:00"/>
    <m/>
    <m/>
    <m/>
    <m/>
    <m/>
    <m/>
    <m/>
    <m/>
    <d v="2022-09-01T00:00:00"/>
    <x v="9"/>
  </r>
  <r>
    <s v="Sociedad Comercializadora Ganadera"/>
    <d v="2022-09-07T00:00:00"/>
    <d v="2022-09-07T00:00:00"/>
    <n v="36"/>
    <s v="NC205"/>
    <x v="0"/>
    <n v="7272"/>
    <x v="11"/>
    <n v="-1090800"/>
    <n v="0"/>
    <n v="4502401837"/>
    <n v="5083489897"/>
    <n v="5113567139"/>
    <m/>
    <m/>
    <m/>
    <x v="0"/>
    <d v="2022-09-01T00:00:00"/>
    <m/>
    <m/>
    <m/>
    <m/>
    <m/>
    <m/>
    <m/>
    <m/>
    <d v="2022-09-01T00:00:00"/>
    <x v="9"/>
  </r>
  <r>
    <s v="Sociedad Comercializadora Ganadera"/>
    <d v="2022-09-07T00:00:00"/>
    <d v="2022-09-07T00:00:00"/>
    <n v="36"/>
    <s v="FEDV413"/>
    <x v="0"/>
    <n v="33391"/>
    <x v="234"/>
    <n v="282153950"/>
    <n v="78"/>
    <n v="4502401837"/>
    <n v="5083489897"/>
    <n v="5113567143"/>
    <m/>
    <s v="TIENE BL"/>
    <m/>
    <x v="0"/>
    <d v="2022-09-01T00:00:00"/>
    <m/>
    <m/>
    <m/>
    <m/>
    <m/>
    <m/>
    <m/>
    <m/>
    <d v="2022-09-01T00:00:00"/>
    <x v="9"/>
  </r>
  <r>
    <s v="Sociedad Comercializadora Ganadera"/>
    <d v="2022-09-07T00:00:00"/>
    <d v="2022-09-07T00:00:00"/>
    <n v="36"/>
    <s v="NC206"/>
    <x v="0"/>
    <n v="33391"/>
    <x v="521"/>
    <n v="-401025.91000000731"/>
    <n v="0"/>
    <n v="4502401837"/>
    <n v="5083489897"/>
    <n v="5113567144"/>
    <m/>
    <m/>
    <m/>
    <x v="0"/>
    <d v="2022-09-01T00:00:00"/>
    <m/>
    <m/>
    <m/>
    <m/>
    <m/>
    <m/>
    <m/>
    <m/>
    <d v="2022-09-01T00:00:00"/>
    <x v="9"/>
  </r>
  <r>
    <s v="David Martinez Jaramillo"/>
    <d v="2022-09-02T00:00:00"/>
    <d v="2022-09-05T00:00:00"/>
    <n v="36"/>
    <s v="DM256"/>
    <x v="0"/>
    <n v="13775"/>
    <x v="234"/>
    <n v="116398750"/>
    <n v="30"/>
    <n v="4502401838"/>
    <n v="5083487118"/>
    <n v="5113572739"/>
    <m/>
    <s v="TIENE BL"/>
    <m/>
    <x v="0"/>
    <d v="2022-09-01T00:00:00"/>
    <m/>
    <m/>
    <m/>
    <m/>
    <m/>
    <m/>
    <m/>
    <m/>
    <d v="2022-09-01T00:00:00"/>
    <x v="9"/>
  </r>
  <r>
    <s v="David Martinez Jaramillo"/>
    <d v="2022-09-05T00:00:00"/>
    <d v="2022-09-05T00:00:00"/>
    <n v="36"/>
    <s v="NC65"/>
    <x v="0"/>
    <n v="13775"/>
    <x v="62"/>
    <n v="-38156.75000000601"/>
    <n v="0"/>
    <n v="4502401838"/>
    <n v="5083487118"/>
    <n v="5113572740"/>
    <m/>
    <m/>
    <m/>
    <x v="0"/>
    <d v="2022-09-01T00:00:00"/>
    <m/>
    <m/>
    <m/>
    <m/>
    <m/>
    <m/>
    <m/>
    <m/>
    <d v="2022-09-01T00:00:00"/>
    <x v="9"/>
  </r>
  <r>
    <s v="Palmas La Guaira S.A.S"/>
    <d v="2022-09-01T00:00:00"/>
    <d v="2022-09-06T00:00:00"/>
    <n v="36"/>
    <s v="FEV 84"/>
    <x v="0"/>
    <n v="21468"/>
    <x v="117"/>
    <n v="171744000"/>
    <n v="42"/>
    <n v="4502401839"/>
    <n v="5083487120"/>
    <n v="5113564458"/>
    <m/>
    <s v="CON RETEN"/>
    <m/>
    <x v="0"/>
    <d v="2022-09-01T00:00:00"/>
    <m/>
    <m/>
    <m/>
    <m/>
    <m/>
    <m/>
    <m/>
    <m/>
    <d v="2022-09-01T00:00:00"/>
    <x v="9"/>
  </r>
  <r>
    <s v="Palmas La Guaira S.A.S"/>
    <d v="2022-09-01T00:00:00"/>
    <d v="2022-09-06T00:00:00"/>
    <n v="36"/>
    <s v="NCE14"/>
    <x v="0"/>
    <n v="21468"/>
    <x v="522"/>
    <n v="-60539.759999993752"/>
    <n v="0"/>
    <n v="4502401839"/>
    <n v="5083487120"/>
    <n v="5113564459"/>
    <m/>
    <m/>
    <m/>
    <x v="0"/>
    <d v="2022-09-01T00:00:00"/>
    <m/>
    <m/>
    <m/>
    <m/>
    <m/>
    <m/>
    <m/>
    <m/>
    <d v="2022-09-01T00:00:00"/>
    <x v="9"/>
  </r>
  <r>
    <s v="Henry Alonso Pacheco Peñaranda"/>
    <d v="2022-09-05T00:00:00"/>
    <m/>
    <n v="36"/>
    <s v="1PAC-14"/>
    <x v="0"/>
    <n v="27905.5"/>
    <x v="117"/>
    <n v="223244000"/>
    <n v="56"/>
    <n v="4502401840"/>
    <n v="5083487122"/>
    <n v="5113563474"/>
    <m/>
    <s v="TIENE BL"/>
    <m/>
    <x v="0"/>
    <d v="2022-09-01T00:00:00"/>
    <m/>
    <m/>
    <m/>
    <m/>
    <m/>
    <m/>
    <m/>
    <m/>
    <d v="2022-09-01T00:00:00"/>
    <x v="9"/>
  </r>
  <r>
    <s v="Henry Alonso Pacheco Peñaranda"/>
    <d v="2022-09-05T00:00:00"/>
    <m/>
    <n v="36"/>
    <s v="NC2"/>
    <x v="0"/>
    <n v="27905.5"/>
    <x v="13"/>
    <n v="-1395275"/>
    <n v="0"/>
    <n v="4502401840"/>
    <n v="5083487122"/>
    <n v="5113563475"/>
    <m/>
    <m/>
    <m/>
    <x v="0"/>
    <d v="2022-09-01T00:00:00"/>
    <m/>
    <m/>
    <m/>
    <m/>
    <m/>
    <m/>
    <m/>
    <m/>
    <d v="2022-09-01T00:00:00"/>
    <x v="9"/>
  </r>
  <r>
    <s v="Luis Francisco Pereira Florez"/>
    <d v="2022-09-01T00:00:00"/>
    <d v="2022-07-05T00:00:00"/>
    <n v="36"/>
    <s v="FP1-2"/>
    <x v="0"/>
    <n v="14491.5"/>
    <x v="117"/>
    <n v="115932000"/>
    <n v="30"/>
    <n v="4502401841"/>
    <n v="5083487123"/>
    <n v="5113567193"/>
    <m/>
    <s v="CON RETEN"/>
    <m/>
    <x v="0"/>
    <d v="2022-09-01T00:00:00"/>
    <m/>
    <m/>
    <m/>
    <m/>
    <m/>
    <m/>
    <m/>
    <m/>
    <d v="2022-09-01T00:00:00"/>
    <x v="9"/>
  </r>
  <r>
    <s v="Juan Alberto Saldarriaga Marin"/>
    <d v="2022-09-03T00:00:00"/>
    <m/>
    <n v="36"/>
    <n v="6120"/>
    <x v="1"/>
    <n v="12092"/>
    <x v="234"/>
    <n v="102177400"/>
    <n v="29"/>
    <n v="4502401842"/>
    <n v="5083489908"/>
    <n v="5113568545"/>
    <m/>
    <s v="TIENE BL"/>
    <m/>
    <x v="0"/>
    <d v="2022-09-01T00:00:00"/>
    <m/>
    <m/>
    <m/>
    <m/>
    <m/>
    <m/>
    <m/>
    <m/>
    <d v="2022-09-01T00:00:00"/>
    <x v="9"/>
  </r>
  <r>
    <s v="Juan Alberto Saldarriaga Marin"/>
    <d v="2022-09-03T00:00:00"/>
    <m/>
    <n v="36"/>
    <s v="NC1127"/>
    <x v="1"/>
    <n v="12092"/>
    <x v="523"/>
    <n v="-2008239.3599999992"/>
    <n v="0"/>
    <n v="4502401842"/>
    <n v="5083489908"/>
    <n v="5113568546"/>
    <m/>
    <m/>
    <m/>
    <x v="0"/>
    <d v="2022-09-01T00:00:00"/>
    <m/>
    <m/>
    <m/>
    <m/>
    <m/>
    <m/>
    <m/>
    <m/>
    <d v="2022-09-01T00:00:00"/>
    <x v="9"/>
  </r>
  <r>
    <s v="Carlos Enrique Galan Prada"/>
    <d v="2022-09-07T00:00:00"/>
    <d v="2022-09-07T00:00:00"/>
    <n v="36"/>
    <s v="FVEC17"/>
    <x v="0"/>
    <n v="6078"/>
    <x v="76"/>
    <n v="49231800"/>
    <n v="14"/>
    <n v="4502401843"/>
    <n v="5083508355"/>
    <n v="5113565852"/>
    <m/>
    <s v="CON RETEN"/>
    <m/>
    <x v="0"/>
    <d v="2022-09-02T00:00:00"/>
    <m/>
    <m/>
    <m/>
    <m/>
    <m/>
    <m/>
    <m/>
    <m/>
    <d v="2022-09-02T00:00:00"/>
    <x v="9"/>
  </r>
  <r>
    <s v="Sociedad Comercializadora Ganadera"/>
    <d v="2022-09-07T00:00:00"/>
    <d v="2022-09-07T00:00:00"/>
    <n v="36"/>
    <s v="FEDV414"/>
    <x v="0"/>
    <n v="20232"/>
    <x v="234"/>
    <n v="170960400"/>
    <n v="45"/>
    <n v="4502401844"/>
    <n v="5083508356"/>
    <n v="5113567146"/>
    <m/>
    <s v="TIENE BL"/>
    <m/>
    <x v="0"/>
    <d v="2022-09-02T00:00:00"/>
    <m/>
    <m/>
    <m/>
    <m/>
    <m/>
    <m/>
    <m/>
    <m/>
    <d v="2022-09-02T00:00:00"/>
    <x v="9"/>
  </r>
  <r>
    <s v="Sociedad Comercializadora Ganadera"/>
    <d v="2022-09-07T00:00:00"/>
    <d v="2022-09-07T00:00:00"/>
    <n v="36"/>
    <s v="NC207"/>
    <x v="0"/>
    <n v="20232"/>
    <x v="524"/>
    <n v="-39250.080000010305"/>
    <n v="0"/>
    <n v="4502401844"/>
    <n v="5083508356"/>
    <n v="5113567187"/>
    <m/>
    <m/>
    <m/>
    <x v="0"/>
    <d v="2022-09-02T00:00:00"/>
    <m/>
    <m/>
    <m/>
    <m/>
    <m/>
    <m/>
    <m/>
    <m/>
    <d v="2022-09-02T00:00:00"/>
    <x v="9"/>
  </r>
  <r>
    <s v="Sociedad Comercializadora Ganadera"/>
    <d v="2022-09-07T00:00:00"/>
    <d v="2022-09-07T00:00:00"/>
    <n v="36"/>
    <s v="FEDV412"/>
    <x v="0"/>
    <n v="6874"/>
    <x v="234"/>
    <n v="58085300"/>
    <n v="15"/>
    <n v="4502401844"/>
    <n v="5083508356"/>
    <n v="5113567141"/>
    <m/>
    <s v="TIENE BL"/>
    <m/>
    <x v="0"/>
    <d v="2022-09-02T00:00:00"/>
    <m/>
    <m/>
    <m/>
    <m/>
    <m/>
    <m/>
    <m/>
    <m/>
    <d v="2022-09-02T00:00:00"/>
    <x v="9"/>
  </r>
  <r>
    <s v="Margie Rodriguez Rodriguez"/>
    <d v="2022-09-06T00:00:00"/>
    <d v="2022-09-06T00:00:00"/>
    <n v="36"/>
    <s v="FE-68"/>
    <x v="0"/>
    <n v="13831"/>
    <x v="117"/>
    <n v="110648000"/>
    <n v="30"/>
    <n v="4502401847"/>
    <n v="5083508620"/>
    <n v="5113565102"/>
    <m/>
    <s v="CON RETEN"/>
    <m/>
    <x v="0"/>
    <d v="2022-09-02T00:00:00"/>
    <m/>
    <m/>
    <m/>
    <m/>
    <m/>
    <m/>
    <m/>
    <m/>
    <d v="2022-09-02T00:00:00"/>
    <x v="9"/>
  </r>
  <r>
    <s v="Margie Rodriguez Rodriguez"/>
    <d v="2022-09-06T00:00:00"/>
    <d v="2022-09-06T00:00:00"/>
    <n v="36"/>
    <s v="NC231"/>
    <x v="0"/>
    <n v="13831"/>
    <x v="525"/>
    <n v="-303867.0700000035"/>
    <n v="0"/>
    <n v="4502401847"/>
    <n v="5083508620"/>
    <n v="5113565103"/>
    <m/>
    <m/>
    <m/>
    <x v="0"/>
    <d v="2022-09-02T00:00:00"/>
    <m/>
    <m/>
    <m/>
    <m/>
    <m/>
    <m/>
    <m/>
    <m/>
    <d v="2022-09-02T00:00:00"/>
    <x v="9"/>
  </r>
  <r>
    <s v="Agropecuaria Tabaida S.A.S"/>
    <d v="2022-09-02T00:00:00"/>
    <m/>
    <n v="36"/>
    <s v="MT-1536"/>
    <x v="1"/>
    <n v="20335"/>
    <x v="28"/>
    <n v="157596250"/>
    <n v="42"/>
    <n v="4502405073"/>
    <n v="5083524550"/>
    <n v="5113562497"/>
    <s v="TIENE BL"/>
    <s v="TYC 4792500"/>
    <m/>
    <x v="0"/>
    <d v="2022-09-02T00:00:00"/>
    <n v="4902338876"/>
    <n v="4792500"/>
    <s v="ETE-3501"/>
    <n v="5113562544"/>
    <m/>
    <m/>
    <m/>
    <m/>
    <d v="2022-09-02T00:00:00"/>
    <x v="9"/>
  </r>
  <r>
    <s v="Sociedad Comercializadora Ganadera"/>
    <d v="2022-09-07T00:00:00"/>
    <d v="2022-09-07T00:00:00"/>
    <n v="36"/>
    <s v="FEDV415"/>
    <x v="0"/>
    <n v="33382.5"/>
    <x v="234"/>
    <n v="282082125"/>
    <n v="75"/>
    <n v="4502401848"/>
    <n v="5083508709"/>
    <n v="5113590860"/>
    <m/>
    <s v="TIENE BL"/>
    <m/>
    <x v="0"/>
    <d v="2022-09-03T00:00:00"/>
    <m/>
    <m/>
    <m/>
    <m/>
    <m/>
    <m/>
    <m/>
    <m/>
    <d v="2022-09-03T00:00:00"/>
    <x v="9"/>
  </r>
  <r>
    <s v="Sociedad Comercializadora Ganadera"/>
    <d v="2022-09-07T00:00:00"/>
    <d v="2022-09-19T00:00:00"/>
    <n v="36"/>
    <s v="NC208"/>
    <x v="0"/>
    <n v="33382.5"/>
    <x v="526"/>
    <n v="-387904.65000002674"/>
    <n v="0"/>
    <n v="4502401848"/>
    <n v="5083508709"/>
    <n v="5113590862"/>
    <m/>
    <m/>
    <m/>
    <x v="0"/>
    <d v="2022-09-03T00:00:00"/>
    <m/>
    <m/>
    <m/>
    <m/>
    <m/>
    <m/>
    <m/>
    <m/>
    <d v="2022-09-03T00:00:00"/>
    <x v="9"/>
  </r>
  <r>
    <s v="Sociedad Comercializadora Ganadera"/>
    <d v="2022-09-08T00:00:00"/>
    <d v="2022-09-08T00:00:00"/>
    <n v="36"/>
    <s v="FEDV416"/>
    <x v="0"/>
    <n v="13346"/>
    <x v="234"/>
    <n v="112773700"/>
    <n v="30"/>
    <n v="4502401848"/>
    <n v="5083508709"/>
    <n v="5113570711"/>
    <m/>
    <s v="TIENE BL"/>
    <m/>
    <x v="0"/>
    <d v="2022-09-03T00:00:00"/>
    <m/>
    <m/>
    <m/>
    <m/>
    <m/>
    <m/>
    <m/>
    <m/>
    <d v="2022-09-03T00:00:00"/>
    <x v="9"/>
  </r>
  <r>
    <s v="Sociedad Comercializadora Ganadera"/>
    <d v="2022-09-08T00:00:00"/>
    <d v="2022-09-08T00:00:00"/>
    <n v="36"/>
    <s v="NC209"/>
    <x v="0"/>
    <n v="13346"/>
    <x v="527"/>
    <n v="-39637.619999991264"/>
    <n v="0"/>
    <n v="4502401848"/>
    <n v="5083508709"/>
    <n v="5113570712"/>
    <m/>
    <m/>
    <m/>
    <x v="0"/>
    <d v="2022-09-03T00:00:00"/>
    <m/>
    <m/>
    <m/>
    <m/>
    <m/>
    <m/>
    <m/>
    <m/>
    <d v="2022-09-03T00:00:00"/>
    <x v="9"/>
  </r>
  <r>
    <s v="Inversiones y Negocios V&amp;V S.A.S"/>
    <d v="2022-09-06T00:00:00"/>
    <d v="2022-09-12T00:00:00"/>
    <n v="36"/>
    <s v="FE-1715"/>
    <x v="0"/>
    <n v="12688.5"/>
    <x v="234"/>
    <n v="107217825"/>
    <n v="28"/>
    <n v="4502401849"/>
    <n v="5083508710"/>
    <n v="5113572896"/>
    <m/>
    <s v="CON RETEN"/>
    <m/>
    <x v="0"/>
    <d v="2022-09-03T00:00:00"/>
    <m/>
    <m/>
    <m/>
    <m/>
    <m/>
    <m/>
    <m/>
    <m/>
    <d v="2022-09-03T00:00:00"/>
    <x v="9"/>
  </r>
  <r>
    <s v="Comercializadora Delirio S.A.S"/>
    <d v="2022-09-03T00:00:00"/>
    <d v="2022-09-07T00:00:00"/>
    <n v="36"/>
    <s v="FE-217"/>
    <x v="0"/>
    <n v="13006.5"/>
    <x v="188"/>
    <n v="109254600"/>
    <n v="28"/>
    <n v="4502401850"/>
    <n v="5083508711"/>
    <n v="5113572861"/>
    <m/>
    <s v="TIENE BL"/>
    <m/>
    <x v="0"/>
    <d v="2022-09-03T00:00:00"/>
    <m/>
    <m/>
    <m/>
    <m/>
    <m/>
    <m/>
    <m/>
    <m/>
    <d v="2022-09-03T00:00:00"/>
    <x v="9"/>
  </r>
  <r>
    <s v="Comercializadora Delirio S.A.S"/>
    <d v="2022-09-06T00:00:00"/>
    <d v="2022-09-07T00:00:00"/>
    <n v="36"/>
    <s v="NC222"/>
    <x v="0"/>
    <n v="13006.5"/>
    <x v="2"/>
    <n v="-1300650"/>
    <n v="0"/>
    <n v="4502401850"/>
    <n v="5083508711"/>
    <n v="5113572862"/>
    <m/>
    <m/>
    <m/>
    <x v="0"/>
    <d v="2022-09-03T00:00:00"/>
    <m/>
    <m/>
    <m/>
    <m/>
    <m/>
    <m/>
    <m/>
    <m/>
    <d v="2022-09-03T00:00:00"/>
    <x v="9"/>
  </r>
  <r>
    <s v="Luis Fernando Rojas Prada"/>
    <d v="2022-09-06T00:00:00"/>
    <d v="2022-09-06T00:00:00"/>
    <n v="36"/>
    <s v="FELC-1012"/>
    <x v="2"/>
    <n v="13706"/>
    <x v="28"/>
    <n v="106221500"/>
    <n v="28"/>
    <n v="4502405074"/>
    <n v="5083524551"/>
    <n v="5113564798"/>
    <m/>
    <s v="EJ*2 2982600*2"/>
    <s v="CON RETEN"/>
    <x v="0"/>
    <d v="2022-09-03T00:00:00"/>
    <n v="4902338886"/>
    <n v="5965200"/>
    <s v="FEMD-5101*2"/>
    <n v="5113562487"/>
    <m/>
    <m/>
    <m/>
    <m/>
    <d v="2022-09-03T00:00:00"/>
    <x v="9"/>
  </r>
  <r>
    <s v="Agropecuaria Tabaida S.A.S"/>
    <d v="2022-09-04T00:00:00"/>
    <m/>
    <n v="36"/>
    <s v="MT-1537"/>
    <x v="1"/>
    <n v="20332"/>
    <x v="28"/>
    <n v="157573000"/>
    <n v="42"/>
    <n v="4502405076"/>
    <n v="5083524552"/>
    <n v="5113562498"/>
    <s v="TIENE BL"/>
    <s v="TYC 4792500"/>
    <m/>
    <x v="0"/>
    <d v="2022-09-04T00:00:00"/>
    <n v="4902338888"/>
    <n v="4792500"/>
    <s v="ETE-3519"/>
    <n v="5113564544"/>
    <m/>
    <m/>
    <m/>
    <m/>
    <d v="2022-09-04T00:00:00"/>
    <x v="9"/>
  </r>
  <r>
    <s v="Lina Maria Pelaez Gomez"/>
    <d v="2022-09-06T00:00:00"/>
    <d v="2022-09-06T00:00:00"/>
    <n v="36"/>
    <s v="LP112"/>
    <x v="1"/>
    <n v="6334.5"/>
    <x v="234"/>
    <n v="53526525"/>
    <n v="14"/>
    <n v="4502401851"/>
    <n v="5083519505"/>
    <n v="5113572742"/>
    <m/>
    <s v="TIENE BL"/>
    <m/>
    <x v="0"/>
    <d v="2022-09-04T00:00:00"/>
    <m/>
    <m/>
    <m/>
    <m/>
    <m/>
    <m/>
    <m/>
    <m/>
    <d v="2022-09-04T00:00:00"/>
    <x v="9"/>
  </r>
  <r>
    <s v="David Martinez Jaramillo"/>
    <d v="2022-09-04T00:00:00"/>
    <d v="2022-09-06T00:00:00"/>
    <n v="36"/>
    <s v="DM257"/>
    <x v="2"/>
    <n v="12196"/>
    <x v="234"/>
    <n v="103056200"/>
    <n v="28"/>
    <n v="4502401852"/>
    <n v="5083519506"/>
    <n v="5113574477"/>
    <m/>
    <s v="TIENE BL"/>
    <m/>
    <x v="0"/>
    <d v="2022-09-04T00:00:00"/>
    <m/>
    <m/>
    <m/>
    <m/>
    <m/>
    <m/>
    <m/>
    <m/>
    <d v="2022-09-04T00:00:00"/>
    <x v="9"/>
  </r>
  <r>
    <s v="David Martinez Jaramillo"/>
    <d v="2022-09-06T00:00:00"/>
    <d v="2022-09-06T00:00:00"/>
    <n v="36"/>
    <s v="ND4"/>
    <x v="2"/>
    <n v="12196"/>
    <x v="528"/>
    <n v="416005.5600000071"/>
    <n v="0"/>
    <n v="4502401852"/>
    <n v="5083519506"/>
    <n v="5113574478"/>
    <m/>
    <m/>
    <m/>
    <x v="0"/>
    <d v="2022-09-04T00:00:00"/>
    <m/>
    <m/>
    <m/>
    <m/>
    <m/>
    <m/>
    <m/>
    <m/>
    <d v="2022-09-04T00:00:00"/>
    <x v="9"/>
  </r>
  <r>
    <s v="David Martinez Jaramillo"/>
    <d v="2022-09-05T00:00:00"/>
    <d v="2022-09-09T00:00:00"/>
    <n v="36"/>
    <s v="DM258"/>
    <x v="1"/>
    <n v="6216.5"/>
    <x v="234"/>
    <n v="52529425"/>
    <n v="15"/>
    <n v="4502401853"/>
    <n v="5083539967"/>
    <n v="5113572744"/>
    <m/>
    <s v="TIENE BL"/>
    <m/>
    <x v="0"/>
    <d v="2022-09-05T00:00:00"/>
    <m/>
    <m/>
    <m/>
    <m/>
    <m/>
    <m/>
    <m/>
    <m/>
    <d v="2022-09-05T00:00:00"/>
    <x v="9"/>
  </r>
  <r>
    <s v="David Martinez Jaramillo"/>
    <d v="2022-09-09T00:00:00"/>
    <d v="2022-09-09T00:00:00"/>
    <n v="36"/>
    <s v="NC66"/>
    <x v="1"/>
    <n v="6216.5"/>
    <x v="529"/>
    <n v="-1163480.1399999992"/>
    <n v="0"/>
    <n v="4502401853"/>
    <n v="5083539967"/>
    <n v="5113572745"/>
    <m/>
    <m/>
    <m/>
    <x v="0"/>
    <d v="2022-09-05T00:00:00"/>
    <m/>
    <m/>
    <m/>
    <m/>
    <m/>
    <m/>
    <m/>
    <m/>
    <d v="2022-09-05T00:00:00"/>
    <x v="9"/>
  </r>
  <r>
    <s v="Inversiones Urbagro S.A.S"/>
    <d v="2022-09-07T00:00:00"/>
    <d v="2022-09-08T00:00:00"/>
    <n v="36"/>
    <s v="FE-22"/>
    <x v="2"/>
    <n v="20185.5"/>
    <x v="76"/>
    <n v="163502550"/>
    <n v="45"/>
    <n v="4502406272"/>
    <n v="5083555082"/>
    <n v="5113568006"/>
    <m/>
    <s v="CON RETEN"/>
    <m/>
    <x v="0"/>
    <d v="2022-09-05T00:00:00"/>
    <m/>
    <m/>
    <m/>
    <m/>
    <m/>
    <m/>
    <m/>
    <m/>
    <d v="2022-09-05T00:00:00"/>
    <x v="9"/>
  </r>
  <r>
    <s v="Inversiones Urbagro S.A.S"/>
    <d v="2022-09-08T00:00:00"/>
    <d v="2022-09-08T00:00:00"/>
    <n v="36"/>
    <s v="NC11"/>
    <x v="2"/>
    <n v="20185.5"/>
    <x v="530"/>
    <n v="-1048636.7249999964"/>
    <n v="0"/>
    <n v="4502406272"/>
    <n v="5083555082"/>
    <n v="5113568078"/>
    <m/>
    <m/>
    <m/>
    <x v="0"/>
    <d v="2022-09-05T00:00:00"/>
    <m/>
    <m/>
    <m/>
    <m/>
    <m/>
    <m/>
    <m/>
    <m/>
    <d v="2022-09-05T00:00:00"/>
    <x v="9"/>
  </r>
  <r>
    <s v="Miguel Antonio Carrascal Pacheco"/>
    <d v="2022-09-07T00:00:00"/>
    <d v="2022-09-09T00:00:00"/>
    <n v="36"/>
    <s v="FAMC-15"/>
    <x v="2"/>
    <n v="6809.5"/>
    <x v="117"/>
    <n v="54476000"/>
    <n v="15"/>
    <n v="4502401855"/>
    <n v="5083551578"/>
    <n v="5113569146"/>
    <m/>
    <m/>
    <m/>
    <x v="0"/>
    <d v="2022-09-05T00:00:00"/>
    <m/>
    <m/>
    <m/>
    <m/>
    <m/>
    <m/>
    <m/>
    <m/>
    <d v="2022-09-05T00:00:00"/>
    <x v="9"/>
  </r>
  <r>
    <s v="Miguel Antonio Carrascal Pacheco"/>
    <d v="2022-09-07T00:00:00"/>
    <d v="2022-09-09T00:00:00"/>
    <n v="36"/>
    <s v="NDE12"/>
    <x v="2"/>
    <n v="6809.5"/>
    <x v="13"/>
    <n v="340475"/>
    <n v="0"/>
    <n v="4502401855"/>
    <n v="5083551578"/>
    <n v="5113569178"/>
    <m/>
    <m/>
    <m/>
    <x v="0"/>
    <d v="2022-09-05T00:00:00"/>
    <m/>
    <m/>
    <m/>
    <m/>
    <m/>
    <m/>
    <m/>
    <m/>
    <d v="2022-09-05T00:00:00"/>
    <x v="9"/>
  </r>
  <r>
    <s v="Adrian Alberto Alvarez Henao"/>
    <d v="2022-09-09T00:00:00"/>
    <d v="2022-09-09T00:00:00"/>
    <n v="36"/>
    <s v="AAAH-66"/>
    <x v="2"/>
    <n v="13295"/>
    <x v="234"/>
    <n v="112342750"/>
    <n v="30"/>
    <n v="4502401856"/>
    <n v="5083551579"/>
    <n v="5113578627"/>
    <m/>
    <s v="TIENE BL "/>
    <m/>
    <x v="0"/>
    <d v="2022-09-05T00:00:00"/>
    <m/>
    <m/>
    <m/>
    <m/>
    <m/>
    <m/>
    <m/>
    <m/>
    <d v="2022-09-05T00:00:00"/>
    <x v="9"/>
  </r>
  <r>
    <s v="Adrian Alberto Alvarez Henao"/>
    <d v="2022-09-09T00:00:00"/>
    <d v="2022-09-09T00:00:00"/>
    <n v="36"/>
    <s v="AD32"/>
    <x v="2"/>
    <n v="13295"/>
    <x v="531"/>
    <n v="-176823.49999999034"/>
    <n v="0"/>
    <n v="4502401856"/>
    <n v="5083551579"/>
    <n v="5113578631"/>
    <m/>
    <m/>
    <m/>
    <x v="0"/>
    <d v="2022-09-05T00:00:00"/>
    <m/>
    <m/>
    <m/>
    <m/>
    <m/>
    <m/>
    <m/>
    <m/>
    <d v="2022-09-05T00:00:00"/>
    <x v="9"/>
  </r>
  <r>
    <s v="Edward Fabian Mejia Abril"/>
    <d v="2022-09-08T00:00:00"/>
    <m/>
    <n v="36"/>
    <s v="FELE-98"/>
    <x v="2"/>
    <n v="12820.5"/>
    <x v="234"/>
    <n v="108333225"/>
    <n v="28"/>
    <n v="4502401859"/>
    <n v="5083539980"/>
    <n v="5113583201"/>
    <m/>
    <s v="TIENE BL"/>
    <m/>
    <x v="0"/>
    <d v="2022-09-05T00:00:00"/>
    <m/>
    <m/>
    <m/>
    <m/>
    <m/>
    <m/>
    <m/>
    <m/>
    <d v="2022-09-05T00:00:00"/>
    <x v="9"/>
  </r>
  <r>
    <s v="Edward Fabian Mejia Abril"/>
    <d v="2022-09-08T00:00:00"/>
    <m/>
    <n v="36"/>
    <s v="NCRE9"/>
    <x v="2"/>
    <n v="12820.5"/>
    <x v="11"/>
    <n v="-1923075"/>
    <n v="0"/>
    <n v="4502401859"/>
    <n v="5083539980"/>
    <n v="5113583202"/>
    <m/>
    <m/>
    <m/>
    <x v="0"/>
    <d v="2022-09-05T00:00:00"/>
    <m/>
    <m/>
    <m/>
    <m/>
    <m/>
    <m/>
    <m/>
    <m/>
    <d v="2022-09-05T00:00:00"/>
    <x v="9"/>
  </r>
  <r>
    <s v="Sociedad Comercializadora Ganadera"/>
    <d v="2022-09-08T00:00:00"/>
    <d v="2022-09-08T00:00:00"/>
    <n v="36"/>
    <s v="FEDV417"/>
    <x v="2"/>
    <n v="6943"/>
    <x v="234"/>
    <n v="58668350"/>
    <n v="15"/>
    <n v="4502401860"/>
    <n v="5083539981"/>
    <n v="5113570864"/>
    <m/>
    <s v="TIENE BL"/>
    <m/>
    <x v="0"/>
    <d v="2022-09-05T00:00:00"/>
    <m/>
    <m/>
    <m/>
    <m/>
    <m/>
    <m/>
    <m/>
    <m/>
    <d v="2022-09-05T00:00:00"/>
    <x v="9"/>
  </r>
  <r>
    <s v="Inversiones Urbagro S.A.S"/>
    <d v="2022-09-08T00:00:00"/>
    <d v="2022-09-08T00:00:00"/>
    <n v="36"/>
    <s v="FE-23"/>
    <x v="0"/>
    <n v="19964"/>
    <x v="76"/>
    <n v="161708400"/>
    <n v="45"/>
    <n v="4502407302"/>
    <n v="5083575692"/>
    <n v="5113568138"/>
    <m/>
    <s v="CON RETEN"/>
    <m/>
    <x v="0"/>
    <d v="2022-09-06T00:00:00"/>
    <m/>
    <m/>
    <m/>
    <m/>
    <m/>
    <m/>
    <m/>
    <m/>
    <d v="2022-09-06T00:00:00"/>
    <x v="9"/>
  </r>
  <r>
    <s v="Inversiones Urbagro S.A.S"/>
    <d v="2022-09-08T00:00:00"/>
    <d v="2022-09-08T00:00:00"/>
    <n v="36"/>
    <s v="NC12"/>
    <x v="0"/>
    <n v="19964"/>
    <x v="532"/>
    <n v="-116989.03999999346"/>
    <n v="0"/>
    <n v="4502407302"/>
    <n v="5083575692"/>
    <n v="5113568140"/>
    <m/>
    <m/>
    <m/>
    <x v="0"/>
    <d v="2022-09-06T00:00:00"/>
    <m/>
    <m/>
    <m/>
    <m/>
    <m/>
    <m/>
    <m/>
    <m/>
    <d v="2022-09-06T00:00:00"/>
    <x v="9"/>
  </r>
  <r>
    <s v="Primavera del Magdalena S.A.S."/>
    <d v="2022-09-10T00:00:00"/>
    <d v="2022-09-13T00:00:00"/>
    <n v="36"/>
    <s v="PRI-88"/>
    <x v="0"/>
    <n v="6509.5"/>
    <x v="76"/>
    <n v="52726950"/>
    <n v="14"/>
    <n v="4502401863"/>
    <n v="5083542133"/>
    <n v="5113578687"/>
    <m/>
    <s v="TIENE BL"/>
    <m/>
    <x v="0"/>
    <d v="2022-09-06T00:00:00"/>
    <m/>
    <m/>
    <m/>
    <m/>
    <m/>
    <m/>
    <m/>
    <m/>
    <d v="2022-09-06T00:00:00"/>
    <x v="9"/>
  </r>
  <r>
    <s v="Surtidora Agropecuaria De Colombia"/>
    <d v="2022-09-06T00:00:00"/>
    <d v="2022-09-08T00:00:00"/>
    <n v="36"/>
    <s v="FESA-52"/>
    <x v="0"/>
    <n v="13190"/>
    <x v="9"/>
    <n v="101563000"/>
    <n v="28"/>
    <n v="4502405078"/>
    <n v="5083551420"/>
    <n v="5113569432"/>
    <m/>
    <s v="EJ*2 1816100*2"/>
    <m/>
    <x v="0"/>
    <d v="2022-09-06T00:00:00"/>
    <n v="4902338890"/>
    <n v="3632200"/>
    <s v="FEMD-5145*2"/>
    <n v="5113564958"/>
    <m/>
    <m/>
    <m/>
    <m/>
    <d v="2022-09-06T00:00:00"/>
    <x v="9"/>
  </r>
  <r>
    <s v="Inversiones Valle Del Canalete S.A.S"/>
    <d v="2022-09-06T00:00:00"/>
    <d v="2022-09-08T00:00:00"/>
    <n v="36"/>
    <s v="IVC-135"/>
    <x v="1"/>
    <n v="27635"/>
    <x v="9"/>
    <n v="212789500"/>
    <n v="56"/>
    <n v="4502405079"/>
    <n v="5083524553"/>
    <n v="5113568608"/>
    <s v="CON RETEN"/>
    <s v="EJ*4 1638223*4"/>
    <m/>
    <x v="0"/>
    <d v="2022-09-06T00:00:00"/>
    <n v="4902338894"/>
    <n v="6552892"/>
    <s v="FEMD-5140*4"/>
    <n v="5113564961"/>
    <m/>
    <m/>
    <m/>
    <m/>
    <d v="2022-09-06T00:00:00"/>
    <x v="9"/>
  </r>
  <r>
    <s v="Andres Felipe Mantilla Acosta"/>
    <d v="2022-09-12T00:00:00"/>
    <d v="2022-09-13T00:00:00"/>
    <n v="37"/>
    <s v="FEFE33"/>
    <x v="0"/>
    <n v="7113"/>
    <x v="117"/>
    <n v="56904000"/>
    <n v="15"/>
    <n v="4502406466"/>
    <n v="5083597556"/>
    <n v="5113576298"/>
    <m/>
    <s v="TIENE BL"/>
    <m/>
    <x v="0"/>
    <d v="2022-09-08T00:00:00"/>
    <m/>
    <m/>
    <m/>
    <m/>
    <m/>
    <m/>
    <m/>
    <m/>
    <d v="2022-09-08T00:00:00"/>
    <x v="9"/>
  </r>
  <r>
    <s v="Andres Felipe Mantilla Acosta"/>
    <d v="2022-09-12T00:00:00"/>
    <d v="2022-09-13T00:00:00"/>
    <n v="37"/>
    <s v="NC10"/>
    <x v="0"/>
    <n v="7113"/>
    <x v="13"/>
    <n v="-355650"/>
    <n v="0"/>
    <n v="4502406466"/>
    <n v="5083597556"/>
    <n v="5113576299"/>
    <m/>
    <m/>
    <m/>
    <x v="0"/>
    <d v="2022-09-08T00:00:00"/>
    <m/>
    <m/>
    <m/>
    <m/>
    <m/>
    <m/>
    <m/>
    <m/>
    <d v="2022-09-08T00:00:00"/>
    <x v="9"/>
  </r>
  <r>
    <s v="Sociedad Comercializadora Ganadera"/>
    <d v="2022-09-13T00:00:00"/>
    <d v="2022-09-13T00:00:00"/>
    <n v="37"/>
    <s v="FEDV424"/>
    <x v="0"/>
    <n v="8873.5"/>
    <x v="234"/>
    <n v="74981075"/>
    <n v="14"/>
    <n v="4502406467"/>
    <n v="5083597557"/>
    <n v="5113578519"/>
    <m/>
    <s v="TIENE BL"/>
    <m/>
    <x v="0"/>
    <d v="2022-09-08T00:00:00"/>
    <m/>
    <m/>
    <m/>
    <m/>
    <m/>
    <m/>
    <m/>
    <m/>
    <d v="2022-09-08T00:00:00"/>
    <x v="9"/>
  </r>
  <r>
    <s v="Sociedad Comercializadora Ganadera"/>
    <d v="2022-09-13T00:00:00"/>
    <d v="2022-09-13T00:00:00"/>
    <n v="37"/>
    <s v="ND29"/>
    <x v="0"/>
    <n v="8873.5"/>
    <x v="13"/>
    <n v="443675"/>
    <n v="0"/>
    <n v="4502406467"/>
    <n v="5083597557"/>
    <n v="5113578521"/>
    <m/>
    <m/>
    <m/>
    <x v="0"/>
    <d v="2022-09-08T00:00:00"/>
    <m/>
    <m/>
    <m/>
    <m/>
    <m/>
    <m/>
    <m/>
    <m/>
    <d v="2022-09-08T00:00:00"/>
    <x v="9"/>
  </r>
  <r>
    <s v="Sociedad Comercializadora Ganadera"/>
    <d v="2022-09-13T00:00:00"/>
    <d v="2022-09-13T00:00:00"/>
    <n v="37"/>
    <s v="FEDV425"/>
    <x v="0"/>
    <n v="6408.5"/>
    <x v="234"/>
    <n v="54151825"/>
    <n v="15"/>
    <n v="4502406467"/>
    <n v="5113578523"/>
    <n v="5113578523"/>
    <m/>
    <s v="TIENE BL"/>
    <m/>
    <x v="0"/>
    <d v="2022-09-08T00:00:00"/>
    <m/>
    <m/>
    <m/>
    <m/>
    <m/>
    <m/>
    <m/>
    <m/>
    <d v="2022-09-08T00:00:00"/>
    <x v="9"/>
  </r>
  <r>
    <s v="Sociedad Comercializadora Ganadera"/>
    <d v="2022-09-13T00:00:00"/>
    <d v="2022-09-13T00:00:00"/>
    <n v="37"/>
    <s v="NC210"/>
    <x v="0"/>
    <n v="6408.5"/>
    <x v="533"/>
    <n v="-1078037.8699999957"/>
    <n v="0"/>
    <n v="4502406467"/>
    <n v="5113578523"/>
    <n v="5113578525"/>
    <m/>
    <m/>
    <m/>
    <x v="0"/>
    <d v="2022-09-08T00:00:00"/>
    <m/>
    <m/>
    <m/>
    <m/>
    <m/>
    <m/>
    <m/>
    <m/>
    <d v="2022-09-08T00:00:00"/>
    <x v="9"/>
  </r>
  <r>
    <s v="Sociedad Comercializadora Ganadera"/>
    <d v="2022-09-13T00:00:00"/>
    <d v="2022-09-13T00:00:00"/>
    <n v="37"/>
    <s v="FEDV426"/>
    <x v="0"/>
    <n v="33704"/>
    <x v="234"/>
    <n v="284798800"/>
    <n v="76"/>
    <n v="4502406467"/>
    <n v="5083597557"/>
    <n v="5113578548"/>
    <m/>
    <s v="TIENE BL"/>
    <m/>
    <x v="0"/>
    <d v="2022-09-08T00:00:00"/>
    <m/>
    <m/>
    <m/>
    <m/>
    <m/>
    <m/>
    <m/>
    <m/>
    <d v="2022-09-08T00:00:00"/>
    <x v="9"/>
  </r>
  <r>
    <s v="Sociedad Comercializadora Ganadera"/>
    <d v="2022-09-13T00:00:00"/>
    <d v="2022-09-13T00:00:00"/>
    <n v="37"/>
    <s v="NC211"/>
    <x v="0"/>
    <n v="33704"/>
    <x v="534"/>
    <n v="-731713.83999997051"/>
    <n v="0"/>
    <n v="4502406467"/>
    <n v="5083597557"/>
    <n v="5113578550"/>
    <m/>
    <m/>
    <m/>
    <x v="0"/>
    <d v="2022-09-08T00:00:00"/>
    <m/>
    <m/>
    <m/>
    <m/>
    <m/>
    <m/>
    <m/>
    <m/>
    <d v="2022-09-08T00:00:00"/>
    <x v="9"/>
  </r>
  <r>
    <s v="David Martinez Jaramillo"/>
    <d v="2022-09-09T00:00:00"/>
    <d v="2022-09-12T00:00:00"/>
    <n v="37"/>
    <s v="DM260"/>
    <x v="0"/>
    <n v="19885"/>
    <x v="234"/>
    <n v="168028250"/>
    <n v="44"/>
    <n v="4502406468"/>
    <n v="5083597728"/>
    <n v="5113574480"/>
    <m/>
    <s v="TIENE BL"/>
    <m/>
    <x v="0"/>
    <d v="2022-09-08T00:00:00"/>
    <m/>
    <m/>
    <m/>
    <m/>
    <m/>
    <m/>
    <m/>
    <m/>
    <d v="2022-09-08T00:00:00"/>
    <x v="9"/>
  </r>
  <r>
    <s v="David Martinez Jaramillo"/>
    <d v="2022-09-09T00:00:00"/>
    <d v="2022-09-12T00:00:00"/>
    <n v="37"/>
    <s v="NC67"/>
    <x v="0"/>
    <n v="19885"/>
    <x v="535"/>
    <n v="-2297115.2000000086"/>
    <n v="0"/>
    <n v="4502406468"/>
    <n v="5083597728"/>
    <n v="5113574481"/>
    <m/>
    <m/>
    <m/>
    <x v="0"/>
    <d v="2022-09-08T00:00:00"/>
    <m/>
    <m/>
    <m/>
    <m/>
    <m/>
    <m/>
    <m/>
    <m/>
    <d v="2022-09-08T00:00:00"/>
    <x v="9"/>
  </r>
  <r>
    <s v="Guamal S EN C"/>
    <d v="2022-09-13T00:00:00"/>
    <d v="2022-09-13T00:00:00"/>
    <n v="37"/>
    <s v="F-141"/>
    <x v="0"/>
    <n v="6991"/>
    <x v="117"/>
    <n v="55928000"/>
    <n v="15"/>
    <n v="4502406469"/>
    <n v="5083597729"/>
    <n v="5113577102"/>
    <m/>
    <s v="CON RETEN "/>
    <m/>
    <x v="0"/>
    <d v="2022-09-08T00:00:00"/>
    <m/>
    <m/>
    <m/>
    <m/>
    <m/>
    <m/>
    <m/>
    <m/>
    <d v="2022-09-08T00:00:00"/>
    <x v="9"/>
  </r>
  <r>
    <s v="Guamal S EN C"/>
    <d v="2022-09-13T00:00:00"/>
    <d v="2022-09-13T00:00:00"/>
    <n v="37"/>
    <s v="F106"/>
    <x v="0"/>
    <n v="6991"/>
    <x v="2"/>
    <n v="-699100"/>
    <n v="0"/>
    <n v="4502406469"/>
    <n v="5083597729"/>
    <n v="5113577125"/>
    <m/>
    <m/>
    <m/>
    <x v="0"/>
    <d v="2022-09-08T00:00:00"/>
    <m/>
    <m/>
    <m/>
    <m/>
    <m/>
    <m/>
    <m/>
    <m/>
    <d v="2022-09-08T00:00:00"/>
    <x v="9"/>
  </r>
  <r>
    <s v="Gonzalo Hoyos Pulido"/>
    <d v="2022-09-08T00:00:00"/>
    <m/>
    <n v="37"/>
    <s v="FELE-68"/>
    <x v="1"/>
    <n v="6108"/>
    <x v="234"/>
    <n v="51612600"/>
    <n v="14"/>
    <n v="4502406471"/>
    <n v="5083597730"/>
    <n v="5113575910"/>
    <m/>
    <s v="CON RETEN "/>
    <m/>
    <x v="0"/>
    <d v="2022-09-08T00:00:00"/>
    <m/>
    <m/>
    <m/>
    <m/>
    <m/>
    <m/>
    <m/>
    <m/>
    <d v="2022-09-08T00:00:00"/>
    <x v="9"/>
  </r>
  <r>
    <s v="Gonzalo Hoyos Pulido"/>
    <d v="2022-09-08T00:00:00"/>
    <m/>
    <n v="37"/>
    <s v="NC10"/>
    <x v="1"/>
    <n v="6108"/>
    <x v="13"/>
    <n v="-305400"/>
    <n v="0"/>
    <n v="4502406471"/>
    <n v="5083597730"/>
    <n v="5113575914"/>
    <m/>
    <m/>
    <m/>
    <x v="0"/>
    <d v="2022-09-08T00:00:00"/>
    <m/>
    <m/>
    <m/>
    <m/>
    <m/>
    <m/>
    <m/>
    <m/>
    <d v="2022-09-08T00:00:00"/>
    <x v="9"/>
  </r>
  <r>
    <s v="Inversiones Tres P &amp; CIA S. En C"/>
    <d v="2022-09-08T00:00:00"/>
    <d v="2022-09-12T00:00:00"/>
    <n v="37"/>
    <s v="FE-63"/>
    <x v="1"/>
    <n v="17553"/>
    <x v="76"/>
    <n v="142179300"/>
    <n v="42"/>
    <n v="4502406472"/>
    <n v="5083597731"/>
    <n v="5113578553"/>
    <m/>
    <s v="TIENE BL "/>
    <m/>
    <x v="0"/>
    <d v="2022-09-08T00:00:00"/>
    <m/>
    <m/>
    <m/>
    <m/>
    <m/>
    <m/>
    <m/>
    <m/>
    <d v="2022-09-08T00:00:00"/>
    <x v="9"/>
  </r>
  <r>
    <s v="Inversiones Tres P &amp; CIA S. En C"/>
    <d v="2022-09-08T00:00:00"/>
    <d v="2022-09-12T00:00:00"/>
    <n v="37"/>
    <s v="NC25"/>
    <x v="1"/>
    <n v="17553"/>
    <x v="536"/>
    <n v="-304895.60999999807"/>
    <n v="0"/>
    <n v="4502406472"/>
    <n v="5083597731"/>
    <n v="5113578555"/>
    <m/>
    <m/>
    <m/>
    <x v="0"/>
    <d v="2022-09-08T00:00:00"/>
    <m/>
    <m/>
    <m/>
    <m/>
    <m/>
    <m/>
    <m/>
    <m/>
    <d v="2022-09-08T00:00:00"/>
    <x v="9"/>
  </r>
  <r>
    <s v="La Ceiba S.A"/>
    <d v="2022-09-14T00:00:00"/>
    <m/>
    <n v="37"/>
    <s v="FE-1846"/>
    <x v="1"/>
    <n v="6604.5"/>
    <x v="76"/>
    <n v="53496450"/>
    <n v="14"/>
    <n v="4502406473"/>
    <n v="5083597732"/>
    <n v="5113588579"/>
    <m/>
    <s v="CON RETEN"/>
    <m/>
    <x v="0"/>
    <d v="2022-09-08T00:00:00"/>
    <m/>
    <m/>
    <m/>
    <m/>
    <m/>
    <m/>
    <m/>
    <m/>
    <d v="2022-09-08T00:00:00"/>
    <x v="9"/>
  </r>
  <r>
    <s v="La Ceiba S.A"/>
    <d v="2022-09-14T00:00:00"/>
    <m/>
    <n v="37"/>
    <s v="FE-1847"/>
    <x v="1"/>
    <n v="6604.5"/>
    <x v="13"/>
    <n v="330225"/>
    <n v="0"/>
    <n v="4502406473"/>
    <n v="5083597732"/>
    <n v="5113588580"/>
    <m/>
    <m/>
    <m/>
    <x v="0"/>
    <d v="2022-09-08T00:00:00"/>
    <m/>
    <m/>
    <m/>
    <m/>
    <m/>
    <m/>
    <m/>
    <m/>
    <d v="2022-09-08T00:00:00"/>
    <x v="9"/>
  </r>
  <r>
    <s v="Sociedad Comercializadora Ganadera"/>
    <d v="2022-09-14T00:00:00"/>
    <d v="2022-09-14T00:00:00"/>
    <n v="37"/>
    <s v="FEDV427"/>
    <x v="0"/>
    <n v="19360"/>
    <x v="234"/>
    <n v="163592000"/>
    <n v="45"/>
    <n v="4502406475"/>
    <n v="5083613879"/>
    <n v="5113582608"/>
    <m/>
    <s v="TIENE BL"/>
    <m/>
    <x v="0"/>
    <d v="2022-09-09T00:00:00"/>
    <m/>
    <m/>
    <m/>
    <m/>
    <m/>
    <m/>
    <m/>
    <m/>
    <d v="2022-09-09T00:00:00"/>
    <x v="9"/>
  </r>
  <r>
    <s v="Sociedad Comercializadora Ganadera"/>
    <d v="2022-09-14T00:00:00"/>
    <d v="2022-09-14T00:00:00"/>
    <n v="37"/>
    <s v="NC212"/>
    <x v="0"/>
    <n v="19360"/>
    <x v="537"/>
    <n v="-570732.79999999155"/>
    <n v="0"/>
    <n v="4502406475"/>
    <n v="5083613879"/>
    <n v="5113582609"/>
    <m/>
    <m/>
    <m/>
    <x v="0"/>
    <d v="2022-09-09T00:00:00"/>
    <m/>
    <m/>
    <m/>
    <m/>
    <m/>
    <m/>
    <m/>
    <m/>
    <d v="2022-09-09T00:00:00"/>
    <x v="9"/>
  </r>
  <r>
    <s v="Sociedad Comercializadora Ganadera"/>
    <d v="2022-09-14T00:00:00"/>
    <d v="2022-09-14T00:00:00"/>
    <n v="37"/>
    <s v="FEDV428"/>
    <x v="0"/>
    <n v="13792"/>
    <x v="234"/>
    <n v="116542400"/>
    <n v="30"/>
    <n v="4502406475"/>
    <n v="5083613879"/>
    <n v="5113582556"/>
    <m/>
    <s v="TIENE BL"/>
    <m/>
    <x v="0"/>
    <d v="2022-09-09T00:00:00"/>
    <m/>
    <m/>
    <m/>
    <m/>
    <m/>
    <m/>
    <m/>
    <m/>
    <d v="2022-09-09T00:00:00"/>
    <x v="9"/>
  </r>
  <r>
    <s v="Luis Fernando Rojas Prada"/>
    <d v="2022-09-12T00:00:00"/>
    <m/>
    <n v="37"/>
    <s v="FELC-1018"/>
    <x v="0"/>
    <n v="35537"/>
    <x v="28"/>
    <n v="275411750"/>
    <n v="70"/>
    <n v="4502408606"/>
    <n v="5083614118"/>
    <n v="5113574482"/>
    <m/>
    <s v="EJ*5 2979200*3 3090800*1 3062400*1"/>
    <s v="CON RETEN"/>
    <x v="0"/>
    <d v="2022-09-09T00:00:00"/>
    <n v="4902343227"/>
    <n v="15090800"/>
    <s v="FEMD-5173"/>
    <n v="5113576481"/>
    <s v="FEMD-5174"/>
    <n v="5113576482"/>
    <s v="FEMD-5172*3"/>
    <n v="5113576484"/>
    <d v="2022-09-09T00:00:00"/>
    <x v="9"/>
  </r>
  <r>
    <s v="La Ceiba S.A"/>
    <d v="2022-09-09T00:00:00"/>
    <m/>
    <n v="37"/>
    <s v="FE-1844"/>
    <x v="1"/>
    <n v="12930.5"/>
    <x v="76"/>
    <n v="104737050"/>
    <n v="27"/>
    <n v="4502406476"/>
    <n v="5083613880"/>
    <n v="5113575988"/>
    <m/>
    <s v="CON RETEN"/>
    <m/>
    <x v="0"/>
    <d v="2022-09-09T00:00:00"/>
    <m/>
    <m/>
    <m/>
    <m/>
    <m/>
    <m/>
    <m/>
    <m/>
    <d v="2022-09-09T00:00:00"/>
    <x v="9"/>
  </r>
  <r>
    <s v="Agropecuaria Tabaida S.A.S"/>
    <d v="2022-09-09T00:00:00"/>
    <m/>
    <n v="37"/>
    <s v="MT-1544"/>
    <x v="1"/>
    <n v="19867"/>
    <x v="54"/>
    <n v="154962600"/>
    <n v="42"/>
    <n v="4502408608"/>
    <n v="5083614119"/>
    <n v="5113575951"/>
    <s v="TIENE BL"/>
    <s v="TYC 4792500"/>
    <m/>
    <x v="0"/>
    <d v="2022-09-09T00:00:00"/>
    <n v="4902343228"/>
    <n v="4792500"/>
    <s v="ETE-3544"/>
    <n v="5113576758"/>
    <m/>
    <m/>
    <m/>
    <m/>
    <d v="2022-09-09T00:00:00"/>
    <x v="9"/>
  </r>
  <r>
    <s v="Andres Felipe Mantilla Acosta"/>
    <d v="2022-09-10T00:00:00"/>
    <d v="2022-09-13T00:00:00"/>
    <n v="37"/>
    <s v="FEFE34"/>
    <x v="0"/>
    <n v="6488.5"/>
    <x v="117"/>
    <n v="51908000"/>
    <n v="15"/>
    <n v="4502406477"/>
    <n v="5083613883"/>
    <n v="5113576217"/>
    <m/>
    <s v="TIENE BL"/>
    <m/>
    <x v="0"/>
    <d v="2022-09-10T00:00:00"/>
    <m/>
    <m/>
    <m/>
    <m/>
    <m/>
    <m/>
    <m/>
    <m/>
    <d v="2022-09-10T00:00:00"/>
    <x v="9"/>
  </r>
  <r>
    <s v="Andres Felipe Mantilla Acosta"/>
    <d v="2022-09-10T00:00:00"/>
    <d v="2022-09-13T00:00:00"/>
    <n v="37"/>
    <s v="NC11"/>
    <x v="0"/>
    <n v="6488.5"/>
    <x v="538"/>
    <n v="-39125.654999998347"/>
    <n v="0"/>
    <n v="4502406477"/>
    <n v="5083613883"/>
    <n v="5113576218"/>
    <m/>
    <m/>
    <m/>
    <x v="0"/>
    <d v="2022-09-10T00:00:00"/>
    <m/>
    <m/>
    <m/>
    <m/>
    <m/>
    <m/>
    <m/>
    <m/>
    <d v="2022-09-10T00:00:00"/>
    <x v="9"/>
  </r>
  <r>
    <s v="Sociedad Comercializadora Ganadera"/>
    <d v="2022-09-14T00:00:00"/>
    <d v="2022-09-14T00:00:00"/>
    <n v="37"/>
    <s v="FEDV429"/>
    <x v="0"/>
    <n v="35970"/>
    <x v="234"/>
    <n v="303946500"/>
    <n v="75"/>
    <n v="4502406478"/>
    <n v="5083613884"/>
    <n v="5113582550"/>
    <m/>
    <s v="TIENE BL"/>
    <m/>
    <x v="0"/>
    <d v="2022-09-10T00:00:00"/>
    <m/>
    <m/>
    <m/>
    <m/>
    <m/>
    <m/>
    <m/>
    <m/>
    <d v="2022-09-10T00:00:00"/>
    <x v="9"/>
  </r>
  <r>
    <s v="Sociedad Comercializadora Ganadera"/>
    <d v="2022-09-14T00:00:00"/>
    <d v="2022-09-14T00:00:00"/>
    <n v="37"/>
    <s v="NC213"/>
    <x v="0"/>
    <n v="35970"/>
    <x v="539"/>
    <n v="-602857.20000000787"/>
    <n v="0"/>
    <n v="4502406478"/>
    <n v="5083613884"/>
    <n v="5113582552"/>
    <m/>
    <m/>
    <m/>
    <x v="0"/>
    <d v="2022-09-10T00:00:00"/>
    <m/>
    <m/>
    <m/>
    <m/>
    <m/>
    <m/>
    <m/>
    <m/>
    <d v="2022-09-10T00:00:00"/>
    <x v="9"/>
  </r>
  <r>
    <s v="Savanna &amp; Compañia S.A.S ZOMAC"/>
    <d v="2022-09-09T00:00:00"/>
    <m/>
    <n v="37"/>
    <s v="S-50"/>
    <x v="0"/>
    <n v="14814"/>
    <x v="56"/>
    <n v="112586400"/>
    <n v="28"/>
    <n v="4502408609"/>
    <n v="5083614120"/>
    <n v="5113579457"/>
    <s v="TIENE BL"/>
    <s v="EJ*2 3562300*2"/>
    <m/>
    <x v="0"/>
    <d v="2022-09-10T00:00:00"/>
    <n v="4902343230"/>
    <n v="7124600"/>
    <s v="FEMD-5185*2"/>
    <m/>
    <m/>
    <m/>
    <m/>
    <m/>
    <d v="2022-09-10T00:00:00"/>
    <x v="9"/>
  </r>
  <r>
    <s v="Multicarnicos S.A"/>
    <d v="2022-09-10T00:00:00"/>
    <d v="2022-09-13T00:00:00"/>
    <n v="37"/>
    <s v="MUL-399"/>
    <x v="0"/>
    <n v="24780.5"/>
    <x v="76"/>
    <n v="200722050"/>
    <n v="57"/>
    <n v="4502406479"/>
    <n v="5083614023"/>
    <n v="5113575991"/>
    <m/>
    <s v="TIENE BL"/>
    <m/>
    <x v="0"/>
    <d v="2022-09-10T00:00:00"/>
    <m/>
    <m/>
    <m/>
    <m/>
    <m/>
    <m/>
    <m/>
    <m/>
    <d v="2022-09-10T00:00:00"/>
    <x v="9"/>
  </r>
  <r>
    <s v="Multicarnicos S.A"/>
    <d v="2022-09-10T00:00:00"/>
    <d v="2022-09-13T00:00:00"/>
    <n v="37"/>
    <s v="NC50"/>
    <x v="0"/>
    <n v="24780.5"/>
    <x v="540"/>
    <n v="-381371.89500000811"/>
    <n v="0"/>
    <n v="4502406479"/>
    <n v="5083614023"/>
    <n v="5113575993"/>
    <m/>
    <m/>
    <m/>
    <x v="0"/>
    <d v="2022-09-10T00:00:00"/>
    <m/>
    <m/>
    <m/>
    <m/>
    <m/>
    <m/>
    <m/>
    <m/>
    <d v="2022-09-10T00:00:00"/>
    <x v="9"/>
  </r>
  <r>
    <s v="Carnes La Italiana L S S A S"/>
    <d v="2022-09-15T00:00:00"/>
    <m/>
    <n v="37"/>
    <s v="FVE-3990"/>
    <x v="0"/>
    <n v="6127.5"/>
    <x v="117"/>
    <n v="49020000"/>
    <n v="14"/>
    <n v="4502406480"/>
    <n v="5083620824"/>
    <n v="5113585179"/>
    <m/>
    <s v="TIENE BL"/>
    <m/>
    <x v="0"/>
    <d v="2022-09-11T00:00:00"/>
    <m/>
    <m/>
    <m/>
    <m/>
    <m/>
    <m/>
    <m/>
    <m/>
    <d v="2022-09-11T00:00:00"/>
    <x v="9"/>
  </r>
  <r>
    <s v="Inversiones Yepes Carrera S.A.S"/>
    <d v="2022-09-11T00:00:00"/>
    <m/>
    <n v="37"/>
    <s v="FE-153"/>
    <x v="0"/>
    <n v="5953.5"/>
    <x v="76"/>
    <n v="48223350"/>
    <n v="14"/>
    <n v="4502411659"/>
    <n v="5083672043"/>
    <n v="5113581873"/>
    <m/>
    <s v="TIENE BL"/>
    <m/>
    <x v="0"/>
    <d v="2022-09-11T00:00:00"/>
    <m/>
    <m/>
    <m/>
    <m/>
    <m/>
    <m/>
    <m/>
    <m/>
    <d v="2022-09-11T00:00:00"/>
    <x v="9"/>
  </r>
  <r>
    <s v="Inversiones Yepes Carrera S.A.S"/>
    <d v="2022-09-11T00:00:00"/>
    <m/>
    <n v="37"/>
    <s v="FE-154"/>
    <x v="0"/>
    <n v="5953.5"/>
    <x v="541"/>
    <n v="1150990.1549999996"/>
    <n v="0"/>
    <n v="4502411659"/>
    <n v="5083672043"/>
    <n v="5113581875"/>
    <m/>
    <m/>
    <m/>
    <x v="0"/>
    <d v="2022-09-11T00:00:00"/>
    <m/>
    <m/>
    <m/>
    <m/>
    <m/>
    <m/>
    <m/>
    <m/>
    <d v="2022-09-11T00:00:00"/>
    <x v="9"/>
  </r>
  <r>
    <s v="Oscar Fabian Quintero Ardila"/>
    <d v="2022-09-11T00:00:00"/>
    <m/>
    <n v="37"/>
    <s v="FE-60"/>
    <x v="0"/>
    <n v="4017.5"/>
    <x v="117"/>
    <n v="32140000"/>
    <n v="14"/>
    <n v="4502406482"/>
    <n v="5083620826"/>
    <n v="5113583287"/>
    <m/>
    <s v="TIENE BL"/>
    <m/>
    <x v="0"/>
    <d v="2022-09-11T00:00:00"/>
    <m/>
    <m/>
    <m/>
    <m/>
    <m/>
    <m/>
    <m/>
    <m/>
    <d v="2022-09-11T00:00:00"/>
    <x v="9"/>
  </r>
  <r>
    <s v="Oscar Fabian Quintero Ardila"/>
    <d v="2022-09-11T00:00:00"/>
    <m/>
    <n v="37"/>
    <s v="NC19"/>
    <x v="0"/>
    <n v="4017.5"/>
    <x v="542"/>
    <n v="-121931.12500000146"/>
    <n v="0"/>
    <n v="4502406482"/>
    <n v="5083620826"/>
    <n v="5113583291"/>
    <m/>
    <m/>
    <m/>
    <x v="0"/>
    <d v="2022-09-11T00:00:00"/>
    <m/>
    <m/>
    <m/>
    <m/>
    <m/>
    <m/>
    <m/>
    <m/>
    <d v="2022-09-11T00:00:00"/>
    <x v="9"/>
  </r>
  <r>
    <s v="Surtiganados J S.A.S."/>
    <d v="2022-09-12T00:00:00"/>
    <m/>
    <n v="37"/>
    <s v="FEDV-8"/>
    <x v="0"/>
    <n v="6852"/>
    <x v="76"/>
    <n v="55501200"/>
    <n v="15"/>
    <n v="4502406483"/>
    <n v="5083621751"/>
    <n v="5113597681"/>
    <m/>
    <s v="TIENE BL"/>
    <m/>
    <x v="0"/>
    <d v="2022-09-11T00:00:00"/>
    <m/>
    <m/>
    <m/>
    <m/>
    <m/>
    <m/>
    <m/>
    <m/>
    <d v="2022-09-11T00:00:00"/>
    <x v="9"/>
  </r>
  <r>
    <s v="Surtiganados J S.A.S."/>
    <d v="2022-09-16T00:00:00"/>
    <m/>
    <n v="37"/>
    <s v="NCFE2"/>
    <x v="0"/>
    <n v="6852"/>
    <x v="543"/>
    <n v="-174177.84000000049"/>
    <n v="0"/>
    <n v="4502406483"/>
    <n v="5083621751"/>
    <n v="5113597682"/>
    <m/>
    <m/>
    <m/>
    <x v="0"/>
    <d v="2022-09-11T00:00:00"/>
    <m/>
    <m/>
    <m/>
    <m/>
    <m/>
    <m/>
    <m/>
    <m/>
    <d v="2022-09-11T00:00:00"/>
    <x v="9"/>
  </r>
  <r>
    <s v="Rafael Francisco Delgado Serrano"/>
    <d v="2022-09-14T00:00:00"/>
    <m/>
    <n v="37"/>
    <s v="RFDS-175"/>
    <x v="0"/>
    <n v="6512.5"/>
    <x v="76"/>
    <n v="52751250"/>
    <n v="14"/>
    <n v="4502406484"/>
    <n v="5083620827"/>
    <n v="5113582857"/>
    <m/>
    <s v="CON RETEN"/>
    <m/>
    <x v="0"/>
    <d v="2022-09-11T00:00:00"/>
    <m/>
    <m/>
    <m/>
    <m/>
    <m/>
    <m/>
    <m/>
    <m/>
    <d v="2022-09-11T00:00:00"/>
    <x v="9"/>
  </r>
  <r>
    <s v="Rafael Francisco Delgado Serrano"/>
    <d v="2022-09-14T00:00:00"/>
    <m/>
    <n v="37"/>
    <s v="NCR29"/>
    <x v="0"/>
    <n v="6512.5"/>
    <x v="2"/>
    <n v="-651250"/>
    <n v="0"/>
    <n v="4502406484"/>
    <n v="5083620827"/>
    <n v="5113582859"/>
    <m/>
    <m/>
    <m/>
    <x v="0"/>
    <d v="2022-09-11T00:00:00"/>
    <m/>
    <m/>
    <m/>
    <m/>
    <m/>
    <m/>
    <m/>
    <m/>
    <d v="2022-09-11T00:00:00"/>
    <x v="9"/>
  </r>
  <r>
    <s v="Adrian Alberto Alvarez Henao"/>
    <d v="2022-09-15T00:00:00"/>
    <d v="2022-09-16T00:00:00"/>
    <n v="37"/>
    <s v="AAAH-67"/>
    <x v="0"/>
    <n v="6243.5"/>
    <x v="213"/>
    <n v="53069750"/>
    <n v="15"/>
    <n v="4502406485"/>
    <n v="5083621248"/>
    <n v="5113595072"/>
    <m/>
    <s v="TIENE BL "/>
    <m/>
    <x v="0"/>
    <d v="2022-09-11T00:00:00"/>
    <m/>
    <m/>
    <m/>
    <m/>
    <m/>
    <m/>
    <m/>
    <m/>
    <d v="2022-09-11T00:00:00"/>
    <x v="9"/>
  </r>
  <r>
    <s v="Adrian Alberto Alvarez Henao"/>
    <d v="2022-09-15T00:00:00"/>
    <d v="2022-09-16T00:00:00"/>
    <n v="37"/>
    <s v="AD33"/>
    <x v="0"/>
    <n v="6243.5"/>
    <x v="544"/>
    <n v="-1402414.9700000051"/>
    <n v="0"/>
    <n v="4502406485"/>
    <n v="5083621248"/>
    <n v="5113595073"/>
    <m/>
    <m/>
    <m/>
    <x v="0"/>
    <d v="2022-09-11T00:00:00"/>
    <m/>
    <m/>
    <m/>
    <m/>
    <m/>
    <m/>
    <m/>
    <m/>
    <d v="2022-09-11T00:00:00"/>
    <x v="9"/>
  </r>
  <r>
    <s v="Maria Victoria Martinez Jaramillo"/>
    <d v="2022-09-11T00:00:00"/>
    <d v="2022-09-14T00:00:00"/>
    <n v="37"/>
    <s v="FE-37"/>
    <x v="0"/>
    <n v="6039"/>
    <x v="234"/>
    <n v="51029550"/>
    <n v="14"/>
    <n v="4502406486"/>
    <n v="5083621249"/>
    <n v="5113579842"/>
    <m/>
    <s v="TIENE BL"/>
    <m/>
    <x v="0"/>
    <d v="2022-09-11T00:00:00"/>
    <m/>
    <m/>
    <m/>
    <m/>
    <m/>
    <m/>
    <m/>
    <m/>
    <d v="2022-09-11T00:00:00"/>
    <x v="9"/>
  </r>
  <r>
    <s v="Maria Victoria Martinez Jaramillo"/>
    <d v="2022-09-11T00:00:00"/>
    <d v="2022-09-14T00:00:00"/>
    <n v="37"/>
    <s v="FE-38"/>
    <x v="0"/>
    <n v="6039"/>
    <x v="2"/>
    <n v="603900"/>
    <n v="0"/>
    <n v="4502406486"/>
    <n v="5083621249"/>
    <n v="5113588583"/>
    <m/>
    <m/>
    <m/>
    <x v="0"/>
    <d v="2022-09-11T00:00:00"/>
    <m/>
    <m/>
    <m/>
    <m/>
    <m/>
    <m/>
    <m/>
    <m/>
    <d v="2022-09-11T00:00:00"/>
    <x v="9"/>
  </r>
  <r>
    <s v="Carlos Mario Duque Cadavid"/>
    <d v="2022-09-11T00:00:00"/>
    <m/>
    <n v="37"/>
    <s v="CD-127"/>
    <x v="1"/>
    <n v="28943"/>
    <x v="54"/>
    <n v="225755400"/>
    <n v="56"/>
    <n v="4502408610"/>
    <n v="5083614122"/>
    <n v="5113574667"/>
    <m/>
    <s v="EJ*4 1771100*4"/>
    <m/>
    <x v="0"/>
    <d v="2022-09-11T00:00:00"/>
    <n v="4902343231"/>
    <n v="7084400"/>
    <s v="FEMD-5190*4"/>
    <n v="5113576541"/>
    <m/>
    <m/>
    <m/>
    <m/>
    <d v="2022-09-11T00:00:00"/>
    <x v="9"/>
  </r>
  <r>
    <s v="Olger Fernando Rojas Angarita"/>
    <d v="2022-09-14T00:00:00"/>
    <m/>
    <n v="37"/>
    <s v="OR-202"/>
    <x v="2"/>
    <n v="6747.5"/>
    <x v="76"/>
    <n v="54654750"/>
    <n v="14"/>
    <n v="4502406487"/>
    <n v="5083621250"/>
    <n v="5113580757"/>
    <m/>
    <s v="TIENE BL"/>
    <m/>
    <x v="0"/>
    <d v="2022-09-11T00:00:00"/>
    <m/>
    <m/>
    <m/>
    <m/>
    <m/>
    <m/>
    <m/>
    <m/>
    <d v="2022-09-11T00:00:00"/>
    <x v="9"/>
  </r>
  <r>
    <s v="Olger Fernando Rojas Angarita"/>
    <d v="2022-09-14T00:00:00"/>
    <m/>
    <n v="37"/>
    <n v="14"/>
    <x v="2"/>
    <n v="6747.5"/>
    <x v="545"/>
    <n v="-439734.57500000048"/>
    <n v="0"/>
    <n v="4502406487"/>
    <n v="5083621250"/>
    <n v="5113580759"/>
    <m/>
    <m/>
    <m/>
    <x v="0"/>
    <d v="2022-09-11T00:00:00"/>
    <m/>
    <m/>
    <m/>
    <m/>
    <m/>
    <m/>
    <m/>
    <m/>
    <d v="2022-09-11T00:00:00"/>
    <x v="9"/>
  </r>
  <r>
    <s v="Rodolfo De Jesus Jaramillo Calle"/>
    <d v="2022-09-11T00:00:00"/>
    <m/>
    <n v="37"/>
    <s v="FE-104"/>
    <x v="2"/>
    <n v="7280"/>
    <x v="213"/>
    <n v="61880000"/>
    <n v="15"/>
    <n v="4502406488"/>
    <n v="5083621251"/>
    <n v="5113582890"/>
    <m/>
    <s v="TIENE BL"/>
    <m/>
    <x v="0"/>
    <d v="2022-09-11T00:00:00"/>
    <m/>
    <m/>
    <m/>
    <m/>
    <m/>
    <m/>
    <m/>
    <m/>
    <d v="2022-09-11T00:00:00"/>
    <x v="9"/>
  </r>
  <r>
    <s v="Rodolfo De Jesus Jaramillo Calle"/>
    <d v="2022-09-15T00:00:00"/>
    <d v="2022-09-15T00:00:00"/>
    <n v="37"/>
    <s v="NC258"/>
    <x v="2"/>
    <n v="7280"/>
    <x v="11"/>
    <n v="-1092000"/>
    <n v="0"/>
    <n v="4502406488"/>
    <n v="5083621251"/>
    <n v="5113582893"/>
    <m/>
    <m/>
    <m/>
    <x v="0"/>
    <d v="2022-09-11T00:00:00"/>
    <m/>
    <m/>
    <m/>
    <m/>
    <m/>
    <m/>
    <m/>
    <m/>
    <d v="2022-09-11T00:00:00"/>
    <x v="9"/>
  </r>
  <r>
    <s v="Agropecuaria El Uberrimo S.A.S"/>
    <d v="2022-09-11T00:00:00"/>
    <m/>
    <n v="37"/>
    <s v="FE-271"/>
    <x v="2"/>
    <n v="15339"/>
    <x v="117"/>
    <n v="122712000"/>
    <n v="30"/>
    <n v="4502410646"/>
    <n v="5083650984"/>
    <n v="5113590944"/>
    <m/>
    <s v="CON RETEN"/>
    <m/>
    <x v="1"/>
    <d v="2022-09-11T00:00:00"/>
    <m/>
    <m/>
    <m/>
    <m/>
    <m/>
    <m/>
    <m/>
    <m/>
    <d v="2022-09-11T00:00:00"/>
    <x v="9"/>
  </r>
  <r>
    <s v="31416 S.A.S"/>
    <d v="2022-09-11T00:00:00"/>
    <d v="2022-09-14T00:00:00"/>
    <n v="37"/>
    <s v="PI177"/>
    <x v="2"/>
    <n v="15334"/>
    <x v="117"/>
    <n v="122672000"/>
    <n v="28"/>
    <n v="4502410648"/>
    <n v="5083651051"/>
    <n v="5113582257"/>
    <m/>
    <s v="CON RETEN"/>
    <m/>
    <x v="1"/>
    <d v="2022-09-11T00:00:00"/>
    <m/>
    <m/>
    <m/>
    <m/>
    <m/>
    <m/>
    <m/>
    <m/>
    <d v="2022-09-11T00:00:00"/>
    <x v="9"/>
  </r>
  <r>
    <s v="Maria Ines Saade Mejia"/>
    <d v="2022-09-13T00:00:00"/>
    <d v="2022-09-13T00:00:00"/>
    <n v="37"/>
    <s v="FE-155"/>
    <x v="2"/>
    <n v="6835"/>
    <x v="117"/>
    <n v="54680000"/>
    <n v="14"/>
    <n v="4502410649"/>
    <n v="5083651057"/>
    <n v="5113578952"/>
    <m/>
    <s v="CON RETEN"/>
    <m/>
    <x v="1"/>
    <d v="2022-09-11T00:00:00"/>
    <m/>
    <m/>
    <m/>
    <m/>
    <m/>
    <m/>
    <m/>
    <m/>
    <d v="2022-09-11T00:00:00"/>
    <x v="9"/>
  </r>
  <r>
    <s v="Misionagro S.A.S"/>
    <d v="2022-09-11T00:00:00"/>
    <m/>
    <n v="37"/>
    <s v="MISI-145"/>
    <x v="2"/>
    <n v="21009"/>
    <x v="151"/>
    <n v="171223350"/>
    <n v="39"/>
    <n v="4502410651"/>
    <n v="5083651126"/>
    <n v="5113582610"/>
    <m/>
    <s v="CON RETEN"/>
    <m/>
    <x v="1"/>
    <d v="2022-09-11T00:00:00"/>
    <m/>
    <m/>
    <m/>
    <m/>
    <m/>
    <m/>
    <m/>
    <m/>
    <d v="2022-09-11T00:00:00"/>
    <x v="9"/>
  </r>
  <r>
    <s v="Manzur Aldana y CIA S. En C."/>
    <d v="2022-09-15T00:00:00"/>
    <m/>
    <n v="37"/>
    <s v="MAFE-42"/>
    <x v="2"/>
    <n v="6420"/>
    <x v="117"/>
    <n v="51360000"/>
    <n v="14"/>
    <n v="4502410653"/>
    <n v="5083651183"/>
    <n v="5113584620"/>
    <m/>
    <s v="CON RETEN"/>
    <m/>
    <x v="1"/>
    <d v="2022-09-11T00:00:00"/>
    <m/>
    <m/>
    <m/>
    <m/>
    <m/>
    <m/>
    <m/>
    <m/>
    <d v="2022-09-11T00:00:00"/>
    <x v="9"/>
  </r>
  <r>
    <s v="Martha Elena Manzur Abdala"/>
    <d v="2022-09-14T00:00:00"/>
    <d v="2022-09-14T00:00:00"/>
    <n v="37"/>
    <s v="FE-133"/>
    <x v="2"/>
    <n v="6648"/>
    <x v="117"/>
    <n v="53184000"/>
    <n v="14"/>
    <n v="4502410656"/>
    <n v="5083651184"/>
    <n v="5113579306"/>
    <m/>
    <s v="CON RETEN "/>
    <m/>
    <x v="1"/>
    <d v="2022-09-11T00:00:00"/>
    <m/>
    <m/>
    <m/>
    <m/>
    <m/>
    <m/>
    <m/>
    <m/>
    <d v="2022-09-11T00:00:00"/>
    <x v="9"/>
  </r>
  <r>
    <s v="David Martinez Jaramillo"/>
    <d v="2022-09-12T00:00:00"/>
    <d v="2022-09-14T00:00:00"/>
    <n v="37"/>
    <s v="DM261"/>
    <x v="0"/>
    <n v="26313"/>
    <x v="234"/>
    <n v="222344850"/>
    <n v="57"/>
    <n v="4502406489"/>
    <n v="5083639987"/>
    <n v="5113588683"/>
    <m/>
    <s v="TIENE BL"/>
    <m/>
    <x v="0"/>
    <d v="2022-09-12T00:00:00"/>
    <m/>
    <m/>
    <m/>
    <m/>
    <m/>
    <m/>
    <m/>
    <m/>
    <d v="2022-09-12T00:00:00"/>
    <x v="9"/>
  </r>
  <r>
    <s v="David Martinez Jaramillo"/>
    <d v="2022-09-14T00:00:00"/>
    <d v="2022-09-14T00:00:00"/>
    <n v="37"/>
    <s v="NC68"/>
    <x v="0"/>
    <n v="26313"/>
    <x v="546"/>
    <n v="-632827.64999998081"/>
    <n v="0"/>
    <n v="4502406489"/>
    <n v="5083639987"/>
    <n v="5113588737"/>
    <m/>
    <m/>
    <m/>
    <x v="0"/>
    <d v="2022-09-12T00:00:00"/>
    <m/>
    <m/>
    <m/>
    <m/>
    <m/>
    <m/>
    <m/>
    <m/>
    <d v="2022-09-12T00:00:00"/>
    <x v="9"/>
  </r>
  <r>
    <s v="Lina Maria Pelaez Gomez"/>
    <d v="2022-09-12T00:00:00"/>
    <d v="2022-09-14T00:00:00"/>
    <n v="37"/>
    <s v="LP113"/>
    <x v="0"/>
    <n v="6663"/>
    <x v="234"/>
    <n v="56302350"/>
    <n v="15"/>
    <n v="4502406490"/>
    <n v="5083640618"/>
    <n v="5113588740"/>
    <m/>
    <s v="TIENE BL"/>
    <m/>
    <x v="0"/>
    <d v="2022-09-12T00:00:00"/>
    <m/>
    <m/>
    <m/>
    <m/>
    <m/>
    <m/>
    <m/>
    <m/>
    <d v="2022-09-12T00:00:00"/>
    <x v="9"/>
  </r>
  <r>
    <s v="Lina Maria Pelaez Gomez"/>
    <d v="2022-09-12T00:00:00"/>
    <d v="2022-09-14T00:00:00"/>
    <n v="37"/>
    <s v="NC84"/>
    <x v="0"/>
    <n v="6663"/>
    <x v="2"/>
    <n v="-666300"/>
    <n v="0"/>
    <n v="4502406490"/>
    <n v="5083640618"/>
    <n v="5113588743"/>
    <m/>
    <m/>
    <m/>
    <x v="0"/>
    <d v="2022-09-12T00:00:00"/>
    <m/>
    <m/>
    <m/>
    <m/>
    <m/>
    <m/>
    <m/>
    <m/>
    <d v="2022-09-12T00:00:00"/>
    <x v="9"/>
  </r>
  <r>
    <s v="Agroinversiones RG S.A.S"/>
    <d v="2022-09-15T00:00:00"/>
    <d v="2022-09-15T00:00:00"/>
    <n v="37"/>
    <s v="FE-78"/>
    <x v="0"/>
    <n v="6965.5"/>
    <x v="76"/>
    <n v="56420550"/>
    <n v="14"/>
    <n v="4502406491"/>
    <n v="5083640619"/>
    <n v="5113585062"/>
    <m/>
    <s v="CON RETEN"/>
    <m/>
    <x v="0"/>
    <d v="2022-09-12T00:00:00"/>
    <m/>
    <m/>
    <m/>
    <m/>
    <m/>
    <m/>
    <m/>
    <m/>
    <d v="2022-09-12T00:00:00"/>
    <x v="9"/>
  </r>
  <r>
    <s v="Agropecuaria Tabaida S.A.S"/>
    <d v="2022-09-12T00:00:00"/>
    <d v="2022-09-14T00:00:00"/>
    <n v="37"/>
    <s v="MT-1546"/>
    <x v="1"/>
    <n v="20969"/>
    <x v="54"/>
    <n v="163558200"/>
    <n v="42"/>
    <n v="4502408612"/>
    <n v="5083640840"/>
    <n v="5113581870"/>
    <s v="TIENE BL"/>
    <s v="EJ*3 1793900*3"/>
    <m/>
    <x v="0"/>
    <d v="2022-09-12T00:00:00"/>
    <n v="4902343232"/>
    <n v="5381700"/>
    <s v="FEMD-5193*3"/>
    <n v="5113578600"/>
    <m/>
    <m/>
    <m/>
    <m/>
    <d v="2022-09-12T00:00:00"/>
    <x v="9"/>
  </r>
  <r>
    <s v="Agroinversiones RG S.A.S"/>
    <d v="2022-09-15T00:00:00"/>
    <d v="2022-09-15T00:00:00"/>
    <n v="37"/>
    <s v="FE-79"/>
    <x v="1"/>
    <n v="6113.5"/>
    <x v="76"/>
    <n v="49519350"/>
    <n v="14"/>
    <n v="4502407994"/>
    <n v="5083640620"/>
    <n v="5113584795"/>
    <m/>
    <s v="CON RETEN"/>
    <m/>
    <x v="0"/>
    <d v="2022-09-12T00:00:00"/>
    <m/>
    <m/>
    <m/>
    <m/>
    <m/>
    <m/>
    <m/>
    <m/>
    <d v="2022-09-12T00:00:00"/>
    <x v="9"/>
  </r>
  <r>
    <s v="Sociedad Comercializadora Ganadera"/>
    <d v="2022-09-14T00:00:00"/>
    <d v="2022-09-14T00:00:00"/>
    <n v="37"/>
    <s v="FEDV430"/>
    <x v="3"/>
    <n v="17653"/>
    <x v="38"/>
    <n v="132397500"/>
    <n v="62"/>
    <n v="4502410678"/>
    <n v="5083651502"/>
    <n v="5113582548"/>
    <m/>
    <s v="TIENE BL"/>
    <m/>
    <x v="2"/>
    <d v="2022-09-12T00:00:00"/>
    <m/>
    <m/>
    <m/>
    <m/>
    <m/>
    <m/>
    <m/>
    <m/>
    <d v="2022-09-12T00:00:00"/>
    <x v="9"/>
  </r>
  <r>
    <s v="Andres Felipe Mantilla Acosta"/>
    <d v="2022-09-13T00:00:00"/>
    <d v="2022-09-16T00:00:00"/>
    <n v="37"/>
    <s v="FEFE-35"/>
    <x v="0"/>
    <n v="7787"/>
    <x v="117"/>
    <n v="62296000"/>
    <n v="15"/>
    <n v="4502406492"/>
    <n v="5083643305"/>
    <n v="5113588745"/>
    <m/>
    <s v="TIENE BL"/>
    <m/>
    <x v="0"/>
    <d v="2022-09-13T00:00:00"/>
    <m/>
    <m/>
    <m/>
    <m/>
    <m/>
    <m/>
    <m/>
    <m/>
    <d v="2022-09-13T00:00:00"/>
    <x v="9"/>
  </r>
  <r>
    <s v="Agropecuaria Bajogrande S.A."/>
    <d v="2022-09-12T00:00:00"/>
    <m/>
    <n v="37"/>
    <s v="AB-683"/>
    <x v="0"/>
    <n v="14921"/>
    <x v="9"/>
    <n v="114891700"/>
    <n v="28"/>
    <n v="4502408613"/>
    <n v="5083652538"/>
    <n v="5113582264"/>
    <s v="CON RETEN"/>
    <s v="EJ*2 1961700*2"/>
    <m/>
    <x v="0"/>
    <d v="2022-09-13T00:00:00"/>
    <n v="4902343233"/>
    <n v="3923400"/>
    <s v="FEMD-5219*2"/>
    <n v="5113582958"/>
    <m/>
    <m/>
    <m/>
    <m/>
    <d v="2022-09-13T00:00:00"/>
    <x v="9"/>
  </r>
  <r>
    <s v="Lina Maria Pelaez Gomez"/>
    <d v="2022-09-13T00:00:00"/>
    <d v="2022-09-15T00:00:00"/>
    <n v="37"/>
    <s v="LP114"/>
    <x v="0"/>
    <n v="12181"/>
    <x v="234"/>
    <n v="102929450"/>
    <n v="30"/>
    <n v="4502406493"/>
    <n v="5083643306"/>
    <n v="5113588789"/>
    <m/>
    <s v="TIENE BL"/>
    <m/>
    <x v="0"/>
    <d v="2022-09-13T00:00:00"/>
    <m/>
    <m/>
    <m/>
    <m/>
    <m/>
    <m/>
    <m/>
    <m/>
    <d v="2022-09-13T00:00:00"/>
    <x v="9"/>
  </r>
  <r>
    <s v="Lina Maria Pelaez Gomez"/>
    <d v="2022-09-15T00:00:00"/>
    <d v="2022-09-15T00:00:00"/>
    <n v="37"/>
    <s v="NC85"/>
    <x v="0"/>
    <n v="12181"/>
    <x v="547"/>
    <n v="-1760154.5"/>
    <n v="0"/>
    <n v="4502406493"/>
    <n v="5083643306"/>
    <n v="5113588793"/>
    <m/>
    <m/>
    <m/>
    <x v="0"/>
    <d v="2022-09-13T00:00:00"/>
    <m/>
    <m/>
    <m/>
    <m/>
    <m/>
    <m/>
    <m/>
    <m/>
    <d v="2022-09-13T00:00:00"/>
    <x v="9"/>
  </r>
  <r>
    <s v="Inversiones Agropecuaria Triplesiete S.A.S."/>
    <d v="2022-09-13T00:00:00"/>
    <d v="2022-09-16T00:00:00"/>
    <n v="37"/>
    <s v="FEVM 534"/>
    <x v="0"/>
    <n v="14281.5"/>
    <x v="117"/>
    <n v="114252000"/>
    <n v="30"/>
    <n v="4502406494"/>
    <n v="5083652608"/>
    <n v="5113588795"/>
    <m/>
    <s v="CON RETEN"/>
    <m/>
    <x v="0"/>
    <d v="2022-09-13T00:00:00"/>
    <m/>
    <m/>
    <m/>
    <m/>
    <m/>
    <m/>
    <m/>
    <m/>
    <d v="2022-09-13T00:00:00"/>
    <x v="9"/>
  </r>
  <r>
    <s v="Surtidora Agropecuaria De Colombia"/>
    <d v="2022-09-13T00:00:00"/>
    <d v="2022-09-15T00:00:00"/>
    <n v="37"/>
    <s v="FESA-53"/>
    <x v="2"/>
    <n v="27100"/>
    <x v="548"/>
    <n v="218092941"/>
    <n v="56"/>
    <n v="4502412474"/>
    <n v="5083690925"/>
    <n v="5113588829"/>
    <m/>
    <s v="TIENE BL"/>
    <m/>
    <x v="1"/>
    <d v="2022-09-13T00:00:00"/>
    <m/>
    <m/>
    <m/>
    <m/>
    <m/>
    <m/>
    <m/>
    <m/>
    <d v="2022-09-13T00:00:00"/>
    <x v="9"/>
  </r>
  <r>
    <s v="Inversiones Valle Del Canalete S.A.S"/>
    <d v="2022-09-13T00:00:00"/>
    <d v="2022-09-16T00:00:00"/>
    <n v="37"/>
    <s v="IVC137"/>
    <x v="2"/>
    <n v="25851"/>
    <x v="117"/>
    <n v="206808000"/>
    <n v="56"/>
    <n v="4502412464"/>
    <n v="5083690722"/>
    <n v="5113588832"/>
    <m/>
    <s v="CON RETEN"/>
    <m/>
    <x v="1"/>
    <d v="2022-09-13T00:00:00"/>
    <m/>
    <m/>
    <m/>
    <m/>
    <m/>
    <m/>
    <m/>
    <m/>
    <d v="2022-09-13T00:00:00"/>
    <x v="9"/>
  </r>
  <r>
    <s v="Zonia Rosa Bechara De Barguil"/>
    <d v="2022-09-22T00:00:00"/>
    <m/>
    <n v="37"/>
    <s v="ZRB-12"/>
    <x v="2"/>
    <n v="15299"/>
    <x v="549"/>
    <n v="123675127.13"/>
    <n v="28"/>
    <n v="4502412473"/>
    <n v="5083691942"/>
    <n v="5113600650"/>
    <m/>
    <s v="CON RETEN"/>
    <m/>
    <x v="1"/>
    <d v="2022-09-13T00:00:00"/>
    <m/>
    <m/>
    <m/>
    <m/>
    <m/>
    <m/>
    <m/>
    <m/>
    <d v="2022-09-13T00:00:00"/>
    <x v="9"/>
  </r>
  <r>
    <s v="David Martinez Jaramillo"/>
    <d v="2022-09-15T00:00:00"/>
    <d v="2022-09-19T00:00:00"/>
    <n v="38"/>
    <s v="DM262"/>
    <x v="0"/>
    <n v="6027"/>
    <x v="213"/>
    <n v="51229500"/>
    <n v="15"/>
    <n v="4502411223"/>
    <n v="5083693821"/>
    <n v="5113591468"/>
    <m/>
    <s v="TIENE BL"/>
    <m/>
    <x v="0"/>
    <d v="2022-09-15T00:00:00"/>
    <m/>
    <m/>
    <m/>
    <m/>
    <m/>
    <m/>
    <m/>
    <m/>
    <d v="2022-09-15T00:00:00"/>
    <x v="9"/>
  </r>
  <r>
    <s v="David Martinez Jaramillo"/>
    <d v="2022-09-19T00:00:00"/>
    <d v="2022-09-19T00:00:00"/>
    <n v="38"/>
    <s v="NC69"/>
    <x v="0"/>
    <n v="6027"/>
    <x v="550"/>
    <n v="-1514102.939999996"/>
    <n v="0"/>
    <n v="4502411223"/>
    <n v="5083693821"/>
    <n v="5113591471"/>
    <m/>
    <m/>
    <m/>
    <x v="0"/>
    <d v="2022-09-15T00:00:00"/>
    <m/>
    <m/>
    <m/>
    <m/>
    <m/>
    <m/>
    <m/>
    <m/>
    <d v="2022-09-15T00:00:00"/>
    <x v="9"/>
  </r>
  <r>
    <s v="Inversiones y Negocios V&amp;V S.A.S"/>
    <d v="2022-09-19T00:00:00"/>
    <d v="2022-09-23T00:00:00"/>
    <n v="38"/>
    <s v="FE-1719"/>
    <x v="0"/>
    <n v="13147.5"/>
    <x v="213"/>
    <n v="111753750"/>
    <n v="28"/>
    <n v="4502411224"/>
    <n v="5083693822"/>
    <n v="5113632584"/>
    <m/>
    <s v="CON RETEN"/>
    <m/>
    <x v="0"/>
    <d v="2022-09-15T00:00:00"/>
    <m/>
    <m/>
    <m/>
    <m/>
    <m/>
    <m/>
    <m/>
    <m/>
    <d v="2022-09-15T00:00:00"/>
    <x v="9"/>
  </r>
  <r>
    <s v="Inversiones y Negocios V&amp;V S.A.S"/>
    <d v="2022-09-19T00:00:00"/>
    <d v="2022-09-23T00:00:00"/>
    <n v="38"/>
    <s v="NC13054"/>
    <x v="0"/>
    <n v="13147.5"/>
    <x v="13"/>
    <n v="-657375"/>
    <n v="0"/>
    <n v="4502411224"/>
    <n v="5083693822"/>
    <n v="5113632647"/>
    <m/>
    <m/>
    <m/>
    <x v="0"/>
    <d v="2022-09-15T00:00:00"/>
    <m/>
    <m/>
    <m/>
    <m/>
    <m/>
    <m/>
    <m/>
    <m/>
    <d v="2022-09-15T00:00:00"/>
    <x v="9"/>
  </r>
  <r>
    <s v="Sociedad Comercializadora Ganadera"/>
    <d v="2022-09-19T00:00:00"/>
    <d v="2022-09-19T00:00:00"/>
    <n v="38"/>
    <s v="FEDV431"/>
    <x v="0"/>
    <n v="6348.5"/>
    <x v="213"/>
    <n v="53962250"/>
    <n v="15"/>
    <n v="4502411225"/>
    <n v="5083694011"/>
    <n v="5113594418"/>
    <m/>
    <s v="TIENE BL"/>
    <m/>
    <x v="0"/>
    <d v="2022-09-15T00:00:00"/>
    <m/>
    <m/>
    <m/>
    <m/>
    <m/>
    <m/>
    <m/>
    <m/>
    <d v="2022-09-15T00:00:00"/>
    <x v="9"/>
  </r>
  <r>
    <s v="Agropecuaria los Molinos S.A.S"/>
    <d v="2022-09-13T00:00:00"/>
    <m/>
    <n v="38"/>
    <s v="FEMO-1010000789"/>
    <x v="0"/>
    <n v="217505"/>
    <x v="551"/>
    <n v="1965157675"/>
    <n v="420"/>
    <n v="4502411300"/>
    <n v="5083660241"/>
    <n v="5113580506"/>
    <s v="TIENE BL"/>
    <s v="EJ*3 1850000*2 1750000*1"/>
    <m/>
    <x v="0"/>
    <d v="2022-09-15T00:00:00"/>
    <n v="4902347660"/>
    <n v="5450000"/>
    <s v="FEMD-5227*2"/>
    <n v="5113585831"/>
    <s v="FEMD-5228"/>
    <n v="5113585830"/>
    <m/>
    <m/>
    <d v="2022-09-15T00:00:00"/>
    <x v="9"/>
  </r>
  <r>
    <s v="Sociedad Comercializadora Ganadera"/>
    <d v="2022-09-19T00:00:00"/>
    <d v="2022-09-19T00:00:00"/>
    <n v="38"/>
    <s v="NC214"/>
    <x v="0"/>
    <n v="6348.5"/>
    <x v="552"/>
    <n v="-753376.49500000046"/>
    <n v="0"/>
    <n v="4502411225"/>
    <n v="5083694011"/>
    <n v="5113594425"/>
    <m/>
    <m/>
    <m/>
    <x v="0"/>
    <d v="2022-09-15T00:00:00"/>
    <m/>
    <m/>
    <m/>
    <m/>
    <m/>
    <m/>
    <m/>
    <m/>
    <d v="2022-09-15T00:00:00"/>
    <x v="9"/>
  </r>
  <r>
    <s v="Sociedad Comercializadora Ganadera"/>
    <d v="2022-09-19T00:00:00"/>
    <d v="2022-09-19T00:00:00"/>
    <n v="38"/>
    <s v="FEDV432"/>
    <x v="0"/>
    <n v="34843.5"/>
    <x v="213"/>
    <n v="296169750"/>
    <n v="77"/>
    <n v="4502411225"/>
    <n v="5083694011"/>
    <n v="5113594458"/>
    <m/>
    <s v="TIENE BL"/>
    <m/>
    <x v="0"/>
    <d v="2022-09-15T00:00:00"/>
    <m/>
    <m/>
    <m/>
    <m/>
    <m/>
    <m/>
    <m/>
    <m/>
    <d v="2022-09-15T00:00:00"/>
    <x v="9"/>
  </r>
  <r>
    <s v="Sociedad Comercializadora Ganadera"/>
    <d v="2022-09-19T00:00:00"/>
    <d v="2022-09-19T00:00:00"/>
    <n v="38"/>
    <s v="NC215"/>
    <x v="0"/>
    <n v="34843.5"/>
    <x v="553"/>
    <n v="-149827.04999997464"/>
    <n v="0"/>
    <n v="4502411225"/>
    <n v="5083694011"/>
    <n v="5113594462"/>
    <m/>
    <m/>
    <m/>
    <x v="0"/>
    <d v="2022-09-15T00:00:00"/>
    <m/>
    <m/>
    <m/>
    <m/>
    <m/>
    <m/>
    <m/>
    <m/>
    <d v="2022-09-15T00:00:00"/>
    <x v="9"/>
  </r>
  <r>
    <s v="Agropecuaria Tabaida S.A.S"/>
    <d v="2022-09-15T00:00:00"/>
    <m/>
    <n v="38"/>
    <s v="MT-1556"/>
    <x v="1"/>
    <n v="19992"/>
    <x v="54"/>
    <n v="155937600"/>
    <n v="41"/>
    <n v="4502412650"/>
    <n v="5083694280"/>
    <n v="5113591684"/>
    <s v="TIENE BL"/>
    <s v="TYC 4792500"/>
    <m/>
    <x v="0"/>
    <d v="2022-09-15T00:00:00"/>
    <n v="4902347661"/>
    <n v="4792500"/>
    <s v="ETE-3574"/>
    <n v="5113599199"/>
    <m/>
    <m/>
    <m/>
    <m/>
    <d v="2022-09-15T00:00:00"/>
    <x v="9"/>
  </r>
  <r>
    <s v="Inversiones El Cruce S.A."/>
    <d v="2022-09-15T00:00:00"/>
    <d v="2022-09-21T00:00:00"/>
    <n v="38"/>
    <s v="E-187"/>
    <x v="1"/>
    <n v="14001"/>
    <x v="213"/>
    <n v="119008500"/>
    <n v="28"/>
    <n v="4502411226"/>
    <n v="5083693823"/>
    <n v="5113599364"/>
    <m/>
    <s v="CON RETEN"/>
    <m/>
    <x v="0"/>
    <d v="2022-09-15T00:00:00"/>
    <m/>
    <m/>
    <m/>
    <m/>
    <m/>
    <m/>
    <m/>
    <m/>
    <d v="2022-09-15T00:00:00"/>
    <x v="9"/>
  </r>
  <r>
    <s v="Inversiones El Cruce S.A."/>
    <d v="2022-09-15T00:00:00"/>
    <d v="2022-09-21T00:00:00"/>
    <n v="38"/>
    <s v="NC210"/>
    <x v="1"/>
    <n v="14001"/>
    <x v="13"/>
    <n v="-700050"/>
    <n v="0"/>
    <n v="4502411226"/>
    <n v="5083693823"/>
    <n v="5113599407"/>
    <m/>
    <m/>
    <m/>
    <x v="0"/>
    <d v="2022-09-15T00:00:00"/>
    <m/>
    <m/>
    <m/>
    <m/>
    <m/>
    <m/>
    <m/>
    <m/>
    <d v="2022-09-15T00:00:00"/>
    <x v="9"/>
  </r>
  <r>
    <s v="Surtidora Agropecuaria De Colombia"/>
    <d v="2022-09-16T00:00:00"/>
    <d v="2022-09-19T00:00:00"/>
    <n v="38"/>
    <s v="FESA-54"/>
    <x v="0"/>
    <n v="27048"/>
    <x v="54"/>
    <n v="210974400"/>
    <n v="56"/>
    <n v="4502412653"/>
    <n v="5083694286"/>
    <n v="5113589947"/>
    <m/>
    <s v="EJ*4 1816100*2 1633100*1 1863200*1"/>
    <m/>
    <x v="0"/>
    <d v="2022-09-16T00:00:00"/>
    <n v="4902347663"/>
    <n v="7128500"/>
    <s v="FEMD-5230*2"/>
    <n v="5113587692"/>
    <s v="FEMD-5234*2"/>
    <n v="5113587693"/>
    <m/>
    <m/>
    <d v="2022-09-16T00:00:00"/>
    <x v="9"/>
  </r>
  <r>
    <s v="Agropecuaria los Molinos S.A.S"/>
    <d v="2022-09-13T00:00:00"/>
    <m/>
    <n v="38"/>
    <s v="FEMO-1010000789"/>
    <x v="0"/>
    <m/>
    <x v="551"/>
    <n v="0"/>
    <n v="42"/>
    <n v="4502411300"/>
    <n v="5083660241"/>
    <n v="5113580506"/>
    <s v="TIENE BL"/>
    <s v="EJ*3 1750000*3"/>
    <m/>
    <x v="0"/>
    <d v="2022-09-16T00:00:00"/>
    <n v="4902347665"/>
    <n v="5250000"/>
    <s v="FEMD-5236*3"/>
    <n v="5113587691"/>
    <m/>
    <m/>
    <m/>
    <m/>
    <d v="2022-09-16T00:00:00"/>
    <x v="9"/>
  </r>
  <r>
    <s v="Sociedad Comercializadora Ganadera"/>
    <d v="2022-09-19T00:00:00"/>
    <d v="2022-09-19T00:00:00"/>
    <n v="38"/>
    <s v="FEDV433"/>
    <x v="0"/>
    <n v="13452.5"/>
    <x v="213"/>
    <n v="114346250"/>
    <n v="30"/>
    <n v="4502411228"/>
    <n v="5083716559"/>
    <n v="5113594487"/>
    <m/>
    <s v="TIENE BL"/>
    <m/>
    <x v="0"/>
    <d v="2022-09-16T00:00:00"/>
    <m/>
    <m/>
    <m/>
    <m/>
    <m/>
    <m/>
    <m/>
    <m/>
    <d v="2022-09-16T00:00:00"/>
    <x v="9"/>
  </r>
  <r>
    <s v="Sociedad Comercializadora Ganadera"/>
    <d v="2022-09-19T00:00:00"/>
    <d v="2022-09-19T00:00:00"/>
    <n v="38"/>
    <s v="NC216"/>
    <x v="0"/>
    <n v="13452.5"/>
    <x v="554"/>
    <n v="-78966.175000010771"/>
    <n v="0"/>
    <n v="4502411228"/>
    <n v="5083716559"/>
    <n v="5113594491"/>
    <m/>
    <m/>
    <m/>
    <x v="0"/>
    <d v="2022-09-16T00:00:00"/>
    <m/>
    <m/>
    <m/>
    <m/>
    <m/>
    <m/>
    <m/>
    <m/>
    <d v="2022-09-16T00:00:00"/>
    <x v="9"/>
  </r>
  <r>
    <s v="Sociedad Comercializadora Ganadera"/>
    <d v="2022-09-19T00:00:00"/>
    <d v="2022-09-19T00:00:00"/>
    <n v="38"/>
    <s v="FEDV434"/>
    <x v="0"/>
    <n v="13242"/>
    <x v="213"/>
    <n v="112557000"/>
    <n v="30"/>
    <n v="4502411228"/>
    <n v="5083716559"/>
    <n v="5113594494"/>
    <m/>
    <s v="TIENE BL"/>
    <m/>
    <x v="0"/>
    <d v="2022-09-16T00:00:00"/>
    <m/>
    <m/>
    <m/>
    <m/>
    <m/>
    <m/>
    <m/>
    <m/>
    <d v="2022-09-16T00:00:00"/>
    <x v="9"/>
  </r>
  <r>
    <s v="Sociedad Comercializadora Ganadera"/>
    <d v="2022-09-19T00:00:00"/>
    <d v="2022-09-19T00:00:00"/>
    <n v="38"/>
    <s v="NC217"/>
    <x v="0"/>
    <n v="13242"/>
    <x v="555"/>
    <n v="-2296957.3199999887"/>
    <n v="0"/>
    <n v="4502411228"/>
    <n v="5083716559"/>
    <n v="5113594528"/>
    <m/>
    <m/>
    <m/>
    <x v="0"/>
    <d v="2022-09-16T00:00:00"/>
    <m/>
    <m/>
    <m/>
    <m/>
    <m/>
    <m/>
    <m/>
    <m/>
    <d v="2022-09-16T00:00:00"/>
    <x v="9"/>
  </r>
  <r>
    <s v="Agroindustria Ganadera Valle Del Cesar"/>
    <d v="2022-09-20T00:00:00"/>
    <m/>
    <n v="38"/>
    <s v="FE 51"/>
    <x v="1"/>
    <n v="12697.5"/>
    <x v="117"/>
    <n v="101580000"/>
    <n v="28"/>
    <n v="4502411229"/>
    <n v="5083716560"/>
    <n v="5113591378"/>
    <m/>
    <s v="CON RETEN"/>
    <m/>
    <x v="0"/>
    <d v="2022-09-16T00:00:00"/>
    <m/>
    <m/>
    <m/>
    <m/>
    <m/>
    <m/>
    <m/>
    <m/>
    <d v="2022-09-16T00:00:00"/>
    <x v="9"/>
  </r>
  <r>
    <s v="Agroindustria Ganadera Valle Del Cesar"/>
    <d v="2022-09-20T00:00:00"/>
    <m/>
    <n v="38"/>
    <s v="C00212"/>
    <x v="1"/>
    <n v="12697.5"/>
    <x v="13"/>
    <n v="-634875"/>
    <n v="0"/>
    <n v="4502411229"/>
    <n v="5083716560"/>
    <n v="5113591384"/>
    <m/>
    <m/>
    <m/>
    <x v="0"/>
    <d v="2022-09-16T00:00:00"/>
    <m/>
    <m/>
    <m/>
    <m/>
    <m/>
    <m/>
    <m/>
    <m/>
    <d v="2022-09-16T00:00:00"/>
    <x v="9"/>
  </r>
  <r>
    <s v="David Martinez Jaramillo"/>
    <d v="2022-09-16T00:00:00"/>
    <d v="2022-09-19T00:00:00"/>
    <n v="38"/>
    <s v="DM263"/>
    <x v="1"/>
    <n v="6906"/>
    <x v="213"/>
    <n v="58701000"/>
    <n v="15"/>
    <n v="4502411231"/>
    <n v="5083717216"/>
    <n v="5113591413"/>
    <m/>
    <s v="TIENE BL"/>
    <m/>
    <x v="0"/>
    <d v="2022-09-16T00:00:00"/>
    <m/>
    <m/>
    <m/>
    <m/>
    <m/>
    <m/>
    <m/>
    <m/>
    <d v="2022-09-16T00:00:00"/>
    <x v="9"/>
  </r>
  <r>
    <s v="David Martinez Jaramillo"/>
    <d v="2022-09-19T00:00:00"/>
    <d v="2022-09-19T00:00:00"/>
    <n v="38"/>
    <s v="NC70"/>
    <x v="1"/>
    <n v="6906"/>
    <x v="13"/>
    <n v="-345300"/>
    <n v="0"/>
    <n v="4502411231"/>
    <n v="5083717216"/>
    <n v="5113591414"/>
    <m/>
    <m/>
    <m/>
    <x v="0"/>
    <d v="2022-09-16T00:00:00"/>
    <m/>
    <m/>
    <m/>
    <m/>
    <m/>
    <m/>
    <m/>
    <m/>
    <d v="2022-09-16T00:00:00"/>
    <x v="9"/>
  </r>
  <r>
    <s v="David Martinez Jaramillo"/>
    <d v="2022-09-17T00:00:00"/>
    <d v="2022-09-21T00:00:00"/>
    <n v="38"/>
    <s v="DM265"/>
    <x v="0"/>
    <n v="19453"/>
    <x v="213"/>
    <n v="165350500"/>
    <n v="42"/>
    <n v="4502411232"/>
    <n v="5083727328"/>
    <n v="5113597686"/>
    <m/>
    <s v="TIENE BL"/>
    <m/>
    <x v="0"/>
    <d v="2022-09-17T00:00:00"/>
    <m/>
    <m/>
    <m/>
    <m/>
    <m/>
    <m/>
    <m/>
    <m/>
    <d v="2022-09-17T00:00:00"/>
    <x v="9"/>
  </r>
  <r>
    <s v="David Martinez Jaramillo"/>
    <d v="2022-09-20T00:00:00"/>
    <d v="2022-09-21T00:00:00"/>
    <n v="38"/>
    <s v="NC71"/>
    <x v="0"/>
    <n v="19453"/>
    <x v="13"/>
    <n v="-972650"/>
    <n v="0"/>
    <n v="4502411232"/>
    <n v="5083727328"/>
    <n v="5113597809"/>
    <m/>
    <m/>
    <m/>
    <x v="0"/>
    <d v="2022-09-17T00:00:00"/>
    <m/>
    <m/>
    <m/>
    <m/>
    <m/>
    <m/>
    <m/>
    <m/>
    <d v="2022-09-17T00:00:00"/>
    <x v="9"/>
  </r>
  <r>
    <s v="Agropecuaria Tabaida S.A.S"/>
    <d v="2022-09-16T00:00:00"/>
    <m/>
    <n v="38"/>
    <s v="MT-1560"/>
    <x v="0"/>
    <n v="19966"/>
    <x v="54"/>
    <n v="155734800"/>
    <n v="42"/>
    <n v="4502412658"/>
    <n v="5083726055"/>
    <n v="5113594571"/>
    <s v="TIENE BL"/>
    <s v="EJ*3 1793900*3"/>
    <m/>
    <x v="0"/>
    <d v="2022-09-17T00:00:00"/>
    <n v="4902347666"/>
    <n v="5381700"/>
    <s v="FEMD-5242*3"/>
    <n v="5113589260"/>
    <m/>
    <m/>
    <m/>
    <m/>
    <d v="2022-09-17T00:00:00"/>
    <x v="9"/>
  </r>
  <r>
    <s v="Luis Fernando Rojas Prada"/>
    <d v="2022-09-19T00:00:00"/>
    <d v="2022-09-19T00:00:00"/>
    <n v="38"/>
    <s v="FELC-1025"/>
    <x v="0"/>
    <n v="32999"/>
    <x v="28"/>
    <n v="255742250"/>
    <n v="70"/>
    <n v="4502412659"/>
    <n v="5083726056"/>
    <n v="5113591306"/>
    <m/>
    <s v="EJ*5 3042980*3 2982600*2"/>
    <s v="CON RETEN"/>
    <x v="0"/>
    <d v="2022-09-17T00:00:00"/>
    <n v="4902347668"/>
    <n v="15094140"/>
    <s v="FEMD-5244*4"/>
    <n v="5113589259"/>
    <s v="FEMD-5243*1"/>
    <n v="5113589258"/>
    <m/>
    <m/>
    <d v="2022-09-17T00:00:00"/>
    <x v="9"/>
  </r>
  <r>
    <s v="Sociedad Comercializadora Ganadera"/>
    <d v="2022-09-20T00:00:00"/>
    <d v="2022-09-20T00:00:00"/>
    <n v="38"/>
    <s v="FEDV435"/>
    <x v="0"/>
    <n v="13522.5"/>
    <x v="213"/>
    <n v="114941250"/>
    <n v="32"/>
    <n v="4502411233"/>
    <n v="5083728242"/>
    <n v="5113594807"/>
    <m/>
    <s v="TIENE BL"/>
    <m/>
    <x v="0"/>
    <d v="2022-09-18T00:00:00"/>
    <m/>
    <m/>
    <m/>
    <m/>
    <m/>
    <m/>
    <m/>
    <m/>
    <d v="2022-09-18T00:00:00"/>
    <x v="9"/>
  </r>
  <r>
    <s v="Sociedad Comercializadora Ganadera"/>
    <d v="2022-09-20T00:00:00"/>
    <d v="2022-09-20T00:00:00"/>
    <n v="38"/>
    <s v="NC218"/>
    <x v="0"/>
    <n v="13522.5"/>
    <x v="556"/>
    <n v="-118457.10000000295"/>
    <n v="0"/>
    <n v="4502411233"/>
    <n v="5083728242"/>
    <n v="5113594811"/>
    <m/>
    <m/>
    <m/>
    <x v="0"/>
    <d v="2022-09-18T00:00:00"/>
    <m/>
    <m/>
    <m/>
    <m/>
    <m/>
    <m/>
    <m/>
    <m/>
    <d v="2022-09-18T00:00:00"/>
    <x v="9"/>
  </r>
  <r>
    <s v="Sociedad Comercializadora Ganadera"/>
    <d v="2022-09-20T00:00:00"/>
    <d v="2022-09-20T00:00:00"/>
    <n v="38"/>
    <s v="FEDV436"/>
    <x v="0"/>
    <n v="26535.5"/>
    <x v="213"/>
    <n v="225551750"/>
    <n v="60"/>
    <n v="4502411233"/>
    <n v="5083728242"/>
    <n v="5113594816"/>
    <m/>
    <s v="TIENE BL"/>
    <m/>
    <x v="0"/>
    <d v="2022-09-18T00:00:00"/>
    <m/>
    <m/>
    <m/>
    <m/>
    <m/>
    <m/>
    <m/>
    <m/>
    <d v="2022-09-18T00:00:00"/>
    <x v="9"/>
  </r>
  <r>
    <s v="Sociedad Comercializadora Ganadera"/>
    <d v="2022-09-20T00:00:00"/>
    <d v="2022-09-20T00:00:00"/>
    <n v="38"/>
    <s v="NC219"/>
    <x v="0"/>
    <n v="26535.5"/>
    <x v="557"/>
    <n v="-2768714.070000004"/>
    <n v="0"/>
    <n v="4502411233"/>
    <n v="5083728242"/>
    <n v="5113594849"/>
    <m/>
    <m/>
    <m/>
    <x v="0"/>
    <d v="2022-09-18T00:00:00"/>
    <m/>
    <m/>
    <m/>
    <m/>
    <m/>
    <m/>
    <m/>
    <m/>
    <d v="2022-09-18T00:00:00"/>
    <x v="9"/>
  </r>
  <r>
    <s v="Yoan Andres Carrascal Sanchez"/>
    <d v="2022-09-22T00:00:00"/>
    <m/>
    <n v="38"/>
    <s v="FEYC-7"/>
    <x v="0"/>
    <n v="6353.5"/>
    <x v="117"/>
    <n v="50828000"/>
    <n v="14"/>
    <n v="4502411234"/>
    <n v="5083748183"/>
    <n v="5113602764"/>
    <m/>
    <s v="TIENE BL"/>
    <m/>
    <x v="0"/>
    <d v="2022-09-19T00:00:00"/>
    <m/>
    <m/>
    <m/>
    <m/>
    <m/>
    <m/>
    <m/>
    <m/>
    <d v="2022-09-19T00:00:00"/>
    <x v="9"/>
  </r>
  <r>
    <s v="Yoan Andres Carrascal Sanchez"/>
    <d v="2022-09-22T00:00:00"/>
    <m/>
    <n v="38"/>
    <s v="NC6"/>
    <x v="0"/>
    <n v="6353.5"/>
    <x v="2"/>
    <n v="-635350"/>
    <n v="0"/>
    <n v="4502411234"/>
    <n v="5083748183"/>
    <n v="5113602905"/>
    <m/>
    <m/>
    <m/>
    <x v="0"/>
    <d v="2022-09-19T00:00:00"/>
    <m/>
    <m/>
    <m/>
    <m/>
    <m/>
    <m/>
    <m/>
    <m/>
    <d v="2022-09-19T00:00:00"/>
    <x v="9"/>
  </r>
  <r>
    <s v="Olger Fernando Rojas Angarita"/>
    <d v="2022-09-21T00:00:00"/>
    <m/>
    <n v="38"/>
    <s v="OR-203"/>
    <x v="0"/>
    <n v="6523.5"/>
    <x v="76"/>
    <n v="52840350"/>
    <n v="14"/>
    <n v="4502411235"/>
    <n v="5083748184"/>
    <n v="5113597830"/>
    <m/>
    <s v="TIENE BL"/>
    <m/>
    <x v="0"/>
    <d v="2022-09-19T00:00:00"/>
    <m/>
    <m/>
    <m/>
    <m/>
    <m/>
    <m/>
    <m/>
    <m/>
    <d v="2022-09-19T00:00:00"/>
    <x v="9"/>
  </r>
  <r>
    <s v="Olger Fernando Rojas Angarita"/>
    <d v="2022-09-21T00:00:00"/>
    <m/>
    <n v="38"/>
    <s v="NDE5"/>
    <x v="0"/>
    <n v="6523.5"/>
    <x v="558"/>
    <n v="261657.58499999787"/>
    <n v="0"/>
    <n v="4502411235"/>
    <n v="5083748184"/>
    <n v="5113597836"/>
    <m/>
    <m/>
    <m/>
    <x v="0"/>
    <d v="2022-09-19T00:00:00"/>
    <m/>
    <m/>
    <m/>
    <m/>
    <m/>
    <m/>
    <m/>
    <m/>
    <d v="2022-09-19T00:00:00"/>
    <x v="9"/>
  </r>
  <r>
    <s v="Guamal S EN C"/>
    <d v="2022-09-21T00:00:00"/>
    <d v="2022-10-05T00:00:00"/>
    <n v="38"/>
    <s v="F-142"/>
    <x v="0"/>
    <n v="7000.5"/>
    <x v="117"/>
    <n v="56004000"/>
    <n v="15"/>
    <n v="4502411236"/>
    <n v="5083748185"/>
    <n v="5113599327"/>
    <m/>
    <s v="CON RETEN "/>
    <m/>
    <x v="0"/>
    <d v="2022-09-19T00:00:00"/>
    <m/>
    <m/>
    <m/>
    <m/>
    <m/>
    <m/>
    <m/>
    <m/>
    <d v="2022-09-19T00:00:00"/>
    <x v="9"/>
  </r>
  <r>
    <s v="Multicarnicos S.A"/>
    <d v="2022-09-19T00:00:00"/>
    <d v="2022-09-21T00:00:00"/>
    <n v="38"/>
    <s v="MUL404"/>
    <x v="0"/>
    <n v="12751"/>
    <x v="76"/>
    <n v="103283100"/>
    <n v="28"/>
    <n v="4502411238"/>
    <n v="5083748186"/>
    <n v="5113595167"/>
    <m/>
    <s v="TIENE BL"/>
    <m/>
    <x v="0"/>
    <d v="2022-09-19T00:00:00"/>
    <m/>
    <m/>
    <m/>
    <m/>
    <m/>
    <m/>
    <m/>
    <m/>
    <d v="2022-09-19T00:00:00"/>
    <x v="9"/>
  </r>
  <r>
    <s v="Multicarnicos S.A"/>
    <d v="2022-09-19T00:00:00"/>
    <d v="2022-09-21T00:00:00"/>
    <n v="38"/>
    <s v="NC51"/>
    <x v="0"/>
    <n v="12751"/>
    <x v="13"/>
    <n v="-637550"/>
    <n v="0"/>
    <n v="4502411238"/>
    <n v="5083748186"/>
    <n v="5113595169"/>
    <m/>
    <m/>
    <m/>
    <x v="0"/>
    <d v="2022-09-19T00:00:00"/>
    <m/>
    <m/>
    <m/>
    <m/>
    <m/>
    <m/>
    <m/>
    <m/>
    <d v="2022-09-19T00:00:00"/>
    <x v="9"/>
  </r>
  <r>
    <s v="Lismenia Torcoroma Rincon Hernandez"/>
    <d v="2022-09-19T00:00:00"/>
    <d v="2022-09-21T00:00:00"/>
    <n v="38"/>
    <s v="GANA260"/>
    <x v="0"/>
    <n v="13496.5"/>
    <x v="151"/>
    <n v="109996475"/>
    <n v="30"/>
    <n v="4502411376"/>
    <n v="5083748218"/>
    <n v="5113595039"/>
    <m/>
    <s v="CON RETEN"/>
    <m/>
    <x v="0"/>
    <d v="2022-09-19T00:00:00"/>
    <m/>
    <m/>
    <m/>
    <m/>
    <m/>
    <m/>
    <m/>
    <m/>
    <d v="2022-09-19T00:00:00"/>
    <x v="9"/>
  </r>
  <r>
    <s v="Lismenia Torcoroma Rincon Hernandez"/>
    <d v="2022-09-19T00:00:00"/>
    <d v="2022-09-21T00:00:00"/>
    <n v="38"/>
    <s v="NC000057"/>
    <x v="0"/>
    <n v="13496.5"/>
    <x v="559"/>
    <n v="-1655345.7249999952"/>
    <n v="0"/>
    <n v="4502411376"/>
    <n v="5083748218"/>
    <n v="5113595042"/>
    <m/>
    <s v="CON RETEN"/>
    <m/>
    <x v="0"/>
    <d v="2022-09-19T00:00:00"/>
    <m/>
    <m/>
    <m/>
    <m/>
    <m/>
    <m/>
    <m/>
    <m/>
    <d v="2022-09-19T00:00:00"/>
    <x v="9"/>
  </r>
  <r>
    <s v="Sociedad Comercializadora Ganadera"/>
    <d v="2022-09-21T00:00:00"/>
    <d v="2022-09-21T00:00:00"/>
    <n v="38"/>
    <s v="FEDV437"/>
    <x v="1"/>
    <n v="6806.5"/>
    <x v="213"/>
    <n v="57855250"/>
    <n v="14"/>
    <n v="4502411239"/>
    <n v="5083748187"/>
    <n v="5113611679"/>
    <m/>
    <s v="TIENE BL"/>
    <m/>
    <x v="0"/>
    <d v="2022-09-19T00:00:00"/>
    <m/>
    <m/>
    <m/>
    <m/>
    <m/>
    <m/>
    <m/>
    <m/>
    <d v="2022-09-19T00:00:00"/>
    <x v="9"/>
  </r>
  <r>
    <s v="Sociedad Comercializadora Ganadera"/>
    <d v="2022-09-21T00:00:00"/>
    <d v="2022-09-21T00:00:00"/>
    <n v="38"/>
    <s v="NC220"/>
    <x v="1"/>
    <n v="6806.5"/>
    <x v="11"/>
    <n v="-1020975"/>
    <n v="0"/>
    <n v="4502411239"/>
    <n v="5083748187"/>
    <n v="5113611683"/>
    <m/>
    <m/>
    <m/>
    <x v="0"/>
    <d v="2022-09-19T00:00:00"/>
    <m/>
    <m/>
    <m/>
    <m/>
    <m/>
    <m/>
    <m/>
    <m/>
    <d v="2022-09-19T00:00:00"/>
    <x v="9"/>
  </r>
  <r>
    <s v="Lina Maria Pelaez Gomez"/>
    <d v="2022-09-20T00:00:00"/>
    <d v="2022-09-23T00:00:00"/>
    <n v="38"/>
    <s v="LP115"/>
    <x v="0"/>
    <n v="12627"/>
    <x v="213"/>
    <n v="107329500"/>
    <n v="29"/>
    <n v="4502411240"/>
    <n v="5083770356"/>
    <n v="5113602215"/>
    <m/>
    <s v="TIENE BL"/>
    <m/>
    <x v="0"/>
    <d v="2022-09-20T00:00:00"/>
    <m/>
    <m/>
    <m/>
    <m/>
    <m/>
    <m/>
    <m/>
    <m/>
    <d v="2022-09-20T00:00:00"/>
    <x v="9"/>
  </r>
  <r>
    <s v="Lina Maria Pelaez Gomez"/>
    <d v="2022-09-23T00:00:00"/>
    <d v="2022-09-23T00:00:00"/>
    <n v="38"/>
    <s v="NC86"/>
    <x v="0"/>
    <n v="12627"/>
    <x v="560"/>
    <n v="-707743.34999999078"/>
    <n v="0"/>
    <n v="4502411240"/>
    <n v="5083770356"/>
    <n v="5113602257"/>
    <m/>
    <m/>
    <m/>
    <x v="0"/>
    <d v="2022-09-20T00:00:00"/>
    <m/>
    <m/>
    <m/>
    <m/>
    <m/>
    <m/>
    <m/>
    <m/>
    <d v="2022-09-20T00:00:00"/>
    <x v="9"/>
  </r>
  <r>
    <s v="Inversiones Urbagro S.A.S"/>
    <d v="2022-09-23T00:00:00"/>
    <d v="2022-09-23T00:00:00"/>
    <n v="38"/>
    <s v="FE-24"/>
    <x v="0"/>
    <n v="13706.5"/>
    <x v="76"/>
    <n v="111022650"/>
    <n v="28"/>
    <n v="4502411242"/>
    <n v="5083779785"/>
    <n v="5113607457"/>
    <m/>
    <s v="CON RETEN"/>
    <m/>
    <x v="0"/>
    <d v="2022-09-20T00:00:00"/>
    <m/>
    <m/>
    <m/>
    <m/>
    <m/>
    <m/>
    <m/>
    <m/>
    <d v="2022-09-20T00:00:00"/>
    <x v="9"/>
  </r>
  <r>
    <s v="Inversiones Urbagro S.A.S"/>
    <d v="2022-09-23T00:00:00"/>
    <d v="2022-09-23T00:00:00"/>
    <n v="38"/>
    <s v="NC13"/>
    <x v="0"/>
    <n v="13706.5"/>
    <x v="13"/>
    <n v="-685325"/>
    <n v="0"/>
    <n v="4502411242"/>
    <n v="5083779785"/>
    <n v="5113607462"/>
    <m/>
    <m/>
    <m/>
    <x v="0"/>
    <d v="2022-09-20T00:00:00"/>
    <m/>
    <m/>
    <m/>
    <m/>
    <m/>
    <m/>
    <m/>
    <m/>
    <d v="2022-09-20T00:00:00"/>
    <x v="9"/>
  </r>
  <r>
    <s v="Misionagro S.A.S"/>
    <d v="2022-09-20T00:00:00"/>
    <m/>
    <n v="38"/>
    <s v="MISI-154"/>
    <x v="0"/>
    <n v="22009"/>
    <x v="54"/>
    <n v="171670200"/>
    <n v="42"/>
    <n v="4502412663"/>
    <n v="5083731223"/>
    <n v="5113607806"/>
    <s v="CON RETEN"/>
    <s v="EJ*3 1840900*3"/>
    <m/>
    <x v="0"/>
    <d v="2022-09-20T00:00:00"/>
    <n v="4902347669"/>
    <n v="5522700"/>
    <s v="FEMD-5277*3"/>
    <n v="5113592744"/>
    <m/>
    <m/>
    <m/>
    <m/>
    <d v="2022-09-20T00:00:00"/>
    <x v="9"/>
  </r>
  <r>
    <s v="Agropecuaria los Molinos S.A.S"/>
    <d v="2022-09-13T00:00:00"/>
    <m/>
    <n v="38"/>
    <s v="FEMO-1010000789"/>
    <x v="0"/>
    <m/>
    <x v="551"/>
    <n v="0"/>
    <n v="98"/>
    <n v="4502411300"/>
    <n v="5083660241"/>
    <n v="5113580506"/>
    <s v="TIENE BL"/>
    <s v="EJ*7 1750000*7"/>
    <m/>
    <x v="0"/>
    <d v="2022-09-20T00:00:00"/>
    <n v="4902347671"/>
    <n v="12250000"/>
    <s v="FEMD-5276*1"/>
    <n v="5113611110"/>
    <s v="FEMD-5275*6"/>
    <n v="5113611112"/>
    <m/>
    <m/>
    <d v="2022-09-20T00:00:00"/>
    <x v="9"/>
  </r>
  <r>
    <s v="Robinson Jose Chica Vega"/>
    <d v="2022-09-27T00:00:00"/>
    <d v="2022-09-27T00:00:00"/>
    <n v="39"/>
    <s v="FEC-1370"/>
    <x v="0"/>
    <n v="7581.5"/>
    <x v="76"/>
    <n v="61410150"/>
    <n v="15"/>
    <n v="4502415773"/>
    <n v="5083801232"/>
    <n v="5113611436"/>
    <m/>
    <s v="CON RETEN"/>
    <m/>
    <x v="0"/>
    <d v="2022-09-22T00:00:00"/>
    <m/>
    <m/>
    <m/>
    <m/>
    <m/>
    <m/>
    <m/>
    <m/>
    <d v="2022-09-22T00:00:00"/>
    <x v="9"/>
  </r>
  <r>
    <s v="Agropecuaria Hacienda Manzanares S.A.S ZOMAC"/>
    <d v="2022-09-28T00:00:00"/>
    <d v="2022-09-29T00:00:00"/>
    <n v="39"/>
    <s v="AHM-6"/>
    <x v="0"/>
    <n v="6515.5"/>
    <x v="175"/>
    <n v="53427100"/>
    <n v="14"/>
    <n v="4502415774"/>
    <n v="5083796567"/>
    <n v="5113622000"/>
    <m/>
    <s v="CON RETEN"/>
    <m/>
    <x v="0"/>
    <d v="2022-09-22T00:00:00"/>
    <m/>
    <m/>
    <m/>
    <m/>
    <m/>
    <m/>
    <m/>
    <m/>
    <d v="2022-09-22T00:00:00"/>
    <x v="9"/>
  </r>
  <r>
    <s v="Agropecuaria Hacienda Manzanares S.A.S ZOMAC"/>
    <d v="2022-09-29T00:00:00"/>
    <d v="2022-09-29T00:00:00"/>
    <n v="39"/>
    <s v="AMNC3"/>
    <x v="0"/>
    <n v="6515.5"/>
    <x v="13"/>
    <n v="-325775"/>
    <n v="0"/>
    <n v="4502415774"/>
    <n v="5083796567"/>
    <n v="5113622004"/>
    <m/>
    <m/>
    <m/>
    <x v="0"/>
    <d v="2022-09-22T00:00:00"/>
    <m/>
    <m/>
    <m/>
    <m/>
    <m/>
    <m/>
    <m/>
    <m/>
    <d v="2022-09-22T00:00:00"/>
    <x v="9"/>
  </r>
  <r>
    <s v="Juan Pablo Sierra Cardona"/>
    <d v="2022-09-22T00:00:00"/>
    <d v="2022-09-28T00:00:00"/>
    <n v="39"/>
    <s v="JPS-1401"/>
    <x v="0"/>
    <n v="6462.5"/>
    <x v="224"/>
    <n v="55254375"/>
    <n v="15"/>
    <n v="4502415775"/>
    <n v="5083801233"/>
    <n v="5113616222"/>
    <m/>
    <s v="TIENE BL"/>
    <m/>
    <x v="0"/>
    <d v="2022-09-22T00:00:00"/>
    <m/>
    <m/>
    <m/>
    <m/>
    <m/>
    <m/>
    <m/>
    <m/>
    <d v="2022-09-22T00:00:00"/>
    <x v="9"/>
  </r>
  <r>
    <s v="Juan Pablo Sierra Cardona"/>
    <d v="2022-09-22T00:00:00"/>
    <d v="2022-09-28T00:00:00"/>
    <n v="39"/>
    <s v="NC100"/>
    <x v="0"/>
    <n v="6462.5"/>
    <x v="561"/>
    <n v="-1047377.3749999981"/>
    <n v="0"/>
    <n v="4502415775"/>
    <n v="5083801233"/>
    <n v="5113616226"/>
    <m/>
    <m/>
    <m/>
    <x v="0"/>
    <d v="2022-09-22T00:00:00"/>
    <m/>
    <m/>
    <m/>
    <m/>
    <m/>
    <m/>
    <m/>
    <m/>
    <d v="2022-09-22T00:00:00"/>
    <x v="9"/>
  </r>
  <r>
    <s v="Maria Victoria Yepes Garcia"/>
    <d v="2022-09-22T00:00:00"/>
    <d v="2022-09-27T00:00:00"/>
    <n v="39"/>
    <s v="MVYG-36"/>
    <x v="0"/>
    <n v="12832"/>
    <x v="76"/>
    <n v="103939200"/>
    <n v="28"/>
    <n v="4502415776"/>
    <n v="5083796728"/>
    <n v="5113614041"/>
    <m/>
    <s v="TIENE BL"/>
    <m/>
    <x v="0"/>
    <d v="2022-09-22T00:00:00"/>
    <m/>
    <m/>
    <m/>
    <m/>
    <m/>
    <m/>
    <m/>
    <m/>
    <d v="2022-09-22T00:00:00"/>
    <x v="9"/>
  </r>
  <r>
    <s v="Sociedad Comercializadora Ganadera"/>
    <d v="2022-09-29T00:00:00"/>
    <d v="2022-09-29T00:00:00"/>
    <n v="39"/>
    <s v="FEDV439"/>
    <x v="0"/>
    <n v="45386"/>
    <x v="224"/>
    <n v="388050300"/>
    <n v="107"/>
    <n v="4502415777"/>
    <n v="5083801234"/>
    <n v="5113625067"/>
    <m/>
    <s v="TIENE BL"/>
    <m/>
    <x v="0"/>
    <d v="2022-09-22T00:00:00"/>
    <m/>
    <m/>
    <m/>
    <m/>
    <m/>
    <m/>
    <m/>
    <m/>
    <d v="2022-09-22T00:00:00"/>
    <x v="9"/>
  </r>
  <r>
    <s v="Sociedad Comercializadora Ganadera"/>
    <d v="2022-09-29T00:00:00"/>
    <d v="2022-09-29T00:00:00"/>
    <n v="39"/>
    <s v="NC221"/>
    <x v="0"/>
    <n v="45386"/>
    <x v="562"/>
    <n v="-884573.13999999012"/>
    <n v="0"/>
    <n v="4502415777"/>
    <n v="5083801234"/>
    <n v="5113625071"/>
    <m/>
    <m/>
    <m/>
    <x v="0"/>
    <d v="2022-09-22T00:00:00"/>
    <m/>
    <m/>
    <m/>
    <m/>
    <m/>
    <m/>
    <m/>
    <m/>
    <d v="2022-09-22T00:00:00"/>
    <x v="9"/>
  </r>
  <r>
    <s v="Agropecuaria los Molinos S.A.S"/>
    <d v="2022-09-13T00:00:00"/>
    <m/>
    <n v="39"/>
    <s v="FEMO-1010000789"/>
    <x v="0"/>
    <m/>
    <x v="551"/>
    <n v="0"/>
    <n v="70"/>
    <n v="4502411300"/>
    <n v="5083660241"/>
    <n v="5113580506"/>
    <s v="TIENE BL"/>
    <s v="EJ*5 1750000*5"/>
    <m/>
    <x v="0"/>
    <d v="2022-09-22T00:00:00"/>
    <n v="4902351852"/>
    <n v="8750000"/>
    <s v="FEMD-5300*5"/>
    <n v="5113610694"/>
    <m/>
    <m/>
    <m/>
    <m/>
    <d v="2022-09-22T00:00:00"/>
    <x v="9"/>
  </r>
  <r>
    <s v="Margie Rodriguez Rodriguez"/>
    <d v="2022-09-27T00:00:00"/>
    <m/>
    <n v="39"/>
    <s v="FE-69"/>
    <x v="0"/>
    <n v="13615"/>
    <x v="76"/>
    <n v="110281500"/>
    <n v="30"/>
    <n v="4502415778"/>
    <n v="5083796729"/>
    <n v="5113612588"/>
    <m/>
    <s v="CON RETEN"/>
    <m/>
    <x v="0"/>
    <d v="2022-09-22T00:00:00"/>
    <m/>
    <m/>
    <m/>
    <m/>
    <m/>
    <m/>
    <m/>
    <m/>
    <d v="2022-09-22T00:00:00"/>
    <x v="9"/>
  </r>
  <r>
    <s v="Margie Rodriguez Rodriguez"/>
    <d v="2022-09-27T00:00:00"/>
    <m/>
    <n v="39"/>
    <s v="NC232"/>
    <x v="0"/>
    <n v="13615"/>
    <x v="563"/>
    <n v="-1422903.6500000029"/>
    <n v="0"/>
    <n v="4502415778"/>
    <n v="5083796729"/>
    <n v="5113612591"/>
    <m/>
    <m/>
    <m/>
    <x v="0"/>
    <d v="2022-09-22T00:00:00"/>
    <m/>
    <m/>
    <m/>
    <m/>
    <m/>
    <m/>
    <m/>
    <m/>
    <d v="2022-09-22T00:00:00"/>
    <x v="9"/>
  </r>
  <r>
    <s v="David Martinez Jaramillo"/>
    <d v="2022-09-24T00:00:00"/>
    <d v="2022-09-28T00:00:00"/>
    <n v="39"/>
    <s v="DM268"/>
    <x v="0"/>
    <n v="6744.5"/>
    <x v="224"/>
    <n v="57665475"/>
    <n v="16"/>
    <n v="4502421098"/>
    <n v="5083821328"/>
    <n v="5113622043"/>
    <m/>
    <s v="TIENE BL"/>
    <m/>
    <x v="0"/>
    <d v="2022-09-23T00:00:00"/>
    <m/>
    <m/>
    <m/>
    <m/>
    <m/>
    <m/>
    <m/>
    <m/>
    <d v="2022-09-23T00:00:00"/>
    <x v="9"/>
  </r>
  <r>
    <s v="David Martinez Jaramillo"/>
    <d v="2022-09-24T00:00:00"/>
    <d v="2022-09-28T00:00:00"/>
    <n v="39"/>
    <s v="DM268"/>
    <x v="2"/>
    <n v="13817"/>
    <x v="224"/>
    <n v="118135350"/>
    <n v="31"/>
    <n v="4502416272"/>
    <n v="5083821328"/>
    <n v="5113622043"/>
    <m/>
    <s v="TIENE BL"/>
    <m/>
    <x v="0"/>
    <d v="2022-09-23T00:00:00"/>
    <m/>
    <m/>
    <m/>
    <m/>
    <m/>
    <m/>
    <m/>
    <m/>
    <d v="2022-09-23T00:00:00"/>
    <x v="9"/>
  </r>
  <r>
    <s v="David Martinez Jaramillo"/>
    <d v="2022-09-27T00:00:00"/>
    <d v="2022-09-28T00:00:00"/>
    <n v="39"/>
    <s v="NC73"/>
    <x v="2"/>
    <n v="20561.5"/>
    <x v="564"/>
    <n v="-2210978.0950000132"/>
    <n v="0"/>
    <n v="4502416272"/>
    <n v="5083821328"/>
    <n v="5113622260"/>
    <m/>
    <m/>
    <m/>
    <x v="0"/>
    <d v="2022-09-23T00:00:00"/>
    <m/>
    <m/>
    <m/>
    <m/>
    <m/>
    <m/>
    <m/>
    <m/>
    <d v="2022-09-23T00:00:00"/>
    <x v="9"/>
  </r>
  <r>
    <s v="Agropecuaria Tabaida S.A.S"/>
    <d v="2022-09-23T00:00:00"/>
    <m/>
    <n v="39"/>
    <s v="MT-1564"/>
    <x v="1"/>
    <n v="19854"/>
    <x v="113"/>
    <n v="156846600"/>
    <n v="42"/>
    <n v="4502417893"/>
    <n v="5083821193"/>
    <n v="5113616217"/>
    <s v="TIENE BL"/>
    <s v="EJ*3 1793900*3"/>
    <s v="TIENE BL"/>
    <x v="0"/>
    <d v="2022-09-23T00:00:00"/>
    <n v="4902352521"/>
    <n v="5381700"/>
    <s v="FEMD-5302*3"/>
    <n v="5113610616"/>
    <m/>
    <m/>
    <m/>
    <m/>
    <d v="2022-09-23T00:00:00"/>
    <x v="9"/>
  </r>
  <r>
    <s v="Agroindustria Ganadera Valle Del Cesar"/>
    <d v="2022-09-29T00:00:00"/>
    <m/>
    <n v="39"/>
    <s v="FE-52"/>
    <x v="2"/>
    <n v="6524"/>
    <x v="76"/>
    <n v="52844400"/>
    <n v="14"/>
    <n v="4502415781"/>
    <n v="5083821064"/>
    <n v="5113620897"/>
    <m/>
    <s v="CON RETEN"/>
    <m/>
    <x v="0"/>
    <d v="2022-09-23T00:00:00"/>
    <m/>
    <m/>
    <m/>
    <m/>
    <m/>
    <m/>
    <m/>
    <m/>
    <d v="2022-09-23T00:00:00"/>
    <x v="9"/>
  </r>
  <r>
    <s v="Agroindustria Ganadera Valle Del Cesar"/>
    <d v="2022-09-29T00:00:00"/>
    <m/>
    <n v="39"/>
    <s v="C00213"/>
    <x v="2"/>
    <n v="6524"/>
    <x v="13"/>
    <n v="-326200"/>
    <n v="0"/>
    <n v="4502415781"/>
    <n v="5083821064"/>
    <n v="5113620898"/>
    <m/>
    <m/>
    <m/>
    <x v="0"/>
    <d v="2022-09-23T00:00:00"/>
    <m/>
    <m/>
    <m/>
    <m/>
    <m/>
    <m/>
    <m/>
    <m/>
    <d v="2022-09-23T00:00:00"/>
    <x v="9"/>
  </r>
  <r>
    <s v="Lismenia Torcoroma Rincon Hernandez"/>
    <d v="2022-09-23T00:00:00"/>
    <d v="2022-09-28T00:00:00"/>
    <n v="39"/>
    <s v="GANA267"/>
    <x v="2"/>
    <n v="6872.5"/>
    <x v="151"/>
    <n v="56010875"/>
    <n v="15"/>
    <n v="4502415782"/>
    <n v="5083821065"/>
    <n v="5113616153"/>
    <m/>
    <s v="CON RETEN"/>
    <m/>
    <x v="0"/>
    <d v="2022-09-23T00:00:00"/>
    <m/>
    <m/>
    <m/>
    <m/>
    <m/>
    <m/>
    <m/>
    <m/>
    <d v="2022-09-23T00:00:00"/>
    <x v="9"/>
  </r>
  <r>
    <s v="Lismenia Torcoroma Rincon Hernandez"/>
    <d v="2022-09-23T00:00:00"/>
    <d v="2022-09-28T00:00:00"/>
    <n v="39"/>
    <s v="NC000058"/>
    <x v="2"/>
    <n v="6872.5"/>
    <x v="565"/>
    <n v="-446300.14999999723"/>
    <n v="0"/>
    <n v="4502415782"/>
    <n v="5083821065"/>
    <n v="5113616155"/>
    <m/>
    <m/>
    <m/>
    <x v="0"/>
    <d v="2022-09-23T00:00:00"/>
    <m/>
    <m/>
    <m/>
    <m/>
    <m/>
    <m/>
    <m/>
    <m/>
    <d v="2022-09-23T00:00:00"/>
    <x v="9"/>
  </r>
  <r>
    <s v="Carlos Mario Duque Cadavid"/>
    <d v="2022-09-23T00:00:00"/>
    <m/>
    <n v="39"/>
    <s v="CD-130"/>
    <x v="2"/>
    <n v="27298"/>
    <x v="76"/>
    <n v="221113800"/>
    <n v="56"/>
    <n v="4502419928"/>
    <n v="5083866592"/>
    <n v="5113622734"/>
    <m/>
    <s v="CON RETEN"/>
    <m/>
    <x v="1"/>
    <d v="2022-09-23T00:00:00"/>
    <m/>
    <m/>
    <m/>
    <m/>
    <m/>
    <m/>
    <m/>
    <m/>
    <d v="2022-09-23T00:00:00"/>
    <x v="9"/>
  </r>
  <r>
    <s v="Inversiones Valle Del Canalete S.A.S"/>
    <d v="2022-09-23T00:00:00"/>
    <d v="2022-09-29T00:00:00"/>
    <n v="39"/>
    <s v="IVC-139"/>
    <x v="2"/>
    <n v="25236"/>
    <x v="76"/>
    <n v="204411600"/>
    <n v="56"/>
    <n v="4502419933"/>
    <n v="5083866731"/>
    <n v="5113622120"/>
    <m/>
    <s v="CON RETEN"/>
    <m/>
    <x v="1"/>
    <d v="2022-09-23T00:00:00"/>
    <m/>
    <m/>
    <m/>
    <m/>
    <m/>
    <m/>
    <m/>
    <m/>
    <d v="2022-09-23T00:00:00"/>
    <x v="9"/>
  </r>
  <r>
    <s v="Manuel Antonio Anniccharico Vuelva"/>
    <d v="2022-09-28T00:00:00"/>
    <m/>
    <n v="39"/>
    <s v="FMA-31"/>
    <x v="2"/>
    <n v="13660"/>
    <x v="145"/>
    <n v="109963000"/>
    <n v="28"/>
    <n v="4502419934"/>
    <n v="5083866756"/>
    <n v="5113617390"/>
    <m/>
    <s v="CON RETEN"/>
    <m/>
    <x v="1"/>
    <d v="2022-09-23T00:00:00"/>
    <m/>
    <m/>
    <m/>
    <m/>
    <m/>
    <m/>
    <m/>
    <m/>
    <d v="2022-09-23T00:00:00"/>
    <x v="9"/>
  </r>
  <r>
    <s v="David Martinez Jaramillo"/>
    <d v="2022-09-25T00:00:00"/>
    <d v="2022-09-28T00:00:00"/>
    <n v="39"/>
    <s v="DM269"/>
    <x v="1"/>
    <n v="12873.5"/>
    <x v="224"/>
    <n v="110068425"/>
    <n v="29"/>
    <n v="4502417819"/>
    <n v="5083821047"/>
    <n v="5113616823"/>
    <m/>
    <s v="TIENE BL"/>
    <m/>
    <x v="0"/>
    <d v="2022-09-24T00:00:00"/>
    <m/>
    <m/>
    <m/>
    <m/>
    <m/>
    <m/>
    <m/>
    <m/>
    <d v="2022-09-24T00:00:00"/>
    <x v="9"/>
  </r>
  <r>
    <s v="David Martinez Jaramillo"/>
    <d v="2022-09-25T00:00:00"/>
    <d v="2022-09-28T00:00:00"/>
    <n v="39"/>
    <s v="DM269"/>
    <x v="0"/>
    <n v="12136"/>
    <x v="224"/>
    <n v="103762800"/>
    <n v="28"/>
    <n v="4502417809"/>
    <n v="5083821047"/>
    <n v="5113616823"/>
    <m/>
    <s v="TIENE BL"/>
    <m/>
    <x v="0"/>
    <d v="2022-09-24T00:00:00"/>
    <m/>
    <m/>
    <m/>
    <m/>
    <m/>
    <m/>
    <m/>
    <m/>
    <d v="2022-09-24T00:00:00"/>
    <x v="9"/>
  </r>
  <r>
    <s v="David Martinez Jaramillo"/>
    <d v="2022-09-28T00:00:00"/>
    <d v="2022-09-28T00:00:00"/>
    <n v="39"/>
    <s v="ND5"/>
    <x v="0"/>
    <n v="25009.5"/>
    <x v="566"/>
    <n v="1212960.75"/>
    <n v="0"/>
    <n v="4502417809"/>
    <n v="5083821066"/>
    <n v="5113616882"/>
    <m/>
    <m/>
    <m/>
    <x v="0"/>
    <d v="2022-09-24T00:00:00"/>
    <m/>
    <m/>
    <m/>
    <m/>
    <m/>
    <m/>
    <m/>
    <m/>
    <d v="2022-09-24T00:00:00"/>
    <x v="9"/>
  </r>
  <r>
    <s v="Luis Fernando Rojas Prada"/>
    <d v="2022-09-28T00:00:00"/>
    <d v="2022-09-28T00:00:00"/>
    <n v="39"/>
    <s v="FELC-1036"/>
    <x v="0"/>
    <n v="34649"/>
    <x v="54"/>
    <n v="270262200"/>
    <n v="70"/>
    <n v="4502417894"/>
    <n v="5083821194"/>
    <n v="5113616151"/>
    <m/>
    <s v="EJ*5 3042980*5"/>
    <s v="CON RETEN"/>
    <x v="0"/>
    <d v="2022-09-24T00:00:00"/>
    <n v="4902352523"/>
    <n v="15214900"/>
    <s v="FEMD-5309*5"/>
    <n v="5113610446"/>
    <m/>
    <m/>
    <m/>
    <m/>
    <d v="2022-09-24T00:00:00"/>
    <x v="9"/>
  </r>
  <r>
    <s v="Sociedad Comercializadora Ganadera"/>
    <d v="2022-09-29T00:00:00"/>
    <d v="2022-09-29T00:00:00"/>
    <n v="39"/>
    <s v="FEDV440"/>
    <x v="0"/>
    <n v="13507"/>
    <x v="224"/>
    <n v="115484850"/>
    <n v="29"/>
    <n v="4502415783"/>
    <n v="5083821045"/>
    <n v="5113625099"/>
    <m/>
    <s v="TIENE BL"/>
    <m/>
    <x v="0"/>
    <d v="2022-09-24T00:00:00"/>
    <m/>
    <m/>
    <m/>
    <m/>
    <m/>
    <m/>
    <m/>
    <m/>
    <d v="2022-09-24T00:00:00"/>
    <x v="9"/>
  </r>
  <r>
    <s v="Sociedad Comercializadora Ganadera"/>
    <d v="2022-09-29T00:00:00"/>
    <d v="2022-09-29T00:00:00"/>
    <n v="39"/>
    <s v="NC222"/>
    <x v="0"/>
    <n v="13507"/>
    <x v="567"/>
    <n v="-2480155.340000011"/>
    <n v="0"/>
    <n v="4502415783"/>
    <n v="5083821045"/>
    <n v="5113625104"/>
    <m/>
    <m/>
    <m/>
    <x v="0"/>
    <d v="2022-09-24T00:00:00"/>
    <m/>
    <m/>
    <m/>
    <m/>
    <m/>
    <m/>
    <m/>
    <m/>
    <d v="2022-09-24T00:00:00"/>
    <x v="9"/>
  </r>
  <r>
    <s v="Sociedad Comercializadora Ganadera"/>
    <d v="2022-09-29T00:00:00"/>
    <d v="2022-09-29T00:00:00"/>
    <n v="39"/>
    <s v="FEDV442"/>
    <x v="0"/>
    <n v="14678.5"/>
    <x v="224"/>
    <n v="125501175"/>
    <n v="30"/>
    <n v="4502415783"/>
    <n v="5083821045"/>
    <n v="5113625259"/>
    <m/>
    <s v="TIENE BL"/>
    <m/>
    <x v="0"/>
    <d v="2022-09-24T00:00:00"/>
    <m/>
    <m/>
    <m/>
    <m/>
    <m/>
    <m/>
    <m/>
    <m/>
    <d v="2022-09-24T00:00:00"/>
    <x v="9"/>
  </r>
  <r>
    <s v="Sociedad Comercializadora Ganadera"/>
    <d v="2022-09-29T00:00:00"/>
    <d v="2022-09-29T00:00:00"/>
    <n v="39"/>
    <s v="FEDV443"/>
    <x v="0"/>
    <n v="22617"/>
    <x v="224"/>
    <n v="193375350"/>
    <n v="44"/>
    <n v="4502415783"/>
    <n v="5083821045"/>
    <n v="5113625264"/>
    <m/>
    <s v="TIENE BL"/>
    <m/>
    <x v="0"/>
    <d v="2022-09-24T00:00:00"/>
    <m/>
    <m/>
    <m/>
    <m/>
    <m/>
    <m/>
    <m/>
    <m/>
    <d v="2022-09-24T00:00:00"/>
    <x v="9"/>
  </r>
  <r>
    <s v="Sociedad Comercializadora Ganadera"/>
    <d v="2022-09-29T00:00:00"/>
    <d v="2022-09-29T00:00:00"/>
    <n v="39"/>
    <s v="NC225"/>
    <x v="0"/>
    <n v="22617"/>
    <x v="568"/>
    <n v="-1988938.9800000116"/>
    <n v="0"/>
    <n v="4502415783"/>
    <n v="5083821045"/>
    <n v="5113625266"/>
    <m/>
    <m/>
    <m/>
    <x v="0"/>
    <d v="2022-09-24T00:00:00"/>
    <m/>
    <m/>
    <m/>
    <m/>
    <m/>
    <m/>
    <m/>
    <m/>
    <d v="2022-09-24T00:00:00"/>
    <x v="9"/>
  </r>
  <r>
    <s v="Agropecuaria los Molinos S.A.S"/>
    <d v="2022-09-13T00:00:00"/>
    <m/>
    <n v="39"/>
    <s v="FEMO-1010000789"/>
    <x v="1"/>
    <m/>
    <x v="551"/>
    <n v="0"/>
    <n v="42"/>
    <n v="4502411300"/>
    <n v="5083660241"/>
    <n v="5113580506"/>
    <s v="TIENE BL"/>
    <s v="EJ*3 1850000*3"/>
    <m/>
    <x v="0"/>
    <d v="2022-09-24T00:00:00"/>
    <n v="4902352524"/>
    <n v="5550000"/>
    <s v="FEMD-5307*3"/>
    <n v="5113620881"/>
    <m/>
    <m/>
    <m/>
    <m/>
    <d v="2022-09-24T00:00:00"/>
    <x v="9"/>
  </r>
  <r>
    <s v="Adrian Alberto Alvarez Henao"/>
    <d v="2022-09-28T00:00:00"/>
    <m/>
    <n v="39"/>
    <s v="AAAH-68"/>
    <x v="0"/>
    <n v="12106"/>
    <x v="224"/>
    <n v="103506300"/>
    <n v="30"/>
    <n v="4502415784"/>
    <n v="5083834479"/>
    <n v="5113622559"/>
    <m/>
    <s v="TIENE BL"/>
    <m/>
    <x v="0"/>
    <d v="2022-09-25T00:00:00"/>
    <m/>
    <m/>
    <m/>
    <m/>
    <m/>
    <m/>
    <m/>
    <m/>
    <d v="2022-09-25T00:00:00"/>
    <x v="9"/>
  </r>
  <r>
    <s v="Adrian Alberto Alvarez Henao"/>
    <d v="2022-09-28T00:00:00"/>
    <m/>
    <n v="39"/>
    <s v="AD34"/>
    <x v="0"/>
    <n v="12106"/>
    <x v="569"/>
    <n v="-2494925.5400000019"/>
    <n v="0"/>
    <n v="4502415784"/>
    <n v="5083834479"/>
    <n v="5113622651"/>
    <m/>
    <m/>
    <m/>
    <x v="0"/>
    <d v="2022-09-25T00:00:00"/>
    <m/>
    <m/>
    <m/>
    <m/>
    <m/>
    <m/>
    <m/>
    <m/>
    <d v="2022-09-25T00:00:00"/>
    <x v="9"/>
  </r>
  <r>
    <s v="Sociedad Comercializadora Ganadera"/>
    <d v="2022-09-29T00:00:00"/>
    <d v="2022-09-29T00:00:00"/>
    <n v="39"/>
    <s v="FEDV444"/>
    <x v="0"/>
    <n v="20323.5"/>
    <x v="224"/>
    <n v="173765925"/>
    <n v="45"/>
    <n v="4502415785"/>
    <n v="5083833764"/>
    <n v="5113625844"/>
    <m/>
    <s v="TIENE BL"/>
    <m/>
    <x v="0"/>
    <d v="2022-09-25T00:00:00"/>
    <m/>
    <m/>
    <m/>
    <m/>
    <m/>
    <m/>
    <m/>
    <m/>
    <d v="2022-09-25T00:00:00"/>
    <x v="9"/>
  </r>
  <r>
    <s v="Sociedad Comercializadora Ganadera"/>
    <d v="2022-09-30T00:00:00"/>
    <d v="2022-09-30T00:00:00"/>
    <n v="39"/>
    <s v="NC226"/>
    <x v="0"/>
    <n v="20323.5"/>
    <x v="570"/>
    <n v="-2646729.4049999909"/>
    <n v="0"/>
    <n v="4502415785"/>
    <n v="5083833764"/>
    <n v="5113625858"/>
    <m/>
    <m/>
    <m/>
    <x v="0"/>
    <d v="2022-09-25T00:00:00"/>
    <m/>
    <m/>
    <m/>
    <m/>
    <m/>
    <m/>
    <m/>
    <m/>
    <d v="2022-09-25T00:00:00"/>
    <x v="9"/>
  </r>
  <r>
    <s v="Sociedad Comercializadora Ganadera"/>
    <d v="2022-09-29T00:00:00"/>
    <d v="2022-09-29T00:00:00"/>
    <n v="39"/>
    <s v="FEDV445"/>
    <x v="0"/>
    <n v="7654.5"/>
    <x v="224"/>
    <n v="65445975"/>
    <n v="14"/>
    <n v="4502415785"/>
    <n v="5083833764"/>
    <n v="5113625339"/>
    <m/>
    <s v="TIENE BL"/>
    <m/>
    <x v="0"/>
    <d v="2022-09-25T00:00:00"/>
    <m/>
    <m/>
    <m/>
    <m/>
    <m/>
    <m/>
    <m/>
    <m/>
    <d v="2022-09-25T00:00:00"/>
    <x v="9"/>
  </r>
  <r>
    <s v="Carnes La Italiana L S S A S"/>
    <d v="2022-09-30T00:00:00"/>
    <m/>
    <n v="39"/>
    <s v="FVE-4071"/>
    <x v="2"/>
    <n v="6910"/>
    <x v="76"/>
    <n v="55971000"/>
    <n v="14"/>
    <n v="4502415788"/>
    <n v="5083833765"/>
    <n v="5113632430"/>
    <m/>
    <s v="TIENE BL"/>
    <m/>
    <x v="0"/>
    <d v="2022-09-25T00:00:00"/>
    <m/>
    <m/>
    <m/>
    <m/>
    <m/>
    <m/>
    <m/>
    <m/>
    <d v="2022-09-25T00:00:00"/>
    <x v="9"/>
  </r>
  <r>
    <s v="31416 S.A.S"/>
    <d v="2022-09-25T00:00:00"/>
    <d v="2022-09-29T00:00:00"/>
    <n v="39"/>
    <s v="PI181"/>
    <x v="2"/>
    <n v="15708"/>
    <x v="76"/>
    <n v="127234800"/>
    <n v="30"/>
    <n v="4502420655"/>
    <n v="5083878712"/>
    <n v="5113624626"/>
    <m/>
    <s v="CON RETEN"/>
    <m/>
    <x v="1"/>
    <d v="2022-09-25T00:00:00"/>
    <m/>
    <m/>
    <m/>
    <m/>
    <m/>
    <m/>
    <m/>
    <m/>
    <d v="2022-09-25T00:00:00"/>
    <x v="9"/>
  </r>
  <r>
    <s v="Mauricio De Jesús Bernal Jaramillo"/>
    <d v="2022-09-29T00:00:00"/>
    <d v="2022-09-29T00:00:00"/>
    <n v="39"/>
    <s v="FE-203"/>
    <x v="2"/>
    <n v="19429"/>
    <x v="571"/>
    <n v="156324956.84"/>
    <n v="45"/>
    <n v="4502420658"/>
    <n v="5083878714"/>
    <n v="5113622173"/>
    <m/>
    <s v="CON RETEN"/>
    <m/>
    <x v="1"/>
    <d v="2022-09-25T00:00:00"/>
    <m/>
    <m/>
    <m/>
    <m/>
    <m/>
    <m/>
    <m/>
    <m/>
    <d v="2022-09-25T00:00:00"/>
    <x v="9"/>
  </r>
  <r>
    <s v="Subasta Ganadera Subagan - SOGA S.A."/>
    <d v="2022-09-29T00:00:00"/>
    <m/>
    <n v="39"/>
    <s v="MIC-704"/>
    <x v="2"/>
    <n v="13614"/>
    <x v="145"/>
    <n v="109592700"/>
    <n v="30"/>
    <n v="4502420661"/>
    <n v="5083878717"/>
    <n v="5113630867"/>
    <m/>
    <s v="TIENE BL"/>
    <m/>
    <x v="1"/>
    <d v="2022-09-25T00:00:00"/>
    <m/>
    <m/>
    <m/>
    <m/>
    <m/>
    <m/>
    <m/>
    <m/>
    <d v="2022-09-25T00:00:00"/>
    <x v="9"/>
  </r>
  <r>
    <s v="Gloria Helena Gutierrez Gomez"/>
    <d v="2022-09-25T00:00:00"/>
    <m/>
    <n v="39"/>
    <s v="FE-156"/>
    <x v="2"/>
    <n v="6047"/>
    <x v="151"/>
    <n v="49283050"/>
    <n v="14"/>
    <n v="4502420670"/>
    <n v="5083878849"/>
    <n v="5113622175"/>
    <m/>
    <s v="CON RETEN"/>
    <m/>
    <x v="1"/>
    <d v="2022-09-25T00:00:00"/>
    <m/>
    <m/>
    <m/>
    <m/>
    <m/>
    <m/>
    <m/>
    <m/>
    <d v="2022-09-25T00:00:00"/>
    <x v="9"/>
  </r>
  <r>
    <s v="2H Agropecuaria S.A.S."/>
    <d v="2022-09-26T00:00:00"/>
    <d v="2022-09-29T00:00:00"/>
    <n v="39"/>
    <s v="FE2H44"/>
    <x v="2"/>
    <n v="11938"/>
    <x v="572"/>
    <n v="96504046.260000005"/>
    <n v="28"/>
    <n v="4502420675"/>
    <n v="5083878851"/>
    <n v="5113620641"/>
    <m/>
    <s v="CON RETEN"/>
    <m/>
    <x v="1"/>
    <d v="2022-09-25T00:00:00"/>
    <m/>
    <m/>
    <m/>
    <m/>
    <m/>
    <m/>
    <m/>
    <m/>
    <d v="2022-09-25T00:00:00"/>
    <x v="9"/>
  </r>
  <r>
    <s v="Inversiones y Negocios V&amp;V S.A.S"/>
    <d v="2022-09-28T00:00:00"/>
    <d v="2022-09-28T00:00:00"/>
    <n v="39"/>
    <s v="FE-1721"/>
    <x v="0"/>
    <n v="12964.5"/>
    <x v="224"/>
    <n v="110846475"/>
    <n v="28"/>
    <n v="4502415789"/>
    <n v="5083857913"/>
    <n v="5113636048"/>
    <m/>
    <s v="CON RETEN"/>
    <m/>
    <x v="0"/>
    <d v="2022-09-26T00:00:00"/>
    <m/>
    <m/>
    <m/>
    <m/>
    <m/>
    <m/>
    <m/>
    <m/>
    <d v="2022-09-26T00:00:00"/>
    <x v="9"/>
  </r>
  <r>
    <s v="Inversiones y Negocios V&amp;V S.A.S"/>
    <d v="2022-09-28T00:00:00"/>
    <d v="2022-09-28T00:00:00"/>
    <n v="39"/>
    <s v="NC13056"/>
    <x v="0"/>
    <n v="12964.5"/>
    <x v="13"/>
    <n v="-648225"/>
    <n v="0"/>
    <n v="4502415789"/>
    <n v="5083857913"/>
    <n v="5113636051"/>
    <m/>
    <m/>
    <m/>
    <x v="0"/>
    <d v="2022-09-26T00:00:00"/>
    <m/>
    <m/>
    <m/>
    <m/>
    <m/>
    <m/>
    <m/>
    <m/>
    <d v="2022-09-26T00:00:00"/>
    <x v="9"/>
  </r>
  <r>
    <s v="David Martinez Jaramillo"/>
    <d v="2022-09-26T00:00:00"/>
    <d v="2022-09-28T00:00:00"/>
    <n v="39"/>
    <s v="DM270"/>
    <x v="2"/>
    <n v="20492"/>
    <x v="224"/>
    <n v="175206600"/>
    <n v="42"/>
    <n v="4502415790"/>
    <n v="5083857914"/>
    <n v="5113626302"/>
    <m/>
    <s v="TIENE BL"/>
    <m/>
    <x v="0"/>
    <d v="2022-09-26T00:00:00"/>
    <m/>
    <m/>
    <m/>
    <m/>
    <m/>
    <m/>
    <m/>
    <m/>
    <d v="2022-09-26T00:00:00"/>
    <x v="9"/>
  </r>
  <r>
    <s v="David Martinez Jaramillo"/>
    <d v="2022-09-26T00:00:00"/>
    <d v="2022-09-28T00:00:00"/>
    <n v="39"/>
    <s v="DM270"/>
    <x v="0"/>
    <n v="7015"/>
    <x v="224"/>
    <n v="59978250"/>
    <n v="15"/>
    <n v="4502418548"/>
    <n v="5083857914"/>
    <n v="5113626302"/>
    <m/>
    <s v="TIENE BL"/>
    <m/>
    <x v="0"/>
    <d v="2022-09-27T00:00:00"/>
    <m/>
    <m/>
    <m/>
    <m/>
    <m/>
    <m/>
    <m/>
    <m/>
    <d v="2022-09-27T00:00:00"/>
    <x v="9"/>
  </r>
  <r>
    <s v="David Martinez Jaramillo"/>
    <d v="2022-09-28T00:00:00"/>
    <d v="2022-09-28T00:00:00"/>
    <n v="39"/>
    <s v="NC75"/>
    <x v="0"/>
    <n v="27507"/>
    <x v="573"/>
    <n v="-1474650.2700000161"/>
    <n v="0"/>
    <n v="4502418548"/>
    <n v="5083888404"/>
    <n v="5113626305"/>
    <m/>
    <m/>
    <m/>
    <x v="0"/>
    <d v="2022-09-27T00:00:00"/>
    <m/>
    <m/>
    <m/>
    <m/>
    <m/>
    <m/>
    <m/>
    <m/>
    <d v="2022-09-27T00:00:00"/>
    <x v="9"/>
  </r>
  <r>
    <s v="Jorge Ignacio Sanchez Restrepo"/>
    <d v="2022-09-26T00:00:00"/>
    <d v="2022-09-30T00:00:00"/>
    <n v="39"/>
    <s v="FEJS-43"/>
    <x v="2"/>
    <n v="20835"/>
    <x v="224"/>
    <n v="178139250"/>
    <n v="42"/>
    <n v="4502415791"/>
    <n v="5083888401"/>
    <n v="5113625917"/>
    <m/>
    <s v="CON RETEN"/>
    <m/>
    <x v="0"/>
    <d v="2022-09-26T00:00:00"/>
    <m/>
    <m/>
    <m/>
    <m/>
    <m/>
    <m/>
    <m/>
    <m/>
    <d v="2022-09-26T00:00:00"/>
    <x v="9"/>
  </r>
  <r>
    <s v="Lina Maria Pelaez Gomez"/>
    <d v="2022-09-26T00:00:00"/>
    <d v="2022-09-30T00:00:00"/>
    <n v="39"/>
    <s v="LP116"/>
    <x v="0"/>
    <n v="5989.5"/>
    <x v="224"/>
    <n v="51210225"/>
    <n v="14"/>
    <n v="4502415792"/>
    <n v="5083889580"/>
    <n v="5113628299"/>
    <m/>
    <s v="TIENE BL"/>
    <m/>
    <x v="0"/>
    <d v="2022-09-27T00:00:00"/>
    <m/>
    <m/>
    <m/>
    <m/>
    <m/>
    <m/>
    <m/>
    <m/>
    <d v="2022-09-27T00:00:00"/>
    <x v="9"/>
  </r>
  <r>
    <s v="Lina Maria Pelaez Gomez"/>
    <d v="2022-09-30T00:00:00"/>
    <d v="2022-09-30T00:00:00"/>
    <n v="39"/>
    <s v="NC87"/>
    <x v="0"/>
    <n v="5989.5"/>
    <x v="2"/>
    <n v="-598950"/>
    <n v="0"/>
    <n v="4502415792"/>
    <n v="5083889580"/>
    <n v="5113628302"/>
    <m/>
    <m/>
    <m/>
    <x v="0"/>
    <d v="2022-09-27T00:00:00"/>
    <m/>
    <m/>
    <m/>
    <m/>
    <m/>
    <m/>
    <m/>
    <m/>
    <d v="2022-09-27T00:00:00"/>
    <x v="9"/>
  </r>
  <r>
    <s v="Agropecuaria Tabaida S.A.S"/>
    <d v="2022-09-27T00:00:00"/>
    <m/>
    <n v="39"/>
    <s v="MT-1574"/>
    <x v="0"/>
    <n v="20303"/>
    <x v="113"/>
    <n v="160393700"/>
    <n v="42"/>
    <n v="4502419807"/>
    <n v="5083857845"/>
    <n v="5113624964"/>
    <s v="TIENE BL"/>
    <s v="TYC 4792500"/>
    <m/>
    <x v="0"/>
    <d v="2022-09-27T00:00:00"/>
    <n v="4902352526"/>
    <n v="4792500"/>
    <s v="ETE-3650"/>
    <n v="5113627899"/>
    <m/>
    <m/>
    <m/>
    <m/>
    <d v="2022-09-27T00:00:00"/>
    <x v="9"/>
  </r>
  <r>
    <s v="Industria Ganadera Hato Cebu S.A."/>
    <d v="2022-09-29T00:00:00"/>
    <d v="2022-09-30T00:00:00"/>
    <n v="39"/>
    <s v="FEHC-361"/>
    <x v="1"/>
    <n v="12983"/>
    <x v="224"/>
    <n v="111004650"/>
    <n v="28"/>
    <n v="4502415793"/>
    <n v="5083889581"/>
    <n v="5113625838"/>
    <m/>
    <s v="CON RETEN"/>
    <m/>
    <x v="0"/>
    <d v="2022-09-27T00:00:00"/>
    <m/>
    <m/>
    <m/>
    <m/>
    <m/>
    <m/>
    <m/>
    <m/>
    <d v="2022-09-27T00:00:00"/>
    <x v="9"/>
  </r>
  <r>
    <s v="Agropecuaria los Molinos S.A.S"/>
    <d v="2022-09-13T00:00:00"/>
    <m/>
    <n v="39"/>
    <s v="FEMO-1010000789"/>
    <x v="2"/>
    <m/>
    <x v="551"/>
    <n v="0"/>
    <n v="28"/>
    <n v="4502411300"/>
    <n v="5083660241"/>
    <n v="5113580506"/>
    <s v="TIENE BL"/>
    <s v="EJ*2 1850000*1 1750000*1"/>
    <m/>
    <x v="0"/>
    <d v="2022-09-24T00:00:00"/>
    <n v="4902352527"/>
    <n v="3600000"/>
    <s v="FEMD-5326*1"/>
    <n v="5113620765"/>
    <s v="FEMD-5327*1"/>
    <n v="5113620760"/>
    <m/>
    <m/>
    <d v="2022-09-24T00:00:00"/>
    <x v="9"/>
  </r>
  <r>
    <s v="Angela Maria Restrepo Diaz"/>
    <d v="2022-09-27T00:00:00"/>
    <m/>
    <n v="39"/>
    <s v="AR-109"/>
    <x v="2"/>
    <n v="14169"/>
    <x v="175"/>
    <n v="116185800"/>
    <n v="28"/>
    <n v="4502419808"/>
    <n v="5083857846"/>
    <n v="5113624743"/>
    <m/>
    <s v="NUMA*2 920000*2"/>
    <s v="CON RETEN"/>
    <x v="0"/>
    <d v="2022-09-27T00:00:00"/>
    <n v="4902352531"/>
    <n v="1840000"/>
    <s v="MOVI-1851*2"/>
    <n v="5113621043"/>
    <m/>
    <m/>
    <m/>
    <m/>
    <d v="2022-09-27T00:00:00"/>
    <x v="9"/>
  </r>
  <r>
    <s v="Sociedad Comercializadora Ganadera"/>
    <d v="2022-09-30T00:00:00"/>
    <d v="2022-09-30T00:00:00"/>
    <n v="39"/>
    <s v="FEDV447"/>
    <x v="2"/>
    <n v="14885.5"/>
    <x v="224"/>
    <n v="127271025"/>
    <n v="32"/>
    <n v="4502415794"/>
    <n v="5083889731"/>
    <n v="5113630657"/>
    <m/>
    <s v="TIENE BL"/>
    <m/>
    <x v="0"/>
    <d v="2022-09-27T00:00:00"/>
    <m/>
    <m/>
    <m/>
    <m/>
    <m/>
    <m/>
    <m/>
    <m/>
    <d v="2022-09-27T00:00:00"/>
    <x v="9"/>
  </r>
  <r>
    <s v="Pedro Milton Botero Bernal"/>
    <d v="2022-09-27T00:00:00"/>
    <d v="2022-10-04T00:00:00"/>
    <n v="39"/>
    <s v="FEMB-221"/>
    <x v="2"/>
    <n v="6159.5"/>
    <x v="175"/>
    <n v="50507900"/>
    <n v="15"/>
    <n v="4502415795"/>
    <n v="5083889732"/>
    <n v="5113633814"/>
    <m/>
    <s v="CON RETEN"/>
    <m/>
    <x v="0"/>
    <d v="2022-09-27T00:00:00"/>
    <m/>
    <m/>
    <m/>
    <m/>
    <m/>
    <m/>
    <m/>
    <m/>
    <d v="2022-09-27T00:00:00"/>
    <x v="9"/>
  </r>
  <r>
    <s v="Pedro Milton Botero Bernal"/>
    <d v="2022-09-30T00:00:00"/>
    <d v="2022-10-04T00:00:00"/>
    <n v="39"/>
    <s v="NC222"/>
    <x v="2"/>
    <n v="6159.5"/>
    <x v="574"/>
    <n v="-347026.23000000091"/>
    <n v="0"/>
    <n v="4502415795"/>
    <n v="5083889732"/>
    <n v="5113633815"/>
    <m/>
    <m/>
    <m/>
    <x v="0"/>
    <d v="2022-09-27T00:00:00"/>
    <m/>
    <m/>
    <m/>
    <m/>
    <m/>
    <m/>
    <m/>
    <m/>
    <d v="2022-09-27T00:00:00"/>
    <x v="9"/>
  </r>
  <r>
    <s v="David Martinez Jaramillo"/>
    <d v="2022-09-27T00:00:00"/>
    <d v="2022-09-30T00:00:00"/>
    <n v="39"/>
    <s v="DM271"/>
    <x v="2"/>
    <n v="6038.5"/>
    <x v="224"/>
    <n v="51629175"/>
    <n v="14"/>
    <n v="4502417463"/>
    <n v="5083889583"/>
    <n v="5113629128"/>
    <m/>
    <s v="TIENE BL"/>
    <m/>
    <x v="0"/>
    <d v="2022-09-27T00:00:00"/>
    <m/>
    <m/>
    <m/>
    <m/>
    <m/>
    <m/>
    <m/>
    <m/>
    <d v="2022-09-27T00:00:00"/>
    <x v="9"/>
  </r>
  <r>
    <s v="David Martinez Jaramillo"/>
    <d v="2022-09-30T00:00:00"/>
    <d v="2022-09-30T00:00:00"/>
    <n v="39"/>
    <s v="NC76"/>
    <x v="2"/>
    <n v="6038.5"/>
    <x v="11"/>
    <n v="-905775"/>
    <n v="0"/>
    <n v="4502417463"/>
    <n v="5083889583"/>
    <n v="5113629132"/>
    <m/>
    <m/>
    <m/>
    <x v="0"/>
    <d v="2022-09-27T00:00:00"/>
    <m/>
    <m/>
    <m/>
    <m/>
    <m/>
    <m/>
    <m/>
    <m/>
    <d v="2022-09-27T00:00:00"/>
    <x v="9"/>
  </r>
  <r>
    <s v="Sociedad Comercializadora Ganadera"/>
    <d v="2022-09-30T00:00:00"/>
    <d v="2022-09-30T00:00:00"/>
    <n v="39"/>
    <s v="FEDV446"/>
    <x v="3"/>
    <n v="16393"/>
    <x v="38"/>
    <n v="122947500"/>
    <n v="62"/>
    <n v="4502421822"/>
    <n v="5083908287"/>
    <n v="5113630556"/>
    <m/>
    <s v="TIENE BL"/>
    <m/>
    <x v="2"/>
    <d v="2022-09-28T00:00:00"/>
    <m/>
    <m/>
    <m/>
    <m/>
    <m/>
    <m/>
    <m/>
    <m/>
    <d v="2022-09-28T00:00:00"/>
    <x v="9"/>
  </r>
  <r>
    <s v="Sociedad Comercializadora Ganadera"/>
    <d v="2022-10-05T00:00:00"/>
    <d v="2022-10-05T00:00:00"/>
    <n v="40"/>
    <s v="FEDV448"/>
    <x v="0"/>
    <n v="14905.5"/>
    <x v="248"/>
    <n v="128187300"/>
    <n v="31"/>
    <n v="4502420553"/>
    <n v="5083913301"/>
    <n v="5113636053"/>
    <m/>
    <s v="TIENE BL"/>
    <m/>
    <x v="0"/>
    <d v="2022-09-29T00:00:00"/>
    <m/>
    <m/>
    <m/>
    <m/>
    <m/>
    <m/>
    <m/>
    <m/>
    <d v="2022-09-29T00:00:00"/>
    <x v="9"/>
  </r>
  <r>
    <s v="Sociedad Comercializadora Ganadera"/>
    <d v="2022-10-05T00:00:00"/>
    <d v="2022-10-05T00:00:00"/>
    <n v="40"/>
    <s v="NC227"/>
    <x v="0"/>
    <n v="14905.5"/>
    <x v="575"/>
    <n v="-2310203.4449999966"/>
    <n v="0"/>
    <n v="4502420553"/>
    <n v="5083913301"/>
    <n v="5113636067"/>
    <m/>
    <m/>
    <m/>
    <x v="0"/>
    <d v="2022-09-29T00:00:00"/>
    <m/>
    <m/>
    <m/>
    <m/>
    <m/>
    <m/>
    <m/>
    <m/>
    <d v="2022-09-29T00:00:00"/>
    <x v="9"/>
  </r>
  <r>
    <s v="Sociedad Comercializadora Ganadera"/>
    <d v="2022-10-05T00:00:00"/>
    <d v="2022-10-05T00:00:00"/>
    <n v="40"/>
    <s v="FEDV449"/>
    <x v="0"/>
    <n v="22174.5"/>
    <x v="248"/>
    <n v="190700700"/>
    <n v="45"/>
    <n v="4502420553"/>
    <n v="5083912985"/>
    <n v="5113636068"/>
    <m/>
    <s v="TIENE BL"/>
    <m/>
    <x v="0"/>
    <d v="2022-09-29T00:00:00"/>
    <m/>
    <m/>
    <m/>
    <m/>
    <m/>
    <m/>
    <m/>
    <m/>
    <d v="2022-09-29T00:00:00"/>
    <x v="9"/>
  </r>
  <r>
    <s v="Sociedad Comercializadora Ganadera"/>
    <d v="2022-10-05T00:00:00"/>
    <d v="2022-10-05T00:00:00"/>
    <n v="40"/>
    <s v="FEDV449"/>
    <x v="1"/>
    <n v="33593"/>
    <x v="248"/>
    <n v="288899800"/>
    <n v="73"/>
    <n v="4502420555"/>
    <n v="5083912985"/>
    <n v="5113636068"/>
    <m/>
    <s v="TIENE BL"/>
    <m/>
    <x v="0"/>
    <d v="2022-09-29T00:00:00"/>
    <m/>
    <m/>
    <m/>
    <m/>
    <m/>
    <m/>
    <m/>
    <m/>
    <d v="2022-09-29T00:00:00"/>
    <x v="9"/>
  </r>
  <r>
    <s v="Sociedad Comercializadora Ganadera"/>
    <d v="2022-10-05T00:00:00"/>
    <d v="2022-10-05T00:00:00"/>
    <n v="40"/>
    <s v="NC228"/>
    <x v="1"/>
    <n v="55767.5"/>
    <x v="576"/>
    <n v="-624596.00000004063"/>
    <n v="0"/>
    <n v="4502420555"/>
    <n v="5113636071"/>
    <n v="5113636071"/>
    <m/>
    <m/>
    <m/>
    <x v="0"/>
    <d v="2022-09-29T00:00:00"/>
    <m/>
    <m/>
    <m/>
    <m/>
    <m/>
    <m/>
    <m/>
    <m/>
    <d v="2022-09-29T00:00:00"/>
    <x v="9"/>
  </r>
  <r>
    <s v="Andres Felipe Mantilla Acosta"/>
    <d v="2022-10-03T00:00:00"/>
    <d v="2022-10-04T00:00:00"/>
    <n v="40"/>
    <s v="FEFE38"/>
    <x v="0"/>
    <n v="11571.5"/>
    <x v="151"/>
    <n v="94307725"/>
    <n v="28"/>
    <n v="4502420554"/>
    <n v="5083912984"/>
    <n v="5113634171"/>
    <m/>
    <s v="TIENE BL"/>
    <m/>
    <x v="0"/>
    <d v="2022-09-29T00:00:00"/>
    <m/>
    <m/>
    <m/>
    <m/>
    <m/>
    <m/>
    <m/>
    <m/>
    <d v="2022-09-29T00:00:00"/>
    <x v="9"/>
  </r>
  <r>
    <s v="Andres Felipe Mantilla Acosta"/>
    <d v="2022-10-03T00:00:00"/>
    <d v="2022-10-04T00:00:00"/>
    <n v="40"/>
    <s v="NC12"/>
    <x v="0"/>
    <n v="11571.5"/>
    <x v="577"/>
    <n v="-2068521.3400000024"/>
    <n v="0"/>
    <n v="4502420554"/>
    <n v="5083912984"/>
    <n v="5113634174"/>
    <m/>
    <m/>
    <m/>
    <x v="0"/>
    <d v="2022-09-29T00:00:00"/>
    <m/>
    <m/>
    <m/>
    <m/>
    <m/>
    <m/>
    <m/>
    <m/>
    <d v="2022-09-29T00:00:00"/>
    <x v="9"/>
  </r>
  <r>
    <s v="Inversiones Valle Del Canalete S.A.S"/>
    <d v="2022-10-01T00:00:00"/>
    <d v="2022-10-04T00:00:00"/>
    <n v="40"/>
    <s v="IVC140"/>
    <x v="0"/>
    <n v="19944"/>
    <x v="117"/>
    <n v="159552000"/>
    <n v="42"/>
    <n v="4502421179"/>
    <n v="5083900172"/>
    <n v="5113633862"/>
    <m/>
    <s v="EJ*3 1793900*3"/>
    <s v="CON RETEN"/>
    <x v="0"/>
    <d v="2022-09-29T00:00:00"/>
    <n v="4902356375"/>
    <n v="5381700"/>
    <s v="FEMD-5350*3"/>
    <n v="5113625280"/>
    <m/>
    <m/>
    <m/>
    <m/>
    <d v="2022-09-29T00:00:00"/>
    <x v="9"/>
  </r>
  <r>
    <s v="Lucely Suarez Escobar"/>
    <d v="2022-09-29T00:00:00"/>
    <d v="2022-10-04T00:00:00"/>
    <n v="40"/>
    <s v="FVE-30"/>
    <x v="0"/>
    <n v="6895"/>
    <x v="117"/>
    <n v="55160000"/>
    <n v="14"/>
    <n v="4502420751"/>
    <n v="5083893575"/>
    <n v="5113633034"/>
    <m/>
    <s v="EJ 3497950"/>
    <s v="CON RETEN"/>
    <x v="0"/>
    <d v="2022-09-29T00:00:00"/>
    <n v="4502420751"/>
    <n v="3497950"/>
    <s v="FEMD-5351*1"/>
    <n v="5113625279"/>
    <m/>
    <m/>
    <m/>
    <m/>
    <d v="2022-09-29T00:00:00"/>
    <x v="9"/>
  </r>
  <r>
    <s v="Savanna &amp; Compañia S.A.S ZOMAC"/>
    <d v="2022-10-01T00:00:00"/>
    <d v="2022-10-06T00:00:00"/>
    <n v="40"/>
    <s v="S-51"/>
    <x v="1"/>
    <n v="14780"/>
    <x v="63"/>
    <n v="116023000"/>
    <n v="28"/>
    <n v="4502421181"/>
    <n v="5083900267"/>
    <n v="5113641642"/>
    <s v="TIENE BL"/>
    <s v="EJ*2 3697950*2"/>
    <m/>
    <x v="0"/>
    <d v="2022-09-29T00:00:00"/>
    <n v="4902356376"/>
    <n v="7395900"/>
    <s v="FEMD-5352*2"/>
    <n v="5113628024"/>
    <m/>
    <m/>
    <m/>
    <m/>
    <d v="2022-09-29T00:00:00"/>
    <x v="9"/>
  </r>
  <r>
    <s v="Luis Fernando Rojas Prada"/>
    <d v="2022-10-03T00:00:00"/>
    <m/>
    <n v="40"/>
    <s v="FELC-1045"/>
    <x v="0"/>
    <n v="36340"/>
    <x v="113"/>
    <n v="287086000"/>
    <n v="70"/>
    <n v="4502421203"/>
    <n v="5083937555"/>
    <n v="5113633731"/>
    <s v="TIENE BL"/>
    <s v="EJ*5 3090800*4 3079200"/>
    <m/>
    <x v="0"/>
    <d v="2022-09-30T00:00:00"/>
    <n v="4902356797"/>
    <n v="15442400"/>
    <s v="FEMD-5354*1"/>
    <n v="5113630690"/>
    <s v="FEMD-5355*2"/>
    <n v="5113630691"/>
    <s v="FEMD-5356*2"/>
    <n v="5113630692"/>
    <d v="2022-09-30T00:00:00"/>
    <x v="9"/>
  </r>
  <r>
    <s v="Maria Victoria Martinez Jaramillo"/>
    <d v="2022-10-04T00:00:00"/>
    <d v="2022-10-04T00:00:00"/>
    <n v="40"/>
    <s v="FE-40"/>
    <x v="0"/>
    <n v="5873.5"/>
    <x v="248"/>
    <n v="50512100"/>
    <n v="14"/>
    <n v="4502420556"/>
    <n v="5083937529"/>
    <n v="5113632935"/>
    <m/>
    <s v="TIENE BL"/>
    <m/>
    <x v="0"/>
    <d v="2022-09-30T00:00:00"/>
    <m/>
    <m/>
    <m/>
    <m/>
    <m/>
    <m/>
    <m/>
    <m/>
    <d v="2022-09-30T00:00:00"/>
    <x v="9"/>
  </r>
  <r>
    <s v="Maria Victoria Martinez Jaramillo"/>
    <d v="2022-10-04T00:00:00"/>
    <d v="2022-10-04T00:00:00"/>
    <n v="40"/>
    <s v="NC230"/>
    <x v="0"/>
    <n v="5873.5"/>
    <x v="578"/>
    <n v="-39528.654999997438"/>
    <n v="0"/>
    <n v="4502420556"/>
    <n v="5113633027"/>
    <n v="5113633027"/>
    <m/>
    <m/>
    <m/>
    <x v="0"/>
    <d v="2022-09-30T00:00:00"/>
    <m/>
    <m/>
    <m/>
    <m/>
    <m/>
    <m/>
    <m/>
    <m/>
    <d v="2022-09-30T00:00:00"/>
    <x v="9"/>
  </r>
  <r>
    <s v="Adrian Alberto Alvarez Henao"/>
    <d v="2022-10-06T00:00:00"/>
    <d v="2022-10-07T00:00:00"/>
    <n v="40"/>
    <s v="AAAH-70"/>
    <x v="0"/>
    <n v="11841"/>
    <x v="248"/>
    <n v="101832600"/>
    <n v="30"/>
    <n v="4502420557"/>
    <n v="5083937553"/>
    <n v="5113640857"/>
    <m/>
    <s v="TIENE BL"/>
    <m/>
    <x v="0"/>
    <d v="2022-09-30T00:00:00"/>
    <m/>
    <m/>
    <m/>
    <m/>
    <m/>
    <m/>
    <m/>
    <m/>
    <d v="2022-09-30T00:00:00"/>
    <x v="9"/>
  </r>
  <r>
    <s v="Adrian Alberto Alvarez Henao"/>
    <d v="2022-10-06T00:00:00"/>
    <d v="2022-10-07T00:00:00"/>
    <n v="40"/>
    <s v="AD35"/>
    <x v="0"/>
    <n v="11841"/>
    <x v="579"/>
    <n v="-2570444.2799999993"/>
    <n v="0"/>
    <n v="4502420557"/>
    <n v="5083937553"/>
    <n v="5113640858"/>
    <m/>
    <m/>
    <m/>
    <x v="0"/>
    <d v="2022-09-30T00:00:00"/>
    <m/>
    <m/>
    <m/>
    <m/>
    <m/>
    <m/>
    <m/>
    <m/>
    <d v="2022-09-30T00:00:00"/>
    <x v="9"/>
  </r>
  <r>
    <s v="David Martinez Jaramillo"/>
    <d v="2022-10-01T00:00:00"/>
    <d v="2022-10-04T00:00:00"/>
    <n v="40"/>
    <s v="DM-272"/>
    <x v="0"/>
    <n v="21486"/>
    <x v="248"/>
    <n v="184779600"/>
    <n v="45"/>
    <n v="4502420558"/>
    <n v="5083937530"/>
    <n v="5113634397"/>
    <m/>
    <s v="TIENE BL"/>
    <m/>
    <x v="0"/>
    <d v="2022-09-30T00:00:00"/>
    <m/>
    <m/>
    <m/>
    <m/>
    <m/>
    <m/>
    <m/>
    <m/>
    <d v="2022-09-30T00:00:00"/>
    <x v="9"/>
  </r>
  <r>
    <s v="David Martinez Jaramillo"/>
    <d v="2022-10-04T00:00:00"/>
    <d v="2022-10-04T00:00:00"/>
    <n v="40"/>
    <s v="NC77"/>
    <x v="0"/>
    <n v="21486"/>
    <x v="13"/>
    <n v="-1074300"/>
    <n v="0"/>
    <n v="4502420558"/>
    <n v="5083937530"/>
    <n v="5113634400"/>
    <m/>
    <m/>
    <m/>
    <x v="0"/>
    <d v="2022-09-30T00:00:00"/>
    <m/>
    <m/>
    <m/>
    <m/>
    <m/>
    <m/>
    <m/>
    <m/>
    <d v="2022-09-30T00:00:00"/>
    <x v="9"/>
  </r>
  <r>
    <s v="Agropecuaria los Molinos S.A.S"/>
    <d v="2022-09-13T00:00:00"/>
    <m/>
    <n v="40"/>
    <s v="FEMO-1010000789"/>
    <x v="1"/>
    <m/>
    <x v="551"/>
    <n v="0"/>
    <n v="56"/>
    <n v="4502411300"/>
    <n v="5083660241"/>
    <n v="5113580506"/>
    <s v="TIENE BL"/>
    <s v="EJ*4 1750000*4"/>
    <m/>
    <x v="0"/>
    <d v="2022-09-30T00:00:00"/>
    <n v="4902356799"/>
    <n v="7000000"/>
    <s v="FEMD-5357*4"/>
    <n v="5113632011"/>
    <s v="FEMD-5399"/>
    <n v="5113658654"/>
    <m/>
    <m/>
    <d v="2022-09-30T00:00:00"/>
    <x v="9"/>
  </r>
  <r>
    <s v="Agropecuaria Tabaida S.A.S"/>
    <d v="2022-09-30T00:00:00"/>
    <m/>
    <n v="40"/>
    <s v="MT-1578"/>
    <x v="1"/>
    <n v="19362"/>
    <x v="117"/>
    <n v="154896000"/>
    <n v="42"/>
    <n v="4502421205"/>
    <n v="5083937552"/>
    <n v="5113633732"/>
    <s v="TIENE BL"/>
    <s v="EJ*3 1793900*3"/>
    <m/>
    <x v="0"/>
    <d v="2022-09-30T00:00:00"/>
    <n v="4902356800"/>
    <n v="5381700"/>
    <s v="FEMD-5358*3"/>
    <n v="5113630689"/>
    <m/>
    <m/>
    <m/>
    <m/>
    <d v="2022-09-30T00:00:00"/>
    <x v="9"/>
  </r>
  <r>
    <s v="Ganados Monterrey S.A"/>
    <d v="2022-10-05T00:00:00"/>
    <m/>
    <n v="40"/>
    <s v="GME-812"/>
    <x v="0"/>
    <n v="13227.5"/>
    <x v="248"/>
    <n v="113756500"/>
    <n v="28"/>
    <n v="4502420559"/>
    <n v="5083937461"/>
    <n v="5113636169"/>
    <m/>
    <s v="CON RETEN"/>
    <m/>
    <x v="0"/>
    <d v="2022-10-01T00:00:00"/>
    <m/>
    <m/>
    <m/>
    <m/>
    <m/>
    <m/>
    <m/>
    <m/>
    <d v="2022-10-01T00:00:00"/>
    <x v="10"/>
  </r>
  <r>
    <s v="Multicarnicos S.A"/>
    <d v="2022-10-01T00:00:00"/>
    <m/>
    <n v="40"/>
    <s v="MUL-408"/>
    <x v="0"/>
    <n v="25166"/>
    <x v="206"/>
    <n v="207619500"/>
    <n v="58"/>
    <n v="4502420560"/>
    <n v="5083944531"/>
    <n v="5113634344"/>
    <m/>
    <s v="TIENE BL"/>
    <m/>
    <x v="0"/>
    <d v="2022-10-01T00:00:00"/>
    <m/>
    <m/>
    <m/>
    <m/>
    <m/>
    <m/>
    <m/>
    <m/>
    <d v="2022-10-01T00:00:00"/>
    <x v="10"/>
  </r>
  <r>
    <s v="Multicarnicos S.A"/>
    <d v="2022-10-01T00:00:00"/>
    <m/>
    <n v="40"/>
    <s v="NC52"/>
    <x v="0"/>
    <n v="25166"/>
    <x v="580"/>
    <n v="-539559.04000001284"/>
    <n v="0"/>
    <n v="4502420560"/>
    <n v="5083944531"/>
    <n v="5113634345"/>
    <m/>
    <m/>
    <m/>
    <x v="0"/>
    <d v="2022-10-01T00:00:00"/>
    <m/>
    <m/>
    <m/>
    <m/>
    <m/>
    <m/>
    <m/>
    <m/>
    <d v="2022-10-01T00:00:00"/>
    <x v="10"/>
  </r>
  <r>
    <s v="Pedro Alirio Barajas Gomez"/>
    <d v="2022-10-05T00:00:00"/>
    <m/>
    <n v="40"/>
    <s v="FE-338"/>
    <x v="0"/>
    <n v="6256.5"/>
    <x v="151"/>
    <n v="50990475"/>
    <n v="14"/>
    <n v="4502420561"/>
    <n v="5083937462"/>
    <n v="5113641155"/>
    <m/>
    <s v="CON RETEN"/>
    <m/>
    <x v="0"/>
    <d v="2022-10-01T00:00:00"/>
    <m/>
    <m/>
    <m/>
    <m/>
    <m/>
    <m/>
    <m/>
    <m/>
    <d v="2022-10-01T00:00:00"/>
    <x v="10"/>
  </r>
  <r>
    <s v="Sociedad Comercializadora Ganadera"/>
    <d v="2022-10-05T00:00:00"/>
    <d v="2022-10-05T00:00:00"/>
    <n v="40"/>
    <s v="FEDV450"/>
    <x v="0"/>
    <n v="21037.5"/>
    <x v="248"/>
    <n v="180922500"/>
    <n v="45"/>
    <n v="4502420562"/>
    <n v="5083944603"/>
    <n v="5113636075"/>
    <m/>
    <s v="TIENE BL"/>
    <m/>
    <x v="0"/>
    <d v="2022-10-02T00:00:00"/>
    <m/>
    <m/>
    <m/>
    <m/>
    <m/>
    <m/>
    <m/>
    <m/>
    <d v="2022-10-02T00:00:00"/>
    <x v="10"/>
  </r>
  <r>
    <s v="Sociedad Comercializadora Ganadera"/>
    <d v="2022-10-05T00:00:00"/>
    <d v="2022-10-05T00:00:00"/>
    <n v="40"/>
    <s v="NC229"/>
    <x v="0"/>
    <n v="21037.5"/>
    <x v="581"/>
    <n v="-1509230.2499999953"/>
    <n v="0"/>
    <n v="4502420562"/>
    <n v="5083944603"/>
    <n v="5113636076"/>
    <m/>
    <m/>
    <m/>
    <x v="0"/>
    <d v="2022-10-02T00:00:00"/>
    <m/>
    <m/>
    <m/>
    <m/>
    <m/>
    <m/>
    <m/>
    <m/>
    <d v="2022-10-02T00:00:00"/>
    <x v="10"/>
  </r>
  <r>
    <s v="Sociedad Comercializadora Ganadera"/>
    <d v="2022-10-05T00:00:00"/>
    <d v="2022-10-05T00:00:00"/>
    <n v="40"/>
    <s v="FEDV451"/>
    <x v="0"/>
    <n v="21434"/>
    <x v="248"/>
    <n v="184332400"/>
    <n v="45"/>
    <n v="4502420562"/>
    <n v="5083944603"/>
    <n v="5113636097"/>
    <m/>
    <s v="TIENE BL"/>
    <m/>
    <x v="0"/>
    <d v="2022-10-02T00:00:00"/>
    <m/>
    <m/>
    <m/>
    <m/>
    <m/>
    <m/>
    <m/>
    <m/>
    <d v="2022-10-02T00:00:00"/>
    <x v="10"/>
  </r>
  <r>
    <s v="Sociedad Comercializadora Ganadera"/>
    <d v="2022-10-05T00:00:00"/>
    <d v="2022-10-05T00:00:00"/>
    <n v="40"/>
    <s v="NC230"/>
    <x v="0"/>
    <n v="21434"/>
    <x v="410"/>
    <n v="-39652.900000007794"/>
    <n v="0"/>
    <n v="4502420562"/>
    <n v="5083944603"/>
    <n v="5113636099"/>
    <m/>
    <m/>
    <m/>
    <x v="0"/>
    <d v="2022-10-02T00:00:00"/>
    <m/>
    <m/>
    <m/>
    <m/>
    <m/>
    <m/>
    <m/>
    <m/>
    <d v="2022-10-02T00:00:00"/>
    <x v="10"/>
  </r>
  <r>
    <s v="Guamal S EN C"/>
    <d v="2022-10-05T00:00:00"/>
    <m/>
    <n v="40"/>
    <s v="F-147"/>
    <x v="0"/>
    <n v="6993"/>
    <x v="151"/>
    <n v="56992950"/>
    <n v="15"/>
    <n v="4502420563"/>
    <n v="5083944604"/>
    <n v="5113635139"/>
    <m/>
    <s v="CON RETEN "/>
    <m/>
    <x v="0"/>
    <d v="2022-10-02T00:00:00"/>
    <m/>
    <m/>
    <m/>
    <m/>
    <m/>
    <m/>
    <m/>
    <m/>
    <d v="2022-10-02T00:00:00"/>
    <x v="10"/>
  </r>
  <r>
    <s v="Sociedad Comercializadora Ganadera"/>
    <d v="2022-10-06T00:00:00"/>
    <d v="2022-10-06T00:00:00"/>
    <n v="40"/>
    <s v="FEDV455"/>
    <x v="0"/>
    <n v="14666.5"/>
    <x v="248"/>
    <n v="126131900"/>
    <n v="31"/>
    <n v="4502420564"/>
    <n v="5083973543"/>
    <n v="5113640859"/>
    <m/>
    <s v="TIENE BL"/>
    <m/>
    <x v="0"/>
    <d v="2022-10-03T00:00:00"/>
    <m/>
    <m/>
    <m/>
    <m/>
    <m/>
    <m/>
    <m/>
    <m/>
    <d v="2022-10-03T00:00:00"/>
    <x v="10"/>
  </r>
  <r>
    <s v="Sociedad Comercializadora Ganadera"/>
    <d v="2022-10-06T00:00:00"/>
    <d v="2022-10-06T00:00:00"/>
    <n v="40"/>
    <s v="NC232"/>
    <x v="0"/>
    <n v="14666.5"/>
    <x v="582"/>
    <n v="-1792099.6350000075"/>
    <n v="0"/>
    <n v="4502420564"/>
    <n v="5083973543"/>
    <n v="5113640860"/>
    <m/>
    <m/>
    <m/>
    <x v="0"/>
    <d v="2022-10-03T00:00:00"/>
    <m/>
    <m/>
    <m/>
    <m/>
    <m/>
    <m/>
    <m/>
    <m/>
    <d v="2022-10-03T00:00:00"/>
    <x v="10"/>
  </r>
  <r>
    <s v="Sociedad Comercializadora Ganadera"/>
    <d v="2022-10-06T00:00:00"/>
    <d v="2022-10-06T00:00:00"/>
    <n v="40"/>
    <s v="FEDV454"/>
    <x v="0"/>
    <n v="13320"/>
    <x v="248"/>
    <n v="114552000"/>
    <n v="60"/>
    <n v="4502420564"/>
    <n v="5083973543"/>
    <n v="5113640861"/>
    <m/>
    <s v="TIENE BL"/>
    <m/>
    <x v="0"/>
    <d v="2022-10-03T00:00:00"/>
    <m/>
    <m/>
    <m/>
    <m/>
    <m/>
    <m/>
    <m/>
    <m/>
    <d v="2022-10-03T00:00:00"/>
    <x v="10"/>
  </r>
  <r>
    <s v="David Martinez Jaramillo"/>
    <d v="2022-10-03T00:00:00"/>
    <d v="2022-10-05T00:00:00"/>
    <n v="40"/>
    <s v="DM273"/>
    <x v="0"/>
    <n v="14857.5"/>
    <x v="248"/>
    <n v="127774500"/>
    <n v="30"/>
    <n v="4502420565"/>
    <n v="5083962979"/>
    <n v="5113636101"/>
    <m/>
    <s v="TIENE BL"/>
    <m/>
    <x v="0"/>
    <d v="2022-10-03T00:00:00"/>
    <m/>
    <m/>
    <m/>
    <m/>
    <m/>
    <m/>
    <m/>
    <m/>
    <d v="2022-10-03T00:00:00"/>
    <x v="10"/>
  </r>
  <r>
    <s v="David Martinez Jaramillo"/>
    <d v="2022-10-05T00:00:00"/>
    <d v="2022-10-05T00:00:00"/>
    <n v="40"/>
    <s v="ND7"/>
    <x v="0"/>
    <n v="14857.5"/>
    <x v="13"/>
    <n v="742875"/>
    <n v="0"/>
    <n v="4502420565"/>
    <n v="5083962979"/>
    <n v="5113636103"/>
    <m/>
    <m/>
    <m/>
    <x v="0"/>
    <d v="2022-10-03T00:00:00"/>
    <m/>
    <m/>
    <m/>
    <m/>
    <m/>
    <m/>
    <m/>
    <m/>
    <d v="2022-10-03T00:00:00"/>
    <x v="10"/>
  </r>
  <r>
    <s v="Lina Maria Pelaez Gomez"/>
    <d v="2022-10-03T00:00:00"/>
    <d v="2022-10-05T00:00:00"/>
    <n v="40"/>
    <s v="LP117"/>
    <x v="0"/>
    <n v="6700.5"/>
    <x v="248"/>
    <n v="57624300"/>
    <n v="15"/>
    <n v="4502420567"/>
    <n v="5083962980"/>
    <n v="5113636104"/>
    <m/>
    <s v="TIENE BL"/>
    <m/>
    <x v="0"/>
    <d v="2022-10-03T00:00:00"/>
    <m/>
    <m/>
    <m/>
    <m/>
    <m/>
    <m/>
    <m/>
    <m/>
    <d v="2022-10-03T00:00:00"/>
    <x v="10"/>
  </r>
  <r>
    <s v="Lina Maria Pelaez Gomez"/>
    <d v="2022-10-05T00:00:00"/>
    <d v="2022-10-05T00:00:00"/>
    <n v="40"/>
    <s v="NC88"/>
    <x v="0"/>
    <n v="6700.5"/>
    <x v="13"/>
    <n v="-335025"/>
    <n v="0"/>
    <n v="4502420567"/>
    <n v="5083962980"/>
    <n v="5113636105"/>
    <m/>
    <m/>
    <m/>
    <x v="0"/>
    <d v="2022-10-03T00:00:00"/>
    <m/>
    <m/>
    <m/>
    <m/>
    <m/>
    <m/>
    <m/>
    <m/>
    <d v="2022-10-03T00:00:00"/>
    <x v="10"/>
  </r>
  <r>
    <s v="Inversiones y Negocios V&amp;V S.A.S"/>
    <d v="2022-10-05T00:00:00"/>
    <m/>
    <n v="40"/>
    <s v="FE-1733"/>
    <x v="1"/>
    <n v="12716"/>
    <x v="248"/>
    <n v="109357600"/>
    <n v="28"/>
    <n v="4502420568"/>
    <n v="5083962981"/>
    <n v="5113643840"/>
    <m/>
    <s v="CON RETEN"/>
    <m/>
    <x v="0"/>
    <d v="2022-10-03T00:00:00"/>
    <m/>
    <m/>
    <m/>
    <m/>
    <m/>
    <m/>
    <m/>
    <m/>
    <d v="2022-10-03T00:00:00"/>
    <x v="10"/>
  </r>
  <r>
    <s v="Agropecuaria Tabaida S.A.S"/>
    <d v="2022-10-03T00:00:00"/>
    <m/>
    <n v="40"/>
    <s v="MT1581"/>
    <x v="1"/>
    <n v="20213"/>
    <x v="117"/>
    <n v="161704000"/>
    <n v="42"/>
    <n v="4502422762"/>
    <n v="5083937603"/>
    <n v="5113642155"/>
    <s v="TIENE BL"/>
    <s v="TYC 4792500"/>
    <m/>
    <x v="0"/>
    <d v="2022-10-03T00:00:00"/>
    <n v="4902356802"/>
    <n v="4792500"/>
    <s v="ETE-3685"/>
    <n v="5113636547"/>
    <m/>
    <m/>
    <m/>
    <m/>
    <d v="2022-10-03T00:00:00"/>
    <x v="10"/>
  </r>
  <r>
    <s v="Mauricio De Jesús Bernal Jaramillo"/>
    <d v="2022-10-08T00:00:00"/>
    <m/>
    <n v="40"/>
    <s v="FE-206"/>
    <x v="0"/>
    <n v="13042"/>
    <x v="149"/>
    <n v="103683900"/>
    <n v="28"/>
    <n v="4502424536"/>
    <n v="5083971714"/>
    <n v="5113641966"/>
    <s v="CON RETEN"/>
    <s v="EJ*2 1623900*2"/>
    <m/>
    <x v="0"/>
    <d v="2022-10-04T00:00:00"/>
    <n v="4902356804"/>
    <n v="3247800"/>
    <s v="FEMD-5373*2"/>
    <n v="5113634958"/>
    <m/>
    <m/>
    <m/>
    <m/>
    <d v="2022-10-04T00:00:00"/>
    <x v="10"/>
  </r>
  <r>
    <s v="Sociedad Comercializadora Ganadera"/>
    <d v="2022-10-06T00:00:00"/>
    <d v="2022-10-06T00:00:00"/>
    <n v="40"/>
    <s v="FEDV456"/>
    <x v="0"/>
    <n v="7118.5"/>
    <x v="220"/>
    <n v="61575025"/>
    <n v="15"/>
    <n v="4502423641"/>
    <n v="5083973456"/>
    <n v="5113640862"/>
    <m/>
    <s v="TIENE BL"/>
    <m/>
    <x v="0"/>
    <d v="2022-10-04T00:00:00"/>
    <m/>
    <m/>
    <m/>
    <m/>
    <m/>
    <m/>
    <m/>
    <m/>
    <d v="2022-10-04T00:00:00"/>
    <x v="10"/>
  </r>
  <r>
    <s v="Sociedad Comercializadora Ganadera"/>
    <d v="2022-10-06T00:00:00"/>
    <d v="2022-10-06T00:00:00"/>
    <n v="40"/>
    <s v="NC233"/>
    <x v="0"/>
    <n v="7118.5"/>
    <x v="2"/>
    <n v="-711850"/>
    <n v="0"/>
    <n v="4502423641"/>
    <n v="5083973456"/>
    <n v="5113640863"/>
    <m/>
    <m/>
    <m/>
    <x v="0"/>
    <d v="2022-10-04T00:00:00"/>
    <m/>
    <m/>
    <m/>
    <m/>
    <m/>
    <m/>
    <m/>
    <m/>
    <d v="2022-10-04T00:00:00"/>
    <x v="10"/>
  </r>
  <r>
    <s v="Sociedad Comercializadora Ganadera"/>
    <d v="2022-10-06T00:00:00"/>
    <d v="2022-10-06T00:00:00"/>
    <n v="40"/>
    <s v="FEDV457"/>
    <x v="0"/>
    <n v="27822.5"/>
    <x v="220"/>
    <n v="240664625"/>
    <n v="60"/>
    <n v="4502423641"/>
    <n v="5083973456"/>
    <n v="5113640866"/>
    <m/>
    <s v="TIENE BL"/>
    <m/>
    <x v="0"/>
    <d v="2022-10-04T00:00:00"/>
    <m/>
    <m/>
    <m/>
    <m/>
    <m/>
    <m/>
    <m/>
    <m/>
    <d v="2022-10-04T00:00:00"/>
    <x v="10"/>
  </r>
  <r>
    <s v="Leonardo Pitta Peñaranda"/>
    <d v="2022-10-10T00:00:00"/>
    <d v="2022-10-10T00:00:00"/>
    <n v="40"/>
    <s v="ARF-193"/>
    <x v="0"/>
    <n v="6316.5"/>
    <x v="206"/>
    <n v="52111125"/>
    <n v="14"/>
    <n v="4502422110"/>
    <n v="5083973455"/>
    <n v="5113645016"/>
    <m/>
    <s v="TIENE BL"/>
    <m/>
    <x v="0"/>
    <d v="2022-10-04T00:00:00"/>
    <m/>
    <m/>
    <m/>
    <m/>
    <m/>
    <m/>
    <m/>
    <m/>
    <d v="2022-10-04T00:00:00"/>
    <x v="10"/>
  </r>
  <r>
    <s v="Leonardo Pitta Peñaranda"/>
    <d v="2022-10-10T00:00:00"/>
    <d v="2022-10-10T00:00:00"/>
    <n v="40"/>
    <s v="NCR3"/>
    <x v="0"/>
    <n v="6316.5"/>
    <x v="2"/>
    <n v="-631650"/>
    <n v="0"/>
    <n v="4502422110"/>
    <n v="5083973455"/>
    <n v="5113645049"/>
    <m/>
    <m/>
    <m/>
    <x v="0"/>
    <d v="2022-10-04T00:00:00"/>
    <m/>
    <m/>
    <m/>
    <m/>
    <m/>
    <m/>
    <m/>
    <m/>
    <d v="2022-10-04T00:00:00"/>
    <x v="10"/>
  </r>
  <r>
    <s v="Carlos Mario Duque Cadavid"/>
    <d v="2022-10-04T00:00:00"/>
    <m/>
    <n v="40"/>
    <s v="CD-132"/>
    <x v="1"/>
    <n v="28613"/>
    <x v="117"/>
    <n v="228904000"/>
    <n v="56"/>
    <n v="4502424542"/>
    <n v="5083971715"/>
    <n v="5113642001"/>
    <s v="CON RETEN"/>
    <s v="EJ*4 1771100*4"/>
    <m/>
    <x v="0"/>
    <d v="2022-10-04T00:00:00"/>
    <n v="4902356805"/>
    <n v="7084400"/>
    <s v="FEMD-5372*4"/>
    <n v="5113634960"/>
    <m/>
    <m/>
    <m/>
    <m/>
    <d v="2022-10-04T00:00:00"/>
    <x v="10"/>
  </r>
  <r>
    <s v="Sociedad Comercializadora Ganadera"/>
    <d v="2022-10-11T00:00:00"/>
    <d v="2022-10-11T00:00:00"/>
    <n v="40"/>
    <s v="FEDV461"/>
    <x v="3"/>
    <n v="8899"/>
    <x v="56"/>
    <n v="67632400"/>
    <n v="32"/>
    <n v="4502426606"/>
    <n v="5084005312"/>
    <n v="5113650536"/>
    <m/>
    <s v="TIENE BL"/>
    <m/>
    <x v="2"/>
    <d v="2022-10-05T00:00:00"/>
    <m/>
    <m/>
    <m/>
    <m/>
    <m/>
    <m/>
    <m/>
    <m/>
    <d v="2022-10-05T00:00:00"/>
    <x v="10"/>
  </r>
  <r>
    <s v="Guillermo Acevedo Plata"/>
    <d v="2022-10-06T00:00:00"/>
    <d v="2022-10-10T00:00:00"/>
    <n v="41"/>
    <s v="FVE-9"/>
    <x v="0"/>
    <n v="6798"/>
    <x v="206"/>
    <n v="56083500"/>
    <n v="15"/>
    <n v="4502425131"/>
    <n v="5084011218"/>
    <n v="5113643844"/>
    <m/>
    <s v="CON RETEN"/>
    <m/>
    <x v="0"/>
    <d v="2022-10-06T00:00:00"/>
    <m/>
    <m/>
    <m/>
    <m/>
    <m/>
    <m/>
    <m/>
    <m/>
    <d v="2022-10-06T00:00:00"/>
    <x v="10"/>
  </r>
  <r>
    <s v="Juan Pablo Sierra Cardona"/>
    <d v="2022-10-07T00:00:00"/>
    <d v="2022-10-12T00:00:00"/>
    <n v="41"/>
    <s v="JPS-1432"/>
    <x v="0"/>
    <n v="7840"/>
    <x v="227"/>
    <n v="68208000"/>
    <n v="18"/>
    <n v="4502425132"/>
    <n v="5084011219"/>
    <n v="5113647195"/>
    <m/>
    <s v="TIENE BL"/>
    <m/>
    <x v="0"/>
    <d v="2022-10-06T00:00:00"/>
    <m/>
    <m/>
    <m/>
    <m/>
    <m/>
    <m/>
    <m/>
    <m/>
    <d v="2022-10-06T00:00:00"/>
    <x v="10"/>
  </r>
  <r>
    <s v="Juan Pablo Sierra Cardona"/>
    <d v="2022-10-07T00:00:00"/>
    <d v="2022-10-12T00:00:00"/>
    <n v="41"/>
    <s v="NC101"/>
    <x v="0"/>
    <n v="7840"/>
    <x v="583"/>
    <n v="-77772.80000000057"/>
    <n v="0"/>
    <n v="4502425132"/>
    <n v="5084011219"/>
    <n v="5113647247"/>
    <m/>
    <m/>
    <m/>
    <x v="0"/>
    <d v="2022-10-06T00:00:00"/>
    <m/>
    <m/>
    <m/>
    <m/>
    <m/>
    <m/>
    <m/>
    <m/>
    <d v="2022-10-06T00:00:00"/>
    <x v="10"/>
  </r>
  <r>
    <s v="Agropecuaria Tabaida S.A.S"/>
    <d v="2022-10-06T00:00:00"/>
    <m/>
    <n v="41"/>
    <s v="MT-1589"/>
    <x v="0"/>
    <n v="20305"/>
    <x v="145"/>
    <n v="163455250"/>
    <n v="42"/>
    <n v="4502427042"/>
    <n v="5084010773"/>
    <n v="5113647250"/>
    <s v="TIENE BL"/>
    <s v="TYC 4150000"/>
    <m/>
    <x v="0"/>
    <d v="2022-10-06T00:00:00"/>
    <n v="4902361241"/>
    <n v="4150000"/>
    <s v="ETE-3726"/>
    <n v="5113658655"/>
    <m/>
    <m/>
    <m/>
    <m/>
    <d v="2022-10-06T00:00:00"/>
    <x v="10"/>
  </r>
  <r>
    <s v="Agropecuaria Tabaida S.A.S"/>
    <d v="2022-10-07T00:00:00"/>
    <d v="2022-10-10T00:00:00"/>
    <n v="41"/>
    <s v="MT1596"/>
    <x v="0"/>
    <n v="20305"/>
    <x v="584"/>
    <n v="487320"/>
    <n v="0"/>
    <n v="4502427042"/>
    <n v="5084010773"/>
    <n v="5113647252"/>
    <m/>
    <m/>
    <m/>
    <x v="0"/>
    <d v="2022-10-06T00:00:00"/>
    <m/>
    <m/>
    <m/>
    <m/>
    <m/>
    <m/>
    <m/>
    <m/>
    <d v="2022-10-06T00:00:00"/>
    <x v="10"/>
  </r>
  <r>
    <s v="Inversiones Agropecuaria Triplesiete S.A.S."/>
    <d v="2022-10-11T00:00:00"/>
    <d v="2022-10-13T00:00:00"/>
    <n v="41"/>
    <s v="FEVM548"/>
    <x v="2"/>
    <n v="6482"/>
    <x v="206"/>
    <n v="53476500"/>
    <n v="15"/>
    <n v="4502425133"/>
    <n v="5084010798"/>
    <n v="5113650531"/>
    <m/>
    <s v="CON RETEN"/>
    <m/>
    <x v="0"/>
    <d v="2022-10-06T00:00:00"/>
    <m/>
    <m/>
    <m/>
    <m/>
    <m/>
    <m/>
    <m/>
    <m/>
    <d v="2022-10-06T00:00:00"/>
    <x v="10"/>
  </r>
  <r>
    <s v="Inversiones Agropecuaria Triplesiete S.A.S."/>
    <d v="2022-10-11T00:00:00"/>
    <d v="2022-10-13T00:00:00"/>
    <n v="41"/>
    <s v="ND10"/>
    <x v="2"/>
    <n v="6482"/>
    <x v="585"/>
    <n v="250918.21999999433"/>
    <n v="0"/>
    <n v="4502425133"/>
    <n v="5084010798"/>
    <n v="5113650533"/>
    <m/>
    <m/>
    <m/>
    <x v="0"/>
    <d v="2022-10-06T00:00:00"/>
    <m/>
    <m/>
    <m/>
    <m/>
    <m/>
    <m/>
    <m/>
    <m/>
    <d v="2022-10-06T00:00:00"/>
    <x v="10"/>
  </r>
  <r>
    <s v="Inversiones y Negocios V&amp;V S.A.S"/>
    <d v="2022-10-11T00:00:00"/>
    <d v="2022-10-27T00:00:00"/>
    <n v="41"/>
    <s v="FE1742"/>
    <x v="2"/>
    <n v="6329.5"/>
    <x v="227"/>
    <n v="55066650"/>
    <n v="14"/>
    <n v="4502425134"/>
    <n v="5084010799"/>
    <n v="5113687948"/>
    <m/>
    <s v="CON RETEN"/>
    <m/>
    <x v="0"/>
    <d v="2022-10-06T00:00:00"/>
    <m/>
    <m/>
    <m/>
    <m/>
    <m/>
    <m/>
    <m/>
    <m/>
    <d v="2022-10-06T00:00:00"/>
    <x v="10"/>
  </r>
  <r>
    <s v="Inversiones y Negocios V&amp;V S.A.S"/>
    <d v="2022-10-11T00:00:00"/>
    <d v="2022-10-27T00:00:00"/>
    <n v="41"/>
    <s v="NC13061"/>
    <x v="2"/>
    <n v="6329.5"/>
    <x v="586"/>
    <n v="-164567"/>
    <n v="0"/>
    <n v="4502425134"/>
    <n v="5084010799"/>
    <n v="5113687951"/>
    <m/>
    <m/>
    <m/>
    <x v="0"/>
    <d v="2022-10-06T00:00:00"/>
    <m/>
    <m/>
    <m/>
    <m/>
    <m/>
    <m/>
    <m/>
    <m/>
    <d v="2022-10-06T00:00:00"/>
    <x v="10"/>
  </r>
  <r>
    <s v="Pedro Alirio Barajas Gomez"/>
    <d v="2022-10-10T00:00:00"/>
    <m/>
    <n v="41"/>
    <s v="FE-340"/>
    <x v="2"/>
    <n v="5995"/>
    <x v="206"/>
    <n v="49458750"/>
    <n v="14"/>
    <n v="4502425135"/>
    <n v="5084010800"/>
    <n v="5113644013"/>
    <s v="CON RETEN"/>
    <m/>
    <m/>
    <x v="0"/>
    <d v="2022-10-06T00:00:00"/>
    <m/>
    <m/>
    <m/>
    <m/>
    <m/>
    <m/>
    <m/>
    <m/>
    <d v="2022-10-06T00:00:00"/>
    <x v="10"/>
  </r>
  <r>
    <s v="Pedro Alirio Barajas Gomez"/>
    <d v="2022-10-10T00:00:00"/>
    <m/>
    <n v="41"/>
    <s v="NC277"/>
    <x v="2"/>
    <n v="5995"/>
    <x v="13"/>
    <n v="-299750"/>
    <n v="0"/>
    <n v="4502425135"/>
    <n v="5084010800"/>
    <n v="5113644016"/>
    <m/>
    <m/>
    <m/>
    <x v="0"/>
    <d v="2022-10-06T00:00:00"/>
    <m/>
    <m/>
    <m/>
    <m/>
    <m/>
    <m/>
    <m/>
    <m/>
    <d v="2022-10-06T00:00:00"/>
    <x v="10"/>
  </r>
  <r>
    <s v="Sociedad Comercializadora Ganadera"/>
    <d v="2022-10-11T00:00:00"/>
    <d v="2022-10-11T00:00:00"/>
    <n v="41"/>
    <s v="FEDV460"/>
    <x v="2"/>
    <n v="43677.5"/>
    <x v="227"/>
    <n v="379994250"/>
    <n v="90"/>
    <n v="4502425136"/>
    <n v="5084010802"/>
    <n v="5113645163"/>
    <m/>
    <s v="TIENE BL"/>
    <m/>
    <x v="0"/>
    <d v="2022-10-06T00:00:00"/>
    <m/>
    <m/>
    <m/>
    <m/>
    <m/>
    <m/>
    <m/>
    <m/>
    <d v="2022-10-06T00:00:00"/>
    <x v="10"/>
  </r>
  <r>
    <s v="Sociedad Comercializadora Ganadera"/>
    <d v="2022-10-11T00:00:00"/>
    <d v="2022-10-11T00:00:00"/>
    <n v="41"/>
    <s v="NC234"/>
    <x v="2"/>
    <n v="43677.5"/>
    <x v="587"/>
    <n v="-385235.5499999873"/>
    <n v="0"/>
    <n v="4502425136"/>
    <n v="5084010802"/>
    <n v="5113645166"/>
    <m/>
    <m/>
    <m/>
    <x v="0"/>
    <d v="2022-10-06T00:00:00"/>
    <m/>
    <m/>
    <m/>
    <m/>
    <m/>
    <m/>
    <m/>
    <m/>
    <d v="2022-10-06T00:00:00"/>
    <x v="10"/>
  </r>
  <r>
    <s v="Agropecuaria los Molinos S.A.S"/>
    <d v="2022-09-13T00:00:00"/>
    <m/>
    <n v="41"/>
    <s v="FEMO-1010000789"/>
    <x v="0"/>
    <m/>
    <x v="551"/>
    <n v="0"/>
    <n v="14"/>
    <n v="4502411300"/>
    <n v="5083660241"/>
    <n v="5113580506"/>
    <s v="TIENE BL"/>
    <s v="EJ*1 1750000"/>
    <m/>
    <x v="0"/>
    <d v="2022-10-07T00:00:00"/>
    <n v="4902361245"/>
    <n v="1750000"/>
    <s v="FEMD-5410*3"/>
    <n v="5113652808"/>
    <m/>
    <m/>
    <m/>
    <m/>
    <d v="2022-10-07T00:00:00"/>
    <x v="10"/>
  </r>
  <r>
    <s v="HEVLA S.A.S"/>
    <d v="2022-10-07T00:00:00"/>
    <d v="2022-10-11T00:00:00"/>
    <n v="41"/>
    <s v="FE-662"/>
    <x v="1"/>
    <n v="14772"/>
    <x v="76"/>
    <n v="119653200"/>
    <n v="28"/>
    <n v="4502427387"/>
    <n v="5084028960"/>
    <n v="5113647370"/>
    <s v="CON RETEN"/>
    <s v="EJ*2 2982600*2"/>
    <m/>
    <x v="0"/>
    <d v="2022-10-07T00:00:00"/>
    <n v="4902363814"/>
    <n v="5965200"/>
    <s v="FEMD-5411*2"/>
    <n v="5113652807"/>
    <m/>
    <m/>
    <m/>
    <m/>
    <d v="2022-10-07T00:00:00"/>
    <x v="10"/>
  </r>
  <r>
    <s v="Sociedad Comercializadora Ganadera"/>
    <d v="2022-10-13T00:00:00"/>
    <d v="2022-10-13T00:00:00"/>
    <n v="41"/>
    <s v="FEDV469"/>
    <x v="2"/>
    <n v="6478.5"/>
    <x v="227"/>
    <n v="56362950"/>
    <n v="16"/>
    <n v="4502425138"/>
    <n v="5084029152"/>
    <n v="5113653701"/>
    <m/>
    <s v="TIENE BL"/>
    <m/>
    <x v="0"/>
    <d v="2022-10-07T00:00:00"/>
    <m/>
    <m/>
    <m/>
    <m/>
    <m/>
    <m/>
    <m/>
    <m/>
    <d v="2022-10-07T00:00:00"/>
    <x v="10"/>
  </r>
  <r>
    <s v="Sociedad Comercializadora Ganadera"/>
    <d v="2022-10-13T00:00:00"/>
    <d v="2022-10-13T00:00:00"/>
    <n v="41"/>
    <s v="FEDV470"/>
    <x v="2"/>
    <n v="15233.5"/>
    <x v="227"/>
    <n v="132531450"/>
    <n v="35"/>
    <n v="4502425138"/>
    <n v="5084029152"/>
    <n v="5113656494"/>
    <m/>
    <s v="TIENE BL"/>
    <m/>
    <x v="0"/>
    <d v="2022-10-07T00:00:00"/>
    <m/>
    <m/>
    <m/>
    <m/>
    <m/>
    <m/>
    <m/>
    <m/>
    <d v="2022-10-07T00:00:00"/>
    <x v="10"/>
  </r>
  <r>
    <s v="Sociedad Comercializadora Ganadera"/>
    <d v="2022-10-13T00:00:00"/>
    <d v="2022-10-13T00:00:00"/>
    <n v="41"/>
    <s v="NC238"/>
    <x v="2"/>
    <n v="15233.5"/>
    <x v="588"/>
    <n v="-1829238.679999999"/>
    <n v="0"/>
    <n v="4502425138"/>
    <n v="5084029152"/>
    <n v="5113656495"/>
    <m/>
    <m/>
    <m/>
    <x v="0"/>
    <d v="2022-10-07T00:00:00"/>
    <m/>
    <m/>
    <m/>
    <m/>
    <m/>
    <m/>
    <m/>
    <m/>
    <d v="2022-10-07T00:00:00"/>
    <x v="10"/>
  </r>
  <r>
    <s v="Sociedad Comercializadora Ganadera"/>
    <d v="2022-10-13T00:00:00"/>
    <d v="2022-10-13T00:00:00"/>
    <n v="41"/>
    <s v="FEDV468"/>
    <x v="2"/>
    <n v="13523"/>
    <x v="227"/>
    <n v="117650100"/>
    <n v="25"/>
    <n v="4502425138"/>
    <n v="5084029005"/>
    <n v="5113656570"/>
    <m/>
    <s v="TIENE BL"/>
    <m/>
    <x v="0"/>
    <d v="2022-10-07T00:00:00"/>
    <m/>
    <m/>
    <m/>
    <m/>
    <m/>
    <m/>
    <m/>
    <m/>
    <d v="2022-10-07T00:00:00"/>
    <x v="10"/>
  </r>
  <r>
    <s v="Sociedad Comercializadora Ganadera"/>
    <d v="2022-10-13T00:00:00"/>
    <d v="2022-10-13T00:00:00"/>
    <n v="41"/>
    <s v="FEDV468"/>
    <x v="2"/>
    <n v="5926"/>
    <x v="227"/>
    <n v="51556200"/>
    <n v="15"/>
    <n v="4502427218"/>
    <n v="5084029005"/>
    <n v="5113656570"/>
    <m/>
    <s v="TIENE BL"/>
    <m/>
    <x v="0"/>
    <d v="2022-10-07T00:00:00"/>
    <m/>
    <m/>
    <m/>
    <m/>
    <m/>
    <m/>
    <m/>
    <m/>
    <d v="2022-10-07T00:00:00"/>
    <x v="10"/>
  </r>
  <r>
    <s v="Sociedad Comercializadora Ganadera"/>
    <d v="2022-10-13T00:00:00"/>
    <d v="2022-10-13T00:00:00"/>
    <n v="41"/>
    <s v="NC237"/>
    <x v="2"/>
    <n v="19449"/>
    <x v="589"/>
    <n v="-37925.550000014147"/>
    <n v="0"/>
    <n v="4502427218"/>
    <n v="5084029005"/>
    <n v="5113656655"/>
    <m/>
    <m/>
    <m/>
    <x v="0"/>
    <d v="2022-10-07T00:00:00"/>
    <m/>
    <m/>
    <m/>
    <m/>
    <m/>
    <m/>
    <m/>
    <m/>
    <d v="2022-10-07T00:00:00"/>
    <x v="10"/>
  </r>
  <r>
    <s v="Agropecuaria los Molinos S.A.S"/>
    <d v="2022-09-13T00:00:00"/>
    <m/>
    <n v="41"/>
    <s v="FEMO-1010000789"/>
    <x v="2"/>
    <m/>
    <x v="551"/>
    <n v="0"/>
    <n v="28"/>
    <n v="4502411300"/>
    <n v="5083660241"/>
    <n v="5113580506"/>
    <s v="TIENE BL"/>
    <s v="EJ*2 1750000*2"/>
    <m/>
    <x v="0"/>
    <d v="2022-10-07T00:00:00"/>
    <n v="4902361715"/>
    <n v="3500000"/>
    <s v="FEMD-5410*3"/>
    <n v="5113652808"/>
    <m/>
    <m/>
    <m/>
    <m/>
    <d v="2022-10-07T00:00:00"/>
    <x v="10"/>
  </r>
  <r>
    <s v="Surtidora Agropecuaria De Colombia"/>
    <d v="2022-10-07T00:00:00"/>
    <d v="2022-10-11T00:00:00"/>
    <n v="41"/>
    <s v="FESA-55"/>
    <x v="2"/>
    <n v="27309"/>
    <x v="207"/>
    <n v="226664700"/>
    <n v="56"/>
    <n v="4502428442"/>
    <n v="5084052227"/>
    <n v="5113647392"/>
    <m/>
    <s v="TIENE BL"/>
    <m/>
    <x v="1"/>
    <d v="2022-10-07T00:00:00"/>
    <m/>
    <m/>
    <m/>
    <m/>
    <m/>
    <m/>
    <m/>
    <m/>
    <d v="2022-10-07T00:00:00"/>
    <x v="10"/>
  </r>
  <r>
    <s v="Luis Fernando Rojas Prada"/>
    <d v="2022-10-11T00:00:00"/>
    <d v="2022-10-11T00:00:00"/>
    <n v="41"/>
    <s v="FELC-1054"/>
    <x v="0"/>
    <n v="58667"/>
    <x v="145"/>
    <n v="472269350"/>
    <n v="112"/>
    <n v="4502427410"/>
    <n v="5084030409"/>
    <n v="5113650601"/>
    <s v="CON RETEN"/>
    <s v="EJ*8 3042980*1 2982600*7"/>
    <m/>
    <x v="0"/>
    <d v="2022-10-08T00:00:00"/>
    <n v="4902361248"/>
    <n v="23921180"/>
    <s v="FEMD-5417*7"/>
    <n v="5113644043"/>
    <s v="FEMD-5416*1"/>
    <n v="5113644098"/>
    <m/>
    <m/>
    <d v="2022-10-08T00:00:00"/>
    <x v="10"/>
  </r>
  <r>
    <s v="David Martinez Jaramillo"/>
    <d v="2022-10-08T00:00:00"/>
    <d v="2022-10-11T00:00:00"/>
    <n v="41"/>
    <s v="DM275"/>
    <x v="0"/>
    <n v="13003.5"/>
    <x v="227"/>
    <n v="113130450"/>
    <n v="30"/>
    <n v="4502425139"/>
    <n v="5084029002"/>
    <n v="5113645159"/>
    <m/>
    <s v="TIENE BL"/>
    <m/>
    <x v="0"/>
    <d v="2022-10-08T00:00:00"/>
    <m/>
    <m/>
    <m/>
    <m/>
    <m/>
    <m/>
    <m/>
    <m/>
    <d v="2022-10-08T00:00:00"/>
    <x v="10"/>
  </r>
  <r>
    <s v="David Martinez Jaramillo"/>
    <d v="2022-10-11T00:00:00"/>
    <d v="2022-10-11T00:00:00"/>
    <n v="41"/>
    <s v="NC78"/>
    <x v="0"/>
    <n v="13003.5"/>
    <x v="590"/>
    <n v="-154481.5799999896"/>
    <n v="0"/>
    <n v="4502425139"/>
    <n v="5084029002"/>
    <n v="5113645161"/>
    <m/>
    <m/>
    <m/>
    <x v="0"/>
    <d v="2022-10-08T00:00:00"/>
    <m/>
    <m/>
    <m/>
    <m/>
    <m/>
    <m/>
    <m/>
    <m/>
    <d v="2022-10-08T00:00:00"/>
    <x v="10"/>
  </r>
  <r>
    <s v="Lina Maria Pelaez Gomez"/>
    <d v="2022-10-08T00:00:00"/>
    <d v="2022-10-10T00:00:00"/>
    <n v="41"/>
    <s v="LP118"/>
    <x v="0"/>
    <n v="12672.5"/>
    <x v="227"/>
    <n v="110250750"/>
    <n v="30"/>
    <n v="4502425140"/>
    <n v="5084029003"/>
    <n v="5113645051"/>
    <m/>
    <s v="TIENE BL"/>
    <m/>
    <x v="0"/>
    <d v="2022-10-08T00:00:00"/>
    <m/>
    <m/>
    <m/>
    <m/>
    <m/>
    <m/>
    <m/>
    <m/>
    <d v="2022-10-08T00:00:00"/>
    <x v="10"/>
  </r>
  <r>
    <s v="Lina Maria Pelaez Gomez"/>
    <d v="2022-10-10T00:00:00"/>
    <d v="2022-10-10T00:00:00"/>
    <n v="41"/>
    <s v="ND10"/>
    <x v="0"/>
    <n v="12672.5"/>
    <x v="591"/>
    <n v="401211.34999999817"/>
    <n v="0"/>
    <n v="4502425140"/>
    <n v="5084029003"/>
    <n v="5113645055"/>
    <m/>
    <m/>
    <m/>
    <x v="0"/>
    <d v="2022-10-08T00:00:00"/>
    <m/>
    <m/>
    <m/>
    <m/>
    <m/>
    <m/>
    <m/>
    <m/>
    <d v="2022-10-08T00:00:00"/>
    <x v="10"/>
  </r>
  <r>
    <s v="Sociedad Comercializadora Ganadera"/>
    <d v="2022-10-13T00:00:00"/>
    <d v="2022-10-13T00:00:00"/>
    <n v="41"/>
    <s v="FEDV462"/>
    <x v="0"/>
    <n v="34710.5"/>
    <x v="227"/>
    <n v="301981350"/>
    <n v="75"/>
    <n v="4502425141"/>
    <n v="5084029004"/>
    <n v="5113653915"/>
    <m/>
    <s v="TIENE BL"/>
    <m/>
    <x v="0"/>
    <d v="2022-10-08T00:00:00"/>
    <m/>
    <m/>
    <m/>
    <m/>
    <m/>
    <m/>
    <m/>
    <m/>
    <d v="2022-10-08T00:00:00"/>
    <x v="10"/>
  </r>
  <r>
    <s v="Agropecuaria Tabaida S.A.S"/>
    <d v="2022-10-09T00:00:00"/>
    <m/>
    <n v="41"/>
    <s v="MT-1595"/>
    <x v="0"/>
    <n v="20349"/>
    <x v="145"/>
    <n v="163809450"/>
    <n v="42"/>
    <n v="4502427411"/>
    <n v="5084030410"/>
    <n v="5113650603"/>
    <s v="TIENE BL"/>
    <s v="TYC 4792500"/>
    <m/>
    <x v="0"/>
    <d v="2022-10-09T00:00:00"/>
    <n v="4902361249"/>
    <n v="4792500"/>
    <s v="ETE-3705"/>
    <n v="5113645641"/>
    <m/>
    <m/>
    <m/>
    <m/>
    <d v="2022-10-09T00:00:00"/>
    <x v="10"/>
  </r>
  <r>
    <s v="Agropecuaria Tabaida S.A.S"/>
    <d v="2022-10-10T00:00:00"/>
    <d v="2022-10-12T00:00:00"/>
    <n v="41"/>
    <n v="1"/>
    <x v="0"/>
    <n v="20349"/>
    <x v="584"/>
    <n v="488376"/>
    <n v="0"/>
    <n v="4502427411"/>
    <n v="5084030410"/>
    <n v="5113650604"/>
    <m/>
    <m/>
    <m/>
    <x v="0"/>
    <d v="2022-10-09T00:00:00"/>
    <m/>
    <m/>
    <s v="ETE-3705"/>
    <n v="5113645641"/>
    <m/>
    <m/>
    <m/>
    <m/>
    <d v="2022-10-09T00:00:00"/>
    <x v="10"/>
  </r>
  <r>
    <s v="Gonzalo Hoyos Pulido"/>
    <d v="2022-10-11T00:00:00"/>
    <m/>
    <n v="41"/>
    <s v="FELE-70"/>
    <x v="0"/>
    <n v="5683.5"/>
    <x v="227"/>
    <n v="49446450"/>
    <n v="14"/>
    <n v="4502425142"/>
    <n v="5084035756"/>
    <n v="5113647409"/>
    <m/>
    <s v="CON RETEN "/>
    <m/>
    <x v="0"/>
    <d v="2022-10-09T00:00:00"/>
    <m/>
    <m/>
    <m/>
    <m/>
    <m/>
    <m/>
    <m/>
    <m/>
    <d v="2022-10-09T00:00:00"/>
    <x v="10"/>
  </r>
  <r>
    <s v="Gonzalo Hoyos Pulido"/>
    <d v="2022-10-11T00:00:00"/>
    <m/>
    <n v="41"/>
    <s v="NC11"/>
    <x v="0"/>
    <n v="5683.5"/>
    <x v="592"/>
    <n v="-156978.27000000456"/>
    <n v="0"/>
    <n v="4502425142"/>
    <n v="5084035756"/>
    <n v="5113647432"/>
    <m/>
    <m/>
    <m/>
    <x v="0"/>
    <d v="2022-10-09T00:00:00"/>
    <m/>
    <m/>
    <m/>
    <m/>
    <m/>
    <m/>
    <m/>
    <m/>
    <d v="2022-10-09T00:00:00"/>
    <x v="10"/>
  </r>
  <r>
    <s v="David Martinez Jaramillo"/>
    <d v="2022-10-09T00:00:00"/>
    <d v="2022-10-12T00:00:00"/>
    <n v="41"/>
    <s v="DM-276"/>
    <x v="0"/>
    <n v="19546.5"/>
    <x v="227"/>
    <n v="170054550"/>
    <n v="42"/>
    <n v="4502425528"/>
    <n v="5084035757"/>
    <n v="5113649822"/>
    <m/>
    <s v="TIENE BL"/>
    <m/>
    <x v="0"/>
    <d v="2022-10-09T00:00:00"/>
    <m/>
    <m/>
    <m/>
    <m/>
    <m/>
    <m/>
    <m/>
    <m/>
    <d v="2022-10-09T00:00:00"/>
    <x v="10"/>
  </r>
  <r>
    <s v="David Martinez Jaramillo"/>
    <d v="2022-10-11T00:00:00"/>
    <d v="2022-10-12T00:00:00"/>
    <n v="41"/>
    <s v="NC79"/>
    <x v="0"/>
    <n v="19546.5"/>
    <x v="2"/>
    <n v="-1954650"/>
    <n v="0"/>
    <n v="4502425528"/>
    <n v="5084035757"/>
    <n v="5113649823"/>
    <m/>
    <m/>
    <m/>
    <x v="0"/>
    <d v="2022-10-09T00:00:00"/>
    <m/>
    <m/>
    <m/>
    <m/>
    <m/>
    <m/>
    <m/>
    <m/>
    <d v="2022-10-09T00:00:00"/>
    <x v="10"/>
  </r>
  <r>
    <s v="David Martinez Jaramillo"/>
    <d v="2022-10-09T00:00:00"/>
    <d v="2022-10-12T00:00:00"/>
    <n v="41"/>
    <s v="DM-277"/>
    <x v="0"/>
    <n v="6778.5"/>
    <x v="227"/>
    <n v="58972950"/>
    <n v="15"/>
    <n v="4502425528"/>
    <n v="5084035757"/>
    <n v="5113649826"/>
    <m/>
    <s v="TIENE BL"/>
    <m/>
    <x v="0"/>
    <d v="2022-10-09T00:00:00"/>
    <m/>
    <m/>
    <m/>
    <m/>
    <m/>
    <m/>
    <m/>
    <m/>
    <d v="2022-10-09T00:00:00"/>
    <x v="10"/>
  </r>
  <r>
    <s v="David Martinez Jaramillo"/>
    <d v="2022-10-11T00:00:00"/>
    <d v="2022-10-12T00:00:00"/>
    <n v="41"/>
    <s v="NC80"/>
    <x v="0"/>
    <n v="6778.5"/>
    <x v="593"/>
    <n v="-515166"/>
    <n v="0"/>
    <n v="4502425528"/>
    <n v="5084035757"/>
    <n v="5113649888"/>
    <m/>
    <m/>
    <m/>
    <x v="0"/>
    <d v="2022-10-09T00:00:00"/>
    <m/>
    <m/>
    <m/>
    <m/>
    <m/>
    <m/>
    <m/>
    <m/>
    <d v="2022-10-09T00:00:00"/>
    <x v="10"/>
  </r>
  <r>
    <s v="Sociedad Comercializadora Ganadera"/>
    <d v="2022-10-13T00:00:00"/>
    <d v="2022-10-13T00:00:00"/>
    <n v="41"/>
    <s v="FEDV463"/>
    <x v="0"/>
    <n v="5723"/>
    <x v="227"/>
    <n v="49790100"/>
    <n v="14"/>
    <n v="4502425530"/>
    <n v="5084035798"/>
    <n v="5113653916"/>
    <m/>
    <s v="TIENE BL"/>
    <m/>
    <x v="0"/>
    <d v="2022-10-09T00:00:00"/>
    <m/>
    <m/>
    <m/>
    <m/>
    <m/>
    <m/>
    <m/>
    <m/>
    <d v="2022-10-09T00:00:00"/>
    <x v="10"/>
  </r>
  <r>
    <s v="Sociedad Comercializadora Ganadera"/>
    <d v="2022-10-13T00:00:00"/>
    <d v="2022-10-13T00:00:00"/>
    <n v="41"/>
    <s v="FEDV463"/>
    <x v="1"/>
    <n v="26601.5"/>
    <x v="227"/>
    <n v="231433050"/>
    <n v="61"/>
    <n v="4502425143"/>
    <n v="5084035798"/>
    <n v="5113653916"/>
    <m/>
    <s v="TIENE BL"/>
    <m/>
    <x v="0"/>
    <d v="2022-10-09T00:00:00"/>
    <m/>
    <m/>
    <m/>
    <m/>
    <m/>
    <m/>
    <m/>
    <m/>
    <d v="2022-10-09T00:00:00"/>
    <x v="10"/>
  </r>
  <r>
    <s v="Inversiones Valle Del Canalete S.A.S"/>
    <d v="2022-10-10T00:00:00"/>
    <d v="2022-10-12T00:00:00"/>
    <n v="41"/>
    <s v="IVC143"/>
    <x v="2"/>
    <n v="25846"/>
    <x v="175"/>
    <n v="211937200"/>
    <n v="56"/>
    <n v="4502429602"/>
    <n v="5084072964"/>
    <n v="5113658418"/>
    <m/>
    <m/>
    <s v="CON RETEN"/>
    <x v="1"/>
    <d v="2022-10-09T00:00:00"/>
    <m/>
    <m/>
    <m/>
    <m/>
    <m/>
    <m/>
    <m/>
    <m/>
    <d v="2022-10-09T00:00:00"/>
    <x v="10"/>
  </r>
  <r>
    <s v="Inversiones Valle Del Canalete S.A.S"/>
    <d v="2022-10-10T00:00:00"/>
    <d v="2022-10-10T00:00:00"/>
    <n v="41"/>
    <s v="IVC144"/>
    <x v="2"/>
    <n v="25846"/>
    <x v="584"/>
    <n v="620304"/>
    <n v="0"/>
    <n v="4502429602"/>
    <n v="5084072964"/>
    <n v="5113658420"/>
    <m/>
    <m/>
    <m/>
    <x v="1"/>
    <d v="2022-10-09T00:00:00"/>
    <m/>
    <m/>
    <m/>
    <m/>
    <m/>
    <m/>
    <m/>
    <m/>
    <d v="2022-10-09T00:00:00"/>
    <x v="10"/>
  </r>
  <r>
    <s v="31416 S.A.S"/>
    <d v="2022-10-09T00:00:00"/>
    <d v="2022-10-13T00:00:00"/>
    <n v="41"/>
    <s v="PI185"/>
    <x v="2"/>
    <n v="15370"/>
    <x v="175"/>
    <n v="126034000"/>
    <n v="30"/>
    <n v="4502429611"/>
    <n v="5084073018"/>
    <n v="5113650605"/>
    <m/>
    <s v="CON RETEN"/>
    <m/>
    <x v="1"/>
    <d v="2022-10-09T00:00:00"/>
    <m/>
    <m/>
    <m/>
    <m/>
    <m/>
    <m/>
    <m/>
    <m/>
    <d v="2022-10-09T00:00:00"/>
    <x v="10"/>
  </r>
  <r>
    <s v="Maria Ines Saade Mejia"/>
    <d v="2022-10-20T00:00:00"/>
    <d v="2022-10-20T00:00:00"/>
    <n v="41"/>
    <s v="FE-163"/>
    <x v="2"/>
    <n v="6585"/>
    <x v="206"/>
    <n v="54326250"/>
    <n v="14"/>
    <n v="4502429615"/>
    <n v="5084073071"/>
    <n v="5113670130"/>
    <m/>
    <s v="CON RETEN"/>
    <m/>
    <x v="1"/>
    <d v="2022-10-09T00:00:00"/>
    <m/>
    <m/>
    <m/>
    <m/>
    <m/>
    <m/>
    <m/>
    <m/>
    <d v="2022-10-09T00:00:00"/>
    <x v="10"/>
  </r>
  <r>
    <s v="Maria Ines Saade Mejia"/>
    <d v="2022-10-28T00:00:00"/>
    <d v="2022-10-29T00:00:00"/>
    <n v="41"/>
    <s v="FE-166"/>
    <x v="2"/>
    <n v="6585"/>
    <x v="584"/>
    <n v="158040"/>
    <n v="0"/>
    <n v="4502429615"/>
    <n v="5084073071"/>
    <n v="5113692939"/>
    <m/>
    <m/>
    <m/>
    <x v="1"/>
    <d v="2022-10-09T00:00:00"/>
    <m/>
    <m/>
    <m/>
    <m/>
    <m/>
    <m/>
    <m/>
    <m/>
    <d v="2022-10-09T00:00:00"/>
    <x v="10"/>
  </r>
  <r>
    <s v="Agropecuaria los Molinos S.A.S"/>
    <d v="2022-10-10T00:00:00"/>
    <m/>
    <n v="41"/>
    <s v="FEMO-1010000825"/>
    <x v="0"/>
    <n v="145392"/>
    <x v="594"/>
    <n v="1357234320"/>
    <n v="280"/>
    <n v="4502428887"/>
    <n v="5084058569"/>
    <n v="5113644930"/>
    <s v="TIENE BL"/>
    <s v="EJ*6 3680000*4 1120000*1 1320000*1"/>
    <m/>
    <x v="2"/>
    <d v="2022-10-09T00:00:00"/>
    <n v="4902365169"/>
    <n v="6120000"/>
    <s v="FEMD-5423*6"/>
    <n v="5113652810"/>
    <m/>
    <m/>
    <m/>
    <m/>
    <d v="2022-10-09T00:00:00"/>
    <x v="10"/>
  </r>
  <r>
    <s v="Inversiones Urbagro S.A.S"/>
    <d v="2022-10-14T00:00:00"/>
    <d v="2022-10-14T00:00:00"/>
    <n v="41"/>
    <s v="FE-25"/>
    <x v="0"/>
    <n v="18870.5"/>
    <x v="308"/>
    <n v="157568675"/>
    <n v="45"/>
    <n v="4502425144"/>
    <n v="5084055543"/>
    <n v="5113656701"/>
    <m/>
    <s v="CON RETEN"/>
    <m/>
    <x v="0"/>
    <d v="2022-10-10T00:00:00"/>
    <m/>
    <m/>
    <m/>
    <m/>
    <m/>
    <m/>
    <m/>
    <m/>
    <d v="2022-10-10T00:00:00"/>
    <x v="10"/>
  </r>
  <r>
    <s v="Inversiones Urbagro S.A.S"/>
    <d v="2022-10-14T00:00:00"/>
    <d v="2022-10-14T00:00:00"/>
    <n v="41"/>
    <s v="NC14"/>
    <x v="0"/>
    <n v="18870.5"/>
    <x v="595"/>
    <n v="-1176198.2649999987"/>
    <n v="0"/>
    <n v="4502425144"/>
    <n v="5084055543"/>
    <n v="5113656703"/>
    <m/>
    <m/>
    <m/>
    <x v="0"/>
    <d v="2022-10-10T00:00:00"/>
    <m/>
    <m/>
    <m/>
    <m/>
    <m/>
    <m/>
    <m/>
    <m/>
    <d v="2022-10-10T00:00:00"/>
    <x v="10"/>
  </r>
  <r>
    <s v="Itakia S.A.S. ZOMAC"/>
    <d v="2022-10-10T00:00:00"/>
    <d v="2022-10-13T00:00:00"/>
    <n v="41"/>
    <s v="FE-100029"/>
    <x v="0"/>
    <n v="33527.5"/>
    <x v="151"/>
    <n v="273249125"/>
    <n v="75"/>
    <n v="4502425145"/>
    <n v="5084054522"/>
    <n v="5113673436"/>
    <m/>
    <s v="CON RETEN"/>
    <m/>
    <x v="0"/>
    <d v="2022-10-10T00:00:00"/>
    <m/>
    <m/>
    <m/>
    <m/>
    <m/>
    <m/>
    <m/>
    <m/>
    <d v="2022-10-10T00:00:00"/>
    <x v="10"/>
  </r>
  <r>
    <s v="Itakia S.A.S. ZOMAC"/>
    <d v="2022-10-10T00:00:00"/>
    <d v="2022-10-13T00:00:00"/>
    <n v="41"/>
    <s v="NC18"/>
    <x v="0"/>
    <n v="33527.5"/>
    <x v="596"/>
    <n v="-1936883.6750000147"/>
    <n v="0"/>
    <n v="4502425145"/>
    <n v="5084054522"/>
    <n v="5113673777"/>
    <m/>
    <m/>
    <m/>
    <x v="0"/>
    <d v="2022-10-10T00:00:00"/>
    <m/>
    <m/>
    <m/>
    <m/>
    <m/>
    <m/>
    <m/>
    <m/>
    <d v="2022-10-10T00:00:00"/>
    <x v="10"/>
  </r>
  <r>
    <s v="Andres Felipe Mantilla Acosta"/>
    <d v="2022-10-12T00:00:00"/>
    <d v="2022-10-13T00:00:00"/>
    <n v="41"/>
    <s v="FEFE43"/>
    <x v="0"/>
    <n v="6609.5"/>
    <x v="308"/>
    <n v="55189325"/>
    <n v="14"/>
    <n v="4502425146"/>
    <n v="5084054523"/>
    <n v="5113650859"/>
    <m/>
    <s v="TIENE BL"/>
    <m/>
    <x v="0"/>
    <d v="2022-10-10T00:00:00"/>
    <m/>
    <m/>
    <m/>
    <m/>
    <m/>
    <m/>
    <m/>
    <m/>
    <d v="2022-10-10T00:00:00"/>
    <x v="10"/>
  </r>
  <r>
    <s v="Andres Felipe Mantilla Acosta"/>
    <d v="2022-10-10T00:00:00"/>
    <d v="2022-10-13T00:00:00"/>
    <n v="41"/>
    <s v="NC13"/>
    <x v="0"/>
    <n v="6609.5"/>
    <x v="2"/>
    <n v="-660950"/>
    <n v="0"/>
    <n v="4502425146"/>
    <n v="5084054523"/>
    <n v="5113650860"/>
    <m/>
    <m/>
    <m/>
    <x v="0"/>
    <d v="2022-10-10T00:00:00"/>
    <m/>
    <m/>
    <m/>
    <m/>
    <m/>
    <m/>
    <m/>
    <m/>
    <d v="2022-10-10T00:00:00"/>
    <x v="10"/>
  </r>
  <r>
    <s v="Sociedad Comercializadora Ganadera"/>
    <d v="2022-10-13T00:00:00"/>
    <d v="2022-10-13T00:00:00"/>
    <n v="41"/>
    <s v="FEDV464"/>
    <x v="0"/>
    <n v="6921.5"/>
    <x v="227"/>
    <n v="60217050"/>
    <n v="15"/>
    <n v="4502425561"/>
    <n v="5084054526"/>
    <n v="5113653948"/>
    <m/>
    <s v="TIENE BL"/>
    <m/>
    <x v="0"/>
    <d v="2022-10-10T00:00:00"/>
    <m/>
    <m/>
    <m/>
    <m/>
    <m/>
    <m/>
    <m/>
    <m/>
    <d v="2022-10-10T00:00:00"/>
    <x v="10"/>
  </r>
  <r>
    <s v="David Martinez Jaramillo"/>
    <d v="2022-10-10T00:00:00"/>
    <d v="2022-10-12T00:00:00"/>
    <n v="41"/>
    <s v="DM278"/>
    <x v="0"/>
    <n v="6862.5"/>
    <x v="227"/>
    <n v="59703750"/>
    <n v="15"/>
    <n v="4502426984"/>
    <n v="5084054524"/>
    <n v="5113656762"/>
    <m/>
    <s v="TIENE BL"/>
    <m/>
    <x v="0"/>
    <d v="2022-10-10T00:00:00"/>
    <m/>
    <m/>
    <m/>
    <m/>
    <m/>
    <m/>
    <m/>
    <m/>
    <d v="2022-10-10T00:00:00"/>
    <x v="10"/>
  </r>
  <r>
    <s v="David Martinez Jaramillo"/>
    <d v="2022-10-12T00:00:00"/>
    <d v="2022-10-12T00:00:00"/>
    <n v="41"/>
    <s v="NC81"/>
    <x v="0"/>
    <n v="20338.5"/>
    <x v="597"/>
    <n v="-1621588.6049999911"/>
    <n v="0"/>
    <n v="4502426984"/>
    <n v="5084054527"/>
    <n v="5113656763"/>
    <m/>
    <m/>
    <m/>
    <x v="0"/>
    <d v="2022-10-10T00:00:00"/>
    <m/>
    <m/>
    <m/>
    <m/>
    <m/>
    <m/>
    <m/>
    <m/>
    <d v="2022-10-10T00:00:00"/>
    <x v="10"/>
  </r>
  <r>
    <s v="David Martinez Jaramillo"/>
    <d v="2022-10-10T00:00:00"/>
    <d v="2022-10-12T00:00:00"/>
    <n v="41"/>
    <s v="DM278"/>
    <x v="1"/>
    <n v="13476"/>
    <x v="227"/>
    <n v="117241200"/>
    <n v="30"/>
    <n v="4502425147"/>
    <n v="5084054524"/>
    <n v="5113656762"/>
    <m/>
    <s v="TIENE BL"/>
    <m/>
    <x v="0"/>
    <d v="2022-10-10T00:00:00"/>
    <m/>
    <m/>
    <m/>
    <m/>
    <m/>
    <m/>
    <m/>
    <m/>
    <d v="2022-10-10T00:00:00"/>
    <x v="10"/>
  </r>
  <r>
    <s v="David Martinez Jaramillo"/>
    <d v="2022-10-10T00:00:00"/>
    <d v="2022-10-12T00:00:00"/>
    <n v="41"/>
    <s v="DM279"/>
    <x v="1"/>
    <n v="12879.5"/>
    <x v="227"/>
    <n v="112051650"/>
    <n v="26"/>
    <n v="4502425147"/>
    <n v="5084054524"/>
    <n v="5113651239"/>
    <m/>
    <s v="TIENE BL"/>
    <m/>
    <x v="0"/>
    <d v="2022-10-10T00:00:00"/>
    <m/>
    <m/>
    <m/>
    <m/>
    <m/>
    <m/>
    <m/>
    <m/>
    <d v="2022-10-10T00:00:00"/>
    <x v="10"/>
  </r>
  <r>
    <s v="David Martinez Jaramillo"/>
    <d v="2022-10-12T00:00:00"/>
    <d v="2022-10-12T00:00:00"/>
    <n v="41"/>
    <s v="NC82"/>
    <x v="1"/>
    <n v="12879.5"/>
    <x v="598"/>
    <n v="-1409017.2999999954"/>
    <n v="0"/>
    <n v="4502425147"/>
    <n v="5084054524"/>
    <n v="5113656909"/>
    <m/>
    <m/>
    <m/>
    <x v="0"/>
    <d v="2022-10-10T00:00:00"/>
    <m/>
    <m/>
    <m/>
    <m/>
    <m/>
    <m/>
    <m/>
    <m/>
    <d v="2022-10-10T00:00:00"/>
    <x v="10"/>
  </r>
  <r>
    <s v="Agroindustria Ganadera Valle Del Cesar"/>
    <d v="2022-10-13T00:00:00"/>
    <m/>
    <n v="41"/>
    <s v="FE-54"/>
    <x v="0"/>
    <n v="12656"/>
    <x v="308"/>
    <n v="105677600"/>
    <n v="28"/>
    <n v="4502426988"/>
    <n v="5084054588"/>
    <n v="5113650677"/>
    <m/>
    <s v="CON RETEN"/>
    <m/>
    <x v="0"/>
    <d v="2022-10-10T00:00:00"/>
    <m/>
    <m/>
    <m/>
    <m/>
    <m/>
    <m/>
    <m/>
    <m/>
    <d v="2022-10-10T00:00:00"/>
    <x v="10"/>
  </r>
  <r>
    <s v="Agroindustria Ganadera Valle Del Cesar"/>
    <d v="2022-10-13T00:00:00"/>
    <m/>
    <n v="41"/>
    <s v="C00214"/>
    <x v="0"/>
    <n v="12656"/>
    <x v="13"/>
    <n v="-632800"/>
    <n v="0"/>
    <n v="4502426988"/>
    <n v="5084054588"/>
    <n v="5113650678"/>
    <m/>
    <m/>
    <m/>
    <x v="0"/>
    <d v="2022-10-10T00:00:00"/>
    <m/>
    <m/>
    <m/>
    <m/>
    <m/>
    <m/>
    <m/>
    <m/>
    <d v="2022-10-10T00:00:00"/>
    <x v="10"/>
  </r>
  <r>
    <s v="LA OKA S.A.S."/>
    <d v="2022-10-13T00:00:00"/>
    <m/>
    <n v="41"/>
    <s v="FEOK-82"/>
    <x v="1"/>
    <n v="6679.5"/>
    <x v="206"/>
    <n v="55105875"/>
    <n v="14"/>
    <n v="4502425148"/>
    <n v="5084054525"/>
    <n v="5113651100"/>
    <m/>
    <s v="CON RETEN"/>
    <m/>
    <x v="0"/>
    <d v="2022-10-10T00:00:00"/>
    <m/>
    <m/>
    <m/>
    <m/>
    <m/>
    <m/>
    <m/>
    <m/>
    <d v="2022-10-10T00:00:00"/>
    <x v="10"/>
  </r>
  <r>
    <s v="Inversiones Urbagro S.A.S"/>
    <d v="2022-10-14T00:00:00"/>
    <d v="2022-10-14T00:00:00"/>
    <n v="41"/>
    <s v="FE-26"/>
    <x v="0"/>
    <n v="26535"/>
    <x v="308"/>
    <n v="221567250"/>
    <n v="60"/>
    <n v="4502425149"/>
    <n v="5084060918"/>
    <n v="5113661771"/>
    <m/>
    <s v="CON RETEN"/>
    <m/>
    <x v="0"/>
    <d v="2022-10-11T00:00:00"/>
    <m/>
    <m/>
    <m/>
    <m/>
    <m/>
    <m/>
    <m/>
    <m/>
    <d v="2022-10-11T00:00:00"/>
    <x v="10"/>
  </r>
  <r>
    <s v="Inversiones Urbagro S.A.S"/>
    <d v="2022-10-14T00:00:00"/>
    <d v="2022-10-14T00:00:00"/>
    <n v="41"/>
    <s v="NC15"/>
    <x v="0"/>
    <n v="26535"/>
    <x v="599"/>
    <n v="-2730451.4999999902"/>
    <n v="0"/>
    <n v="4502425149"/>
    <n v="5084060918"/>
    <n v="5113661775"/>
    <m/>
    <m/>
    <m/>
    <x v="0"/>
    <d v="2022-10-11T00:00:00"/>
    <m/>
    <m/>
    <m/>
    <m/>
    <m/>
    <m/>
    <m/>
    <m/>
    <d v="2022-10-11T00:00:00"/>
    <x v="10"/>
  </r>
  <r>
    <s v="Sociedad Comercializadora Ganadera"/>
    <d v="2022-10-13T00:00:00"/>
    <d v="2022-10-13T00:00:00"/>
    <n v="41"/>
    <s v="FEDV466"/>
    <x v="0"/>
    <n v="7149.5"/>
    <x v="227"/>
    <n v="62200650"/>
    <n v="15"/>
    <n v="4502425150"/>
    <n v="5084060920"/>
    <n v="5113653956"/>
    <m/>
    <s v="TIENE BL"/>
    <m/>
    <x v="0"/>
    <d v="2022-10-11T00:00:00"/>
    <m/>
    <m/>
    <m/>
    <m/>
    <m/>
    <m/>
    <m/>
    <m/>
    <d v="2022-10-11T00:00:00"/>
    <x v="10"/>
  </r>
  <r>
    <s v="Sociedad Comercializadora Ganadera"/>
    <d v="2022-10-13T00:00:00"/>
    <d v="2022-10-13T00:00:00"/>
    <n v="41"/>
    <s v="NC235"/>
    <x v="0"/>
    <n v="7149.5"/>
    <x v="11"/>
    <n v="-1072425"/>
    <n v="0"/>
    <n v="4502425150"/>
    <n v="5084060920"/>
    <n v="5113653961"/>
    <m/>
    <m/>
    <m/>
    <x v="0"/>
    <d v="2022-10-11T00:00:00"/>
    <m/>
    <m/>
    <m/>
    <m/>
    <m/>
    <m/>
    <m/>
    <m/>
    <d v="2022-10-11T00:00:00"/>
    <x v="10"/>
  </r>
  <r>
    <s v="Sociedad Comercializadora Ganadera"/>
    <d v="2022-10-13T00:00:00"/>
    <d v="2022-10-13T00:00:00"/>
    <n v="41"/>
    <s v="FEDV467"/>
    <x v="0"/>
    <n v="6039"/>
    <x v="227"/>
    <n v="52539300"/>
    <n v="16"/>
    <n v="4502425150"/>
    <n v="5084060920"/>
    <n v="5113653963"/>
    <m/>
    <s v="TIENE BL"/>
    <m/>
    <x v="0"/>
    <d v="2022-10-11T00:00:00"/>
    <m/>
    <m/>
    <m/>
    <m/>
    <m/>
    <m/>
    <m/>
    <m/>
    <d v="2022-10-11T00:00:00"/>
    <x v="10"/>
  </r>
  <r>
    <s v="Sociedad Comercializadora Ganadera"/>
    <d v="2022-10-13T00:00:00"/>
    <d v="2022-10-13T00:00:00"/>
    <n v="41"/>
    <s v="NC236"/>
    <x v="0"/>
    <n v="6039"/>
    <x v="479"/>
    <n v="-471162.78000000265"/>
    <n v="0"/>
    <n v="4502425150"/>
    <n v="5084060920"/>
    <n v="5113653965"/>
    <m/>
    <m/>
    <m/>
    <x v="0"/>
    <d v="2022-10-11T00:00:00"/>
    <m/>
    <m/>
    <m/>
    <m/>
    <m/>
    <m/>
    <m/>
    <m/>
    <d v="2022-10-11T00:00:00"/>
    <x v="10"/>
  </r>
  <r>
    <s v="Agropecuaria Bajogrande S.A."/>
    <d v="2022-09-14T00:00:00"/>
    <d v="2022-10-14T00:00:00"/>
    <n v="41"/>
    <s v="AB711"/>
    <x v="2"/>
    <n v="13327"/>
    <x v="308"/>
    <n v="111280450"/>
    <n v="28"/>
    <n v="4502431028"/>
    <n v="5084097066"/>
    <n v="5113657209"/>
    <m/>
    <s v="CON RETEN"/>
    <m/>
    <x v="1"/>
    <d v="2022-10-11T00:00:00"/>
    <m/>
    <m/>
    <m/>
    <m/>
    <m/>
    <m/>
    <m/>
    <m/>
    <d v="2022-10-11T00:00:00"/>
    <x v="10"/>
  </r>
  <r>
    <s v="Carlos Mario Duque Cadavid"/>
    <d v="2022-10-11T00:00:00"/>
    <m/>
    <n v="41"/>
    <s v="CD-133"/>
    <x v="2"/>
    <n v="26274"/>
    <x v="206"/>
    <n v="216760500"/>
    <n v="56"/>
    <n v="4502431039"/>
    <n v="5084097341"/>
    <n v="5113652437"/>
    <m/>
    <s v="CON RETEN"/>
    <m/>
    <x v="1"/>
    <d v="2022-10-11T00:00:00"/>
    <m/>
    <m/>
    <m/>
    <m/>
    <m/>
    <m/>
    <m/>
    <m/>
    <d v="2022-10-11T00:00:00"/>
    <x v="10"/>
  </r>
  <r>
    <s v="Agropecuaria El Uberrimo S.A.S"/>
    <d v="2022-10-11T00:00:00"/>
    <m/>
    <n v="41"/>
    <s v="FE-284"/>
    <x v="2"/>
    <n v="16476"/>
    <x v="600"/>
    <n v="135802770.95999998"/>
    <n v="30"/>
    <n v="4502429662"/>
    <n v="5084073758"/>
    <n v="5113659196"/>
    <m/>
    <s v="CON RETEN"/>
    <m/>
    <x v="1"/>
    <d v="2022-10-11T00:00:00"/>
    <m/>
    <m/>
    <m/>
    <m/>
    <m/>
    <m/>
    <m/>
    <m/>
    <d v="2022-10-11T00:00:00"/>
    <x v="10"/>
  </r>
  <r>
    <s v="Misionagro S.A.S"/>
    <d v="2022-10-11T00:00:00"/>
    <m/>
    <n v="41"/>
    <s v="MISI-161"/>
    <x v="2"/>
    <n v="29131"/>
    <x v="601"/>
    <n v="241599696.35999998"/>
    <n v="52"/>
    <n v="4502431352"/>
    <n v="5084108006"/>
    <n v="5113659448"/>
    <m/>
    <s v="CON RETEN"/>
    <m/>
    <x v="1"/>
    <d v="2022-10-11T00:00:00"/>
    <m/>
    <m/>
    <m/>
    <m/>
    <m/>
    <m/>
    <m/>
    <m/>
    <d v="2022-10-11T00:00:00"/>
    <x v="10"/>
  </r>
  <r>
    <s v="Zonia Rosa Bechara De Barguil"/>
    <d v="2022-10-14T00:00:00"/>
    <m/>
    <n v="41"/>
    <s v="ZRB-14"/>
    <x v="2"/>
    <n v="21828"/>
    <x v="207"/>
    <n v="181172400"/>
    <n v="42"/>
    <n v="4502431045"/>
    <n v="5084107956"/>
    <n v="5113663171"/>
    <m/>
    <s v="CON RETEN"/>
    <m/>
    <x v="1"/>
    <d v="2022-10-11T00:00:00"/>
    <m/>
    <m/>
    <m/>
    <m/>
    <m/>
    <m/>
    <m/>
    <m/>
    <d v="2022-10-11T00:00:00"/>
    <x v="10"/>
  </r>
  <r>
    <s v="Mauricio De Jesús Bernal Jaramillo"/>
    <d v="2022-10-15T00:00:00"/>
    <m/>
    <n v="41"/>
    <s v="FE-207"/>
    <x v="2"/>
    <n v="13124"/>
    <x v="602"/>
    <n v="108233103.03999999"/>
    <n v="30"/>
    <n v="4502431060"/>
    <n v="5084113949"/>
    <n v="5113659450"/>
    <s v="CON RETEN"/>
    <m/>
    <m/>
    <x v="1"/>
    <d v="2022-10-11T00:00:00"/>
    <m/>
    <m/>
    <m/>
    <m/>
    <m/>
    <m/>
    <m/>
    <m/>
    <d v="2022-10-11T00:00:00"/>
    <x v="10"/>
  </r>
  <r>
    <s v="Mauricio De Jesús Bernal Jaramillo"/>
    <d v="2022-10-15T00:00:00"/>
    <m/>
    <n v="41"/>
    <s v="FE-208"/>
    <x v="2"/>
    <n v="13124"/>
    <x v="584"/>
    <n v="314976"/>
    <n v="0"/>
    <n v="4502431060"/>
    <n v="5084113949"/>
    <n v="5113659451"/>
    <m/>
    <m/>
    <m/>
    <x v="1"/>
    <d v="2022-10-11T00:00:00"/>
    <m/>
    <m/>
    <m/>
    <m/>
    <m/>
    <m/>
    <m/>
    <m/>
    <d v="2022-10-11T00:00:00"/>
    <x v="10"/>
  </r>
  <r>
    <s v="Sociedad Comercializadora Ganadera"/>
    <d v="2022-10-13T00:00:00"/>
    <d v="2022-10-13T00:00:00"/>
    <n v="41"/>
    <s v="FEDV465"/>
    <x v="3"/>
    <n v="8189"/>
    <x v="56"/>
    <n v="62236400"/>
    <n v="32"/>
    <n v="4502430624"/>
    <n v="5084092016"/>
    <n v="5113653998"/>
    <m/>
    <s v="TIENE BL"/>
    <m/>
    <x v="2"/>
    <d v="2022-10-12T00:00:00"/>
    <m/>
    <m/>
    <m/>
    <m/>
    <m/>
    <m/>
    <m/>
    <m/>
    <d v="2022-10-12T00:00:00"/>
    <x v="10"/>
  </r>
  <r>
    <s v="Primavera del Magdalena S.A.S."/>
    <d v="2022-10-19T00:00:00"/>
    <d v="2022-10-20T00:00:00"/>
    <n v="42"/>
    <s v="PRI-92"/>
    <x v="0"/>
    <n v="6599.5"/>
    <x v="234"/>
    <n v="55765775"/>
    <n v="14"/>
    <n v="4502430349"/>
    <n v="5084148970"/>
    <n v="5113663311"/>
    <m/>
    <s v="TIENE BL"/>
    <m/>
    <x v="0"/>
    <d v="2022-10-14T00:00:00"/>
    <m/>
    <m/>
    <m/>
    <m/>
    <m/>
    <m/>
    <m/>
    <m/>
    <d v="2022-10-14T00:00:00"/>
    <x v="10"/>
  </r>
  <r>
    <s v="Primavera del Magdalena S.A.S."/>
    <d v="2022-10-19T00:00:00"/>
    <d v="2022-10-20T00:00:00"/>
    <n v="42"/>
    <s v="D00213"/>
    <x v="0"/>
    <n v="6599.5"/>
    <x v="584"/>
    <n v="158388"/>
    <n v="0"/>
    <n v="4502430349"/>
    <n v="5084148970"/>
    <n v="5113663313"/>
    <m/>
    <m/>
    <m/>
    <x v="0"/>
    <d v="2022-10-14T00:00:00"/>
    <m/>
    <m/>
    <m/>
    <m/>
    <m/>
    <m/>
    <m/>
    <m/>
    <d v="2022-10-14T00:00:00"/>
    <x v="10"/>
  </r>
  <r>
    <s v="Luis Fernando Rojas Prada"/>
    <d v="2022-10-18T00:00:00"/>
    <d v="2022-10-18T00:00:00"/>
    <n v="42"/>
    <s v="FELC-1059"/>
    <x v="0"/>
    <n v="35716"/>
    <x v="151"/>
    <n v="291085400"/>
    <n v="70"/>
    <n v="4502432245"/>
    <n v="5084133479"/>
    <n v="5113663143"/>
    <s v="TIENE BL"/>
    <s v="EJ*5 2982600*5"/>
    <m/>
    <x v="0"/>
    <d v="2022-10-14T00:00:00"/>
    <n v="4902366622"/>
    <n v="14913000"/>
    <s v="FEMD-5438*5"/>
    <n v="5113658651"/>
    <m/>
    <m/>
    <m/>
    <m/>
    <d v="2022-10-14T00:00:00"/>
    <x v="10"/>
  </r>
  <r>
    <s v="Edwar Florez Zabaleta"/>
    <d v="2022-10-19T00:00:00"/>
    <d v="2022-10-24T00:00:00"/>
    <n v="42"/>
    <s v="GANA-17"/>
    <x v="0"/>
    <n v="27445.5"/>
    <x v="234"/>
    <n v="231914475"/>
    <n v="56"/>
    <n v="4502430350"/>
    <n v="5084149023"/>
    <n v="5113693875"/>
    <m/>
    <s v="TIENE BL"/>
    <m/>
    <x v="0"/>
    <d v="2022-10-14T00:00:00"/>
    <m/>
    <m/>
    <m/>
    <m/>
    <m/>
    <m/>
    <m/>
    <m/>
    <d v="2022-10-14T00:00:00"/>
    <x v="10"/>
  </r>
  <r>
    <s v="Edwar Florez Zabaleta"/>
    <d v="2022-10-24T00:00:00"/>
    <d v="2022-10-24T00:00:00"/>
    <n v="42"/>
    <s v="GANA-18"/>
    <x v="0"/>
    <n v="27445.5"/>
    <x v="13"/>
    <n v="1372275"/>
    <n v="0"/>
    <n v="4502430350"/>
    <n v="5084149023"/>
    <n v="5113693907"/>
    <m/>
    <s v="TIENE BL"/>
    <m/>
    <x v="0"/>
    <d v="2022-10-14T00:00:00"/>
    <m/>
    <m/>
    <m/>
    <m/>
    <m/>
    <m/>
    <m/>
    <m/>
    <d v="2022-10-14T00:00:00"/>
    <x v="10"/>
  </r>
  <r>
    <s v="Jorge Ignacio Sanchez Restrepo"/>
    <d v="2022-10-19T00:00:00"/>
    <d v="2022-10-19T00:00:00"/>
    <n v="42"/>
    <s v="FEJS-45"/>
    <x v="0"/>
    <n v="14291"/>
    <x v="283"/>
    <n v="126475350"/>
    <n v="30"/>
    <n v="4502430351"/>
    <n v="5084149145"/>
    <n v="5113661712"/>
    <m/>
    <s v="CON RETEN"/>
    <m/>
    <x v="0"/>
    <d v="2022-10-14T00:00:00"/>
    <m/>
    <m/>
    <m/>
    <m/>
    <m/>
    <m/>
    <m/>
    <m/>
    <d v="2022-10-14T00:00:00"/>
    <x v="10"/>
  </r>
  <r>
    <s v="Jorge Ignacio Sanchez Restrepo"/>
    <d v="2022-10-19T00:00:00"/>
    <d v="2022-10-19T00:00:00"/>
    <n v="42"/>
    <s v="NC16"/>
    <x v="0"/>
    <n v="14291"/>
    <x v="603"/>
    <n v="-28582"/>
    <n v="0"/>
    <n v="4502430351"/>
    <n v="5084149145"/>
    <n v="5113661716"/>
    <m/>
    <m/>
    <m/>
    <x v="0"/>
    <d v="2022-10-14T00:00:00"/>
    <m/>
    <m/>
    <m/>
    <m/>
    <m/>
    <m/>
    <m/>
    <m/>
    <d v="2022-10-14T00:00:00"/>
    <x v="10"/>
  </r>
  <r>
    <s v="Carlos Mario Duque Cadavid"/>
    <d v="2022-10-14T00:00:00"/>
    <m/>
    <n v="42"/>
    <s v="CD-134"/>
    <x v="1"/>
    <n v="28807"/>
    <x v="151"/>
    <n v="234777050"/>
    <n v="56"/>
    <n v="4502432246"/>
    <n v="5084133480"/>
    <n v="5113659453"/>
    <s v="CON RETEN"/>
    <s v="EJ*4 1771100*4"/>
    <m/>
    <x v="0"/>
    <d v="2022-10-14T00:00:00"/>
    <n v="4902366624"/>
    <n v="7084400"/>
    <s v="FEMD-5439*4"/>
    <n v="5113658650"/>
    <m/>
    <m/>
    <m/>
    <m/>
    <d v="2022-10-14T00:00:00"/>
    <x v="10"/>
  </r>
  <r>
    <s v="Agropecuaria Tabaida S.A.S"/>
    <d v="2022-10-15T00:00:00"/>
    <d v="2022-10-19T00:00:00"/>
    <n v="42"/>
    <s v="MT-1608"/>
    <x v="0"/>
    <n v="20058"/>
    <x v="151"/>
    <n v="163472700"/>
    <n v="42"/>
    <n v="4502432247"/>
    <n v="5084133481"/>
    <n v="5113664051"/>
    <s v="TIENE BL"/>
    <s v="TYC 4792500"/>
    <m/>
    <x v="0"/>
    <d v="2022-10-15T00:00:00"/>
    <n v="4902366627"/>
    <n v="4792500"/>
    <s v="ETE-3769"/>
    <n v="5113671040"/>
    <m/>
    <m/>
    <m/>
    <m/>
    <d v="2022-10-15T00:00:00"/>
    <x v="10"/>
  </r>
  <r>
    <s v="Agropecuaria Tabaida S.A.S"/>
    <d v="2022-10-15T00:00:00"/>
    <d v="2022-10-19T00:00:00"/>
    <n v="42"/>
    <n v="2"/>
    <x v="0"/>
    <n v="20058"/>
    <x v="584"/>
    <n v="481392"/>
    <n v="0"/>
    <n v="4502432247"/>
    <n v="5084133481"/>
    <n v="5113690466"/>
    <m/>
    <m/>
    <m/>
    <x v="0"/>
    <d v="2022-10-15T00:00:00"/>
    <m/>
    <m/>
    <m/>
    <m/>
    <m/>
    <m/>
    <m/>
    <m/>
    <d v="2022-10-15T00:00:00"/>
    <x v="10"/>
  </r>
  <r>
    <s v="Sociedad Comercializadora Ganadera"/>
    <d v="2022-10-20T00:00:00"/>
    <d v="2022-10-20T00:00:00"/>
    <n v="42"/>
    <s v="FEDV471"/>
    <x v="0"/>
    <n v="37034"/>
    <x v="244"/>
    <n v="325899200"/>
    <n v="74"/>
    <n v="4502430352"/>
    <n v="5084149112"/>
    <n v="5113666555"/>
    <m/>
    <s v="TIENE BL"/>
    <m/>
    <x v="0"/>
    <d v="2022-10-15T00:00:00"/>
    <m/>
    <m/>
    <m/>
    <m/>
    <m/>
    <m/>
    <m/>
    <m/>
    <d v="2022-10-15T00:00:00"/>
    <x v="10"/>
  </r>
  <r>
    <s v="Sociedad Comercializadora Ganadera"/>
    <d v="2022-10-20T00:00:00"/>
    <d v="2022-10-20T00:00:00"/>
    <n v="42"/>
    <s v="FEDV472"/>
    <x v="0"/>
    <n v="6532.5"/>
    <x v="244"/>
    <n v="57486000"/>
    <n v="15"/>
    <n v="4502430352"/>
    <n v="5084149112"/>
    <n v="5113666617"/>
    <m/>
    <s v="TIENE BL"/>
    <m/>
    <x v="0"/>
    <d v="2022-10-15T00:00:00"/>
    <m/>
    <m/>
    <m/>
    <m/>
    <m/>
    <m/>
    <m/>
    <m/>
    <d v="2022-10-15T00:00:00"/>
    <x v="10"/>
  </r>
  <r>
    <s v="Sociedad Comercializadora Ganadera"/>
    <d v="2022-10-20T00:00:00"/>
    <d v="2022-10-20T00:00:00"/>
    <n v="42"/>
    <s v="NC239"/>
    <x v="0"/>
    <n v="6532.5"/>
    <x v="604"/>
    <n v="-769201.875"/>
    <n v="0"/>
    <n v="4502430352"/>
    <n v="5084149112"/>
    <n v="5113666619"/>
    <m/>
    <m/>
    <m/>
    <x v="0"/>
    <d v="2022-10-15T00:00:00"/>
    <m/>
    <m/>
    <m/>
    <m/>
    <m/>
    <m/>
    <m/>
    <m/>
    <d v="2022-10-15T00:00:00"/>
    <x v="10"/>
  </r>
  <r>
    <s v="Lina Maria Pelaez Gomez"/>
    <d v="2022-10-15T00:00:00"/>
    <d v="2022-10-20T00:00:00"/>
    <n v="42"/>
    <s v="LP119"/>
    <x v="0"/>
    <n v="5534.5"/>
    <x v="244"/>
    <n v="48703600"/>
    <n v="14"/>
    <n v="4502430353"/>
    <n v="5084149425"/>
    <n v="5113664683"/>
    <m/>
    <s v="TIENE BL"/>
    <m/>
    <x v="0"/>
    <d v="2022-10-15T00:00:00"/>
    <m/>
    <m/>
    <m/>
    <m/>
    <m/>
    <m/>
    <m/>
    <m/>
    <d v="2022-10-15T00:00:00"/>
    <x v="10"/>
  </r>
  <r>
    <s v="Lina Maria Pelaez Gomez"/>
    <d v="2022-10-20T00:00:00"/>
    <d v="2022-10-20T00:00:00"/>
    <n v="42"/>
    <s v="NC89"/>
    <x v="0"/>
    <n v="5534.5"/>
    <x v="605"/>
    <n v="-578742.66499999841"/>
    <n v="0"/>
    <n v="4502430353"/>
    <n v="5084149425"/>
    <n v="5113664686"/>
    <m/>
    <m/>
    <m/>
    <x v="0"/>
    <d v="2022-10-15T00:00:00"/>
    <m/>
    <m/>
    <m/>
    <m/>
    <m/>
    <m/>
    <m/>
    <m/>
    <d v="2022-10-15T00:00:00"/>
    <x v="10"/>
  </r>
  <r>
    <s v="Lina Maria Pelaez Gomez"/>
    <d v="2022-10-15T00:00:00"/>
    <d v="2022-10-20T00:00:00"/>
    <n v="42"/>
    <s v="LP120"/>
    <x v="0"/>
    <n v="6769.5"/>
    <x v="244"/>
    <n v="59571600"/>
    <n v="15"/>
    <n v="4502430353"/>
    <n v="5084149113"/>
    <n v="5113664730"/>
    <m/>
    <s v="TIENE BL"/>
    <m/>
    <x v="0"/>
    <d v="2022-10-15T00:00:00"/>
    <m/>
    <m/>
    <m/>
    <m/>
    <m/>
    <m/>
    <m/>
    <m/>
    <d v="2022-10-15T00:00:00"/>
    <x v="10"/>
  </r>
  <r>
    <s v="Lina Maria Pelaez Gomez"/>
    <d v="2022-10-20T00:00:00"/>
    <d v="2022-10-20T00:00:00"/>
    <n v="42"/>
    <s v="NC90"/>
    <x v="0"/>
    <n v="6769.5"/>
    <x v="606"/>
    <n v="-852957"/>
    <n v="0"/>
    <n v="4502430353"/>
    <n v="5084149113"/>
    <n v="5113664731"/>
    <m/>
    <m/>
    <m/>
    <x v="0"/>
    <d v="2022-10-15T00:00:00"/>
    <m/>
    <m/>
    <m/>
    <m/>
    <m/>
    <m/>
    <m/>
    <m/>
    <d v="2022-10-15T00:00:00"/>
    <x v="10"/>
  </r>
  <r>
    <s v="David Martinez Jaramillo"/>
    <d v="2022-10-15T00:00:00"/>
    <d v="2022-10-18T00:00:00"/>
    <n v="42"/>
    <s v="DM281"/>
    <x v="0"/>
    <n v="13484"/>
    <x v="244"/>
    <n v="118659200"/>
    <n v="30"/>
    <n v="4502430354"/>
    <n v="5084149114"/>
    <n v="5113659581"/>
    <m/>
    <s v="TIENE BL"/>
    <m/>
    <x v="0"/>
    <d v="2022-10-15T00:00:00"/>
    <m/>
    <m/>
    <m/>
    <m/>
    <m/>
    <m/>
    <m/>
    <m/>
    <d v="2022-10-15T00:00:00"/>
    <x v="10"/>
  </r>
  <r>
    <s v="David Martinez Jaramillo"/>
    <d v="2022-10-18T00:00:00"/>
    <d v="2022-10-18T00:00:00"/>
    <n v="42"/>
    <s v="NC83"/>
    <x v="0"/>
    <n v="13484"/>
    <x v="607"/>
    <n v="-1375368"/>
    <n v="0"/>
    <n v="4502430354"/>
    <n v="5084149114"/>
    <n v="5113659582"/>
    <m/>
    <m/>
    <m/>
    <x v="0"/>
    <d v="2022-10-15T00:00:00"/>
    <m/>
    <m/>
    <m/>
    <m/>
    <m/>
    <m/>
    <m/>
    <m/>
    <d v="2022-10-15T00:00:00"/>
    <x v="10"/>
  </r>
  <r>
    <s v="Maria Victoria Martinez Jaramillo"/>
    <d v="2022-10-15T00:00:00"/>
    <d v="2022-10-19T00:00:00"/>
    <n v="42"/>
    <s v="FE-43"/>
    <x v="0"/>
    <n v="5067.5"/>
    <x v="219"/>
    <n v="44340625"/>
    <n v="13"/>
    <n v="4502430355"/>
    <n v="5084149276"/>
    <n v="5113661699"/>
    <m/>
    <s v="TIENE BL"/>
    <m/>
    <x v="0"/>
    <d v="2022-10-15T00:00:00"/>
    <m/>
    <m/>
    <m/>
    <m/>
    <m/>
    <m/>
    <m/>
    <m/>
    <d v="2022-10-15T00:00:00"/>
    <x v="10"/>
  </r>
  <r>
    <s v="Maria Victoria Martinez Jaramillo"/>
    <d v="2022-10-15T00:00:00"/>
    <d v="2022-10-19T00:00:00"/>
    <n v="42"/>
    <s v="FE-44"/>
    <x v="0"/>
    <n v="5067.5"/>
    <x v="608"/>
    <n v="169305.17499999926"/>
    <n v="0"/>
    <n v="4502430355"/>
    <n v="5084149276"/>
    <n v="5113661704"/>
    <m/>
    <m/>
    <m/>
    <x v="0"/>
    <d v="2022-10-15T00:00:00"/>
    <m/>
    <m/>
    <m/>
    <m/>
    <m/>
    <m/>
    <m/>
    <m/>
    <d v="2022-10-15T00:00:00"/>
    <x v="10"/>
  </r>
  <r>
    <s v="Neftali Gutierrez Jerez"/>
    <d v="2022-10-15T00:00:00"/>
    <d v="2022-10-20T00:00:00"/>
    <n v="42"/>
    <s v="NGJ-41"/>
    <x v="0"/>
    <n v="7177.5"/>
    <x v="188"/>
    <n v="60291000"/>
    <n v="15"/>
    <n v="4502430356"/>
    <n v="5084149116"/>
    <n v="5113665564"/>
    <m/>
    <s v="CON RETEN"/>
    <m/>
    <x v="0"/>
    <d v="2022-10-15T00:00:00"/>
    <m/>
    <m/>
    <m/>
    <m/>
    <m/>
    <m/>
    <m/>
    <m/>
    <d v="2022-10-15T00:00:00"/>
    <x v="10"/>
  </r>
  <r>
    <s v="Neftali Gutierrez Jerez"/>
    <d v="2022-10-15T00:00:00"/>
    <d v="2022-10-20T00:00:00"/>
    <n v="42"/>
    <s v="NGJ-42"/>
    <x v="0"/>
    <n v="7177.5"/>
    <x v="13"/>
    <n v="358875"/>
    <n v="0"/>
    <n v="4502430356"/>
    <n v="5084149116"/>
    <n v="5113665597"/>
    <m/>
    <m/>
    <m/>
    <x v="0"/>
    <d v="2022-10-15T00:00:00"/>
    <m/>
    <m/>
    <m/>
    <m/>
    <m/>
    <m/>
    <m/>
    <m/>
    <d v="2022-10-15T00:00:00"/>
    <x v="10"/>
  </r>
  <r>
    <s v="Andres Felipe Mantilla Acosta"/>
    <d v="2022-10-15T00:00:00"/>
    <d v="2022-10-21T00:00:00"/>
    <n v="42"/>
    <s v="FEFE46"/>
    <x v="0"/>
    <n v="7261"/>
    <x v="308"/>
    <n v="60629350"/>
    <n v="15"/>
    <n v="4502430357"/>
    <n v="5084149117"/>
    <n v="5113666791"/>
    <m/>
    <s v="TIENE BL"/>
    <m/>
    <x v="0"/>
    <d v="2022-10-15T00:00:00"/>
    <m/>
    <m/>
    <m/>
    <m/>
    <m/>
    <m/>
    <m/>
    <m/>
    <d v="2022-10-15T00:00:00"/>
    <x v="10"/>
  </r>
  <r>
    <s v="Andres Felipe Mantilla Acosta"/>
    <d v="2022-10-15T00:00:00"/>
    <d v="2022-10-21T00:00:00"/>
    <n v="42"/>
    <s v="NC14"/>
    <x v="0"/>
    <n v="7261"/>
    <x v="2"/>
    <n v="-726100"/>
    <n v="0"/>
    <n v="4502430357"/>
    <n v="5084149117"/>
    <n v="5113666794"/>
    <m/>
    <m/>
    <m/>
    <x v="0"/>
    <d v="2022-10-15T00:00:00"/>
    <m/>
    <m/>
    <m/>
    <m/>
    <m/>
    <m/>
    <m/>
    <m/>
    <d v="2022-10-15T00:00:00"/>
    <x v="10"/>
  </r>
  <r>
    <s v="Rafael Francisco Delgado Serrano"/>
    <d v="2022-10-20T00:00:00"/>
    <m/>
    <n v="42"/>
    <s v="RFDS-184"/>
    <x v="0"/>
    <n v="6680.5"/>
    <x v="213"/>
    <n v="56784250"/>
    <n v="14"/>
    <n v="4502430358"/>
    <n v="5084149128"/>
    <n v="5113666079"/>
    <m/>
    <s v="CON RETEN"/>
    <m/>
    <x v="0"/>
    <d v="2022-10-15T00:00:00"/>
    <m/>
    <m/>
    <m/>
    <m/>
    <m/>
    <m/>
    <m/>
    <m/>
    <d v="2022-10-15T00:00:00"/>
    <x v="10"/>
  </r>
  <r>
    <s v="Rafael Francisco Delgado Serrano"/>
    <d v="2022-10-20T00:00:00"/>
    <m/>
    <n v="42"/>
    <s v="NCR30"/>
    <x v="0"/>
    <n v="6680.5"/>
    <x v="2"/>
    <n v="-668050"/>
    <n v="0"/>
    <n v="4502430358"/>
    <n v="5084149128"/>
    <n v="5113666080"/>
    <m/>
    <m/>
    <m/>
    <x v="0"/>
    <d v="2022-10-15T00:00:00"/>
    <m/>
    <m/>
    <m/>
    <m/>
    <m/>
    <m/>
    <m/>
    <m/>
    <d v="2022-10-15T00:00:00"/>
    <x v="10"/>
  </r>
  <r>
    <s v="Inversiones Valle Del Canalete S.A.S"/>
    <d v="2022-10-16T00:00:00"/>
    <d v="2022-10-20T00:00:00"/>
    <n v="42"/>
    <s v="IVC145"/>
    <x v="0"/>
    <n v="26990"/>
    <x v="151"/>
    <n v="219968500"/>
    <n v="56"/>
    <n v="4502432249"/>
    <n v="5084133482"/>
    <n v="5113665559"/>
    <m/>
    <s v="EJ*4 1793900*4"/>
    <s v="CON RETEN"/>
    <x v="0"/>
    <d v="2022-10-16T00:00:00"/>
    <n v="4902366628"/>
    <n v="7175600"/>
    <s v="FEMD-5449*4"/>
    <n v="5113658647"/>
    <m/>
    <m/>
    <m/>
    <m/>
    <d v="2022-10-16T00:00:00"/>
    <x v="10"/>
  </r>
  <r>
    <s v="Inversiones Valle Del Canalete S.A.S"/>
    <d v="2022-10-16T00:00:00"/>
    <d v="2022-10-20T00:00:00"/>
    <n v="42"/>
    <s v="IVC146"/>
    <x v="0"/>
    <n v="26990"/>
    <x v="584"/>
    <n v="647760"/>
    <n v="0"/>
    <n v="4502432249"/>
    <n v="5084133482"/>
    <n v="5113665561"/>
    <m/>
    <s v="EJ*4 1793900*4"/>
    <m/>
    <x v="0"/>
    <d v="2022-10-16T00:00:00"/>
    <m/>
    <m/>
    <m/>
    <m/>
    <m/>
    <m/>
    <m/>
    <m/>
    <d v="2022-10-16T00:00:00"/>
    <x v="10"/>
  </r>
  <r>
    <s v="Adrian Alberto Alvarez Henao"/>
    <d v="2022-10-24T00:00:00"/>
    <d v="2022-10-25T00:00:00"/>
    <n v="42"/>
    <s v="AAAH-74"/>
    <x v="0"/>
    <n v="13320.5"/>
    <x v="244"/>
    <n v="117220400"/>
    <n v="28"/>
    <n v="4502430359"/>
    <n v="5084149146"/>
    <n v="5113683080"/>
    <m/>
    <s v="TIENE BL"/>
    <m/>
    <x v="0"/>
    <d v="2022-10-16T00:00:00"/>
    <m/>
    <m/>
    <m/>
    <m/>
    <m/>
    <m/>
    <m/>
    <m/>
    <d v="2022-10-16T00:00:00"/>
    <x v="10"/>
  </r>
  <r>
    <s v="Adrian Alberto Alvarez Henao"/>
    <d v="2022-10-24T00:00:00"/>
    <d v="2022-10-25T00:00:00"/>
    <n v="42"/>
    <s v="AD36"/>
    <x v="0"/>
    <n v="13320.5"/>
    <x v="609"/>
    <n v="-3093552.9199999971"/>
    <n v="0"/>
    <n v="4502430359"/>
    <n v="5084149146"/>
    <n v="5113683083"/>
    <m/>
    <m/>
    <m/>
    <x v="0"/>
    <d v="2022-10-16T00:00:00"/>
    <m/>
    <m/>
    <m/>
    <m/>
    <m/>
    <m/>
    <m/>
    <m/>
    <d v="2022-10-16T00:00:00"/>
    <x v="10"/>
  </r>
  <r>
    <s v="Sociedad Comercializadora Ganadera"/>
    <d v="2022-10-20T00:00:00"/>
    <d v="2022-10-20T00:00:00"/>
    <n v="42"/>
    <s v="FEDV473"/>
    <x v="0"/>
    <n v="28503.5"/>
    <x v="244"/>
    <n v="250830800"/>
    <n v="60"/>
    <n v="4502430360"/>
    <n v="5084149147"/>
    <n v="5113666622"/>
    <m/>
    <s v="TIENE BL"/>
    <m/>
    <x v="0"/>
    <d v="2022-10-16T00:00:00"/>
    <m/>
    <m/>
    <m/>
    <m/>
    <m/>
    <m/>
    <m/>
    <m/>
    <d v="2022-10-16T00:00:00"/>
    <x v="10"/>
  </r>
  <r>
    <s v="Sociedad Comercializadora Ganadera"/>
    <d v="2022-10-20T00:00:00"/>
    <d v="2022-10-20T00:00:00"/>
    <n v="42"/>
    <s v="NC240"/>
    <x v="0"/>
    <n v="28503.5"/>
    <x v="610"/>
    <n v="-331780.7399999834"/>
    <n v="0"/>
    <n v="4502430360"/>
    <n v="5084149147"/>
    <n v="5113666625"/>
    <m/>
    <m/>
    <m/>
    <x v="0"/>
    <d v="2022-10-16T00:00:00"/>
    <m/>
    <m/>
    <m/>
    <m/>
    <m/>
    <m/>
    <m/>
    <m/>
    <d v="2022-10-16T00:00:00"/>
    <x v="10"/>
  </r>
  <r>
    <s v="Sociedad Comercializadora Ganadera"/>
    <d v="2022-10-20T00:00:00"/>
    <d v="2022-10-20T00:00:00"/>
    <n v="42"/>
    <s v="FEDV474"/>
    <x v="0"/>
    <n v="17148"/>
    <x v="244"/>
    <n v="150902400"/>
    <n v="32"/>
    <n v="4502430360"/>
    <n v="5084149147"/>
    <n v="5113666658"/>
    <m/>
    <s v="TIENE BL"/>
    <m/>
    <x v="0"/>
    <d v="2022-10-16T00:00:00"/>
    <m/>
    <m/>
    <m/>
    <m/>
    <m/>
    <m/>
    <m/>
    <m/>
    <d v="2022-10-16T00:00:00"/>
    <x v="10"/>
  </r>
  <r>
    <s v="David Martinez Jaramillo"/>
    <d v="2022-10-16T00:00:00"/>
    <d v="2022-10-20T00:00:00"/>
    <n v="42"/>
    <s v="DM-282"/>
    <x v="0"/>
    <n v="14387.5"/>
    <x v="244"/>
    <n v="126610000"/>
    <n v="29"/>
    <n v="4502430361"/>
    <n v="5084149184"/>
    <n v="5113664603"/>
    <m/>
    <s v="TIENE BL"/>
    <m/>
    <x v="0"/>
    <d v="2022-10-16T00:00:00"/>
    <m/>
    <m/>
    <m/>
    <m/>
    <m/>
    <m/>
    <m/>
    <m/>
    <d v="2022-10-16T00:00:00"/>
    <x v="10"/>
  </r>
  <r>
    <s v="David Martinez Jaramillo"/>
    <d v="2022-10-20T00:00:00"/>
    <d v="2022-10-20T00:00:00"/>
    <n v="42"/>
    <s v="NC84"/>
    <x v="0"/>
    <n v="14387.5"/>
    <x v="611"/>
    <n v="-1844333.6250000072"/>
    <n v="0"/>
    <n v="4502430361"/>
    <n v="5084149184"/>
    <n v="5113664604"/>
    <m/>
    <m/>
    <m/>
    <x v="0"/>
    <d v="2022-10-16T00:00:00"/>
    <m/>
    <m/>
    <m/>
    <m/>
    <m/>
    <m/>
    <m/>
    <m/>
    <d v="2022-10-16T00:00:00"/>
    <x v="10"/>
  </r>
  <r>
    <s v="David Martinez Jaramillo"/>
    <d v="2022-10-16T00:00:00"/>
    <d v="2022-10-20T00:00:00"/>
    <n v="42"/>
    <s v="DM-283"/>
    <x v="0"/>
    <n v="13459"/>
    <x v="244"/>
    <n v="118439200"/>
    <n v="29"/>
    <n v="4502430361"/>
    <n v="5084149184"/>
    <n v="5113664677"/>
    <m/>
    <s v="TIENE BL"/>
    <m/>
    <x v="0"/>
    <d v="2022-10-16T00:00:00"/>
    <m/>
    <m/>
    <m/>
    <m/>
    <m/>
    <m/>
    <m/>
    <m/>
    <d v="2022-10-16T00:00:00"/>
    <x v="10"/>
  </r>
  <r>
    <s v="David Martinez Jaramillo"/>
    <d v="2022-10-20T00:00:00"/>
    <d v="2022-10-20T00:00:00"/>
    <n v="42"/>
    <s v="ND8"/>
    <x v="0"/>
    <n v="13459"/>
    <x v="612"/>
    <n v="283850.31"/>
    <n v="0"/>
    <n v="4502430361"/>
    <n v="5084149184"/>
    <n v="5113664678"/>
    <m/>
    <m/>
    <m/>
    <x v="0"/>
    <d v="2022-10-16T00:00:00"/>
    <m/>
    <m/>
    <m/>
    <m/>
    <m/>
    <m/>
    <m/>
    <m/>
    <d v="2022-10-16T00:00:00"/>
    <x v="10"/>
  </r>
  <r>
    <s v="Industria Ganadera Hato Cebu S.A."/>
    <d v="2022-10-20T00:00:00"/>
    <d v="2022-10-20T00:00:00"/>
    <n v="42"/>
    <s v="FEHC374"/>
    <x v="0"/>
    <n v="13408"/>
    <x v="244"/>
    <n v="117990400"/>
    <n v="28"/>
    <n v="4502430363"/>
    <n v="5084149187"/>
    <n v="5113664516"/>
    <m/>
    <s v="CON RETEN"/>
    <m/>
    <x v="0"/>
    <d v="2022-10-16T00:00:00"/>
    <m/>
    <m/>
    <m/>
    <m/>
    <m/>
    <m/>
    <m/>
    <m/>
    <d v="2022-10-16T00:00:00"/>
    <x v="10"/>
  </r>
  <r>
    <s v="Fidel Stiven Cano Tovar"/>
    <d v="2022-10-22T00:00:00"/>
    <d v="2022-10-22T00:00:00"/>
    <n v="42"/>
    <s v="FEFC-1"/>
    <x v="1"/>
    <n v="8171"/>
    <x v="145"/>
    <n v="65776550"/>
    <n v="13"/>
    <n v="4502432253"/>
    <n v="5084149538"/>
    <n v="5113670136"/>
    <s v="CON RETEN"/>
    <s v="EJ 2860900"/>
    <m/>
    <x v="0"/>
    <d v="2022-10-16T00:00:00"/>
    <n v="4902366630"/>
    <n v="2860900"/>
    <s v="FEMD-5450"/>
    <n v="5113660931"/>
    <m/>
    <m/>
    <m/>
    <m/>
    <d v="2022-10-16T00:00:00"/>
    <x v="10"/>
  </r>
  <r>
    <s v="Fidel Stiven Cano Tovar"/>
    <d v="2022-10-24T00:00:00"/>
    <d v="2022-10-24T00:00:00"/>
    <n v="42"/>
    <s v="NDHC1"/>
    <x v="1"/>
    <n v="8171"/>
    <x v="11"/>
    <n v="1225650"/>
    <n v="0"/>
    <n v="4502432253"/>
    <n v="5084149538"/>
    <n v="5113673827"/>
    <m/>
    <s v="EJ 2860900"/>
    <m/>
    <x v="0"/>
    <d v="2022-10-16T00:00:00"/>
    <m/>
    <m/>
    <m/>
    <m/>
    <m/>
    <m/>
    <m/>
    <m/>
    <d v="2022-10-16T00:00:00"/>
    <x v="10"/>
  </r>
  <r>
    <s v="HEVLA S.A.S"/>
    <d v="2022-10-16T00:00:00"/>
    <d v="2022-10-20T00:00:00"/>
    <n v="42"/>
    <s v="FE-664"/>
    <x v="1"/>
    <n v="14549"/>
    <x v="145"/>
    <n v="117119450"/>
    <n v="28"/>
    <n v="4502432265"/>
    <n v="5084134102"/>
    <n v="5113666811"/>
    <s v="CON RETEN"/>
    <s v="EJ 2982600*2"/>
    <m/>
    <x v="0"/>
    <d v="2022-10-16T00:00:00"/>
    <n v="4902366631"/>
    <n v="5965200"/>
    <s v="FEMD-5451*2"/>
    <n v="5113665705"/>
    <m/>
    <m/>
    <m/>
    <m/>
    <d v="2022-10-16T00:00:00"/>
    <x v="10"/>
  </r>
  <r>
    <s v="Sociedad Comercializadora Ganadera"/>
    <d v="2022-10-20T00:00:00"/>
    <d v="2022-10-20T00:00:00"/>
    <n v="42"/>
    <s v="FEDV475"/>
    <x v="0"/>
    <n v="19786.5"/>
    <x v="244"/>
    <n v="174121200"/>
    <n v="43"/>
    <n v="4502430364"/>
    <n v="5084149380"/>
    <n v="5113666659"/>
    <m/>
    <s v="TIENE BL"/>
    <m/>
    <x v="0"/>
    <d v="2022-10-17T00:00:00"/>
    <m/>
    <m/>
    <m/>
    <m/>
    <m/>
    <m/>
    <m/>
    <m/>
    <d v="2022-10-17T00:00:00"/>
    <x v="10"/>
  </r>
  <r>
    <s v="Sociedad Comercializadora Ganadera"/>
    <d v="2022-10-20T00:00:00"/>
    <d v="2022-10-20T00:00:00"/>
    <n v="42"/>
    <s v="NC241"/>
    <x v="0"/>
    <n v="19786.5"/>
    <x v="613"/>
    <n v="-113574.50999999569"/>
    <n v="0"/>
    <n v="4502430364"/>
    <n v="5084149380"/>
    <n v="5113666663"/>
    <m/>
    <m/>
    <m/>
    <x v="0"/>
    <d v="2022-10-17T00:00:00"/>
    <m/>
    <m/>
    <m/>
    <m/>
    <m/>
    <m/>
    <m/>
    <m/>
    <d v="2022-10-17T00:00:00"/>
    <x v="10"/>
  </r>
  <r>
    <s v="David Martinez Jaramillo"/>
    <d v="2022-10-17T00:00:00"/>
    <d v="2022-10-20T00:00:00"/>
    <n v="42"/>
    <s v="DM-284"/>
    <x v="0"/>
    <n v="13715"/>
    <x v="244"/>
    <n v="120692000"/>
    <n v="30"/>
    <n v="4502430365"/>
    <n v="5084149382"/>
    <n v="5113664680"/>
    <m/>
    <s v="TIENE BL"/>
    <m/>
    <x v="0"/>
    <d v="2022-10-17T00:00:00"/>
    <m/>
    <m/>
    <m/>
    <m/>
    <m/>
    <m/>
    <m/>
    <m/>
    <d v="2022-10-17T00:00:00"/>
    <x v="10"/>
  </r>
  <r>
    <s v="David Martinez Jaramillo"/>
    <d v="2022-10-20T00:00:00"/>
    <d v="2022-10-20T00:00:00"/>
    <n v="42"/>
    <s v="ND9"/>
    <x v="0"/>
    <n v="13715"/>
    <x v="13"/>
    <n v="685750"/>
    <n v="0"/>
    <n v="4502430365"/>
    <n v="5084149382"/>
    <n v="5113664681"/>
    <m/>
    <m/>
    <m/>
    <x v="0"/>
    <d v="2022-10-17T00:00:00"/>
    <m/>
    <m/>
    <m/>
    <m/>
    <m/>
    <m/>
    <m/>
    <m/>
    <d v="2022-10-17T00:00:00"/>
    <x v="10"/>
  </r>
  <r>
    <s v="La Ceiba S.A"/>
    <d v="2022-10-20T00:00:00"/>
    <m/>
    <n v="42"/>
    <s v="FE-1860"/>
    <x v="0"/>
    <n v="25124"/>
    <x v="234"/>
    <n v="212297800"/>
    <n v="56"/>
    <n v="4502430366"/>
    <n v="5084149383"/>
    <n v="5113664598"/>
    <m/>
    <s v="CON RETEN"/>
    <m/>
    <x v="0"/>
    <d v="2022-10-17T00:00:00"/>
    <m/>
    <m/>
    <m/>
    <m/>
    <m/>
    <m/>
    <m/>
    <m/>
    <d v="2022-10-17T00:00:00"/>
    <x v="10"/>
  </r>
  <r>
    <s v="La Ceiba S.A"/>
    <d v="2022-10-20T00:00:00"/>
    <m/>
    <n v="42"/>
    <s v="FE-1861"/>
    <x v="0"/>
    <n v="25124"/>
    <x v="614"/>
    <n v="444694.8"/>
    <n v="0"/>
    <n v="4502430366"/>
    <n v="5084149383"/>
    <n v="5113664600"/>
    <m/>
    <m/>
    <m/>
    <x v="0"/>
    <d v="2022-10-17T00:00:00"/>
    <m/>
    <m/>
    <m/>
    <m/>
    <m/>
    <m/>
    <m/>
    <m/>
    <d v="2022-10-17T00:00:00"/>
    <x v="10"/>
  </r>
  <r>
    <s v="Mauricio De Jesús Bernal Jaramillo"/>
    <d v="2022-10-22T00:00:00"/>
    <m/>
    <n v="42"/>
    <s v="FE-209"/>
    <x v="0"/>
    <n v="12758"/>
    <x v="151"/>
    <n v="103977700"/>
    <n v="28"/>
    <n v="4502432268"/>
    <n v="5084167296"/>
    <n v="5113670203"/>
    <m/>
    <s v="EJ*2 1623900*2"/>
    <s v="CON RETEN"/>
    <x v="0"/>
    <d v="2022-10-18T00:00:00"/>
    <n v="4902366632"/>
    <n v="3247800"/>
    <s v="FEMD-5457*2"/>
    <n v="5113665437"/>
    <m/>
    <m/>
    <m/>
    <m/>
    <d v="2022-10-18T00:00:00"/>
    <x v="10"/>
  </r>
  <r>
    <s v="Mauricio De Jesús Bernal Jaramillo"/>
    <d v="2022-10-22T00:00:00"/>
    <m/>
    <n v="42"/>
    <s v="FE-210"/>
    <x v="0"/>
    <n v="12758"/>
    <x v="584"/>
    <n v="306192"/>
    <n v="0"/>
    <n v="4502432268"/>
    <n v="5084167296"/>
    <n v="5113670205"/>
    <m/>
    <m/>
    <m/>
    <x v="0"/>
    <d v="2022-10-18T00:00:00"/>
    <m/>
    <m/>
    <m/>
    <m/>
    <m/>
    <m/>
    <m/>
    <m/>
    <d v="2022-10-18T00:00:00"/>
    <x v="10"/>
  </r>
  <r>
    <s v="Maria Alicia Montaño Parra"/>
    <d v="2022-10-21T00:00:00"/>
    <m/>
    <n v="42"/>
    <s v="FE-28"/>
    <x v="0"/>
    <n v="6461"/>
    <x v="308"/>
    <n v="53949350"/>
    <n v="15"/>
    <n v="4502430367"/>
    <n v="5084159701"/>
    <n v="5113670238"/>
    <m/>
    <s v="CON RETEN"/>
    <m/>
    <x v="0"/>
    <d v="2022-10-18T00:00:00"/>
    <m/>
    <m/>
    <m/>
    <m/>
    <m/>
    <m/>
    <m/>
    <m/>
    <d v="2022-10-18T00:00:00"/>
    <x v="10"/>
  </r>
  <r>
    <s v="Maria Alicia Montaño Parra"/>
    <d v="2022-10-21T00:00:00"/>
    <m/>
    <n v="42"/>
    <s v="FE6"/>
    <x v="0"/>
    <n v="6461"/>
    <x v="615"/>
    <n v="-872945.7100000038"/>
    <n v="0"/>
    <n v="4502430367"/>
    <n v="5084159701"/>
    <n v="5113670239"/>
    <m/>
    <m/>
    <m/>
    <x v="0"/>
    <d v="2022-10-18T00:00:00"/>
    <m/>
    <m/>
    <m/>
    <m/>
    <m/>
    <m/>
    <m/>
    <m/>
    <d v="2022-10-18T00:00:00"/>
    <x v="10"/>
  </r>
  <r>
    <s v="Olger Fernando Rojas Angarita"/>
    <d v="2022-10-21T00:00:00"/>
    <m/>
    <n v="42"/>
    <s v="OR-212"/>
    <x v="0"/>
    <n v="6368"/>
    <x v="234"/>
    <n v="53809600"/>
    <n v="15"/>
    <n v="4502430368"/>
    <n v="5084167643"/>
    <n v="5113670243"/>
    <m/>
    <s v="TIENE BL"/>
    <m/>
    <x v="0"/>
    <d v="2022-10-18T00:00:00"/>
    <m/>
    <m/>
    <m/>
    <m/>
    <m/>
    <m/>
    <m/>
    <m/>
    <d v="2022-10-18T00:00:00"/>
    <x v="10"/>
  </r>
  <r>
    <s v="Olger Fernando Rojas Angarita"/>
    <d v="2022-10-21T00:00:00"/>
    <m/>
    <n v="42"/>
    <n v="15"/>
    <x v="0"/>
    <n v="6368"/>
    <x v="616"/>
    <n v="-116725.43999999954"/>
    <n v="0"/>
    <n v="4502430368"/>
    <n v="5084167643"/>
    <n v="5113670288"/>
    <m/>
    <m/>
    <m/>
    <x v="0"/>
    <d v="2022-10-18T00:00:00"/>
    <m/>
    <m/>
    <m/>
    <m/>
    <m/>
    <m/>
    <m/>
    <m/>
    <d v="2022-10-18T00:00:00"/>
    <x v="10"/>
  </r>
  <r>
    <s v="Inversiones Urbagro S.A.S"/>
    <d v="2022-10-24T00:00:00"/>
    <d v="2022-10-25T00:00:00"/>
    <n v="42"/>
    <s v="FE-27"/>
    <x v="0"/>
    <n v="19111.5"/>
    <x v="213"/>
    <n v="162447750"/>
    <n v="45"/>
    <n v="4502430369"/>
    <n v="5084167644"/>
    <n v="5113674909"/>
    <m/>
    <s v="CON RETEN"/>
    <m/>
    <x v="0"/>
    <d v="2022-10-18T00:00:00"/>
    <m/>
    <m/>
    <m/>
    <m/>
    <m/>
    <m/>
    <m/>
    <m/>
    <d v="2022-10-18T00:00:00"/>
    <x v="10"/>
  </r>
  <r>
    <s v="Inversiones Urbagro S.A.S"/>
    <d v="2022-10-24T00:00:00"/>
    <d v="2022-10-25T00:00:00"/>
    <n v="42"/>
    <s v="NC16"/>
    <x v="0"/>
    <n v="19111.5"/>
    <x v="617"/>
    <n v="-1189881.9900000042"/>
    <n v="0"/>
    <n v="4502430369"/>
    <n v="5084167644"/>
    <n v="5113674911"/>
    <m/>
    <m/>
    <m/>
    <x v="0"/>
    <d v="2022-10-18T00:00:00"/>
    <m/>
    <m/>
    <m/>
    <m/>
    <m/>
    <m/>
    <m/>
    <m/>
    <d v="2022-10-18T00:00:00"/>
    <x v="10"/>
  </r>
  <r>
    <s v="Inversiones y Negocios V&amp;V S.A.S"/>
    <d v="2022-10-21T00:00:00"/>
    <d v="2022-10-24T00:00:00"/>
    <n v="42"/>
    <s v="FE-1740"/>
    <x v="0"/>
    <n v="6530.5"/>
    <x v="244"/>
    <n v="57468400"/>
    <n v="14"/>
    <n v="4502430370"/>
    <n v="5084159703"/>
    <n v="5113673778"/>
    <s v="CON RETEN"/>
    <m/>
    <m/>
    <x v="0"/>
    <d v="2022-10-18T00:00:00"/>
    <m/>
    <m/>
    <m/>
    <m/>
    <m/>
    <m/>
    <m/>
    <m/>
    <d v="2022-10-18T00:00:00"/>
    <x v="10"/>
  </r>
  <r>
    <s v="Inversiones y Negocios V&amp;V S.A.S"/>
    <d v="2022-10-21T00:00:00"/>
    <d v="2022-10-24T00:00:00"/>
    <n v="42"/>
    <s v="NC13059"/>
    <x v="0"/>
    <n v="6530.5"/>
    <x v="586"/>
    <n v="-169793"/>
    <n v="0"/>
    <n v="4502430370"/>
    <n v="5084159703"/>
    <n v="5113673779"/>
    <m/>
    <m/>
    <m/>
    <x v="0"/>
    <d v="2022-10-18T00:00:00"/>
    <m/>
    <m/>
    <m/>
    <m/>
    <m/>
    <m/>
    <m/>
    <m/>
    <d v="2022-10-18T00:00:00"/>
    <x v="10"/>
  </r>
  <r>
    <s v="Juan Jose Baena Diaz"/>
    <d v="2022-10-18T00:00:00"/>
    <d v="2022-10-21T00:00:00"/>
    <n v="42"/>
    <s v="2022-90"/>
    <x v="0"/>
    <n v="6168.5"/>
    <x v="234"/>
    <n v="52123825"/>
    <n v="15"/>
    <n v="4502430371"/>
    <n v="5084167645"/>
    <n v="5113671790"/>
    <m/>
    <s v="CON RETEN"/>
    <m/>
    <x v="0"/>
    <d v="2022-10-18T00:00:00"/>
    <m/>
    <m/>
    <m/>
    <m/>
    <m/>
    <m/>
    <m/>
    <m/>
    <d v="2022-10-18T00:00:00"/>
    <x v="10"/>
  </r>
  <r>
    <s v="Juan Jose Baena Diaz"/>
    <d v="2022-10-21T00:00:00"/>
    <d v="2022-10-21T00:00:00"/>
    <n v="42"/>
    <s v="FE4"/>
    <x v="0"/>
    <n v="6168.5"/>
    <x v="618"/>
    <n v="-745709.96499999636"/>
    <n v="0"/>
    <n v="4502430371"/>
    <n v="5084167645"/>
    <n v="5113671791"/>
    <m/>
    <m/>
    <m/>
    <x v="0"/>
    <d v="2022-10-18T00:00:00"/>
    <m/>
    <m/>
    <m/>
    <m/>
    <m/>
    <m/>
    <m/>
    <m/>
    <d v="2022-10-18T00:00:00"/>
    <x v="10"/>
  </r>
  <r>
    <s v="Agropecuaria los Molinos S.A.S"/>
    <d v="2022-10-10T00:00:00"/>
    <m/>
    <n v="42"/>
    <s v="FEMO-1010000825"/>
    <x v="0"/>
    <m/>
    <x v="594"/>
    <n v="0"/>
    <n v="98"/>
    <n v="4502428887"/>
    <n v="5084058569"/>
    <n v="5113644930"/>
    <s v="TIENE BL"/>
    <s v="EJ*7 1730000*4 1590000*3"/>
    <m/>
    <x v="0"/>
    <d v="2022-10-18T00:00:00"/>
    <n v="4902366643"/>
    <n v="11690000"/>
    <s v="FEMD-5460*4"/>
    <n v="5113660932"/>
    <s v="FEMD-5459*3"/>
    <n v="5113660934"/>
    <m/>
    <m/>
    <d v="2022-10-18T00:00:00"/>
    <x v="10"/>
  </r>
  <r>
    <s v="Agropecuaria Tabaida S.A.S"/>
    <d v="2022-10-18T00:00:00"/>
    <d v="2022-10-21T00:00:00"/>
    <n v="42"/>
    <s v="MT-1616"/>
    <x v="1"/>
    <n v="19966"/>
    <x v="151"/>
    <n v="162722900"/>
    <n v="42"/>
    <n v="4502432269"/>
    <n v="5084158534"/>
    <n v="5113673836"/>
    <s v="TIENE BL"/>
    <s v="TYC 4792500"/>
    <m/>
    <x v="0"/>
    <d v="2022-10-18T00:00:00"/>
    <n v="4902366645"/>
    <n v="4792500"/>
    <s v="ETE-3770"/>
    <n v="5113671038"/>
    <m/>
    <m/>
    <m/>
    <m/>
    <d v="2022-10-18T00:00:00"/>
    <x v="10"/>
  </r>
  <r>
    <s v="Agropecuaria Tabaida S.A.S"/>
    <d v="2022-10-18T00:00:00"/>
    <d v="2022-10-21T00:00:00"/>
    <n v="42"/>
    <n v="3"/>
    <x v="1"/>
    <n v="19966"/>
    <x v="584"/>
    <n v="479184"/>
    <n v="0"/>
    <n v="4502432269"/>
    <n v="5084158534"/>
    <n v="5113677120"/>
    <m/>
    <m/>
    <m/>
    <x v="0"/>
    <d v="2022-10-18T00:00:00"/>
    <m/>
    <m/>
    <m/>
    <m/>
    <m/>
    <m/>
    <m/>
    <m/>
    <d v="2022-10-18T00:00:00"/>
    <x v="10"/>
  </r>
  <r>
    <s v="Sociedad Comercializadora Ganadera"/>
    <d v="2022-10-20T00:00:00"/>
    <d v="2022-10-20T00:00:00"/>
    <n v="42"/>
    <s v="FEDV476"/>
    <x v="3"/>
    <n v="8513"/>
    <x v="9"/>
    <n v="65550100"/>
    <n v="31"/>
    <n v="4502434280"/>
    <n v="5084184878"/>
    <n v="5113666814"/>
    <m/>
    <s v="TIENE BL"/>
    <m/>
    <x v="2"/>
    <d v="2022-10-19T00:00:00"/>
    <m/>
    <m/>
    <m/>
    <m/>
    <m/>
    <m/>
    <m/>
    <m/>
    <d v="2022-10-19T00:00:00"/>
    <x v="10"/>
  </r>
  <r>
    <s v="Adrian Alberto Alvarez Henao"/>
    <d v="2022-10-24T00:00:00"/>
    <m/>
    <n v="43"/>
    <s v="AAAH-75"/>
    <x v="0"/>
    <n v="20779.5"/>
    <x v="237"/>
    <n v="187015500"/>
    <n v="43"/>
    <n v="4502433980"/>
    <n v="5084199164"/>
    <n v="5113688535"/>
    <m/>
    <s v="TIENE BL"/>
    <m/>
    <x v="0"/>
    <d v="2022-10-20T00:00:00"/>
    <m/>
    <m/>
    <m/>
    <m/>
    <m/>
    <m/>
    <m/>
    <m/>
    <d v="2022-10-20T00:00:00"/>
    <x v="10"/>
  </r>
  <r>
    <s v="Adrian Alberto Alvarez Henao"/>
    <d v="2022-10-24T00:00:00"/>
    <m/>
    <n v="43"/>
    <s v="AD37"/>
    <x v="0"/>
    <n v="20779.5"/>
    <x v="619"/>
    <n v="-99949.39499998941"/>
    <n v="0"/>
    <n v="4502433980"/>
    <n v="5084199164"/>
    <n v="5113688559"/>
    <m/>
    <m/>
    <m/>
    <x v="0"/>
    <d v="2022-10-20T00:00:00"/>
    <m/>
    <m/>
    <m/>
    <m/>
    <m/>
    <m/>
    <m/>
    <m/>
    <d v="2022-10-20T00:00:00"/>
    <x v="10"/>
  </r>
  <r>
    <s v="Rafael Ignacio Jaramillo Londoño"/>
    <d v="2022-10-20T00:00:00"/>
    <d v="2022-10-25T00:00:00"/>
    <n v="43"/>
    <s v="GAN-78"/>
    <x v="0"/>
    <n v="14026"/>
    <x v="314"/>
    <n v="125532700"/>
    <n v="30"/>
    <n v="4502433981"/>
    <n v="5084198965"/>
    <n v="5113675046"/>
    <m/>
    <s v="TIENE BL"/>
    <m/>
    <x v="0"/>
    <d v="2022-10-20T00:00:00"/>
    <m/>
    <m/>
    <m/>
    <m/>
    <m/>
    <m/>
    <m/>
    <m/>
    <d v="2022-10-20T00:00:00"/>
    <x v="10"/>
  </r>
  <r>
    <s v="HEVLA S.A.S"/>
    <d v="2022-10-20T00:00:00"/>
    <m/>
    <n v="43"/>
    <s v="FE-665"/>
    <x v="1"/>
    <n v="14682"/>
    <x v="145"/>
    <n v="118190100"/>
    <n v="28"/>
    <n v="4502435350"/>
    <n v="5084199159"/>
    <n v="5113686714"/>
    <s v="CON RETEN"/>
    <s v="EJ*2 2982600*2"/>
    <m/>
    <x v="0"/>
    <d v="2022-10-20T00:00:00"/>
    <n v="4902370636"/>
    <n v="5965200"/>
    <s v="FEMD-5506*2"/>
    <n v="5113671894"/>
    <m/>
    <m/>
    <m/>
    <m/>
    <d v="2022-10-20T00:00:00"/>
    <x v="10"/>
  </r>
  <r>
    <s v="Alexander Bautista Perez"/>
    <d v="2022-10-20T00:00:00"/>
    <d v="2022-10-25T00:00:00"/>
    <n v="43"/>
    <s v="FACE401"/>
    <x v="1"/>
    <n v="25262.5"/>
    <x v="283"/>
    <n v="223573125"/>
    <n v="45"/>
    <n v="4502433982"/>
    <n v="5084199165"/>
    <n v="5113675152"/>
    <m/>
    <s v="CON RETEN"/>
    <m/>
    <x v="0"/>
    <d v="2022-10-20T00:00:00"/>
    <m/>
    <m/>
    <m/>
    <m/>
    <m/>
    <m/>
    <m/>
    <m/>
    <d v="2022-10-20T00:00:00"/>
    <x v="10"/>
  </r>
  <r>
    <s v="Alexander Bautista Perez"/>
    <d v="2022-10-20T00:00:00"/>
    <d v="2022-10-25T00:00:00"/>
    <n v="43"/>
    <s v="NC45"/>
    <x v="1"/>
    <n v="25262.5"/>
    <x v="13"/>
    <n v="-1263125"/>
    <n v="0"/>
    <n v="4502433982"/>
    <n v="5084199165"/>
    <n v="5113675155"/>
    <m/>
    <m/>
    <m/>
    <x v="0"/>
    <d v="2022-10-20T00:00:00"/>
    <m/>
    <m/>
    <m/>
    <m/>
    <m/>
    <m/>
    <m/>
    <m/>
    <d v="2022-10-20T00:00:00"/>
    <x v="10"/>
  </r>
  <r>
    <s v="Sociedad Comercializadora Ganadera"/>
    <d v="2022-10-26T00:00:00"/>
    <d v="2022-10-26T00:00:00"/>
    <n v="43"/>
    <s v="FEDV477"/>
    <x v="2"/>
    <n v="25907.5"/>
    <x v="314"/>
    <n v="231872125"/>
    <n v="60"/>
    <n v="4502433983"/>
    <n v="5084199166"/>
    <n v="5113687264"/>
    <m/>
    <s v="TIENE BL"/>
    <m/>
    <x v="0"/>
    <d v="2022-10-20T00:00:00"/>
    <m/>
    <m/>
    <m/>
    <m/>
    <m/>
    <m/>
    <m/>
    <m/>
    <d v="2022-10-20T00:00:00"/>
    <x v="10"/>
  </r>
  <r>
    <s v="Sociedad Comercializadora Ganadera"/>
    <d v="2022-10-26T00:00:00"/>
    <d v="2022-10-26T00:00:00"/>
    <n v="43"/>
    <s v="NC242"/>
    <x v="2"/>
    <n v="25907.5"/>
    <x v="620"/>
    <n v="-4393912.0000000093"/>
    <n v="0"/>
    <n v="4502433983"/>
    <n v="5084199166"/>
    <n v="5113687266"/>
    <m/>
    <m/>
    <m/>
    <x v="0"/>
    <d v="2022-10-20T00:00:00"/>
    <m/>
    <m/>
    <m/>
    <m/>
    <m/>
    <m/>
    <m/>
    <m/>
    <d v="2022-10-20T00:00:00"/>
    <x v="10"/>
  </r>
  <r>
    <s v="Sociedad Comercializadora Ganadera"/>
    <d v="2022-10-26T00:00:00"/>
    <d v="2022-10-26T00:00:00"/>
    <n v="43"/>
    <s v="FEDV478"/>
    <x v="2"/>
    <n v="13002"/>
    <x v="314"/>
    <n v="116367900"/>
    <n v="32"/>
    <n v="4502433983"/>
    <n v="5084199166"/>
    <n v="5113687511"/>
    <m/>
    <s v="TIENE BL"/>
    <m/>
    <x v="0"/>
    <d v="2022-10-20T00:00:00"/>
    <m/>
    <m/>
    <m/>
    <m/>
    <m/>
    <m/>
    <m/>
    <m/>
    <d v="2022-10-20T00:00:00"/>
    <x v="10"/>
  </r>
  <r>
    <s v="Sociedad Comercializadora Ganadera"/>
    <d v="2022-10-26T00:00:00"/>
    <d v="2022-10-26T00:00:00"/>
    <n v="43"/>
    <s v="NC243"/>
    <x v="2"/>
    <n v="13002"/>
    <x v="621"/>
    <n v="-550764.72000000754"/>
    <n v="0"/>
    <n v="4502433983"/>
    <n v="5084199166"/>
    <n v="5113687515"/>
    <m/>
    <m/>
    <m/>
    <x v="0"/>
    <d v="2022-10-20T00:00:00"/>
    <m/>
    <m/>
    <m/>
    <m/>
    <m/>
    <m/>
    <m/>
    <m/>
    <d v="2022-10-20T00:00:00"/>
    <x v="10"/>
  </r>
  <r>
    <s v="Lina Maria Pelaez Gomez"/>
    <d v="2022-10-20T00:00:00"/>
    <d v="2022-10-25T00:00:00"/>
    <n v="43"/>
    <s v="LP121"/>
    <x v="2"/>
    <n v="20703"/>
    <x v="314"/>
    <n v="185291850"/>
    <n v="46"/>
    <n v="4502433984"/>
    <n v="5084199167"/>
    <n v="5113679128"/>
    <m/>
    <s v="TIENE BL"/>
    <m/>
    <x v="0"/>
    <d v="2022-10-20T00:00:00"/>
    <m/>
    <m/>
    <m/>
    <m/>
    <m/>
    <m/>
    <m/>
    <m/>
    <d v="2022-10-20T00:00:00"/>
    <x v="10"/>
  </r>
  <r>
    <s v="Lina Maria Pelaez Gomez"/>
    <d v="2022-10-25T00:00:00"/>
    <d v="2022-10-25T00:00:00"/>
    <n v="43"/>
    <s v="NC91"/>
    <x v="2"/>
    <n v="20703"/>
    <x v="622"/>
    <n v="-1379440.8899999834"/>
    <n v="0"/>
    <n v="4502433984"/>
    <n v="5084199167"/>
    <n v="5113679131"/>
    <m/>
    <m/>
    <m/>
    <x v="0"/>
    <d v="2022-10-20T00:00:00"/>
    <m/>
    <m/>
    <m/>
    <m/>
    <m/>
    <m/>
    <m/>
    <m/>
    <d v="2022-10-20T00:00:00"/>
    <x v="10"/>
  </r>
  <r>
    <s v="Sociedad Comercializadora Ganadera"/>
    <d v="2022-10-26T00:00:00"/>
    <d v="2022-10-26T00:00:00"/>
    <n v="43"/>
    <s v="FEDV479"/>
    <x v="0"/>
    <n v="24596"/>
    <x v="314"/>
    <n v="220134200"/>
    <n v="52"/>
    <n v="4502433985"/>
    <n v="5084232058"/>
    <n v="5113687728"/>
    <m/>
    <s v="TIENE BL"/>
    <m/>
    <x v="0"/>
    <d v="2022-10-21T00:00:00"/>
    <m/>
    <m/>
    <m/>
    <m/>
    <m/>
    <m/>
    <m/>
    <m/>
    <d v="2022-10-21T00:00:00"/>
    <x v="10"/>
  </r>
  <r>
    <s v="Sociedad Comercializadora Ganadera"/>
    <d v="2022-10-26T00:00:00"/>
    <d v="2022-10-26T00:00:00"/>
    <n v="43"/>
    <s v="NC244"/>
    <x v="0"/>
    <n v="24596"/>
    <x v="623"/>
    <n v="-154954.79999998212"/>
    <n v="0"/>
    <n v="4502433985"/>
    <n v="5084232058"/>
    <n v="5113687731"/>
    <m/>
    <m/>
    <m/>
    <x v="0"/>
    <d v="2022-10-21T00:00:00"/>
    <m/>
    <m/>
    <m/>
    <m/>
    <m/>
    <m/>
    <m/>
    <m/>
    <d v="2022-10-21T00:00:00"/>
    <x v="10"/>
  </r>
  <r>
    <s v="Sociedad Comercializadora Ganadera"/>
    <d v="2022-10-26T00:00:00"/>
    <d v="2022-10-26T00:00:00"/>
    <n v="43"/>
    <s v="FEDV480"/>
    <x v="0"/>
    <n v="18079"/>
    <x v="314"/>
    <n v="161807050"/>
    <n v="38"/>
    <n v="4502433985"/>
    <n v="5084232058"/>
    <n v="5113687735"/>
    <m/>
    <s v="TIENE BL"/>
    <m/>
    <x v="0"/>
    <d v="2022-10-21T00:00:00"/>
    <m/>
    <m/>
    <m/>
    <m/>
    <m/>
    <m/>
    <m/>
    <m/>
    <d v="2022-10-21T00:00:00"/>
    <x v="10"/>
  </r>
  <r>
    <s v="David Martinez Jaramillo"/>
    <d v="2022-10-21T00:00:00"/>
    <d v="2022-10-25T00:00:00"/>
    <n v="43"/>
    <s v="DM-286"/>
    <x v="0"/>
    <n v="26616"/>
    <x v="314"/>
    <n v="238213200"/>
    <n v="58"/>
    <n v="4502433986"/>
    <n v="5084232059"/>
    <n v="5113678836"/>
    <m/>
    <s v="TIENE BL"/>
    <m/>
    <x v="0"/>
    <d v="2022-10-21T00:00:00"/>
    <m/>
    <m/>
    <m/>
    <m/>
    <m/>
    <m/>
    <m/>
    <m/>
    <d v="2022-10-21T00:00:00"/>
    <x v="10"/>
  </r>
  <r>
    <s v="David Martinez Jaramillo"/>
    <d v="2022-10-21T00:00:00"/>
    <d v="2022-10-25T00:00:00"/>
    <n v="43"/>
    <s v="DM-286"/>
    <x v="1"/>
    <n v="11927"/>
    <x v="314"/>
    <n v="106746650"/>
    <n v="28"/>
    <n v="4502433991"/>
    <n v="5084232059"/>
    <n v="5113678836"/>
    <m/>
    <s v="TIENE BL"/>
    <m/>
    <x v="0"/>
    <d v="2022-10-21T00:00:00"/>
    <m/>
    <m/>
    <m/>
    <m/>
    <m/>
    <m/>
    <m/>
    <m/>
    <d v="2022-10-21T00:00:00"/>
    <x v="10"/>
  </r>
  <r>
    <s v="David Martinez Jaramillo"/>
    <d v="2022-10-25T00:00:00"/>
    <d v="2022-10-25T00:00:00"/>
    <n v="43"/>
    <s v="NC85"/>
    <x v="1"/>
    <n v="38543"/>
    <x v="624"/>
    <n v="-831372.50999998883"/>
    <n v="0"/>
    <n v="4502433991"/>
    <n v="5084232062"/>
    <n v="5113678938"/>
    <m/>
    <m/>
    <m/>
    <x v="0"/>
    <d v="2022-10-21T00:00:00"/>
    <m/>
    <m/>
    <m/>
    <m/>
    <m/>
    <m/>
    <m/>
    <m/>
    <d v="2022-10-21T00:00:00"/>
    <x v="10"/>
  </r>
  <r>
    <s v="Carnes La Italiana L S S A S"/>
    <d v="2022-10-28T00:00:00"/>
    <m/>
    <n v="43"/>
    <s v="FVE-4234"/>
    <x v="0"/>
    <n v="6905"/>
    <x v="224"/>
    <n v="59037750"/>
    <n v="14"/>
    <n v="4502433987"/>
    <n v="5084232060"/>
    <n v="5113691585"/>
    <m/>
    <s v="TIENE BL"/>
    <m/>
    <x v="0"/>
    <d v="2022-10-21T00:00:00"/>
    <m/>
    <m/>
    <m/>
    <m/>
    <m/>
    <m/>
    <m/>
    <m/>
    <d v="2022-10-21T00:00:00"/>
    <x v="10"/>
  </r>
  <r>
    <s v="Carnes La Italiana L S S A S"/>
    <d v="2022-10-28T00:00:00"/>
    <m/>
    <n v="43"/>
    <s v="ND52"/>
    <x v="0"/>
    <n v="6905"/>
    <x v="13"/>
    <n v="345250"/>
    <n v="0"/>
    <n v="4502433987"/>
    <n v="5084232060"/>
    <n v="5113691637"/>
    <m/>
    <m/>
    <m/>
    <x v="0"/>
    <d v="2022-10-21T00:00:00"/>
    <m/>
    <m/>
    <m/>
    <m/>
    <m/>
    <m/>
    <m/>
    <m/>
    <d v="2022-10-21T00:00:00"/>
    <x v="10"/>
  </r>
  <r>
    <s v="Rafael Francisco Delgado Serrano"/>
    <d v="2022-10-25T00:00:00"/>
    <m/>
    <n v="43"/>
    <s v="RFDS-185"/>
    <x v="1"/>
    <n v="6573"/>
    <x v="248"/>
    <n v="56527800"/>
    <n v="14"/>
    <n v="4502433988"/>
    <n v="5084232061"/>
    <n v="5113675037"/>
    <m/>
    <s v="CON RETEN"/>
    <m/>
    <x v="0"/>
    <d v="2022-10-21T00:00:00"/>
    <m/>
    <m/>
    <m/>
    <m/>
    <m/>
    <m/>
    <m/>
    <m/>
    <d v="2022-10-21T00:00:00"/>
    <x v="10"/>
  </r>
  <r>
    <s v="Inversiones y Negocios V&amp;V S.A.S"/>
    <d v="2022-10-25T00:00:00"/>
    <d v="2022-10-25T00:00:00"/>
    <n v="43"/>
    <s v="FE-1741"/>
    <x v="0"/>
    <n v="6289"/>
    <x v="314"/>
    <n v="56286550"/>
    <n v="14"/>
    <n v="4502433992"/>
    <n v="5084232063"/>
    <n v="5113689515"/>
    <m/>
    <s v="CON RETEN"/>
    <m/>
    <x v="0"/>
    <d v="2022-10-21T00:00:00"/>
    <m/>
    <m/>
    <m/>
    <m/>
    <m/>
    <m/>
    <m/>
    <m/>
    <d v="2022-10-21T00:00:00"/>
    <x v="10"/>
  </r>
  <r>
    <s v="Inversiones y Negocios V&amp;V S.A.S"/>
    <d v="2022-10-25T00:00:00"/>
    <d v="2022-10-25T00:00:00"/>
    <n v="43"/>
    <s v="DF210"/>
    <x v="0"/>
    <n v="6289"/>
    <x v="584"/>
    <n v="150936"/>
    <n v="0"/>
    <n v="4502433992"/>
    <n v="5084232063"/>
    <n v="5113692940"/>
    <m/>
    <m/>
    <m/>
    <x v="0"/>
    <d v="2022-10-21T00:00:00"/>
    <m/>
    <m/>
    <m/>
    <m/>
    <m/>
    <m/>
    <m/>
    <m/>
    <d v="2022-10-21T00:00:00"/>
    <x v="10"/>
  </r>
  <r>
    <s v="Alexander Bautista Perez"/>
    <d v="2022-10-21T00:00:00"/>
    <d v="2022-10-25T00:00:00"/>
    <n v="43"/>
    <s v="FACE402"/>
    <x v="0"/>
    <n v="29063.5"/>
    <x v="283"/>
    <n v="257211975"/>
    <n v="60"/>
    <n v="4502433993"/>
    <n v="5084240023"/>
    <n v="5113678831"/>
    <m/>
    <s v="CON RETEN"/>
    <m/>
    <x v="0"/>
    <d v="2022-10-21T00:00:00"/>
    <m/>
    <m/>
    <m/>
    <m/>
    <m/>
    <m/>
    <m/>
    <m/>
    <d v="2022-10-21T00:00:00"/>
    <x v="10"/>
  </r>
  <r>
    <s v="Gerardo Junco Espinosa"/>
    <d v="2022-10-25T00:00:00"/>
    <d v="2022-10-27T00:00:00"/>
    <n v="43"/>
    <s v="FVE-538"/>
    <x v="0"/>
    <n v="6838.5"/>
    <x v="213"/>
    <n v="58127250"/>
    <n v="15"/>
    <n v="4502433994"/>
    <n v="5084240024"/>
    <n v="5113687258"/>
    <m/>
    <s v="CON RETEN"/>
    <m/>
    <x v="0"/>
    <d v="2022-10-21T00:00:00"/>
    <m/>
    <m/>
    <m/>
    <m/>
    <m/>
    <m/>
    <m/>
    <m/>
    <d v="2022-10-21T00:00:00"/>
    <x v="10"/>
  </r>
  <r>
    <s v="Gerardo Junco Espinosa"/>
    <d v="2022-10-25T00:00:00"/>
    <d v="2022-10-27T00:00:00"/>
    <n v="43"/>
    <n v="22"/>
    <x v="0"/>
    <n v="6838.5"/>
    <x v="13"/>
    <n v="-341925"/>
    <n v="0"/>
    <n v="4502433994"/>
    <n v="5084240024"/>
    <n v="5113687260"/>
    <m/>
    <m/>
    <m/>
    <x v="0"/>
    <d v="2022-10-21T00:00:00"/>
    <m/>
    <m/>
    <m/>
    <m/>
    <m/>
    <m/>
    <m/>
    <m/>
    <d v="2022-10-21T00:00:00"/>
    <x v="10"/>
  </r>
  <r>
    <s v="Agropecuaria Tabaida S.A.S"/>
    <d v="2022-10-21T00:00:00"/>
    <d v="2022-10-25T00:00:00"/>
    <n v="43"/>
    <s v="MT1623"/>
    <x v="2"/>
    <n v="38353"/>
    <x v="224"/>
    <n v="327918150"/>
    <n v="84"/>
    <n v="4502437466"/>
    <n v="5084263251"/>
    <n v="5113682173"/>
    <s v="TIENE BL"/>
    <m/>
    <m/>
    <x v="1"/>
    <d v="2022-10-21T00:00:00"/>
    <m/>
    <m/>
    <m/>
    <m/>
    <m/>
    <m/>
    <m/>
    <m/>
    <d v="2022-10-21T00:00:00"/>
    <x v="10"/>
  </r>
  <r>
    <s v="Agropecuaria Tabaida S.A.S"/>
    <d v="2022-10-21T00:00:00"/>
    <d v="2022-10-25T00:00:00"/>
    <n v="43"/>
    <n v="4"/>
    <x v="2"/>
    <n v="38353"/>
    <x v="584"/>
    <n v="920472"/>
    <n v="0"/>
    <n v="4502437466"/>
    <n v="5084263251"/>
    <n v="5113682175"/>
    <m/>
    <m/>
    <m/>
    <x v="1"/>
    <d v="2022-10-21T00:00:00"/>
    <m/>
    <m/>
    <m/>
    <m/>
    <m/>
    <m/>
    <m/>
    <m/>
    <d v="2022-10-21T00:00:00"/>
    <x v="10"/>
  </r>
  <r>
    <s v="Carlos Mario Duque Cadavid"/>
    <d v="2022-10-21T00:00:00"/>
    <m/>
    <n v="43"/>
    <s v="CD-135"/>
    <x v="2"/>
    <n v="26814"/>
    <x v="224"/>
    <n v="229259700"/>
    <n v="56"/>
    <n v="4502437473"/>
    <n v="5084263257"/>
    <n v="5113678835"/>
    <s v="CON RETEN"/>
    <m/>
    <m/>
    <x v="1"/>
    <d v="2022-10-21T00:00:00"/>
    <m/>
    <m/>
    <m/>
    <m/>
    <m/>
    <m/>
    <m/>
    <m/>
    <d v="2022-10-21T00:00:00"/>
    <x v="10"/>
  </r>
  <r>
    <s v="Sociedad Comercializadora Ganadera"/>
    <d v="2022-10-26T00:00:00"/>
    <d v="2022-10-26T00:00:00"/>
    <n v="43"/>
    <s v="FEDV481"/>
    <x v="0"/>
    <n v="41934"/>
    <x v="314"/>
    <n v="375309300"/>
    <n v="91"/>
    <n v="4502433995"/>
    <n v="5084230636"/>
    <n v="5113687249"/>
    <m/>
    <s v="TIENE BL"/>
    <m/>
    <x v="0"/>
    <d v="2022-10-22T00:00:00"/>
    <m/>
    <m/>
    <m/>
    <m/>
    <m/>
    <m/>
    <m/>
    <m/>
    <d v="2022-10-22T00:00:00"/>
    <x v="10"/>
  </r>
  <r>
    <s v="Sociedad Comercializadora Ganadera"/>
    <d v="2022-10-26T00:00:00"/>
    <d v="2022-10-26T00:00:00"/>
    <n v="43"/>
    <s v="NC245"/>
    <x v="0"/>
    <n v="41934"/>
    <x v="625"/>
    <n v="-6368516.5800000336"/>
    <n v="0"/>
    <n v="4502433995"/>
    <n v="5084230636"/>
    <n v="5113687255"/>
    <m/>
    <m/>
    <m/>
    <x v="0"/>
    <d v="2022-10-22T00:00:00"/>
    <m/>
    <m/>
    <m/>
    <m/>
    <m/>
    <m/>
    <m/>
    <m/>
    <d v="2022-10-22T00:00:00"/>
    <x v="10"/>
  </r>
  <r>
    <s v="Sociedad Comercializadora Ganadera"/>
    <d v="2022-10-26T00:00:00"/>
    <d v="2022-10-26T00:00:00"/>
    <n v="43"/>
    <s v="FEDV482"/>
    <x v="0"/>
    <n v="7746"/>
    <x v="314"/>
    <n v="69326700"/>
    <n v="15"/>
    <n v="4502436210"/>
    <n v="5084244365"/>
    <n v="5113687247"/>
    <m/>
    <s v="TIENE BL"/>
    <m/>
    <x v="0"/>
    <d v="2022-10-22T00:00:00"/>
    <m/>
    <m/>
    <m/>
    <m/>
    <m/>
    <m/>
    <m/>
    <m/>
    <d v="2022-10-22T00:00:00"/>
    <x v="10"/>
  </r>
  <r>
    <s v="David Martinez Jaramillo"/>
    <d v="2022-10-22T00:00:00"/>
    <d v="2022-10-25T00:00:00"/>
    <n v="43"/>
    <s v="DM-287"/>
    <x v="0"/>
    <n v="25062"/>
    <x v="314"/>
    <n v="224304900"/>
    <n v="58"/>
    <n v="4502433996"/>
    <n v="5084232009"/>
    <n v="5113678940"/>
    <m/>
    <s v="TIENE BL"/>
    <m/>
    <x v="0"/>
    <d v="2022-10-22T00:00:00"/>
    <m/>
    <m/>
    <m/>
    <m/>
    <m/>
    <m/>
    <m/>
    <m/>
    <d v="2022-10-22T00:00:00"/>
    <x v="10"/>
  </r>
  <r>
    <s v="David Martinez Jaramillo"/>
    <d v="2022-10-25T00:00:00"/>
    <d v="2022-10-25T00:00:00"/>
    <n v="43"/>
    <s v="NC86"/>
    <x v="0"/>
    <n v="25062"/>
    <x v="626"/>
    <n v="-1489184.0400000019"/>
    <n v="0"/>
    <n v="4502433996"/>
    <n v="5084232009"/>
    <n v="5113678946"/>
    <m/>
    <m/>
    <m/>
    <x v="0"/>
    <d v="2022-10-22T00:00:00"/>
    <m/>
    <m/>
    <m/>
    <m/>
    <m/>
    <m/>
    <m/>
    <m/>
    <d v="2022-10-22T00:00:00"/>
    <x v="10"/>
  </r>
  <r>
    <s v="Alexander Bautista Perez"/>
    <d v="2022-10-23T00:00:00"/>
    <d v="2022-10-26T00:00:00"/>
    <n v="43"/>
    <s v="FACE403"/>
    <x v="0"/>
    <n v="7088"/>
    <x v="283"/>
    <n v="62728800"/>
    <n v="14"/>
    <n v="4502433997"/>
    <n v="5084244426"/>
    <n v="5113679469"/>
    <m/>
    <s v="CON RETEN"/>
    <m/>
    <x v="0"/>
    <d v="2022-10-23T00:00:00"/>
    <m/>
    <m/>
    <m/>
    <m/>
    <m/>
    <m/>
    <m/>
    <m/>
    <d v="2022-10-23T00:00:00"/>
    <x v="10"/>
  </r>
  <r>
    <s v="Agropecuaria los Molinos S.A.S"/>
    <d v="2022-10-10T00:00:00"/>
    <m/>
    <n v="43"/>
    <s v="FEMO-1010000825"/>
    <x v="0"/>
    <m/>
    <x v="594"/>
    <n v="0"/>
    <n v="70"/>
    <n v="4502428887"/>
    <n v="5084058569"/>
    <n v="5113644930"/>
    <s v="TIENE BL"/>
    <s v="EJ*5 1670900*5 800000 transbordo"/>
    <m/>
    <x v="0"/>
    <d v="2022-10-23T00:00:00"/>
    <n v="4902370634"/>
    <n v="9154500"/>
    <s v="FEMD-5532*4"/>
    <n v="5113678616"/>
    <s v="FEMD-5531*1"/>
    <n v="5113678678"/>
    <s v="FEMD-5527"/>
    <n v="5113678681"/>
    <d v="2022-10-23T00:00:00"/>
    <x v="10"/>
  </r>
  <r>
    <s v="Sociedad Comercializadora Ganadera"/>
    <d v="2022-10-26T00:00:00"/>
    <d v="2022-10-26T00:00:00"/>
    <n v="43"/>
    <s v="FEDV484"/>
    <x v="1"/>
    <n v="6629"/>
    <x v="314"/>
    <n v="59329550"/>
    <n v="15"/>
    <n v="4502434000"/>
    <n v="5084244427"/>
    <n v="5113687243"/>
    <m/>
    <s v="TIENE BL"/>
    <m/>
    <x v="0"/>
    <d v="2022-10-23T00:00:00"/>
    <m/>
    <m/>
    <m/>
    <m/>
    <m/>
    <m/>
    <m/>
    <m/>
    <d v="2022-10-23T00:00:00"/>
    <x v="10"/>
  </r>
  <r>
    <s v="Sociedad Comercializadora Ganadera"/>
    <d v="2022-10-26T00:00:00"/>
    <d v="2022-10-26T00:00:00"/>
    <n v="43"/>
    <s v="FEDV483"/>
    <x v="1"/>
    <n v="34878.5"/>
    <x v="314"/>
    <n v="312162575"/>
    <n v="77"/>
    <n v="4502434000"/>
    <n v="5084244427"/>
    <n v="5113687213"/>
    <m/>
    <s v="TIENE BL"/>
    <m/>
    <x v="0"/>
    <d v="2022-10-23T00:00:00"/>
    <m/>
    <m/>
    <m/>
    <m/>
    <m/>
    <m/>
    <m/>
    <m/>
    <d v="2022-10-23T00:00:00"/>
    <x v="10"/>
  </r>
  <r>
    <s v="Sociedad Comercializadora Ganadera"/>
    <d v="2022-10-26T00:00:00"/>
    <d v="2022-10-26T00:00:00"/>
    <n v="43"/>
    <s v="NC246"/>
    <x v="1"/>
    <n v="34878.5"/>
    <x v="627"/>
    <n v="-1783686.4899999797"/>
    <n v="0"/>
    <n v="4502434000"/>
    <n v="5084244427"/>
    <n v="5113687240"/>
    <m/>
    <m/>
    <m/>
    <x v="0"/>
    <d v="2022-10-23T00:00:00"/>
    <m/>
    <m/>
    <m/>
    <m/>
    <m/>
    <m/>
    <m/>
    <m/>
    <d v="2022-10-23T00:00:00"/>
    <x v="10"/>
  </r>
  <r>
    <s v="Inversiones Valle Del Canalete S.A.S"/>
    <d v="2022-10-26T00:00:00"/>
    <d v="2022-10-26T00:00:00"/>
    <n v="43"/>
    <s v="IVC148"/>
    <x v="2"/>
    <n v="25233"/>
    <x v="213"/>
    <n v="214480500"/>
    <n v="56"/>
    <n v="4502438254"/>
    <n v="5084279935"/>
    <n v="5113680384"/>
    <m/>
    <s v="CON RETEN"/>
    <m/>
    <x v="1"/>
    <d v="2022-10-23T00:00:00"/>
    <m/>
    <m/>
    <m/>
    <m/>
    <m/>
    <m/>
    <m/>
    <m/>
    <d v="2022-10-23T00:00:00"/>
    <x v="10"/>
  </r>
  <r>
    <s v="Inversiones Valle Del Canalete S.A.S"/>
    <d v="2022-10-26T00:00:00"/>
    <d v="2022-10-26T00:00:00"/>
    <n v="43"/>
    <s v="IVC149"/>
    <x v="2"/>
    <n v="25233"/>
    <x v="584"/>
    <n v="605592"/>
    <n v="0"/>
    <n v="4502438254"/>
    <n v="5084279935"/>
    <n v="5113680386"/>
    <m/>
    <m/>
    <m/>
    <x v="1"/>
    <d v="2022-10-23T00:00:00"/>
    <m/>
    <m/>
    <m/>
    <m/>
    <m/>
    <m/>
    <m/>
    <m/>
    <d v="2022-10-23T00:00:00"/>
    <x v="10"/>
  </r>
  <r>
    <s v="Agropecuaria El Uberrimo S.A.S"/>
    <d v="2022-10-27T00:00:00"/>
    <m/>
    <n v="43"/>
    <s v="FE-286"/>
    <x v="2"/>
    <n v="16295"/>
    <x v="628"/>
    <n v="139198245.04999998"/>
    <n v="30"/>
    <n v="4502438255"/>
    <n v="5084280076"/>
    <n v="5113709562"/>
    <m/>
    <s v="CON RETEN"/>
    <m/>
    <x v="1"/>
    <d v="2022-10-23T00:00:00"/>
    <m/>
    <m/>
    <m/>
    <m/>
    <m/>
    <m/>
    <m/>
    <m/>
    <d v="2022-10-23T00:00:00"/>
    <x v="10"/>
  </r>
  <r>
    <s v="Mauricio De Jesús Bernal Jaramillo"/>
    <d v="2022-10-29T00:00:00"/>
    <m/>
    <n v="43"/>
    <s v="FE-211"/>
    <x v="2"/>
    <n v="6463"/>
    <x v="213"/>
    <n v="54935500"/>
    <n v="15"/>
    <n v="4502438256"/>
    <n v="5084305017"/>
    <n v="5113692941"/>
    <m/>
    <s v="CON RETEN"/>
    <m/>
    <x v="1"/>
    <d v="2022-10-23T00:00:00"/>
    <m/>
    <m/>
    <m/>
    <m/>
    <m/>
    <m/>
    <m/>
    <m/>
    <d v="2022-10-23T00:00:00"/>
    <x v="10"/>
  </r>
  <r>
    <s v="Mauricio De Jesús Bernal Jaramillo"/>
    <d v="2022-10-28T00:00:00"/>
    <m/>
    <n v="43"/>
    <s v="FE-212"/>
    <x v="2"/>
    <n v="6463"/>
    <x v="584"/>
    <n v="155112"/>
    <n v="0"/>
    <n v="4502438256"/>
    <n v="5084305017"/>
    <n v="5113692942"/>
    <m/>
    <m/>
    <m/>
    <x v="1"/>
    <d v="2022-10-23T00:00:00"/>
    <m/>
    <m/>
    <m/>
    <m/>
    <m/>
    <m/>
    <m/>
    <m/>
    <d v="2022-10-23T00:00:00"/>
    <x v="10"/>
  </r>
  <r>
    <s v="Luis Fernando Rojas Prada"/>
    <d v="2022-10-26T00:00:00"/>
    <d v="2022-10-26T00:00:00"/>
    <n v="43"/>
    <s v="FELC-1080"/>
    <x v="0"/>
    <n v="58967"/>
    <x v="175"/>
    <n v="483529400"/>
    <n v="112"/>
    <n v="4502436418"/>
    <n v="5084260643"/>
    <n v="5113687152"/>
    <s v="TIENE BL"/>
    <s v="EJ*8 3062400*3 2979200*5"/>
    <m/>
    <x v="0"/>
    <d v="2022-10-24T00:00:00"/>
    <n v="4902370637"/>
    <n v="24083200"/>
    <s v="FEMD-5538*3"/>
    <n v="5113675367"/>
    <s v="FEMD-5537*5"/>
    <n v="5113675368"/>
    <m/>
    <m/>
    <d v="2022-10-24T00:00:00"/>
    <x v="10"/>
  </r>
  <r>
    <s v="David Martinez Jaramillo"/>
    <d v="2022-10-24T00:00:00"/>
    <d v="2022-10-26T00:00:00"/>
    <n v="43"/>
    <s v="DM-290"/>
    <x v="1"/>
    <n v="13363"/>
    <x v="314"/>
    <n v="119598850"/>
    <n v="29"/>
    <n v="4502434005"/>
    <n v="5084261417"/>
    <n v="5113688482"/>
    <m/>
    <s v="TIENE BL"/>
    <m/>
    <x v="0"/>
    <d v="2022-10-24T00:00:00"/>
    <m/>
    <m/>
    <m/>
    <m/>
    <m/>
    <m/>
    <m/>
    <m/>
    <d v="2022-10-24T00:00:00"/>
    <x v="10"/>
  </r>
  <r>
    <s v="David Martinez Jaramillo"/>
    <d v="2022-10-26T00:00:00"/>
    <d v="2022-10-26T00:00:00"/>
    <n v="43"/>
    <s v="NC87"/>
    <x v="1"/>
    <n v="13363"/>
    <x v="629"/>
    <n v="-705432.77000001166"/>
    <n v="0"/>
    <n v="4502434005"/>
    <n v="5084261417"/>
    <n v="5113688530"/>
    <m/>
    <m/>
    <m/>
    <x v="0"/>
    <d v="2022-10-24T00:00:00"/>
    <m/>
    <m/>
    <m/>
    <m/>
    <m/>
    <m/>
    <m/>
    <m/>
    <d v="2022-10-24T00:00:00"/>
    <x v="10"/>
  </r>
  <r>
    <s v="Olger Fernando Rojas Angarita"/>
    <d v="2022-10-26T00:00:00"/>
    <m/>
    <n v="43"/>
    <s v="OR-213"/>
    <x v="1"/>
    <n v="25799"/>
    <x v="220"/>
    <n v="223161350"/>
    <n v="56"/>
    <n v="4502434006"/>
    <n v="5084261498"/>
    <n v="5113683004"/>
    <m/>
    <s v="TIENE BL"/>
    <m/>
    <x v="0"/>
    <d v="2022-10-24T00:00:00"/>
    <m/>
    <m/>
    <m/>
    <m/>
    <m/>
    <m/>
    <m/>
    <m/>
    <d v="2022-10-24T00:00:00"/>
    <x v="10"/>
  </r>
  <r>
    <s v="Olger Fernando Rojas Angarita"/>
    <d v="2022-10-26T00:00:00"/>
    <m/>
    <n v="43"/>
    <n v="16"/>
    <x v="1"/>
    <n v="25799"/>
    <x v="630"/>
    <n v="-114805.55000001877"/>
    <n v="0"/>
    <n v="4502434006"/>
    <n v="5084261498"/>
    <n v="5113683006"/>
    <m/>
    <m/>
    <m/>
    <x v="0"/>
    <d v="2022-10-24T00:00:00"/>
    <m/>
    <m/>
    <m/>
    <m/>
    <m/>
    <m/>
    <m/>
    <m/>
    <d v="2022-10-24T00:00:00"/>
    <x v="10"/>
  </r>
  <r>
    <s v="Inversiones Urbagro S.A.S"/>
    <d v="2022-10-31T00:00:00"/>
    <d v="2022-10-31T00:00:00"/>
    <n v="43"/>
    <s v="FE-28"/>
    <x v="0"/>
    <n v="43626"/>
    <x v="227"/>
    <n v="379546200"/>
    <n v="105"/>
    <n v="4502434007"/>
    <n v="5084285492"/>
    <n v="5113697439"/>
    <m/>
    <s v="CON RETEN"/>
    <m/>
    <x v="0"/>
    <d v="2022-10-25T00:00:00"/>
    <m/>
    <m/>
    <m/>
    <m/>
    <m/>
    <m/>
    <m/>
    <m/>
    <d v="2022-10-25T00:00:00"/>
    <x v="10"/>
  </r>
  <r>
    <s v="Inversiones Urbagro S.A.S"/>
    <d v="2022-10-31T00:00:00"/>
    <d v="2022-10-31T00:00:00"/>
    <n v="43"/>
    <s v="NC17"/>
    <x v="0"/>
    <n v="43626"/>
    <x v="631"/>
    <n v="-7439978.0400000382"/>
    <n v="0"/>
    <n v="4502434007"/>
    <n v="5084285492"/>
    <n v="5113697498"/>
    <m/>
    <m/>
    <m/>
    <x v="0"/>
    <d v="2022-10-25T00:00:00"/>
    <m/>
    <m/>
    <m/>
    <m/>
    <m/>
    <m/>
    <m/>
    <m/>
    <d v="2022-10-25T00:00:00"/>
    <x v="10"/>
  </r>
  <r>
    <s v="Agropecuaria los Molinos S.A.S"/>
    <d v="2022-10-10T00:00:00"/>
    <m/>
    <n v="43"/>
    <s v="FEMO-1010000825"/>
    <x v="1"/>
    <m/>
    <x v="594"/>
    <n v="0"/>
    <n v="28"/>
    <n v="4502428887"/>
    <n v="5084058569"/>
    <n v="5113644930"/>
    <s v="TIENE BL"/>
    <s v="EJ*2 1670900*2"/>
    <m/>
    <x v="0"/>
    <d v="2022-10-25T00:00:00"/>
    <n v="4902370638"/>
    <n v="3341800"/>
    <s v="FEMD-5566*2"/>
    <n v="5113690631"/>
    <m/>
    <m/>
    <m/>
    <m/>
    <d v="2022-10-25T00:00:00"/>
    <x v="10"/>
  </r>
  <r>
    <s v="Andres Felipe Mantilla Acosta"/>
    <d v="2022-10-25T00:00:00"/>
    <d v="2022-10-29T00:00:00"/>
    <n v="43"/>
    <s v="FEFE-50"/>
    <x v="1"/>
    <n v="6959"/>
    <x v="248"/>
    <n v="59847400"/>
    <n v="15"/>
    <n v="4502441596"/>
    <n v="5084359881"/>
    <n v="5113694643"/>
    <m/>
    <s v="TIENE BL"/>
    <m/>
    <x v="0"/>
    <d v="2022-10-25T00:00:00"/>
    <m/>
    <m/>
    <m/>
    <m/>
    <m/>
    <m/>
    <m/>
    <m/>
    <d v="2022-10-25T00:00:00"/>
    <x v="10"/>
  </r>
  <r>
    <s v="Andres Felipe Mantilla Acosta"/>
    <d v="2022-10-27T00:00:00"/>
    <d v="2022-10-29T00:00:00"/>
    <n v="43"/>
    <s v="NC15"/>
    <x v="1"/>
    <n v="6959"/>
    <x v="124"/>
    <n v="-1391800"/>
    <n v="0"/>
    <n v="4502441596"/>
    <n v="5084359881"/>
    <n v="5113694646"/>
    <m/>
    <m/>
    <m/>
    <x v="0"/>
    <d v="2022-10-25T00:00:00"/>
    <m/>
    <m/>
    <m/>
    <m/>
    <m/>
    <m/>
    <m/>
    <m/>
    <d v="2022-10-25T00:00:00"/>
    <x v="10"/>
  </r>
  <r>
    <s v="Olger Fernando Rojas Angarita"/>
    <d v="2022-10-27T00:00:00"/>
    <m/>
    <n v="43"/>
    <s v="OR-214"/>
    <x v="1"/>
    <n v="7037.5"/>
    <x v="220"/>
    <n v="60874375"/>
    <n v="14"/>
    <n v="4502440431"/>
    <n v="5084326551"/>
    <n v="5113688393"/>
    <m/>
    <s v="TIENE BL"/>
    <m/>
    <x v="0"/>
    <d v="2022-10-24T00:00:00"/>
    <m/>
    <m/>
    <m/>
    <m/>
    <m/>
    <m/>
    <m/>
    <m/>
    <d v="2022-10-24T00:00:00"/>
    <x v="10"/>
  </r>
  <r>
    <s v="Olger Fernando Rojas Angarita"/>
    <d v="2022-10-27T00:00:00"/>
    <m/>
    <n v="43"/>
    <n v="17"/>
    <x v="1"/>
    <n v="7037.5"/>
    <x v="632"/>
    <n v="-126745.37500000154"/>
    <n v="0"/>
    <n v="4502440431"/>
    <n v="5084326551"/>
    <n v="5113688477"/>
    <m/>
    <m/>
    <m/>
    <x v="0"/>
    <d v="2022-10-24T00:00:00"/>
    <m/>
    <m/>
    <m/>
    <m/>
    <m/>
    <m/>
    <m/>
    <m/>
    <d v="2022-10-24T00:00:00"/>
    <x v="10"/>
  </r>
  <r>
    <s v="Miguel Antonio Carrascal Pacheco"/>
    <d v="2022-11-01T00:00:00"/>
    <d v="2022-11-01T00:00:00"/>
    <n v="43"/>
    <s v="MACP1"/>
    <x v="1"/>
    <n v="7007"/>
    <x v="248"/>
    <n v="60260200"/>
    <n v="15"/>
    <n v="4502434010"/>
    <n v="5084289225"/>
    <n v="5113705916"/>
    <m/>
    <s v="TIENE BL"/>
    <m/>
    <x v="0"/>
    <d v="2022-10-25T00:00:00"/>
    <m/>
    <m/>
    <m/>
    <m/>
    <m/>
    <m/>
    <m/>
    <m/>
    <d v="2022-10-25T00:00:00"/>
    <x v="10"/>
  </r>
  <r>
    <s v="Miguel Antonio Carrascal Pacheco"/>
    <d v="2022-11-01T00:00:00"/>
    <d v="2022-11-01T00:00:00"/>
    <n v="43"/>
    <s v="NCR46"/>
    <x v="1"/>
    <n v="7007"/>
    <x v="2"/>
    <n v="-700700"/>
    <n v="0"/>
    <n v="4502434010"/>
    <n v="5084289225"/>
    <n v="5113706087"/>
    <m/>
    <m/>
    <m/>
    <x v="0"/>
    <d v="2022-10-25T00:00:00"/>
    <m/>
    <m/>
    <m/>
    <m/>
    <m/>
    <m/>
    <m/>
    <m/>
    <d v="2022-10-25T00:00:00"/>
    <x v="10"/>
  </r>
  <r>
    <s v="Surtidora Agropecuaria De Colombia"/>
    <d v="2022-10-25T00:00:00"/>
    <d v="2022-10-27T00:00:00"/>
    <n v="43"/>
    <s v="FESA-59"/>
    <x v="2"/>
    <n v="26360"/>
    <x v="227"/>
    <n v="229332000"/>
    <n v="56"/>
    <n v="4502440230"/>
    <n v="5084323156"/>
    <n v="5113691584"/>
    <m/>
    <s v="TIENE BL"/>
    <m/>
    <x v="1"/>
    <d v="2022-10-25T00:00:00"/>
    <m/>
    <m/>
    <m/>
    <m/>
    <m/>
    <m/>
    <m/>
    <m/>
    <d v="2022-10-25T00:00:00"/>
    <x v="10"/>
  </r>
  <r>
    <s v="Sociedad Comercializadora Ganadera"/>
    <d v="2022-10-28T00:00:00"/>
    <d v="2022-10-28T00:00:00"/>
    <n v="43"/>
    <s v="FEDV485"/>
    <x v="3"/>
    <n v="8218"/>
    <x v="9"/>
    <n v="63278600"/>
    <n v="32"/>
    <n v="4502440289"/>
    <n v="5084324231"/>
    <n v="5113705265"/>
    <m/>
    <s v="TIENE BL"/>
    <m/>
    <x v="2"/>
    <d v="2022-10-26T00:00:00"/>
    <m/>
    <m/>
    <m/>
    <m/>
    <m/>
    <m/>
    <m/>
    <m/>
    <d v="2022-10-26T00:00:00"/>
    <x v="10"/>
  </r>
  <r>
    <s v="Carlos Enrique Galan Prada"/>
    <d v="2022-11-02T00:00:00"/>
    <d v="2022-11-02T00:00:00"/>
    <n v="44"/>
    <s v="FVEC18"/>
    <x v="0"/>
    <n v="5992.5"/>
    <x v="220"/>
    <n v="51835125"/>
    <n v="14"/>
    <n v="4502438734"/>
    <n v="5084325086"/>
    <n v="5113704064"/>
    <m/>
    <s v="CON RETEN"/>
    <m/>
    <x v="0"/>
    <d v="2022-10-27T00:00:00"/>
    <m/>
    <m/>
    <m/>
    <m/>
    <m/>
    <m/>
    <m/>
    <m/>
    <d v="2022-10-27T00:00:00"/>
    <x v="10"/>
  </r>
  <r>
    <s v="Carlos Enrique Galan Prada"/>
    <d v="2022-11-02T00:00:00"/>
    <d v="2022-11-02T00:00:00"/>
    <n v="44"/>
    <s v="NCEE9"/>
    <x v="0"/>
    <n v="5992.5"/>
    <x v="124"/>
    <n v="-1198500"/>
    <n v="0"/>
    <n v="4502438734"/>
    <n v="5084325086"/>
    <n v="5113704065"/>
    <m/>
    <m/>
    <m/>
    <x v="0"/>
    <d v="2022-10-27T00:00:00"/>
    <m/>
    <m/>
    <m/>
    <m/>
    <m/>
    <m/>
    <m/>
    <m/>
    <d v="2022-10-27T00:00:00"/>
    <x v="10"/>
  </r>
  <r>
    <s v="Agroindustria Ganadera Valle Del Cesar"/>
    <d v="2022-11-01T00:00:00"/>
    <m/>
    <n v="44"/>
    <s v="FE-55"/>
    <x v="0"/>
    <n v="12617"/>
    <x v="224"/>
    <n v="107875350"/>
    <n v="28"/>
    <n v="4502438736"/>
    <n v="5084325087"/>
    <n v="5113701685"/>
    <m/>
    <s v="CON RETEN"/>
    <m/>
    <x v="0"/>
    <d v="2022-10-27T00:00:00"/>
    <m/>
    <m/>
    <m/>
    <m/>
    <m/>
    <m/>
    <m/>
    <m/>
    <d v="2022-10-27T00:00:00"/>
    <x v="10"/>
  </r>
  <r>
    <s v="David Martinez Jaramillo"/>
    <d v="2022-10-29T00:00:00"/>
    <d v="2022-10-31T00:00:00"/>
    <n v="44"/>
    <s v="DM293"/>
    <x v="0"/>
    <n v="14316"/>
    <x v="294"/>
    <n v="129559800"/>
    <n v="30"/>
    <n v="4502438737"/>
    <n v="5084325138"/>
    <n v="5113705914"/>
    <m/>
    <s v="TIENE BL"/>
    <m/>
    <x v="0"/>
    <d v="2022-10-27T00:00:00"/>
    <m/>
    <m/>
    <m/>
    <m/>
    <m/>
    <m/>
    <m/>
    <m/>
    <d v="2022-10-27T00:00:00"/>
    <x v="10"/>
  </r>
  <r>
    <s v="David Martinez Jaramillo"/>
    <d v="2022-10-29T00:00:00"/>
    <d v="2022-10-31T00:00:00"/>
    <n v="44"/>
    <s v="DM293"/>
    <x v="1"/>
    <n v="6792.5"/>
    <x v="294"/>
    <n v="61472125"/>
    <n v="14"/>
    <n v="4502438738"/>
    <n v="5084325138"/>
    <n v="5113705914"/>
    <m/>
    <s v="TIENE BL"/>
    <m/>
    <x v="0"/>
    <d v="2022-10-27T00:00:00"/>
    <m/>
    <m/>
    <m/>
    <m/>
    <m/>
    <m/>
    <m/>
    <m/>
    <d v="2022-10-27T00:00:00"/>
    <x v="10"/>
  </r>
  <r>
    <s v="David Martinez Jaramillo"/>
    <d v="2022-10-31T00:00:00"/>
    <d v="2022-10-31T00:00:00"/>
    <n v="44"/>
    <s v="NC88"/>
    <x v="1"/>
    <n v="21108.5"/>
    <x v="13"/>
    <n v="-1055425"/>
    <n v="0"/>
    <n v="4502438738"/>
    <n v="5084325139"/>
    <n v="5113705915"/>
    <m/>
    <m/>
    <m/>
    <x v="0"/>
    <d v="2022-10-27T00:00:00"/>
    <m/>
    <m/>
    <m/>
    <m/>
    <m/>
    <m/>
    <m/>
    <m/>
    <d v="2022-10-27T00:00:00"/>
    <x v="10"/>
  </r>
  <r>
    <s v="Carlos Mario Duque Cadavid"/>
    <d v="2022-10-27T00:00:00"/>
    <m/>
    <n v="44"/>
    <s v="CD-137"/>
    <x v="1"/>
    <n v="28731"/>
    <x v="213"/>
    <n v="244213500"/>
    <n v="56"/>
    <n v="4502440327"/>
    <n v="5084324567"/>
    <n v="5113701703"/>
    <m/>
    <s v="EJ*4 1771100*4"/>
    <s v="CON RETEN"/>
    <x v="0"/>
    <d v="2022-10-27T00:00:00"/>
    <n v="4902375225"/>
    <n v="7084400"/>
    <s v="FEMD-5576*4"/>
    <m/>
    <m/>
    <m/>
    <m/>
    <m/>
    <d v="2022-10-27T00:00:00"/>
    <x v="10"/>
  </r>
  <r>
    <s v="Sociedad Comercializadora Ganadera"/>
    <d v="2022-11-03T00:00:00"/>
    <d v="2022-11-03T00:00:00"/>
    <n v="44"/>
    <s v="FEDV487"/>
    <x v="0"/>
    <n v="13761.5"/>
    <x v="273"/>
    <n v="125229650"/>
    <n v="31"/>
    <n v="4502438739"/>
    <n v="5084353591"/>
    <n v="5113714100"/>
    <m/>
    <s v="TIENE BL"/>
    <m/>
    <x v="0"/>
    <d v="2022-10-28T00:00:00"/>
    <m/>
    <m/>
    <m/>
    <m/>
    <m/>
    <m/>
    <m/>
    <m/>
    <d v="2022-10-28T00:00:00"/>
    <x v="10"/>
  </r>
  <r>
    <s v="Sociedad Comercializadora Ganadera"/>
    <d v="2022-11-09T00:00:00"/>
    <d v="2022-11-09T00:00:00"/>
    <n v="44"/>
    <s v="NC247"/>
    <x v="0"/>
    <n v="13761.5"/>
    <x v="633"/>
    <n v="-421377.13000001101"/>
    <n v="0"/>
    <n v="4502438739"/>
    <n v="5084353591"/>
    <n v="5113714102"/>
    <m/>
    <m/>
    <m/>
    <x v="0"/>
    <d v="2022-10-28T00:00:00"/>
    <m/>
    <m/>
    <m/>
    <m/>
    <m/>
    <m/>
    <m/>
    <m/>
    <d v="2022-10-28T00:00:00"/>
    <x v="10"/>
  </r>
  <r>
    <s v="Sociedad Comercializadora Ganadera"/>
    <d v="2022-11-03T00:00:00"/>
    <d v="2022-11-03T00:00:00"/>
    <n v="44"/>
    <s v="FEDV488"/>
    <x v="0"/>
    <n v="25745.5"/>
    <x v="273"/>
    <n v="234284050"/>
    <n v="59"/>
    <n v="4502438739"/>
    <n v="5084353591"/>
    <n v="5113714006"/>
    <m/>
    <s v="TIENE BL"/>
    <m/>
    <x v="0"/>
    <d v="2022-10-28T00:00:00"/>
    <m/>
    <m/>
    <m/>
    <m/>
    <m/>
    <m/>
    <m/>
    <m/>
    <d v="2022-10-28T00:00:00"/>
    <x v="10"/>
  </r>
  <r>
    <s v="Sociedad Comercializadora Ganadera"/>
    <d v="2022-11-09T00:00:00"/>
    <d v="2022-11-09T00:00:00"/>
    <n v="44"/>
    <s v="NC248"/>
    <x v="0"/>
    <n v="25745.5"/>
    <x v="634"/>
    <n v="-5265212.2050000057"/>
    <n v="0"/>
    <n v="4502438739"/>
    <n v="5084353591"/>
    <n v="5113714098"/>
    <m/>
    <m/>
    <m/>
    <x v="0"/>
    <d v="2022-10-28T00:00:00"/>
    <m/>
    <m/>
    <m/>
    <m/>
    <m/>
    <m/>
    <m/>
    <m/>
    <d v="2022-10-28T00:00:00"/>
    <x v="10"/>
  </r>
  <r>
    <s v="Inversiones Valle Del Canalete S.A.S"/>
    <d v="2022-11-01T00:00:00"/>
    <d v="2022-11-02T00:00:00"/>
    <n v="44"/>
    <s v="IVC152"/>
    <x v="1"/>
    <n v="27769"/>
    <x v="213"/>
    <n v="236036500"/>
    <n v="56"/>
    <n v="4502440330"/>
    <n v="5084324689"/>
    <n v="5113703893"/>
    <m/>
    <s v="EJ*4 1793900*4"/>
    <s v="CON RETEN"/>
    <x v="0"/>
    <d v="2022-10-28T00:00:00"/>
    <n v="4902375228"/>
    <n v="7175600"/>
    <s v="FEMD-5581*3"/>
    <n v="5113694637"/>
    <s v="FEMD-5632*1"/>
    <n v="5113702066"/>
    <m/>
    <m/>
    <d v="2022-10-28T00:00:00"/>
    <x v="10"/>
  </r>
  <r>
    <s v="Inversiones Valle Del Canalete S.A.S"/>
    <d v="2022-11-01T00:00:00"/>
    <d v="2022-11-02T00:00:00"/>
    <n v="44"/>
    <s v="IVC153"/>
    <x v="1"/>
    <n v="27769"/>
    <x v="584"/>
    <n v="666456"/>
    <n v="0"/>
    <n v="4502440330"/>
    <n v="5084324689"/>
    <n v="5113703896"/>
    <m/>
    <m/>
    <m/>
    <x v="0"/>
    <d v="2022-10-28T00:00:00"/>
    <m/>
    <m/>
    <m/>
    <m/>
    <m/>
    <m/>
    <m/>
    <m/>
    <d v="2022-10-28T00:00:00"/>
    <x v="10"/>
  </r>
  <r>
    <s v="Sociedad Comercializadora Ganadera"/>
    <d v="2022-11-03T00:00:00"/>
    <d v="2022-11-03T00:00:00"/>
    <n v="44"/>
    <s v="FEDV489"/>
    <x v="0"/>
    <n v="7179.5"/>
    <x v="273"/>
    <n v="65333450"/>
    <n v="15"/>
    <n v="4502438740"/>
    <n v="5084353592"/>
    <n v="5113714760"/>
    <m/>
    <s v="TIENE BL"/>
    <m/>
    <x v="0"/>
    <d v="2022-10-29T00:00:00"/>
    <m/>
    <m/>
    <m/>
    <m/>
    <m/>
    <m/>
    <m/>
    <m/>
    <d v="2022-10-29T00:00:00"/>
    <x v="10"/>
  </r>
  <r>
    <s v="Sociedad Comercializadora Ganadera"/>
    <d v="2022-11-09T00:00:00"/>
    <d v="2022-11-09T00:00:00"/>
    <n v="44"/>
    <s v="NC249"/>
    <x v="0"/>
    <n v="7179.5"/>
    <x v="13"/>
    <n v="-358975"/>
    <n v="0"/>
    <n v="4502438740"/>
    <n v="5084353592"/>
    <n v="5113714761"/>
    <m/>
    <m/>
    <m/>
    <x v="0"/>
    <d v="2022-10-29T00:00:00"/>
    <m/>
    <m/>
    <m/>
    <m/>
    <m/>
    <m/>
    <m/>
    <m/>
    <d v="2022-10-29T00:00:00"/>
    <x v="10"/>
  </r>
  <r>
    <s v="Sociedad Comercializadora Ganadera"/>
    <d v="2022-11-03T00:00:00"/>
    <d v="2022-11-03T00:00:00"/>
    <n v="44"/>
    <s v="FEDV490"/>
    <x v="0"/>
    <n v="20121.5"/>
    <x v="273"/>
    <n v="183105650"/>
    <n v="43"/>
    <n v="4502438740"/>
    <n v="5084353592"/>
    <n v="5113714762"/>
    <m/>
    <s v="TIENE BL"/>
    <m/>
    <x v="0"/>
    <d v="2022-10-29T00:00:00"/>
    <m/>
    <m/>
    <m/>
    <m/>
    <m/>
    <m/>
    <m/>
    <m/>
    <d v="2022-10-29T00:00:00"/>
    <x v="10"/>
  </r>
  <r>
    <s v="David Martinez Jaramillo"/>
    <d v="2022-10-29T00:00:00"/>
    <d v="2022-11-01T00:00:00"/>
    <n v="44"/>
    <s v="DM294"/>
    <x v="0"/>
    <n v="6803.5"/>
    <x v="294"/>
    <n v="61571675"/>
    <n v="15"/>
    <n v="4502438741"/>
    <n v="5084353593"/>
    <n v="5113702227"/>
    <m/>
    <s v="TIENE BL"/>
    <m/>
    <x v="0"/>
    <d v="2022-10-29T00:00:00"/>
    <m/>
    <m/>
    <m/>
    <m/>
    <m/>
    <m/>
    <m/>
    <m/>
    <d v="2022-10-29T00:00:00"/>
    <x v="10"/>
  </r>
  <r>
    <s v="David Martinez Jaramillo"/>
    <d v="2022-11-01T00:00:00"/>
    <d v="2022-11-01T00:00:00"/>
    <n v="44"/>
    <s v="NC89"/>
    <x v="0"/>
    <n v="6803.5"/>
    <x v="11"/>
    <n v="-1020525"/>
    <n v="0"/>
    <n v="4502438741"/>
    <n v="5084353593"/>
    <n v="5113702229"/>
    <m/>
    <m/>
    <m/>
    <x v="0"/>
    <d v="2022-10-29T00:00:00"/>
    <m/>
    <m/>
    <m/>
    <m/>
    <m/>
    <m/>
    <m/>
    <m/>
    <d v="2022-10-29T00:00:00"/>
    <x v="10"/>
  </r>
  <r>
    <s v="31416 S.A.S"/>
    <d v="2022-10-29T00:00:00"/>
    <d v="2022-11-01T00:00:00"/>
    <n v="44"/>
    <s v="PI196"/>
    <x v="0"/>
    <n v="7255"/>
    <x v="188"/>
    <n v="60942000"/>
    <n v="14"/>
    <n v="4502440391"/>
    <n v="5084362898"/>
    <n v="5113702112"/>
    <m/>
    <s v="EJ 1648800"/>
    <s v="CON RETEN"/>
    <x v="0"/>
    <d v="2022-10-29T00:00:00"/>
    <n v="4902376619"/>
    <n v="1648800"/>
    <s v="FEMD-5589"/>
    <n v="5113696749"/>
    <m/>
    <m/>
    <m/>
    <m/>
    <d v="2022-10-29T00:00:00"/>
    <x v="10"/>
  </r>
  <r>
    <s v="31416 S.A.S"/>
    <d v="2022-10-29T00:00:00"/>
    <d v="2022-11-01T00:00:00"/>
    <n v="44"/>
    <s v="PI197"/>
    <x v="0"/>
    <n v="7255"/>
    <x v="13"/>
    <n v="362750"/>
    <n v="0"/>
    <n v="4502440391"/>
    <n v="5084362898"/>
    <n v="5113702113"/>
    <m/>
    <m/>
    <m/>
    <x v="0"/>
    <d v="2022-10-29T00:00:00"/>
    <m/>
    <m/>
    <m/>
    <m/>
    <m/>
    <m/>
    <m/>
    <m/>
    <d v="2022-10-29T00:00:00"/>
    <x v="10"/>
  </r>
  <r>
    <s v="Enrique Jaramillo Sanint"/>
    <d v="2022-10-28T00:00:00"/>
    <d v="2022-11-02T00:00:00"/>
    <n v="44"/>
    <s v="FVE-8"/>
    <x v="0"/>
    <n v="7077"/>
    <x v="175"/>
    <n v="58031400"/>
    <n v="14"/>
    <n v="4502441276"/>
    <n v="5084362899"/>
    <n v="5113702205"/>
    <m/>
    <s v="EJ 2988600"/>
    <s v="CON RETEN"/>
    <x v="0"/>
    <d v="2022-10-29T00:00:00"/>
    <n v="4902375231"/>
    <n v="2988600"/>
    <s v="FEMD-5591"/>
    <n v="5113696699"/>
    <m/>
    <m/>
    <m/>
    <m/>
    <d v="2022-10-29T00:00:00"/>
    <x v="10"/>
  </r>
  <r>
    <s v="LA OKA S.A.S."/>
    <d v="2022-11-01T00:00:00"/>
    <m/>
    <n v="44"/>
    <s v="FEOK-85"/>
    <x v="0"/>
    <n v="6593.5"/>
    <x v="248"/>
    <n v="56704100"/>
    <n v="14"/>
    <n v="4502438742"/>
    <n v="5084353594"/>
    <n v="5113703930"/>
    <m/>
    <s v="CON RETEN"/>
    <m/>
    <x v="0"/>
    <d v="2022-10-29T00:00:00"/>
    <m/>
    <m/>
    <m/>
    <m/>
    <m/>
    <m/>
    <m/>
    <m/>
    <d v="2022-10-29T00:00:00"/>
    <x v="10"/>
  </r>
  <r>
    <s v="LA OKA S.A.S."/>
    <d v="2022-11-01T00:00:00"/>
    <m/>
    <n v="44"/>
    <s v="NC219"/>
    <x v="0"/>
    <n v="6593.5"/>
    <x v="13"/>
    <n v="-329675"/>
    <n v="0"/>
    <n v="4502438742"/>
    <n v="5084353594"/>
    <n v="5113703931"/>
    <m/>
    <m/>
    <m/>
    <x v="0"/>
    <d v="2022-10-29T00:00:00"/>
    <m/>
    <m/>
    <m/>
    <m/>
    <m/>
    <m/>
    <m/>
    <m/>
    <d v="2022-10-29T00:00:00"/>
    <x v="10"/>
  </r>
  <r>
    <s v="Super Granos Lobo S.A.S."/>
    <d v="2022-10-29T00:00:00"/>
    <d v="2022-11-02T00:00:00"/>
    <n v="44"/>
    <s v="SGL19"/>
    <x v="0"/>
    <n v="13513"/>
    <x v="227"/>
    <n v="117563100"/>
    <n v="30"/>
    <n v="4502438743"/>
    <n v="5084354372"/>
    <n v="5113704060"/>
    <m/>
    <s v="TIENE BL"/>
    <m/>
    <x v="0"/>
    <d v="2022-10-29T00:00:00"/>
    <m/>
    <m/>
    <m/>
    <m/>
    <m/>
    <m/>
    <m/>
    <m/>
    <d v="2022-10-29T00:00:00"/>
    <x v="10"/>
  </r>
  <r>
    <s v="Super Granos Lobo S.A.S."/>
    <d v="2022-11-02T00:00:00"/>
    <d v="2022-11-02T00:00:00"/>
    <n v="44"/>
    <s v="DV12"/>
    <x v="0"/>
    <n v="13513"/>
    <x v="635"/>
    <n v="-1468457.7100000009"/>
    <n v="0"/>
    <n v="4502438743"/>
    <n v="5084354372"/>
    <n v="5113704061"/>
    <m/>
    <m/>
    <m/>
    <x v="0"/>
    <d v="2022-10-29T00:00:00"/>
    <m/>
    <m/>
    <m/>
    <m/>
    <m/>
    <m/>
    <m/>
    <m/>
    <d v="2022-10-29T00:00:00"/>
    <x v="10"/>
  </r>
  <r>
    <s v="Pedro Alirio Barajas Gomez"/>
    <d v="2022-11-01T00:00:00"/>
    <m/>
    <n v="44"/>
    <s v="FE-346"/>
    <x v="0"/>
    <n v="6026.5"/>
    <x v="248"/>
    <n v="51827900"/>
    <n v="14"/>
    <n v="4502438744"/>
    <n v="5084354349"/>
    <n v="5113702201"/>
    <m/>
    <s v="CON RETEN"/>
    <m/>
    <x v="0"/>
    <d v="2022-10-29T00:00:00"/>
    <m/>
    <m/>
    <m/>
    <m/>
    <m/>
    <m/>
    <m/>
    <m/>
    <d v="2022-10-29T00:00:00"/>
    <x v="10"/>
  </r>
  <r>
    <s v="Pedro Alirio Barajas Gomez"/>
    <d v="2022-11-01T00:00:00"/>
    <m/>
    <n v="44"/>
    <s v="NC278"/>
    <x v="0"/>
    <n v="6026.5"/>
    <x v="636"/>
    <n v="-341099.90000000218"/>
    <n v="0"/>
    <n v="4502438744"/>
    <n v="5084354349"/>
    <n v="5113702203"/>
    <m/>
    <m/>
    <m/>
    <x v="0"/>
    <d v="2022-10-29T00:00:00"/>
    <m/>
    <m/>
    <m/>
    <m/>
    <m/>
    <m/>
    <m/>
    <m/>
    <d v="2022-10-29T00:00:00"/>
    <x v="10"/>
  </r>
  <r>
    <s v="Inversiones y Negocios V&amp;V S.A.S"/>
    <d v="2022-11-01T00:00:00"/>
    <d v="2022-11-01T00:00:00"/>
    <n v="44"/>
    <s v="FE-1743"/>
    <x v="0"/>
    <n v="6391.5"/>
    <x v="294"/>
    <n v="57843075"/>
    <n v="14"/>
    <n v="4502438746"/>
    <n v="5084362461"/>
    <n v="5113702230"/>
    <m/>
    <s v="CON RETEN"/>
    <m/>
    <x v="0"/>
    <d v="2022-10-30T00:00:00"/>
    <m/>
    <m/>
    <m/>
    <m/>
    <m/>
    <m/>
    <m/>
    <m/>
    <d v="2022-10-30T00:00:00"/>
    <x v="10"/>
  </r>
  <r>
    <s v="Inversiones y Negocios V&amp;V S.A.S"/>
    <d v="2022-11-01T00:00:00"/>
    <d v="2022-11-01T00:00:00"/>
    <n v="44"/>
    <s v="DF212"/>
    <x v="0"/>
    <n v="6391.5"/>
    <x v="584"/>
    <n v="153396"/>
    <n v="0"/>
    <n v="4502438746"/>
    <n v="5084362461"/>
    <n v="5113703936"/>
    <m/>
    <m/>
    <m/>
    <x v="0"/>
    <d v="2022-10-30T00:00:00"/>
    <m/>
    <m/>
    <m/>
    <m/>
    <m/>
    <m/>
    <m/>
    <m/>
    <d v="2022-10-30T00:00:00"/>
    <x v="10"/>
  </r>
  <r>
    <s v="Rodolfo De Jesus Jaramillo Calle"/>
    <d v="2022-10-30T00:00:00"/>
    <d v="2022-11-02T00:00:00"/>
    <n v="44"/>
    <s v="FE-108"/>
    <x v="0"/>
    <n v="7549.5"/>
    <x v="294"/>
    <n v="68322975"/>
    <n v="15"/>
    <n v="4502438747"/>
    <n v="5084362462"/>
    <n v="5113704869"/>
    <m/>
    <s v="TIENE BL"/>
    <m/>
    <x v="0"/>
    <d v="2022-10-30T00:00:00"/>
    <m/>
    <m/>
    <m/>
    <m/>
    <m/>
    <m/>
    <m/>
    <m/>
    <d v="2022-10-30T00:00:00"/>
    <x v="10"/>
  </r>
  <r>
    <s v="Rodolfo De Jesus Jaramillo Calle"/>
    <d v="2022-10-30T00:00:00"/>
    <d v="2022-11-02T00:00:00"/>
    <n v="44"/>
    <s v="NC259"/>
    <x v="0"/>
    <n v="7549.5"/>
    <x v="13"/>
    <n v="-377475"/>
    <n v="0"/>
    <n v="4502438747"/>
    <n v="5084362462"/>
    <n v="5113704870"/>
    <m/>
    <m/>
    <m/>
    <x v="0"/>
    <d v="2022-10-30T00:00:00"/>
    <m/>
    <m/>
    <m/>
    <m/>
    <m/>
    <m/>
    <m/>
    <m/>
    <d v="2022-10-30T00:00:00"/>
    <x v="10"/>
  </r>
  <r>
    <s v="Sociedad Comercializadora Ganadera"/>
    <d v="2022-11-03T00:00:00"/>
    <d v="2022-11-03T00:00:00"/>
    <n v="44"/>
    <s v="FEDV491"/>
    <x v="0"/>
    <n v="14003.5"/>
    <x v="273"/>
    <n v="127431850"/>
    <n v="30"/>
    <n v="4502438748"/>
    <n v="5084362463"/>
    <n v="5113714888"/>
    <m/>
    <s v="TIENE BL"/>
    <m/>
    <x v="0"/>
    <d v="2022-10-30T00:00:00"/>
    <m/>
    <m/>
    <m/>
    <m/>
    <m/>
    <m/>
    <m/>
    <m/>
    <d v="2022-10-30T00:00:00"/>
    <x v="10"/>
  </r>
  <r>
    <s v="Sociedad Comercializadora Ganadera"/>
    <d v="2022-11-09T00:00:00"/>
    <d v="2022-11-09T00:00:00"/>
    <n v="44"/>
    <s v="NC250"/>
    <x v="0"/>
    <n v="14003.5"/>
    <x v="637"/>
    <n v="-739384.7999999898"/>
    <n v="0"/>
    <n v="4502438748"/>
    <n v="5084362463"/>
    <n v="5113714889"/>
    <m/>
    <m/>
    <m/>
    <x v="0"/>
    <d v="2022-10-30T00:00:00"/>
    <m/>
    <m/>
    <m/>
    <m/>
    <m/>
    <m/>
    <m/>
    <m/>
    <d v="2022-10-30T00:00:00"/>
    <x v="10"/>
  </r>
  <r>
    <s v="Agropecuaria Tabaida S.A.S"/>
    <d v="2022-10-30T00:00:00"/>
    <d v="2022-11-01T00:00:00"/>
    <n v="44"/>
    <s v="MT1637"/>
    <x v="1"/>
    <n v="19752"/>
    <x v="188"/>
    <n v="165916800"/>
    <n v="42"/>
    <n v="4502441277"/>
    <n v="5084354369"/>
    <n v="5113706092"/>
    <m/>
    <s v="TYC 4792500"/>
    <m/>
    <x v="0"/>
    <d v="2022-10-30T00:00:00"/>
    <n v="4902375233"/>
    <n v="4792500"/>
    <s v="ETE-3832"/>
    <n v="5113699427"/>
    <m/>
    <m/>
    <m/>
    <m/>
    <d v="2022-10-30T00:00:00"/>
    <x v="10"/>
  </r>
  <r>
    <s v="Agropecuaria Tabaida S.A.S"/>
    <d v="2022-10-30T00:00:00"/>
    <d v="2022-11-01T00:00:00"/>
    <n v="44"/>
    <n v="5"/>
    <x v="1"/>
    <n v="19752"/>
    <x v="584"/>
    <n v="474048"/>
    <n v="0"/>
    <n v="4502441277"/>
    <n v="5084354369"/>
    <n v="5113706094"/>
    <m/>
    <m/>
    <m/>
    <x v="0"/>
    <d v="2022-10-30T00:00:00"/>
    <m/>
    <m/>
    <m/>
    <m/>
    <m/>
    <m/>
    <m/>
    <m/>
    <d v="2022-10-30T00:00:00"/>
    <x v="10"/>
  </r>
  <r>
    <s v="Palmas La Guaira S.A.S"/>
    <d v="2022-10-31T00:00:00"/>
    <d v="2022-11-02T00:00:00"/>
    <n v="44"/>
    <s v="FEV-91"/>
    <x v="1"/>
    <n v="14752"/>
    <x v="220"/>
    <n v="127604800"/>
    <n v="28"/>
    <n v="4502438749"/>
    <n v="5084362464"/>
    <n v="5113703933"/>
    <m/>
    <s v="CON RETEN"/>
    <m/>
    <x v="0"/>
    <d v="2022-10-30T00:00:00"/>
    <m/>
    <m/>
    <m/>
    <m/>
    <m/>
    <m/>
    <m/>
    <m/>
    <d v="2022-10-30T00:00:00"/>
    <x v="10"/>
  </r>
  <r>
    <s v="Palmas La Guaira S.A.S"/>
    <d v="2022-10-31T00:00:00"/>
    <d v="2022-11-02T00:00:00"/>
    <n v="44"/>
    <s v="NCE15"/>
    <x v="1"/>
    <n v="14752"/>
    <x v="638"/>
    <n v="-61073.279999991413"/>
    <n v="0"/>
    <n v="4502438749"/>
    <n v="5084362464"/>
    <n v="5113703934"/>
    <m/>
    <m/>
    <m/>
    <x v="0"/>
    <d v="2022-10-30T00:00:00"/>
    <m/>
    <m/>
    <m/>
    <m/>
    <m/>
    <m/>
    <m/>
    <m/>
    <d v="2022-10-30T00:00:00"/>
    <x v="10"/>
  </r>
  <r>
    <s v="Luis Fernando Rojas Prada"/>
    <d v="2022-11-02T00:00:00"/>
    <d v="2022-11-02T00:00:00"/>
    <n v="44"/>
    <s v="FELC-1091"/>
    <x v="0"/>
    <n v="54939"/>
    <x v="175"/>
    <n v="450499800"/>
    <n v="112"/>
    <n v="4502443402"/>
    <n v="5084398452"/>
    <n v="5113703215"/>
    <s v="TIENE BL"/>
    <s v="EJ*8 2982600*8"/>
    <m/>
    <x v="0"/>
    <d v="2022-10-31T00:00:00"/>
    <n v="4902375234"/>
    <n v="23860800"/>
    <s v="FEMD-5598*2"/>
    <n v="5113703218"/>
    <s v="FEMD-5599*6"/>
    <n v="5113703219"/>
    <m/>
    <m/>
    <d v="2022-10-31T00:00:00"/>
    <x v="10"/>
  </r>
  <r>
    <s v="David Martinez Jaramillo"/>
    <d v="2022-10-31T00:00:00"/>
    <d v="2022-11-02T00:00:00"/>
    <n v="44"/>
    <s v="DM295"/>
    <x v="1"/>
    <n v="7134.5"/>
    <x v="294"/>
    <n v="64567225"/>
    <n v="15"/>
    <n v="4502439259"/>
    <n v="5084399647"/>
    <n v="5113705307"/>
    <m/>
    <s v="TIENE BL"/>
    <m/>
    <x v="0"/>
    <d v="2022-10-31T00:00:00"/>
    <m/>
    <m/>
    <m/>
    <m/>
    <m/>
    <m/>
    <m/>
    <m/>
    <d v="2022-10-31T00:00:00"/>
    <x v="10"/>
  </r>
  <r>
    <s v="David Martinez Jaramillo"/>
    <d v="2022-11-02T00:00:00"/>
    <d v="2022-11-02T00:00:00"/>
    <n v="44"/>
    <s v="ND10"/>
    <x v="1"/>
    <n v="7134.5"/>
    <x v="584"/>
    <n v="171228"/>
    <n v="0"/>
    <n v="4502439259"/>
    <n v="5084399647"/>
    <n v="5113705308"/>
    <m/>
    <m/>
    <m/>
    <x v="0"/>
    <d v="2022-10-31T00:00:00"/>
    <m/>
    <m/>
    <m/>
    <m/>
    <m/>
    <m/>
    <m/>
    <m/>
    <d v="2022-10-31T00:00:00"/>
    <x v="10"/>
  </r>
  <r>
    <s v="Inversiones Urbagro S.A.S"/>
    <d v="2022-11-04T00:00:00"/>
    <d v="2022-11-04T00:00:00"/>
    <n v="44"/>
    <s v="FE-29"/>
    <x v="0"/>
    <n v="12488"/>
    <x v="244"/>
    <n v="109894400"/>
    <n v="30"/>
    <n v="4502438750"/>
    <n v="5084399132"/>
    <n v="5113709589"/>
    <m/>
    <s v="CON RETEN"/>
    <m/>
    <x v="0"/>
    <d v="2022-11-01T00:00:00"/>
    <m/>
    <m/>
    <m/>
    <m/>
    <m/>
    <m/>
    <m/>
    <m/>
    <d v="2022-11-01T00:00:00"/>
    <x v="11"/>
  </r>
  <r>
    <s v="Inversiones Urbagro S.A.S"/>
    <d v="2022-11-04T00:00:00"/>
    <d v="2022-11-04T00:00:00"/>
    <n v="44"/>
    <s v="NC18"/>
    <x v="0"/>
    <n v="12488"/>
    <x v="639"/>
    <n v="-858425.11999999732"/>
    <n v="0"/>
    <n v="4502438750"/>
    <n v="5084399132"/>
    <n v="5113709593"/>
    <m/>
    <m/>
    <m/>
    <x v="0"/>
    <d v="2022-11-01T00:00:00"/>
    <m/>
    <m/>
    <m/>
    <m/>
    <m/>
    <m/>
    <m/>
    <m/>
    <d v="2022-11-01T00:00:00"/>
    <x v="11"/>
  </r>
  <r>
    <s v="Palmas Oleaginosas Del Ariguani S.A.S."/>
    <d v="2022-11-04T00:00:00"/>
    <d v="2022-11-04T00:00:00"/>
    <n v="44"/>
    <s v="FVE-319"/>
    <x v="0"/>
    <n v="18420"/>
    <x v="248"/>
    <n v="158412000"/>
    <n v="42"/>
    <n v="4502438751"/>
    <n v="5084399133"/>
    <n v="5113709899"/>
    <m/>
    <s v="CON RETEN"/>
    <m/>
    <x v="0"/>
    <d v="2022-11-01T00:00:00"/>
    <m/>
    <m/>
    <m/>
    <m/>
    <m/>
    <m/>
    <m/>
    <m/>
    <d v="2022-11-01T00:00:00"/>
    <x v="11"/>
  </r>
  <r>
    <s v="Palmas Oleaginosas Del Ariguani S.A.S."/>
    <d v="2022-11-04T00:00:00"/>
    <d v="2022-11-04T00:00:00"/>
    <n v="44"/>
    <s v="NC11"/>
    <x v="0"/>
    <n v="18420"/>
    <x v="640"/>
    <n v="-39971.40000000134"/>
    <n v="0"/>
    <n v="4502438751"/>
    <n v="5084399133"/>
    <n v="5113709900"/>
    <m/>
    <m/>
    <m/>
    <x v="0"/>
    <d v="2022-11-01T00:00:00"/>
    <m/>
    <m/>
    <m/>
    <m/>
    <m/>
    <m/>
    <m/>
    <m/>
    <d v="2022-11-01T00:00:00"/>
    <x v="11"/>
  </r>
  <r>
    <s v="David Martinez Jaramillo"/>
    <d v="2022-11-01T00:00:00"/>
    <d v="2022-11-04T00:00:00"/>
    <n v="44"/>
    <s v="DM297"/>
    <x v="0"/>
    <n v="6393"/>
    <x v="294"/>
    <n v="57856650"/>
    <n v="14"/>
    <n v="4502438752"/>
    <n v="5084399134"/>
    <n v="5113709607"/>
    <m/>
    <s v="TIENE BL"/>
    <m/>
    <x v="0"/>
    <d v="2022-11-01T00:00:00"/>
    <m/>
    <m/>
    <m/>
    <m/>
    <m/>
    <m/>
    <m/>
    <m/>
    <d v="2022-11-01T00:00:00"/>
    <x v="11"/>
  </r>
  <r>
    <s v="Agropecuaria El Uberrimo S.A.S"/>
    <d v="2022-11-01T00:00:00"/>
    <m/>
    <n v="44"/>
    <s v="FE-289"/>
    <x v="0"/>
    <n v="7786"/>
    <x v="234"/>
    <n v="65791700"/>
    <n v="14"/>
    <n v="4502446461"/>
    <n v="5084471288"/>
    <n v="5113722523"/>
    <m/>
    <s v="EJ*1 1648800"/>
    <s v="CON RETEN"/>
    <x v="0"/>
    <d v="2022-11-01T00:00:00"/>
    <n v="4902375239"/>
    <n v="1648800"/>
    <s v="FEMD-5629*1"/>
    <n v="5113703220"/>
    <m/>
    <m/>
    <m/>
    <m/>
    <d v="2022-11-01T00:00:00"/>
    <x v="11"/>
  </r>
  <r>
    <s v="Mauricio De Jesús Bernal Jaramillo"/>
    <d v="2022-11-04T00:00:00"/>
    <m/>
    <n v="44"/>
    <s v="FE-215"/>
    <x v="0"/>
    <n v="6343"/>
    <x v="188"/>
    <n v="53281200"/>
    <n v="14"/>
    <n v="4502443408"/>
    <n v="5084398455"/>
    <n v="5113709640"/>
    <m/>
    <s v="EJ*1 1623900"/>
    <s v="CON RETEN"/>
    <x v="0"/>
    <d v="2022-11-01T00:00:00"/>
    <n v="4902375242"/>
    <n v="1623900"/>
    <s v="FEMD-5630*1"/>
    <n v="5113703947"/>
    <m/>
    <m/>
    <m/>
    <m/>
    <d v="2022-11-01T00:00:00"/>
    <x v="11"/>
  </r>
  <r>
    <s v="Mauricio De Jesús Bernal Jaramillo"/>
    <d v="2022-11-04T00:00:00"/>
    <m/>
    <n v="44"/>
    <s v="FE-216"/>
    <x v="0"/>
    <n v="6343"/>
    <x v="584"/>
    <n v="152232"/>
    <n v="0"/>
    <n v="4502443408"/>
    <n v="5084398455"/>
    <n v="5113709641"/>
    <m/>
    <s v="EJ*1 1623900"/>
    <m/>
    <x v="0"/>
    <d v="2022-11-01T00:00:00"/>
    <n v="4902375242"/>
    <n v="1623900"/>
    <s v="FEMD-5630*1"/>
    <n v="5113703947"/>
    <m/>
    <m/>
    <m/>
    <m/>
    <d v="2022-11-01T00:00:00"/>
    <x v="11"/>
  </r>
  <r>
    <s v="Lismenia Torcoroma Rincon Hernandez"/>
    <d v="2022-11-01T00:00:00"/>
    <d v="2022-11-04T00:00:00"/>
    <n v="44"/>
    <s v="GANA290"/>
    <x v="0"/>
    <n v="27064"/>
    <x v="219"/>
    <n v="236810000"/>
    <n v="60"/>
    <n v="4502438753"/>
    <n v="5084399135"/>
    <n v="5113709688"/>
    <m/>
    <s v="CON RETEN"/>
    <m/>
    <x v="0"/>
    <d v="2022-11-01T00:00:00"/>
    <m/>
    <m/>
    <m/>
    <m/>
    <m/>
    <m/>
    <m/>
    <m/>
    <d v="2022-11-01T00:00:00"/>
    <x v="11"/>
  </r>
  <r>
    <s v="Lismenia Torcoroma Rincon Hernandez"/>
    <d v="2022-11-01T00:00:00"/>
    <d v="2022-11-04T00:00:00"/>
    <n v="44"/>
    <s v="ND000017"/>
    <x v="0"/>
    <n v="27064"/>
    <x v="641"/>
    <n v="2587859.6800000216"/>
    <n v="0"/>
    <n v="4502438753"/>
    <n v="5084399135"/>
    <n v="5113709691"/>
    <m/>
    <m/>
    <m/>
    <x v="0"/>
    <d v="2022-11-01T00:00:00"/>
    <m/>
    <m/>
    <m/>
    <m/>
    <m/>
    <m/>
    <m/>
    <m/>
    <d v="2022-11-01T00:00:00"/>
    <x v="11"/>
  </r>
  <r>
    <s v="Agropecuaria Tabaida S.A.S"/>
    <d v="2022-11-01T00:00:00"/>
    <d v="2022-11-04T00:00:00"/>
    <n v="44"/>
    <s v="MT-1644"/>
    <x v="1"/>
    <n v="20288"/>
    <x v="188"/>
    <n v="170419200"/>
    <n v="42"/>
    <n v="4502443410"/>
    <n v="5084493090"/>
    <n v="5113713109"/>
    <s v="TIENE BL"/>
    <s v="EJ*3 1793900*3"/>
    <m/>
    <x v="0"/>
    <d v="2022-11-01T00:00:00"/>
    <n v="4902375245"/>
    <n v="5381700"/>
    <s v="FEMD-5631*3"/>
    <n v="5113728258"/>
    <m/>
    <m/>
    <m/>
    <m/>
    <d v="2022-11-01T00:00:00"/>
    <x v="11"/>
  </r>
  <r>
    <s v="Agropecuaria Tabaida S.A.S"/>
    <d v="2022-11-01T00:00:00"/>
    <d v="2022-11-04T00:00:00"/>
    <n v="44"/>
    <n v="6"/>
    <x v="1"/>
    <n v="20288"/>
    <x v="584"/>
    <n v="486912"/>
    <n v="0"/>
    <n v="4502443410"/>
    <n v="5084493090"/>
    <n v="5113713110"/>
    <m/>
    <m/>
    <m/>
    <x v="0"/>
    <d v="2022-11-01T00:00:00"/>
    <m/>
    <m/>
    <m/>
    <m/>
    <m/>
    <m/>
    <m/>
    <m/>
    <d v="2022-11-01T00:00:00"/>
    <x v="11"/>
  </r>
  <r>
    <s v="Sociedad Comercializadora Ganadera"/>
    <d v="2022-11-11T00:00:00"/>
    <d v="2022-11-11T00:00:00"/>
    <n v="44"/>
    <s v="FEDV493"/>
    <x v="1"/>
    <n v="14701"/>
    <x v="273"/>
    <n v="133779100"/>
    <n v="30"/>
    <n v="4502438754"/>
    <n v="5084399136"/>
    <n v="5113722420"/>
    <m/>
    <s v="TIENE BL"/>
    <m/>
    <x v="0"/>
    <d v="2022-11-01T00:00:00"/>
    <m/>
    <m/>
    <m/>
    <m/>
    <m/>
    <m/>
    <m/>
    <m/>
    <d v="2022-11-01T00:00:00"/>
    <x v="11"/>
  </r>
  <r>
    <s v="Sociedad Comercializadora Ganadera"/>
    <d v="2022-11-11T00:00:00"/>
    <d v="2022-11-11T00:00:00"/>
    <n v="44"/>
    <s v="NC251"/>
    <x v="1"/>
    <n v="14701"/>
    <x v="2"/>
    <n v="-1470100"/>
    <n v="0"/>
    <n v="4502438754"/>
    <n v="5084399136"/>
    <n v="5113722426"/>
    <m/>
    <m/>
    <m/>
    <x v="0"/>
    <d v="2022-11-01T00:00:00"/>
    <m/>
    <m/>
    <m/>
    <m/>
    <m/>
    <m/>
    <m/>
    <m/>
    <d v="2022-11-01T00:00:00"/>
    <x v="11"/>
  </r>
  <r>
    <s v="Agropecuaria el Potro Azul S.A.S"/>
    <d v="2022-11-04T00:00:00"/>
    <d v="2022-11-10T00:00:00"/>
    <n v="45"/>
    <s v="PA-7"/>
    <x v="0"/>
    <n v="6490"/>
    <x v="227"/>
    <n v="56463000"/>
    <n v="14"/>
    <n v="4502443806"/>
    <n v="5084458571"/>
    <n v="5113722158"/>
    <m/>
    <s v="CON RETEN "/>
    <m/>
    <x v="0"/>
    <d v="2022-11-04T00:00:00"/>
    <m/>
    <m/>
    <m/>
    <m/>
    <m/>
    <m/>
    <m/>
    <m/>
    <d v="2022-11-04T00:00:00"/>
    <x v="11"/>
  </r>
  <r>
    <s v="David Martinez Jaramillo"/>
    <d v="2022-11-07T00:00:00"/>
    <d v="2022-11-08T00:00:00"/>
    <n v="45"/>
    <s v="DM299"/>
    <x v="0"/>
    <n v="13822.5"/>
    <x v="273"/>
    <n v="125784750"/>
    <n v="28"/>
    <n v="4502443807"/>
    <n v="5084458572"/>
    <n v="5113712496"/>
    <m/>
    <s v="TIENE BL"/>
    <m/>
    <x v="0"/>
    <d v="2022-11-04T00:00:00"/>
    <m/>
    <m/>
    <m/>
    <m/>
    <m/>
    <m/>
    <m/>
    <m/>
    <d v="2022-11-04T00:00:00"/>
    <x v="11"/>
  </r>
  <r>
    <s v="David Martinez Jaramillo"/>
    <d v="2022-11-08T00:00:00"/>
    <d v="2022-11-08T00:00:00"/>
    <n v="45"/>
    <s v="ND11"/>
    <x v="0"/>
    <n v="13822.5"/>
    <x v="642"/>
    <n v="164487.75"/>
    <n v="0"/>
    <n v="4502443807"/>
    <n v="5084458572"/>
    <n v="5113712528"/>
    <m/>
    <m/>
    <m/>
    <x v="0"/>
    <d v="2022-11-04T00:00:00"/>
    <m/>
    <m/>
    <m/>
    <m/>
    <m/>
    <m/>
    <m/>
    <m/>
    <d v="2022-11-04T00:00:00"/>
    <x v="11"/>
  </r>
  <r>
    <s v="David Martinez Jaramillo"/>
    <d v="2022-11-07T00:00:00"/>
    <d v="2022-11-08T00:00:00"/>
    <n v="45"/>
    <s v="DM300"/>
    <x v="0"/>
    <n v="26798.5"/>
    <x v="273"/>
    <n v="243866350"/>
    <n v="59"/>
    <n v="4502443807"/>
    <n v="5084458572"/>
    <n v="5113712529"/>
    <m/>
    <s v="TIENE BL"/>
    <m/>
    <x v="0"/>
    <d v="2022-11-04T00:00:00"/>
    <m/>
    <m/>
    <m/>
    <m/>
    <m/>
    <m/>
    <m/>
    <m/>
    <d v="2022-11-04T00:00:00"/>
    <x v="11"/>
  </r>
  <r>
    <s v="David Martinez Jaramillo"/>
    <d v="2022-11-08T00:00:00"/>
    <d v="2022-11-08T00:00:00"/>
    <n v="45"/>
    <s v="NC90"/>
    <x v="0"/>
    <n v="26798.5"/>
    <x v="643"/>
    <n v="-3110769.879999998"/>
    <n v="0"/>
    <n v="4502443807"/>
    <n v="5084458572"/>
    <n v="5113712531"/>
    <m/>
    <m/>
    <m/>
    <x v="0"/>
    <d v="2022-11-04T00:00:00"/>
    <m/>
    <m/>
    <m/>
    <m/>
    <m/>
    <m/>
    <m/>
    <m/>
    <d v="2022-11-04T00:00:00"/>
    <x v="11"/>
  </r>
  <r>
    <s v="Henry Alonso Pacheco Peñaranda"/>
    <d v="2022-11-09T00:00:00"/>
    <d v="2022-11-09T00:00:00"/>
    <n v="45"/>
    <s v="1PAC-15"/>
    <x v="0"/>
    <n v="20194"/>
    <x v="227"/>
    <n v="175687800"/>
    <n v="42"/>
    <n v="4502443808"/>
    <n v="5084458573"/>
    <n v="5113714768"/>
    <m/>
    <s v="TIENE BL"/>
    <m/>
    <x v="0"/>
    <d v="2022-11-04T00:00:00"/>
    <m/>
    <m/>
    <m/>
    <m/>
    <m/>
    <m/>
    <m/>
    <m/>
    <d v="2022-11-04T00:00:00"/>
    <x v="11"/>
  </r>
  <r>
    <s v="Guamal S EN C"/>
    <d v="2022-11-08T00:00:00"/>
    <d v="2022-11-08T00:00:00"/>
    <n v="45"/>
    <s v="F-152"/>
    <x v="0"/>
    <n v="7151.5"/>
    <x v="227"/>
    <n v="62218050"/>
    <n v="15"/>
    <n v="4502443810"/>
    <n v="5084458574"/>
    <n v="5113712536"/>
    <m/>
    <s v="CON RETEN "/>
    <m/>
    <x v="0"/>
    <d v="2022-11-04T00:00:00"/>
    <m/>
    <m/>
    <m/>
    <m/>
    <m/>
    <m/>
    <m/>
    <m/>
    <d v="2022-11-04T00:00:00"/>
    <x v="11"/>
  </r>
  <r>
    <s v="Guamal S EN C"/>
    <d v="2022-11-08T00:00:00"/>
    <d v="2022-11-08T00:00:00"/>
    <n v="45"/>
    <s v="F107"/>
    <x v="0"/>
    <n v="7151.5"/>
    <x v="644"/>
    <n v="-278980.01500000159"/>
    <n v="0"/>
    <n v="4502443810"/>
    <n v="5084458574"/>
    <n v="5113712617"/>
    <m/>
    <m/>
    <m/>
    <x v="0"/>
    <d v="2022-11-04T00:00:00"/>
    <m/>
    <m/>
    <m/>
    <m/>
    <m/>
    <m/>
    <m/>
    <m/>
    <d v="2022-11-04T00:00:00"/>
    <x v="11"/>
  </r>
  <r>
    <s v="Industria Ganadera Hato Cebu S.A."/>
    <d v="2022-11-08T00:00:00"/>
    <d v="2022-11-08T00:00:00"/>
    <n v="45"/>
    <s v="FEHC384"/>
    <x v="1"/>
    <n v="13989.5"/>
    <x v="273"/>
    <n v="127304450"/>
    <n v="28"/>
    <n v="4502443811"/>
    <n v="5084458575"/>
    <n v="5113711953"/>
    <m/>
    <s v="CON RETEN"/>
    <m/>
    <x v="0"/>
    <d v="2022-11-04T00:00:00"/>
    <m/>
    <m/>
    <m/>
    <m/>
    <m/>
    <m/>
    <m/>
    <m/>
    <d v="2022-11-04T00:00:00"/>
    <x v="11"/>
  </r>
  <r>
    <s v="Industria Ganadera Hato Cebu S.A."/>
    <d v="2022-11-08T00:00:00"/>
    <d v="2022-11-08T00:00:00"/>
    <n v="45"/>
    <s v="ND4"/>
    <x v="1"/>
    <n v="13989.5"/>
    <x v="13"/>
    <n v="699475"/>
    <n v="0"/>
    <n v="4502443811"/>
    <n v="5084458575"/>
    <n v="5113711954"/>
    <m/>
    <m/>
    <m/>
    <x v="0"/>
    <d v="2022-11-04T00:00:00"/>
    <m/>
    <m/>
    <m/>
    <m/>
    <m/>
    <m/>
    <m/>
    <m/>
    <d v="2022-11-04T00:00:00"/>
    <x v="11"/>
  </r>
  <r>
    <s v="Agropecuaria Tabaida S.A.S"/>
    <d v="2022-11-04T00:00:00"/>
    <d v="2022-11-09T00:00:00"/>
    <n v="45"/>
    <s v="MT-1650"/>
    <x v="2"/>
    <n v="39787"/>
    <x v="227"/>
    <n v="346146900"/>
    <n v="84"/>
    <n v="4502447749"/>
    <n v="5084492785"/>
    <n v="5113721868"/>
    <s v="TIENE BL"/>
    <m/>
    <m/>
    <x v="1"/>
    <d v="2022-11-04T00:00:00"/>
    <m/>
    <m/>
    <m/>
    <m/>
    <m/>
    <m/>
    <m/>
    <m/>
    <d v="2022-11-04T00:00:00"/>
    <x v="11"/>
  </r>
  <r>
    <s v="Agropecuaria Tabaida S.A.S"/>
    <d v="2022-11-04T00:00:00"/>
    <d v="2022-11-09T00:00:00"/>
    <n v="45"/>
    <n v="7"/>
    <x v="2"/>
    <n v="39787"/>
    <x v="584"/>
    <n v="954888"/>
    <n v="0"/>
    <n v="4502447749"/>
    <n v="5084492785"/>
    <n v="5113721870"/>
    <m/>
    <m/>
    <m/>
    <x v="1"/>
    <d v="2022-11-04T00:00:00"/>
    <m/>
    <m/>
    <m/>
    <m/>
    <m/>
    <m/>
    <m/>
    <m/>
    <d v="2022-11-04T00:00:00"/>
    <x v="11"/>
  </r>
  <r>
    <s v="Agropecuaria Bajogrande S.A."/>
    <d v="2022-11-16T00:00:00"/>
    <m/>
    <n v="45"/>
    <s v="AB-745"/>
    <x v="2"/>
    <n v="6497"/>
    <x v="227"/>
    <n v="56523900"/>
    <n v="14"/>
    <n v="4502447757"/>
    <n v="5084492930"/>
    <n v="5113728738"/>
    <m/>
    <s v="CON RETEN"/>
    <m/>
    <x v="1"/>
    <d v="2022-11-04T00:00:00"/>
    <m/>
    <m/>
    <m/>
    <m/>
    <m/>
    <m/>
    <m/>
    <m/>
    <d v="2022-11-04T00:00:00"/>
    <x v="11"/>
  </r>
  <r>
    <s v="Surtidora Agropecuaria De Colombia"/>
    <d v="2022-11-04T00:00:00"/>
    <d v="2022-11-09T00:00:00"/>
    <n v="45"/>
    <s v="FESA-62"/>
    <x v="2"/>
    <n v="26144"/>
    <x v="219"/>
    <n v="228760000"/>
    <n v="56"/>
    <n v="4502447764"/>
    <n v="5084492936"/>
    <n v="5113714772"/>
    <m/>
    <s v="TIENE BL"/>
    <m/>
    <x v="1"/>
    <d v="2022-11-04T00:00:00"/>
    <m/>
    <m/>
    <m/>
    <m/>
    <m/>
    <m/>
    <m/>
    <m/>
    <d v="2022-11-04T00:00:00"/>
    <x v="11"/>
  </r>
  <r>
    <s v="Carlos Mario Duque Cadavid"/>
    <d v="2022-11-04T00:00:00"/>
    <m/>
    <n v="45"/>
    <s v="CD-138"/>
    <x v="2"/>
    <n v="27079"/>
    <x v="227"/>
    <n v="235587300"/>
    <n v="56"/>
    <n v="4502447771"/>
    <n v="5084493011"/>
    <n v="5113713767"/>
    <m/>
    <s v="CON RETEN"/>
    <m/>
    <x v="1"/>
    <d v="2022-11-04T00:00:00"/>
    <m/>
    <m/>
    <m/>
    <m/>
    <m/>
    <m/>
    <m/>
    <m/>
    <d v="2022-11-04T00:00:00"/>
    <x v="11"/>
  </r>
  <r>
    <s v="Inversiones Valle Del Canalete S.A.S"/>
    <d v="2022-11-04T00:00:00"/>
    <d v="2022-11-09T00:00:00"/>
    <n v="45"/>
    <s v="IVC154"/>
    <x v="2"/>
    <n v="26161"/>
    <x v="227"/>
    <n v="227600700"/>
    <n v="56"/>
    <n v="4502447776"/>
    <n v="5084493015"/>
    <n v="5113714773"/>
    <m/>
    <s v="CON RETEN"/>
    <m/>
    <x v="1"/>
    <d v="2022-11-04T00:00:00"/>
    <m/>
    <m/>
    <m/>
    <m/>
    <m/>
    <m/>
    <m/>
    <m/>
    <d v="2022-11-04T00:00:00"/>
    <x v="11"/>
  </r>
  <r>
    <s v="Inversiones Valle Del Canalete S.A.S"/>
    <d v="2022-11-04T00:00:00"/>
    <d v="2022-11-09T00:00:00"/>
    <n v="45"/>
    <s v="IVC-155"/>
    <x v="2"/>
    <n v="26161"/>
    <x v="584"/>
    <n v="627864"/>
    <n v="0"/>
    <n v="4502447776"/>
    <n v="5084493015"/>
    <n v="5113714774"/>
    <m/>
    <m/>
    <m/>
    <x v="1"/>
    <d v="2022-11-04T00:00:00"/>
    <m/>
    <m/>
    <m/>
    <m/>
    <m/>
    <m/>
    <m/>
    <m/>
    <d v="2022-11-04T00:00:00"/>
    <x v="11"/>
  </r>
  <r>
    <s v="31416 S.A.S"/>
    <d v="2022-11-04T00:00:00"/>
    <d v="2022-11-10T00:00:00"/>
    <n v="45"/>
    <s v="PI-199"/>
    <x v="2"/>
    <n v="7906"/>
    <x v="227"/>
    <n v="68782200"/>
    <n v="14"/>
    <n v="4502447778"/>
    <n v="5084493017"/>
    <n v="5113716224"/>
    <m/>
    <s v="CON RETEN"/>
    <m/>
    <x v="1"/>
    <d v="2022-11-04T00:00:00"/>
    <m/>
    <m/>
    <m/>
    <m/>
    <m/>
    <m/>
    <m/>
    <m/>
    <d v="2022-11-04T00:00:00"/>
    <x v="11"/>
  </r>
  <r>
    <s v="2H Agropecuaria S.A.S."/>
    <d v="2022-11-04T00:00:00"/>
    <d v="2022-11-09T00:00:00"/>
    <n v="45"/>
    <s v="FE2H46"/>
    <x v="2"/>
    <n v="6543"/>
    <x v="220"/>
    <n v="56596950"/>
    <n v="14"/>
    <n v="4502447781"/>
    <n v="5084493258"/>
    <n v="5113715193"/>
    <m/>
    <s v="CON RETEN"/>
    <m/>
    <x v="1"/>
    <d v="2022-11-04T00:00:00"/>
    <m/>
    <m/>
    <m/>
    <m/>
    <m/>
    <m/>
    <m/>
    <m/>
    <d v="2022-11-04T00:00:00"/>
    <x v="11"/>
  </r>
  <r>
    <s v="Misionagro S.A.S"/>
    <d v="2022-11-04T00:00:00"/>
    <m/>
    <n v="45"/>
    <s v="MISI-171"/>
    <x v="2"/>
    <n v="21305"/>
    <x v="645"/>
    <n v="187298220.40000001"/>
    <n v="39"/>
    <n v="4502447784"/>
    <n v="5084493262"/>
    <n v="5113717877"/>
    <m/>
    <s v="CON RETEN"/>
    <m/>
    <x v="1"/>
    <d v="2022-11-04T00:00:00"/>
    <m/>
    <m/>
    <m/>
    <m/>
    <m/>
    <m/>
    <m/>
    <m/>
    <d v="2022-11-04T00:00:00"/>
    <x v="11"/>
  </r>
  <r>
    <s v="Inversiones Yepes Carrera S.A.S"/>
    <d v="2022-11-04T00:00:00"/>
    <m/>
    <n v="45"/>
    <s v="FE-164"/>
    <x v="2"/>
    <n v="6061"/>
    <x v="248"/>
    <n v="52124600"/>
    <n v="14"/>
    <n v="4502447789"/>
    <n v="5084493331"/>
    <n v="5113722521"/>
    <m/>
    <s v="TIENE BL"/>
    <m/>
    <x v="1"/>
    <d v="2022-11-04T00:00:00"/>
    <m/>
    <m/>
    <m/>
    <m/>
    <m/>
    <m/>
    <m/>
    <m/>
    <d v="2022-11-04T00:00:00"/>
    <x v="11"/>
  </r>
  <r>
    <s v="Fernando Arevalo Reyes"/>
    <d v="2022-11-05T00:00:00"/>
    <m/>
    <n v="45"/>
    <s v="FVE-182"/>
    <x v="0"/>
    <n v="6605"/>
    <x v="227"/>
    <n v="57463500"/>
    <n v="14"/>
    <n v="4502443812"/>
    <n v="5084458633"/>
    <n v="5113717450"/>
    <m/>
    <s v="TIENE BL"/>
    <m/>
    <x v="0"/>
    <d v="2022-11-05T00:00:00"/>
    <m/>
    <m/>
    <m/>
    <m/>
    <m/>
    <m/>
    <m/>
    <m/>
    <d v="2022-11-05T00:00:00"/>
    <x v="11"/>
  </r>
  <r>
    <s v="Juan Alberto Saldarriaga Marin"/>
    <d v="2022-11-05T00:00:00"/>
    <m/>
    <n v="45"/>
    <n v="6175"/>
    <x v="0"/>
    <n v="25470"/>
    <x v="273"/>
    <n v="231777000"/>
    <n v="60"/>
    <n v="4502443813"/>
    <n v="5084458765"/>
    <n v="5113722176"/>
    <m/>
    <s v="CON RETEN"/>
    <m/>
    <x v="0"/>
    <d v="2022-11-05T00:00:00"/>
    <m/>
    <m/>
    <m/>
    <m/>
    <m/>
    <m/>
    <m/>
    <m/>
    <d v="2022-11-05T00:00:00"/>
    <x v="11"/>
  </r>
  <r>
    <s v="Juan Alberto Saldarriaga Marin"/>
    <d v="2022-11-05T00:00:00"/>
    <m/>
    <n v="45"/>
    <s v="NC1134"/>
    <x v="0"/>
    <n v="25470"/>
    <x v="646"/>
    <n v="-524936.70000001485"/>
    <n v="0"/>
    <n v="4502443813"/>
    <n v="5084458765"/>
    <n v="5113722267"/>
    <m/>
    <m/>
    <m/>
    <x v="0"/>
    <d v="2022-11-05T00:00:00"/>
    <m/>
    <m/>
    <m/>
    <m/>
    <m/>
    <m/>
    <m/>
    <m/>
    <d v="2022-11-05T00:00:00"/>
    <x v="11"/>
  </r>
  <r>
    <s v="Sociedad Comercializadora Ganadera"/>
    <d v="2022-11-11T00:00:00"/>
    <d v="2022-11-11T00:00:00"/>
    <n v="45"/>
    <s v="FEDV494"/>
    <x v="0"/>
    <n v="26978"/>
    <x v="319"/>
    <n v="246848700"/>
    <n v="60"/>
    <n v="4502443814"/>
    <n v="5084458634"/>
    <n v="5113722444"/>
    <m/>
    <s v="TIENE BL"/>
    <m/>
    <x v="0"/>
    <d v="2022-11-05T00:00:00"/>
    <m/>
    <m/>
    <m/>
    <m/>
    <m/>
    <m/>
    <m/>
    <m/>
    <d v="2022-11-05T00:00:00"/>
    <x v="11"/>
  </r>
  <r>
    <s v="Sociedad Comercializadora Ganadera"/>
    <d v="2022-11-11T00:00:00"/>
    <d v="2022-11-11T00:00:00"/>
    <n v="45"/>
    <s v="NC252"/>
    <x v="0"/>
    <n v="26978"/>
    <x v="647"/>
    <n v="-195050.93999998822"/>
    <n v="0"/>
    <n v="4502443814"/>
    <n v="5084458634"/>
    <n v="5113722447"/>
    <m/>
    <m/>
    <m/>
    <x v="0"/>
    <d v="2022-11-05T00:00:00"/>
    <m/>
    <m/>
    <m/>
    <m/>
    <m/>
    <m/>
    <m/>
    <m/>
    <d v="2022-11-05T00:00:00"/>
    <x v="11"/>
  </r>
  <r>
    <s v="Robinson Jose Chica Vega"/>
    <d v="2022-11-09T00:00:00"/>
    <d v="2022-11-09T00:00:00"/>
    <n v="45"/>
    <s v="FEC-1605"/>
    <x v="0"/>
    <n v="14628.5"/>
    <x v="219"/>
    <n v="127999375"/>
    <n v="29"/>
    <n v="4502443822"/>
    <n v="5084458767"/>
    <n v="5113713366"/>
    <m/>
    <s v="CON RETEN"/>
    <m/>
    <x v="0"/>
    <d v="2022-11-06T00:00:00"/>
    <m/>
    <m/>
    <m/>
    <m/>
    <m/>
    <m/>
    <m/>
    <m/>
    <d v="2022-11-06T00:00:00"/>
    <x v="11"/>
  </r>
  <r>
    <s v="Comercializadora Delirio S.A.S"/>
    <d v="2022-11-05T00:00:00"/>
    <d v="2022-11-11T00:00:00"/>
    <n v="45"/>
    <s v="FE-228"/>
    <x v="0"/>
    <n v="13096"/>
    <x v="273"/>
    <n v="119173600"/>
    <n v="30"/>
    <n v="4502443815"/>
    <n v="5084458766"/>
    <n v="5113716220"/>
    <m/>
    <s v="TIENE BL"/>
    <m/>
    <x v="0"/>
    <d v="2022-11-05T00:00:00"/>
    <m/>
    <m/>
    <m/>
    <m/>
    <m/>
    <m/>
    <m/>
    <m/>
    <d v="2022-11-05T00:00:00"/>
    <x v="11"/>
  </r>
  <r>
    <s v="Comercializadora Delirio S.A.S"/>
    <d v="2022-11-09T00:00:00"/>
    <d v="2022-11-11T00:00:00"/>
    <n v="45"/>
    <s v="NC224"/>
    <x v="0"/>
    <n v="13096"/>
    <x v="648"/>
    <n v="-887515.92000000575"/>
    <n v="0"/>
    <n v="4502443815"/>
    <n v="5084458766"/>
    <n v="5113716222"/>
    <m/>
    <m/>
    <m/>
    <x v="0"/>
    <d v="2022-11-05T00:00:00"/>
    <m/>
    <m/>
    <m/>
    <m/>
    <m/>
    <m/>
    <m/>
    <m/>
    <d v="2022-11-05T00:00:00"/>
    <x v="11"/>
  </r>
  <r>
    <s v="Yoan Andres Carrascal Sanchez"/>
    <d v="2022-11-09T00:00:00"/>
    <d v="2022-11-10T00:00:00"/>
    <n v="45"/>
    <s v="FEYC-8"/>
    <x v="0"/>
    <n v="5794"/>
    <x v="220"/>
    <n v="50118100"/>
    <n v="14"/>
    <n v="4502443816"/>
    <n v="5084458635"/>
    <n v="5113716159"/>
    <m/>
    <s v="TIENE BL"/>
    <m/>
    <x v="0"/>
    <d v="2022-11-05T00:00:00"/>
    <m/>
    <m/>
    <m/>
    <m/>
    <m/>
    <m/>
    <m/>
    <m/>
    <d v="2022-11-05T00:00:00"/>
    <x v="11"/>
  </r>
  <r>
    <s v="Yoan Andres Carrascal Sanchez"/>
    <d v="2022-11-09T00:00:00"/>
    <d v="2022-11-10T00:00:00"/>
    <n v="45"/>
    <s v="NC7"/>
    <x v="0"/>
    <n v="5794"/>
    <x v="649"/>
    <n v="-434202.36000000295"/>
    <n v="0"/>
    <n v="4502443816"/>
    <n v="5084458635"/>
    <n v="5113716161"/>
    <m/>
    <m/>
    <m/>
    <x v="0"/>
    <d v="2022-11-05T00:00:00"/>
    <m/>
    <m/>
    <m/>
    <m/>
    <m/>
    <m/>
    <m/>
    <m/>
    <d v="2022-11-05T00:00:00"/>
    <x v="11"/>
  </r>
  <r>
    <s v="Sociedad Comercializadora Ganadera"/>
    <d v="2022-11-11T00:00:00"/>
    <d v="2022-11-11T00:00:00"/>
    <n v="45"/>
    <s v="FEDV496"/>
    <x v="2"/>
    <n v="14134.5"/>
    <x v="319"/>
    <n v="129330675"/>
    <n v="30"/>
    <n v="4502445227"/>
    <n v="5084476628"/>
    <n v="5113722619"/>
    <m/>
    <s v="TIENE BL"/>
    <m/>
    <x v="0"/>
    <d v="2022-11-06T00:00:00"/>
    <m/>
    <m/>
    <m/>
    <m/>
    <m/>
    <m/>
    <m/>
    <m/>
    <d v="2022-11-06T00:00:00"/>
    <x v="11"/>
  </r>
  <r>
    <s v="Sociedad Comercializadora Ganadera"/>
    <d v="2022-11-11T00:00:00"/>
    <d v="2022-11-11T00:00:00"/>
    <n v="45"/>
    <s v="NC254"/>
    <x v="2"/>
    <n v="14134.5"/>
    <x v="11"/>
    <n v="-2120175"/>
    <n v="0"/>
    <n v="4502445227"/>
    <n v="5084476637"/>
    <n v="5113722620"/>
    <m/>
    <m/>
    <m/>
    <x v="0"/>
    <d v="2022-11-06T00:00:00"/>
    <m/>
    <m/>
    <m/>
    <m/>
    <m/>
    <m/>
    <m/>
    <m/>
    <d v="2022-11-06T00:00:00"/>
    <x v="11"/>
  </r>
  <r>
    <s v="Adrian Alberto Alvarez Henao"/>
    <d v="2022-11-10T00:00:00"/>
    <m/>
    <n v="45"/>
    <s v="AAAH-78"/>
    <x v="0"/>
    <n v="12060"/>
    <x v="273"/>
    <n v="109746000"/>
    <n v="29"/>
    <n v="4502443817"/>
    <n v="5084478582"/>
    <n v="5113736615"/>
    <m/>
    <s v="TIENE BL"/>
    <m/>
    <x v="0"/>
    <d v="2022-11-06T00:00:00"/>
    <m/>
    <m/>
    <m/>
    <m/>
    <m/>
    <m/>
    <m/>
    <m/>
    <d v="2022-11-06T00:00:00"/>
    <x v="11"/>
  </r>
  <r>
    <s v="Adrian Alberto Alvarez Henao"/>
    <d v="2022-11-10T00:00:00"/>
    <m/>
    <n v="45"/>
    <s v="AD38"/>
    <x v="0"/>
    <n v="12060"/>
    <x v="650"/>
    <n v="-1520645.4000000018"/>
    <n v="0"/>
    <n v="4502443817"/>
    <n v="5084478582"/>
    <n v="5113736689"/>
    <m/>
    <m/>
    <m/>
    <x v="0"/>
    <d v="2022-11-06T00:00:00"/>
    <m/>
    <m/>
    <m/>
    <m/>
    <m/>
    <m/>
    <m/>
    <m/>
    <d v="2022-11-06T00:00:00"/>
    <x v="11"/>
  </r>
  <r>
    <s v="Sociedad Comercializadora Ganadera"/>
    <d v="2022-11-11T00:00:00"/>
    <d v="2022-11-11T00:00:00"/>
    <n v="45"/>
    <s v="FEDV495"/>
    <x v="0"/>
    <n v="20591.5"/>
    <x v="319"/>
    <n v="188412225"/>
    <n v="45"/>
    <n v="4502443818"/>
    <n v="5084476628"/>
    <n v="5113725151"/>
    <m/>
    <s v="TIENE BL"/>
    <m/>
    <x v="0"/>
    <d v="2022-11-06T00:00:00"/>
    <m/>
    <m/>
    <m/>
    <m/>
    <m/>
    <m/>
    <m/>
    <m/>
    <d v="2022-11-06T00:00:00"/>
    <x v="11"/>
  </r>
  <r>
    <s v="Sociedad Comercializadora Ganadera"/>
    <d v="2022-11-11T00:00:00"/>
    <d v="2022-11-11T00:00:00"/>
    <n v="45"/>
    <s v="NC253"/>
    <x v="0"/>
    <n v="20591.5"/>
    <x v="651"/>
    <n v="-313814.45999999548"/>
    <n v="0"/>
    <n v="4502443818"/>
    <n v="5084476628"/>
    <n v="5113725152"/>
    <m/>
    <m/>
    <m/>
    <x v="0"/>
    <d v="2022-11-06T00:00:00"/>
    <m/>
    <m/>
    <m/>
    <m/>
    <m/>
    <m/>
    <m/>
    <m/>
    <d v="2022-11-06T00:00:00"/>
    <x v="11"/>
  </r>
  <r>
    <s v="Margie Rodriguez Rodriguez"/>
    <d v="2022-11-09T00:00:00"/>
    <m/>
    <n v="45"/>
    <s v="FE-71"/>
    <x v="0"/>
    <n v="6189"/>
    <x v="220"/>
    <n v="53534850"/>
    <n v="15"/>
    <n v="4502443819"/>
    <n v="5084476629"/>
    <n v="5113714892"/>
    <m/>
    <s v="CON RETEN"/>
    <m/>
    <x v="0"/>
    <d v="2022-11-06T00:00:00"/>
    <m/>
    <m/>
    <m/>
    <m/>
    <m/>
    <m/>
    <m/>
    <m/>
    <d v="2022-11-06T00:00:00"/>
    <x v="11"/>
  </r>
  <r>
    <s v="Margie Rodriguez Rodriguez"/>
    <d v="2022-11-09T00:00:00"/>
    <m/>
    <n v="45"/>
    <s v="NC233"/>
    <x v="0"/>
    <n v="6189"/>
    <x v="652"/>
    <n v="-1045755.329999996"/>
    <n v="0"/>
    <n v="4502443819"/>
    <n v="5084476629"/>
    <n v="5113714893"/>
    <m/>
    <m/>
    <m/>
    <x v="0"/>
    <d v="2022-11-06T00:00:00"/>
    <m/>
    <m/>
    <m/>
    <m/>
    <m/>
    <m/>
    <m/>
    <m/>
    <d v="2022-11-06T00:00:00"/>
    <x v="11"/>
  </r>
  <r>
    <s v="LA OKA S.A.S."/>
    <d v="2022-11-09T00:00:00"/>
    <m/>
    <n v="45"/>
    <s v="FEOK-86"/>
    <x v="0"/>
    <n v="6410.5"/>
    <x v="227"/>
    <n v="55771350"/>
    <n v="14"/>
    <n v="4502443820"/>
    <n v="5084476630"/>
    <n v="5113713729"/>
    <m/>
    <s v="CON RETEN"/>
    <m/>
    <x v="0"/>
    <d v="2022-11-06T00:00:00"/>
    <m/>
    <m/>
    <m/>
    <m/>
    <m/>
    <m/>
    <m/>
    <m/>
    <d v="2022-11-06T00:00:00"/>
    <x v="11"/>
  </r>
  <r>
    <s v="Rafael Francisco Delgado Serrano"/>
    <d v="2022-11-11T00:00:00"/>
    <m/>
    <n v="45"/>
    <s v="RFDS-192"/>
    <x v="0"/>
    <n v="6522.5"/>
    <x v="283"/>
    <n v="57724125"/>
    <n v="14"/>
    <n v="4502443821"/>
    <n v="5084476631"/>
    <n v="5113721716"/>
    <m/>
    <s v="CON RETEN"/>
    <m/>
    <x v="0"/>
    <d v="2022-11-06T00:00:00"/>
    <m/>
    <m/>
    <m/>
    <m/>
    <m/>
    <m/>
    <m/>
    <m/>
    <d v="2022-11-06T00:00:00"/>
    <x v="11"/>
  </r>
  <r>
    <s v="Rafael Francisco Delgado Serrano"/>
    <d v="2022-11-11T00:00:00"/>
    <m/>
    <n v="45"/>
    <s v="NCR31"/>
    <x v="0"/>
    <n v="6522.5"/>
    <x v="13"/>
    <n v="-326125"/>
    <n v="0"/>
    <n v="4502443821"/>
    <n v="5084476631"/>
    <n v="5113721809"/>
    <m/>
    <m/>
    <m/>
    <x v="0"/>
    <d v="2022-11-06T00:00:00"/>
    <m/>
    <m/>
    <m/>
    <m/>
    <m/>
    <m/>
    <m/>
    <m/>
    <d v="2022-11-06T00:00:00"/>
    <x v="11"/>
  </r>
  <r>
    <s v="Inversiones y Negocios V&amp;V S.A.S"/>
    <d v="2022-11-09T00:00:00"/>
    <d v="2022-11-09T00:00:00"/>
    <n v="45"/>
    <s v="FE-1757"/>
    <x v="2"/>
    <n v="6352"/>
    <x v="273"/>
    <n v="57803200"/>
    <n v="14"/>
    <n v="4502443823"/>
    <n v="5084476632"/>
    <n v="5113714890"/>
    <m/>
    <s v="CON RETEN"/>
    <m/>
    <x v="0"/>
    <d v="2022-11-06T00:00:00"/>
    <m/>
    <m/>
    <m/>
    <m/>
    <m/>
    <m/>
    <m/>
    <m/>
    <d v="2022-11-06T00:00:00"/>
    <x v="11"/>
  </r>
  <r>
    <s v="Inversiones y Negocios V&amp;V S.A.S"/>
    <d v="2022-11-09T00:00:00"/>
    <d v="2022-11-09T00:00:00"/>
    <n v="45"/>
    <s v="DF213"/>
    <x v="2"/>
    <n v="6352"/>
    <x v="584"/>
    <n v="152448"/>
    <n v="0"/>
    <n v="4502443823"/>
    <n v="5084476632"/>
    <n v="5113714891"/>
    <m/>
    <m/>
    <m/>
    <x v="0"/>
    <d v="2022-11-06T00:00:00"/>
    <m/>
    <m/>
    <m/>
    <m/>
    <m/>
    <m/>
    <m/>
    <m/>
    <d v="2022-11-06T00:00:00"/>
    <x v="11"/>
  </r>
  <r>
    <s v="Lina Maria Pelaez Gomez"/>
    <d v="2022-11-07T00:00:00"/>
    <d v="2022-11-11T00:00:00"/>
    <n v="45"/>
    <s v="LP-122"/>
    <x v="0"/>
    <n v="21215.5"/>
    <x v="273"/>
    <n v="193061050"/>
    <n v="45"/>
    <n v="4502443824"/>
    <n v="5084478292"/>
    <n v="5113718812"/>
    <m/>
    <s v="TIENE BL"/>
    <m/>
    <x v="0"/>
    <d v="2022-11-07T00:00:00"/>
    <m/>
    <m/>
    <m/>
    <m/>
    <m/>
    <m/>
    <m/>
    <m/>
    <d v="2022-11-07T00:00:00"/>
    <x v="11"/>
  </r>
  <r>
    <s v="Lina Maria Pelaez Gomez"/>
    <d v="2022-11-10T00:00:00"/>
    <d v="2022-11-11T00:00:00"/>
    <n v="45"/>
    <s v="ND11"/>
    <x v="0"/>
    <n v="21215.5"/>
    <x v="653"/>
    <n v="245463.33499999999"/>
    <n v="0"/>
    <n v="4502443824"/>
    <n v="5084478292"/>
    <n v="5113718815"/>
    <m/>
    <m/>
    <m/>
    <x v="0"/>
    <d v="2022-11-07T00:00:00"/>
    <m/>
    <m/>
    <m/>
    <m/>
    <m/>
    <m/>
    <m/>
    <m/>
    <d v="2022-11-07T00:00:00"/>
    <x v="11"/>
  </r>
  <r>
    <s v="David Martinez Jaramillo"/>
    <d v="2022-11-07T00:00:00"/>
    <d v="2022-11-11T00:00:00"/>
    <n v="45"/>
    <s v="DM-301"/>
    <x v="0"/>
    <n v="6979.5"/>
    <x v="273"/>
    <n v="63513450"/>
    <n v="15"/>
    <n v="4502443825"/>
    <n v="5084478293"/>
    <n v="5113718755"/>
    <m/>
    <s v="TIENE BL"/>
    <m/>
    <x v="0"/>
    <d v="2022-11-07T00:00:00"/>
    <m/>
    <m/>
    <m/>
    <m/>
    <m/>
    <m/>
    <m/>
    <m/>
    <d v="2022-11-07T00:00:00"/>
    <x v="11"/>
  </r>
  <r>
    <s v="David Martinez Jaramillo"/>
    <d v="2022-11-10T00:00:00"/>
    <d v="2022-11-11T00:00:00"/>
    <n v="45"/>
    <s v="NC91"/>
    <x v="0"/>
    <n v="6979.5"/>
    <x v="586"/>
    <n v="-181467"/>
    <n v="0"/>
    <n v="4502443825"/>
    <n v="5084478293"/>
    <n v="5113718809"/>
    <m/>
    <m/>
    <m/>
    <x v="0"/>
    <d v="2022-11-07T00:00:00"/>
    <m/>
    <m/>
    <m/>
    <m/>
    <m/>
    <m/>
    <m/>
    <m/>
    <d v="2022-11-07T00:00:00"/>
    <x v="11"/>
  </r>
  <r>
    <s v="Diomar Ibañez Criado"/>
    <d v="2022-11-10T00:00:00"/>
    <m/>
    <n v="45"/>
    <s v="FE-366"/>
    <x v="0"/>
    <n v="6701"/>
    <x v="220"/>
    <n v="57963650"/>
    <n v="15"/>
    <n v="4502443826"/>
    <n v="5084478294"/>
    <n v="5113723499"/>
    <m/>
    <s v="CON RETEN"/>
    <m/>
    <x v="0"/>
    <d v="2022-11-07T00:00:00"/>
    <m/>
    <m/>
    <m/>
    <m/>
    <m/>
    <m/>
    <m/>
    <m/>
    <d v="2022-11-07T00:00:00"/>
    <x v="11"/>
  </r>
  <r>
    <s v="Diomar Ibañez Criado"/>
    <d v="2022-11-15T00:00:00"/>
    <m/>
    <n v="45"/>
    <s v="MV00V24"/>
    <x v="0"/>
    <n v="6701"/>
    <x v="654"/>
    <n v="-1266556.0100000014"/>
    <n v="0"/>
    <n v="4502443826"/>
    <n v="5084478294"/>
    <n v="5113723501"/>
    <m/>
    <m/>
    <m/>
    <x v="0"/>
    <d v="2022-11-07T00:00:00"/>
    <m/>
    <m/>
    <m/>
    <m/>
    <m/>
    <m/>
    <m/>
    <m/>
    <d v="2022-11-07T00:00:00"/>
    <x v="11"/>
  </r>
  <r>
    <s v="Maria Victoria Yepes Garcia"/>
    <d v="2022-11-07T00:00:00"/>
    <d v="2022-11-09T00:00:00"/>
    <n v="45"/>
    <s v="MVYG-37"/>
    <x v="1"/>
    <n v="12740.5"/>
    <x v="227"/>
    <n v="110842350"/>
    <n v="28"/>
    <n v="4502443827"/>
    <n v="5084478295"/>
    <n v="5113714894"/>
    <m/>
    <s v="TIENE BL"/>
    <m/>
    <x v="0"/>
    <d v="2022-11-07T00:00:00"/>
    <m/>
    <m/>
    <m/>
    <m/>
    <m/>
    <m/>
    <m/>
    <m/>
    <d v="2022-11-07T00:00:00"/>
    <x v="11"/>
  </r>
  <r>
    <s v="Nestor De Jesus Buitrago Trujillo"/>
    <d v="2022-11-16T00:00:00"/>
    <m/>
    <n v="45"/>
    <s v="NGAE-32"/>
    <x v="4"/>
    <n v="15217"/>
    <x v="655"/>
    <n v="136130825.48999998"/>
    <n v="28"/>
    <n v="4502448806"/>
    <n v="5084513303"/>
    <n v="5113726763"/>
    <m/>
    <s v="CON RETEN"/>
    <m/>
    <x v="7"/>
    <d v="2022-11-07T00:00:00"/>
    <m/>
    <m/>
    <m/>
    <m/>
    <m/>
    <m/>
    <m/>
    <m/>
    <d v="2022-11-07T00:00:00"/>
    <x v="11"/>
  </r>
  <r>
    <s v="Sociedad Comercializadora Ganadera"/>
    <d v="2022-11-11T00:00:00"/>
    <d v="2022-11-11T00:00:00"/>
    <n v="45"/>
    <s v="FEDV497"/>
    <x v="4"/>
    <n v="59579"/>
    <x v="319"/>
    <n v="545147850"/>
    <n v="120"/>
    <n v="4502448942"/>
    <n v="5084518046"/>
    <n v="5113722621"/>
    <m/>
    <s v="TIENE BL"/>
    <m/>
    <x v="7"/>
    <d v="2022-11-07T00:00:00"/>
    <m/>
    <m/>
    <m/>
    <m/>
    <m/>
    <m/>
    <m/>
    <m/>
    <d v="2022-11-07T00:00:00"/>
    <x v="11"/>
  </r>
  <r>
    <s v="Savanna &amp; Compañia S.A.S ZOMAC"/>
    <d v="2022-11-07T00:00:00"/>
    <d v="2022-11-15T00:00:00"/>
    <n v="45"/>
    <s v="S-52"/>
    <x v="4"/>
    <n v="13776"/>
    <x v="149"/>
    <n v="109519200"/>
    <n v="26"/>
    <n v="4502448946"/>
    <n v="5084515597"/>
    <n v="5113725419"/>
    <m/>
    <s v="EJ*2 2650700*2"/>
    <s v="TIENE BL"/>
    <x v="7"/>
    <d v="2022-11-07T00:00:00"/>
    <n v="4502448946"/>
    <n v="5301400"/>
    <s v="FEMD-5680*2"/>
    <n v="5113718115"/>
    <m/>
    <m/>
    <m/>
    <m/>
    <d v="2022-11-07T00:00:00"/>
    <x v="11"/>
  </r>
  <r>
    <s v="Gabriel Humberto Loza Duran"/>
    <d v="2022-11-11T00:00:00"/>
    <d v="2022-11-15T00:00:00"/>
    <n v="45"/>
    <s v="FE-57"/>
    <x v="1"/>
    <n v="7026.5"/>
    <x v="227"/>
    <n v="61130550"/>
    <n v="14"/>
    <n v="4502443828"/>
    <n v="5084510772"/>
    <n v="5113728535"/>
    <m/>
    <s v="CON RETEN"/>
    <m/>
    <x v="0"/>
    <d v="2022-11-08T00:00:00"/>
    <m/>
    <m/>
    <m/>
    <m/>
    <m/>
    <m/>
    <m/>
    <m/>
    <d v="2022-11-08T00:00:00"/>
    <x v="11"/>
  </r>
  <r>
    <s v="Gabriel Humberto Loza Duran"/>
    <d v="2022-11-11T00:00:00"/>
    <d v="2022-11-15T00:00:00"/>
    <n v="45"/>
    <s v="NC25"/>
    <x v="1"/>
    <n v="7026.5"/>
    <x v="13"/>
    <n v="-351325"/>
    <n v="0"/>
    <n v="4502443828"/>
    <n v="5084510772"/>
    <n v="5113728627"/>
    <m/>
    <m/>
    <m/>
    <x v="0"/>
    <d v="2022-11-08T00:00:00"/>
    <m/>
    <m/>
    <m/>
    <m/>
    <m/>
    <m/>
    <m/>
    <m/>
    <d v="2022-11-08T00:00:00"/>
    <x v="11"/>
  </r>
  <r>
    <s v="Sociedad Comercializadora Ganadera"/>
    <d v="2022-11-11T00:00:00"/>
    <d v="2022-11-11T00:00:00"/>
    <n v="45"/>
    <s v="FEDV499"/>
    <x v="1"/>
    <n v="25038.5"/>
    <x v="319"/>
    <n v="229102275"/>
    <n v="59"/>
    <n v="4502443829"/>
    <n v="5084510773"/>
    <n v="5113723432"/>
    <m/>
    <s v="TIENE BL"/>
    <m/>
    <x v="0"/>
    <d v="2022-11-08T00:00:00"/>
    <m/>
    <m/>
    <m/>
    <m/>
    <m/>
    <m/>
    <m/>
    <m/>
    <d v="2022-11-08T00:00:00"/>
    <x v="11"/>
  </r>
  <r>
    <s v="Sociedad Comercializadora Ganadera"/>
    <d v="2022-11-11T00:00:00"/>
    <d v="2022-11-11T00:00:00"/>
    <n v="45"/>
    <s v="NC255"/>
    <x v="1"/>
    <n v="25038.5"/>
    <x v="656"/>
    <n v="-273420.42000000185"/>
    <n v="0"/>
    <n v="4502443829"/>
    <n v="5084510773"/>
    <n v="5113723433"/>
    <m/>
    <m/>
    <m/>
    <x v="0"/>
    <d v="2022-11-08T00:00:00"/>
    <m/>
    <m/>
    <m/>
    <m/>
    <m/>
    <m/>
    <m/>
    <m/>
    <d v="2022-11-08T00:00:00"/>
    <x v="11"/>
  </r>
  <r>
    <s v="Sociedad Comercializadora Ganadera"/>
    <d v="2022-11-11T00:00:00"/>
    <d v="2022-11-11T00:00:00"/>
    <n v="45"/>
    <s v="FEDV500"/>
    <x v="1"/>
    <n v="264.5"/>
    <x v="319"/>
    <n v="2420175"/>
    <n v="2"/>
    <n v="4502443829"/>
    <n v="5084501109"/>
    <n v="5113723434"/>
    <m/>
    <s v="TIENE BL"/>
    <m/>
    <x v="0"/>
    <d v="2022-11-08T00:00:00"/>
    <m/>
    <m/>
    <m/>
    <m/>
    <m/>
    <m/>
    <m/>
    <m/>
    <d v="2022-11-08T00:00:00"/>
    <x v="11"/>
  </r>
  <r>
    <s v="Sociedad Comercializadora Ganadera"/>
    <d v="2022-11-11T00:00:00"/>
    <d v="2022-11-11T00:00:00"/>
    <n v="45"/>
    <s v="FEDV500"/>
    <x v="2"/>
    <n v="13033"/>
    <x v="319"/>
    <n v="119251950"/>
    <n v="29"/>
    <n v="4502443833"/>
    <n v="5084501109"/>
    <n v="5113723434"/>
    <m/>
    <s v="TIENE BL"/>
    <m/>
    <x v="0"/>
    <d v="2022-11-08T00:00:00"/>
    <m/>
    <m/>
    <m/>
    <m/>
    <m/>
    <m/>
    <m/>
    <m/>
    <d v="2022-11-08T00:00:00"/>
    <x v="11"/>
  </r>
  <r>
    <s v="Sociedad Comercializadora Ganadera"/>
    <d v="2022-11-11T00:00:00"/>
    <d v="2022-11-11T00:00:00"/>
    <n v="45"/>
    <s v="NC256"/>
    <x v="2"/>
    <n v="13297.5"/>
    <x v="657"/>
    <n v="-2743407.2249999931"/>
    <n v="0"/>
    <n v="4502443833"/>
    <n v="5084501109"/>
    <n v="5113723435"/>
    <m/>
    <m/>
    <m/>
    <x v="0"/>
    <d v="2022-11-08T00:00:00"/>
    <m/>
    <m/>
    <m/>
    <m/>
    <m/>
    <m/>
    <m/>
    <m/>
    <d v="2022-11-08T00:00:00"/>
    <x v="11"/>
  </r>
  <r>
    <s v="Maria Alicia Montaño Parra"/>
    <d v="2022-11-08T00:00:00"/>
    <m/>
    <n v="45"/>
    <s v="FE-30"/>
    <x v="2"/>
    <n v="6414.5"/>
    <x v="220"/>
    <n v="55485425"/>
    <n v="16"/>
    <n v="4502443831"/>
    <n v="5084501096"/>
    <n v="5113721814"/>
    <m/>
    <s v="CON RETEN"/>
    <m/>
    <x v="0"/>
    <d v="2022-11-08T00:00:00"/>
    <m/>
    <m/>
    <m/>
    <m/>
    <m/>
    <m/>
    <m/>
    <m/>
    <d v="2022-11-08T00:00:00"/>
    <x v="11"/>
  </r>
  <r>
    <s v="Maria Alicia Montaño Parra"/>
    <d v="2022-11-08T00:00:00"/>
    <m/>
    <n v="45"/>
    <s v="FE7"/>
    <x v="2"/>
    <n v="6414.5"/>
    <x v="658"/>
    <n v="-1664691.0400000028"/>
    <n v="0"/>
    <n v="4502443831"/>
    <n v="5084501096"/>
    <n v="5113721816"/>
    <m/>
    <m/>
    <m/>
    <x v="0"/>
    <d v="2022-11-08T00:00:00"/>
    <m/>
    <m/>
    <m/>
    <m/>
    <m/>
    <m/>
    <m/>
    <m/>
    <d v="2022-11-08T00:00:00"/>
    <x v="11"/>
  </r>
  <r>
    <s v="Inversiones Urbagro S.A.S"/>
    <d v="2022-11-12T00:00:00"/>
    <d v="2022-11-12T00:00:00"/>
    <n v="45"/>
    <s v="FE-30"/>
    <x v="2"/>
    <n v="41665"/>
    <x v="283"/>
    <n v="368735250"/>
    <n v="105"/>
    <n v="4502443832"/>
    <n v="5084501108"/>
    <n v="5113724850"/>
    <m/>
    <s v="CON RETEN"/>
    <m/>
    <x v="0"/>
    <d v="2022-11-08T00:00:00"/>
    <m/>
    <m/>
    <m/>
    <m/>
    <m/>
    <m/>
    <m/>
    <m/>
    <d v="2022-11-08T00:00:00"/>
    <x v="11"/>
  </r>
  <r>
    <s v="Inversiones Urbagro S.A.S"/>
    <d v="2022-11-12T00:00:00"/>
    <d v="2022-11-12T00:00:00"/>
    <n v="45"/>
    <s v="NC19"/>
    <x v="2"/>
    <n v="41665"/>
    <x v="659"/>
    <n v="-4371908.4500000123"/>
    <n v="0"/>
    <n v="4502443832"/>
    <n v="5084501108"/>
    <n v="5113724853"/>
    <m/>
    <m/>
    <m/>
    <x v="0"/>
    <d v="2022-11-08T00:00:00"/>
    <m/>
    <m/>
    <m/>
    <m/>
    <m/>
    <m/>
    <m/>
    <m/>
    <d v="2022-11-08T00:00:00"/>
    <x v="11"/>
  </r>
  <r>
    <s v="Luis Fernando Rojas Prada"/>
    <d v="2022-11-10T00:00:00"/>
    <d v="2022-11-10T00:00:00"/>
    <n v="45"/>
    <s v="FELC-1099"/>
    <x v="4"/>
    <n v="68962"/>
    <x v="175"/>
    <n v="565488400"/>
    <n v="140"/>
    <n v="4502449123"/>
    <n v="5084517417"/>
    <n v="5113717957"/>
    <m/>
    <s v="EJ*10 1980900*2 1870800*8"/>
    <s v="CON RETEN"/>
    <x v="7"/>
    <d v="2022-11-08T00:00:00"/>
    <n v="4502449123"/>
    <n v="18928200"/>
    <s v="FEMD-5686*2"/>
    <n v="5113728374"/>
    <s v="FEMD-5685*8"/>
    <n v="5113728260"/>
    <m/>
    <m/>
    <d v="2022-11-08T00:00:00"/>
    <x v="11"/>
  </r>
  <r>
    <s v="Sociedad Comercializadora Ganadera"/>
    <d v="2022-11-11T00:00:00"/>
    <d v="2022-11-11T00:00:00"/>
    <n v="45"/>
    <s v="FEDV498"/>
    <x v="3"/>
    <n v="8015"/>
    <x v="54"/>
    <n v="62517000"/>
    <n v="31"/>
    <n v="4502448987"/>
    <n v="5084515769"/>
    <n v="5113722623"/>
    <m/>
    <s v="TIENE BL"/>
    <m/>
    <x v="2"/>
    <d v="2022-11-09T00:00:00"/>
    <m/>
    <m/>
    <m/>
    <m/>
    <m/>
    <m/>
    <m/>
    <m/>
    <d v="2022-11-09T00:00:00"/>
    <x v="11"/>
  </r>
  <r>
    <s v="Sociedad Comercializadora Ganadera"/>
    <d v="2022-11-18T00:00:00"/>
    <d v="2022-11-18T00:00:00"/>
    <n v="46"/>
    <s v="FEDV501"/>
    <x v="4"/>
    <n v="55583"/>
    <x v="660"/>
    <n v="508199815.63999999"/>
    <n v="120"/>
    <n v="4502450672"/>
    <n v="5084574188"/>
    <n v="5113737850"/>
    <m/>
    <s v="TIENE BL"/>
    <m/>
    <x v="7"/>
    <d v="2022-11-10T00:00:00"/>
    <m/>
    <m/>
    <m/>
    <m/>
    <m/>
    <m/>
    <m/>
    <m/>
    <d v="2022-11-10T00:00:00"/>
    <x v="11"/>
  </r>
  <r>
    <s v="Sociedad Comercializadora Ganadera"/>
    <d v="2022-11-18T00:00:00"/>
    <d v="2022-11-18T00:00:00"/>
    <n v="46"/>
    <s v="FEDV502"/>
    <x v="4"/>
    <n v="16676"/>
    <x v="278"/>
    <n v="153419200"/>
    <n v="30"/>
    <n v="4502450743"/>
    <n v="5084575510"/>
    <n v="5113737852"/>
    <m/>
    <s v="TIENE BL"/>
    <m/>
    <x v="7"/>
    <d v="2022-11-10T00:00:00"/>
    <m/>
    <m/>
    <m/>
    <m/>
    <m/>
    <m/>
    <m/>
    <m/>
    <d v="2022-11-10T00:00:00"/>
    <x v="11"/>
  </r>
  <r>
    <s v="Juan Alberto Saldarriaga Marin"/>
    <d v="2022-11-10T00:00:00"/>
    <m/>
    <n v="46"/>
    <n v="6177"/>
    <x v="4"/>
    <n v="27387"/>
    <x v="273"/>
    <n v="249221700"/>
    <n v="56"/>
    <n v="4502450688"/>
    <n v="5084574487"/>
    <n v="5113725291"/>
    <m/>
    <s v="CON RETEN"/>
    <m/>
    <x v="7"/>
    <d v="2022-11-10T00:00:00"/>
    <m/>
    <m/>
    <m/>
    <m/>
    <m/>
    <m/>
    <m/>
    <m/>
    <d v="2022-11-10T00:00:00"/>
    <x v="11"/>
  </r>
  <r>
    <s v="Andres Felipe Mantilla Acosta"/>
    <d v="2022-11-11T00:00:00"/>
    <m/>
    <n v="46"/>
    <s v="FE-52"/>
    <x v="0"/>
    <n v="7462"/>
    <x v="219"/>
    <n v="65292500"/>
    <n v="15"/>
    <n v="4502448147"/>
    <n v="5084567340"/>
    <n v="5113729025"/>
    <m/>
    <s v="TIENE BL"/>
    <m/>
    <x v="0"/>
    <d v="2022-11-11T00:00:00"/>
    <m/>
    <m/>
    <m/>
    <m/>
    <m/>
    <m/>
    <m/>
    <m/>
    <d v="2022-11-11T00:00:00"/>
    <x v="11"/>
  </r>
  <r>
    <s v="Andres Felipe Mantilla Acosta"/>
    <d v="2022-11-11T00:00:00"/>
    <m/>
    <n v="46"/>
    <s v="NC16"/>
    <x v="0"/>
    <n v="7462"/>
    <x v="13"/>
    <n v="-373100"/>
    <n v="0"/>
    <n v="4502448147"/>
    <n v="5084567340"/>
    <n v="5113729058"/>
    <m/>
    <m/>
    <m/>
    <x v="0"/>
    <d v="2022-11-11T00:00:00"/>
    <m/>
    <m/>
    <m/>
    <m/>
    <m/>
    <m/>
    <m/>
    <m/>
    <d v="2022-11-11T00:00:00"/>
    <x v="11"/>
  </r>
  <r>
    <s v="Oscar Fabian Quintero Ardila"/>
    <d v="2022-11-16T00:00:00"/>
    <m/>
    <n v="46"/>
    <s v="FE-66"/>
    <x v="0"/>
    <n v="6899"/>
    <x v="227"/>
    <n v="60021300"/>
    <n v="15"/>
    <n v="4502448148"/>
    <n v="5084567341"/>
    <n v="5113739319"/>
    <m/>
    <s v="TIENE BL"/>
    <m/>
    <x v="0"/>
    <d v="2022-11-11T00:00:00"/>
    <m/>
    <m/>
    <m/>
    <m/>
    <m/>
    <m/>
    <m/>
    <m/>
    <d v="2022-11-11T00:00:00"/>
    <x v="11"/>
  </r>
  <r>
    <s v="Oscar Fabian Quintero Ardila"/>
    <d v="2022-11-16T00:00:00"/>
    <m/>
    <n v="46"/>
    <s v="NC20"/>
    <x v="0"/>
    <n v="6899"/>
    <x v="661"/>
    <n v="-1177590.3100000035"/>
    <n v="0"/>
    <n v="4502448148"/>
    <n v="5084567341"/>
    <n v="5113739321"/>
    <m/>
    <m/>
    <m/>
    <x v="0"/>
    <d v="2022-11-11T00:00:00"/>
    <m/>
    <m/>
    <m/>
    <m/>
    <m/>
    <m/>
    <m/>
    <m/>
    <d v="2022-11-11T00:00:00"/>
    <x v="11"/>
  </r>
  <r>
    <s v="Sociedad Comercializadora Ganadera"/>
    <d v="2022-11-18T00:00:00"/>
    <d v="2022-11-18T00:00:00"/>
    <n v="46"/>
    <s v="FEDV503"/>
    <x v="0"/>
    <n v="34801.5"/>
    <x v="319"/>
    <n v="318433725"/>
    <n v="77"/>
    <n v="4502448149"/>
    <n v="5084567342"/>
    <n v="5113737853"/>
    <m/>
    <s v="TIENE BL"/>
    <m/>
    <x v="0"/>
    <d v="2022-11-11T00:00:00"/>
    <m/>
    <m/>
    <m/>
    <m/>
    <m/>
    <m/>
    <m/>
    <m/>
    <d v="2022-11-11T00:00:00"/>
    <x v="11"/>
  </r>
  <r>
    <s v="Sociedad Comercializadora Ganadera"/>
    <d v="2022-11-21T00:00:00"/>
    <d v="2022-11-21T00:00:00"/>
    <n v="46"/>
    <s v="NC257"/>
    <x v="0"/>
    <n v="34801.5"/>
    <x v="662"/>
    <n v="-5492372.7299999902"/>
    <n v="0"/>
    <n v="4502448149"/>
    <n v="5084567342"/>
    <n v="5113737855"/>
    <m/>
    <m/>
    <m/>
    <x v="0"/>
    <d v="2022-11-11T00:00:00"/>
    <m/>
    <m/>
    <m/>
    <m/>
    <m/>
    <m/>
    <m/>
    <m/>
    <d v="2022-11-11T00:00:00"/>
    <x v="11"/>
  </r>
  <r>
    <s v="David Martinez Jaramillo"/>
    <d v="2022-11-11T00:00:00"/>
    <d v="2022-11-15T00:00:00"/>
    <n v="46"/>
    <s v="DM304"/>
    <x v="0"/>
    <n v="29469.5"/>
    <x v="273"/>
    <n v="268172450"/>
    <n v="66"/>
    <n v="4502448150"/>
    <n v="5084566159"/>
    <n v="5113725116"/>
    <m/>
    <s v="TIENE BL"/>
    <m/>
    <x v="0"/>
    <d v="2022-11-11T00:00:00"/>
    <m/>
    <m/>
    <m/>
    <m/>
    <m/>
    <m/>
    <m/>
    <m/>
    <d v="2022-11-11T00:00:00"/>
    <x v="11"/>
  </r>
  <r>
    <s v="David Martinez Jaramillo"/>
    <d v="2022-11-15T00:00:00"/>
    <d v="2022-11-15T00:00:00"/>
    <n v="46"/>
    <s v="NC92"/>
    <x v="0"/>
    <n v="29469.5"/>
    <x v="663"/>
    <n v="-3256085.0549999936"/>
    <n v="0"/>
    <n v="4502448150"/>
    <n v="5084566159"/>
    <n v="5113725148"/>
    <m/>
    <m/>
    <m/>
    <x v="0"/>
    <d v="2022-11-11T00:00:00"/>
    <m/>
    <m/>
    <m/>
    <m/>
    <m/>
    <m/>
    <m/>
    <m/>
    <d v="2022-11-11T00:00:00"/>
    <x v="11"/>
  </r>
  <r>
    <s v="Agropecuaria Tabaida S.A.S"/>
    <d v="2022-11-11T00:00:00"/>
    <d v="2022-11-15T00:00:00"/>
    <n v="46"/>
    <s v="MT-1661"/>
    <x v="1"/>
    <n v="19741"/>
    <x v="224"/>
    <n v="168785550"/>
    <n v="42"/>
    <n v="4502450559"/>
    <n v="5084567294"/>
    <n v="5113731626"/>
    <s v="TIENE BL"/>
    <s v="EJ*3 1793900*3"/>
    <m/>
    <x v="0"/>
    <d v="2022-11-11T00:00:00"/>
    <n v="4902385118"/>
    <n v="5381700"/>
    <s v="FEMD-5714*3"/>
    <n v="5113728437"/>
    <m/>
    <m/>
    <m/>
    <m/>
    <d v="2022-11-11T00:00:00"/>
    <x v="11"/>
  </r>
  <r>
    <s v="Agropecuaria Tabaida S.A.S"/>
    <d v="2022-11-11T00:00:00"/>
    <d v="2022-11-15T00:00:00"/>
    <n v="46"/>
    <n v="8"/>
    <x v="1"/>
    <n v="19741"/>
    <x v="584"/>
    <n v="473784"/>
    <n v="0"/>
    <n v="4502450559"/>
    <n v="5084567294"/>
    <n v="5113731637"/>
    <m/>
    <m/>
    <m/>
    <x v="0"/>
    <d v="2022-11-11T00:00:00"/>
    <m/>
    <m/>
    <m/>
    <m/>
    <m/>
    <m/>
    <m/>
    <m/>
    <d v="2022-11-11T00:00:00"/>
    <x v="11"/>
  </r>
  <r>
    <s v="Jorge Ignacio Sanchez Restrepo"/>
    <d v="2022-11-11T00:00:00"/>
    <d v="2022-11-15T00:00:00"/>
    <n v="46"/>
    <s v="FEJS-46"/>
    <x v="1"/>
    <n v="12310"/>
    <x v="273"/>
    <n v="112021000"/>
    <n v="28"/>
    <n v="4502448151"/>
    <n v="5084566160"/>
    <n v="5113724929"/>
    <m/>
    <s v="CON RETEN"/>
    <m/>
    <x v="0"/>
    <d v="2022-11-11T00:00:00"/>
    <m/>
    <m/>
    <m/>
    <m/>
    <m/>
    <m/>
    <m/>
    <m/>
    <d v="2022-11-11T00:00:00"/>
    <x v="11"/>
  </r>
  <r>
    <s v="Jorge Ignacio Sanchez Restrepo"/>
    <d v="2022-11-11T00:00:00"/>
    <d v="2022-11-15T00:00:00"/>
    <n v="46"/>
    <s v="ND4"/>
    <x v="1"/>
    <n v="12310"/>
    <x v="584"/>
    <n v="295440"/>
    <n v="0"/>
    <n v="4502448151"/>
    <n v="5084566160"/>
    <n v="5113724930"/>
    <m/>
    <m/>
    <m/>
    <x v="0"/>
    <d v="2022-11-11T00:00:00"/>
    <m/>
    <m/>
    <m/>
    <m/>
    <m/>
    <m/>
    <m/>
    <m/>
    <d v="2022-11-11T00:00:00"/>
    <x v="11"/>
  </r>
  <r>
    <s v="Luis Fernando Rojas Prada"/>
    <d v="2022-11-15T00:00:00"/>
    <d v="2022-11-15T00:00:00"/>
    <n v="46"/>
    <s v="FELC-1102"/>
    <x v="4"/>
    <n v="57028"/>
    <x v="175"/>
    <n v="467629600"/>
    <n v="112"/>
    <n v="4502450693"/>
    <n v="5084574759"/>
    <n v="5113728628"/>
    <s v="TIENE BL"/>
    <s v="EJ*8 1959600*8"/>
    <m/>
    <x v="7"/>
    <d v="2022-11-11T00:00:00"/>
    <n v="4502450693"/>
    <n v="15676800"/>
    <s v="FEMD-5716*4"/>
    <n v="5113728440"/>
    <s v="FEMD-5717*4"/>
    <n v="5113728441"/>
    <m/>
    <m/>
    <d v="2022-11-11T00:00:00"/>
    <x v="11"/>
  </r>
  <r>
    <s v="Inversiones Agropecuaria Triplesiete S.A.S."/>
    <d v="2022-11-12T00:00:00"/>
    <d v="2022-11-18T00:00:00"/>
    <n v="46"/>
    <s v="FEVM 568"/>
    <x v="0"/>
    <n v="27530"/>
    <x v="244"/>
    <n v="242264000"/>
    <n v="60"/>
    <n v="4502448152"/>
    <n v="5084567343"/>
    <n v="5113736765"/>
    <m/>
    <s v="CON RETEN"/>
    <m/>
    <x v="0"/>
    <d v="2022-11-12T00:00:00"/>
    <m/>
    <m/>
    <m/>
    <m/>
    <m/>
    <m/>
    <m/>
    <m/>
    <d v="2022-11-12T00:00:00"/>
    <x v="11"/>
  </r>
  <r>
    <s v="Inversiones Agropecuaria Triplesiete S.A.S."/>
    <d v="2022-11-12T00:00:00"/>
    <d v="2022-11-18T00:00:00"/>
    <n v="46"/>
    <s v="NC36"/>
    <x v="0"/>
    <n v="27530"/>
    <x v="664"/>
    <n v="-38817.299999995994"/>
    <n v="0"/>
    <n v="4502448152"/>
    <n v="5084567343"/>
    <n v="5113736808"/>
    <m/>
    <m/>
    <m/>
    <x v="0"/>
    <d v="2022-11-12T00:00:00"/>
    <m/>
    <m/>
    <m/>
    <m/>
    <m/>
    <m/>
    <m/>
    <m/>
    <d v="2022-11-12T00:00:00"/>
    <x v="11"/>
  </r>
  <r>
    <s v="Luis Eduardo Sanchez Ruedas"/>
    <d v="2022-11-16T00:00:00"/>
    <d v="2022-11-16T00:00:00"/>
    <n v="46"/>
    <s v="FE-204"/>
    <x v="0"/>
    <n v="50845.5"/>
    <x v="219"/>
    <n v="444898125"/>
    <n v="112"/>
    <n v="4502448153"/>
    <n v="5084566161"/>
    <n v="5113737931"/>
    <m/>
    <s v="CON RETEN"/>
    <m/>
    <x v="0"/>
    <d v="2022-11-12T00:00:00"/>
    <m/>
    <m/>
    <m/>
    <m/>
    <m/>
    <m/>
    <m/>
    <m/>
    <d v="2022-11-12T00:00:00"/>
    <x v="11"/>
  </r>
  <r>
    <s v="Luis Eduardo Sanchez Ruedas"/>
    <d v="2022-11-16T00:00:00"/>
    <m/>
    <n v="46"/>
    <s v="NC215"/>
    <x v="0"/>
    <n v="50845.5"/>
    <x v="665"/>
    <n v="-194738.26499999629"/>
    <n v="0"/>
    <n v="4502448153"/>
    <n v="5084566161"/>
    <n v="5113737934"/>
    <m/>
    <m/>
    <m/>
    <x v="0"/>
    <d v="2022-11-12T00:00:00"/>
    <m/>
    <m/>
    <m/>
    <m/>
    <m/>
    <m/>
    <m/>
    <m/>
    <d v="2022-11-12T00:00:00"/>
    <x v="11"/>
  </r>
  <r>
    <s v="Sociedad Comercializadora Ganadera"/>
    <d v="2022-11-18T00:00:00"/>
    <d v="2022-11-18T00:00:00"/>
    <n v="46"/>
    <s v="FEDV504"/>
    <x v="0"/>
    <n v="26980"/>
    <x v="319"/>
    <n v="246867000"/>
    <n v="60"/>
    <n v="4502448154"/>
    <n v="5084566162"/>
    <n v="5113748986"/>
    <m/>
    <s v="TIENE BL"/>
    <m/>
    <x v="0"/>
    <d v="2022-11-12T00:00:00"/>
    <m/>
    <m/>
    <m/>
    <m/>
    <m/>
    <m/>
    <m/>
    <m/>
    <d v="2022-11-12T00:00:00"/>
    <x v="11"/>
  </r>
  <r>
    <s v="Sociedad Comercializadora Ganadera"/>
    <d v="2022-11-21T00:00:00"/>
    <d v="2022-11-21T00:00:00"/>
    <n v="46"/>
    <s v="NC258"/>
    <x v="0"/>
    <n v="26980"/>
    <x v="666"/>
    <n v="-157293.39999999804"/>
    <n v="0"/>
    <n v="4502448154"/>
    <n v="5084566162"/>
    <n v="5113749097"/>
    <m/>
    <m/>
    <s v="in264810"/>
    <x v="0"/>
    <d v="2022-11-12T00:00:00"/>
    <m/>
    <m/>
    <m/>
    <m/>
    <m/>
    <m/>
    <m/>
    <m/>
    <d v="2022-11-12T00:00:00"/>
    <x v="11"/>
  </r>
  <r>
    <s v="Sociedad Comercializadora Ganadera"/>
    <d v="2022-11-18T00:00:00"/>
    <d v="2022-11-18T00:00:00"/>
    <n v="46"/>
    <s v="FEDV505"/>
    <x v="0"/>
    <n v="6117"/>
    <x v="319"/>
    <n v="55970550"/>
    <n v="15"/>
    <n v="4502448154"/>
    <n v="5084566162"/>
    <n v="5113742692"/>
    <m/>
    <s v="TIENE BL"/>
    <m/>
    <x v="0"/>
    <d v="2022-11-12T00:00:00"/>
    <m/>
    <m/>
    <m/>
    <m/>
    <m/>
    <m/>
    <m/>
    <m/>
    <d v="2022-11-12T00:00:00"/>
    <x v="11"/>
  </r>
  <r>
    <s v="Sociedad Comercializadora Ganadera"/>
    <d v="2022-11-21T00:00:00"/>
    <d v="2022-11-21T00:00:00"/>
    <n v="46"/>
    <s v="NC259"/>
    <x v="0"/>
    <n v="6117"/>
    <x v="667"/>
    <n v="-1144980.0600000017"/>
    <n v="0"/>
    <n v="4502448154"/>
    <n v="5084566162"/>
    <n v="5113742738"/>
    <m/>
    <m/>
    <m/>
    <x v="0"/>
    <d v="2022-11-12T00:00:00"/>
    <m/>
    <m/>
    <m/>
    <m/>
    <m/>
    <m/>
    <m/>
    <m/>
    <d v="2022-11-12T00:00:00"/>
    <x v="11"/>
  </r>
  <r>
    <s v="Tanagro S.A.S Zomac"/>
    <d v="2022-11-12T00:00:00"/>
    <d v="2022-11-16T00:00:00"/>
    <n v="46"/>
    <s v="Z-127"/>
    <x v="0"/>
    <n v="6742.5"/>
    <x v="220"/>
    <n v="58322625"/>
    <n v="15"/>
    <n v="4502448155"/>
    <n v="5084567344"/>
    <n v="5113728634"/>
    <m/>
    <s v="CON RETEN"/>
    <m/>
    <x v="0"/>
    <d v="2022-11-12T00:00:00"/>
    <m/>
    <m/>
    <m/>
    <m/>
    <m/>
    <m/>
    <m/>
    <m/>
    <d v="2022-11-12T00:00:00"/>
    <x v="11"/>
  </r>
  <r>
    <s v="Tanagro S.A.S Zomac"/>
    <d v="2022-11-12T00:00:00"/>
    <d v="2022-11-16T00:00:00"/>
    <n v="46"/>
    <s v="NCR92"/>
    <x v="0"/>
    <n v="6742.5"/>
    <x v="2"/>
    <n v="-674250"/>
    <n v="0"/>
    <n v="4502448155"/>
    <n v="5084567344"/>
    <n v="5113728652"/>
    <m/>
    <m/>
    <m/>
    <x v="0"/>
    <d v="2022-11-12T00:00:00"/>
    <m/>
    <m/>
    <m/>
    <m/>
    <m/>
    <m/>
    <m/>
    <m/>
    <d v="2022-11-12T00:00:00"/>
    <x v="11"/>
  </r>
  <r>
    <s v="Agropecuaria Tabaida S.A.S"/>
    <d v="2022-11-13T00:00:00"/>
    <d v="2022-11-16T00:00:00"/>
    <n v="46"/>
    <s v="MT-1662"/>
    <x v="0"/>
    <n v="19596"/>
    <x v="224"/>
    <n v="167545800"/>
    <n v="42"/>
    <n v="4502450560"/>
    <n v="5084567295"/>
    <n v="5113731639"/>
    <s v="TIENE BL"/>
    <s v="TYC 4792500"/>
    <m/>
    <x v="0"/>
    <d v="2022-11-13T00:00:00"/>
    <n v="4902385120"/>
    <n v="4792500"/>
    <s v="ETE-3918"/>
    <n v="5113739380"/>
    <m/>
    <m/>
    <m/>
    <m/>
    <d v="2022-11-13T00:00:00"/>
    <x v="11"/>
  </r>
  <r>
    <s v="Agropecuaria Tabaida S.A.S"/>
    <d v="2022-11-13T00:00:00"/>
    <d v="2022-11-16T00:00:00"/>
    <n v="46"/>
    <n v="9"/>
    <x v="0"/>
    <n v="19596"/>
    <x v="584"/>
    <n v="470304"/>
    <n v="0"/>
    <n v="4502450560"/>
    <n v="5084567295"/>
    <n v="5113731640"/>
    <m/>
    <m/>
    <m/>
    <x v="0"/>
    <d v="2022-11-13T00:00:00"/>
    <m/>
    <m/>
    <m/>
    <m/>
    <m/>
    <m/>
    <m/>
    <m/>
    <d v="2022-11-13T00:00:00"/>
    <x v="11"/>
  </r>
  <r>
    <s v="Atria Ganaderia S.A.S."/>
    <d v="2022-11-15T00:00:00"/>
    <m/>
    <n v="46"/>
    <s v="FE-40"/>
    <x v="0"/>
    <n v="6702"/>
    <x v="668"/>
    <n v="55887978"/>
    <n v="14"/>
    <n v="4502450319"/>
    <n v="5084575254"/>
    <n v="5113726894"/>
    <m/>
    <s v="NUMA 1152250"/>
    <s v="CON RETEN"/>
    <x v="0"/>
    <d v="2022-11-13T00:00:00"/>
    <n v="4502450319"/>
    <n v="1152250"/>
    <s v="MOVI-1963"/>
    <n v="5113728855"/>
    <m/>
    <m/>
    <m/>
    <m/>
    <d v="2022-11-13T00:00:00"/>
    <x v="11"/>
  </r>
  <r>
    <s v="Sociedad Comercializadora Ganadera"/>
    <d v="2022-11-18T00:00:00"/>
    <d v="2022-11-18T00:00:00"/>
    <n v="46"/>
    <s v="FEDV506"/>
    <x v="0"/>
    <n v="13796"/>
    <x v="319"/>
    <n v="126233400"/>
    <n v="30"/>
    <n v="4502448156"/>
    <n v="5084566629"/>
    <n v="5113738902"/>
    <m/>
    <s v="TIENE BL"/>
    <m/>
    <x v="0"/>
    <d v="2022-11-13T00:00:00"/>
    <m/>
    <m/>
    <m/>
    <m/>
    <m/>
    <m/>
    <m/>
    <m/>
    <d v="2022-11-13T00:00:00"/>
    <x v="11"/>
  </r>
  <r>
    <s v="Sociedad Comercializadora Ganadera"/>
    <d v="2022-11-18T00:00:00"/>
    <d v="2022-11-18T00:00:00"/>
    <n v="46"/>
    <s v="FEDV506"/>
    <x v="1"/>
    <n v="21567"/>
    <x v="319"/>
    <n v="197338050"/>
    <n v="45"/>
    <n v="4502448166"/>
    <n v="5084566629"/>
    <n v="5113738902"/>
    <m/>
    <s v="TIENE BL"/>
    <m/>
    <x v="0"/>
    <d v="2022-11-13T00:00:00"/>
    <m/>
    <m/>
    <m/>
    <m/>
    <m/>
    <m/>
    <m/>
    <m/>
    <d v="2022-11-13T00:00:00"/>
    <x v="11"/>
  </r>
  <r>
    <s v="Sociedad Comercializadora Ganadera"/>
    <d v="2022-11-21T00:00:00"/>
    <d v="2022-11-21T00:00:00"/>
    <n v="46"/>
    <s v="NC260"/>
    <x v="1"/>
    <n v="35363"/>
    <x v="669"/>
    <n v="-730599.57999999484"/>
    <n v="0"/>
    <n v="4502448166"/>
    <n v="5084566656"/>
    <n v="5113738929"/>
    <m/>
    <m/>
    <m/>
    <x v="0"/>
    <d v="2022-11-13T00:00:00"/>
    <m/>
    <m/>
    <m/>
    <m/>
    <m/>
    <m/>
    <m/>
    <m/>
    <d v="2022-11-13T00:00:00"/>
    <x v="11"/>
  </r>
  <r>
    <s v="Olger Fernando Rojas Angarita"/>
    <d v="2022-11-16T00:00:00"/>
    <m/>
    <n v="46"/>
    <s v="OR-221"/>
    <x v="0"/>
    <n v="22898"/>
    <x v="219"/>
    <n v="200357500"/>
    <n v="42"/>
    <n v="4502448158"/>
    <n v="5084566631"/>
    <n v="5113728670"/>
    <m/>
    <s v="TIENE BL"/>
    <m/>
    <x v="0"/>
    <d v="2022-11-13T00:00:00"/>
    <m/>
    <m/>
    <m/>
    <m/>
    <m/>
    <m/>
    <m/>
    <m/>
    <d v="2022-11-13T00:00:00"/>
    <x v="11"/>
  </r>
  <r>
    <s v="Olger Fernando Rojas Angarita"/>
    <d v="2022-11-16T00:00:00"/>
    <m/>
    <n v="46"/>
    <n v="18"/>
    <x v="0"/>
    <n v="22898"/>
    <x v="670"/>
    <n v="-498489.46000000997"/>
    <n v="0"/>
    <n v="4502448158"/>
    <n v="5084566631"/>
    <n v="5113728674"/>
    <m/>
    <m/>
    <m/>
    <x v="0"/>
    <d v="2022-11-13T00:00:00"/>
    <m/>
    <m/>
    <m/>
    <m/>
    <m/>
    <m/>
    <m/>
    <m/>
    <d v="2022-11-13T00:00:00"/>
    <x v="11"/>
  </r>
  <r>
    <s v="Rafael Francisco Delgado Serrano"/>
    <d v="2022-11-16T00:00:00"/>
    <m/>
    <n v="46"/>
    <s v="RFDS-193"/>
    <x v="0"/>
    <n v="6590"/>
    <x v="283"/>
    <n v="58321500"/>
    <n v="14"/>
    <n v="4502448159"/>
    <n v="5084566632"/>
    <n v="5113726963"/>
    <m/>
    <s v="CON RETEN"/>
    <m/>
    <x v="0"/>
    <d v="2022-11-13T00:00:00"/>
    <m/>
    <m/>
    <m/>
    <m/>
    <m/>
    <m/>
    <m/>
    <m/>
    <d v="2022-11-13T00:00:00"/>
    <x v="11"/>
  </r>
  <r>
    <s v="Rafael Francisco Delgado Serrano"/>
    <d v="2022-11-16T00:00:00"/>
    <m/>
    <n v="46"/>
    <s v="NCR32"/>
    <x v="0"/>
    <n v="6590"/>
    <x v="2"/>
    <n v="-659000"/>
    <n v="0"/>
    <n v="4502448159"/>
    <n v="5084566632"/>
    <n v="5113726998"/>
    <m/>
    <m/>
    <m/>
    <x v="0"/>
    <d v="2022-11-13T00:00:00"/>
    <m/>
    <m/>
    <m/>
    <m/>
    <m/>
    <m/>
    <m/>
    <m/>
    <d v="2022-11-13T00:00:00"/>
    <x v="11"/>
  </r>
  <r>
    <s v="Inversiones y Negocios V&amp;V S.A.S"/>
    <d v="2022-11-13T00:00:00"/>
    <d v="2022-11-16T00:00:00"/>
    <n v="46"/>
    <s v="FE-1759"/>
    <x v="0"/>
    <n v="6410"/>
    <x v="273"/>
    <n v="58331000"/>
    <n v="14"/>
    <n v="4502448161"/>
    <n v="5084566633"/>
    <n v="5113728688"/>
    <m/>
    <s v="CON RETEN"/>
    <m/>
    <x v="0"/>
    <d v="2022-11-13T00:00:00"/>
    <m/>
    <m/>
    <m/>
    <m/>
    <m/>
    <m/>
    <m/>
    <m/>
    <d v="2022-11-13T00:00:00"/>
    <x v="11"/>
  </r>
  <r>
    <s v="Inversiones y Negocios V&amp;V S.A.S"/>
    <d v="2022-11-13T00:00:00"/>
    <d v="2022-11-16T00:00:00"/>
    <n v="46"/>
    <s v="NC13062"/>
    <x v="0"/>
    <n v="6410"/>
    <x v="586"/>
    <n v="-166660"/>
    <n v="0"/>
    <n v="4502448161"/>
    <n v="5084566633"/>
    <n v="5113728694"/>
    <m/>
    <m/>
    <m/>
    <x v="0"/>
    <d v="2022-11-13T00:00:00"/>
    <m/>
    <m/>
    <m/>
    <m/>
    <m/>
    <m/>
    <m/>
    <m/>
    <d v="2022-11-13T00:00:00"/>
    <x v="11"/>
  </r>
  <r>
    <s v="Jaime Angel Botero"/>
    <d v="2022-11-16T00:00:00"/>
    <d v="2022-11-16T00:00:00"/>
    <n v="46"/>
    <s v="JAB-34"/>
    <x v="0"/>
    <n v="6989"/>
    <x v="220"/>
    <n v="60454850"/>
    <n v="15"/>
    <n v="4502448162"/>
    <n v="5084567345"/>
    <n v="5113727019"/>
    <m/>
    <s v="CON RETEN"/>
    <m/>
    <x v="0"/>
    <d v="2022-11-13T00:00:00"/>
    <m/>
    <m/>
    <m/>
    <m/>
    <m/>
    <m/>
    <m/>
    <m/>
    <d v="2022-11-13T00:00:00"/>
    <x v="11"/>
  </r>
  <r>
    <s v="Jaime Angel Botero"/>
    <d v="2022-11-16T00:00:00"/>
    <d v="2022-01-16T00:00:00"/>
    <n v="46"/>
    <s v="NC210"/>
    <x v="0"/>
    <n v="6989"/>
    <x v="13"/>
    <n v="-349450"/>
    <n v="0"/>
    <n v="4502448162"/>
    <n v="5084567345"/>
    <n v="5113727022"/>
    <m/>
    <m/>
    <m/>
    <x v="0"/>
    <d v="2022-11-13T00:00:00"/>
    <m/>
    <m/>
    <m/>
    <m/>
    <m/>
    <m/>
    <m/>
    <m/>
    <d v="2022-11-13T00:00:00"/>
    <x v="11"/>
  </r>
  <r>
    <s v="Pedro Alirio Barajas Gomez"/>
    <d v="2022-11-16T00:00:00"/>
    <d v="2022-11-16T00:00:00"/>
    <n v="46"/>
    <s v="FE-363"/>
    <x v="0"/>
    <n v="6092"/>
    <x v="227"/>
    <n v="53000400"/>
    <n v="14"/>
    <n v="4502448164"/>
    <n v="5084566655"/>
    <n v="5113728719"/>
    <m/>
    <s v="CON RETEN"/>
    <m/>
    <x v="0"/>
    <d v="2022-11-13T00:00:00"/>
    <m/>
    <m/>
    <m/>
    <m/>
    <m/>
    <m/>
    <m/>
    <m/>
    <d v="2022-11-13T00:00:00"/>
    <x v="11"/>
  </r>
  <r>
    <s v="Pedro Alirio Barajas Gomez"/>
    <d v="2022-11-16T00:00:00"/>
    <d v="2022-11-16T00:00:00"/>
    <n v="46"/>
    <s v="NC279"/>
    <x v="0"/>
    <n v="6092"/>
    <x v="11"/>
    <n v="-913800"/>
    <n v="0"/>
    <n v="4502448164"/>
    <n v="5084566655"/>
    <n v="5113728721"/>
    <m/>
    <m/>
    <m/>
    <x v="0"/>
    <d v="2022-11-13T00:00:00"/>
    <m/>
    <m/>
    <m/>
    <m/>
    <m/>
    <m/>
    <m/>
    <m/>
    <d v="2022-11-13T00:00:00"/>
    <x v="11"/>
  </r>
  <r>
    <s v="Fernando Arevalo Reyes"/>
    <d v="2022-11-13T00:00:00"/>
    <m/>
    <n v="46"/>
    <s v="FVE-183"/>
    <x v="0"/>
    <n v="7058"/>
    <x v="227"/>
    <n v="61404600"/>
    <n v="15"/>
    <n v="4502448165"/>
    <n v="5084567346"/>
    <n v="5113732822"/>
    <m/>
    <s v="TIENE BL"/>
    <m/>
    <x v="0"/>
    <d v="2022-11-13T00:00:00"/>
    <m/>
    <m/>
    <m/>
    <m/>
    <m/>
    <m/>
    <m/>
    <m/>
    <d v="2022-11-13T00:00:00"/>
    <x v="11"/>
  </r>
  <r>
    <s v="Agropecuaria el Potro Azul S.A.S"/>
    <d v="2022-11-16T00:00:00"/>
    <d v="2022-11-16T00:00:00"/>
    <n v="46"/>
    <s v="PA8"/>
    <x v="0"/>
    <n v="6480"/>
    <x v="227"/>
    <n v="56376000"/>
    <n v="14"/>
    <n v="4502448168"/>
    <n v="5084577883"/>
    <n v="5113728890"/>
    <m/>
    <s v="CON RETEN"/>
    <m/>
    <x v="0"/>
    <d v="2022-11-14T00:00:00"/>
    <m/>
    <m/>
    <m/>
    <m/>
    <m/>
    <m/>
    <m/>
    <m/>
    <d v="2022-11-14T00:00:00"/>
    <x v="11"/>
  </r>
  <r>
    <s v="Mauricio De Jesús Bernal Jaramillo"/>
    <d v="2022-11-17T00:00:00"/>
    <m/>
    <n v="46"/>
    <s v="FE-217"/>
    <x v="0"/>
    <n v="12624"/>
    <x v="213"/>
    <n v="107304000"/>
    <n v="28"/>
    <n v="4502452142"/>
    <n v="5084603755"/>
    <n v="5113731552"/>
    <m/>
    <s v="EJ*2 1623900*2"/>
    <s v="CON RETEN"/>
    <x v="0"/>
    <d v="2022-11-15T00:00:00"/>
    <n v="4902385122"/>
    <n v="3247800"/>
    <s v="FEMD-5733*2"/>
    <n v="5113728545"/>
    <m/>
    <m/>
    <m/>
    <m/>
    <d v="2022-11-15T00:00:00"/>
    <x v="11"/>
  </r>
  <r>
    <s v="Mauricio De Jesús Bernal Jaramillo"/>
    <d v="2022-11-17T00:00:00"/>
    <m/>
    <n v="46"/>
    <s v="FE-218"/>
    <x v="0"/>
    <n v="12624"/>
    <x v="584"/>
    <n v="302976"/>
    <n v="0"/>
    <n v="4502452142"/>
    <n v="5084603755"/>
    <n v="5113731555"/>
    <m/>
    <m/>
    <m/>
    <x v="0"/>
    <d v="2022-11-15T00:00:00"/>
    <n v="4902385122"/>
    <n v="3247800"/>
    <s v="FEMD-5733*2"/>
    <n v="5113728545"/>
    <m/>
    <m/>
    <m/>
    <m/>
    <d v="2022-11-15T00:00:00"/>
    <x v="11"/>
  </r>
  <r>
    <s v="Luis Fernando Rojas Prada"/>
    <d v="2022-11-22T00:00:00"/>
    <d v="2022-11-22T00:00:00"/>
    <n v="46"/>
    <s v="FELC -1109"/>
    <x v="0"/>
    <n v="13956"/>
    <x v="175"/>
    <n v="114439200"/>
    <n v="28"/>
    <n v="4502452143"/>
    <n v="5084603756"/>
    <n v="5113742674"/>
    <s v="TIENE BL"/>
    <s v="EJ*2 1980900*2"/>
    <m/>
    <x v="0"/>
    <d v="2022-11-15T00:00:00"/>
    <n v="4902385124"/>
    <n v="3961800"/>
    <s v="FEMD-5734"/>
    <n v="5113728683"/>
    <m/>
    <m/>
    <m/>
    <m/>
    <d v="2022-11-15T00:00:00"/>
    <x v="11"/>
  </r>
  <r>
    <s v="Gentil Antonio Osorio Aguilar"/>
    <d v="2022-11-17T00:00:00"/>
    <d v="2022-11-18T00:00:00"/>
    <n v="46"/>
    <s v="FEG-7"/>
    <x v="0"/>
    <n v="22184"/>
    <x v="219"/>
    <n v="194110000"/>
    <n v="45"/>
    <n v="4502448169"/>
    <n v="5084602616"/>
    <n v="5113732819"/>
    <m/>
    <s v="TIENE BL"/>
    <m/>
    <x v="0"/>
    <d v="2022-11-15T00:00:00"/>
    <m/>
    <m/>
    <m/>
    <m/>
    <m/>
    <m/>
    <m/>
    <m/>
    <d v="2022-11-15T00:00:00"/>
    <x v="11"/>
  </r>
  <r>
    <s v="Gentil Antonio Osorio Aguilar"/>
    <d v="2022-11-17T00:00:00"/>
    <d v="2022-11-18T00:00:00"/>
    <n v="46"/>
    <s v="FEG-8"/>
    <x v="0"/>
    <n v="22184"/>
    <x v="13"/>
    <n v="1109200"/>
    <n v="0"/>
    <n v="4502448169"/>
    <n v="5084602616"/>
    <n v="5113732820"/>
    <m/>
    <m/>
    <m/>
    <x v="0"/>
    <d v="2022-11-15T00:00:00"/>
    <m/>
    <m/>
    <m/>
    <m/>
    <m/>
    <m/>
    <m/>
    <m/>
    <d v="2022-11-15T00:00:00"/>
    <x v="11"/>
  </r>
  <r>
    <s v="Luis Alfonso Silva Barco"/>
    <d v="2022-11-17T00:00:00"/>
    <d v="2022-11-18T00:00:00"/>
    <n v="46"/>
    <s v="FE-13"/>
    <x v="0"/>
    <n v="6279"/>
    <x v="227"/>
    <n v="54627300"/>
    <n v="15"/>
    <n v="4502448170"/>
    <n v="5084604403"/>
    <n v="5113733522"/>
    <m/>
    <s v="CON RETEN"/>
    <m/>
    <x v="0"/>
    <d v="2022-11-15T00:00:00"/>
    <m/>
    <m/>
    <m/>
    <m/>
    <m/>
    <m/>
    <m/>
    <m/>
    <d v="2022-11-15T00:00:00"/>
    <x v="11"/>
  </r>
  <r>
    <s v="Luis Alfonso Silva Barco"/>
    <d v="2022-11-18T00:00:00"/>
    <d v="2022-11-18T00:00:00"/>
    <n v="46"/>
    <s v="NCR1"/>
    <x v="0"/>
    <n v="6279"/>
    <x v="671"/>
    <n v="-1098259.8899999992"/>
    <n v="0"/>
    <n v="4502448170"/>
    <n v="5084604403"/>
    <n v="5113733526"/>
    <m/>
    <m/>
    <m/>
    <x v="0"/>
    <d v="2022-11-15T00:00:00"/>
    <m/>
    <m/>
    <m/>
    <m/>
    <m/>
    <m/>
    <m/>
    <m/>
    <d v="2022-11-15T00:00:00"/>
    <x v="11"/>
  </r>
  <r>
    <s v="Ayura S.A.S"/>
    <d v="2022-11-15T00:00:00"/>
    <d v="2022-11-21T00:00:00"/>
    <n v="46"/>
    <s v="GTE2850"/>
    <x v="0"/>
    <n v="7416"/>
    <x v="175"/>
    <n v="60811200"/>
    <n v="14"/>
    <n v="4502452145"/>
    <n v="5084603820"/>
    <n v="5113738866"/>
    <s v="CON RETEN"/>
    <s v="EJ*1 2979200"/>
    <m/>
    <x v="0"/>
    <d v="2022-11-15T00:00:00"/>
    <n v="4902385125"/>
    <n v="5958400"/>
    <s v="FEMD-5736"/>
    <n v="5113728677"/>
    <m/>
    <m/>
    <m/>
    <m/>
    <d v="2022-11-15T00:00:00"/>
    <x v="11"/>
  </r>
  <r>
    <s v="Jorge Armando Ortega Trigos"/>
    <d v="2022-11-19T00:00:00"/>
    <m/>
    <n v="46"/>
    <s v="FVE-37"/>
    <x v="0"/>
    <n v="13638"/>
    <x v="219"/>
    <n v="119332500"/>
    <n v="30"/>
    <n v="4502448171"/>
    <n v="5084604405"/>
    <n v="5113742364"/>
    <m/>
    <s v="TIENE BL"/>
    <m/>
    <x v="0"/>
    <d v="2022-11-15T00:00:00"/>
    <m/>
    <m/>
    <m/>
    <m/>
    <m/>
    <m/>
    <m/>
    <m/>
    <d v="2022-11-15T00:00:00"/>
    <x v="11"/>
  </r>
  <r>
    <s v="Jorge Armando Ortega Trigos"/>
    <d v="2022-11-19T00:00:00"/>
    <m/>
    <n v="46"/>
    <s v="NCV10"/>
    <x v="0"/>
    <n v="13638"/>
    <x v="2"/>
    <n v="-1363800"/>
    <n v="0"/>
    <n v="4502448171"/>
    <n v="5084604405"/>
    <n v="5113742365"/>
    <m/>
    <m/>
    <m/>
    <x v="0"/>
    <d v="2022-11-15T00:00:00"/>
    <m/>
    <m/>
    <m/>
    <m/>
    <m/>
    <m/>
    <m/>
    <m/>
    <d v="2022-11-15T00:00:00"/>
    <x v="11"/>
  </r>
  <r>
    <s v="Agropecuaria el Potro Azul S.A.S"/>
    <d v="2022-11-25T00:00:00"/>
    <d v="2022-11-25T00:00:00"/>
    <n v="47"/>
    <s v="PA9"/>
    <x v="0"/>
    <n v="6177"/>
    <x v="219"/>
    <n v="54048750"/>
    <n v="14"/>
    <n v="4502452056"/>
    <n v="5084667131"/>
    <n v="5113755524"/>
    <m/>
    <s v="CON RETEN"/>
    <m/>
    <x v="0"/>
    <d v="2022-11-17T00:00:00"/>
    <m/>
    <m/>
    <m/>
    <m/>
    <m/>
    <m/>
    <m/>
    <m/>
    <d v="2022-11-17T00:00:00"/>
    <x v="11"/>
  </r>
  <r>
    <s v="Andres Felipe Mantilla Acosta"/>
    <d v="2022-11-21T00:00:00"/>
    <d v="2022-11-22T00:00:00"/>
    <n v="47"/>
    <s v="FE55"/>
    <x v="0"/>
    <n v="7268"/>
    <x v="219"/>
    <n v="63595000"/>
    <n v="15"/>
    <n v="4502452057"/>
    <n v="5084667655"/>
    <n v="5113742671"/>
    <m/>
    <s v="TIENE BL"/>
    <m/>
    <x v="0"/>
    <d v="2022-11-17T00:00:00"/>
    <m/>
    <m/>
    <m/>
    <m/>
    <m/>
    <m/>
    <m/>
    <m/>
    <d v="2022-11-17T00:00:00"/>
    <x v="11"/>
  </r>
  <r>
    <s v="Maria Cecilia Gomez Urrea"/>
    <d v="2022-11-22T00:00:00"/>
    <d v="2022-11-22T00:00:00"/>
    <n v="47"/>
    <s v="FE-463"/>
    <x v="0"/>
    <n v="12549.5"/>
    <x v="244"/>
    <n v="110435600"/>
    <n v="28"/>
    <n v="4502452058"/>
    <n v="5084667132"/>
    <n v="5113751097"/>
    <m/>
    <s v="TIENE BL"/>
    <m/>
    <x v="0"/>
    <d v="2022-11-17T00:00:00"/>
    <n v="15"/>
    <d v="2022-12-02T00:00:00"/>
    <m/>
    <m/>
    <m/>
    <m/>
    <m/>
    <m/>
    <d v="2022-11-17T00:00:00"/>
    <x v="11"/>
  </r>
  <r>
    <s v="Multicarnicos S.A"/>
    <d v="2022-11-17T00:00:00"/>
    <d v="2022-11-22T00:00:00"/>
    <n v="47"/>
    <s v="MUL-429"/>
    <x v="0"/>
    <n v="12666"/>
    <x v="283"/>
    <n v="112094100"/>
    <n v="28"/>
    <n v="4502452060"/>
    <n v="5084667133"/>
    <n v="5113739324"/>
    <m/>
    <s v="TIENE BL"/>
    <m/>
    <x v="0"/>
    <d v="2022-11-17T00:00:00"/>
    <m/>
    <m/>
    <m/>
    <m/>
    <m/>
    <m/>
    <m/>
    <m/>
    <d v="2022-11-17T00:00:00"/>
    <x v="11"/>
  </r>
  <r>
    <s v="Multicarnicos S.A"/>
    <d v="2022-11-17T00:00:00"/>
    <d v="2022-11-22T00:00:00"/>
    <n v="47"/>
    <s v="NC53"/>
    <x v="0"/>
    <n v="12666"/>
    <x v="672"/>
    <n v="-148572.17999999446"/>
    <n v="0"/>
    <n v="4502452060"/>
    <n v="5084667133"/>
    <n v="5113739325"/>
    <m/>
    <m/>
    <m/>
    <x v="0"/>
    <d v="2022-11-17T00:00:00"/>
    <m/>
    <m/>
    <m/>
    <m/>
    <m/>
    <m/>
    <m/>
    <m/>
    <d v="2022-11-17T00:00:00"/>
    <x v="11"/>
  </r>
  <r>
    <s v="Sociedad Comercializadora Ganadera"/>
    <d v="2022-11-22T00:00:00"/>
    <d v="2022-11-22T00:00:00"/>
    <n v="47"/>
    <s v="FEDV510"/>
    <x v="0"/>
    <n v="25717.5"/>
    <x v="278"/>
    <n v="236601000"/>
    <n v="60"/>
    <n v="4502452061"/>
    <n v="5084667134"/>
    <n v="5113742888"/>
    <m/>
    <s v="TIENE BL"/>
    <m/>
    <x v="0"/>
    <d v="2022-11-17T00:00:00"/>
    <m/>
    <m/>
    <m/>
    <m/>
    <m/>
    <m/>
    <m/>
    <m/>
    <d v="2022-11-17T00:00:00"/>
    <x v="11"/>
  </r>
  <r>
    <s v="Sociedad Comercializadora Ganadera"/>
    <d v="2022-11-22T00:00:00"/>
    <d v="2022-11-22T00:00:00"/>
    <n v="47"/>
    <s v="NC261"/>
    <x v="0"/>
    <n v="25717.5"/>
    <x v="673"/>
    <n v="-803157.52499998873"/>
    <n v="0"/>
    <n v="4502452061"/>
    <n v="5084667134"/>
    <n v="5113742890"/>
    <m/>
    <m/>
    <m/>
    <x v="0"/>
    <d v="2022-11-17T00:00:00"/>
    <m/>
    <m/>
    <m/>
    <m/>
    <m/>
    <m/>
    <m/>
    <m/>
    <d v="2022-11-17T00:00:00"/>
    <x v="11"/>
  </r>
  <r>
    <s v="Agropecuaria Aldana S.A.S"/>
    <d v="2022-11-17T00:00:00"/>
    <m/>
    <n v="47"/>
    <s v="FE-17"/>
    <x v="0"/>
    <n v="12140.5"/>
    <x v="219"/>
    <n v="106229375"/>
    <n v="28"/>
    <n v="4502452062"/>
    <n v="5084667135"/>
    <n v="5113755525"/>
    <m/>
    <s v="CON RETEN "/>
    <m/>
    <x v="0"/>
    <d v="2022-11-17T00:00:00"/>
    <m/>
    <m/>
    <m/>
    <m/>
    <m/>
    <m/>
    <m/>
    <m/>
    <d v="2022-11-17T00:00:00"/>
    <x v="11"/>
  </r>
  <r>
    <s v="Agropecuaria Aldana S.A.S"/>
    <d v="2022-11-17T00:00:00"/>
    <d v="2022-11-25T00:00:00"/>
    <n v="47"/>
    <s v="NC22"/>
    <x v="0"/>
    <n v="12140.5"/>
    <x v="13"/>
    <n v="-607025"/>
    <n v="0"/>
    <n v="4502452062"/>
    <n v="5084667135"/>
    <n v="5113755526"/>
    <m/>
    <m/>
    <m/>
    <x v="0"/>
    <d v="2022-11-17T00:00:00"/>
    <m/>
    <m/>
    <m/>
    <m/>
    <m/>
    <m/>
    <m/>
    <m/>
    <d v="2022-11-17T00:00:00"/>
    <x v="11"/>
  </r>
  <r>
    <s v="Sociedad Comercializadora Ganadera"/>
    <d v="2022-11-21T00:00:00"/>
    <d v="2022-11-21T00:00:00"/>
    <n v="47"/>
    <s v="FEDV508"/>
    <x v="4"/>
    <n v="20818"/>
    <x v="278"/>
    <n v="191525600"/>
    <n v="42"/>
    <n v="4502454640"/>
    <n v="5084676585"/>
    <n v="5113737929"/>
    <m/>
    <s v="TIENE BL"/>
    <m/>
    <x v="7"/>
    <d v="2022-11-17T00:00:00"/>
    <m/>
    <m/>
    <m/>
    <m/>
    <m/>
    <m/>
    <m/>
    <m/>
    <d v="2022-11-17T00:00:00"/>
    <x v="11"/>
  </r>
  <r>
    <s v="Inversiones y Negocios V&amp;V S.A.S"/>
    <d v="2022-11-18T00:00:00"/>
    <d v="2022-11-22T00:00:00"/>
    <n v="47"/>
    <s v="FE-1761"/>
    <x v="0"/>
    <n v="6510.5"/>
    <x v="319"/>
    <n v="59571075"/>
    <n v="14"/>
    <n v="4502452063"/>
    <n v="5084667136"/>
    <n v="5113742667"/>
    <m/>
    <s v="CON RETEN"/>
    <m/>
    <x v="0"/>
    <d v="2022-11-18T00:00:00"/>
    <m/>
    <m/>
    <m/>
    <m/>
    <m/>
    <m/>
    <m/>
    <m/>
    <d v="2022-11-18T00:00:00"/>
    <x v="11"/>
  </r>
  <r>
    <s v="Inversiones y Negocios V&amp;V S.A.S"/>
    <d v="2022-11-22T00:00:00"/>
    <d v="2022-11-22T00:00:00"/>
    <n v="47"/>
    <s v="NC13063"/>
    <x v="0"/>
    <n v="6510.5"/>
    <x v="586"/>
    <n v="-169273"/>
    <n v="0"/>
    <n v="4502452063"/>
    <n v="5084667136"/>
    <n v="5113742668"/>
    <m/>
    <m/>
    <m/>
    <x v="0"/>
    <d v="2022-11-18T00:00:00"/>
    <m/>
    <m/>
    <m/>
    <m/>
    <m/>
    <m/>
    <m/>
    <m/>
    <d v="2022-11-18T00:00:00"/>
    <x v="11"/>
  </r>
  <r>
    <s v="Lina Maria Pelaez Gomez"/>
    <d v="2022-11-18T00:00:00"/>
    <d v="2022-11-21T00:00:00"/>
    <n v="47"/>
    <s v="LP-123"/>
    <x v="0"/>
    <n v="13732.5"/>
    <x v="319"/>
    <n v="125652375"/>
    <n v="28"/>
    <n v="4502452064"/>
    <n v="5084667137"/>
    <n v="5113739839"/>
    <m/>
    <s v="TIENE BL"/>
    <m/>
    <x v="0"/>
    <d v="2022-11-18T00:00:00"/>
    <m/>
    <m/>
    <m/>
    <m/>
    <m/>
    <m/>
    <m/>
    <m/>
    <d v="2022-11-18T00:00:00"/>
    <x v="11"/>
  </r>
  <r>
    <s v="Lina Maria Pelaez Gomez"/>
    <d v="2022-11-18T00:00:00"/>
    <d v="2022-11-21T00:00:00"/>
    <n v="47"/>
    <s v="NC92"/>
    <x v="0"/>
    <n v="13732.5"/>
    <x v="11"/>
    <n v="-2059875"/>
    <n v="0"/>
    <n v="4502452064"/>
    <n v="5084667137"/>
    <n v="5113739842"/>
    <m/>
    <m/>
    <m/>
    <x v="0"/>
    <d v="2022-11-18T00:00:00"/>
    <m/>
    <m/>
    <m/>
    <m/>
    <m/>
    <m/>
    <m/>
    <m/>
    <d v="2022-11-18T00:00:00"/>
    <x v="11"/>
  </r>
  <r>
    <s v="Bioagrarius S.A.S."/>
    <d v="2022-11-18T00:00:00"/>
    <d v="2022-11-23T00:00:00"/>
    <n v="47"/>
    <s v="FE-210"/>
    <x v="0"/>
    <n v="7852"/>
    <x v="219"/>
    <n v="68705000"/>
    <n v="15"/>
    <n v="4502452065"/>
    <n v="5084667656"/>
    <n v="5113767769"/>
    <m/>
    <s v="TIENE BL"/>
    <s v="in265287 - SR2993041"/>
    <x v="0"/>
    <d v="2022-11-18T00:00:00"/>
    <m/>
    <m/>
    <m/>
    <m/>
    <m/>
    <m/>
    <m/>
    <m/>
    <d v="2022-11-18T00:00:00"/>
    <x v="11"/>
  </r>
  <r>
    <s v="David Martinez Jaramillo"/>
    <d v="2022-11-17T00:00:00"/>
    <d v="2022-11-21T00:00:00"/>
    <n v="47"/>
    <s v="DM305"/>
    <x v="0"/>
    <n v="6880.5"/>
    <x v="319"/>
    <n v="62956575"/>
    <n v="15"/>
    <n v="4502452066"/>
    <n v="5084667488"/>
    <n v="5113740815"/>
    <m/>
    <s v="TIENE BL"/>
    <m/>
    <x v="0"/>
    <d v="2022-11-18T00:00:00"/>
    <m/>
    <m/>
    <m/>
    <m/>
    <m/>
    <m/>
    <m/>
    <m/>
    <d v="2022-11-18T00:00:00"/>
    <x v="11"/>
  </r>
  <r>
    <s v="David Martinez Jaramillo"/>
    <d v="2022-11-21T00:00:00"/>
    <d v="2022-11-21T00:00:00"/>
    <n v="47"/>
    <s v="NC93"/>
    <x v="0"/>
    <n v="6880.5"/>
    <x v="13"/>
    <n v="-344025"/>
    <n v="0"/>
    <n v="4502452066"/>
    <n v="5084667488"/>
    <n v="5113740816"/>
    <m/>
    <m/>
    <m/>
    <x v="0"/>
    <d v="2022-11-18T00:00:00"/>
    <m/>
    <m/>
    <m/>
    <m/>
    <m/>
    <m/>
    <m/>
    <m/>
    <d v="2022-11-18T00:00:00"/>
    <x v="11"/>
  </r>
  <r>
    <s v="Jorge Ignacio Sanchez Restrepo"/>
    <d v="2022-11-18T00:00:00"/>
    <d v="2022-11-22T00:00:00"/>
    <n v="47"/>
    <s v="FEJS-47"/>
    <x v="0"/>
    <n v="7461"/>
    <x v="340"/>
    <n v="69014250"/>
    <n v="14"/>
    <n v="4502452067"/>
    <n v="5084667489"/>
    <n v="5113742688"/>
    <m/>
    <s v="CON RETEN"/>
    <m/>
    <x v="0"/>
    <d v="2022-11-18T00:00:00"/>
    <m/>
    <m/>
    <m/>
    <m/>
    <m/>
    <m/>
    <m/>
    <m/>
    <d v="2022-11-18T00:00:00"/>
    <x v="11"/>
  </r>
  <r>
    <s v="Jorge Ignacio Sanchez Restrepo"/>
    <d v="2022-11-18T00:00:00"/>
    <d v="2022-11-22T00:00:00"/>
    <n v="47"/>
    <s v="ND5"/>
    <x v="0"/>
    <n v="7461"/>
    <x v="584"/>
    <n v="179064"/>
    <n v="0"/>
    <n v="4502452067"/>
    <n v="5084667489"/>
    <n v="5113742690"/>
    <m/>
    <m/>
    <m/>
    <x v="0"/>
    <d v="2022-11-18T00:00:00"/>
    <m/>
    <m/>
    <m/>
    <m/>
    <m/>
    <m/>
    <m/>
    <m/>
    <d v="2022-11-18T00:00:00"/>
    <x v="11"/>
  </r>
  <r>
    <s v="Luis Fernando Rojas Prada"/>
    <d v="2022-11-21T00:00:00"/>
    <d v="2022-11-21T00:00:00"/>
    <n v="47"/>
    <s v="FELC-1107"/>
    <x v="4"/>
    <n v="69209"/>
    <x v="206"/>
    <n v="570974250"/>
    <n v="140"/>
    <n v="4502454772"/>
    <n v="5084677662"/>
    <n v="5113742676"/>
    <s v="TIENE BL"/>
    <s v="EJ*10 1959600*5 1980900*3 2180800*2"/>
    <m/>
    <x v="7"/>
    <d v="2022-11-18T00:00:00"/>
    <n v="4502454772"/>
    <n v="2010230"/>
    <s v="FEMD-5748*3"/>
    <n v="5113767980"/>
    <s v="FEMD-5749*2"/>
    <n v="5113768057"/>
    <m/>
    <m/>
    <d v="2022-11-18T00:00:00"/>
    <x v="11"/>
  </r>
  <r>
    <s v="Sociedad Comercializadora Ganadera"/>
    <d v="2022-11-21T00:00:00"/>
    <d v="2022-11-21T00:00:00"/>
    <n v="47"/>
    <s v="FEDV509"/>
    <x v="4"/>
    <n v="62879"/>
    <x v="674"/>
    <n v="578430208.89999998"/>
    <n v="136"/>
    <n v="4502454640"/>
    <n v="5084676585"/>
    <n v="5113737928"/>
    <m/>
    <s v="TIENE BL"/>
    <m/>
    <x v="7"/>
    <d v="2022-11-17T00:00:00"/>
    <m/>
    <m/>
    <m/>
    <m/>
    <m/>
    <m/>
    <m/>
    <m/>
    <d v="2022-11-17T00:00:00"/>
    <x v="11"/>
  </r>
  <r>
    <s v="Sociedad Comercializadora Ganadera"/>
    <d v="2022-11-22T00:00:00"/>
    <d v="2022-11-22T00:00:00"/>
    <n v="47"/>
    <s v="FEDV512"/>
    <x v="0"/>
    <n v="13597"/>
    <x v="278"/>
    <n v="125092400"/>
    <n v="30"/>
    <n v="4502452068"/>
    <n v="5084667493"/>
    <n v="5113744766"/>
    <m/>
    <s v="TIENE BL"/>
    <m/>
    <x v="0"/>
    <d v="2022-11-19T00:00:00"/>
    <m/>
    <m/>
    <m/>
    <m/>
    <m/>
    <m/>
    <m/>
    <m/>
    <d v="2022-11-19T00:00:00"/>
    <x v="11"/>
  </r>
  <r>
    <s v="Sociedad Comercializadora Ganadera"/>
    <d v="2022-11-23T00:00:00"/>
    <d v="2022-11-23T00:00:00"/>
    <n v="47"/>
    <s v="NC263"/>
    <x v="0"/>
    <n v="13597"/>
    <x v="675"/>
    <n v="-38207.569999993073"/>
    <n v="0"/>
    <n v="4502452068"/>
    <n v="5084667493"/>
    <n v="5113744797"/>
    <m/>
    <m/>
    <m/>
    <x v="0"/>
    <d v="2022-11-19T00:00:00"/>
    <m/>
    <m/>
    <m/>
    <m/>
    <m/>
    <m/>
    <m/>
    <m/>
    <d v="2022-11-19T00:00:00"/>
    <x v="11"/>
  </r>
  <r>
    <s v="Sociedad Comercializadora Ganadera"/>
    <d v="2022-11-22T00:00:00"/>
    <d v="2022-11-22T00:00:00"/>
    <n v="47"/>
    <s v="FEDV511"/>
    <x v="0"/>
    <n v="6286"/>
    <x v="278"/>
    <n v="57831200"/>
    <n v="15"/>
    <n v="4502452068"/>
    <n v="5084667493"/>
    <n v="5113744800"/>
    <m/>
    <s v="TIENE BL"/>
    <m/>
    <x v="0"/>
    <d v="2022-11-19T00:00:00"/>
    <m/>
    <m/>
    <m/>
    <m/>
    <m/>
    <m/>
    <m/>
    <m/>
    <d v="2022-11-19T00:00:00"/>
    <x v="11"/>
  </r>
  <r>
    <s v="Sociedad Comercializadora Ganadera"/>
    <d v="2022-11-23T00:00:00"/>
    <d v="2022-11-23T00:00:00"/>
    <n v="47"/>
    <s v="NC262"/>
    <x v="0"/>
    <n v="6286"/>
    <x v="676"/>
    <n v="-1376319.7000000046"/>
    <n v="0"/>
    <n v="4502452068"/>
    <n v="5084667493"/>
    <n v="5113744802"/>
    <m/>
    <m/>
    <m/>
    <x v="0"/>
    <d v="2022-11-19T00:00:00"/>
    <m/>
    <m/>
    <m/>
    <m/>
    <m/>
    <m/>
    <m/>
    <m/>
    <d v="2022-11-19T00:00:00"/>
    <x v="11"/>
  </r>
  <r>
    <s v="Sociedad Comercializadora Ganadera"/>
    <d v="2022-11-22T00:00:00"/>
    <d v="2022-11-22T00:00:00"/>
    <n v="47"/>
    <s v="FEDV513"/>
    <x v="0"/>
    <n v="7152"/>
    <x v="278"/>
    <n v="65798400"/>
    <n v="15"/>
    <n v="4502452068"/>
    <n v="5084667493"/>
    <n v="5113744804"/>
    <m/>
    <s v="TIENE BL"/>
    <m/>
    <x v="0"/>
    <d v="2022-11-19T00:00:00"/>
    <m/>
    <m/>
    <m/>
    <m/>
    <m/>
    <m/>
    <m/>
    <m/>
    <d v="2022-11-19T00:00:00"/>
    <x v="11"/>
  </r>
  <r>
    <s v="Sociedad Comercializadora Ganadera"/>
    <d v="2022-11-23T00:00:00"/>
    <d v="2022-11-23T00:00:00"/>
    <n v="47"/>
    <s v="NC264"/>
    <x v="0"/>
    <n v="7152"/>
    <x v="677"/>
    <n v="-457227.36000000208"/>
    <n v="0"/>
    <n v="4502452068"/>
    <n v="5084667493"/>
    <n v="5113744847"/>
    <m/>
    <m/>
    <m/>
    <x v="0"/>
    <d v="2022-11-19T00:00:00"/>
    <m/>
    <m/>
    <m/>
    <m/>
    <m/>
    <m/>
    <m/>
    <m/>
    <d v="2022-11-19T00:00:00"/>
    <x v="11"/>
  </r>
  <r>
    <s v="Adrian Alberto Alvarez Henao"/>
    <d v="2022-11-23T00:00:00"/>
    <m/>
    <n v="47"/>
    <s v="AAAH-79"/>
    <x v="0"/>
    <n v="11914.5"/>
    <x v="273"/>
    <n v="108421950"/>
    <n v="30"/>
    <n v="4502452070"/>
    <n v="5084667657"/>
    <n v="5113755287"/>
    <m/>
    <s v="TIENE BL"/>
    <m/>
    <x v="0"/>
    <d v="2022-11-19T00:00:00"/>
    <m/>
    <m/>
    <m/>
    <m/>
    <m/>
    <m/>
    <m/>
    <m/>
    <d v="2022-11-19T00:00:00"/>
    <x v="11"/>
  </r>
  <r>
    <s v="Adrian Alberto Alvarez Henao"/>
    <d v="2022-11-23T00:00:00"/>
    <m/>
    <n v="47"/>
    <s v="AD39"/>
    <x v="0"/>
    <n v="11914.5"/>
    <x v="678"/>
    <n v="-4765800"/>
    <n v="0"/>
    <n v="4502452070"/>
    <n v="5084667657"/>
    <n v="5113755288"/>
    <m/>
    <m/>
    <m/>
    <x v="0"/>
    <d v="2022-11-19T00:00:00"/>
    <m/>
    <m/>
    <m/>
    <m/>
    <m/>
    <m/>
    <m/>
    <m/>
    <d v="2022-11-19T00:00:00"/>
    <x v="11"/>
  </r>
  <r>
    <s v="David Martinez Jaramillo"/>
    <d v="2022-11-18T00:00:00"/>
    <d v="2022-11-21T00:00:00"/>
    <n v="47"/>
    <s v="DM306"/>
    <x v="0"/>
    <n v="30708.5"/>
    <x v="319"/>
    <n v="280982775"/>
    <n v="72"/>
    <n v="4502452072"/>
    <n v="5084667494"/>
    <n v="5113740937"/>
    <m/>
    <s v="TIENE BL"/>
    <m/>
    <x v="0"/>
    <d v="2022-11-19T00:00:00"/>
    <m/>
    <m/>
    <m/>
    <m/>
    <m/>
    <m/>
    <m/>
    <m/>
    <d v="2022-11-19T00:00:00"/>
    <x v="11"/>
  </r>
  <r>
    <s v="David Martinez Jaramillo"/>
    <d v="2022-11-21T00:00:00"/>
    <d v="2022-11-21T00:00:00"/>
    <n v="47"/>
    <s v="NC94"/>
    <x v="0"/>
    <n v="30708.5"/>
    <x v="679"/>
    <n v="-2035052.2950000134"/>
    <n v="0"/>
    <n v="4502452072"/>
    <n v="5084667494"/>
    <n v="5113740939"/>
    <m/>
    <m/>
    <m/>
    <x v="0"/>
    <d v="2022-11-19T00:00:00"/>
    <m/>
    <m/>
    <m/>
    <m/>
    <m/>
    <m/>
    <m/>
    <m/>
    <d v="2022-11-19T00:00:00"/>
    <x v="11"/>
  </r>
  <r>
    <s v="Guillermo Acevedo Plata"/>
    <d v="2022-11-20T00:00:00"/>
    <d v="2022-11-25T00:00:00"/>
    <n v="47"/>
    <s v="FVE-10"/>
    <x v="0"/>
    <n v="6540.5"/>
    <x v="219"/>
    <n v="57229375"/>
    <n v="15"/>
    <n v="4502452073"/>
    <n v="5084684090"/>
    <n v="5113752365"/>
    <m/>
    <s v="CON RETEN"/>
    <m/>
    <x v="0"/>
    <d v="2022-11-20T00:00:00"/>
    <m/>
    <m/>
    <m/>
    <m/>
    <m/>
    <m/>
    <m/>
    <m/>
    <d v="2022-11-20T00:00:00"/>
    <x v="11"/>
  </r>
  <r>
    <s v="Sociedad Comercializadora Ganadera"/>
    <d v="2022-11-22T00:00:00"/>
    <d v="2022-11-22T00:00:00"/>
    <n v="47"/>
    <s v="FEDV514"/>
    <x v="1"/>
    <n v="6763"/>
    <x v="278"/>
    <n v="62219600"/>
    <n v="15"/>
    <n v="4502452074"/>
    <n v="5084680802"/>
    <n v="5113744849"/>
    <m/>
    <s v="TIENE BL"/>
    <m/>
    <x v="0"/>
    <d v="2022-11-20T00:00:00"/>
    <m/>
    <m/>
    <m/>
    <m/>
    <m/>
    <m/>
    <m/>
    <m/>
    <d v="2022-11-20T00:00:00"/>
    <x v="11"/>
  </r>
  <r>
    <s v="Sociedad Comercializadora Ganadera"/>
    <d v="2022-11-23T00:00:00"/>
    <d v="2022-11-23T00:00:00"/>
    <n v="47"/>
    <s v="NC265"/>
    <x v="1"/>
    <n v="6763"/>
    <x v="680"/>
    <n v="-138438.60999999556"/>
    <n v="0"/>
    <n v="4502452074"/>
    <n v="5084680802"/>
    <n v="5113744853"/>
    <m/>
    <m/>
    <m/>
    <x v="0"/>
    <d v="2022-11-20T00:00:00"/>
    <m/>
    <m/>
    <m/>
    <m/>
    <m/>
    <m/>
    <m/>
    <m/>
    <d v="2022-11-20T00:00:00"/>
    <x v="11"/>
  </r>
  <r>
    <s v="Sociedad Comercializadora Ganadera"/>
    <d v="2022-11-22T00:00:00"/>
    <d v="2022-11-22T00:00:00"/>
    <n v="47"/>
    <s v="FEDV515"/>
    <x v="1"/>
    <n v="6916"/>
    <x v="278"/>
    <n v="63627200"/>
    <n v="15"/>
    <n v="4502452074"/>
    <n v="5084680802"/>
    <n v="5113744855"/>
    <m/>
    <s v="TIENE BL"/>
    <m/>
    <x v="0"/>
    <d v="2022-11-20T00:00:00"/>
    <m/>
    <m/>
    <m/>
    <m/>
    <m/>
    <m/>
    <m/>
    <m/>
    <d v="2022-11-20T00:00:00"/>
    <x v="11"/>
  </r>
  <r>
    <s v="Sociedad Comercializadora Ganadera"/>
    <d v="2022-11-23T00:00:00"/>
    <d v="2022-11-23T00:00:00"/>
    <n v="47"/>
    <s v="NC266"/>
    <x v="1"/>
    <n v="6916"/>
    <x v="681"/>
    <n v="-176081.35999999396"/>
    <n v="0"/>
    <n v="4502452074"/>
    <n v="5084680802"/>
    <n v="5113744868"/>
    <m/>
    <m/>
    <m/>
    <x v="0"/>
    <d v="2022-11-20T00:00:00"/>
    <m/>
    <m/>
    <m/>
    <m/>
    <m/>
    <m/>
    <m/>
    <m/>
    <d v="2022-11-20T00:00:00"/>
    <x v="11"/>
  </r>
  <r>
    <s v="Agropecuaria Tabaida S.A.S"/>
    <d v="2022-11-20T00:00:00"/>
    <d v="2022-11-23T00:00:00"/>
    <n v="47"/>
    <s v="MT-1672"/>
    <x v="2"/>
    <n v="39474"/>
    <x v="283"/>
    <n v="349344900"/>
    <n v="84"/>
    <n v="4502456760"/>
    <n v="5084719521"/>
    <n v="5113751321"/>
    <s v="TIENE BL"/>
    <m/>
    <m/>
    <x v="1"/>
    <d v="2022-11-20T00:00:00"/>
    <m/>
    <m/>
    <m/>
    <m/>
    <m/>
    <m/>
    <m/>
    <m/>
    <d v="2022-11-20T00:00:00"/>
    <x v="11"/>
  </r>
  <r>
    <s v="Agropecuaria Tabaida S.A.S"/>
    <d v="2022-11-20T00:00:00"/>
    <d v="2022-11-23T00:00:00"/>
    <n v="47"/>
    <n v="10"/>
    <x v="2"/>
    <n v="39474"/>
    <x v="584"/>
    <n v="947376"/>
    <n v="0"/>
    <n v="4502456760"/>
    <n v="5084719521"/>
    <n v="5113751323"/>
    <m/>
    <m/>
    <m/>
    <x v="1"/>
    <d v="2022-11-20T00:00:00"/>
    <m/>
    <m/>
    <m/>
    <m/>
    <m/>
    <m/>
    <m/>
    <m/>
    <d v="2022-11-20T00:00:00"/>
    <x v="11"/>
  </r>
  <r>
    <s v="Surtidora Agropecuaria De Colombia"/>
    <d v="2022-11-20T00:00:00"/>
    <d v="2022-11-24T00:00:00"/>
    <n v="47"/>
    <s v="FESA-63"/>
    <x v="2"/>
    <n v="39950"/>
    <x v="283"/>
    <n v="353557500"/>
    <n v="84"/>
    <n v="4502456771"/>
    <n v="5084719577"/>
    <n v="5113748761"/>
    <m/>
    <s v="TIENE BL"/>
    <m/>
    <x v="1"/>
    <d v="2022-11-20T00:00:00"/>
    <m/>
    <m/>
    <m/>
    <m/>
    <m/>
    <m/>
    <m/>
    <m/>
    <d v="2022-11-20T00:00:00"/>
    <x v="11"/>
  </r>
  <r>
    <s v="Sociedad Comercializadora Ganadera"/>
    <d v="2022-11-24T00:00:00"/>
    <d v="2022-11-24T00:00:00"/>
    <n v="47"/>
    <s v="FEDV516"/>
    <x v="0"/>
    <n v="21097.5"/>
    <x v="278"/>
    <n v="194097000"/>
    <n v="44"/>
    <n v="4502452075"/>
    <n v="5084695781"/>
    <n v="5113749102"/>
    <m/>
    <s v="TIENE BL"/>
    <m/>
    <x v="0"/>
    <d v="2022-11-21T00:00:00"/>
    <m/>
    <m/>
    <m/>
    <m/>
    <m/>
    <m/>
    <m/>
    <m/>
    <d v="2022-11-21T00:00:00"/>
    <x v="11"/>
  </r>
  <r>
    <s v="Sociedad Comercializadora Ganadera"/>
    <d v="2022-11-24T00:00:00"/>
    <d v="2022-11-24T00:00:00"/>
    <n v="47"/>
    <s v="NC267"/>
    <x v="0"/>
    <n v="21097.5"/>
    <x v="682"/>
    <n v="-779552.62500001537"/>
    <n v="0"/>
    <n v="4502452075"/>
    <n v="5084695781"/>
    <n v="5113749105"/>
    <m/>
    <m/>
    <m/>
    <x v="0"/>
    <d v="2022-11-21T00:00:00"/>
    <m/>
    <m/>
    <m/>
    <m/>
    <m/>
    <m/>
    <m/>
    <m/>
    <d v="2022-11-21T00:00:00"/>
    <x v="11"/>
  </r>
  <r>
    <s v="Sociedad Comercializadora Ganadera"/>
    <d v="2022-11-24T00:00:00"/>
    <d v="2022-11-24T00:00:00"/>
    <n v="47"/>
    <s v="FEDV517"/>
    <x v="0"/>
    <n v="14911"/>
    <x v="278"/>
    <n v="137181200"/>
    <n v="30"/>
    <n v="4502455488"/>
    <n v="5084715376"/>
    <n v="5113749106"/>
    <m/>
    <s v="TIENE BL"/>
    <m/>
    <x v="0"/>
    <d v="2022-11-21T00:00:00"/>
    <m/>
    <m/>
    <m/>
    <m/>
    <m/>
    <m/>
    <m/>
    <m/>
    <d v="2022-11-21T00:00:00"/>
    <x v="11"/>
  </r>
  <r>
    <s v="Rafael Francisco Delgado Serrano"/>
    <d v="2022-11-26T00:00:00"/>
    <m/>
    <n v="47"/>
    <s v="RFDS-194"/>
    <x v="0"/>
    <n v="6471.5"/>
    <x v="283"/>
    <n v="57272775"/>
    <n v="14"/>
    <n v="4502452076"/>
    <n v="5084695782"/>
    <n v="5113755598"/>
    <m/>
    <s v="CON RETEN"/>
    <m/>
    <x v="0"/>
    <d v="2022-11-21T00:00:00"/>
    <m/>
    <m/>
    <m/>
    <m/>
    <m/>
    <m/>
    <m/>
    <m/>
    <d v="2022-11-21T00:00:00"/>
    <x v="11"/>
  </r>
  <r>
    <s v="Rafael Francisco Delgado Serrano"/>
    <d v="2022-11-26T00:00:00"/>
    <m/>
    <n v="47"/>
    <s v="NCR33"/>
    <x v="0"/>
    <n v="6471.5"/>
    <x v="683"/>
    <n v="-39670.294999994818"/>
    <n v="0"/>
    <n v="4502452076"/>
    <n v="5084695782"/>
    <n v="5113755599"/>
    <m/>
    <m/>
    <m/>
    <x v="0"/>
    <d v="2022-11-21T00:00:00"/>
    <m/>
    <m/>
    <m/>
    <m/>
    <m/>
    <m/>
    <m/>
    <m/>
    <d v="2022-11-21T00:00:00"/>
    <x v="11"/>
  </r>
  <r>
    <s v="Angela Maria Restrepo Diaz"/>
    <d v="2022-11-21T00:00:00"/>
    <m/>
    <n v="47"/>
    <s v="AR-115"/>
    <x v="0"/>
    <n v="13486"/>
    <x v="220"/>
    <n v="116653900"/>
    <n v="28"/>
    <n v="4502455394"/>
    <n v="5084693642"/>
    <n v="5113743362"/>
    <s v="CON RETEN"/>
    <s v="NUMA 920000*2"/>
    <m/>
    <x v="0"/>
    <d v="2022-11-21T00:00:00"/>
    <n v="4902389075"/>
    <n v="1840000"/>
    <s v="MOVI-1981"/>
    <n v="5113739977"/>
    <m/>
    <m/>
    <m/>
    <m/>
    <d v="2022-11-21T00:00:00"/>
    <x v="11"/>
  </r>
  <r>
    <s v="Angela Maria Restrepo Diaz"/>
    <d v="2022-11-21T00:00:00"/>
    <m/>
    <n v="47"/>
    <s v="AR-115"/>
    <x v="1"/>
    <n v="26972"/>
    <x v="220"/>
    <n v="233307800"/>
    <n v="56"/>
    <n v="4502455394"/>
    <n v="5084693642"/>
    <n v="5113743362"/>
    <s v="CON RETEN"/>
    <s v="NUMA 920000*4"/>
    <m/>
    <x v="0"/>
    <d v="2022-11-21T00:00:00"/>
    <n v="4902389076"/>
    <n v="3680000"/>
    <s v="MOVI-1981"/>
    <n v="5113739977"/>
    <m/>
    <m/>
    <m/>
    <m/>
    <d v="2022-11-21T00:00:00"/>
    <x v="11"/>
  </r>
  <r>
    <s v="Agroindustria Ganadera Valle Del Cesar"/>
    <d v="2022-11-24T00:00:00"/>
    <m/>
    <n v="47"/>
    <s v="FE-57"/>
    <x v="0"/>
    <n v="6492"/>
    <x v="219"/>
    <n v="56805000"/>
    <n v="14"/>
    <n v="4502452077"/>
    <n v="5084714251"/>
    <n v="5113747815"/>
    <m/>
    <s v="CON RETEN"/>
    <m/>
    <x v="0"/>
    <d v="2022-11-22T00:00:00"/>
    <m/>
    <m/>
    <m/>
    <m/>
    <m/>
    <m/>
    <m/>
    <m/>
    <d v="2022-11-22T00:00:00"/>
    <x v="11"/>
  </r>
  <r>
    <s v="Miguel Antonio Carrascal Pacheco"/>
    <d v="2022-11-24T00:00:00"/>
    <d v="2022-11-25T00:00:00"/>
    <n v="47"/>
    <s v="MACP3"/>
    <x v="0"/>
    <n v="6299.5"/>
    <x v="244"/>
    <n v="55435600"/>
    <n v="14"/>
    <n v="4502452078"/>
    <n v="5084714253"/>
    <n v="5113755293"/>
    <m/>
    <s v="TIENE BL"/>
    <m/>
    <x v="0"/>
    <d v="2022-11-22T00:00:00"/>
    <m/>
    <m/>
    <m/>
    <m/>
    <m/>
    <m/>
    <m/>
    <m/>
    <d v="2022-11-22T00:00:00"/>
    <x v="11"/>
  </r>
  <r>
    <s v="Miguel Antonio Carrascal Pacheco"/>
    <d v="2022-11-24T00:00:00"/>
    <d v="2022-11-25T00:00:00"/>
    <n v="47"/>
    <s v="NCR47"/>
    <x v="0"/>
    <n v="6299.5"/>
    <x v="684"/>
    <n v="-112194.09499999679"/>
    <n v="0"/>
    <n v="4502452078"/>
    <n v="5084714253"/>
    <n v="5113755295"/>
    <m/>
    <m/>
    <m/>
    <x v="0"/>
    <d v="2022-11-22T00:00:00"/>
    <m/>
    <m/>
    <m/>
    <m/>
    <m/>
    <m/>
    <m/>
    <m/>
    <d v="2022-11-22T00:00:00"/>
    <x v="11"/>
  </r>
  <r>
    <s v="Maria Alicia Montaño Parra"/>
    <d v="2022-11-22T00:00:00"/>
    <m/>
    <n v="47"/>
    <s v="FE-32"/>
    <x v="0"/>
    <n v="6270"/>
    <x v="219"/>
    <n v="54862500"/>
    <n v="13"/>
    <n v="4502452079"/>
    <n v="5084714254"/>
    <n v="5113747716"/>
    <m/>
    <s v="CON RETEN"/>
    <m/>
    <x v="0"/>
    <d v="2022-11-22T00:00:00"/>
    <m/>
    <m/>
    <m/>
    <m/>
    <m/>
    <m/>
    <m/>
    <m/>
    <d v="2022-11-22T00:00:00"/>
    <x v="11"/>
  </r>
  <r>
    <s v="Maria Alicia Montaño Parra"/>
    <d v="2022-11-22T00:00:00"/>
    <m/>
    <n v="47"/>
    <s v="FE8"/>
    <x v="0"/>
    <n v="6270"/>
    <x v="685"/>
    <n v="-1143271.800000001"/>
    <n v="0"/>
    <n v="4502452079"/>
    <n v="5084714254"/>
    <n v="5113747807"/>
    <m/>
    <m/>
    <m/>
    <x v="0"/>
    <d v="2022-11-22T00:00:00"/>
    <m/>
    <m/>
    <m/>
    <m/>
    <m/>
    <m/>
    <m/>
    <m/>
    <d v="2022-11-22T00:00:00"/>
    <x v="11"/>
  </r>
  <r>
    <s v="Olger Fernando Rojas Angarita"/>
    <d v="2022-11-24T00:00:00"/>
    <d v="2022-11-24T00:00:00"/>
    <n v="47"/>
    <s v="OR-222"/>
    <x v="0"/>
    <n v="20059"/>
    <x v="244"/>
    <n v="176519200"/>
    <n v="42"/>
    <n v="4502452080"/>
    <n v="5084714255"/>
    <n v="5113748820"/>
    <m/>
    <s v="TIENE BL"/>
    <m/>
    <x v="0"/>
    <d v="2022-11-22T00:00:00"/>
    <m/>
    <m/>
    <m/>
    <m/>
    <m/>
    <m/>
    <m/>
    <m/>
    <d v="2022-11-22T00:00:00"/>
    <x v="11"/>
  </r>
  <r>
    <s v="Olger Fernando Rojas Angarita"/>
    <d v="2022-11-24T00:00:00"/>
    <d v="2022-11-24T00:00:00"/>
    <n v="47"/>
    <n v="19"/>
    <x v="0"/>
    <n v="20059"/>
    <x v="686"/>
    <n v="-1126714.0300000014"/>
    <n v="0"/>
    <n v="4502452080"/>
    <n v="5084714255"/>
    <n v="5113748823"/>
    <m/>
    <m/>
    <m/>
    <x v="0"/>
    <d v="2022-11-22T00:00:00"/>
    <m/>
    <m/>
    <m/>
    <m/>
    <m/>
    <m/>
    <m/>
    <m/>
    <d v="2022-11-22T00:00:00"/>
    <x v="11"/>
  </r>
  <r>
    <s v="Jorge Armando Ortega Trigos"/>
    <d v="2022-11-29T00:00:00"/>
    <m/>
    <n v="47"/>
    <s v="FVE38"/>
    <x v="0"/>
    <n v="6244"/>
    <x v="219"/>
    <n v="54635000"/>
    <n v="14"/>
    <n v="4502452799"/>
    <n v="5084714257"/>
    <n v="5113772300"/>
    <m/>
    <s v="TIENE BL"/>
    <m/>
    <x v="0"/>
    <d v="2022-11-22T00:00:00"/>
    <m/>
    <m/>
    <m/>
    <m/>
    <m/>
    <m/>
    <m/>
    <m/>
    <d v="2022-11-22T00:00:00"/>
    <x v="11"/>
  </r>
  <r>
    <s v="Jorge Armando Ortega Trigos"/>
    <d v="2022-11-29T00:00:00"/>
    <m/>
    <n v="47"/>
    <s v="NCV11"/>
    <x v="0"/>
    <n v="6244"/>
    <x v="687"/>
    <n v="-968569.28000000503"/>
    <n v="0"/>
    <n v="4502452799"/>
    <n v="5084714257"/>
    <n v="5113772305"/>
    <m/>
    <m/>
    <m/>
    <x v="0"/>
    <d v="2022-11-22T00:00:00"/>
    <m/>
    <m/>
    <m/>
    <m/>
    <m/>
    <m/>
    <m/>
    <m/>
    <d v="2022-11-22T00:00:00"/>
    <x v="11"/>
  </r>
  <r>
    <s v="David Martinez Jaramillo"/>
    <d v="2022-11-22T00:00:00"/>
    <d v="2022-11-25T00:00:00"/>
    <n v="47"/>
    <s v="DM-308"/>
    <x v="0"/>
    <n v="7610.5"/>
    <x v="319"/>
    <n v="69636075"/>
    <n v="15"/>
    <n v="4502452803"/>
    <n v="5084714278"/>
    <n v="5113750945"/>
    <m/>
    <s v="TIENE BL"/>
    <m/>
    <x v="0"/>
    <d v="2022-11-22T00:00:00"/>
    <m/>
    <m/>
    <m/>
    <m/>
    <m/>
    <m/>
    <m/>
    <m/>
    <d v="2022-11-22T00:00:00"/>
    <x v="11"/>
  </r>
  <r>
    <s v="David Martinez Jaramillo"/>
    <d v="2022-11-24T00:00:00"/>
    <d v="2022-11-25T00:00:00"/>
    <n v="47"/>
    <s v="NC95"/>
    <x v="0"/>
    <n v="7610.5"/>
    <x v="13"/>
    <n v="-380525"/>
    <n v="0"/>
    <n v="4502452803"/>
    <n v="5084714278"/>
    <n v="5113750946"/>
    <m/>
    <m/>
    <m/>
    <x v="0"/>
    <d v="2022-11-22T00:00:00"/>
    <m/>
    <m/>
    <m/>
    <m/>
    <m/>
    <m/>
    <m/>
    <m/>
    <d v="2022-11-22T00:00:00"/>
    <x v="11"/>
  </r>
  <r>
    <s v="Gonzalo Hoyos Pulido"/>
    <d v="2022-11-24T00:00:00"/>
    <d v="2022-11-24T00:00:00"/>
    <n v="47"/>
    <s v="FELE-71"/>
    <x v="1"/>
    <n v="5730.5"/>
    <x v="273"/>
    <n v="52147550"/>
    <n v="14"/>
    <n v="4502452081"/>
    <n v="5084714256"/>
    <n v="5113749215"/>
    <m/>
    <s v="CON RETEN "/>
    <m/>
    <x v="0"/>
    <d v="2022-11-22T00:00:00"/>
    <m/>
    <m/>
    <m/>
    <m/>
    <m/>
    <m/>
    <m/>
    <m/>
    <d v="2022-11-22T00:00:00"/>
    <x v="11"/>
  </r>
  <r>
    <s v="Gonzalo Hoyos Pulido"/>
    <d v="2022-11-24T00:00:00"/>
    <d v="2022-11-24T00:00:00"/>
    <n v="47"/>
    <s v="NC212"/>
    <x v="1"/>
    <n v="5730.5"/>
    <x v="688"/>
    <n v="-365548.59500000498"/>
    <n v="0"/>
    <n v="4502452081"/>
    <n v="5084714256"/>
    <n v="5113749287"/>
    <m/>
    <m/>
    <m/>
    <x v="0"/>
    <d v="2022-11-22T00:00:00"/>
    <m/>
    <m/>
    <m/>
    <m/>
    <m/>
    <m/>
    <m/>
    <m/>
    <d v="2022-11-22T00:00:00"/>
    <x v="11"/>
  </r>
  <r>
    <s v="Carlos Mario Duque Cadavid"/>
    <d v="2022-11-22T00:00:00"/>
    <m/>
    <n v="47"/>
    <s v="CD-141"/>
    <x v="2"/>
    <n v="26615"/>
    <x v="283"/>
    <n v="235542750"/>
    <n v="56"/>
    <n v="4502458441"/>
    <n v="5084753489"/>
    <n v="5113755601"/>
    <m/>
    <s v="CON RETEN"/>
    <m/>
    <x v="1"/>
    <d v="2022-11-22T00:00:00"/>
    <m/>
    <m/>
    <m/>
    <m/>
    <m/>
    <m/>
    <m/>
    <m/>
    <d v="2022-11-22T00:00:00"/>
    <x v="11"/>
  </r>
  <r>
    <s v="Inversiones Valle Del Canalete S.A.S"/>
    <d v="2022-11-22T00:00:00"/>
    <d v="2022-11-22T00:00:00"/>
    <n v="47"/>
    <s v="IVC-159"/>
    <x v="2"/>
    <n v="25252"/>
    <x v="283"/>
    <n v="223480200"/>
    <n v="56"/>
    <n v="4502458409"/>
    <n v="5084753158"/>
    <n v="5113755604"/>
    <m/>
    <m/>
    <s v="CON RETEN"/>
    <x v="1"/>
    <d v="2022-11-22T00:00:00"/>
    <m/>
    <m/>
    <m/>
    <m/>
    <m/>
    <m/>
    <m/>
    <m/>
    <d v="2022-11-22T00:00:00"/>
    <x v="11"/>
  </r>
  <r>
    <s v="Inversiones Valle Del Canalete S.A.S"/>
    <d v="2022-11-22T00:00:00"/>
    <d v="2022-11-22T00:00:00"/>
    <n v="47"/>
    <s v="IVC-160"/>
    <x v="2"/>
    <n v="25252"/>
    <x v="584"/>
    <n v="606048"/>
    <n v="0"/>
    <n v="4502458409"/>
    <n v="5084753158"/>
    <n v="5113755605"/>
    <m/>
    <m/>
    <m/>
    <x v="1"/>
    <d v="2022-11-22T00:00:00"/>
    <m/>
    <m/>
    <m/>
    <m/>
    <m/>
    <m/>
    <m/>
    <m/>
    <d v="2022-11-22T00:00:00"/>
    <x v="11"/>
  </r>
  <r>
    <s v="Maria Ines Saade Mejia"/>
    <d v="2022-11-25T00:00:00"/>
    <d v="2022-11-25T00:00:00"/>
    <n v="47"/>
    <s v="FE-172"/>
    <x v="2"/>
    <n v="6898"/>
    <x v="219"/>
    <n v="60357500"/>
    <n v="14"/>
    <n v="4502458373"/>
    <n v="5084752854"/>
    <n v="5113752362"/>
    <m/>
    <s v="CON RETEN"/>
    <m/>
    <x v="1"/>
    <d v="2022-11-22T00:00:00"/>
    <m/>
    <m/>
    <m/>
    <m/>
    <m/>
    <m/>
    <m/>
    <m/>
    <d v="2022-11-22T00:00:00"/>
    <x v="11"/>
  </r>
  <r>
    <s v="Maria Ines Saade Mejia"/>
    <d v="2022-11-22T00:00:00"/>
    <d v="2022-11-25T00:00:00"/>
    <n v="47"/>
    <s v="FE-173"/>
    <x v="2"/>
    <n v="6898"/>
    <x v="584"/>
    <n v="165552"/>
    <n v="0"/>
    <n v="4502458373"/>
    <n v="5084752854"/>
    <n v="5113761858"/>
    <m/>
    <m/>
    <m/>
    <x v="1"/>
    <d v="2022-11-22T00:00:00"/>
    <m/>
    <m/>
    <m/>
    <m/>
    <m/>
    <m/>
    <m/>
    <m/>
    <d v="2022-11-22T00:00:00"/>
    <x v="11"/>
  </r>
  <r>
    <s v="Agropecuaria Bajogrande S.A."/>
    <d v="2022-11-24T00:00:00"/>
    <m/>
    <n v="47"/>
    <s v="AB-764"/>
    <x v="2"/>
    <n v="20334"/>
    <x v="251"/>
    <n v="180972600"/>
    <n v="42"/>
    <n v="4502458380"/>
    <n v="5084753496"/>
    <n v="5113752264"/>
    <m/>
    <s v="CON RETEN"/>
    <m/>
    <x v="1"/>
    <d v="2022-11-22T00:00:00"/>
    <m/>
    <m/>
    <m/>
    <m/>
    <m/>
    <m/>
    <m/>
    <m/>
    <d v="2022-11-22T00:00:00"/>
    <x v="11"/>
  </r>
  <r>
    <s v="Agropecuaria Bajogrande S.A."/>
    <d v="2022-12-07T00:00:00"/>
    <m/>
    <n v="47"/>
    <s v="ND1"/>
    <x v="2"/>
    <n v="20334"/>
    <x v="584"/>
    <n v="488016"/>
    <n v="0"/>
    <n v="4502458380"/>
    <n v="5084753496"/>
    <n v="5113798208"/>
    <m/>
    <m/>
    <m/>
    <x v="1"/>
    <d v="2022-11-22T00:00:00"/>
    <m/>
    <m/>
    <m/>
    <m/>
    <m/>
    <m/>
    <m/>
    <m/>
    <d v="2022-11-22T00:00:00"/>
    <x v="11"/>
  </r>
  <r>
    <s v="Maria Cecilia Gomez Urrea"/>
    <d v="2022-11-24T00:00:00"/>
    <d v="2022-11-29T00:00:00"/>
    <n v="47"/>
    <s v="FE-464"/>
    <x v="2"/>
    <n v="6281"/>
    <x v="244"/>
    <n v="55272800"/>
    <n v="14"/>
    <n v="4502458501"/>
    <n v="5084754109"/>
    <n v="5113766598"/>
    <m/>
    <s v="TIENE BL"/>
    <m/>
    <x v="1"/>
    <d v="2022-11-22T00:00:00"/>
    <m/>
    <m/>
    <m/>
    <m/>
    <m/>
    <m/>
    <m/>
    <m/>
    <d v="2022-11-22T00:00:00"/>
    <x v="11"/>
  </r>
  <r>
    <s v="SUBAGAN S.A."/>
    <d v="2022-11-25T00:00:00"/>
    <d v="2022-11-29T00:00:00"/>
    <n v="47"/>
    <s v="MIC-743"/>
    <x v="2"/>
    <n v="13595"/>
    <x v="283"/>
    <n v="120315750"/>
    <n v="28"/>
    <n v="4502458503"/>
    <n v="5084754113"/>
    <n v="5113766846"/>
    <m/>
    <s v="TIENE BL"/>
    <m/>
    <x v="1"/>
    <d v="2022-11-22T00:00:00"/>
    <m/>
    <m/>
    <m/>
    <m/>
    <m/>
    <m/>
    <m/>
    <m/>
    <d v="2022-11-22T00:00:00"/>
    <x v="11"/>
  </r>
  <r>
    <s v="Sociedad Comercializadora Ganadera"/>
    <d v="2022-11-24T00:00:00"/>
    <d v="2022-11-24T00:00:00"/>
    <n v="47"/>
    <s v="FEDV518"/>
    <x v="3"/>
    <n v="8008"/>
    <x v="54"/>
    <n v="62462400"/>
    <n v="32"/>
    <n v="4502457597"/>
    <n v="5084739313"/>
    <n v="5113749208"/>
    <m/>
    <s v="TIENE BL"/>
    <m/>
    <x v="2"/>
    <d v="2022-11-23T00:00:00"/>
    <m/>
    <m/>
    <m/>
    <m/>
    <m/>
    <m/>
    <m/>
    <m/>
    <d v="2022-11-23T00:00:00"/>
    <x v="11"/>
  </r>
  <r>
    <s v="Hacienda El Retaque y CIA. LTDA"/>
    <d v="2022-11-22T00:00:00"/>
    <d v="2022-11-22T00:00:00"/>
    <n v="48"/>
    <s v="HRT-17"/>
    <x v="4"/>
    <n v="52513"/>
    <x v="220"/>
    <n v="454237450"/>
    <n v="112"/>
    <n v="4502456412"/>
    <n v="5084714026"/>
    <s v="5113743357 2"/>
    <s v="CON RETEN"/>
    <s v="NUMA 750000*8"/>
    <m/>
    <x v="7"/>
    <d v="2022-11-23T00:00:00"/>
    <n v="4502456412"/>
    <n v="6000000"/>
    <s v="MOVI-1985*6"/>
    <n v="5113751622"/>
    <s v="MOVI-1989*2"/>
    <n v="5113751619"/>
    <m/>
    <m/>
    <d v="2022-11-23T00:00:00"/>
    <x v="11"/>
  </r>
  <r>
    <s v="Hacienda El Retaque y CIA. LTDA"/>
    <d v="2022-11-22T00:00:00"/>
    <d v="2022-11-22T00:00:00"/>
    <n v="48"/>
    <s v="HRT-18"/>
    <x v="4"/>
    <n v="52513"/>
    <x v="584"/>
    <n v="1260312"/>
    <n v="0"/>
    <n v="4502456412"/>
    <n v="5084714026"/>
    <n v="5113743570"/>
    <m/>
    <m/>
    <m/>
    <x v="7"/>
    <d v="2022-11-23T00:00:00"/>
    <m/>
    <m/>
    <m/>
    <m/>
    <m/>
    <m/>
    <m/>
    <m/>
    <d v="2022-11-23T00:00:00"/>
    <x v="11"/>
  </r>
  <r>
    <s v="Angela Maria Restrepo Diaz"/>
    <d v="2022-11-21T00:00:00"/>
    <m/>
    <n v="48"/>
    <s v="AR-115"/>
    <x v="4"/>
    <n v="64944"/>
    <x v="220"/>
    <n v="561765600"/>
    <n v="140"/>
    <n v="4502456406"/>
    <n v="5084693642"/>
    <n v="5113743362"/>
    <s v="CON RETEN"/>
    <s v="NUMA 750000*10"/>
    <m/>
    <x v="7"/>
    <d v="2022-11-23T00:00:00"/>
    <n v="4502456406"/>
    <n v="7500000"/>
    <s v="MOVI-1984"/>
    <n v="5113747857"/>
    <m/>
    <m/>
    <m/>
    <m/>
    <d v="2022-11-23T00:00:00"/>
    <x v="11"/>
  </r>
  <r>
    <s v="Angela Maria Restrepo Diaz"/>
    <d v="2022-11-21T00:00:00"/>
    <m/>
    <n v="48"/>
    <s v="AR-116"/>
    <x v="4"/>
    <n v="105402"/>
    <x v="584"/>
    <n v="2529648"/>
    <n v="0"/>
    <n v="4502456406"/>
    <n v="5084713961"/>
    <n v="5113743572"/>
    <m/>
    <m/>
    <m/>
    <x v="7"/>
    <d v="2022-11-23T00:00:00"/>
    <m/>
    <m/>
    <m/>
    <m/>
    <m/>
    <m/>
    <m/>
    <m/>
    <d v="2022-11-23T00:00:00"/>
    <x v="11"/>
  </r>
  <r>
    <s v="Surtidora Agropecuaria De Colombia"/>
    <d v="2022-11-28T00:00:00"/>
    <d v="2022-11-28T00:00:00"/>
    <n v="48"/>
    <s v="FESA-64"/>
    <x v="0"/>
    <n v="24721"/>
    <x v="213"/>
    <n v="210128500"/>
    <n v="56"/>
    <n v="4502457606"/>
    <n v="5084739459"/>
    <n v="5113762378"/>
    <m/>
    <s v="EJ 1816100*3 1633100"/>
    <m/>
    <x v="0"/>
    <d v="2022-11-24T00:00:00"/>
    <n v="4902394205"/>
    <n v="7081400"/>
    <s v="FEMD-5804*3"/>
    <n v="5113768134"/>
    <s v="FEMD-5805"/>
    <n v="5113768244"/>
    <m/>
    <m/>
    <d v="2022-11-24T00:00:00"/>
    <x v="11"/>
  </r>
  <r>
    <s v="Edward Fabian Mejia Abril"/>
    <d v="2022-11-24T00:00:00"/>
    <m/>
    <n v="48"/>
    <s v="FELE-110"/>
    <x v="0"/>
    <n v="6164.5"/>
    <x v="219"/>
    <n v="53939375"/>
    <n v="15"/>
    <n v="4502456859"/>
    <n v="5084758363"/>
    <n v="5113776762"/>
    <m/>
    <s v="TIENE BL"/>
    <m/>
    <x v="0"/>
    <d v="2022-11-24T00:00:00"/>
    <m/>
    <m/>
    <m/>
    <m/>
    <m/>
    <m/>
    <m/>
    <m/>
    <d v="2022-11-24T00:00:00"/>
    <x v="11"/>
  </r>
  <r>
    <s v="Edward Fabian Mejia Abril"/>
    <d v="2022-11-28T00:00:00"/>
    <m/>
    <n v="48"/>
    <s v="NCRE10"/>
    <x v="0"/>
    <n v="6164.5"/>
    <x v="689"/>
    <n v="-157872.84500000358"/>
    <n v="0"/>
    <n v="4502456859"/>
    <n v="5084758363"/>
    <n v="5113776763"/>
    <m/>
    <m/>
    <m/>
    <x v="0"/>
    <d v="2022-11-24T00:00:00"/>
    <m/>
    <m/>
    <m/>
    <m/>
    <m/>
    <m/>
    <m/>
    <m/>
    <d v="2022-11-24T00:00:00"/>
    <x v="11"/>
  </r>
  <r>
    <s v="Andres Felipe Mantilla Acosta"/>
    <d v="2022-11-24T00:00:00"/>
    <d v="2022-11-30T00:00:00"/>
    <n v="48"/>
    <s v="FE57"/>
    <x v="0"/>
    <n v="6273"/>
    <x v="219"/>
    <n v="54888750"/>
    <n v="15"/>
    <n v="4502456860"/>
    <n v="5084758364"/>
    <n v="5113776366"/>
    <m/>
    <s v="TIENE BL"/>
    <m/>
    <x v="0"/>
    <d v="2022-11-24T00:00:00"/>
    <m/>
    <m/>
    <m/>
    <m/>
    <m/>
    <m/>
    <m/>
    <m/>
    <d v="2022-11-24T00:00:00"/>
    <x v="11"/>
  </r>
  <r>
    <s v="Andres Felipe Mantilla Acosta"/>
    <d v="2022-11-24T00:00:00"/>
    <d v="2022-11-30T00:00:00"/>
    <n v="48"/>
    <s v="NC17"/>
    <x v="0"/>
    <n v="6273"/>
    <x v="690"/>
    <n v="-428571.35999999818"/>
    <n v="0"/>
    <n v="4502456860"/>
    <n v="5084758364"/>
    <n v="5113776387"/>
    <m/>
    <m/>
    <m/>
    <x v="0"/>
    <d v="2022-11-24T00:00:00"/>
    <m/>
    <m/>
    <m/>
    <m/>
    <m/>
    <m/>
    <m/>
    <m/>
    <d v="2022-11-24T00:00:00"/>
    <x v="11"/>
  </r>
  <r>
    <s v="Lina Maria Pelaez Gomez"/>
    <d v="2022-11-25T00:00:00"/>
    <d v="2022-11-28T00:00:00"/>
    <n v="48"/>
    <s v="LP-124"/>
    <x v="0"/>
    <n v="12810.5"/>
    <x v="273"/>
    <n v="116575550"/>
    <n v="28"/>
    <n v="4502456861"/>
    <n v="5084757087"/>
    <n v="5113758660"/>
    <m/>
    <s v="TIENE BL"/>
    <m/>
    <x v="0"/>
    <d v="2022-11-24T00:00:00"/>
    <m/>
    <m/>
    <m/>
    <m/>
    <m/>
    <m/>
    <m/>
    <m/>
    <d v="2022-11-24T00:00:00"/>
    <x v="11"/>
  </r>
  <r>
    <s v="Lina Maria Pelaez Gomez"/>
    <d v="2022-11-25T00:00:00"/>
    <d v="2022-11-28T00:00:00"/>
    <n v="48"/>
    <s v="NC93"/>
    <x v="0"/>
    <n v="12810.5"/>
    <x v="13"/>
    <n v="-640525"/>
    <n v="0"/>
    <n v="4502456861"/>
    <n v="5084757087"/>
    <n v="5113758661"/>
    <m/>
    <s v="Hacer reten desde diciembre"/>
    <m/>
    <x v="0"/>
    <d v="2022-11-24T00:00:00"/>
    <m/>
    <m/>
    <m/>
    <m/>
    <m/>
    <m/>
    <m/>
    <m/>
    <d v="2022-11-24T00:00:00"/>
    <x v="11"/>
  </r>
  <r>
    <s v="David Martinez Jaramillo"/>
    <d v="2022-11-25T00:00:00"/>
    <d v="2022-11-28T00:00:00"/>
    <n v="48"/>
    <s v="DM312"/>
    <x v="0"/>
    <n v="13146"/>
    <x v="273"/>
    <n v="119628600"/>
    <n v="28"/>
    <n v="4502456863"/>
    <n v="5084757168"/>
    <n v="5113758496"/>
    <m/>
    <s v="TIENE BL"/>
    <m/>
    <x v="0"/>
    <d v="2022-11-24T00:00:00"/>
    <m/>
    <m/>
    <m/>
    <m/>
    <m/>
    <m/>
    <m/>
    <m/>
    <d v="2022-11-24T00:00:00"/>
    <x v="11"/>
  </r>
  <r>
    <s v="David Martinez Jaramillo"/>
    <d v="2022-11-25T00:00:00"/>
    <d v="2022-11-28T00:00:00"/>
    <n v="48"/>
    <s v="NC97"/>
    <x v="0"/>
    <n v="13146"/>
    <x v="13"/>
    <n v="-657300"/>
    <n v="0"/>
    <n v="4502456863"/>
    <n v="5084757168"/>
    <n v="5113758544"/>
    <m/>
    <m/>
    <m/>
    <x v="0"/>
    <d v="2022-11-24T00:00:00"/>
    <m/>
    <m/>
    <m/>
    <m/>
    <m/>
    <m/>
    <m/>
    <m/>
    <d v="2022-11-24T00:00:00"/>
    <x v="11"/>
  </r>
  <r>
    <s v="Agropecuaria Lobo Berbesi S.A.S"/>
    <d v="2022-11-28T00:00:00"/>
    <m/>
    <n v="48"/>
    <s v="LB-127"/>
    <x v="0"/>
    <n v="7538.5"/>
    <x v="219"/>
    <n v="65961875"/>
    <n v="15"/>
    <n v="4502456864"/>
    <n v="5084757169"/>
    <n v="5113776413"/>
    <m/>
    <s v="TIENE BL"/>
    <m/>
    <x v="0"/>
    <d v="2022-11-24T00:00:00"/>
    <m/>
    <m/>
    <m/>
    <m/>
    <m/>
    <m/>
    <m/>
    <m/>
    <d v="2022-11-24T00:00:00"/>
    <x v="11"/>
  </r>
  <r>
    <s v="Maria Cecilia Gomez Urrea"/>
    <d v="2022-11-29T00:00:00"/>
    <d v="2022-11-29T00:00:00"/>
    <n v="48"/>
    <s v="FE-465"/>
    <x v="0"/>
    <n v="12037.5"/>
    <x v="244"/>
    <n v="105930000"/>
    <n v="28"/>
    <n v="4502456865"/>
    <n v="5084757170"/>
    <n v="5113792121"/>
    <m/>
    <s v="TIENE BL"/>
    <m/>
    <x v="0"/>
    <d v="2022-11-24T00:00:00"/>
    <m/>
    <m/>
    <m/>
    <m/>
    <m/>
    <m/>
    <m/>
    <m/>
    <d v="2022-11-24T00:00:00"/>
    <x v="11"/>
  </r>
  <r>
    <s v="Maria Cecilia Gomez Urrea"/>
    <d v="2022-11-29T00:00:00"/>
    <d v="2022-11-29T00:00:00"/>
    <n v="48"/>
    <s v="NC261"/>
    <x v="0"/>
    <n v="12037.5"/>
    <x v="691"/>
    <n v="-75475.125000005253"/>
    <n v="0"/>
    <n v="4502456865"/>
    <n v="5084757170"/>
    <n v="5113792124"/>
    <m/>
    <m/>
    <m/>
    <x v="0"/>
    <d v="2022-11-24T00:00:00"/>
    <m/>
    <m/>
    <m/>
    <m/>
    <m/>
    <m/>
    <m/>
    <m/>
    <d v="2022-11-24T00:00:00"/>
    <x v="11"/>
  </r>
  <r>
    <s v="Inversiones El Rezago y CIA LTDA"/>
    <d v="2022-11-22T00:00:00"/>
    <d v="2022-11-22T00:00:00"/>
    <n v="48"/>
    <s v="RZO38"/>
    <x v="4"/>
    <n v="34422"/>
    <x v="220"/>
    <n v="297750300"/>
    <n v="70"/>
    <n v="4502456397"/>
    <n v="5084713798"/>
    <n v="5113743291"/>
    <s v="CON RETEN"/>
    <s v="NUMA 750000*5"/>
    <m/>
    <x v="7"/>
    <d v="2022-11-24T00:00:00"/>
    <n v="4502456397"/>
    <n v="3750000"/>
    <s v="MOVI-1988*5"/>
    <n v="5113751587"/>
    <m/>
    <m/>
    <m/>
    <m/>
    <d v="2022-11-24T00:00:00"/>
    <x v="11"/>
  </r>
  <r>
    <s v="Inversiones El Rezago y CIA LTDA"/>
    <m/>
    <m/>
    <n v="48"/>
    <s v="RZO39"/>
    <x v="4"/>
    <n v="34422"/>
    <x v="584"/>
    <n v="826128"/>
    <n v="0"/>
    <n v="4502456397"/>
    <n v="5084713798"/>
    <n v="5113743571"/>
    <m/>
    <m/>
    <m/>
    <x v="7"/>
    <d v="2022-11-24T00:00:00"/>
    <m/>
    <m/>
    <m/>
    <m/>
    <m/>
    <m/>
    <m/>
    <m/>
    <d v="2022-11-24T00:00:00"/>
    <x v="11"/>
  </r>
  <r>
    <s v="Sociedad Comercializadora Ganadera"/>
    <d v="2022-12-01T00:00:00"/>
    <d v="2022-12-01T00:00:00"/>
    <n v="48"/>
    <s v="FEDV525"/>
    <x v="4"/>
    <n v="41367"/>
    <x v="692"/>
    <n v="380118053.63999999"/>
    <n v="90"/>
    <n v="4502459727"/>
    <n v="5084793946"/>
    <n v="5113776389"/>
    <m/>
    <s v="TIENE BL"/>
    <m/>
    <x v="7"/>
    <d v="2022-11-24T00:00:00"/>
    <m/>
    <m/>
    <m/>
    <m/>
    <m/>
    <m/>
    <m/>
    <m/>
    <d v="2022-11-24T00:00:00"/>
    <x v="11"/>
  </r>
  <r>
    <s v="Sociedad Comercializadora Ganadera"/>
    <d v="2022-12-01T00:00:00"/>
    <d v="2022-12-01T00:00:00"/>
    <n v="48"/>
    <s v="ND31"/>
    <x v="4"/>
    <n v="41367"/>
    <x v="693"/>
    <n v="458346.35999999702"/>
    <n v="0"/>
    <n v="4502459727"/>
    <n v="5084793946"/>
    <n v="5113776392"/>
    <m/>
    <m/>
    <m/>
    <x v="7"/>
    <d v="2022-11-24T00:00:00"/>
    <m/>
    <m/>
    <m/>
    <m/>
    <m/>
    <m/>
    <m/>
    <m/>
    <d v="2022-11-24T00:00:00"/>
    <x v="11"/>
  </r>
  <r>
    <s v="Luis Manuel Urrego Ortiz"/>
    <d v="2022-11-28T00:00:00"/>
    <m/>
    <n v="48"/>
    <s v="FE-137"/>
    <x v="0"/>
    <n v="34894"/>
    <x v="219"/>
    <n v="305322500"/>
    <n v="70"/>
    <n v="4502456866"/>
    <n v="5084790810"/>
    <n v="5113769081"/>
    <m/>
    <s v="CON RETEN"/>
    <m/>
    <x v="0"/>
    <d v="2022-11-25T00:00:00"/>
    <m/>
    <m/>
    <m/>
    <m/>
    <m/>
    <m/>
    <m/>
    <m/>
    <d v="2022-11-25T00:00:00"/>
    <x v="11"/>
  </r>
  <r>
    <s v="Luis Manuel Urrego Ortiz"/>
    <d v="2022-11-28T00:00:00"/>
    <m/>
    <n v="48"/>
    <s v="NC14"/>
    <x v="0"/>
    <n v="34894"/>
    <x v="694"/>
    <n v="-182495.61999998477"/>
    <n v="0"/>
    <n v="4502456866"/>
    <n v="5084790810"/>
    <n v="5113769086"/>
    <m/>
    <m/>
    <m/>
    <x v="0"/>
    <d v="2022-11-25T00:00:00"/>
    <m/>
    <m/>
    <m/>
    <m/>
    <m/>
    <m/>
    <m/>
    <m/>
    <d v="2022-11-25T00:00:00"/>
    <x v="11"/>
  </r>
  <r>
    <s v="David Martinez Jaramillo"/>
    <d v="2022-11-25T00:00:00"/>
    <m/>
    <n v="48"/>
    <s v="DM-313"/>
    <x v="0"/>
    <n v="14380"/>
    <x v="273"/>
    <n v="130858000"/>
    <n v="29"/>
    <n v="4502456867"/>
    <n v="5084790811"/>
    <n v="5113758936"/>
    <m/>
    <s v="TIENE BL"/>
    <m/>
    <x v="0"/>
    <d v="2022-11-25T00:00:00"/>
    <m/>
    <m/>
    <m/>
    <m/>
    <m/>
    <m/>
    <m/>
    <m/>
    <d v="2022-11-25T00:00:00"/>
    <x v="11"/>
  </r>
  <r>
    <s v="David Martinez Jaramillo"/>
    <d v="2022-11-28T00:00:00"/>
    <m/>
    <n v="48"/>
    <s v="NC98"/>
    <x v="0"/>
    <n v="14380"/>
    <x v="695"/>
    <n v="-2516643.8000000031"/>
    <n v="0"/>
    <n v="4502456867"/>
    <n v="5084790811"/>
    <n v="5113758955"/>
    <m/>
    <m/>
    <m/>
    <x v="0"/>
    <d v="2022-11-25T00:00:00"/>
    <m/>
    <m/>
    <m/>
    <m/>
    <m/>
    <m/>
    <m/>
    <m/>
    <d v="2022-11-25T00:00:00"/>
    <x v="11"/>
  </r>
  <r>
    <s v="La Ceiba S.A"/>
    <d v="2022-11-28T00:00:00"/>
    <m/>
    <n v="48"/>
    <s v="FE-1863"/>
    <x v="1"/>
    <n v="24822"/>
    <x v="244"/>
    <n v="218433600"/>
    <n v="56"/>
    <n v="4502456868"/>
    <n v="5084790812"/>
    <n v="5113775840"/>
    <m/>
    <s v="CON RETEN"/>
    <m/>
    <x v="0"/>
    <d v="2022-11-25T00:00:00"/>
    <m/>
    <m/>
    <m/>
    <m/>
    <m/>
    <m/>
    <m/>
    <m/>
    <d v="2022-11-25T00:00:00"/>
    <x v="11"/>
  </r>
  <r>
    <s v="La Ceiba S.A"/>
    <d v="2022-11-28T00:00:00"/>
    <m/>
    <n v="48"/>
    <s v="FE-1864"/>
    <x v="1"/>
    <n v="24822"/>
    <x v="696"/>
    <n v="323927.09999998193"/>
    <n v="0"/>
    <n v="4502456868"/>
    <n v="5084790812"/>
    <n v="5113775843"/>
    <m/>
    <m/>
    <m/>
    <x v="0"/>
    <d v="2022-11-25T00:00:00"/>
    <m/>
    <m/>
    <m/>
    <m/>
    <m/>
    <m/>
    <m/>
    <m/>
    <d v="2022-11-25T00:00:00"/>
    <x v="11"/>
  </r>
  <r>
    <s v="Inversiones y Negocios V&amp;V S.A.S"/>
    <d v="2022-11-25T00:00:00"/>
    <d v="2022-11-28T00:00:00"/>
    <n v="48"/>
    <s v="FE-1764"/>
    <x v="0"/>
    <n v="6429.5"/>
    <x v="273"/>
    <n v="58508450"/>
    <n v="14"/>
    <n v="4502456869"/>
    <n v="5084790813"/>
    <n v="5113761078"/>
    <m/>
    <s v="CON RETEN"/>
    <m/>
    <x v="0"/>
    <d v="2022-11-25T00:00:00"/>
    <m/>
    <m/>
    <m/>
    <m/>
    <m/>
    <m/>
    <m/>
    <m/>
    <d v="2022-11-25T00:00:00"/>
    <x v="11"/>
  </r>
  <r>
    <s v="Inversiones y Negocios V&amp;V S.A.S"/>
    <m/>
    <m/>
    <n v="48"/>
    <s v="DF214"/>
    <x v="0"/>
    <n v="6429.5"/>
    <x v="584"/>
    <n v="154308"/>
    <n v="0"/>
    <n v="4502456869"/>
    <n v="5084790813"/>
    <n v="5113761081"/>
    <m/>
    <m/>
    <m/>
    <x v="0"/>
    <d v="2022-11-25T00:00:00"/>
    <m/>
    <m/>
    <m/>
    <m/>
    <m/>
    <m/>
    <m/>
    <m/>
    <d v="2022-11-25T00:00:00"/>
    <x v="11"/>
  </r>
  <r>
    <s v="Carnes La Italiana L S S A S"/>
    <d v="2022-11-30T00:00:00"/>
    <m/>
    <n v="48"/>
    <s v="FVE-4425"/>
    <x v="0"/>
    <n v="7309.5"/>
    <x v="219"/>
    <n v="63958125"/>
    <n v="14"/>
    <n v="4502456871"/>
    <n v="5084790814"/>
    <n v="5113783030"/>
    <m/>
    <s v="TIENE BL"/>
    <m/>
    <x v="0"/>
    <d v="2022-11-25T00:00:00"/>
    <m/>
    <m/>
    <m/>
    <m/>
    <m/>
    <m/>
    <m/>
    <m/>
    <d v="2022-11-25T00:00:00"/>
    <x v="11"/>
  </r>
  <r>
    <s v="Carnes La Italiana L S S A S"/>
    <d v="2022-11-30T00:00:00"/>
    <m/>
    <n v="48"/>
    <s v="ND136"/>
    <x v="0"/>
    <n v="7309.5"/>
    <x v="13"/>
    <n v="-365475"/>
    <n v="0"/>
    <n v="4502456871"/>
    <n v="5084790814"/>
    <n v="5113783032"/>
    <m/>
    <m/>
    <m/>
    <x v="0"/>
    <d v="2022-11-25T00:00:00"/>
    <m/>
    <m/>
    <m/>
    <m/>
    <m/>
    <m/>
    <m/>
    <m/>
    <d v="2022-11-25T00:00:00"/>
    <x v="11"/>
  </r>
  <r>
    <s v="Agropecuaria Tabaida S.A.S"/>
    <d v="2022-11-26T00:00:00"/>
    <d v="2022-11-28T00:00:00"/>
    <n v="48"/>
    <s v="MT-1678"/>
    <x v="0"/>
    <n v="6401"/>
    <x v="213"/>
    <n v="54408500"/>
    <n v="14"/>
    <n v="4502457609"/>
    <n v="5084792931"/>
    <n v="5113776362"/>
    <s v="TIENE BL"/>
    <s v="EJ  1857700"/>
    <m/>
    <x v="0"/>
    <d v="2022-11-26T00:00:00"/>
    <n v="4902394208"/>
    <n v="1857700"/>
    <s v="FEMD-5816"/>
    <n v="5113769064"/>
    <m/>
    <m/>
    <m/>
    <m/>
    <d v="2022-11-26T00:00:00"/>
    <x v="11"/>
  </r>
  <r>
    <s v="Agropecuaria Tabaida S.A.S"/>
    <d v="2022-11-26T00:00:00"/>
    <d v="2022-11-28T00:00:00"/>
    <n v="48"/>
    <n v="11"/>
    <x v="0"/>
    <n v="6401"/>
    <x v="584"/>
    <n v="153624"/>
    <n v="0"/>
    <n v="4502457609"/>
    <n v="5084792931"/>
    <n v="5113776363"/>
    <m/>
    <m/>
    <m/>
    <x v="0"/>
    <d v="2022-11-26T00:00:00"/>
    <m/>
    <m/>
    <m/>
    <m/>
    <m/>
    <m/>
    <m/>
    <m/>
    <d v="2022-11-26T00:00:00"/>
    <x v="11"/>
  </r>
  <r>
    <s v="Sociedad Comercializadora Ganadera"/>
    <d v="2022-11-30T00:00:00"/>
    <d v="2022-11-30T00:00:00"/>
    <n v="48"/>
    <s v="FEDV519"/>
    <x v="1"/>
    <n v="16171"/>
    <x v="278"/>
    <n v="148773200"/>
    <n v="30"/>
    <n v="4502456872"/>
    <n v="5084791112"/>
    <n v="5113770273"/>
    <m/>
    <s v="TIENE BL"/>
    <m/>
    <x v="0"/>
    <d v="2022-11-26T00:00:00"/>
    <m/>
    <m/>
    <m/>
    <m/>
    <m/>
    <m/>
    <m/>
    <m/>
    <d v="2022-11-26T00:00:00"/>
    <x v="11"/>
  </r>
  <r>
    <s v="Sociedad Comercializadora Ganadera"/>
    <d v="2022-11-30T00:00:00"/>
    <d v="2022-11-30T00:00:00"/>
    <n v="48"/>
    <s v="FEDV520"/>
    <x v="1"/>
    <n v="20174"/>
    <x v="278"/>
    <n v="185600800"/>
    <n v="44"/>
    <n v="4502456872"/>
    <n v="5084791112"/>
    <n v="5113771497"/>
    <m/>
    <s v="TIENE BL"/>
    <m/>
    <x v="0"/>
    <d v="2022-11-26T00:00:00"/>
    <m/>
    <m/>
    <m/>
    <m/>
    <m/>
    <m/>
    <m/>
    <m/>
    <d v="2022-11-26T00:00:00"/>
    <x v="11"/>
  </r>
  <r>
    <s v="Sociedad Comercializadora Ganadera"/>
    <d v="2022-11-30T00:00:00"/>
    <d v="2022-11-30T00:00:00"/>
    <n v="48"/>
    <s v="NC268"/>
    <x v="1"/>
    <n v="20174"/>
    <x v="697"/>
    <n v="-77669.900000007343"/>
    <n v="0"/>
    <n v="4502456872"/>
    <n v="5084791112"/>
    <n v="5113771501"/>
    <m/>
    <m/>
    <m/>
    <x v="0"/>
    <d v="2022-11-26T00:00:00"/>
    <m/>
    <m/>
    <m/>
    <m/>
    <m/>
    <m/>
    <m/>
    <m/>
    <d v="2022-11-26T00:00:00"/>
    <x v="11"/>
  </r>
  <r>
    <s v="David Martinez Jaramillo"/>
    <d v="2022-11-26T00:00:00"/>
    <m/>
    <n v="48"/>
    <s v="DM-314"/>
    <x v="0"/>
    <n v="6922"/>
    <x v="273"/>
    <n v="62990200"/>
    <n v="15"/>
    <n v="4502456873"/>
    <n v="5084791113"/>
    <n v="5113758899"/>
    <m/>
    <s v="TIENE BL"/>
    <m/>
    <x v="0"/>
    <d v="2022-11-26T00:00:00"/>
    <m/>
    <m/>
    <m/>
    <m/>
    <m/>
    <m/>
    <m/>
    <m/>
    <d v="2022-11-26T00:00:00"/>
    <x v="11"/>
  </r>
  <r>
    <s v="David Martinez Jaramillo"/>
    <d v="2022-11-28T00:00:00"/>
    <m/>
    <n v="48"/>
    <s v="NC99"/>
    <x v="0"/>
    <n v="6922"/>
    <x v="2"/>
    <n v="-692200"/>
    <n v="0"/>
    <n v="4502456873"/>
    <n v="5084791113"/>
    <n v="5113758904"/>
    <m/>
    <m/>
    <m/>
    <x v="0"/>
    <d v="2022-11-26T00:00:00"/>
    <m/>
    <m/>
    <m/>
    <m/>
    <m/>
    <m/>
    <m/>
    <m/>
    <d v="2022-11-26T00:00:00"/>
    <x v="11"/>
  </r>
  <r>
    <s v="David Martinez Jaramillo"/>
    <d v="2022-11-26T00:00:00"/>
    <m/>
    <n v="48"/>
    <s v="DM-315"/>
    <x v="0"/>
    <n v="6945.5"/>
    <x v="273"/>
    <n v="63204050"/>
    <n v="15"/>
    <n v="4502456873"/>
    <n v="5084791113"/>
    <n v="5113758921"/>
    <m/>
    <s v="TIENE BL"/>
    <m/>
    <x v="0"/>
    <d v="2022-11-26T00:00:00"/>
    <m/>
    <m/>
    <m/>
    <m/>
    <m/>
    <m/>
    <m/>
    <m/>
    <d v="2022-11-26T00:00:00"/>
    <x v="11"/>
  </r>
  <r>
    <s v="David Martinez Jaramillo"/>
    <d v="2022-11-28T00:00:00"/>
    <m/>
    <n v="48"/>
    <s v="NC100"/>
    <x v="0"/>
    <n v="6945.5"/>
    <x v="606"/>
    <n v="-875133"/>
    <n v="0"/>
    <n v="4502456873"/>
    <n v="5084791113"/>
    <n v="5113758927"/>
    <m/>
    <m/>
    <m/>
    <x v="0"/>
    <d v="2022-11-26T00:00:00"/>
    <m/>
    <m/>
    <m/>
    <m/>
    <m/>
    <m/>
    <m/>
    <m/>
    <d v="2022-11-26T00:00:00"/>
    <x v="11"/>
  </r>
  <r>
    <s v="Guamal S EN C"/>
    <d v="2022-11-28T00:00:00"/>
    <m/>
    <n v="48"/>
    <s v="F-156"/>
    <x v="0"/>
    <n v="7117.5"/>
    <x v="219"/>
    <n v="62278125"/>
    <n v="15"/>
    <n v="4502456875"/>
    <n v="5084791114"/>
    <n v="5113766838"/>
    <m/>
    <s v="CON RETEN "/>
    <m/>
    <x v="0"/>
    <d v="2022-11-26T00:00:00"/>
    <m/>
    <m/>
    <m/>
    <m/>
    <m/>
    <m/>
    <m/>
    <m/>
    <d v="2022-11-26T00:00:00"/>
    <x v="11"/>
  </r>
  <r>
    <s v="Guamal S EN C"/>
    <d v="2022-11-28T00:00:00"/>
    <m/>
    <n v="48"/>
    <s v="F108"/>
    <x v="0"/>
    <n v="7117.5"/>
    <x v="11"/>
    <n v="-1067625"/>
    <n v="0"/>
    <n v="4502456875"/>
    <n v="5084791114"/>
    <n v="5113766840"/>
    <m/>
    <m/>
    <m/>
    <x v="0"/>
    <d v="2022-11-26T00:00:00"/>
    <m/>
    <m/>
    <m/>
    <m/>
    <m/>
    <m/>
    <m/>
    <m/>
    <d v="2022-11-26T00:00:00"/>
    <x v="11"/>
  </r>
  <r>
    <s v="Itakia S.A.S. ZOMAC"/>
    <d v="2022-11-26T00:00:00"/>
    <d v="2022-11-30T00:00:00"/>
    <n v="48"/>
    <s v="FE-100030"/>
    <x v="0"/>
    <n v="13467.5"/>
    <x v="283"/>
    <n v="119187375"/>
    <n v="30"/>
    <n v="4502456876"/>
    <n v="5084791115"/>
    <n v="5113771558"/>
    <m/>
    <s v="CON RETEN"/>
    <m/>
    <x v="0"/>
    <d v="2022-11-26T00:00:00"/>
    <m/>
    <m/>
    <m/>
    <m/>
    <m/>
    <m/>
    <m/>
    <m/>
    <d v="2022-11-26T00:00:00"/>
    <x v="11"/>
  </r>
  <r>
    <s v="Itakia S.A.S. ZOMAC"/>
    <d v="2022-11-26T00:00:00"/>
    <d v="2022-11-30T00:00:00"/>
    <n v="48"/>
    <n v="19"/>
    <x v="0"/>
    <n v="13467.5"/>
    <x v="13"/>
    <n v="-673375"/>
    <n v="0"/>
    <n v="4502456876"/>
    <n v="5084791115"/>
    <n v="5113771649"/>
    <m/>
    <m/>
    <m/>
    <x v="0"/>
    <d v="2022-11-26T00:00:00"/>
    <m/>
    <m/>
    <m/>
    <m/>
    <m/>
    <m/>
    <m/>
    <m/>
    <d v="2022-11-26T00:00:00"/>
    <x v="11"/>
  </r>
  <r>
    <s v="Agropecuaria Tabaida S.A.S"/>
    <d v="2022-11-27T00:00:00"/>
    <d v="2022-11-29T00:00:00"/>
    <n v="48"/>
    <s v="MT-1679"/>
    <x v="1"/>
    <n v="32999"/>
    <x v="213"/>
    <n v="280491500"/>
    <n v="70"/>
    <n v="4502457611"/>
    <n v="5084792932"/>
    <n v="5113776357"/>
    <s v="TIENE BL"/>
    <s v="EJ 1857700*2 1793900*3"/>
    <m/>
    <x v="0"/>
    <d v="2022-11-27T00:00:00"/>
    <n v="4902394211"/>
    <n v="9097100"/>
    <s v="FEMD-5821*3"/>
    <n v="5113769352"/>
    <s v="FEMD-5822"/>
    <n v="5113769401"/>
    <m/>
    <m/>
    <d v="2022-11-27T00:00:00"/>
    <x v="11"/>
  </r>
  <r>
    <s v="Agropecuaria Tabaida S.A.S"/>
    <d v="2022-11-27T00:00:00"/>
    <d v="2022-11-29T00:00:00"/>
    <n v="48"/>
    <n v="12"/>
    <x v="1"/>
    <n v="32999"/>
    <x v="584"/>
    <n v="791976"/>
    <n v="0"/>
    <n v="4502457611"/>
    <n v="5084792932"/>
    <n v="5113776361"/>
    <m/>
    <m/>
    <m/>
    <x v="0"/>
    <d v="2022-11-27T00:00:00"/>
    <m/>
    <n v="9097100"/>
    <m/>
    <m/>
    <m/>
    <m/>
    <m/>
    <m/>
    <d v="2022-11-27T00:00:00"/>
    <x v="11"/>
  </r>
  <r>
    <s v="Sociedad Comercializadora Ganadera"/>
    <d v="2022-11-30T00:00:00"/>
    <d v="2022-11-30T00:00:00"/>
    <n v="48"/>
    <s v="FEDV522"/>
    <x v="0"/>
    <n v="23310"/>
    <x v="278"/>
    <n v="214452000"/>
    <n v="58"/>
    <n v="4502456877"/>
    <n v="5084796964"/>
    <n v="5113775395"/>
    <m/>
    <s v="TIENE BL"/>
    <m/>
    <x v="0"/>
    <d v="2022-11-27T00:00:00"/>
    <m/>
    <m/>
    <m/>
    <m/>
    <m/>
    <m/>
    <m/>
    <m/>
    <d v="2022-11-27T00:00:00"/>
    <x v="11"/>
  </r>
  <r>
    <s v="Sociedad Comercializadora Ganadera"/>
    <d v="2022-11-30T00:00:00"/>
    <d v="2022-11-30T00:00:00"/>
    <n v="48"/>
    <s v="NC269"/>
    <x v="0"/>
    <n v="23310"/>
    <x v="698"/>
    <n v="-996269.3999999949"/>
    <n v="0"/>
    <n v="4502456877"/>
    <n v="5084796964"/>
    <n v="5113775428"/>
    <m/>
    <m/>
    <m/>
    <x v="0"/>
    <d v="2022-11-27T00:00:00"/>
    <m/>
    <m/>
    <m/>
    <m/>
    <m/>
    <m/>
    <m/>
    <m/>
    <d v="2022-11-27T00:00:00"/>
    <x v="11"/>
  </r>
  <r>
    <s v="Luis Fernando Rojas Prada"/>
    <d v="2022-11-29T00:00:00"/>
    <m/>
    <n v="48"/>
    <s v="FELC-1120"/>
    <x v="4"/>
    <n v="73280"/>
    <x v="206"/>
    <n v="604560000"/>
    <n v="140"/>
    <n v="4502461215"/>
    <n v="5084820631"/>
    <n v="5113770269"/>
    <s v="TIENE BL"/>
    <s v="EJ*10"/>
    <m/>
    <x v="7"/>
    <d v="2022-11-27T00:00:00"/>
    <n v="4502461215"/>
    <n v="18818100"/>
    <s v="FEMD-5823*9"/>
    <n v="5113769405"/>
    <s v="FEMD-5824"/>
    <n v="5113769477"/>
    <m/>
    <m/>
    <d v="2022-11-27T00:00:00"/>
    <x v="11"/>
  </r>
  <r>
    <s v="Ayura S.A.S"/>
    <d v="2022-11-28T00:00:00"/>
    <m/>
    <n v="48"/>
    <s v="GTE-2865"/>
    <x v="4"/>
    <n v="14534"/>
    <x v="206"/>
    <n v="119905500"/>
    <n v="29"/>
    <n v="4502461228"/>
    <n v="5084821139"/>
    <n v="5113766601"/>
    <s v="CON RETEN"/>
    <s v="EJ*2 1880900*2"/>
    <m/>
    <x v="7"/>
    <d v="2022-11-27T00:00:00"/>
    <n v="4502461228"/>
    <n v="3761800"/>
    <s v="FEMD-5825"/>
    <n v="5113769482"/>
    <m/>
    <m/>
    <m/>
    <m/>
    <d v="2022-11-27T00:00:00"/>
    <x v="11"/>
  </r>
  <r>
    <s v="Lismenia Torcoroma Rincon Hernandez"/>
    <d v="2022-11-28T00:00:00"/>
    <m/>
    <n v="48"/>
    <s v="GANA-309"/>
    <x v="1"/>
    <n v="27422"/>
    <x v="219"/>
    <n v="239942500"/>
    <n v="60"/>
    <n v="4502456878"/>
    <n v="5084816687"/>
    <n v="5113775795"/>
    <m/>
    <s v="TIENE BL"/>
    <m/>
    <x v="0"/>
    <d v="2022-11-28T00:00:00"/>
    <m/>
    <m/>
    <m/>
    <m/>
    <m/>
    <m/>
    <m/>
    <m/>
    <d v="2022-11-28T00:00:00"/>
    <x v="11"/>
  </r>
  <r>
    <s v="Lismenia Torcoroma Rincon Hernandez"/>
    <d v="2022-11-28T00:00:00"/>
    <d v="2022-12-01T00:00:00"/>
    <n v="48"/>
    <s v="NC000062"/>
    <x v="1"/>
    <n v="27422"/>
    <x v="699"/>
    <n v="-37568.140000021944"/>
    <n v="0"/>
    <n v="4502456878"/>
    <n v="5084816687"/>
    <n v="5113775838"/>
    <m/>
    <m/>
    <m/>
    <x v="0"/>
    <d v="2022-11-28T00:00:00"/>
    <m/>
    <m/>
    <m/>
    <m/>
    <m/>
    <m/>
    <m/>
    <m/>
    <d v="2022-11-28T00:00:00"/>
    <x v="11"/>
  </r>
  <r>
    <s v="Maria Alicia Montaño Parra"/>
    <d v="2022-11-30T00:00:00"/>
    <m/>
    <n v="48"/>
    <s v="FE-33"/>
    <x v="1"/>
    <n v="4118.5"/>
    <x v="227"/>
    <n v="35830950"/>
    <n v="11"/>
    <n v="4502456879"/>
    <n v="5084816790"/>
    <n v="5113771829"/>
    <m/>
    <s v="CON RETEN"/>
    <m/>
    <x v="0"/>
    <d v="2022-11-28T00:00:00"/>
    <m/>
    <m/>
    <m/>
    <m/>
    <m/>
    <m/>
    <m/>
    <m/>
    <d v="2022-11-28T00:00:00"/>
    <x v="11"/>
  </r>
  <r>
    <s v="Maria Alicia Montaño Parra"/>
    <d v="2022-11-30T00:00:00"/>
    <m/>
    <n v="48"/>
    <s v="FE9"/>
    <x v="1"/>
    <n v="4118.5"/>
    <x v="700"/>
    <n v="-979544.04000000062"/>
    <n v="0"/>
    <n v="4502456879"/>
    <n v="5084816790"/>
    <n v="5113771897"/>
    <m/>
    <m/>
    <m/>
    <x v="0"/>
    <d v="2022-11-28T00:00:00"/>
    <m/>
    <m/>
    <m/>
    <m/>
    <m/>
    <m/>
    <m/>
    <m/>
    <d v="2022-11-28T00:00:00"/>
    <x v="11"/>
  </r>
  <r>
    <s v="Sociedad Comercializadora Ganadera"/>
    <d v="2022-11-30T00:00:00"/>
    <d v="2022-11-30T00:00:00"/>
    <n v="48"/>
    <s v="FEDV523"/>
    <x v="0"/>
    <n v="20795.5"/>
    <x v="278"/>
    <n v="191318600"/>
    <n v="47"/>
    <n v="4502456880"/>
    <n v="5084820517"/>
    <n v="5113776304"/>
    <m/>
    <s v="TIENE BL"/>
    <m/>
    <x v="0"/>
    <d v="2022-11-28T00:00:00"/>
    <m/>
    <m/>
    <m/>
    <m/>
    <m/>
    <m/>
    <m/>
    <m/>
    <d v="2022-11-28T00:00:00"/>
    <x v="11"/>
  </r>
  <r>
    <s v="Sociedad Comercializadora Ganadera"/>
    <d v="2022-11-30T00:00:00"/>
    <d v="2022-11-30T00:00:00"/>
    <n v="48"/>
    <s v="NC270"/>
    <x v="0"/>
    <n v="20795.5"/>
    <x v="701"/>
    <n v="-309437.03999998333"/>
    <n v="0"/>
    <n v="4502456880"/>
    <n v="5084820517"/>
    <n v="5113776306"/>
    <m/>
    <m/>
    <m/>
    <x v="0"/>
    <d v="2022-11-28T00:00:00"/>
    <m/>
    <m/>
    <m/>
    <m/>
    <m/>
    <m/>
    <m/>
    <m/>
    <d v="2022-11-28T00:00:00"/>
    <x v="11"/>
  </r>
  <r>
    <s v="Sociedad Comercializadora Ganadera"/>
    <d v="2022-11-30T00:00:00"/>
    <d v="2022-11-30T00:00:00"/>
    <n v="48"/>
    <s v="FEDV524"/>
    <x v="0"/>
    <n v="15013.5"/>
    <x v="278"/>
    <n v="138124200"/>
    <n v="30"/>
    <n v="4502456880"/>
    <n v="5084820517"/>
    <n v="5113776299"/>
    <m/>
    <s v="TIENE BL"/>
    <m/>
    <x v="0"/>
    <d v="2022-11-28T00:00:00"/>
    <m/>
    <m/>
    <m/>
    <m/>
    <m/>
    <m/>
    <m/>
    <m/>
    <d v="2022-11-28T00:00:00"/>
    <x v="11"/>
  </r>
  <r>
    <s v="Sociedad Comercializadora Ganadera"/>
    <d v="2022-11-30T00:00:00"/>
    <d v="2022-11-30T00:00:00"/>
    <n v="48"/>
    <s v="NC271"/>
    <x v="0"/>
    <n v="15013.5"/>
    <x v="13"/>
    <n v="-750675"/>
    <n v="0"/>
    <n v="4502456880"/>
    <n v="5084820517"/>
    <n v="5113776301"/>
    <m/>
    <m/>
    <m/>
    <x v="0"/>
    <d v="2022-11-28T00:00:00"/>
    <m/>
    <m/>
    <m/>
    <m/>
    <m/>
    <m/>
    <m/>
    <m/>
    <d v="2022-11-28T00:00:00"/>
    <x v="11"/>
  </r>
  <r>
    <s v="Sociedad Comercializadora Ganadera"/>
    <d v="2022-11-30T00:00:00"/>
    <d v="2022-11-30T00:00:00"/>
    <n v="48"/>
    <s v="FEDV521"/>
    <x v="3"/>
    <n v="13906"/>
    <x v="54"/>
    <n v="108466800"/>
    <n v="60"/>
    <n v="4502460036"/>
    <n v="5084798380"/>
    <n v="5113770478"/>
    <m/>
    <s v="TIENE BL"/>
    <m/>
    <x v="2"/>
    <d v="2022-11-27T00:00:00"/>
    <m/>
    <m/>
    <m/>
    <m/>
    <m/>
    <m/>
    <m/>
    <m/>
    <d v="2022-11-27T00:00:00"/>
    <x v="11"/>
  </r>
  <r>
    <s v="Andres Felipe Mantilla Acosta"/>
    <d v="2022-11-29T00:00:00"/>
    <m/>
    <n v="48"/>
    <s v="FE-60"/>
    <x v="0"/>
    <n v="6838.5"/>
    <x v="219"/>
    <n v="59836875"/>
    <n v="15"/>
    <n v="4502456881"/>
    <n v="5084833710"/>
    <n v="5113781127"/>
    <m/>
    <s v="TIENE BL"/>
    <m/>
    <x v="0"/>
    <d v="2022-11-29T00:00:00"/>
    <m/>
    <m/>
    <m/>
    <m/>
    <m/>
    <m/>
    <m/>
    <m/>
    <d v="2022-11-29T00:00:00"/>
    <x v="11"/>
  </r>
  <r>
    <s v="Andres Felipe Mantilla Acosta"/>
    <d v="2022-11-29T00:00:00"/>
    <m/>
    <n v="48"/>
    <s v="NC18"/>
    <x v="0"/>
    <n v="6838.5"/>
    <x v="702"/>
    <n v="-960057.01499999606"/>
    <n v="0"/>
    <n v="4502456881"/>
    <n v="5084833710"/>
    <n v="5113781129"/>
    <m/>
    <m/>
    <m/>
    <x v="0"/>
    <d v="2022-11-29T00:00:00"/>
    <m/>
    <m/>
    <m/>
    <m/>
    <m/>
    <m/>
    <m/>
    <m/>
    <d v="2022-11-29T00:00:00"/>
    <x v="11"/>
  </r>
  <r>
    <s v="Palmas Oleaginosas Del Ariguani S.A.S."/>
    <d v="2022-12-02T00:00:00"/>
    <d v="2022-12-02T00:00:00"/>
    <n v="48"/>
    <s v="FVE326"/>
    <x v="0"/>
    <n v="5932"/>
    <x v="219"/>
    <n v="51905000"/>
    <n v="16"/>
    <n v="4502456882"/>
    <n v="5084822158"/>
    <n v="5113778387"/>
    <m/>
    <s v="CON RETEN"/>
    <m/>
    <x v="0"/>
    <d v="2022-11-29T00:00:00"/>
    <m/>
    <m/>
    <m/>
    <m/>
    <m/>
    <m/>
    <m/>
    <m/>
    <d v="2022-11-29T00:00:00"/>
    <x v="11"/>
  </r>
  <r>
    <s v="Palmas Oleaginosas Del Ariguani S.A.S."/>
    <d v="2022-12-02T00:00:00"/>
    <d v="2022-12-02T00:00:00"/>
    <n v="48"/>
    <s v="NC12"/>
    <x v="0"/>
    <n v="5932"/>
    <x v="13"/>
    <n v="-296600"/>
    <n v="0"/>
    <n v="4502456882"/>
    <n v="5084822158"/>
    <n v="5113778388"/>
    <m/>
    <m/>
    <m/>
    <x v="0"/>
    <d v="2022-11-29T00:00:00"/>
    <m/>
    <m/>
    <m/>
    <m/>
    <m/>
    <m/>
    <m/>
    <m/>
    <d v="2022-11-29T00:00:00"/>
    <x v="11"/>
  </r>
  <r>
    <s v="Edwar Florez Zabaleta"/>
    <d v="2022-12-01T00:00:00"/>
    <m/>
    <n v="48"/>
    <s v="GANA-21"/>
    <x v="1"/>
    <n v="13700"/>
    <x v="219"/>
    <n v="119875000"/>
    <n v="28"/>
    <n v="4502456884"/>
    <n v="5084822159"/>
    <n v="5113781131"/>
    <m/>
    <s v="TIENE BL"/>
    <m/>
    <x v="0"/>
    <d v="2022-11-29T00:00:00"/>
    <m/>
    <m/>
    <m/>
    <m/>
    <m/>
    <m/>
    <m/>
    <m/>
    <d v="2022-11-29T00:00:00"/>
    <x v="11"/>
  </r>
  <r>
    <s v="Edwar Florez Zabaleta"/>
    <d v="2022-12-02T00:00:00"/>
    <m/>
    <n v="48"/>
    <s v="GANA-22"/>
    <x v="1"/>
    <n v="13700"/>
    <x v="2"/>
    <n v="1370000"/>
    <n v="0"/>
    <n v="4502456884"/>
    <n v="5084822159"/>
    <n v="5113781136"/>
    <m/>
    <s v="TIENE BL"/>
    <m/>
    <x v="0"/>
    <d v="2022-11-29T00:00:00"/>
    <m/>
    <m/>
    <m/>
    <m/>
    <m/>
    <m/>
    <m/>
    <m/>
    <d v="2022-11-29T00:00:00"/>
    <x v="11"/>
  </r>
  <r>
    <s v="Edward Fabian Mejia Abril"/>
    <d v="2022-11-29T00:00:00"/>
    <m/>
    <n v="48"/>
    <s v="FELE-111"/>
    <x v="1"/>
    <n v="6608"/>
    <x v="273"/>
    <n v="60132800"/>
    <n v="15"/>
    <n v="4502456885"/>
    <n v="5084833085"/>
    <n v="5113782948"/>
    <m/>
    <s v="TIENE BL"/>
    <m/>
    <x v="0"/>
    <d v="2022-11-29T00:00:00"/>
    <m/>
    <m/>
    <m/>
    <m/>
    <m/>
    <m/>
    <m/>
    <m/>
    <d v="2022-11-29T00:00:00"/>
    <x v="11"/>
  </r>
  <r>
    <s v="Edward Fabian Mejia Abril"/>
    <d v="2022-11-29T00:00:00"/>
    <m/>
    <n v="48"/>
    <s v="NCRE11"/>
    <x v="1"/>
    <n v="6608"/>
    <x v="13"/>
    <n v="-330400"/>
    <n v="0"/>
    <n v="4502456885"/>
    <n v="5084833085"/>
    <n v="5113782952"/>
    <m/>
    <m/>
    <m/>
    <x v="0"/>
    <d v="2022-11-29T00:00:00"/>
    <m/>
    <m/>
    <m/>
    <m/>
    <m/>
    <m/>
    <m/>
    <m/>
    <d v="2022-11-29T00:00:00"/>
    <x v="11"/>
  </r>
  <r>
    <s v="Mauricio De Jesús Bernal Jaramillo"/>
    <d v="2022-12-05T00:00:00"/>
    <d v="2022-12-05T00:00:00"/>
    <n v="48"/>
    <s v="FE-220"/>
    <x v="1"/>
    <n v="6086"/>
    <x v="234"/>
    <n v="51426700"/>
    <n v="14"/>
    <n v="4502457613"/>
    <n v="5084792933"/>
    <n v="5113781171"/>
    <m/>
    <s v="EJ 1623900"/>
    <s v="CON RETEN"/>
    <x v="0"/>
    <d v="2022-11-29T00:00:00"/>
    <n v="4902394213"/>
    <n v="1623900"/>
    <s v="FEMD-5846"/>
    <n v="5113782050"/>
    <m/>
    <m/>
    <m/>
    <m/>
    <d v="2022-11-29T00:00:00"/>
    <x v="11"/>
  </r>
  <r>
    <s v="Mauricio De Jesús Bernal Jaramillo"/>
    <d v="2022-12-05T00:00:00"/>
    <d v="2022-12-05T00:00:00"/>
    <n v="48"/>
    <s v="FE-221"/>
    <x v="1"/>
    <n v="6086"/>
    <x v="584"/>
    <n v="146064"/>
    <n v="0"/>
    <n v="4502457613"/>
    <n v="5084792933"/>
    <n v="5113781172"/>
    <m/>
    <m/>
    <m/>
    <x v="0"/>
    <d v="2022-11-29T00:00:00"/>
    <m/>
    <m/>
    <m/>
    <m/>
    <m/>
    <m/>
    <m/>
    <m/>
    <d v="2022-11-29T00:00:00"/>
    <x v="11"/>
  </r>
  <r>
    <s v="David Martinez Jaramillo"/>
    <d v="2022-12-05T00:00:00"/>
    <d v="2022-12-05T00:00:00"/>
    <n v="49"/>
    <s v="DM-323"/>
    <x v="0"/>
    <n v="27467.5"/>
    <x v="273"/>
    <n v="249954250"/>
    <n v="60"/>
    <n v="4502462068"/>
    <n v="5084874816"/>
    <n v="5113782975"/>
    <m/>
    <s v="TIENE BL"/>
    <m/>
    <x v="0"/>
    <d v="2022-12-01T00:00:00"/>
    <m/>
    <m/>
    <m/>
    <m/>
    <m/>
    <m/>
    <m/>
    <m/>
    <d v="2022-12-01T00:00:00"/>
    <x v="12"/>
  </r>
  <r>
    <s v="David Martinez Jaramillo"/>
    <d v="2022-12-05T00:00:00"/>
    <d v="2022-12-05T00:00:00"/>
    <n v="49"/>
    <s v="NC101"/>
    <x v="0"/>
    <n v="27467.5"/>
    <x v="11"/>
    <n v="-4120125"/>
    <n v="0"/>
    <n v="4502462068"/>
    <n v="5084874816"/>
    <n v="5113783019"/>
    <m/>
    <m/>
    <m/>
    <x v="0"/>
    <d v="2022-12-01T00:00:00"/>
    <m/>
    <m/>
    <m/>
    <m/>
    <m/>
    <m/>
    <m/>
    <m/>
    <d v="2022-12-01T00:00:00"/>
    <x v="12"/>
  </r>
  <r>
    <s v="Andres Felipe Mantilla Acosta"/>
    <d v="2022-12-01T00:00:00"/>
    <d v="2022-12-06T00:00:00"/>
    <n v="49"/>
    <s v="FE63"/>
    <x v="0"/>
    <n v="7054.5"/>
    <x v="244"/>
    <n v="62079600"/>
    <n v="16"/>
    <n v="4502462069"/>
    <n v="5084876578"/>
    <n v="5113783023"/>
    <m/>
    <s v="TIENE BL"/>
    <m/>
    <x v="0"/>
    <d v="2022-12-01T00:00:00"/>
    <m/>
    <m/>
    <m/>
    <m/>
    <m/>
    <m/>
    <m/>
    <m/>
    <d v="2022-12-01T00:00:00"/>
    <x v="12"/>
  </r>
  <r>
    <s v="Andres Felipe Mantilla Acosta"/>
    <d v="2022-12-01T00:00:00"/>
    <d v="2022-12-06T00:00:00"/>
    <n v="49"/>
    <s v="NC19"/>
    <x v="0"/>
    <n v="7054.5"/>
    <x v="703"/>
    <n v="-736701.43500000203"/>
    <n v="0"/>
    <n v="4502462069"/>
    <n v="5084876578"/>
    <n v="5113783027"/>
    <m/>
    <m/>
    <m/>
    <x v="0"/>
    <d v="2022-12-01T00:00:00"/>
    <m/>
    <m/>
    <m/>
    <m/>
    <m/>
    <m/>
    <m/>
    <m/>
    <d v="2022-12-01T00:00:00"/>
    <x v="12"/>
  </r>
  <r>
    <s v="Agropecuaria el Potro Azul S.A.S"/>
    <d v="2022-12-01T00:00:00"/>
    <d v="2022-12-07T00:00:00"/>
    <n v="49"/>
    <s v="PA10"/>
    <x v="0"/>
    <n v="6342.5"/>
    <x v="219"/>
    <n v="55496875"/>
    <n v="14"/>
    <n v="4502462070"/>
    <n v="5084874817"/>
    <n v="5113788141"/>
    <m/>
    <s v="CON RETEN"/>
    <m/>
    <x v="0"/>
    <d v="2022-12-01T00:00:00"/>
    <m/>
    <m/>
    <m/>
    <m/>
    <m/>
    <m/>
    <m/>
    <m/>
    <d v="2022-12-01T00:00:00"/>
    <x v="12"/>
  </r>
  <r>
    <s v="Agropecuaria el Potro Azul S.A.S"/>
    <d v="2022-12-01T00:00:00"/>
    <d v="2022-12-07T00:00:00"/>
    <n v="49"/>
    <s v="NC2"/>
    <x v="0"/>
    <n v="6342.5"/>
    <x v="13"/>
    <n v="-317125"/>
    <n v="0"/>
    <n v="4502462070"/>
    <n v="5084874817"/>
    <n v="5113788144"/>
    <m/>
    <m/>
    <m/>
    <x v="0"/>
    <d v="2022-12-01T00:00:00"/>
    <m/>
    <m/>
    <m/>
    <m/>
    <m/>
    <m/>
    <m/>
    <m/>
    <d v="2022-12-01T00:00:00"/>
    <x v="12"/>
  </r>
  <r>
    <s v="Carlos Enrique Galan Prada"/>
    <d v="2022-12-07T00:00:00"/>
    <d v="2022-12-07T00:00:00"/>
    <n v="49"/>
    <s v="FVEC19"/>
    <x v="0"/>
    <n v="5259"/>
    <x v="219"/>
    <n v="46016250"/>
    <n v="14"/>
    <n v="4502462071"/>
    <n v="5084874948"/>
    <n v="5113786794"/>
    <m/>
    <s v="CON RETEN"/>
    <m/>
    <x v="0"/>
    <d v="2022-12-01T00:00:00"/>
    <m/>
    <m/>
    <m/>
    <m/>
    <m/>
    <m/>
    <m/>
    <m/>
    <d v="2022-12-01T00:00:00"/>
    <x v="12"/>
  </r>
  <r>
    <s v="Carlos Enrique Galan Prada"/>
    <d v="2022-12-07T00:00:00"/>
    <d v="2022-12-07T00:00:00"/>
    <n v="49"/>
    <s v="NCEE10"/>
    <x v="0"/>
    <n v="5259"/>
    <x v="704"/>
    <n v="-1577700"/>
    <n v="0"/>
    <n v="4502462071"/>
    <n v="5084874948"/>
    <n v="5113786808"/>
    <m/>
    <m/>
    <m/>
    <x v="0"/>
    <d v="2022-12-01T00:00:00"/>
    <m/>
    <m/>
    <m/>
    <m/>
    <m/>
    <m/>
    <m/>
    <m/>
    <d v="2022-12-01T00:00:00"/>
    <x v="12"/>
  </r>
  <r>
    <s v="Ganadera Yalu S En C."/>
    <d v="2022-12-01T00:00:00"/>
    <m/>
    <n v="49"/>
    <s v="GY-16"/>
    <x v="1"/>
    <n v="6153.5"/>
    <x v="244"/>
    <n v="54150800"/>
    <n v="14"/>
    <n v="4502462072"/>
    <n v="5084874949"/>
    <n v="5113781175"/>
    <m/>
    <s v="CON RETEN"/>
    <m/>
    <x v="0"/>
    <d v="2022-12-01T00:00:00"/>
    <m/>
    <m/>
    <m/>
    <m/>
    <m/>
    <m/>
    <m/>
    <m/>
    <d v="2022-12-01T00:00:00"/>
    <x v="12"/>
  </r>
  <r>
    <s v="Ganadera Yalu S En C."/>
    <d v="2022-12-01T00:00:00"/>
    <m/>
    <n v="49"/>
    <s v="NC24"/>
    <x v="1"/>
    <n v="6153.5"/>
    <x v="705"/>
    <n v="-694360.94000000088"/>
    <n v="0"/>
    <n v="4502462072"/>
    <n v="5084874949"/>
    <n v="5113781176"/>
    <m/>
    <m/>
    <m/>
    <x v="0"/>
    <d v="2022-12-01T00:00:00"/>
    <m/>
    <m/>
    <m/>
    <m/>
    <m/>
    <m/>
    <m/>
    <m/>
    <d v="2022-12-01T00:00:00"/>
    <x v="12"/>
  </r>
  <r>
    <s v="Gonzalo Hoyos Pulido"/>
    <d v="2022-12-05T00:00:00"/>
    <m/>
    <n v="49"/>
    <s v="FELE-72"/>
    <x v="1"/>
    <n v="17617.5"/>
    <x v="273"/>
    <n v="160319250"/>
    <n v="42"/>
    <n v="4502462073"/>
    <n v="5084874950"/>
    <n v="5113781239"/>
    <m/>
    <s v="CON RETEN"/>
    <m/>
    <x v="0"/>
    <d v="2022-12-01T00:00:00"/>
    <m/>
    <m/>
    <m/>
    <m/>
    <m/>
    <m/>
    <m/>
    <m/>
    <d v="2022-12-01T00:00:00"/>
    <x v="12"/>
  </r>
  <r>
    <s v="Gonzalo Hoyos Pulido"/>
    <d v="2022-12-05T00:00:00"/>
    <m/>
    <n v="49"/>
    <s v="NC213"/>
    <x v="1"/>
    <n v="17617.5"/>
    <x v="562"/>
    <n v="-343365.07499999617"/>
    <n v="0"/>
    <n v="4502462073"/>
    <n v="5084874950"/>
    <n v="5113781240"/>
    <m/>
    <m/>
    <m/>
    <x v="0"/>
    <d v="2022-12-01T00:00:00"/>
    <m/>
    <m/>
    <m/>
    <m/>
    <m/>
    <m/>
    <m/>
    <m/>
    <d v="2022-12-01T00:00:00"/>
    <x v="12"/>
  </r>
  <r>
    <s v="Sociedad Comercializadora Ganadera"/>
    <d v="2022-12-06T00:00:00"/>
    <d v="2022-12-06T00:00:00"/>
    <n v="49"/>
    <s v="FEDV527"/>
    <x v="1"/>
    <n v="13432"/>
    <x v="278"/>
    <n v="123574400"/>
    <n v="31"/>
    <n v="4502462074"/>
    <n v="5084876579"/>
    <n v="5113783052"/>
    <m/>
    <s v="TIENE BL"/>
    <m/>
    <x v="0"/>
    <d v="2022-12-01T00:00:00"/>
    <m/>
    <m/>
    <m/>
    <m/>
    <m/>
    <m/>
    <m/>
    <m/>
    <d v="2022-12-01T00:00:00"/>
    <x v="12"/>
  </r>
  <r>
    <s v="Sociedad Comercializadora Ganadera"/>
    <d v="2022-12-06T00:00:00"/>
    <d v="2022-12-06T00:00:00"/>
    <n v="49"/>
    <s v="NC272"/>
    <x v="1"/>
    <n v="13432"/>
    <x v="706"/>
    <n v="-2128703.3599999943"/>
    <n v="0"/>
    <n v="4502462074"/>
    <n v="5084876579"/>
    <n v="5113783056"/>
    <m/>
    <m/>
    <m/>
    <x v="0"/>
    <d v="2022-12-01T00:00:00"/>
    <m/>
    <m/>
    <m/>
    <m/>
    <m/>
    <m/>
    <m/>
    <m/>
    <d v="2022-12-01T00:00:00"/>
    <x v="12"/>
  </r>
  <r>
    <s v="Sociedad Comercializadora Ganadera"/>
    <d v="2022-12-06T00:00:00"/>
    <d v="2022-12-06T00:00:00"/>
    <n v="49"/>
    <s v="FEDV528"/>
    <x v="0"/>
    <n v="6044"/>
    <x v="278"/>
    <n v="55604800"/>
    <n v="15"/>
    <n v="4502462076"/>
    <n v="5084895225"/>
    <n v="5113783080"/>
    <m/>
    <s v="TIENE BL"/>
    <m/>
    <x v="0"/>
    <d v="2022-12-02T00:00:00"/>
    <m/>
    <m/>
    <m/>
    <m/>
    <m/>
    <m/>
    <m/>
    <m/>
    <d v="2022-12-02T00:00:00"/>
    <x v="12"/>
  </r>
  <r>
    <s v="Sociedad Comercializadora Ganadera"/>
    <d v="2022-12-06T00:00:00"/>
    <d v="2022-12-06T00:00:00"/>
    <n v="49"/>
    <s v="NC273"/>
    <x v="0"/>
    <n v="6044"/>
    <x v="707"/>
    <n v="-417398.63999999693"/>
    <n v="0"/>
    <n v="4502462076"/>
    <n v="5084895225"/>
    <n v="5113783082"/>
    <m/>
    <m/>
    <m/>
    <x v="0"/>
    <d v="2022-12-02T00:00:00"/>
    <m/>
    <m/>
    <m/>
    <m/>
    <m/>
    <m/>
    <m/>
    <m/>
    <d v="2022-12-02T00:00:00"/>
    <x v="12"/>
  </r>
  <r>
    <s v="Sociedad Comercializadora Ganadera"/>
    <d v="2022-12-06T00:00:00"/>
    <d v="2022-12-06T00:00:00"/>
    <n v="49"/>
    <s v="FEDV529"/>
    <x v="0"/>
    <n v="15145"/>
    <x v="278"/>
    <n v="139334000"/>
    <n v="60"/>
    <n v="4502462076"/>
    <n v="5084895225"/>
    <n v="5113783098"/>
    <m/>
    <s v="TIENE BL"/>
    <m/>
    <x v="0"/>
    <d v="2022-12-02T00:00:00"/>
    <m/>
    <m/>
    <m/>
    <m/>
    <m/>
    <m/>
    <m/>
    <m/>
    <d v="2022-12-02T00:00:00"/>
    <x v="12"/>
  </r>
  <r>
    <s v="Sociedad Comercializadora Ganadera"/>
    <d v="2022-12-06T00:00:00"/>
    <d v="2022-12-06T00:00:00"/>
    <n v="49"/>
    <s v="NC274"/>
    <x v="0"/>
    <n v="30290"/>
    <x v="13"/>
    <n v="-1514500"/>
    <n v="0"/>
    <n v="4502462076"/>
    <n v="5084895225"/>
    <n v="5113783100"/>
    <m/>
    <s v="Sin imagen"/>
    <m/>
    <x v="0"/>
    <d v="2022-12-02T00:00:00"/>
    <m/>
    <m/>
    <m/>
    <m/>
    <m/>
    <m/>
    <m/>
    <m/>
    <d v="2022-12-02T00:00:00"/>
    <x v="12"/>
  </r>
  <r>
    <s v="Inversiones y Negocios V&amp;V S.A.S"/>
    <d v="2022-12-06T00:00:00"/>
    <d v="2022-12-06T00:00:00"/>
    <n v="49"/>
    <s v="FE-1767"/>
    <x v="0"/>
    <n v="6440"/>
    <x v="273"/>
    <n v="58604000"/>
    <n v="14"/>
    <n v="4502462077"/>
    <n v="5084895549"/>
    <n v="5113786812"/>
    <m/>
    <s v="CON RETEN"/>
    <m/>
    <x v="0"/>
    <d v="2022-12-02T00:00:00"/>
    <m/>
    <m/>
    <m/>
    <m/>
    <m/>
    <m/>
    <m/>
    <m/>
    <d v="2022-12-02T00:00:00"/>
    <x v="12"/>
  </r>
  <r>
    <s v="Inversiones y Negocios V&amp;V S.A.S"/>
    <d v="2022-12-06T00:00:00"/>
    <d v="2022-12-06T00:00:00"/>
    <n v="49"/>
    <s v="NC13065"/>
    <x v="0"/>
    <n v="6440"/>
    <x v="593"/>
    <n v="-489440"/>
    <n v="0"/>
    <n v="4502462077"/>
    <n v="5084895549"/>
    <n v="5113786815"/>
    <m/>
    <m/>
    <m/>
    <x v="0"/>
    <d v="2022-12-02T00:00:00"/>
    <m/>
    <m/>
    <m/>
    <m/>
    <m/>
    <m/>
    <m/>
    <m/>
    <d v="2022-12-02T00:00:00"/>
    <x v="12"/>
  </r>
  <r>
    <s v="Robinson Jose Chica Vega"/>
    <d v="2022-12-06T00:00:00"/>
    <d v="2022-12-06T00:00:00"/>
    <n v="49"/>
    <s v="FEC-1822"/>
    <x v="0"/>
    <n v="6790"/>
    <x v="219"/>
    <n v="59412500"/>
    <n v="14"/>
    <n v="4502462078"/>
    <n v="5084895550"/>
    <n v="5113790228"/>
    <m/>
    <s v="CON RETEN"/>
    <m/>
    <x v="0"/>
    <d v="2022-12-02T00:00:00"/>
    <m/>
    <m/>
    <m/>
    <m/>
    <m/>
    <m/>
    <m/>
    <m/>
    <d v="2022-12-02T00:00:00"/>
    <x v="12"/>
  </r>
  <r>
    <s v="Robinson Jose Chica Vega"/>
    <d v="2022-12-06T00:00:00"/>
    <m/>
    <n v="49"/>
    <s v="NC227"/>
    <x v="0"/>
    <n v="6790"/>
    <x v="13"/>
    <n v="-339500"/>
    <n v="0"/>
    <n v="4502462078"/>
    <n v="5084895550"/>
    <n v="5113790232"/>
    <m/>
    <m/>
    <m/>
    <x v="0"/>
    <d v="2022-12-02T00:00:00"/>
    <m/>
    <m/>
    <m/>
    <m/>
    <m/>
    <m/>
    <m/>
    <m/>
    <d v="2022-12-02T00:00:00"/>
    <x v="12"/>
  </r>
  <r>
    <s v="Jorge Ignacio Sanchez Restrepo"/>
    <d v="2022-12-02T00:00:00"/>
    <d v="2022-12-07T00:00:00"/>
    <n v="49"/>
    <s v="FEJS-50"/>
    <x v="1"/>
    <n v="7121.5"/>
    <x v="319"/>
    <n v="65161725"/>
    <n v="15"/>
    <n v="4502462079"/>
    <n v="5084895646"/>
    <n v="5113784166"/>
    <m/>
    <s v="CON RETEN"/>
    <m/>
    <x v="0"/>
    <d v="2022-12-02T00:00:00"/>
    <m/>
    <m/>
    <m/>
    <m/>
    <m/>
    <m/>
    <m/>
    <m/>
    <d v="2022-12-02T00:00:00"/>
    <x v="12"/>
  </r>
  <r>
    <s v="Jorge Ignacio Sanchez Restrepo"/>
    <d v="2022-12-02T00:00:00"/>
    <d v="2022-12-07T00:00:00"/>
    <n v="49"/>
    <s v="ND6"/>
    <x v="1"/>
    <n v="7121.5"/>
    <x v="586"/>
    <n v="185159"/>
    <n v="0"/>
    <n v="4502462079"/>
    <n v="5084895646"/>
    <n v="5113784248"/>
    <m/>
    <m/>
    <m/>
    <x v="0"/>
    <d v="2022-12-02T00:00:00"/>
    <m/>
    <m/>
    <m/>
    <m/>
    <m/>
    <m/>
    <m/>
    <m/>
    <d v="2022-12-02T00:00:00"/>
    <x v="12"/>
  </r>
  <r>
    <s v="Sociedad Comercializadora Ganadera"/>
    <d v="2022-12-06T00:00:00"/>
    <d v="2022-12-06T00:00:00"/>
    <n v="49"/>
    <s v="FEDV529"/>
    <x v="2"/>
    <n v="15145"/>
    <x v="278"/>
    <n v="139334000"/>
    <n v="30"/>
    <n v="4502462080"/>
    <n v="5084895225"/>
    <n v="5113783098"/>
    <m/>
    <s v="TIENE BL"/>
    <m/>
    <x v="0"/>
    <d v="2022-12-02T00:00:00"/>
    <m/>
    <m/>
    <m/>
    <m/>
    <m/>
    <m/>
    <m/>
    <m/>
    <d v="2022-12-02T00:00:00"/>
    <x v="12"/>
  </r>
  <r>
    <s v="Inversiones Urbagro S.A.S"/>
    <d v="2022-12-20T00:00:00"/>
    <d v="2022-12-20T00:00:00"/>
    <n v="49"/>
    <s v="FE-31"/>
    <x v="2"/>
    <n v="23915.5"/>
    <x v="251"/>
    <n v="212847950"/>
    <n v="60"/>
    <n v="4502462081"/>
    <n v="5084895647"/>
    <n v="5113819893"/>
    <m/>
    <s v="CON RETEN"/>
    <m/>
    <x v="0"/>
    <d v="2022-12-02T00:00:00"/>
    <m/>
    <m/>
    <m/>
    <m/>
    <m/>
    <m/>
    <m/>
    <m/>
    <d v="2022-12-02T00:00:00"/>
    <x v="12"/>
  </r>
  <r>
    <s v="Inversiones Urbagro S.A.S"/>
    <d v="2022-12-20T00:00:00"/>
    <d v="2022-12-20T00:00:00"/>
    <n v="49"/>
    <s v="NC20"/>
    <x v="2"/>
    <n v="23915.5"/>
    <x v="708"/>
    <n v="-3618175.9950000211"/>
    <n v="0"/>
    <n v="4502462081"/>
    <n v="5084895647"/>
    <n v="5113819894"/>
    <m/>
    <m/>
    <m/>
    <x v="0"/>
    <d v="2022-12-02T00:00:00"/>
    <m/>
    <m/>
    <m/>
    <m/>
    <m/>
    <m/>
    <m/>
    <m/>
    <d v="2022-12-02T00:00:00"/>
    <x v="12"/>
  </r>
  <r>
    <s v="Agroinversiones El Recreo S.A.S ZOMAC"/>
    <d v="2022-12-06T00:00:00"/>
    <m/>
    <n v="49"/>
    <s v="AGRO-43"/>
    <x v="2"/>
    <n v="12467"/>
    <x v="244"/>
    <n v="109709600"/>
    <n v="28"/>
    <n v="4502462082"/>
    <n v="5084895555"/>
    <n v="5113786318"/>
    <m/>
    <s v="CON RETEN"/>
    <s v="$1645644 Reten "/>
    <x v="0"/>
    <d v="2022-12-02T00:00:00"/>
    <m/>
    <m/>
    <m/>
    <m/>
    <m/>
    <m/>
    <m/>
    <m/>
    <d v="2022-12-02T00:00:00"/>
    <x v="12"/>
  </r>
  <r>
    <s v="Agroinversiones El Recreo S.A.S ZOMAC"/>
    <d v="2022-12-06T00:00:00"/>
    <m/>
    <n v="49"/>
    <s v="NE3"/>
    <x v="2"/>
    <n v="12467"/>
    <x v="709"/>
    <n v="-1362144.4200000027"/>
    <n v="0"/>
    <n v="4502462082"/>
    <n v="5084895555"/>
    <n v="5113786319"/>
    <m/>
    <m/>
    <s v="beneficio 25% 411411 total 1.234.233"/>
    <x v="0"/>
    <d v="2022-12-02T00:00:00"/>
    <m/>
    <m/>
    <m/>
    <m/>
    <m/>
    <m/>
    <m/>
    <m/>
    <d v="2022-12-02T00:00:00"/>
    <x v="12"/>
  </r>
  <r>
    <s v="Ciro Alfonso Castilla Baez"/>
    <d v="2022-12-07T00:00:00"/>
    <d v="2022-12-07T00:00:00"/>
    <n v="49"/>
    <s v="FE-16"/>
    <x v="2"/>
    <n v="7311.5"/>
    <x v="219"/>
    <n v="63975625"/>
    <n v="14"/>
    <n v="4502462084"/>
    <n v="5084895556"/>
    <n v="5113786279"/>
    <m/>
    <s v="TIENE BL"/>
    <m/>
    <x v="0"/>
    <d v="2022-12-02T00:00:00"/>
    <m/>
    <m/>
    <m/>
    <m/>
    <m/>
    <m/>
    <m/>
    <m/>
    <d v="2022-12-02T00:00:00"/>
    <x v="12"/>
  </r>
  <r>
    <s v="Luis Francisco Pereira Florez"/>
    <d v="2022-12-02T00:00:00"/>
    <d v="2022-12-06T00:00:00"/>
    <n v="49"/>
    <s v="FP1-4"/>
    <x v="2"/>
    <n v="7326.5"/>
    <x v="219"/>
    <n v="64106875"/>
    <n v="15"/>
    <n v="4502462086"/>
    <n v="5084895557"/>
    <n v="5113781816"/>
    <m/>
    <s v="CON RETEN"/>
    <m/>
    <x v="0"/>
    <d v="2022-12-02T00:00:00"/>
    <m/>
    <m/>
    <m/>
    <m/>
    <m/>
    <m/>
    <m/>
    <m/>
    <d v="2022-12-02T00:00:00"/>
    <x v="12"/>
  </r>
  <r>
    <s v="Agropecuaria Bajogrande S.A."/>
    <d v="2022-12-12T00:00:00"/>
    <m/>
    <n v="49"/>
    <s v="AB-774"/>
    <x v="2"/>
    <n v="20312"/>
    <x v="219"/>
    <n v="177730000"/>
    <n v="42"/>
    <n v="4502465606"/>
    <n v="5084929798"/>
    <n v="5113796584"/>
    <m/>
    <s v="CON RETEN"/>
    <m/>
    <x v="1"/>
    <d v="2022-12-02T00:00:00"/>
    <m/>
    <m/>
    <m/>
    <m/>
    <m/>
    <m/>
    <m/>
    <m/>
    <d v="2022-12-02T00:00:00"/>
    <x v="12"/>
  </r>
  <r>
    <s v="Agropecuaria Bajogrande S.A."/>
    <d v="2022-12-13T00:00:00"/>
    <m/>
    <n v="49"/>
    <s v="ND2"/>
    <x v="2"/>
    <n v="20312"/>
    <x v="584"/>
    <n v="487488"/>
    <n v="0"/>
    <n v="4502465606"/>
    <n v="5084929798"/>
    <n v="5113800802"/>
    <m/>
    <m/>
    <m/>
    <x v="1"/>
    <d v="2022-12-02T00:00:00"/>
    <m/>
    <m/>
    <m/>
    <m/>
    <m/>
    <m/>
    <m/>
    <m/>
    <d v="2022-12-02T00:00:00"/>
    <x v="12"/>
  </r>
  <r>
    <s v="Surtidora Agropecuaria De Colombia"/>
    <d v="2022-12-02T00:00:00"/>
    <d v="2022-12-06T00:00:00"/>
    <n v="49"/>
    <s v="FESA-67"/>
    <x v="2"/>
    <n v="25252"/>
    <x v="244"/>
    <n v="222217600"/>
    <n v="56"/>
    <n v="4502465614"/>
    <n v="5084929804"/>
    <n v="5113786719"/>
    <m/>
    <s v="TIENE BL"/>
    <m/>
    <x v="1"/>
    <d v="2022-12-02T00:00:00"/>
    <m/>
    <m/>
    <m/>
    <m/>
    <m/>
    <m/>
    <m/>
    <m/>
    <d v="2022-12-02T00:00:00"/>
    <x v="12"/>
  </r>
  <r>
    <s v="Inversiones Valle Del Canalete S.A.S"/>
    <d v="2022-12-03T00:00:00"/>
    <d v="2022-12-12T00:00:00"/>
    <n v="49"/>
    <s v="IVC-163"/>
    <x v="2"/>
    <n v="24963"/>
    <x v="219"/>
    <n v="218426250"/>
    <n v="56"/>
    <n v="4502465633"/>
    <n v="5084929861"/>
    <n v="5113783139"/>
    <m/>
    <s v="CON RETEN"/>
    <m/>
    <x v="1"/>
    <d v="2022-12-02T00:00:00"/>
    <m/>
    <m/>
    <m/>
    <m/>
    <m/>
    <m/>
    <m/>
    <m/>
    <d v="2022-12-02T00:00:00"/>
    <x v="12"/>
  </r>
  <r>
    <s v="LA OKA S.A.S."/>
    <d v="2022-12-06T00:00:00"/>
    <m/>
    <n v="49"/>
    <s v="FEOK-89"/>
    <x v="0"/>
    <n v="6690.5"/>
    <x v="244"/>
    <n v="58876400"/>
    <n v="14"/>
    <n v="4502462087"/>
    <n v="5084895635"/>
    <n v="5113783170"/>
    <m/>
    <s v="CON RETEN"/>
    <m/>
    <x v="0"/>
    <d v="2022-12-03T00:00:00"/>
    <m/>
    <m/>
    <m/>
    <m/>
    <m/>
    <m/>
    <m/>
    <m/>
    <d v="2022-12-03T00:00:00"/>
    <x v="12"/>
  </r>
  <r>
    <s v="LA OKA S.A.S."/>
    <d v="2022-12-06T00:00:00"/>
    <m/>
    <n v="49"/>
    <s v="NC220"/>
    <x v="0"/>
    <n v="6690.5"/>
    <x v="13"/>
    <n v="-334525"/>
    <n v="0"/>
    <n v="4502462087"/>
    <n v="5084895635"/>
    <n v="5113783173"/>
    <m/>
    <m/>
    <m/>
    <x v="0"/>
    <d v="2022-12-03T00:00:00"/>
    <m/>
    <m/>
    <m/>
    <m/>
    <m/>
    <m/>
    <m/>
    <m/>
    <d v="2022-12-03T00:00:00"/>
    <x v="12"/>
  </r>
  <r>
    <s v="Fernando Arevalo Reyes"/>
    <d v="2022-12-03T00:00:00"/>
    <m/>
    <n v="49"/>
    <s v="FVE-188"/>
    <x v="2"/>
    <n v="12283"/>
    <x v="219"/>
    <n v="107476250"/>
    <n v="30"/>
    <n v="4502462088"/>
    <n v="5084895644"/>
    <n v="5113790023"/>
    <m/>
    <s v="TIENE BL"/>
    <m/>
    <x v="0"/>
    <d v="2022-12-03T00:00:00"/>
    <m/>
    <m/>
    <m/>
    <m/>
    <m/>
    <m/>
    <m/>
    <m/>
    <d v="2022-12-03T00:00:00"/>
    <x v="12"/>
  </r>
  <r>
    <s v="Fernando Arevalo Reyes"/>
    <d v="2022-12-03T00:00:00"/>
    <m/>
    <n v="49"/>
    <s v="NC45"/>
    <x v="2"/>
    <n v="12283"/>
    <x v="710"/>
    <n v="-724942.66000000539"/>
    <n v="0"/>
    <n v="4502462088"/>
    <n v="5084895644"/>
    <n v="5113790024"/>
    <m/>
    <m/>
    <m/>
    <x v="0"/>
    <d v="2022-12-03T00:00:00"/>
    <m/>
    <m/>
    <m/>
    <m/>
    <m/>
    <m/>
    <m/>
    <m/>
    <d v="2022-12-03T00:00:00"/>
    <x v="12"/>
  </r>
  <r>
    <s v="Juan Alberto Saldarriaga Marin"/>
    <d v="2022-12-03T00:00:00"/>
    <m/>
    <n v="49"/>
    <n v="6194"/>
    <x v="2"/>
    <n v="12517"/>
    <x v="273"/>
    <n v="113904700"/>
    <n v="30"/>
    <n v="4502462089"/>
    <n v="5084895645"/>
    <n v="5113796962"/>
    <m/>
    <s v="TIENE BL"/>
    <s v="IN268585"/>
    <x v="0"/>
    <d v="2022-12-03T00:00:00"/>
    <m/>
    <m/>
    <m/>
    <m/>
    <m/>
    <m/>
    <m/>
    <m/>
    <d v="2022-12-03T00:00:00"/>
    <x v="12"/>
  </r>
  <r>
    <s v="Juan Alberto Saldarriaga Marin"/>
    <d v="2022-12-03T00:00:00"/>
    <m/>
    <n v="49"/>
    <s v="NC1135"/>
    <x v="2"/>
    <n v="12517"/>
    <x v="711"/>
    <n v="-1073332.75"/>
    <n v="0"/>
    <n v="4502462089"/>
    <n v="5084895645"/>
    <n v="5113796963"/>
    <m/>
    <m/>
    <m/>
    <x v="0"/>
    <d v="2022-12-03T00:00:00"/>
    <m/>
    <m/>
    <m/>
    <m/>
    <m/>
    <m/>
    <m/>
    <m/>
    <d v="2022-12-03T00:00:00"/>
    <x v="12"/>
  </r>
  <r>
    <s v="Rafael Francisco Delgado Serrano"/>
    <d v="2022-12-07T00:00:00"/>
    <m/>
    <n v="49"/>
    <s v="RFDS-201"/>
    <x v="2"/>
    <n v="6456.5"/>
    <x v="283"/>
    <n v="57140025"/>
    <n v="14"/>
    <n v="4502462090"/>
    <n v="5084895637"/>
    <n v="5113787504"/>
    <m/>
    <s v="CON RETEN"/>
    <m/>
    <x v="0"/>
    <d v="2022-12-03T00:00:00"/>
    <m/>
    <m/>
    <m/>
    <m/>
    <m/>
    <m/>
    <m/>
    <m/>
    <d v="2022-12-03T00:00:00"/>
    <x v="12"/>
  </r>
  <r>
    <s v="Sociedad Comercializadora Ganadera"/>
    <d v="2022-12-06T00:00:00"/>
    <d v="2022-12-06T00:00:00"/>
    <n v="49"/>
    <s v="FEDV530"/>
    <x v="2"/>
    <n v="14761.5"/>
    <x v="278"/>
    <n v="135805800"/>
    <n v="30"/>
    <n v="4502462091"/>
    <n v="5084895659"/>
    <n v="5113786321"/>
    <m/>
    <s v="TIENE BL"/>
    <m/>
    <x v="0"/>
    <d v="2022-12-03T00:00:00"/>
    <m/>
    <m/>
    <m/>
    <m/>
    <m/>
    <m/>
    <m/>
    <m/>
    <d v="2022-12-03T00:00:00"/>
    <x v="12"/>
  </r>
  <r>
    <s v="David Martinez Jaramillo"/>
    <d v="2022-12-04T00:00:00"/>
    <d v="2022-12-07T00:00:00"/>
    <n v="49"/>
    <s v="DM-324"/>
    <x v="1"/>
    <n v="21694.5"/>
    <x v="273"/>
    <n v="197419950"/>
    <n v="45"/>
    <n v="4502462092"/>
    <n v="5084907526"/>
    <n v="5113786693"/>
    <m/>
    <s v="TIENE BL"/>
    <m/>
    <x v="0"/>
    <d v="2022-12-04T00:00:00"/>
    <m/>
    <m/>
    <m/>
    <m/>
    <m/>
    <m/>
    <m/>
    <m/>
    <d v="2022-12-04T00:00:00"/>
    <x v="12"/>
  </r>
  <r>
    <s v="David Martinez Jaramillo"/>
    <d v="2022-12-06T00:00:00"/>
    <d v="2022-12-07T00:00:00"/>
    <n v="49"/>
    <s v="NC102"/>
    <x v="1"/>
    <n v="21694.5"/>
    <x v="712"/>
    <n v="-3822137.0100000063"/>
    <n v="0"/>
    <n v="4502462092"/>
    <n v="5084907526"/>
    <n v="5113786696"/>
    <m/>
    <m/>
    <m/>
    <x v="0"/>
    <d v="2022-12-04T00:00:00"/>
    <m/>
    <m/>
    <m/>
    <m/>
    <m/>
    <m/>
    <m/>
    <m/>
    <d v="2022-12-04T00:00:00"/>
    <x v="12"/>
  </r>
  <r>
    <s v="Sociedad Comercializadora Ganadera"/>
    <d v="2022-12-08T00:00:00"/>
    <d v="2022-12-08T00:00:00"/>
    <n v="49"/>
    <s v="FEDV532"/>
    <x v="1"/>
    <n v="14396"/>
    <x v="278"/>
    <n v="132443200"/>
    <n v="30"/>
    <n v="4502462093"/>
    <n v="5084907527"/>
    <n v="5113790054"/>
    <m/>
    <s v="TIENE BL"/>
    <m/>
    <x v="0"/>
    <d v="2022-12-04T00:00:00"/>
    <m/>
    <m/>
    <m/>
    <m/>
    <m/>
    <m/>
    <m/>
    <m/>
    <d v="2022-12-04T00:00:00"/>
    <x v="12"/>
  </r>
  <r>
    <s v="Sociedad Comercializadora Ganadera"/>
    <d v="2022-12-08T00:00:00"/>
    <d v="2022-12-08T00:00:00"/>
    <n v="49"/>
    <s v="NC275"/>
    <x v="1"/>
    <n v="14396"/>
    <x v="11"/>
    <n v="-2159400"/>
    <n v="0"/>
    <n v="4502462093"/>
    <n v="5084907527"/>
    <n v="5113790055"/>
    <m/>
    <m/>
    <m/>
    <x v="0"/>
    <d v="2022-12-04T00:00:00"/>
    <m/>
    <m/>
    <m/>
    <m/>
    <m/>
    <m/>
    <m/>
    <m/>
    <d v="2022-12-04T00:00:00"/>
    <x v="12"/>
  </r>
  <r>
    <s v="Sociedad Comercializadora Ganadera"/>
    <d v="2022-12-08T00:00:00"/>
    <d v="2022-12-08T00:00:00"/>
    <n v="49"/>
    <s v="FEDV531"/>
    <x v="1"/>
    <n v="7488"/>
    <x v="278"/>
    <n v="68889600"/>
    <n v="15"/>
    <n v="4502462093"/>
    <n v="5084907527"/>
    <n v="5113790107"/>
    <m/>
    <s v="TIENE BL"/>
    <m/>
    <x v="0"/>
    <d v="2022-12-04T00:00:00"/>
    <m/>
    <m/>
    <m/>
    <m/>
    <m/>
    <m/>
    <m/>
    <m/>
    <d v="2022-12-04T00:00:00"/>
    <x v="12"/>
  </r>
  <r>
    <s v="Juan Alberto Saldarriaga Marin"/>
    <d v="2022-12-04T00:00:00"/>
    <m/>
    <n v="49"/>
    <n v="6193"/>
    <x v="4"/>
    <n v="32042"/>
    <x v="713"/>
    <n v="289610655.73999995"/>
    <n v="71"/>
    <n v="4502465284"/>
    <n v="5084926199"/>
    <n v="5113796965"/>
    <m/>
    <s v="TIENE BL"/>
    <m/>
    <x v="7"/>
    <d v="2022-12-04T00:00:00"/>
    <m/>
    <m/>
    <m/>
    <m/>
    <m/>
    <m/>
    <m/>
    <m/>
    <d v="2022-12-04T00:00:00"/>
    <x v="12"/>
  </r>
  <r>
    <s v="Sociedad Comercializadora Ganadera"/>
    <d v="2022-12-08T00:00:00"/>
    <d v="2022-12-08T00:00:00"/>
    <n v="49"/>
    <s v="FEDV533"/>
    <x v="4"/>
    <n v="45340"/>
    <x v="714"/>
    <n v="417089461"/>
    <n v="90"/>
    <n v="4502465287"/>
    <n v="5084926205"/>
    <n v="5113790108"/>
    <m/>
    <s v="TIENE BL"/>
    <m/>
    <x v="7"/>
    <d v="2022-12-04T00:00:00"/>
    <m/>
    <m/>
    <m/>
    <m/>
    <m/>
    <m/>
    <m/>
    <m/>
    <d v="2022-12-04T00:00:00"/>
    <x v="12"/>
  </r>
  <r>
    <s v="Inversiones Valle Del Canalete S.A.S"/>
    <d v="2022-12-03T00:00:00"/>
    <d v="2022-12-12T00:00:00"/>
    <n v="49"/>
    <s v="IVC-164"/>
    <x v="2"/>
    <n v="24963"/>
    <x v="584"/>
    <n v="599112"/>
    <n v="0"/>
    <n v="4502465633"/>
    <n v="5084929861"/>
    <n v="5113783142"/>
    <m/>
    <m/>
    <m/>
    <x v="1"/>
    <d v="2022-12-02T00:00:00"/>
    <m/>
    <m/>
    <m/>
    <m/>
    <m/>
    <m/>
    <m/>
    <m/>
    <d v="2022-12-02T00:00:00"/>
    <x v="12"/>
  </r>
  <r>
    <s v="Agropecuaria El Uberrimo S.A.S"/>
    <d v="2022-12-04T00:00:00"/>
    <m/>
    <n v="49"/>
    <s v="FE299"/>
    <x v="2"/>
    <n v="15596"/>
    <x v="244"/>
    <n v="137244800"/>
    <n v="28"/>
    <n v="4502465766"/>
    <n v="5084936181"/>
    <n v="5113796582"/>
    <m/>
    <s v="CON RETEN"/>
    <m/>
    <x v="1"/>
    <d v="2022-12-04T00:00:00"/>
    <m/>
    <m/>
    <m/>
    <m/>
    <m/>
    <m/>
    <m/>
    <m/>
    <d v="2022-12-04T00:00:00"/>
    <x v="12"/>
  </r>
  <r>
    <s v="2H Agropecuaria S.A.S."/>
    <d v="2022-12-05T00:00:00"/>
    <d v="2022-12-07T00:00:00"/>
    <n v="49"/>
    <s v="FE2H51"/>
    <x v="2"/>
    <n v="13089"/>
    <x v="715"/>
    <n v="115143802.11"/>
    <n v="28"/>
    <n v="4502465767"/>
    <n v="5084936186"/>
    <n v="5113786865"/>
    <m/>
    <s v="CON RETEN"/>
    <m/>
    <x v="1"/>
    <d v="2022-12-04T00:00:00"/>
    <m/>
    <m/>
    <m/>
    <m/>
    <m/>
    <m/>
    <m/>
    <m/>
    <d v="2022-12-04T00:00:00"/>
    <x v="12"/>
  </r>
  <r>
    <s v="Manuel Antonio Anniccharico Vuelva"/>
    <d v="2022-12-07T00:00:00"/>
    <d v="2022-12-07T00:00:00"/>
    <n v="49"/>
    <s v="FMA-36"/>
    <x v="2"/>
    <n v="14230"/>
    <x v="244"/>
    <n v="125224000"/>
    <n v="28"/>
    <n v="4502465768"/>
    <n v="5084936213"/>
    <n v="5113786868"/>
    <m/>
    <s v="CON RETEN"/>
    <m/>
    <x v="1"/>
    <d v="2022-12-04T00:00:00"/>
    <m/>
    <m/>
    <m/>
    <m/>
    <m/>
    <m/>
    <m/>
    <m/>
    <d v="2022-12-04T00:00:00"/>
    <x v="12"/>
  </r>
  <r>
    <s v="Luis Fernando Rojas Prada"/>
    <d v="2022-12-07T00:00:00"/>
    <d v="2022-12-07T00:00:00"/>
    <n v="49"/>
    <s v="FELC-1135"/>
    <x v="0"/>
    <n v="61201"/>
    <x v="716"/>
    <n v="526210482.06999999"/>
    <n v="126"/>
    <n v="4502465644"/>
    <n v="5084929865"/>
    <n v="5113786930"/>
    <s v="TIENE BL"/>
    <m/>
    <m/>
    <x v="4"/>
    <d v="2022-12-04T00:00:00"/>
    <m/>
    <m/>
    <m/>
    <m/>
    <m/>
    <m/>
    <m/>
    <m/>
    <d v="2022-12-04T00:00:00"/>
    <x v="12"/>
  </r>
  <r>
    <s v="Henry Humberto Cano Avila"/>
    <d v="2022-12-08T00:00:00"/>
    <m/>
    <n v="49"/>
    <s v="FEHC517"/>
    <x v="0"/>
    <n v="6608"/>
    <x v="717"/>
    <n v="56421482.880000003"/>
    <n v="15"/>
    <n v="4502465646"/>
    <n v="5084930138"/>
    <n v="5113800815"/>
    <m/>
    <m/>
    <s v="CON RETEN "/>
    <x v="4"/>
    <d v="2022-12-04T00:00:00"/>
    <m/>
    <m/>
    <m/>
    <m/>
    <m/>
    <m/>
    <m/>
    <m/>
    <d v="2022-12-04T00:00:00"/>
    <x v="12"/>
  </r>
  <r>
    <s v="Almadar LTDA"/>
    <d v="2022-12-09T00:00:00"/>
    <d v="2022-12-09T00:00:00"/>
    <n v="49"/>
    <s v="FEAL46"/>
    <x v="0"/>
    <n v="7274.5"/>
    <x v="219"/>
    <n v="63651875"/>
    <n v="14"/>
    <n v="4502462094"/>
    <n v="5084921291"/>
    <n v="5113803035"/>
    <m/>
    <s v="TIENE BL"/>
    <s v="IN268585"/>
    <x v="0"/>
    <d v="2022-12-05T00:00:00"/>
    <m/>
    <m/>
    <m/>
    <m/>
    <m/>
    <m/>
    <m/>
    <m/>
    <d v="2022-12-05T00:00:00"/>
    <x v="12"/>
  </r>
  <r>
    <s v="Almadar LTDA"/>
    <d v="2022-12-09T00:00:00"/>
    <d v="2022-12-09T00:00:00"/>
    <n v="49"/>
    <s v="NCR4"/>
    <x v="0"/>
    <n v="7274.5"/>
    <x v="718"/>
    <n v="-914259.16000000213"/>
    <n v="0"/>
    <n v="4502462094"/>
    <n v="5084921291"/>
    <n v="5113803049"/>
    <m/>
    <s v="SR3022456"/>
    <s v="IN268585"/>
    <x v="0"/>
    <d v="2022-12-05T00:00:00"/>
    <m/>
    <m/>
    <m/>
    <m/>
    <m/>
    <m/>
    <m/>
    <m/>
    <d v="2022-12-05T00:00:00"/>
    <x v="12"/>
  </r>
  <r>
    <s v="Miguel Antonio Carrascal Pacheco"/>
    <d v="2022-12-07T00:00:00"/>
    <d v="2022-12-10T00:00:00"/>
    <n v="49"/>
    <s v="MACP5"/>
    <x v="0"/>
    <n v="18791"/>
    <x v="244"/>
    <n v="165360800"/>
    <n v="45"/>
    <n v="4502462095"/>
    <n v="5084921523"/>
    <n v="5113797396"/>
    <m/>
    <s v="TIENE BL"/>
    <m/>
    <x v="0"/>
    <d v="2022-12-05T00:00:00"/>
    <m/>
    <m/>
    <m/>
    <m/>
    <m/>
    <m/>
    <m/>
    <m/>
    <d v="2022-12-05T00:00:00"/>
    <x v="12"/>
  </r>
  <r>
    <s v="Miguel Antonio Carrascal Pacheco"/>
    <d v="2022-12-10T00:00:00"/>
    <d v="2022-12-10T00:00:00"/>
    <n v="49"/>
    <s v="NCR48"/>
    <x v="0"/>
    <n v="18791"/>
    <x v="719"/>
    <n v="-2297011.8399999961"/>
    <n v="0"/>
    <n v="4502462095"/>
    <n v="5084921523"/>
    <n v="5113797410"/>
    <m/>
    <m/>
    <m/>
    <x v="0"/>
    <d v="2022-12-05T00:00:00"/>
    <m/>
    <m/>
    <m/>
    <m/>
    <m/>
    <m/>
    <m/>
    <m/>
    <d v="2022-12-05T00:00:00"/>
    <x v="12"/>
  </r>
  <r>
    <s v="Invegarey S.A.S"/>
    <d v="2022-12-22T00:00:00"/>
    <m/>
    <n v="49"/>
    <s v="INV-85"/>
    <x v="0"/>
    <n v="13580"/>
    <x v="244"/>
    <n v="119504000"/>
    <n v="30"/>
    <n v="4502462096"/>
    <n v="5084921292"/>
    <n v="5113829137"/>
    <m/>
    <s v="CON RETEN"/>
    <m/>
    <x v="0"/>
    <d v="2022-12-05T00:00:00"/>
    <m/>
    <m/>
    <m/>
    <m/>
    <m/>
    <m/>
    <m/>
    <m/>
    <d v="2022-12-05T00:00:00"/>
    <x v="12"/>
  </r>
  <r>
    <s v="Invegarey S.A.S"/>
    <d v="2022-12-22T00:00:00"/>
    <m/>
    <n v="49"/>
    <s v="INC11"/>
    <x v="0"/>
    <n v="13580"/>
    <x v="13"/>
    <n v="-679000"/>
    <n v="0"/>
    <n v="4502462096"/>
    <n v="5084921292"/>
    <n v="5113829139"/>
    <m/>
    <m/>
    <m/>
    <x v="0"/>
    <d v="2022-12-05T00:00:00"/>
    <m/>
    <m/>
    <m/>
    <m/>
    <m/>
    <m/>
    <m/>
    <m/>
    <d v="2022-12-05T00:00:00"/>
    <x v="12"/>
  </r>
  <r>
    <s v="Sociedad Comercializadora Ganadera"/>
    <d v="2022-12-08T00:00:00"/>
    <d v="2022-12-08T00:00:00"/>
    <n v="49"/>
    <s v="FEDV534"/>
    <x v="4"/>
    <n v="37418"/>
    <x v="720"/>
    <n v="344206311.10000002"/>
    <n v="75"/>
    <n v="4502467077"/>
    <n v="5084959487"/>
    <n v="5113790113"/>
    <m/>
    <s v="TIENE BL"/>
    <m/>
    <x v="7"/>
    <d v="2022-12-05T00:00:00"/>
    <m/>
    <m/>
    <m/>
    <m/>
    <m/>
    <m/>
    <m/>
    <m/>
    <d v="2022-12-05T00:00:00"/>
    <x v="12"/>
  </r>
  <r>
    <s v="Nestor De Jesus Buitrago Trujillo"/>
    <d v="2022-12-06T00:00:00"/>
    <m/>
    <n v="49"/>
    <s v="NGAE-33"/>
    <x v="4"/>
    <n v="15152"/>
    <x v="721"/>
    <n v="136246026.40000001"/>
    <n v="28"/>
    <n v="4502467078"/>
    <n v="5084959582"/>
    <n v="5113796670"/>
    <m/>
    <s v="CON RETEN"/>
    <m/>
    <x v="7"/>
    <d v="2022-12-05T00:00:00"/>
    <m/>
    <m/>
    <m/>
    <m/>
    <m/>
    <m/>
    <m/>
    <m/>
    <d v="2022-12-05T00:00:00"/>
    <x v="12"/>
  </r>
  <r>
    <s v="Industria Ganadera Hato Cebu S.A."/>
    <d v="2022-12-07T00:00:00"/>
    <d v="2022-12-07T00:00:00"/>
    <n v="49"/>
    <s v="FEHC401"/>
    <x v="4"/>
    <n v="13692"/>
    <x v="294"/>
    <n v="123912600"/>
    <n v="28"/>
    <n v="4502467079"/>
    <n v="5084959708"/>
    <n v="5113786927"/>
    <m/>
    <s v="CON RETEN"/>
    <m/>
    <x v="7"/>
    <d v="2022-12-05T00:00:00"/>
    <m/>
    <m/>
    <m/>
    <m/>
    <m/>
    <m/>
    <m/>
    <m/>
    <d v="2022-12-05T00:00:00"/>
    <x v="12"/>
  </r>
  <r>
    <s v="David Martinez Jaramillo"/>
    <d v="2022-12-09T00:00:00"/>
    <m/>
    <n v="49"/>
    <s v="DM-329"/>
    <x v="0"/>
    <n v="7789.5"/>
    <x v="273"/>
    <n v="70884450"/>
    <n v="15"/>
    <n v="4502462098"/>
    <n v="5084940111"/>
    <n v="5113792217"/>
    <m/>
    <s v="TIENE BL"/>
    <m/>
    <x v="0"/>
    <d v="2022-12-06T00:00:00"/>
    <m/>
    <m/>
    <m/>
    <m/>
    <m/>
    <m/>
    <m/>
    <m/>
    <d v="2022-12-06T00:00:00"/>
    <x v="12"/>
  </r>
  <r>
    <s v="David Martinez Jaramillo"/>
    <d v="2022-12-09T00:00:00"/>
    <m/>
    <n v="49"/>
    <s v="NC103"/>
    <x v="0"/>
    <n v="7789.5"/>
    <x v="722"/>
    <n v="-1071757.3050000011"/>
    <n v="0"/>
    <n v="4502462098"/>
    <n v="5084940111"/>
    <n v="5113792218"/>
    <m/>
    <m/>
    <m/>
    <x v="0"/>
    <d v="2022-12-06T00:00:00"/>
    <m/>
    <m/>
    <m/>
    <m/>
    <m/>
    <m/>
    <m/>
    <m/>
    <d v="2022-12-06T00:00:00"/>
    <x v="12"/>
  </r>
  <r>
    <s v="Lina Maria Pelaez Gomez"/>
    <d v="2022-12-09T00:00:00"/>
    <d v="2022-12-12T00:00:00"/>
    <n v="49"/>
    <s v="LP125"/>
    <x v="0"/>
    <n v="13966"/>
    <x v="273"/>
    <n v="127090600"/>
    <n v="30"/>
    <n v="4502462099"/>
    <n v="5084940114"/>
    <n v="5113791919"/>
    <m/>
    <s v="CON RETEN"/>
    <m/>
    <x v="0"/>
    <d v="2022-12-06T00:00:00"/>
    <m/>
    <m/>
    <m/>
    <m/>
    <m/>
    <m/>
    <m/>
    <m/>
    <d v="2022-12-06T00:00:00"/>
    <x v="12"/>
  </r>
  <r>
    <s v="Lina Maria Pelaez Gomez"/>
    <d v="2022-12-09T00:00:00"/>
    <d v="2022-12-12T00:00:00"/>
    <n v="49"/>
    <s v="NC94"/>
    <x v="0"/>
    <n v="13966"/>
    <x v="723"/>
    <n v="-3222794.1600000029"/>
    <n v="0"/>
    <n v="4502462099"/>
    <n v="5084940114"/>
    <n v="5113791921"/>
    <m/>
    <m/>
    <m/>
    <x v="0"/>
    <d v="2022-12-06T00:00:00"/>
    <m/>
    <m/>
    <m/>
    <m/>
    <m/>
    <m/>
    <m/>
    <m/>
    <d v="2022-12-06T00:00:00"/>
    <x v="12"/>
  </r>
  <r>
    <s v="Miguel Antonio Carrascal Pacheco"/>
    <d v="2022-12-10T00:00:00"/>
    <d v="2022-12-10T00:00:00"/>
    <n v="49"/>
    <s v="MACP6"/>
    <x v="0"/>
    <n v="12900.5"/>
    <x v="244"/>
    <n v="113524400"/>
    <n v="30"/>
    <n v="4502462100"/>
    <n v="5084941378"/>
    <n v="5113797416"/>
    <m/>
    <s v="TIENE BL"/>
    <m/>
    <x v="0"/>
    <d v="2022-12-06T00:00:00"/>
    <m/>
    <m/>
    <m/>
    <m/>
    <m/>
    <m/>
    <m/>
    <m/>
    <d v="2022-12-06T00:00:00"/>
    <x v="12"/>
  </r>
  <r>
    <s v="Miguel Antonio Carrascal Pacheco"/>
    <d v="2022-12-10T00:00:00"/>
    <d v="2022-12-10T00:00:00"/>
    <n v="49"/>
    <s v="NCR49"/>
    <x v="0"/>
    <n v="12900.5"/>
    <x v="724"/>
    <n v="-2123164.2899999991"/>
    <n v="0"/>
    <n v="4502462100"/>
    <n v="5084941378"/>
    <n v="5113797438"/>
    <m/>
    <m/>
    <m/>
    <x v="0"/>
    <d v="2022-12-06T00:00:00"/>
    <m/>
    <m/>
    <m/>
    <m/>
    <m/>
    <m/>
    <m/>
    <m/>
    <d v="2022-12-06T00:00:00"/>
    <x v="12"/>
  </r>
  <r>
    <s v="Jorge Armando Ortega Trigos"/>
    <d v="2022-12-06T00:00:00"/>
    <m/>
    <n v="49"/>
    <s v="FVE42"/>
    <x v="0"/>
    <n v="7111.5"/>
    <x v="219"/>
    <n v="62225625"/>
    <n v="15"/>
    <n v="4502463260"/>
    <n v="5084940116"/>
    <n v="5113797441"/>
    <m/>
    <s v="TIENE BL"/>
    <m/>
    <x v="0"/>
    <d v="2022-12-06T00:00:00"/>
    <m/>
    <m/>
    <m/>
    <m/>
    <m/>
    <m/>
    <m/>
    <m/>
    <d v="2022-12-06T00:00:00"/>
    <x v="12"/>
  </r>
  <r>
    <s v="Agropecuaria Tabaida S.A.S"/>
    <d v="2022-12-06T00:00:00"/>
    <d v="2022-12-13T00:00:00"/>
    <n v="49"/>
    <s v="MT-1697"/>
    <x v="2"/>
    <n v="39069"/>
    <x v="219"/>
    <n v="341853750"/>
    <n v="84"/>
    <n v="4502467716"/>
    <n v="5084969394"/>
    <n v="5113800850"/>
    <m/>
    <s v="TIENE BL "/>
    <s v="IN268585"/>
    <x v="1"/>
    <d v="2022-12-06T00:00:00"/>
    <m/>
    <m/>
    <m/>
    <m/>
    <m/>
    <m/>
    <m/>
    <m/>
    <d v="2022-12-06T00:00:00"/>
    <x v="12"/>
  </r>
  <r>
    <s v="Agropecuaria Tabaida S.A.S"/>
    <d v="2022-12-06T00:00:00"/>
    <d v="2022-12-14T00:00:00"/>
    <n v="49"/>
    <n v="13"/>
    <x v="2"/>
    <n v="39069"/>
    <x v="584"/>
    <n v="937656"/>
    <n v="0"/>
    <n v="4502467716"/>
    <n v="5084969394"/>
    <n v="5113810414"/>
    <m/>
    <m/>
    <m/>
    <x v="1"/>
    <d v="2022-12-06T00:00:00"/>
    <m/>
    <m/>
    <m/>
    <m/>
    <m/>
    <m/>
    <m/>
    <m/>
    <d v="2022-12-06T00:00:00"/>
    <x v="12"/>
  </r>
  <r>
    <s v="Misionagro S.A.S"/>
    <d v="2022-12-06T00:00:00"/>
    <m/>
    <n v="49"/>
    <s v="MISI-183"/>
    <x v="2"/>
    <n v="33684"/>
    <x v="219"/>
    <n v="294735000"/>
    <n v="65"/>
    <n v="4502467726"/>
    <n v="5084969466"/>
    <n v="5113796871"/>
    <m/>
    <s v="CON RETEN"/>
    <m/>
    <x v="1"/>
    <d v="2022-12-06T00:00:00"/>
    <m/>
    <m/>
    <m/>
    <m/>
    <m/>
    <m/>
    <m/>
    <m/>
    <d v="2022-12-06T00:00:00"/>
    <x v="12"/>
  </r>
  <r>
    <s v="COMERCIALIZADORA Y REPRESENTACIONES H2O"/>
    <d v="2022-12-12T00:00:00"/>
    <d v="2022-12-12T00:00:00"/>
    <n v="49"/>
    <s v="COFE-1269"/>
    <x v="2"/>
    <n v="13553"/>
    <x v="244"/>
    <n v="119266400"/>
    <n v="27"/>
    <n v="4502467733"/>
    <n v="5084969577"/>
    <n v="5113795476"/>
    <m/>
    <m/>
    <s v="TIENE BL "/>
    <x v="1"/>
    <d v="2022-12-06T00:00:00"/>
    <m/>
    <m/>
    <m/>
    <m/>
    <m/>
    <m/>
    <m/>
    <m/>
    <d v="2022-12-06T00:00:00"/>
    <x v="12"/>
  </r>
  <r>
    <s v="Sociedad Comercializadora Ganadera"/>
    <d v="2022-12-09T00:00:00"/>
    <d v="2022-12-09T00:00:00"/>
    <n v="49"/>
    <s v="FEDV535"/>
    <x v="3"/>
    <n v="7155"/>
    <x v="54"/>
    <n v="55809000"/>
    <n v="32"/>
    <n v="4502467455"/>
    <n v="5084966061"/>
    <n v="5113793004"/>
    <m/>
    <s v="TIENE BL"/>
    <m/>
    <x v="2"/>
    <d v="2022-12-07T00:00:00"/>
    <m/>
    <m/>
    <m/>
    <m/>
    <m/>
    <m/>
    <m/>
    <m/>
    <d v="2022-12-07T00:00:00"/>
    <x v="12"/>
  </r>
  <r>
    <s v="Lina Maria Pelaez Gomez"/>
    <d v="2022-12-08T00:00:00"/>
    <d v="2022-12-12T00:00:00"/>
    <n v="50"/>
    <s v="LP126"/>
    <x v="0"/>
    <n v="13169"/>
    <x v="273"/>
    <n v="119837900"/>
    <n v="27"/>
    <n v="4502466505"/>
    <n v="5084969139"/>
    <n v="5113795340"/>
    <m/>
    <s v="CON RETEN"/>
    <m/>
    <x v="0"/>
    <d v="2022-12-08T00:00:00"/>
    <m/>
    <m/>
    <m/>
    <m/>
    <m/>
    <m/>
    <m/>
    <m/>
    <d v="2022-12-08T00:00:00"/>
    <x v="12"/>
  </r>
  <r>
    <s v="Lina Maria Pelaez Gomez"/>
    <d v="2022-12-08T00:00:00"/>
    <d v="2022-12-12T00:00:00"/>
    <n v="50"/>
    <s v="NC95"/>
    <x v="0"/>
    <n v="13169"/>
    <x v="725"/>
    <n v="-3235754.9899999886"/>
    <n v="0"/>
    <n v="4502466505"/>
    <n v="5084969139"/>
    <n v="5113795341"/>
    <m/>
    <m/>
    <m/>
    <x v="0"/>
    <d v="2022-12-08T00:00:00"/>
    <m/>
    <m/>
    <m/>
    <m/>
    <m/>
    <m/>
    <m/>
    <m/>
    <d v="2022-12-08T00:00:00"/>
    <x v="12"/>
  </r>
  <r>
    <s v="Agroindustria Ganadera Valle Del Cesar"/>
    <d v="2022-12-12T00:00:00"/>
    <m/>
    <n v="50"/>
    <s v="FE-58"/>
    <x v="1"/>
    <n v="13206"/>
    <x v="227"/>
    <n v="114892200"/>
    <n v="28"/>
    <n v="4502466506"/>
    <n v="5084969140"/>
    <n v="5113793005"/>
    <m/>
    <s v="CON RETEN"/>
    <m/>
    <x v="0"/>
    <d v="2022-12-08T00:00:00"/>
    <m/>
    <m/>
    <m/>
    <m/>
    <m/>
    <m/>
    <m/>
    <m/>
    <d v="2022-12-08T00:00:00"/>
    <x v="12"/>
  </r>
  <r>
    <s v="Inversiones Castilla Barbosa S.A.S."/>
    <d v="2022-12-08T00:00:00"/>
    <m/>
    <n v="50"/>
    <s v="FE-83"/>
    <x v="1"/>
    <n v="14683"/>
    <x v="220"/>
    <n v="127007950"/>
    <n v="28"/>
    <n v="4502467543"/>
    <n v="5084967279"/>
    <n v="5113795472"/>
    <m/>
    <s v="NUMA*2"/>
    <s v="TIENE BL "/>
    <x v="0"/>
    <d v="2022-12-08T00:00:00"/>
    <n v="4902404094"/>
    <n v="1019200"/>
    <s v="MOVI-2031"/>
    <n v="5113794367"/>
    <m/>
    <m/>
    <m/>
    <m/>
    <d v="2022-12-08T00:00:00"/>
    <x v="12"/>
  </r>
  <r>
    <s v="Inversiones Castilla Barbosa S.A.S."/>
    <d v="2022-12-08T00:00:00"/>
    <d v="2022-12-16T00:00:00"/>
    <n v="50"/>
    <s v="DF235"/>
    <x v="1"/>
    <n v="14683"/>
    <x v="584"/>
    <n v="352392"/>
    <n v="0"/>
    <n v="4502467543"/>
    <n v="5084967279"/>
    <n v="5113810413"/>
    <m/>
    <m/>
    <s v="TIENE BL "/>
    <x v="0"/>
    <d v="2022-12-08T00:00:00"/>
    <m/>
    <m/>
    <m/>
    <m/>
    <m/>
    <m/>
    <m/>
    <m/>
    <d v="2022-12-08T00:00:00"/>
    <x v="12"/>
  </r>
  <r>
    <s v="Rafael Francisco Delgado Serrano"/>
    <d v="2022-12-12T00:00:00"/>
    <m/>
    <n v="50"/>
    <s v="RFDS-203"/>
    <x v="1"/>
    <n v="6486.5"/>
    <x v="283"/>
    <n v="57405525"/>
    <n v="14"/>
    <n v="4502466507"/>
    <n v="5084969141"/>
    <n v="5113793006"/>
    <m/>
    <s v="CON RETEN"/>
    <m/>
    <x v="0"/>
    <d v="2022-12-08T00:00:00"/>
    <m/>
    <m/>
    <m/>
    <m/>
    <m/>
    <m/>
    <m/>
    <m/>
    <d v="2022-12-08T00:00:00"/>
    <x v="12"/>
  </r>
  <r>
    <s v="Rafael Francisco Delgado Serrano"/>
    <d v="2022-12-12T00:00:00"/>
    <m/>
    <n v="50"/>
    <s v="NCR35"/>
    <x v="1"/>
    <n v="6486.5"/>
    <x v="13"/>
    <n v="-324325"/>
    <n v="0"/>
    <n v="4502466507"/>
    <n v="5084969141"/>
    <n v="5113793377"/>
    <m/>
    <m/>
    <m/>
    <x v="0"/>
    <d v="2022-12-08T00:00:00"/>
    <m/>
    <m/>
    <m/>
    <m/>
    <m/>
    <m/>
    <m/>
    <m/>
    <d v="2022-12-08T00:00:00"/>
    <x v="12"/>
  </r>
  <r>
    <s v="Hugo Alfonso Portillo Rodriguez"/>
    <d v="2022-12-08T00:00:00"/>
    <d v="2022-12-14T00:00:00"/>
    <n v="50"/>
    <s v="E198"/>
    <x v="2"/>
    <n v="13896"/>
    <x v="219"/>
    <n v="121590000"/>
    <n v="28"/>
    <n v="4502466508"/>
    <n v="5084969142"/>
    <n v="5113797545"/>
    <m/>
    <s v="TIENE BL "/>
    <m/>
    <x v="0"/>
    <d v="2022-12-08T00:00:00"/>
    <m/>
    <m/>
    <m/>
    <m/>
    <m/>
    <m/>
    <m/>
    <m/>
    <d v="2022-12-08T00:00:00"/>
    <x v="12"/>
  </r>
  <r>
    <s v="Hugo Alfonso Portillo Rodriguez"/>
    <d v="2022-12-08T00:00:00"/>
    <d v="2022-12-14T00:00:00"/>
    <n v="50"/>
    <s v="ND3"/>
    <x v="2"/>
    <n v="13896"/>
    <x v="726"/>
    <n v="592803.35999999801"/>
    <n v="0"/>
    <n v="4502466508"/>
    <n v="5084969142"/>
    <n v="5113797578"/>
    <m/>
    <m/>
    <m/>
    <x v="0"/>
    <d v="2022-12-08T00:00:00"/>
    <m/>
    <m/>
    <m/>
    <m/>
    <m/>
    <m/>
    <m/>
    <m/>
    <d v="2022-12-08T00:00:00"/>
    <x v="12"/>
  </r>
  <r>
    <s v="Andres Felipe Mantilla Acosta"/>
    <d v="2022-12-08T00:00:00"/>
    <m/>
    <n v="50"/>
    <s v="FE-64"/>
    <x v="2"/>
    <n v="6605.5"/>
    <x v="283"/>
    <n v="58458675"/>
    <n v="15"/>
    <n v="4502466509"/>
    <n v="5084969236"/>
    <n v="5113797502"/>
    <m/>
    <s v="TIENE BL"/>
    <m/>
    <x v="0"/>
    <d v="2022-12-08T00:00:00"/>
    <m/>
    <m/>
    <m/>
    <m/>
    <m/>
    <m/>
    <m/>
    <m/>
    <d v="2022-12-08T00:00:00"/>
    <x v="12"/>
  </r>
  <r>
    <s v="Andres Felipe Mantilla Acosta"/>
    <d v="2022-12-08T00:00:00"/>
    <m/>
    <n v="50"/>
    <s v="NC20"/>
    <x v="2"/>
    <n v="6605.5"/>
    <x v="13"/>
    <n v="-330275"/>
    <n v="0"/>
    <n v="4502466509"/>
    <n v="5084969236"/>
    <n v="5113797506"/>
    <m/>
    <m/>
    <m/>
    <x v="0"/>
    <d v="2022-12-08T00:00:00"/>
    <m/>
    <m/>
    <m/>
    <m/>
    <m/>
    <m/>
    <m/>
    <m/>
    <d v="2022-12-08T00:00:00"/>
    <x v="12"/>
  </r>
  <r>
    <s v="Rodolfo De Jesus Jaramillo Calle"/>
    <d v="2022-12-08T00:00:00"/>
    <m/>
    <n v="50"/>
    <s v="FE-112"/>
    <x v="2"/>
    <n v="7815"/>
    <x v="273"/>
    <n v="71116500"/>
    <n v="15"/>
    <n v="4502466510"/>
    <n v="5084969143"/>
    <n v="5113797479"/>
    <m/>
    <s v="TIENE BL"/>
    <m/>
    <x v="0"/>
    <d v="2022-12-08T00:00:00"/>
    <m/>
    <m/>
    <m/>
    <m/>
    <m/>
    <m/>
    <m/>
    <m/>
    <d v="2022-12-08T00:00:00"/>
    <x v="12"/>
  </r>
  <r>
    <s v="Rodolfo De Jesus Jaramillo Calle"/>
    <d v="2022-12-08T00:00:00"/>
    <m/>
    <n v="50"/>
    <s v="NC260"/>
    <x v="2"/>
    <n v="7815"/>
    <x v="2"/>
    <n v="-781500"/>
    <n v="0"/>
    <n v="4502466510"/>
    <n v="5084969143"/>
    <n v="5113797484"/>
    <m/>
    <m/>
    <m/>
    <x v="0"/>
    <d v="2022-12-08T00:00:00"/>
    <m/>
    <m/>
    <m/>
    <m/>
    <m/>
    <m/>
    <m/>
    <m/>
    <d v="2022-12-08T00:00:00"/>
    <x v="12"/>
  </r>
  <r>
    <s v="Juan Alberto Saldarriaga Marin"/>
    <d v="2022-12-08T00:00:00"/>
    <m/>
    <n v="50"/>
    <n v="6198"/>
    <x v="2"/>
    <n v="24576"/>
    <x v="273"/>
    <n v="223641600"/>
    <n v="56"/>
    <n v="4502466511"/>
    <n v="5084969144"/>
    <n v="5113797007"/>
    <m/>
    <s v="TIENE BL"/>
    <m/>
    <x v="0"/>
    <d v="2022-12-08T00:00:00"/>
    <m/>
    <m/>
    <m/>
    <m/>
    <m/>
    <m/>
    <m/>
    <m/>
    <d v="2022-12-08T00:00:00"/>
    <x v="12"/>
  </r>
  <r>
    <s v="Juan Alberto Saldarriaga Marin"/>
    <d v="2022-12-08T00:00:00"/>
    <m/>
    <n v="50"/>
    <s v="NC1136"/>
    <x v="2"/>
    <n v="24576"/>
    <x v="727"/>
    <n v="-1385103.3600000143"/>
    <n v="0"/>
    <n v="4502466511"/>
    <n v="5084969144"/>
    <n v="5113797009"/>
    <m/>
    <m/>
    <m/>
    <x v="0"/>
    <d v="2022-12-08T00:00:00"/>
    <m/>
    <m/>
    <m/>
    <m/>
    <m/>
    <m/>
    <m/>
    <m/>
    <d v="2022-12-08T00:00:00"/>
    <x v="12"/>
  </r>
  <r>
    <s v="Pedro Alirio Barajas Gomez"/>
    <d v="2022-12-13T00:00:00"/>
    <m/>
    <n v="50"/>
    <s v="FE-378"/>
    <x v="2"/>
    <n v="6172"/>
    <x v="219"/>
    <n v="54005000"/>
    <n v="14"/>
    <n v="4502466512"/>
    <n v="5084969145"/>
    <n v="5113796801"/>
    <m/>
    <s v="CON RETEN"/>
    <m/>
    <x v="0"/>
    <d v="2022-12-08T00:00:00"/>
    <m/>
    <m/>
    <m/>
    <m/>
    <m/>
    <m/>
    <m/>
    <m/>
    <d v="2022-12-08T00:00:00"/>
    <x v="12"/>
  </r>
  <r>
    <s v="Pedro Alirio Barajas Gomez"/>
    <d v="2022-12-13T00:00:00"/>
    <m/>
    <n v="50"/>
    <s v="NC284"/>
    <x v="2"/>
    <n v="6172"/>
    <x v="13"/>
    <n v="-308600"/>
    <n v="0"/>
    <n v="4502466512"/>
    <n v="5084969145"/>
    <n v="5113796817"/>
    <m/>
    <m/>
    <m/>
    <x v="0"/>
    <d v="2022-12-08T00:00:00"/>
    <m/>
    <m/>
    <m/>
    <m/>
    <m/>
    <m/>
    <m/>
    <m/>
    <d v="2022-12-08T00:00:00"/>
    <x v="12"/>
  </r>
  <r>
    <s v="Sociedad Comercializadora Ganadera"/>
    <d v="2022-12-13T00:00:00"/>
    <d v="2022-12-13T00:00:00"/>
    <n v="50"/>
    <s v="FEDV537"/>
    <x v="4"/>
    <n v="44511"/>
    <x v="728"/>
    <n v="409321375.55999994"/>
    <n v="90"/>
    <n v="4502468630"/>
    <n v="5084998469"/>
    <n v="5113797013"/>
    <m/>
    <s v="TIENE BL"/>
    <m/>
    <x v="7"/>
    <d v="2022-12-08T00:00:00"/>
    <m/>
    <m/>
    <m/>
    <m/>
    <m/>
    <m/>
    <m/>
    <m/>
    <d v="2022-12-08T00:00:00"/>
    <x v="12"/>
  </r>
  <r>
    <s v="Luis Fernando Rojas Prada"/>
    <d v="2022-12-12T00:00:00"/>
    <d v="2022-12-12T00:00:00"/>
    <n v="50"/>
    <s v="FELC-1141"/>
    <x v="4"/>
    <n v="39971"/>
    <x v="206"/>
    <n v="329760750"/>
    <n v="84"/>
    <n v="4502468642"/>
    <n v="5084998586"/>
    <n v="5113796566"/>
    <m/>
    <s v="EJ*61980900-5*9.798.000"/>
    <s v="CON RETEN"/>
    <x v="7"/>
    <d v="2022-12-08T00:00:00"/>
    <n v="4502468642"/>
    <n v="21463200"/>
    <s v="FEMD-5747"/>
    <n v="5113793477"/>
    <s v="FEMD-5908*4"/>
    <n v="5113793545"/>
    <s v="FEMD-5909*2"/>
    <n v="5113793546"/>
    <d v="2022-12-08T00:00:00"/>
    <x v="12"/>
  </r>
  <r>
    <s v="Agropecuaria Lobo Berbesi S.A.S"/>
    <d v="2022-12-14T00:00:00"/>
    <m/>
    <n v="50"/>
    <s v="LB-128"/>
    <x v="1"/>
    <n v="6858"/>
    <x v="219"/>
    <n v="60007500"/>
    <n v="14"/>
    <n v="4502466513"/>
    <n v="5084996197"/>
    <n v="5113802960"/>
    <m/>
    <s v="TIENE BL"/>
    <m/>
    <x v="0"/>
    <d v="2022-12-09T00:00:00"/>
    <m/>
    <m/>
    <m/>
    <m/>
    <m/>
    <m/>
    <m/>
    <m/>
    <d v="2022-12-09T00:00:00"/>
    <x v="12"/>
  </r>
  <r>
    <s v="Agropecuaria Lobo Berbesi S.A.S"/>
    <d v="2022-12-14T00:00:00"/>
    <m/>
    <n v="50"/>
    <s v="NCR4"/>
    <x v="1"/>
    <n v="6858"/>
    <x v="20"/>
    <n v="-62819.279999999002"/>
    <n v="0"/>
    <n v="4502466513"/>
    <n v="5084996197"/>
    <n v="5113803031"/>
    <m/>
    <m/>
    <m/>
    <x v="0"/>
    <d v="2022-12-09T00:00:00"/>
    <m/>
    <m/>
    <m/>
    <m/>
    <m/>
    <m/>
    <m/>
    <m/>
    <d v="2022-12-09T00:00:00"/>
    <x v="12"/>
  </r>
  <r>
    <s v="Sociedad Comercializadora Ganadera"/>
    <d v="2022-12-13T00:00:00"/>
    <d v="2022-12-13T00:00:00"/>
    <n v="50"/>
    <s v="FEDV538"/>
    <x v="1"/>
    <n v="6532.5"/>
    <x v="278"/>
    <n v="60099000"/>
    <n v="15"/>
    <n v="4502466514"/>
    <n v="5084996066"/>
    <n v="5113797060"/>
    <m/>
    <s v="TIENE BL"/>
    <m/>
    <x v="0"/>
    <d v="2022-12-09T00:00:00"/>
    <m/>
    <m/>
    <m/>
    <m/>
    <m/>
    <m/>
    <m/>
    <m/>
    <d v="2022-12-09T00:00:00"/>
    <x v="12"/>
  </r>
  <r>
    <s v="Sociedad Comercializadora Ganadera"/>
    <d v="2022-12-13T00:00:00"/>
    <d v="2022-12-13T00:00:00"/>
    <n v="50"/>
    <s v="NC276"/>
    <x v="1"/>
    <n v="6532.5"/>
    <x v="729"/>
    <n v="-1129142.6250000023"/>
    <n v="0"/>
    <n v="4502466514"/>
    <n v="5084996066"/>
    <n v="5113797062"/>
    <m/>
    <m/>
    <m/>
    <x v="0"/>
    <d v="2022-12-09T00:00:00"/>
    <m/>
    <m/>
    <m/>
    <m/>
    <m/>
    <m/>
    <m/>
    <m/>
    <d v="2022-12-09T00:00:00"/>
    <x v="12"/>
  </r>
  <r>
    <s v="Sociedad Comercializadora Ganadera"/>
    <d v="2022-12-13T00:00:00"/>
    <d v="2022-12-13T00:00:00"/>
    <n v="50"/>
    <s v="FEDV539"/>
    <x v="1"/>
    <n v="27414"/>
    <x v="278"/>
    <n v="252208800"/>
    <n v="60"/>
    <n v="4502466514"/>
    <n v="5084996066"/>
    <n v="5113797063"/>
    <m/>
    <s v="TIENE BL"/>
    <m/>
    <x v="0"/>
    <d v="2022-12-09T00:00:00"/>
    <m/>
    <m/>
    <m/>
    <m/>
    <m/>
    <m/>
    <m/>
    <m/>
    <d v="2022-12-09T00:00:00"/>
    <x v="12"/>
  </r>
  <r>
    <s v="Sociedad Comercializadora Ganadera"/>
    <d v="2022-12-13T00:00:00"/>
    <d v="2022-12-13T00:00:00"/>
    <n v="50"/>
    <s v="NC277"/>
    <x v="1"/>
    <n v="27414"/>
    <x v="730"/>
    <n v="-264545.09999999002"/>
    <n v="0"/>
    <n v="4502466514"/>
    <n v="5084996066"/>
    <n v="5113797117"/>
    <m/>
    <m/>
    <m/>
    <x v="0"/>
    <d v="2022-12-09T00:00:00"/>
    <m/>
    <m/>
    <m/>
    <m/>
    <m/>
    <m/>
    <m/>
    <m/>
    <d v="2022-12-09T00:00:00"/>
    <x v="12"/>
  </r>
  <r>
    <s v="Margie Rodriguez Rodriguez"/>
    <d v="2022-12-13T00:00:00"/>
    <m/>
    <n v="50"/>
    <s v="FE-72"/>
    <x v="2"/>
    <n v="6457"/>
    <x v="227"/>
    <n v="56175900"/>
    <n v="15"/>
    <n v="4502466515"/>
    <n v="5084996192"/>
    <n v="5113796876"/>
    <m/>
    <s v="CON RETEN"/>
    <m/>
    <x v="0"/>
    <d v="2022-12-09T00:00:00"/>
    <m/>
    <m/>
    <m/>
    <m/>
    <m/>
    <m/>
    <m/>
    <m/>
    <d v="2022-12-09T00:00:00"/>
    <x v="12"/>
  </r>
  <r>
    <s v="Margie Rodriguez Rodriguez"/>
    <d v="2022-12-13T00:00:00"/>
    <m/>
    <n v="50"/>
    <s v="NC234"/>
    <x v="2"/>
    <n v="6457"/>
    <x v="2"/>
    <n v="-645700"/>
    <n v="0"/>
    <n v="4502466515"/>
    <n v="5084996192"/>
    <n v="5113796957"/>
    <m/>
    <m/>
    <m/>
    <x v="0"/>
    <d v="2022-12-09T00:00:00"/>
    <m/>
    <m/>
    <m/>
    <m/>
    <m/>
    <m/>
    <m/>
    <m/>
    <d v="2022-12-09T00:00:00"/>
    <x v="12"/>
  </r>
  <r>
    <s v="LA OKA S.A.S."/>
    <d v="2022-12-13T00:00:00"/>
    <m/>
    <n v="50"/>
    <s v="FEOK-90"/>
    <x v="2"/>
    <n v="6435.5"/>
    <x v="219"/>
    <n v="56310625"/>
    <n v="14"/>
    <n v="4502466516"/>
    <n v="5084996067"/>
    <n v="5113795538"/>
    <m/>
    <s v="CON RETEN"/>
    <m/>
    <x v="0"/>
    <d v="2022-12-09T00:00:00"/>
    <m/>
    <m/>
    <m/>
    <m/>
    <m/>
    <m/>
    <m/>
    <m/>
    <d v="2022-12-09T00:00:00"/>
    <x v="12"/>
  </r>
  <r>
    <s v="LA OKA S.A.S."/>
    <d v="2022-12-13T00:00:00"/>
    <m/>
    <n v="50"/>
    <s v="NC221"/>
    <x v="2"/>
    <n v="6435.5"/>
    <x v="13"/>
    <n v="-321775"/>
    <n v="0"/>
    <n v="4502466516"/>
    <n v="5084996067"/>
    <n v="5113795540"/>
    <m/>
    <m/>
    <m/>
    <x v="0"/>
    <d v="2022-12-09T00:00:00"/>
    <m/>
    <m/>
    <m/>
    <m/>
    <m/>
    <m/>
    <m/>
    <m/>
    <d v="2022-12-09T00:00:00"/>
    <x v="12"/>
  </r>
  <r>
    <s v="Carnes La Italiana L S S A S"/>
    <d v="2022-12-13T00:00:00"/>
    <d v="2022-12-13T00:00:00"/>
    <n v="50"/>
    <s v="FVE-4495"/>
    <x v="2"/>
    <n v="7010"/>
    <x v="219"/>
    <n v="61337500"/>
    <n v="14"/>
    <n v="4502466517"/>
    <n v="5084996108"/>
    <n v="5113797580"/>
    <m/>
    <s v="TIENE BL"/>
    <m/>
    <x v="0"/>
    <d v="2022-12-09T00:00:00"/>
    <m/>
    <m/>
    <m/>
    <m/>
    <m/>
    <m/>
    <m/>
    <m/>
    <d v="2022-12-09T00:00:00"/>
    <x v="12"/>
  </r>
  <r>
    <s v="Agropecuaria el Potro Azul S.A.S"/>
    <d v="2022-12-09T00:00:00"/>
    <m/>
    <n v="50"/>
    <s v="PA-11"/>
    <x v="2"/>
    <n v="6163"/>
    <x v="219"/>
    <n v="53926250"/>
    <n v="14"/>
    <n v="4502466518"/>
    <n v="5084996109"/>
    <n v="5113796758"/>
    <m/>
    <s v="CON RETEN"/>
    <m/>
    <x v="0"/>
    <d v="2022-12-09T00:00:00"/>
    <m/>
    <m/>
    <m/>
    <m/>
    <m/>
    <m/>
    <m/>
    <m/>
    <d v="2022-12-09T00:00:00"/>
    <x v="12"/>
  </r>
  <r>
    <s v="Juan Camilo Vasquez Velez"/>
    <d v="2022-12-13T00:00:00"/>
    <m/>
    <n v="50"/>
    <s v="FE-1006"/>
    <x v="4"/>
    <n v="61116.55"/>
    <x v="220"/>
    <n v="528658157.5"/>
    <n v="126"/>
    <n v="4502468380"/>
    <n v="5084994917"/>
    <n v="5113796824"/>
    <m/>
    <s v="EJ*9 730800*9"/>
    <s v="CON BL "/>
    <x v="7"/>
    <d v="2022-12-09T00:00:00"/>
    <n v="4502468380"/>
    <n v="6577200"/>
    <s v="FEMD-5917"/>
    <n v="5113793613"/>
    <m/>
    <m/>
    <m/>
    <m/>
    <d v="2022-12-09T00:00:00"/>
    <x v="12"/>
  </r>
  <r>
    <s v="Juan Alberto Saldarriaga Marin"/>
    <d v="2022-12-09T00:00:00"/>
    <m/>
    <n v="50"/>
    <n v="6197"/>
    <x v="4"/>
    <n v="19702"/>
    <x v="731"/>
    <n v="177165112.47999999"/>
    <n v="43"/>
    <n v="4502468926"/>
    <n v="5085002920"/>
    <n v="5113797010"/>
    <m/>
    <s v="TIENE BL"/>
    <m/>
    <x v="7"/>
    <d v="2022-12-09T00:00:00"/>
    <m/>
    <m/>
    <m/>
    <m/>
    <m/>
    <m/>
    <m/>
    <m/>
    <d v="2022-12-09T00:00:00"/>
    <x v="12"/>
  </r>
  <r>
    <s v="Sociedad Comercializadora Ganadera"/>
    <d v="2022-12-13T00:00:00"/>
    <d v="2022-12-13T00:00:00"/>
    <n v="50"/>
    <s v="FEDV540"/>
    <x v="0"/>
    <n v="15552"/>
    <x v="278"/>
    <n v="143078400"/>
    <n v="30"/>
    <n v="4502466519"/>
    <n v="5084996111"/>
    <n v="5113797135"/>
    <m/>
    <s v="TIENE BL"/>
    <m/>
    <x v="0"/>
    <d v="2022-12-10T00:00:00"/>
    <m/>
    <m/>
    <m/>
    <m/>
    <m/>
    <m/>
    <m/>
    <m/>
    <d v="2022-12-10T00:00:00"/>
    <x v="12"/>
  </r>
  <r>
    <s v="Sociedad Comercializadora Ganadera"/>
    <d v="2022-12-13T00:00:00"/>
    <d v="2022-12-13T00:00:00"/>
    <n v="50"/>
    <s v="FEDV541"/>
    <x v="0"/>
    <n v="13176"/>
    <x v="278"/>
    <n v="121219200"/>
    <n v="29"/>
    <n v="4502466519"/>
    <n v="5084996111"/>
    <n v="5113797190"/>
    <m/>
    <s v="TIENE BL"/>
    <m/>
    <x v="0"/>
    <d v="2022-12-10T00:00:00"/>
    <m/>
    <m/>
    <m/>
    <m/>
    <m/>
    <m/>
    <m/>
    <m/>
    <d v="2022-12-10T00:00:00"/>
    <x v="12"/>
  </r>
  <r>
    <s v="Sociedad Comercializadora Ganadera"/>
    <d v="2022-12-13T00:00:00"/>
    <d v="2022-12-13T00:00:00"/>
    <n v="50"/>
    <s v="NC278"/>
    <x v="0"/>
    <n v="13176"/>
    <x v="732"/>
    <n v="-2232936.7199999914"/>
    <n v="0"/>
    <n v="4502466519"/>
    <n v="5084996111"/>
    <n v="5113797191"/>
    <m/>
    <m/>
    <m/>
    <x v="0"/>
    <d v="2022-12-10T00:00:00"/>
    <m/>
    <m/>
    <m/>
    <m/>
    <m/>
    <m/>
    <m/>
    <m/>
    <d v="2022-12-10T00:00:00"/>
    <x v="12"/>
  </r>
  <r>
    <s v="David Martinez Jaramillo"/>
    <d v="2022-12-13T00:00:00"/>
    <m/>
    <n v="50"/>
    <s v="DM-332"/>
    <x v="1"/>
    <n v="6902"/>
    <x v="273"/>
    <n v="62808200"/>
    <n v="16"/>
    <n v="4502466520"/>
    <n v="5085000695"/>
    <n v="5113796557"/>
    <m/>
    <s v="TIENE BL"/>
    <m/>
    <x v="0"/>
    <d v="2022-12-10T00:00:00"/>
    <m/>
    <m/>
    <m/>
    <m/>
    <m/>
    <m/>
    <m/>
    <m/>
    <d v="2022-12-10T00:00:00"/>
    <x v="12"/>
  </r>
  <r>
    <s v="David Martinez Jaramillo"/>
    <d v="2022-12-13T00:00:00"/>
    <m/>
    <n v="50"/>
    <s v="NC104"/>
    <x v="1"/>
    <n v="6902"/>
    <x v="733"/>
    <n v="-1636740.2799999961"/>
    <n v="0"/>
    <n v="4502466520"/>
    <n v="5085000695"/>
    <n v="5113796560"/>
    <m/>
    <m/>
    <m/>
    <x v="0"/>
    <d v="2022-12-10T00:00:00"/>
    <m/>
    <m/>
    <m/>
    <m/>
    <m/>
    <m/>
    <m/>
    <m/>
    <d v="2022-12-10T00:00:00"/>
    <x v="12"/>
  </r>
  <r>
    <s v="David Martinez Jaramillo"/>
    <d v="2022-12-13T00:00:00"/>
    <m/>
    <n v="50"/>
    <s v="DM-333"/>
    <x v="1"/>
    <n v="7271"/>
    <x v="273"/>
    <n v="66166100"/>
    <n v="16"/>
    <n v="4502466520"/>
    <n v="5085000695"/>
    <n v="5113796561"/>
    <m/>
    <s v="TIENE BL"/>
    <m/>
    <x v="0"/>
    <d v="2022-12-10T00:00:00"/>
    <m/>
    <m/>
    <m/>
    <m/>
    <m/>
    <m/>
    <m/>
    <m/>
    <d v="2022-12-10T00:00:00"/>
    <x v="12"/>
  </r>
  <r>
    <s v="David Martinez Jaramillo"/>
    <d v="2022-12-13T00:00:00"/>
    <m/>
    <n v="50"/>
    <s v="NC105"/>
    <x v="1"/>
    <n v="7271"/>
    <x v="734"/>
    <n v="-1882752.7400000037"/>
    <n v="0"/>
    <n v="4502466520"/>
    <n v="5085000695"/>
    <n v="5113796562"/>
    <m/>
    <m/>
    <m/>
    <x v="0"/>
    <d v="2022-12-10T00:00:00"/>
    <m/>
    <m/>
    <m/>
    <m/>
    <m/>
    <m/>
    <m/>
    <m/>
    <d v="2022-12-10T00:00:00"/>
    <x v="12"/>
  </r>
  <r>
    <s v="David Martinez Jaramillo"/>
    <d v="2022-12-13T00:00:00"/>
    <m/>
    <n v="50"/>
    <s v="DM-334"/>
    <x v="1"/>
    <n v="7868"/>
    <x v="273"/>
    <n v="71598800"/>
    <n v="15"/>
    <n v="4502466520"/>
    <n v="5085000695"/>
    <n v="5113796563"/>
    <m/>
    <s v="TIENE BL"/>
    <m/>
    <x v="0"/>
    <d v="2022-12-10T00:00:00"/>
    <m/>
    <m/>
    <m/>
    <m/>
    <m/>
    <m/>
    <m/>
    <m/>
    <d v="2022-12-10T00:00:00"/>
    <x v="12"/>
  </r>
  <r>
    <s v="David Martinez Jaramillo"/>
    <d v="2022-12-13T00:00:00"/>
    <m/>
    <n v="50"/>
    <s v="NC106"/>
    <x v="1"/>
    <n v="7868"/>
    <x v="735"/>
    <n v="-1514668.6800000018"/>
    <n v="0"/>
    <n v="4502466520"/>
    <n v="5085000695"/>
    <n v="5113796565"/>
    <m/>
    <m/>
    <m/>
    <x v="0"/>
    <d v="2022-12-10T00:00:00"/>
    <m/>
    <m/>
    <m/>
    <m/>
    <m/>
    <m/>
    <m/>
    <m/>
    <d v="2022-12-10T00:00:00"/>
    <x v="12"/>
  </r>
  <r>
    <s v="Soc.Ganadera Suprema De Oriente S.A.S"/>
    <d v="2022-12-13T00:00:00"/>
    <m/>
    <n v="50"/>
    <s v="FVE653"/>
    <x v="0"/>
    <n v="14083"/>
    <x v="188"/>
    <n v="118297200"/>
    <n v="28"/>
    <n v="4502467558"/>
    <n v="5084999493"/>
    <n v="5113798116"/>
    <m/>
    <s v="EJ*2 2792400*2"/>
    <s v="CON RETEN "/>
    <x v="0"/>
    <d v="2022-12-11T00:00:00"/>
    <n v="4502467558"/>
    <n v="5584800"/>
    <n v="5113820011"/>
    <m/>
    <m/>
    <m/>
    <m/>
    <m/>
    <d v="2022-12-11T00:00:00"/>
    <x v="12"/>
  </r>
  <r>
    <s v="Juan Camilo Vasquez Velez"/>
    <d v="2022-12-13T00:00:00"/>
    <m/>
    <n v="50"/>
    <s v="FE-1006"/>
    <x v="0"/>
    <n v="13581.455"/>
    <x v="220"/>
    <n v="117479585.75"/>
    <n v="28"/>
    <n v="4502468545"/>
    <n v="5084994917"/>
    <n v="5113796824"/>
    <m/>
    <s v="EJ*2  1325600*2"/>
    <m/>
    <x v="0"/>
    <d v="2022-12-11T00:00:00"/>
    <n v="4902404096"/>
    <n v="2651200"/>
    <s v="FEMD-5925"/>
    <n v="5113816627"/>
    <m/>
    <m/>
    <m/>
    <m/>
    <d v="2022-12-11T00:00:00"/>
    <x v="12"/>
  </r>
  <r>
    <s v="Sociedad Comercializadora Ganadera"/>
    <d v="2022-12-13T00:00:00"/>
    <d v="2022-12-13T00:00:00"/>
    <n v="50"/>
    <s v="FEDV542"/>
    <x v="1"/>
    <n v="21683"/>
    <x v="278"/>
    <n v="199483600"/>
    <n v="43"/>
    <n v="4502466521"/>
    <n v="5085000688"/>
    <n v="5113797193"/>
    <m/>
    <s v="TIENE BL"/>
    <m/>
    <x v="0"/>
    <d v="2022-12-11T00:00:00"/>
    <m/>
    <m/>
    <m/>
    <m/>
    <m/>
    <m/>
    <m/>
    <m/>
    <d v="2022-12-11T00:00:00"/>
    <x v="12"/>
  </r>
  <r>
    <s v="Sociedad Comercializadora Ganadera"/>
    <d v="2022-12-13T00:00:00"/>
    <d v="2022-12-13T00:00:00"/>
    <n v="50"/>
    <s v="NC279"/>
    <x v="1"/>
    <n v="21683"/>
    <x v="736"/>
    <n v="-684965.97000000312"/>
    <n v="0"/>
    <n v="4502466521"/>
    <n v="5085000688"/>
    <n v="5113797311"/>
    <m/>
    <m/>
    <m/>
    <x v="0"/>
    <d v="2022-12-11T00:00:00"/>
    <m/>
    <m/>
    <m/>
    <m/>
    <m/>
    <m/>
    <m/>
    <m/>
    <d v="2022-12-11T00:00:00"/>
    <x v="12"/>
  </r>
  <r>
    <s v="Juan Alberto Saldarriaga Marin"/>
    <d v="2022-12-11T00:00:00"/>
    <d v="2022-12-13T00:00:00"/>
    <n v="50"/>
    <n v="6201"/>
    <x v="4"/>
    <n v="19970"/>
    <x v="737"/>
    <n v="179690060"/>
    <n v="41"/>
    <n v="4502469656"/>
    <n v="5085019982"/>
    <n v="5113804933"/>
    <m/>
    <s v="TIENE BL"/>
    <s v="Marcela pendiente "/>
    <x v="7"/>
    <d v="2022-12-11T00:00:00"/>
    <m/>
    <m/>
    <m/>
    <m/>
    <m/>
    <m/>
    <m/>
    <m/>
    <d v="2022-12-11T00:00:00"/>
    <x v="12"/>
  </r>
  <r>
    <s v="Sociedad Comercializadora Ganadera"/>
    <d v="2022-12-13T00:00:00"/>
    <d v="2022-12-13T00:00:00"/>
    <n v="50"/>
    <s v="FEDV543"/>
    <x v="4"/>
    <n v="43208"/>
    <x v="738"/>
    <n v="397321756.47999996"/>
    <n v="90"/>
    <n v="4502469666"/>
    <n v="5085020056"/>
    <n v="5113797387"/>
    <m/>
    <s v="TIENE BL"/>
    <m/>
    <x v="7"/>
    <d v="2022-12-11T00:00:00"/>
    <m/>
    <m/>
    <m/>
    <m/>
    <m/>
    <m/>
    <m/>
    <m/>
    <d v="2022-12-11T00:00:00"/>
    <x v="12"/>
  </r>
  <r>
    <s v="Zonia Rosa Bechara De Barguil"/>
    <d v="2022-12-11T00:00:00"/>
    <m/>
    <n v="50"/>
    <s v="ZRB-15"/>
    <x v="2"/>
    <n v="7711"/>
    <x v="739"/>
    <n v="67150935.059999987"/>
    <n v="14"/>
    <n v="4502469668"/>
    <n v="5085020187"/>
    <n v="5113833237"/>
    <m/>
    <s v="CON RETEN"/>
    <s v="SR3043134 - PAGO SR3050789"/>
    <x v="1"/>
    <d v="2022-12-11T00:00:00"/>
    <m/>
    <m/>
    <m/>
    <m/>
    <m/>
    <m/>
    <m/>
    <m/>
    <d v="2022-12-11T00:00:00"/>
    <x v="12"/>
  </r>
  <r>
    <s v="Agropecuaria Tabaida S.A.S"/>
    <d v="2022-12-11T00:00:00"/>
    <m/>
    <n v="50"/>
    <s v="MT-1701"/>
    <x v="2"/>
    <n v="38786"/>
    <x v="219"/>
    <n v="339377500"/>
    <n v="84"/>
    <n v="4502469671"/>
    <n v="5085020284"/>
    <n v="5113797461"/>
    <m/>
    <s v="TIENE BL"/>
    <m/>
    <x v="1"/>
    <d v="2022-12-11T00:00:00"/>
    <m/>
    <m/>
    <m/>
    <m/>
    <m/>
    <m/>
    <m/>
    <m/>
    <d v="2022-12-11T00:00:00"/>
    <x v="12"/>
  </r>
  <r>
    <s v="Agropecuaria Tabaida S.A.S"/>
    <d v="2022-12-11T00:00:00"/>
    <m/>
    <n v="50"/>
    <n v="14"/>
    <x v="2"/>
    <n v="38786"/>
    <x v="584"/>
    <n v="930864"/>
    <n v="0"/>
    <n v="4502469671"/>
    <n v="5085020284"/>
    <n v="5113797463"/>
    <m/>
    <m/>
    <m/>
    <x v="1"/>
    <d v="2022-12-11T00:00:00"/>
    <m/>
    <m/>
    <m/>
    <m/>
    <m/>
    <m/>
    <m/>
    <m/>
    <d v="2022-12-11T00:00:00"/>
    <x v="12"/>
  </r>
  <r>
    <s v="Agropecuaria Bajogrande S.A."/>
    <d v="2022-12-13T00:00:00"/>
    <m/>
    <n v="50"/>
    <s v="AB-780"/>
    <x v="2"/>
    <n v="19806"/>
    <x v="244"/>
    <n v="174292800"/>
    <n v="42"/>
    <n v="4502469691"/>
    <n v="5085020570"/>
    <n v="5113799036"/>
    <m/>
    <s v="CON RETEN"/>
    <m/>
    <x v="1"/>
    <d v="2022-12-11T00:00:00"/>
    <m/>
    <m/>
    <m/>
    <m/>
    <m/>
    <m/>
    <m/>
    <m/>
    <d v="2022-12-11T00:00:00"/>
    <x v="12"/>
  </r>
  <r>
    <s v="Agropecuaria Bajogrande S.A."/>
    <m/>
    <m/>
    <n v="50"/>
    <s v="ND3"/>
    <x v="2"/>
    <n v="19806"/>
    <x v="584"/>
    <n v="475344"/>
    <n v="0"/>
    <n v="4502469691"/>
    <n v="5085020570"/>
    <n v="5113800853"/>
    <m/>
    <m/>
    <m/>
    <x v="1"/>
    <d v="2022-12-11T00:00:00"/>
    <m/>
    <m/>
    <m/>
    <m/>
    <m/>
    <m/>
    <m/>
    <m/>
    <d v="2022-12-11T00:00:00"/>
    <x v="12"/>
  </r>
  <r>
    <s v="31416 S.A.S"/>
    <d v="2022-12-11T00:00:00"/>
    <m/>
    <n v="50"/>
    <s v="PI-209"/>
    <x v="2"/>
    <n v="14821"/>
    <x v="244"/>
    <n v="130424800"/>
    <n v="28"/>
    <n v="4502469698"/>
    <n v="5085020575"/>
    <n v="5113796762"/>
    <m/>
    <s v="CON RETEN"/>
    <m/>
    <x v="1"/>
    <d v="2022-12-11T00:00:00"/>
    <m/>
    <m/>
    <m/>
    <m/>
    <m/>
    <m/>
    <m/>
    <m/>
    <d v="2022-12-11T00:00:00"/>
    <x v="12"/>
  </r>
  <r>
    <s v="Maria Ines Saade Mejia"/>
    <d v="2022-12-11T00:00:00"/>
    <d v="2022-12-13T00:00:00"/>
    <n v="50"/>
    <s v="FE-181"/>
    <x v="2"/>
    <n v="6689"/>
    <x v="227"/>
    <n v="58194300"/>
    <n v="14"/>
    <n v="4502469705"/>
    <n v="5085020696"/>
    <n v="5113796960"/>
    <m/>
    <s v="CON RETEN"/>
    <m/>
    <x v="1"/>
    <d v="2022-12-11T00:00:00"/>
    <m/>
    <m/>
    <m/>
    <m/>
    <m/>
    <m/>
    <m/>
    <m/>
    <d v="2022-12-11T00:00:00"/>
    <x v="12"/>
  </r>
  <r>
    <s v="Maria Ines Saade Mejia"/>
    <d v="2022-12-11T00:00:00"/>
    <d v="2022-12-13T00:00:00"/>
    <n v="50"/>
    <s v="FE-182"/>
    <x v="2"/>
    <n v="6689"/>
    <x v="584"/>
    <n v="160536"/>
    <n v="0"/>
    <n v="4502469705"/>
    <n v="5085020696"/>
    <n v="5113796961"/>
    <m/>
    <m/>
    <m/>
    <x v="1"/>
    <d v="2022-12-11T00:00:00"/>
    <m/>
    <m/>
    <m/>
    <m/>
    <m/>
    <m/>
    <m/>
    <m/>
    <d v="2022-12-11T00:00:00"/>
    <x v="12"/>
  </r>
  <r>
    <s v="Subastas Ganaderas Del Uraba Grande"/>
    <d v="2022-12-13T00:00:00"/>
    <d v="2022-12-13T00:00:00"/>
    <n v="50"/>
    <s v="CC-28411"/>
    <x v="2"/>
    <n v="14602"/>
    <x v="213"/>
    <n v="124117000"/>
    <n v="28"/>
    <n v="4502470303"/>
    <n v="5085035792"/>
    <n v="5113797913"/>
    <s v="TIENE BL"/>
    <s v="EJ*1 780600"/>
    <m/>
    <x v="1"/>
    <d v="2022-12-11T00:00:00"/>
    <m/>
    <n v="780600"/>
    <s v="FEMD-5924"/>
    <n v="5113814535"/>
    <m/>
    <m/>
    <m/>
    <m/>
    <d v="2022-12-11T00:00:00"/>
    <x v="12"/>
  </r>
  <r>
    <s v="Subastas Ganaderas Del Uraba Grande"/>
    <d v="2022-12-13T00:00:00"/>
    <d v="2022-12-13T00:00:00"/>
    <n v="50"/>
    <s v="CC-28412"/>
    <x v="2"/>
    <n v="7034"/>
    <x v="740"/>
    <n v="60211040"/>
    <n v="14"/>
    <n v="4502470303"/>
    <n v="5085035792"/>
    <n v="5113797956"/>
    <s v="TIENE BL"/>
    <s v="EJ*2 780600*2"/>
    <m/>
    <x v="1"/>
    <d v="2022-12-11T00:00:00"/>
    <m/>
    <n v="1561200"/>
    <s v="FEMD-5924"/>
    <n v="5113814535"/>
    <m/>
    <m/>
    <m/>
    <m/>
    <d v="2022-12-11T00:00:00"/>
    <x v="12"/>
  </r>
  <r>
    <s v="David Martinez Jaramillo"/>
    <d v="2022-12-13T00:00:00"/>
    <d v="2022-12-13T00:00:00"/>
    <n v="50"/>
    <s v="DM-335"/>
    <x v="1"/>
    <n v="35883"/>
    <x v="273"/>
    <n v="326535300"/>
    <n v="77"/>
    <n v="4502466523"/>
    <n v="5085016869"/>
    <n v="5113797978"/>
    <m/>
    <s v="TIENE BL"/>
    <m/>
    <x v="0"/>
    <d v="2022-12-12T00:00:00"/>
    <m/>
    <m/>
    <m/>
    <m/>
    <m/>
    <m/>
    <m/>
    <m/>
    <d v="2022-12-12T00:00:00"/>
    <x v="12"/>
  </r>
  <r>
    <s v="David Martinez Jaramillo"/>
    <d v="2022-12-13T00:00:00"/>
    <d v="2022-12-13T00:00:00"/>
    <n v="50"/>
    <s v="NC107"/>
    <x v="1"/>
    <n v="35883"/>
    <x v="741"/>
    <n v="-5670590.4900000235"/>
    <n v="0"/>
    <n v="4502466523"/>
    <n v="5085016869"/>
    <n v="5113797979"/>
    <m/>
    <m/>
    <m/>
    <x v="0"/>
    <d v="2022-12-12T00:00:00"/>
    <m/>
    <m/>
    <m/>
    <m/>
    <m/>
    <m/>
    <m/>
    <m/>
    <d v="2022-12-12T00:00:00"/>
    <x v="12"/>
  </r>
  <r>
    <s v="Luis Fernando Rojas Prada"/>
    <d v="2022-12-13T00:00:00"/>
    <d v="2022-12-13T00:00:00"/>
    <n v="50"/>
    <s v="FELC-1142"/>
    <x v="4"/>
    <n v="42065"/>
    <x v="206"/>
    <n v="347036250"/>
    <n v="84"/>
    <n v="4502470090"/>
    <n v="5085031714"/>
    <n v="5113798111"/>
    <m/>
    <s v="EJ*61870800"/>
    <s v="CON RETEN"/>
    <x v="7"/>
    <d v="2022-12-12T00:00:00"/>
    <n v="4502470090"/>
    <n v="11224800"/>
    <s v="FEMD-5926*6"/>
    <m/>
    <m/>
    <m/>
    <m/>
    <m/>
    <d v="2022-12-12T00:00:00"/>
    <x v="12"/>
  </r>
  <r>
    <s v="Surtidora Agropecuaria De Colombia"/>
    <d v="2022-12-13T00:00:00"/>
    <d v="2022-12-13T00:00:00"/>
    <n v="50"/>
    <s v="FESA-68"/>
    <x v="2"/>
    <n v="25909"/>
    <x v="244"/>
    <n v="227999200"/>
    <n v="56"/>
    <n v="4502470089"/>
    <n v="5085031709"/>
    <n v="5113802957"/>
    <m/>
    <s v="TIENE BL"/>
    <s v="Pendiente Cristina "/>
    <x v="1"/>
    <d v="2022-12-13T00:00:00"/>
    <m/>
    <m/>
    <m/>
    <m/>
    <m/>
    <m/>
    <m/>
    <m/>
    <d v="2022-12-13T00:00:00"/>
    <x v="12"/>
  </r>
  <r>
    <s v="Carlos Mario Duque Cadavid"/>
    <d v="2022-12-13T00:00:00"/>
    <m/>
    <n v="50"/>
    <s v="CD-143"/>
    <x v="2"/>
    <n v="28305"/>
    <x v="244"/>
    <n v="249084000"/>
    <n v="56"/>
    <n v="4502470088"/>
    <n v="5085031516"/>
    <n v="5113800855"/>
    <m/>
    <s v="CON RETEN"/>
    <m/>
    <x v="1"/>
    <d v="2022-12-13T00:00:00"/>
    <m/>
    <m/>
    <m/>
    <m/>
    <m/>
    <m/>
    <m/>
    <m/>
    <d v="2022-12-13T00:00:00"/>
    <x v="12"/>
  </r>
  <r>
    <s v="Inversiones Valle Del Canalete S.A.S"/>
    <d v="2022-12-13T00:00:00"/>
    <d v="2022-12-14T00:00:00"/>
    <n v="50"/>
    <s v="IVC165"/>
    <x v="2"/>
    <n v="26059"/>
    <x v="244"/>
    <n v="229319200"/>
    <n v="56"/>
    <n v="4502470087"/>
    <n v="5085031515"/>
    <n v="5113800856"/>
    <m/>
    <s v="CON RETEN"/>
    <m/>
    <x v="1"/>
    <d v="2022-12-13T00:00:00"/>
    <m/>
    <m/>
    <m/>
    <m/>
    <m/>
    <m/>
    <m/>
    <m/>
    <d v="2022-12-13T00:00:00"/>
    <x v="12"/>
  </r>
  <r>
    <s v="Inversiones Valle Del Canalete S.A.S"/>
    <d v="2022-12-13T00:00:00"/>
    <d v="2022-12-14T00:00:00"/>
    <n v="50"/>
    <s v="IVC166"/>
    <x v="2"/>
    <n v="26059"/>
    <x v="584"/>
    <n v="625416"/>
    <n v="0"/>
    <n v="4502470087"/>
    <n v="5085031515"/>
    <n v="5113800938"/>
    <m/>
    <m/>
    <m/>
    <x v="1"/>
    <d v="2022-12-13T00:00:00"/>
    <m/>
    <m/>
    <m/>
    <m/>
    <m/>
    <m/>
    <m/>
    <m/>
    <d v="2022-12-13T00:00:00"/>
    <x v="12"/>
  </r>
  <r>
    <s v="Sociedad Comercializadora Ganadera"/>
    <d v="2022-12-15T00:00:00"/>
    <d v="2022-12-15T00:00:00"/>
    <n v="50"/>
    <s v="FEDV550"/>
    <x v="3"/>
    <n v="8892"/>
    <x v="54"/>
    <n v="69357600"/>
    <n v="33"/>
    <n v="4502471665"/>
    <n v="5085061930"/>
    <n v="5113810525"/>
    <m/>
    <s v="TIENE BL"/>
    <m/>
    <x v="2"/>
    <d v="2022-12-14T00:00:00"/>
    <m/>
    <m/>
    <m/>
    <m/>
    <m/>
    <m/>
    <m/>
    <m/>
    <d v="2022-12-14T00:00:00"/>
    <x v="12"/>
  </r>
  <r>
    <s v="Maria Alicia Montaño Parra"/>
    <d v="2022-12-19T00:00:00"/>
    <m/>
    <n v="51"/>
    <s v="FE-45"/>
    <x v="0"/>
    <n v="5651"/>
    <x v="227"/>
    <n v="49163700"/>
    <n v="15"/>
    <n v="4502470549"/>
    <n v="5085077145"/>
    <n v="5113815740"/>
    <m/>
    <s v="CON RETEN"/>
    <m/>
    <x v="0"/>
    <d v="2022-12-15T00:00:00"/>
    <m/>
    <m/>
    <m/>
    <m/>
    <m/>
    <m/>
    <m/>
    <m/>
    <d v="2022-12-15T00:00:00"/>
    <x v="12"/>
  </r>
  <r>
    <s v="Maria Alicia Montaño Parra"/>
    <d v="2022-12-19T00:00:00"/>
    <m/>
    <n v="51"/>
    <s v="FE10"/>
    <x v="0"/>
    <n v="5651"/>
    <x v="742"/>
    <n v="-1073124.899999998"/>
    <n v="0"/>
    <n v="4502470549"/>
    <n v="5085077145"/>
    <n v="5113815745"/>
    <m/>
    <m/>
    <m/>
    <x v="0"/>
    <d v="2022-12-15T00:00:00"/>
    <m/>
    <m/>
    <m/>
    <m/>
    <m/>
    <m/>
    <m/>
    <m/>
    <d v="2022-12-15T00:00:00"/>
    <x v="12"/>
  </r>
  <r>
    <s v="Edward Fabian Mejia Abril"/>
    <d v="2022-12-15T00:00:00"/>
    <d v="2022-12-22T00:00:00"/>
    <n v="51"/>
    <s v="FELE-112"/>
    <x v="0"/>
    <n v="7090.5"/>
    <x v="273"/>
    <n v="64523550"/>
    <n v="14"/>
    <n v="4502470551"/>
    <n v="5085077146"/>
    <n v="5113829086"/>
    <m/>
    <s v="TIENE BL"/>
    <m/>
    <x v="0"/>
    <d v="2022-12-15T00:00:00"/>
    <m/>
    <m/>
    <m/>
    <m/>
    <m/>
    <m/>
    <m/>
    <m/>
    <d v="2022-12-15T00:00:00"/>
    <x v="12"/>
  </r>
  <r>
    <s v="Juan Pablo Sierra Cardona"/>
    <d v="2022-12-15T00:00:00"/>
    <d v="2022-12-20T00:00:00"/>
    <n v="51"/>
    <s v="JPS-1589"/>
    <x v="0"/>
    <n v="6014.5"/>
    <x v="273"/>
    <n v="54731950"/>
    <n v="14"/>
    <n v="4502470552"/>
    <n v="5085077147"/>
    <n v="5113815095"/>
    <m/>
    <s v="TIENE BL"/>
    <m/>
    <x v="0"/>
    <d v="2022-12-15T00:00:00"/>
    <m/>
    <m/>
    <m/>
    <m/>
    <m/>
    <m/>
    <m/>
    <m/>
    <d v="2022-12-15T00:00:00"/>
    <x v="12"/>
  </r>
  <r>
    <s v="Juan Pablo Sierra Cardona"/>
    <d v="2022-12-15T00:00:00"/>
    <d v="2022-12-20T00:00:00"/>
    <n v="51"/>
    <s v="JPS-1590"/>
    <x v="0"/>
    <n v="6014.5"/>
    <x v="743"/>
    <n v="154271.92499999781"/>
    <n v="0"/>
    <n v="4502470552"/>
    <n v="5085077147"/>
    <n v="5113815138"/>
    <m/>
    <m/>
    <m/>
    <x v="0"/>
    <d v="2022-12-15T00:00:00"/>
    <m/>
    <m/>
    <m/>
    <m/>
    <m/>
    <m/>
    <m/>
    <m/>
    <d v="2022-12-15T00:00:00"/>
    <x v="12"/>
  </r>
  <r>
    <s v="Sociedad Comercializadora Ganadera"/>
    <d v="2022-12-19T00:00:00"/>
    <d v="2022-12-19T00:00:00"/>
    <n v="51"/>
    <s v="FEDV551"/>
    <x v="0"/>
    <n v="32731.5"/>
    <x v="278"/>
    <n v="301129800"/>
    <n v="75"/>
    <n v="4502470553"/>
    <n v="5085077178"/>
    <n v="5113815632"/>
    <m/>
    <s v="TIENE BL"/>
    <m/>
    <x v="0"/>
    <d v="2022-12-15T00:00:00"/>
    <m/>
    <m/>
    <m/>
    <m/>
    <m/>
    <m/>
    <m/>
    <m/>
    <d v="2022-12-15T00:00:00"/>
    <x v="12"/>
  </r>
  <r>
    <s v="Sociedad Comercializadora Ganadera"/>
    <d v="2022-12-19T00:00:00"/>
    <d v="2022-12-19T00:00:00"/>
    <n v="51"/>
    <s v="NC282"/>
    <x v="0"/>
    <n v="32731.5"/>
    <x v="744"/>
    <n v="-566582.26499998337"/>
    <n v="0"/>
    <n v="4502470553"/>
    <n v="5085077178"/>
    <n v="5113815633"/>
    <m/>
    <m/>
    <m/>
    <x v="0"/>
    <d v="2022-12-15T00:00:00"/>
    <m/>
    <m/>
    <m/>
    <m/>
    <m/>
    <m/>
    <m/>
    <m/>
    <d v="2022-12-15T00:00:00"/>
    <x v="12"/>
  </r>
  <r>
    <s v="Sociedad Comercializadora Ganadera"/>
    <d v="2022-12-19T00:00:00"/>
    <d v="2022-12-19T00:00:00"/>
    <n v="51"/>
    <s v="FEDV552"/>
    <x v="0"/>
    <n v="7172.5"/>
    <x v="278"/>
    <n v="65987000"/>
    <n v="15"/>
    <n v="4502470553"/>
    <n v="5085077178"/>
    <n v="5113815635"/>
    <m/>
    <s v="TIENE BL"/>
    <m/>
    <x v="0"/>
    <d v="2022-12-15T00:00:00"/>
    <m/>
    <m/>
    <m/>
    <m/>
    <m/>
    <m/>
    <m/>
    <m/>
    <d v="2022-12-15T00:00:00"/>
    <x v="12"/>
  </r>
  <r>
    <s v="Sociedad Comercializadora Ganadera"/>
    <d v="2022-12-19T00:00:00"/>
    <d v="2022-12-19T00:00:00"/>
    <n v="51"/>
    <s v="NC283"/>
    <x v="0"/>
    <n v="7172.5"/>
    <x v="11"/>
    <n v="-1075875"/>
    <n v="0"/>
    <n v="4502470553"/>
    <n v="5085077178"/>
    <n v="5113815707"/>
    <m/>
    <m/>
    <m/>
    <x v="0"/>
    <d v="2022-12-15T00:00:00"/>
    <m/>
    <m/>
    <m/>
    <m/>
    <m/>
    <m/>
    <m/>
    <m/>
    <d v="2022-12-15T00:00:00"/>
    <x v="12"/>
  </r>
  <r>
    <s v="David Martinez Jaramillo"/>
    <d v="2022-12-15T00:00:00"/>
    <d v="2022-12-19T00:00:00"/>
    <n v="51"/>
    <s v="DM339"/>
    <x v="0"/>
    <n v="14206.5"/>
    <x v="273"/>
    <n v="129279150"/>
    <n v="29"/>
    <n v="4502470554"/>
    <n v="5085077179"/>
    <n v="5113819744"/>
    <m/>
    <s v="TIENE BL"/>
    <m/>
    <x v="0"/>
    <d v="2022-12-15T00:00:00"/>
    <m/>
    <m/>
    <m/>
    <m/>
    <m/>
    <m/>
    <m/>
    <m/>
    <d v="2022-12-15T00:00:00"/>
    <x v="12"/>
  </r>
  <r>
    <s v="David Martinez Jaramillo"/>
    <d v="2022-12-19T00:00:00"/>
    <d v="2022-12-19T00:00:00"/>
    <n v="51"/>
    <s v="NC108"/>
    <x v="0"/>
    <n v="14206.5"/>
    <x v="11"/>
    <n v="-2130975"/>
    <n v="0"/>
    <n v="4502470554"/>
    <n v="5085077179"/>
    <n v="5113819748"/>
    <m/>
    <m/>
    <m/>
    <x v="0"/>
    <d v="2022-12-15T00:00:00"/>
    <m/>
    <m/>
    <m/>
    <m/>
    <m/>
    <m/>
    <m/>
    <m/>
    <d v="2022-12-15T00:00:00"/>
    <x v="12"/>
  </r>
  <r>
    <s v="Inversiones Valle Del Canalete S.A.S"/>
    <d v="2022-12-16T00:00:00"/>
    <d v="2022-12-20T00:00:00"/>
    <n v="51"/>
    <s v="IVC-168"/>
    <x v="1"/>
    <n v="32967"/>
    <x v="213"/>
    <n v="280219500"/>
    <n v="70"/>
    <n v="4502473255"/>
    <n v="5085118181"/>
    <n v="5113819756"/>
    <m/>
    <s v="EJ *5 1793900"/>
    <s v="CON RETEN"/>
    <x v="0"/>
    <d v="2022-12-15T00:00:00"/>
    <n v="4902408524"/>
    <n v="8969500"/>
    <s v="FEMD-5945"/>
    <n v="5113814405"/>
    <m/>
    <m/>
    <m/>
    <m/>
    <d v="2022-12-15T00:00:00"/>
    <x v="12"/>
  </r>
  <r>
    <s v="Inversiones Valle Del Canalete S.A.S"/>
    <d v="2022-12-16T00:00:00"/>
    <d v="2022-12-20T00:00:00"/>
    <n v="51"/>
    <s v="IVC-169"/>
    <x v="1"/>
    <n v="32967"/>
    <x v="584"/>
    <n v="791208"/>
    <n v="0"/>
    <n v="4502473255"/>
    <n v="5085118181"/>
    <n v="5113819799"/>
    <m/>
    <m/>
    <m/>
    <x v="0"/>
    <d v="2022-12-15T00:00:00"/>
    <m/>
    <m/>
    <m/>
    <m/>
    <m/>
    <m/>
    <m/>
    <m/>
    <d v="2022-12-15T00:00:00"/>
    <x v="12"/>
  </r>
  <r>
    <s v="Agropecuaria Tabaida S.A.S"/>
    <d v="2022-12-15T00:00:00"/>
    <d v="2022-12-19T00:00:00"/>
    <n v="51"/>
    <s v="MT-1707"/>
    <x v="1"/>
    <n v="19945"/>
    <x v="213"/>
    <n v="169532500"/>
    <n v="42"/>
    <n v="4502473259"/>
    <n v="5085118271"/>
    <n v="5113824920"/>
    <s v="TIENE BL"/>
    <s v="TYC 1793900"/>
    <m/>
    <x v="0"/>
    <d v="2022-12-15T00:00:00"/>
    <n v="4902408527"/>
    <n v="4792500"/>
    <s v="ETE-4057"/>
    <m/>
    <m/>
    <m/>
    <m/>
    <m/>
    <d v="2022-12-15T00:00:00"/>
    <x v="12"/>
  </r>
  <r>
    <s v="Agropecuaria Tabaida S.A.S"/>
    <d v="2022-12-15T00:00:00"/>
    <d v="2022-12-19T00:00:00"/>
    <n v="51"/>
    <n v="15"/>
    <x v="1"/>
    <n v="19945"/>
    <x v="584"/>
    <n v="478680"/>
    <n v="0"/>
    <n v="4502473259"/>
    <n v="5085118271"/>
    <n v="5113824987"/>
    <m/>
    <m/>
    <m/>
    <x v="0"/>
    <d v="2022-12-15T00:00:00"/>
    <m/>
    <m/>
    <m/>
    <m/>
    <m/>
    <m/>
    <m/>
    <m/>
    <d v="2022-12-15T00:00:00"/>
    <x v="12"/>
  </r>
  <r>
    <s v="Andres Felipe Mantilla Acosta"/>
    <d v="2022-12-16T00:00:00"/>
    <d v="2022-12-21T00:00:00"/>
    <n v="51"/>
    <s v="FE65"/>
    <x v="0"/>
    <n v="18519.5"/>
    <x v="219"/>
    <n v="162045625"/>
    <n v="42"/>
    <n v="4502470555"/>
    <n v="5085105184"/>
    <n v="5113819947"/>
    <m/>
    <s v="TIENE BL"/>
    <m/>
    <x v="0"/>
    <d v="2022-12-16T00:00:00"/>
    <m/>
    <m/>
    <m/>
    <m/>
    <m/>
    <m/>
    <m/>
    <m/>
    <d v="2022-12-16T00:00:00"/>
    <x v="12"/>
  </r>
  <r>
    <s v="Andres Felipe Mantilla Acosta"/>
    <d v="2022-12-16T00:00:00"/>
    <d v="2022-12-21T00:00:00"/>
    <n v="51"/>
    <s v="NC21"/>
    <x v="0"/>
    <n v="18519.5"/>
    <x v="745"/>
    <n v="-117784.02000001079"/>
    <n v="0"/>
    <n v="4502470555"/>
    <n v="5085105184"/>
    <n v="5113819948"/>
    <m/>
    <s v="Sin imagen"/>
    <m/>
    <x v="0"/>
    <d v="2022-12-16T00:00:00"/>
    <m/>
    <m/>
    <m/>
    <m/>
    <m/>
    <m/>
    <m/>
    <m/>
    <d v="2022-12-16T00:00:00"/>
    <x v="12"/>
  </r>
  <r>
    <s v="Sociedad Comercializadora Ganadera"/>
    <d v="2022-12-19T00:00:00"/>
    <d v="2022-12-19T00:00:00"/>
    <n v="51"/>
    <s v="FEDV553"/>
    <x v="0"/>
    <n v="38867"/>
    <x v="278"/>
    <n v="357576400"/>
    <n v="91"/>
    <n v="4502470556"/>
    <n v="5085105348"/>
    <n v="5113815710"/>
    <m/>
    <s v="TIENE BL"/>
    <m/>
    <x v="0"/>
    <d v="2022-12-16T00:00:00"/>
    <m/>
    <m/>
    <m/>
    <m/>
    <m/>
    <m/>
    <m/>
    <m/>
    <d v="2022-12-16T00:00:00"/>
    <x v="12"/>
  </r>
  <r>
    <s v="Sociedad Comercializadora Ganadera"/>
    <d v="2022-12-19T00:00:00"/>
    <d v="2022-12-19T00:00:00"/>
    <n v="51"/>
    <s v="NC284"/>
    <x v="0"/>
    <n v="38867"/>
    <x v="746"/>
    <n v="-783558.71999999438"/>
    <n v="0"/>
    <n v="4502470556"/>
    <n v="5085105348"/>
    <n v="5113815711"/>
    <m/>
    <m/>
    <m/>
    <x v="0"/>
    <d v="2022-12-16T00:00:00"/>
    <m/>
    <m/>
    <m/>
    <m/>
    <m/>
    <m/>
    <m/>
    <m/>
    <d v="2022-12-16T00:00:00"/>
    <x v="12"/>
  </r>
  <r>
    <s v="Sociedad Comercializadora Ganadera"/>
    <d v="2022-12-19T00:00:00"/>
    <d v="2022-12-19T00:00:00"/>
    <n v="51"/>
    <s v="FEDV554"/>
    <x v="0"/>
    <n v="6737"/>
    <x v="278"/>
    <n v="61980400"/>
    <n v="15"/>
    <n v="4502470556"/>
    <n v="5085105348"/>
    <n v="5113815714"/>
    <m/>
    <s v="TIENE BL"/>
    <m/>
    <x v="0"/>
    <d v="2022-12-16T00:00:00"/>
    <m/>
    <m/>
    <m/>
    <m/>
    <m/>
    <m/>
    <m/>
    <m/>
    <d v="2022-12-16T00:00:00"/>
    <x v="12"/>
  </r>
  <r>
    <s v="Guamal S EN C"/>
    <d v="2022-12-20T00:00:00"/>
    <d v="2022-12-20T00:00:00"/>
    <n v="51"/>
    <s v="F-161"/>
    <x v="0"/>
    <n v="13818.5"/>
    <x v="219"/>
    <n v="120911875"/>
    <n v="30"/>
    <n v="4502470557"/>
    <n v="5085105185"/>
    <n v="5113815738"/>
    <m/>
    <s v="CON RETEN "/>
    <m/>
    <x v="0"/>
    <d v="2022-12-16T00:00:00"/>
    <m/>
    <m/>
    <m/>
    <m/>
    <m/>
    <m/>
    <m/>
    <m/>
    <d v="2022-12-16T00:00:00"/>
    <x v="12"/>
  </r>
  <r>
    <s v="David Martinez Jaramillo"/>
    <d v="2022-12-16T00:00:00"/>
    <d v="2022-12-19T00:00:00"/>
    <n v="51"/>
    <s v="DM340"/>
    <x v="0"/>
    <n v="13536"/>
    <x v="273"/>
    <n v="123177600"/>
    <n v="30"/>
    <n v="4502470558"/>
    <n v="5085105186"/>
    <n v="5113819802"/>
    <m/>
    <s v="TIENE BL"/>
    <m/>
    <x v="0"/>
    <d v="2022-12-16T00:00:00"/>
    <m/>
    <m/>
    <m/>
    <m/>
    <m/>
    <m/>
    <m/>
    <m/>
    <d v="2022-12-16T00:00:00"/>
    <x v="12"/>
  </r>
  <r>
    <s v="David Martinez Jaramillo"/>
    <d v="2022-12-19T00:00:00"/>
    <d v="2022-12-19T00:00:00"/>
    <n v="51"/>
    <s v="NC109"/>
    <x v="0"/>
    <n v="13536"/>
    <x v="2"/>
    <n v="-1353600"/>
    <n v="0"/>
    <n v="4502470558"/>
    <n v="5085105186"/>
    <n v="5113819804"/>
    <m/>
    <m/>
    <m/>
    <x v="0"/>
    <d v="2022-12-16T00:00:00"/>
    <m/>
    <m/>
    <m/>
    <m/>
    <m/>
    <m/>
    <m/>
    <m/>
    <d v="2022-12-16T00:00:00"/>
    <x v="12"/>
  </r>
  <r>
    <s v="Agroindustria Ganadera Valle Del Cesar"/>
    <d v="2022-12-20T00:00:00"/>
    <m/>
    <n v="51"/>
    <s v="FE-59"/>
    <x v="1"/>
    <n v="13064"/>
    <x v="227"/>
    <n v="113656800"/>
    <n v="28"/>
    <n v="4502470559"/>
    <n v="5085105187"/>
    <n v="5113815851"/>
    <m/>
    <s v="CON RETEN"/>
    <m/>
    <x v="0"/>
    <d v="2022-12-16T00:00:00"/>
    <m/>
    <m/>
    <m/>
    <m/>
    <m/>
    <m/>
    <m/>
    <m/>
    <d v="2022-12-16T00:00:00"/>
    <x v="12"/>
  </r>
  <r>
    <s v="Agropecuaria Bajogrande S.A."/>
    <d v="2022-12-12T00:00:00"/>
    <d v="2022-12-22T00:00:00"/>
    <n v="51"/>
    <s v="AB789"/>
    <x v="2"/>
    <n v="13642"/>
    <x v="219"/>
    <n v="119367500"/>
    <n v="28"/>
    <n v="4502473615"/>
    <n v="5085129519"/>
    <n v="5113839352"/>
    <m/>
    <s v="CON RETEN"/>
    <m/>
    <x v="1"/>
    <d v="2022-12-16T00:00:00"/>
    <m/>
    <m/>
    <m/>
    <m/>
    <m/>
    <m/>
    <m/>
    <m/>
    <d v="2022-12-16T00:00:00"/>
    <x v="12"/>
  </r>
  <r>
    <s v="Agropecuaria Bajogrande S.A."/>
    <m/>
    <m/>
    <n v="51"/>
    <n v="1041204"/>
    <x v="2"/>
    <n v="13642"/>
    <x v="584"/>
    <n v="327408"/>
    <n v="0"/>
    <n v="4502473615"/>
    <n v="5085129519"/>
    <n v="5113871536"/>
    <m/>
    <m/>
    <m/>
    <x v="1"/>
    <d v="2022-12-16T00:00:00"/>
    <m/>
    <m/>
    <m/>
    <m/>
    <m/>
    <m/>
    <m/>
    <m/>
    <d v="2022-12-16T00:00:00"/>
    <x v="12"/>
  </r>
  <r>
    <s v="Surtidora Agropecuaria De Colombia"/>
    <d v="2022-12-16T00:00:00"/>
    <d v="2022-12-20T00:00:00"/>
    <n v="51"/>
    <s v="FESA-69"/>
    <x v="2"/>
    <n v="25300"/>
    <x v="244"/>
    <n v="222640000"/>
    <n v="56"/>
    <n v="4502473650"/>
    <n v="5085129852"/>
    <n v="5113817909"/>
    <m/>
    <s v="TIENE BL"/>
    <m/>
    <x v="1"/>
    <d v="2022-12-16T00:00:00"/>
    <m/>
    <m/>
    <m/>
    <m/>
    <m/>
    <m/>
    <m/>
    <m/>
    <d v="2022-12-16T00:00:00"/>
    <x v="12"/>
  </r>
  <r>
    <s v="31416 S.A.S"/>
    <d v="2022-11-16T00:00:00"/>
    <d v="2022-12-20T00:00:00"/>
    <n v="51"/>
    <s v="PI-210"/>
    <x v="2"/>
    <n v="14297"/>
    <x v="244"/>
    <n v="125813600"/>
    <n v="28"/>
    <n v="4502473660"/>
    <n v="5085130003"/>
    <n v="5113815847"/>
    <m/>
    <s v="CON RETEN"/>
    <m/>
    <x v="1"/>
    <d v="2022-12-16T00:00:00"/>
    <m/>
    <m/>
    <m/>
    <m/>
    <m/>
    <m/>
    <m/>
    <m/>
    <d v="2022-12-16T00:00:00"/>
    <x v="12"/>
  </r>
  <r>
    <s v="Fernando Arevalo Reyes"/>
    <d v="2022-12-20T00:00:00"/>
    <m/>
    <n v="51"/>
    <s v="FVE-203"/>
    <x v="0"/>
    <n v="19462.5"/>
    <x v="219"/>
    <n v="170296875"/>
    <n v="42"/>
    <n v="4502470560"/>
    <n v="5085105310"/>
    <n v="5113819846"/>
    <m/>
    <s v="TIENE BL"/>
    <m/>
    <x v="0"/>
    <d v="2022-12-17T00:00:00"/>
    <m/>
    <m/>
    <m/>
    <m/>
    <m/>
    <m/>
    <m/>
    <m/>
    <d v="2022-12-17T00:00:00"/>
    <x v="12"/>
  </r>
  <r>
    <s v="Fernando Arevalo Reyes"/>
    <d v="2022-12-20T00:00:00"/>
    <m/>
    <n v="51"/>
    <s v="NC46"/>
    <x v="0"/>
    <n v="19462.5"/>
    <x v="321"/>
    <n v="-34254.000000004249"/>
    <n v="0"/>
    <n v="4502470560"/>
    <n v="5085105310"/>
    <n v="5113819887"/>
    <m/>
    <m/>
    <m/>
    <x v="0"/>
    <d v="2022-12-17T00:00:00"/>
    <m/>
    <m/>
    <m/>
    <m/>
    <m/>
    <m/>
    <m/>
    <m/>
    <d v="2022-12-17T00:00:00"/>
    <x v="12"/>
  </r>
  <r>
    <s v="David Martinez Jaramillo"/>
    <d v="2022-12-17T00:00:00"/>
    <d v="2022-12-19T00:00:00"/>
    <n v="51"/>
    <s v="DM341"/>
    <x v="0"/>
    <n v="13580"/>
    <x v="273"/>
    <n v="123578000"/>
    <n v="28"/>
    <n v="4502470561"/>
    <n v="5085105311"/>
    <n v="5113819805"/>
    <m/>
    <s v="TIENE BL"/>
    <m/>
    <x v="0"/>
    <d v="2022-12-17T00:00:00"/>
    <m/>
    <m/>
    <m/>
    <m/>
    <m/>
    <m/>
    <m/>
    <m/>
    <d v="2022-12-17T00:00:00"/>
    <x v="12"/>
  </r>
  <r>
    <s v="David Martinez Jaramillo"/>
    <d v="2022-12-19T00:00:00"/>
    <d v="2022-12-19T00:00:00"/>
    <n v="51"/>
    <s v="NC110"/>
    <x v="0"/>
    <n v="13580"/>
    <x v="747"/>
    <n v="-3248200.2000000067"/>
    <n v="0"/>
    <n v="4502470561"/>
    <n v="5085105311"/>
    <n v="5113819837"/>
    <m/>
    <m/>
    <m/>
    <x v="0"/>
    <d v="2022-12-17T00:00:00"/>
    <m/>
    <m/>
    <m/>
    <m/>
    <m/>
    <m/>
    <m/>
    <m/>
    <d v="2022-12-17T00:00:00"/>
    <x v="12"/>
  </r>
  <r>
    <s v="Luis Fernando Rojas Prada"/>
    <d v="2022-12-19T00:00:00"/>
    <d v="2022-12-19T00:00:00"/>
    <n v="51"/>
    <s v="FELC-1150"/>
    <x v="0"/>
    <n v="69722"/>
    <x v="207"/>
    <n v="578692600"/>
    <n v="140"/>
    <n v="4502473262"/>
    <n v="5085118273"/>
    <n v="5113819841"/>
    <s v="TIENE BL"/>
    <s v="EJ-2982600*10"/>
    <m/>
    <x v="0"/>
    <d v="2022-12-17T00:00:00"/>
    <n v="4902408528"/>
    <n v="29826000"/>
    <s v="FEMD-5957*10"/>
    <n v="5113814812"/>
    <m/>
    <m/>
    <m/>
    <m/>
    <d v="2022-12-17T00:00:00"/>
    <x v="12"/>
  </r>
  <r>
    <s v="Sociedad Comercializadora Ganadera"/>
    <d v="2022-12-19T00:00:00"/>
    <d v="2022-12-19T00:00:00"/>
    <n v="51"/>
    <s v="FEDV555"/>
    <x v="0"/>
    <n v="20541.5"/>
    <x v="278"/>
    <n v="188981800"/>
    <n v="45"/>
    <n v="4502470562"/>
    <n v="5085105312"/>
    <n v="5113826056"/>
    <m/>
    <s v="TIENE BL"/>
    <m/>
    <x v="0"/>
    <d v="2022-12-17T00:00:00"/>
    <m/>
    <m/>
    <m/>
    <m/>
    <m/>
    <m/>
    <m/>
    <m/>
    <d v="2022-12-17T00:00:00"/>
    <x v="12"/>
  </r>
  <r>
    <s v="Sociedad Comercializadora Ganadera"/>
    <d v="2022-12-19T00:00:00"/>
    <d v="2022-12-19T00:00:00"/>
    <n v="51"/>
    <s v="NC285"/>
    <x v="0"/>
    <n v="20541.5"/>
    <x v="748"/>
    <n v="-341399.73000001645"/>
    <n v="0"/>
    <n v="4502470562"/>
    <n v="5085105312"/>
    <n v="5113826139"/>
    <m/>
    <m/>
    <m/>
    <x v="0"/>
    <d v="2022-12-17T00:00:00"/>
    <m/>
    <m/>
    <m/>
    <m/>
    <m/>
    <m/>
    <m/>
    <m/>
    <d v="2022-12-17T00:00:00"/>
    <x v="12"/>
  </r>
  <r>
    <s v="Sociedad Comercializadora Ganadera"/>
    <d v="2022-12-21T00:00:00"/>
    <d v="2022-12-21T00:00:00"/>
    <n v="51"/>
    <s v="FEDV556"/>
    <x v="0"/>
    <n v="13857"/>
    <x v="278"/>
    <n v="127484400"/>
    <n v="32"/>
    <n v="4502470563"/>
    <n v="5085118453"/>
    <n v="5113821850"/>
    <m/>
    <s v="TIENE BL"/>
    <m/>
    <x v="0"/>
    <d v="2022-12-18T00:00:00"/>
    <m/>
    <m/>
    <m/>
    <m/>
    <m/>
    <m/>
    <m/>
    <m/>
    <d v="2022-12-18T00:00:00"/>
    <x v="12"/>
  </r>
  <r>
    <s v="Sociedad Comercializadora Ganadera"/>
    <d v="2022-12-21T00:00:00"/>
    <d v="2022-12-21T00:00:00"/>
    <n v="51"/>
    <s v="FEDV557"/>
    <x v="0"/>
    <n v="20814"/>
    <x v="278"/>
    <n v="191488800"/>
    <n v="45"/>
    <n v="4502470563"/>
    <n v="5085118453"/>
    <n v="5113821851"/>
    <m/>
    <s v="TIENE BL"/>
    <m/>
    <x v="0"/>
    <d v="2022-12-18T00:00:00"/>
    <m/>
    <m/>
    <m/>
    <m/>
    <m/>
    <m/>
    <m/>
    <m/>
    <d v="2022-12-18T00:00:00"/>
    <x v="12"/>
  </r>
  <r>
    <s v="Sociedad Comercializadora Ganadera"/>
    <d v="2022-12-21T00:00:00"/>
    <d v="2022-12-21T00:00:00"/>
    <n v="51"/>
    <s v="NC286"/>
    <x v="0"/>
    <n v="20814"/>
    <x v="749"/>
    <n v="-1182027.0600000182"/>
    <n v="0"/>
    <n v="4502470563"/>
    <n v="5085118453"/>
    <n v="5113821855"/>
    <m/>
    <m/>
    <m/>
    <x v="0"/>
    <d v="2022-12-18T00:00:00"/>
    <m/>
    <m/>
    <m/>
    <m/>
    <m/>
    <m/>
    <m/>
    <m/>
    <d v="2022-12-18T00:00:00"/>
    <x v="12"/>
  </r>
  <r>
    <s v="Agropecuaria Tabaida S.A.S"/>
    <d v="2022-12-18T00:00:00"/>
    <d v="2022-12-20T00:00:00"/>
    <n v="51"/>
    <s v="MT-1711"/>
    <x v="1"/>
    <n v="19390"/>
    <x v="213"/>
    <n v="164815000"/>
    <n v="42"/>
    <n v="4502473264"/>
    <n v="5085118274"/>
    <n v="5113828237"/>
    <s v="TIENE BL"/>
    <s v="EJ*3 1793900*3"/>
    <m/>
    <x v="0"/>
    <d v="2022-12-18T00:00:00"/>
    <n v="4902408530"/>
    <n v="5381700"/>
    <s v="FEMD-5961*3"/>
    <n v="5113816817"/>
    <m/>
    <m/>
    <m/>
    <m/>
    <d v="2022-12-18T00:00:00"/>
    <x v="12"/>
  </r>
  <r>
    <s v="Agropecuaria Tabaida S.A.S"/>
    <d v="2022-12-18T00:00:00"/>
    <d v="2022-12-20T00:00:00"/>
    <n v="51"/>
    <n v="16"/>
    <x v="1"/>
    <n v="19390"/>
    <x v="584"/>
    <n v="465360"/>
    <n v="0"/>
    <n v="4502473264"/>
    <n v="5085118274"/>
    <n v="5113828241"/>
    <m/>
    <m/>
    <m/>
    <x v="0"/>
    <d v="2022-12-18T00:00:00"/>
    <m/>
    <m/>
    <m/>
    <m/>
    <m/>
    <m/>
    <m/>
    <m/>
    <d v="2022-12-18T00:00:00"/>
    <x v="12"/>
  </r>
  <r>
    <s v="David Martinez Jaramillo"/>
    <d v="2022-12-17T00:00:00"/>
    <d v="2022-12-20T00:00:00"/>
    <n v="51"/>
    <s v="DM342"/>
    <x v="1"/>
    <n v="14736"/>
    <x v="273"/>
    <n v="134097600"/>
    <n v="30"/>
    <n v="4502470564"/>
    <n v="5085116445"/>
    <n v="5113821923"/>
    <m/>
    <s v="TIENE BL"/>
    <m/>
    <x v="0"/>
    <d v="2022-12-18T00:00:00"/>
    <m/>
    <m/>
    <m/>
    <m/>
    <m/>
    <m/>
    <m/>
    <m/>
    <d v="2022-12-18T00:00:00"/>
    <x v="12"/>
  </r>
  <r>
    <s v="David Martinez Jaramillo"/>
    <d v="2022-12-20T00:00:00"/>
    <d v="2022-12-20T00:00:00"/>
    <n v="51"/>
    <s v="NC111"/>
    <x v="1"/>
    <n v="14736"/>
    <x v="11"/>
    <n v="-2210400"/>
    <n v="0"/>
    <n v="4502470564"/>
    <n v="5085116445"/>
    <n v="5113821924"/>
    <m/>
    <m/>
    <m/>
    <x v="0"/>
    <d v="2022-12-18T00:00:00"/>
    <m/>
    <m/>
    <m/>
    <m/>
    <m/>
    <m/>
    <m/>
    <m/>
    <d v="2022-12-18T00:00:00"/>
    <x v="12"/>
  </r>
  <r>
    <s v="2H Agropecuaria S.A.S."/>
    <d v="2022-12-18T00:00:00"/>
    <d v="2022-12-21T00:00:00"/>
    <n v="51"/>
    <s v="FE2H52"/>
    <x v="2"/>
    <n v="6439"/>
    <x v="244"/>
    <n v="56663200"/>
    <n v="14"/>
    <n v="4502474582"/>
    <n v="5085148689"/>
    <n v="5113819889"/>
    <m/>
    <s v="CON RETEN"/>
    <m/>
    <x v="1"/>
    <d v="2022-12-18T00:00:00"/>
    <m/>
    <m/>
    <m/>
    <m/>
    <m/>
    <m/>
    <m/>
    <m/>
    <d v="2022-12-18T00:00:00"/>
    <x v="12"/>
  </r>
  <r>
    <s v="Misionagro S.A.S"/>
    <d v="2022-12-18T00:00:00"/>
    <m/>
    <n v="51"/>
    <s v="MISI-188"/>
    <x v="2"/>
    <n v="14751"/>
    <x v="219"/>
    <n v="129071250"/>
    <n v="28"/>
    <n v="4502474585"/>
    <n v="5085148694"/>
    <n v="5113828263"/>
    <m/>
    <s v="CON RETEN"/>
    <m/>
    <x v="1"/>
    <d v="2022-12-18T00:00:00"/>
    <m/>
    <m/>
    <m/>
    <m/>
    <m/>
    <m/>
    <m/>
    <m/>
    <d v="2022-12-18T00:00:00"/>
    <x v="12"/>
  </r>
  <r>
    <s v="Mauricio De Jesús Bernal Jaramillo"/>
    <d v="2022-12-22T00:00:00"/>
    <m/>
    <n v="51"/>
    <s v="FE-222"/>
    <x v="2"/>
    <n v="12525"/>
    <x v="750"/>
    <n v="108262342.50000001"/>
    <n v="30"/>
    <n v="4502474587"/>
    <n v="5085148781"/>
    <n v="5113824110"/>
    <m/>
    <s v="CON RETEN"/>
    <m/>
    <x v="1"/>
    <d v="2022-12-18T00:00:00"/>
    <m/>
    <m/>
    <m/>
    <m/>
    <m/>
    <m/>
    <m/>
    <m/>
    <d v="2022-12-18T00:00:00"/>
    <x v="12"/>
  </r>
  <r>
    <s v="Mauricio De Jesús Bernal Jaramillo"/>
    <d v="2022-12-22T00:00:00"/>
    <m/>
    <n v="51"/>
    <s v="FE-223"/>
    <x v="2"/>
    <n v="12525"/>
    <x v="584"/>
    <n v="300600"/>
    <n v="0"/>
    <n v="4502474587"/>
    <n v="5085148781"/>
    <n v="5113824112"/>
    <m/>
    <m/>
    <m/>
    <x v="1"/>
    <d v="2022-12-18T00:00:00"/>
    <m/>
    <m/>
    <m/>
    <m/>
    <m/>
    <m/>
    <m/>
    <m/>
    <d v="2022-12-18T00:00:00"/>
    <x v="12"/>
  </r>
  <r>
    <s v="Tres VE. S.A.S."/>
    <d v="2022-12-18T00:00:00"/>
    <d v="2022-12-22T00:00:00"/>
    <n v="51"/>
    <s v="TVE-170"/>
    <x v="2"/>
    <n v="6837"/>
    <x v="219"/>
    <n v="59823750"/>
    <n v="14"/>
    <n v="4502474588"/>
    <n v="5085148786"/>
    <n v="5113825068"/>
    <m/>
    <s v="CON RETEN"/>
    <m/>
    <x v="1"/>
    <d v="2022-12-18T00:00:00"/>
    <m/>
    <m/>
    <m/>
    <m/>
    <m/>
    <m/>
    <m/>
    <m/>
    <d v="2022-12-18T00:00:00"/>
    <x v="12"/>
  </r>
  <r>
    <s v="David Martinez Jaramillo"/>
    <d v="2022-12-18T00:00:00"/>
    <d v="2022-12-21T00:00:00"/>
    <n v="51"/>
    <s v="DM343"/>
    <x v="0"/>
    <n v="12692.5"/>
    <x v="273"/>
    <n v="115501750"/>
    <n v="29"/>
    <n v="4502474463"/>
    <n v="5085140604"/>
    <n v="5113824248"/>
    <m/>
    <s v="TIENE BL"/>
    <m/>
    <x v="0"/>
    <d v="2022-12-19T00:00:00"/>
    <m/>
    <m/>
    <m/>
    <m/>
    <m/>
    <m/>
    <m/>
    <m/>
    <d v="2022-12-19T00:00:00"/>
    <x v="12"/>
  </r>
  <r>
    <s v="David Martinez Jaramillo"/>
    <d v="2022-12-21T00:00:00"/>
    <d v="2022-12-21T00:00:00"/>
    <n v="51"/>
    <s v="NC112"/>
    <x v="0"/>
    <n v="12692.5"/>
    <x v="751"/>
    <n v="-1538204.0750000065"/>
    <n v="0"/>
    <n v="4502474463"/>
    <n v="5085140604"/>
    <n v="5113824249"/>
    <m/>
    <m/>
    <m/>
    <x v="0"/>
    <d v="2022-12-19T00:00:00"/>
    <m/>
    <m/>
    <m/>
    <m/>
    <m/>
    <m/>
    <m/>
    <m/>
    <d v="2022-12-19T00:00:00"/>
    <x v="12"/>
  </r>
  <r>
    <s v="Sociedad Comercializadora Ganadera"/>
    <d v="2022-12-21T00:00:00"/>
    <d v="2022-12-21T00:00:00"/>
    <n v="51"/>
    <s v="FEDV558"/>
    <x v="0"/>
    <n v="19256.5"/>
    <x v="278"/>
    <n v="177159800"/>
    <n v="45"/>
    <n v="4502470566"/>
    <n v="5085131431"/>
    <n v="5113821917"/>
    <m/>
    <s v="TIENE BL"/>
    <m/>
    <x v="0"/>
    <d v="2022-12-19T00:00:00"/>
    <m/>
    <m/>
    <m/>
    <m/>
    <m/>
    <m/>
    <m/>
    <m/>
    <d v="2022-12-19T00:00:00"/>
    <x v="12"/>
  </r>
  <r>
    <s v="Sociedad Comercializadora Ganadera"/>
    <d v="2022-12-21T00:00:00"/>
    <d v="2022-12-21T00:00:00"/>
    <n v="51"/>
    <s v="NC287"/>
    <x v="0"/>
    <n v="19256.5"/>
    <x v="752"/>
    <n v="-578465.26000001677"/>
    <n v="0"/>
    <n v="4502470566"/>
    <n v="5085131431"/>
    <n v="5113821918"/>
    <m/>
    <m/>
    <m/>
    <x v="0"/>
    <d v="2022-12-19T00:00:00"/>
    <m/>
    <m/>
    <m/>
    <m/>
    <m/>
    <m/>
    <m/>
    <m/>
    <d v="2022-12-19T00:00:00"/>
    <x v="12"/>
  </r>
  <r>
    <s v="Inversiones y Negocios V&amp;V S.A.S"/>
    <d v="2022-12-19T00:00:00"/>
    <d v="2022-12-21T00:00:00"/>
    <n v="51"/>
    <s v="FE-1785"/>
    <x v="2"/>
    <n v="12717"/>
    <x v="273"/>
    <n v="115724700"/>
    <n v="28"/>
    <n v="4502470567"/>
    <n v="5085131433"/>
    <n v="5113821023"/>
    <m/>
    <s v="CON RETEN"/>
    <m/>
    <x v="0"/>
    <d v="2022-12-19T00:00:00"/>
    <m/>
    <m/>
    <m/>
    <m/>
    <m/>
    <m/>
    <m/>
    <m/>
    <d v="2022-12-19T00:00:00"/>
    <x v="12"/>
  </r>
  <r>
    <s v="Inversiones y Negocios V&amp;V S.A.S"/>
    <d v="2022-12-19T00:00:00"/>
    <d v="2022-12-21T00:00:00"/>
    <n v="51"/>
    <s v="DF215"/>
    <x v="2"/>
    <n v="12717"/>
    <x v="584"/>
    <n v="305208"/>
    <n v="0"/>
    <n v="4502470567"/>
    <n v="5085131433"/>
    <n v="5113821057"/>
    <m/>
    <m/>
    <m/>
    <x v="0"/>
    <d v="2022-12-19T00:00:00"/>
    <m/>
    <m/>
    <m/>
    <m/>
    <m/>
    <m/>
    <m/>
    <m/>
    <d v="2022-12-19T00:00:00"/>
    <x v="12"/>
  </r>
  <r>
    <s v="Rafael Francisco Delgado Serrano"/>
    <d v="2022-12-22T00:00:00"/>
    <m/>
    <n v="51"/>
    <s v="RFDS-205"/>
    <x v="0"/>
    <n v="6361.5"/>
    <x v="283"/>
    <n v="56299275"/>
    <n v="14"/>
    <n v="4502470568"/>
    <n v="5085153630"/>
    <n v="5113826053"/>
    <m/>
    <s v="CON RETEN"/>
    <m/>
    <x v="0"/>
    <d v="2022-12-20T00:00:00"/>
    <m/>
    <m/>
    <m/>
    <m/>
    <m/>
    <m/>
    <m/>
    <m/>
    <d v="2022-12-20T00:00:00"/>
    <x v="12"/>
  </r>
  <r>
    <s v="Rafael Francisco Delgado Serrano"/>
    <d v="2022-12-22T00:00:00"/>
    <m/>
    <n v="51"/>
    <s v="NDB4"/>
    <x v="0"/>
    <n v="6361.5"/>
    <x v="13"/>
    <n v="318075"/>
    <n v="0"/>
    <n v="4502470568"/>
    <n v="5085153630"/>
    <n v="5113826055"/>
    <m/>
    <m/>
    <m/>
    <x v="0"/>
    <d v="2022-12-20T00:00:00"/>
    <m/>
    <m/>
    <m/>
    <m/>
    <m/>
    <m/>
    <m/>
    <m/>
    <d v="2022-12-20T00:00:00"/>
    <x v="12"/>
  </r>
  <r>
    <s v="Industria Ganadera Hato Cebu S.A."/>
    <d v="2022-12-22T00:00:00"/>
    <d v="2022-12-22T00:00:00"/>
    <n v="51"/>
    <s v="FEHC404"/>
    <x v="0"/>
    <n v="26654.5"/>
    <x v="273"/>
    <n v="242555950"/>
    <n v="56"/>
    <n v="4502470569"/>
    <n v="5085153631"/>
    <n v="5113825955"/>
    <m/>
    <s v="CON RETEN"/>
    <m/>
    <x v="0"/>
    <d v="2022-12-20T00:00:00"/>
    <m/>
    <m/>
    <m/>
    <m/>
    <m/>
    <m/>
    <m/>
    <m/>
    <d v="2022-12-20T00:00:00"/>
    <x v="12"/>
  </r>
  <r>
    <s v="Industria Ganadera Hato Cebu S.A."/>
    <d v="2022-12-22T00:00:00"/>
    <d v="2022-12-22T00:00:00"/>
    <n v="51"/>
    <s v="ND5"/>
    <x v="0"/>
    <n v="26654.5"/>
    <x v="13"/>
    <n v="1332725"/>
    <n v="0"/>
    <n v="4502470569"/>
    <n v="5085153631"/>
    <n v="5113826047"/>
    <m/>
    <m/>
    <m/>
    <x v="0"/>
    <d v="2022-12-20T00:00:00"/>
    <m/>
    <m/>
    <m/>
    <m/>
    <m/>
    <m/>
    <m/>
    <m/>
    <d v="2022-12-20T00:00:00"/>
    <x v="12"/>
  </r>
  <r>
    <s v="Inversiones El Cruce S.A."/>
    <d v="2022-12-20T00:00:00"/>
    <m/>
    <n v="51"/>
    <s v="E-204"/>
    <x v="0"/>
    <n v="13590.5"/>
    <x v="273"/>
    <n v="123673550"/>
    <n v="28"/>
    <n v="4502470570"/>
    <n v="5085153632"/>
    <n v="5113830269"/>
    <m/>
    <s v="CON RETEN"/>
    <m/>
    <x v="0"/>
    <d v="2022-12-20T00:00:00"/>
    <m/>
    <m/>
    <m/>
    <m/>
    <m/>
    <m/>
    <m/>
    <m/>
    <d v="2022-12-20T00:00:00"/>
    <x v="12"/>
  </r>
  <r>
    <s v="Inversiones El Cruce S.A."/>
    <d v="2022-12-20T00:00:00"/>
    <m/>
    <n v="51"/>
    <s v="NC212"/>
    <x v="0"/>
    <n v="13590.5"/>
    <x v="13"/>
    <n v="-679525"/>
    <n v="0"/>
    <n v="4502470570"/>
    <n v="5085153632"/>
    <n v="5113830270"/>
    <m/>
    <m/>
    <m/>
    <x v="0"/>
    <d v="2022-12-20T00:00:00"/>
    <m/>
    <m/>
    <m/>
    <m/>
    <m/>
    <m/>
    <m/>
    <m/>
    <d v="2022-12-20T00:00:00"/>
    <x v="12"/>
  </r>
  <r>
    <s v="Margie Rodriguez Rodriguez"/>
    <d v="2022-12-23T00:00:00"/>
    <m/>
    <n v="51"/>
    <s v="FE-73"/>
    <x v="0"/>
    <n v="6654"/>
    <x v="227"/>
    <n v="57889800"/>
    <n v="15"/>
    <n v="4502470571"/>
    <n v="5085153633"/>
    <n v="5113829318"/>
    <m/>
    <s v="CON RETEN"/>
    <m/>
    <x v="0"/>
    <d v="2022-12-20T00:00:00"/>
    <m/>
    <m/>
    <m/>
    <m/>
    <m/>
    <m/>
    <m/>
    <m/>
    <d v="2022-12-20T00:00:00"/>
    <x v="12"/>
  </r>
  <r>
    <s v="Margie Rodriguez Rodriguez"/>
    <d v="2022-12-23T00:00:00"/>
    <m/>
    <n v="51"/>
    <s v="NC235"/>
    <x v="0"/>
    <n v="6654"/>
    <x v="13"/>
    <n v="-332700"/>
    <n v="0"/>
    <n v="4502470571"/>
    <n v="5085153633"/>
    <n v="5113829319"/>
    <m/>
    <m/>
    <m/>
    <x v="0"/>
    <d v="2022-12-20T00:00:00"/>
    <m/>
    <m/>
    <m/>
    <m/>
    <m/>
    <m/>
    <m/>
    <m/>
    <d v="2022-12-20T00:00:00"/>
    <x v="12"/>
  </r>
  <r>
    <s v="Leonardo Pitta Peñaranda"/>
    <d v="2022-12-22T00:00:00"/>
    <d v="2022-12-22T00:00:00"/>
    <n v="51"/>
    <s v="ARF-209"/>
    <x v="0"/>
    <n v="5907.5"/>
    <x v="219"/>
    <n v="51690625"/>
    <n v="14"/>
    <n v="4502470572"/>
    <n v="5085153634"/>
    <n v="5113829216"/>
    <s v="TIENE BL"/>
    <m/>
    <m/>
    <x v="0"/>
    <d v="2022-12-20T00:00:00"/>
    <m/>
    <m/>
    <m/>
    <m/>
    <m/>
    <m/>
    <m/>
    <m/>
    <d v="2022-12-20T00:00:00"/>
    <x v="12"/>
  </r>
  <r>
    <s v="Leonardo Pitta Peñaranda"/>
    <d v="2022-12-22T00:00:00"/>
    <d v="2022-12-22T00:00:00"/>
    <n v="51"/>
    <s v="NCR4"/>
    <x v="0"/>
    <n v="5907.5"/>
    <x v="753"/>
    <n v="-925764.32499999483"/>
    <n v="0"/>
    <n v="4502470572"/>
    <n v="5085153634"/>
    <n v="5113829317"/>
    <m/>
    <m/>
    <m/>
    <x v="0"/>
    <d v="2022-12-20T00:00:00"/>
    <m/>
    <m/>
    <m/>
    <m/>
    <m/>
    <m/>
    <m/>
    <m/>
    <d v="2022-12-20T00:00:00"/>
    <x v="12"/>
  </r>
  <r>
    <s v="Agroinversiones LA Argentina S.A.S"/>
    <d v="2022-12-20T00:00:00"/>
    <m/>
    <n v="51"/>
    <s v="FE-32"/>
    <x v="1"/>
    <n v="21314"/>
    <x v="220"/>
    <n v="184366100"/>
    <n v="42"/>
    <n v="4502473269"/>
    <n v="5085153408"/>
    <n v="5113829141"/>
    <s v="TIENE BL"/>
    <s v="NUMA*3 499560 "/>
    <m/>
    <x v="0"/>
    <d v="2022-12-20T00:00:00"/>
    <n v="4902408533"/>
    <n v="1498680"/>
    <s v="MOVI-2065*3"/>
    <n v="5113821551"/>
    <m/>
    <m/>
    <m/>
    <m/>
    <d v="2022-12-20T00:00:00"/>
    <x v="12"/>
  </r>
  <r>
    <s v="Agroinversiones LA Argentina S.A.S"/>
    <d v="2022-12-20T00:00:00"/>
    <m/>
    <n v="51"/>
    <s v="DF21"/>
    <x v="1"/>
    <n v="21314"/>
    <x v="584"/>
    <n v="511536"/>
    <n v="0"/>
    <n v="4502473269"/>
    <n v="5085153408"/>
    <n v="5113838905"/>
    <m/>
    <m/>
    <m/>
    <x v="0"/>
    <d v="2022-12-20T00:00:00"/>
    <m/>
    <m/>
    <m/>
    <m/>
    <m/>
    <m/>
    <m/>
    <m/>
    <d v="2022-12-20T00:00:00"/>
    <x v="12"/>
  </r>
  <r>
    <s v="HEVLA S.A.S"/>
    <d v="2022-12-20T00:00:00"/>
    <d v="2022-12-22T00:00:00"/>
    <n v="51"/>
    <s v="FE-700"/>
    <x v="1"/>
    <n v="20831"/>
    <x v="207"/>
    <n v="172897300"/>
    <n v="42"/>
    <n v="4502473272"/>
    <n v="5085156167"/>
    <n v="5113828246"/>
    <s v="CON RETEN"/>
    <s v="EJ*3*2982600"/>
    <m/>
    <x v="0"/>
    <d v="2022-12-20T00:00:00"/>
    <n v="4902408535"/>
    <n v="8947800"/>
    <s v="FEMD-5969*3"/>
    <n v="5113828216"/>
    <m/>
    <m/>
    <m/>
    <m/>
    <d v="2022-12-20T00:00:00"/>
    <x v="12"/>
  </r>
  <r>
    <s v="Sociedad Comercializadora Ganadera"/>
    <d v="2022-12-22T00:00:00"/>
    <d v="2022-12-22T00:00:00"/>
    <n v="51"/>
    <s v="FEDV561"/>
    <x v="3"/>
    <n v="8536"/>
    <x v="54"/>
    <n v="66580800"/>
    <n v="33"/>
    <n v="4502475539"/>
    <n v="5085174955"/>
    <n v="5113828269"/>
    <m/>
    <s v="TIENE BL"/>
    <m/>
    <x v="2"/>
    <d v="2022-12-21T00:00:00"/>
    <m/>
    <m/>
    <m/>
    <m/>
    <m/>
    <m/>
    <m/>
    <m/>
    <d v="2022-12-21T00:00:00"/>
    <x v="12"/>
  </r>
  <r>
    <s v="Hugo Alfonso Portillo Rodriguez"/>
    <d v="2022-12-22T00:00:00"/>
    <d v="2022-12-28T00:00:00"/>
    <n v="52"/>
    <s v="E-204"/>
    <x v="0"/>
    <n v="12865.5"/>
    <x v="219"/>
    <n v="112573125"/>
    <n v="28"/>
    <n v="4502475034"/>
    <n v="5085195972"/>
    <n v="5113845125"/>
    <m/>
    <s v="TIENE BL "/>
    <m/>
    <x v="0"/>
    <d v="2022-12-22T00:00:00"/>
    <m/>
    <m/>
    <m/>
    <m/>
    <m/>
    <m/>
    <m/>
    <m/>
    <d v="2022-12-22T00:00:00"/>
    <x v="12"/>
  </r>
  <r>
    <s v="Hugo Alfonso Portillo Rodriguez"/>
    <d v="2022-12-22T00:00:00"/>
    <d v="2022-12-28T00:00:00"/>
    <n v="52"/>
    <s v="NC22"/>
    <x v="0"/>
    <n v="12865.5"/>
    <x v="754"/>
    <n v="-834713.63999998965"/>
    <n v="0"/>
    <n v="4502475034"/>
    <n v="5085195972"/>
    <n v="5113845188"/>
    <m/>
    <m/>
    <m/>
    <x v="0"/>
    <d v="2022-12-22T00:00:00"/>
    <m/>
    <m/>
    <m/>
    <m/>
    <m/>
    <m/>
    <m/>
    <m/>
    <d v="2022-12-22T00:00:00"/>
    <x v="12"/>
  </r>
  <r>
    <s v="Maria Alicia Montaño Parra"/>
    <d v="2022-12-23T00:00:00"/>
    <m/>
    <n v="52"/>
    <s v="FE-50"/>
    <x v="0"/>
    <n v="5273.5"/>
    <x v="227"/>
    <n v="45879450"/>
    <n v="15"/>
    <n v="4502475035"/>
    <n v="5085195973"/>
    <n v="5113845845"/>
    <m/>
    <s v="CON RETEN"/>
    <m/>
    <x v="0"/>
    <d v="2022-12-22T00:00:00"/>
    <m/>
    <m/>
    <m/>
    <m/>
    <m/>
    <m/>
    <m/>
    <m/>
    <d v="2022-12-22T00:00:00"/>
    <x v="12"/>
  </r>
  <r>
    <s v="Maria Alicia Montaño Parra"/>
    <d v="2022-12-23T00:00:00"/>
    <m/>
    <n v="52"/>
    <s v="FE11"/>
    <x v="0"/>
    <n v="5273.5"/>
    <x v="678"/>
    <n v="-2109400"/>
    <n v="0"/>
    <n v="4502475035"/>
    <n v="5085195973"/>
    <n v="5113845846"/>
    <m/>
    <m/>
    <m/>
    <x v="0"/>
    <d v="2022-12-22T00:00:00"/>
    <m/>
    <m/>
    <m/>
    <m/>
    <m/>
    <m/>
    <m/>
    <m/>
    <d v="2022-12-22T00:00:00"/>
    <x v="12"/>
  </r>
  <r>
    <s v="Andres Felipe Mantilla Acosta"/>
    <d v="2022-12-22T00:00:00"/>
    <d v="2022-12-27T00:00:00"/>
    <n v="52"/>
    <s v="FE-66"/>
    <x v="0"/>
    <n v="6679"/>
    <x v="219"/>
    <n v="58441250"/>
    <n v="15"/>
    <n v="4502475036"/>
    <n v="5085195974"/>
    <n v="5113840734"/>
    <m/>
    <s v="TIENE BL"/>
    <m/>
    <x v="0"/>
    <d v="2022-12-22T00:00:00"/>
    <m/>
    <m/>
    <m/>
    <m/>
    <m/>
    <m/>
    <m/>
    <m/>
    <d v="2022-12-22T00:00:00"/>
    <x v="12"/>
  </r>
  <r>
    <s v="Andres Felipe Mantilla Acosta"/>
    <d v="2022-12-22T00:00:00"/>
    <d v="2022-12-27T00:00:00"/>
    <n v="52"/>
    <s v="NC22"/>
    <x v="0"/>
    <n v="6679"/>
    <x v="755"/>
    <n v="-141795.16999999707"/>
    <n v="0"/>
    <n v="4502475036"/>
    <n v="5085195974"/>
    <n v="5113840735"/>
    <m/>
    <m/>
    <m/>
    <x v="0"/>
    <d v="2022-12-22T00:00:00"/>
    <m/>
    <m/>
    <m/>
    <m/>
    <m/>
    <m/>
    <m/>
    <m/>
    <d v="2022-12-22T00:00:00"/>
    <x v="12"/>
  </r>
  <r>
    <s v="Alexander Bautista Perez"/>
    <d v="2022-12-22T00:00:00"/>
    <d v="2022-12-26T00:00:00"/>
    <n v="52"/>
    <s v="FACE425"/>
    <x v="0"/>
    <n v="19806"/>
    <x v="219"/>
    <n v="173302500"/>
    <n v="44"/>
    <n v="4502475037"/>
    <n v="5085199558"/>
    <n v="5113836677"/>
    <m/>
    <s v="CON RETEN"/>
    <m/>
    <x v="0"/>
    <d v="2022-12-22T00:00:00"/>
    <m/>
    <m/>
    <m/>
    <m/>
    <m/>
    <m/>
    <m/>
    <m/>
    <d v="2022-12-22T00:00:00"/>
    <x v="12"/>
  </r>
  <r>
    <s v="Alexander Bautista Perez"/>
    <d v="2022-12-22T00:00:00"/>
    <d v="2022-12-26T00:00:00"/>
    <n v="52"/>
    <s v="NC46"/>
    <x v="0"/>
    <n v="19806"/>
    <x v="13"/>
    <n v="-990300"/>
    <n v="0"/>
    <n v="4502475037"/>
    <n v="5085199558"/>
    <n v="5113836678"/>
    <m/>
    <m/>
    <m/>
    <x v="0"/>
    <d v="2022-12-22T00:00:00"/>
    <m/>
    <m/>
    <m/>
    <m/>
    <m/>
    <m/>
    <m/>
    <m/>
    <d v="2022-12-22T00:00:00"/>
    <x v="12"/>
  </r>
  <r>
    <s v="Soc.Ganadera Suprema De Oriente S.A.S"/>
    <d v="2022-12-26T00:00:00"/>
    <d v="2022-12-26T00:00:00"/>
    <n v="52"/>
    <s v="FVE665"/>
    <x v="0"/>
    <n v="22591"/>
    <x v="308"/>
    <n v="188634850"/>
    <n v="42"/>
    <n v="4502476745"/>
    <n v="5085218652"/>
    <n v="5113837105"/>
    <m/>
    <s v="EJ*3 2979200*3"/>
    <s v="CON RETEN "/>
    <x v="0"/>
    <d v="2022-12-22T00:00:00"/>
    <n v="4902413309"/>
    <n v="8937600"/>
    <s v="FEMD-6012*3"/>
    <n v="5113833615"/>
    <m/>
    <m/>
    <m/>
    <m/>
    <d v="2022-12-22T00:00:00"/>
    <x v="12"/>
  </r>
  <r>
    <s v="Sociedad Comercializadora Ganadera"/>
    <d v="2022-12-28T00:00:00"/>
    <d v="2022-12-28T00:00:00"/>
    <n v="52"/>
    <s v="FEDV564"/>
    <x v="0"/>
    <n v="42455"/>
    <x v="278"/>
    <n v="390586000"/>
    <n v="90"/>
    <n v="4502475038"/>
    <n v="5085195975"/>
    <n v="5113845249"/>
    <m/>
    <s v="TIENE BL"/>
    <m/>
    <x v="0"/>
    <d v="2022-12-22T00:00:00"/>
    <m/>
    <m/>
    <m/>
    <m/>
    <m/>
    <m/>
    <m/>
    <m/>
    <d v="2022-12-22T00:00:00"/>
    <x v="12"/>
  </r>
  <r>
    <s v="Sociedad Comercializadora Ganadera"/>
    <d v="2022-12-28T00:00:00"/>
    <d v="2022-12-28T00:00:00"/>
    <n v="52"/>
    <s v="NC288"/>
    <x v="0"/>
    <n v="42455"/>
    <x v="756"/>
    <n v="-453843.95000002161"/>
    <n v="0"/>
    <n v="4502475038"/>
    <n v="5085195975"/>
    <n v="5113845250"/>
    <m/>
    <m/>
    <m/>
    <x v="0"/>
    <d v="2022-12-22T00:00:00"/>
    <m/>
    <m/>
    <m/>
    <m/>
    <m/>
    <m/>
    <m/>
    <m/>
    <d v="2022-12-22T00:00:00"/>
    <x v="12"/>
  </r>
  <r>
    <s v="Henry Alonso Pacheco Peñaranda"/>
    <m/>
    <m/>
    <n v="52"/>
    <s v="1PAC16"/>
    <x v="0"/>
    <n v="19844"/>
    <x v="219"/>
    <n v="173635000"/>
    <n v="42"/>
    <n v="4502475039"/>
    <n v="5085195976"/>
    <n v="5113845195"/>
    <m/>
    <s v="TIENE BL"/>
    <m/>
    <x v="0"/>
    <d v="2022-12-22T00:00:00"/>
    <m/>
    <m/>
    <m/>
    <m/>
    <m/>
    <m/>
    <m/>
    <m/>
    <d v="2022-12-22T00:00:00"/>
    <x v="12"/>
  </r>
  <r>
    <s v="Almadar LTDA"/>
    <d v="2022-12-27T00:00:00"/>
    <d v="2022-12-27T00:00:00"/>
    <n v="52"/>
    <s v="FEAL-49"/>
    <x v="0"/>
    <n v="7905"/>
    <x v="219"/>
    <n v="69168750"/>
    <n v="18"/>
    <n v="4502475040"/>
    <n v="5085199559"/>
    <n v="5113840561"/>
    <m/>
    <s v="TIENE BL"/>
    <m/>
    <x v="0"/>
    <d v="2022-12-22T00:00:00"/>
    <m/>
    <m/>
    <m/>
    <m/>
    <m/>
    <m/>
    <m/>
    <m/>
    <d v="2022-12-22T00:00:00"/>
    <x v="12"/>
  </r>
  <r>
    <s v="Almadar LTDA"/>
    <d v="2022-12-27T00:00:00"/>
    <d v="2022-12-27T00:00:00"/>
    <n v="52"/>
    <s v="NCR5"/>
    <x v="0"/>
    <n v="7905"/>
    <x v="757"/>
    <n v="-903146.25"/>
    <n v="0"/>
    <n v="4502475040"/>
    <n v="5085199559"/>
    <n v="5113840563"/>
    <m/>
    <m/>
    <m/>
    <x v="0"/>
    <d v="2022-12-22T00:00:00"/>
    <m/>
    <m/>
    <m/>
    <m/>
    <m/>
    <m/>
    <m/>
    <m/>
    <d v="2022-12-22T00:00:00"/>
    <x v="12"/>
  </r>
  <r>
    <s v="Agropecuaria Tabaida S.A.S"/>
    <d v="2022-12-23T00:00:00"/>
    <d v="2022-12-27T00:00:00"/>
    <n v="52"/>
    <s v="MT-1716"/>
    <x v="0"/>
    <n v="39728"/>
    <x v="213"/>
    <n v="337688000"/>
    <n v="84"/>
    <n v="4502476751"/>
    <n v="5085218654"/>
    <n v="5113845252"/>
    <s v="TIENE BL"/>
    <s v="EJ*3 1776100*1 1793900*2 TYC 4792500"/>
    <m/>
    <x v="0"/>
    <d v="2022-12-23T00:00:00"/>
    <n v="4902413312"/>
    <s v="5363900 y 4792500"/>
    <s v="FEMD-6021"/>
    <n v="5113833616"/>
    <s v="FEMD-6020*2"/>
    <n v="5113833671"/>
    <s v="ETE-4087"/>
    <n v="5113835310"/>
    <d v="2022-12-23T00:00:00"/>
    <x v="12"/>
  </r>
  <r>
    <s v="Agropecuaria Tabaida S.A.S"/>
    <d v="2022-12-23T00:00:00"/>
    <d v="2022-12-27T00:00:00"/>
    <n v="52"/>
    <n v="17"/>
    <x v="0"/>
    <n v="39728"/>
    <x v="584"/>
    <n v="953472"/>
    <n v="0"/>
    <n v="4502476751"/>
    <n v="5085218654"/>
    <n v="5113845253"/>
    <m/>
    <m/>
    <m/>
    <x v="0"/>
    <d v="2022-12-23T00:00:00"/>
    <m/>
    <m/>
    <m/>
    <m/>
    <m/>
    <m/>
    <m/>
    <m/>
    <d v="2022-12-23T00:00:00"/>
    <x v="12"/>
  </r>
  <r>
    <s v="Luis Fernando Rojas Prada"/>
    <d v="2022-12-26T00:00:00"/>
    <d v="2022-12-26T00:00:00"/>
    <n v="52"/>
    <s v="FELC-1161"/>
    <x v="0"/>
    <n v="71826"/>
    <x v="207"/>
    <n v="596155800"/>
    <n v="140"/>
    <n v="4502476754"/>
    <n v="5085218655"/>
    <n v="5113836905"/>
    <s v="TIENE BL"/>
    <s v="EJ*10 2979200*10"/>
    <m/>
    <x v="0"/>
    <d v="2022-12-23T00:00:00"/>
    <n v="4902413314"/>
    <n v="29792000"/>
    <s v="FEMD-6022*10"/>
    <n v="5113833674"/>
    <m/>
    <m/>
    <m/>
    <m/>
    <d v="2022-12-23T00:00:00"/>
    <x v="12"/>
  </r>
  <r>
    <s v="Jaime Angel Botero"/>
    <d v="2022-12-26T00:00:00"/>
    <d v="2022-12-26T00:00:00"/>
    <n v="52"/>
    <s v="JAB-36"/>
    <x v="0"/>
    <n v="6511"/>
    <x v="227"/>
    <n v="56645700"/>
    <n v="15"/>
    <n v="4502475041"/>
    <n v="5085218865"/>
    <n v="5113836376"/>
    <m/>
    <s v="CON RETEN"/>
    <m/>
    <x v="0"/>
    <d v="2022-12-23T00:00:00"/>
    <m/>
    <m/>
    <m/>
    <m/>
    <m/>
    <m/>
    <m/>
    <m/>
    <d v="2022-12-23T00:00:00"/>
    <x v="12"/>
  </r>
  <r>
    <s v="Jaime Angel Botero"/>
    <d v="2022-12-26T00:00:00"/>
    <d v="2022-12-26T00:00:00"/>
    <n v="52"/>
    <s v="NC211"/>
    <x v="0"/>
    <n v="6511"/>
    <x v="13"/>
    <n v="-325550"/>
    <n v="0"/>
    <n v="4502475041"/>
    <n v="5085218865"/>
    <n v="5113836388"/>
    <m/>
    <m/>
    <m/>
    <x v="0"/>
    <d v="2022-12-23T00:00:00"/>
    <m/>
    <m/>
    <m/>
    <m/>
    <m/>
    <m/>
    <m/>
    <m/>
    <d v="2022-12-23T00:00:00"/>
    <x v="12"/>
  </r>
  <r>
    <s v="Carnes La Italiana L S S A S"/>
    <d v="2022-12-27T00:00:00"/>
    <d v="2022-12-29T00:00:00"/>
    <n v="52"/>
    <s v="FVE-4577"/>
    <x v="0"/>
    <n v="6528"/>
    <x v="219"/>
    <n v="57120000"/>
    <n v="14"/>
    <n v="4502475042"/>
    <n v="5085218866"/>
    <n v="5113846610"/>
    <m/>
    <s v="TIENE BL"/>
    <m/>
    <x v="0"/>
    <d v="2022-12-23T00:00:00"/>
    <m/>
    <m/>
    <m/>
    <m/>
    <m/>
    <m/>
    <m/>
    <m/>
    <d v="2022-12-23T00:00:00"/>
    <x v="12"/>
  </r>
  <r>
    <s v="Sociedad Comercializadora Ganadera"/>
    <d v="2022-12-28T00:00:00"/>
    <d v="2022-12-28T00:00:00"/>
    <n v="52"/>
    <s v="FEDV565"/>
    <x v="0"/>
    <n v="20501.5"/>
    <x v="278"/>
    <n v="188613800"/>
    <n v="45"/>
    <n v="4502475043"/>
    <n v="5085218867"/>
    <n v="5113845193"/>
    <m/>
    <s v="TIENE BL"/>
    <m/>
    <x v="0"/>
    <d v="2022-12-23T00:00:00"/>
    <m/>
    <m/>
    <m/>
    <m/>
    <m/>
    <m/>
    <m/>
    <m/>
    <d v="2022-12-23T00:00:00"/>
    <x v="12"/>
  </r>
  <r>
    <s v="Sociedad Comercializadora Ganadera"/>
    <d v="2022-12-28T00:00:00"/>
    <d v="2022-12-28T00:00:00"/>
    <n v="52"/>
    <s v="FEDV565"/>
    <x v="0"/>
    <n v="14445.5"/>
    <x v="278"/>
    <n v="132898600"/>
    <n v="30"/>
    <n v="4502475045"/>
    <n v="5085218867"/>
    <n v="5113845193"/>
    <m/>
    <s v="TIENE BL"/>
    <m/>
    <x v="0"/>
    <d v="2022-12-24T00:00:00"/>
    <m/>
    <m/>
    <m/>
    <m/>
    <m/>
    <m/>
    <m/>
    <m/>
    <d v="2022-12-24T00:00:00"/>
    <x v="12"/>
  </r>
  <r>
    <s v="HEVLA S.A.S"/>
    <d v="2022-12-23T00:00:00"/>
    <d v="2022-12-28T00:00:00"/>
    <n v="52"/>
    <s v="FE-701"/>
    <x v="0"/>
    <n v="20509"/>
    <x v="207"/>
    <n v="170224700"/>
    <n v="42"/>
    <n v="4502476756"/>
    <n v="5085218708"/>
    <n v="5113842275"/>
    <s v="CON RETEN"/>
    <s v="EJ*3 2982600*3"/>
    <m/>
    <x v="0"/>
    <d v="2022-12-23T00:00:00"/>
    <n v="4902413315"/>
    <n v="8947800"/>
    <s v="FEMD-6023*3"/>
    <n v="5113833698"/>
    <m/>
    <m/>
    <m/>
    <m/>
    <d v="2022-12-23T00:00:00"/>
    <x v="12"/>
  </r>
  <r>
    <s v="Juan Alberto Saldarriaga Marin"/>
    <d v="2022-12-23T00:00:00"/>
    <d v="2022-12-27T00:00:00"/>
    <n v="52"/>
    <n v="6218"/>
    <x v="0"/>
    <n v="13422"/>
    <x v="278"/>
    <n v="123482400"/>
    <n v="28"/>
    <n v="4502476781"/>
    <n v="5085218787"/>
    <n v="5113845687"/>
    <m/>
    <s v="TIENE BL"/>
    <m/>
    <x v="2"/>
    <d v="2022-12-23T00:00:00"/>
    <m/>
    <m/>
    <m/>
    <m/>
    <m/>
    <m/>
    <m/>
    <m/>
    <d v="2022-12-23T00:00:00"/>
    <x v="12"/>
  </r>
  <r>
    <s v="Fernando Arevalo Reyes"/>
    <d v="2022-12-24T00:00:00"/>
    <m/>
    <n v="52"/>
    <s v="FVE204"/>
    <x v="0"/>
    <n v="6374"/>
    <x v="219"/>
    <n v="55772500"/>
    <n v="15"/>
    <n v="4502475044"/>
    <n v="5085219346"/>
    <n v="5113842456"/>
    <m/>
    <s v="TIENE BL"/>
    <m/>
    <x v="0"/>
    <d v="2022-12-24T00:00:00"/>
    <m/>
    <m/>
    <m/>
    <m/>
    <m/>
    <m/>
    <m/>
    <m/>
    <d v="2022-12-24T00:00:00"/>
    <x v="12"/>
  </r>
  <r>
    <s v="Fernando Arevalo Reyes"/>
    <d v="2022-12-24T00:00:00"/>
    <m/>
    <n v="52"/>
    <s v="NC47"/>
    <x v="0"/>
    <n v="6374"/>
    <x v="758"/>
    <n v="-68647.980000002775"/>
    <n v="0"/>
    <n v="4502475044"/>
    <n v="5085219346"/>
    <n v="5113842477"/>
    <m/>
    <m/>
    <m/>
    <x v="0"/>
    <d v="2022-12-24T00:00:00"/>
    <m/>
    <m/>
    <m/>
    <m/>
    <m/>
    <m/>
    <m/>
    <m/>
    <d v="2022-12-24T00:00:00"/>
    <x v="12"/>
  </r>
  <r>
    <s v="David Martinez Jaramillo"/>
    <d v="2022-12-25T00:00:00"/>
    <d v="2022-12-29T00:00:00"/>
    <n v="52"/>
    <s v="DM349"/>
    <x v="0"/>
    <n v="7268"/>
    <x v="273"/>
    <n v="66138800"/>
    <n v="14"/>
    <n v="4502475047"/>
    <n v="5085238458"/>
    <n v="5113845254"/>
    <m/>
    <s v="TIENE BL"/>
    <m/>
    <x v="0"/>
    <d v="2022-12-26T00:00:00"/>
    <m/>
    <m/>
    <m/>
    <m/>
    <m/>
    <m/>
    <m/>
    <m/>
    <d v="2022-12-26T00:00:00"/>
    <x v="12"/>
  </r>
  <r>
    <s v="David Martinez Jaramillo"/>
    <d v="2022-12-28T00:00:00"/>
    <d v="2022-12-28T00:00:00"/>
    <n v="52"/>
    <s v="NC113"/>
    <x v="0"/>
    <n v="7268"/>
    <x v="759"/>
    <n v="-426849.63999999681"/>
    <n v="0"/>
    <n v="4502475047"/>
    <n v="5085238458"/>
    <n v="5113845256"/>
    <m/>
    <m/>
    <m/>
    <x v="0"/>
    <d v="2022-12-26T00:00:00"/>
    <m/>
    <m/>
    <m/>
    <m/>
    <m/>
    <m/>
    <m/>
    <m/>
    <d v="2022-12-26T00:00:00"/>
    <x v="12"/>
  </r>
  <r>
    <s v="Sociedad Comercializadora Ganadera"/>
    <d v="2022-12-30T00:00:00"/>
    <d v="2022-12-30T00:00:00"/>
    <n v="52"/>
    <s v="FEDV567"/>
    <x v="0"/>
    <n v="63586.5"/>
    <x v="278"/>
    <n v="584995800"/>
    <n v="135"/>
    <n v="4502475048"/>
    <n v="5085238460"/>
    <n v="5113849071"/>
    <s v="TIENE BL"/>
    <m/>
    <m/>
    <x v="0"/>
    <d v="2022-12-26T00:00:00"/>
    <m/>
    <m/>
    <m/>
    <m/>
    <m/>
    <m/>
    <m/>
    <m/>
    <d v="2022-12-26T00:00:00"/>
    <x v="12"/>
  </r>
  <r>
    <s v="Sociedad Comercializadora Ganadera"/>
    <d v="2022-12-30T00:00:00"/>
    <d v="2022-12-30T00:00:00"/>
    <n v="52"/>
    <s v="FEDV567"/>
    <x v="1"/>
    <n v="9305"/>
    <x v="278"/>
    <n v="85606000"/>
    <n v="15"/>
    <n v="4502475049"/>
    <n v="5085238460"/>
    <n v="5113849071"/>
    <s v="TIENE BL"/>
    <m/>
    <m/>
    <x v="0"/>
    <d v="2022-12-26T00:00:00"/>
    <m/>
    <m/>
    <m/>
    <m/>
    <m/>
    <m/>
    <m/>
    <m/>
    <d v="2022-12-26T00:00:00"/>
    <x v="12"/>
  </r>
  <r>
    <s v="Sociedad Comercializadora Ganadera"/>
    <d v="2022-12-30T00:00:00"/>
    <d v="2022-12-30T00:00:00"/>
    <n v="52"/>
    <s v="NC289"/>
    <x v="0"/>
    <n v="72891.5"/>
    <x v="760"/>
    <n v="-4337044.25"/>
    <n v="0"/>
    <n v="4502475048"/>
    <n v="5085238460"/>
    <n v="5113849076"/>
    <m/>
    <m/>
    <m/>
    <x v="0"/>
    <d v="2022-12-26T00:00:00"/>
    <m/>
    <m/>
    <m/>
    <m/>
    <m/>
    <m/>
    <m/>
    <m/>
    <d v="2022-12-26T00:00:00"/>
    <x v="12"/>
  </r>
  <r>
    <s v="Sociedad Comercializadora Ganadera"/>
    <d v="2022-12-30T00:00:00"/>
    <d v="2022-12-30T00:00:00"/>
    <n v="52"/>
    <s v="FEDV568"/>
    <x v="1"/>
    <n v="28307.5"/>
    <x v="278"/>
    <n v="260429000"/>
    <n v="60"/>
    <n v="4502475049"/>
    <n v="5085238463"/>
    <n v="5113849067"/>
    <s v="TIENE BL"/>
    <m/>
    <m/>
    <x v="0"/>
    <d v="2022-12-26T00:00:00"/>
    <m/>
    <m/>
    <m/>
    <m/>
    <m/>
    <m/>
    <m/>
    <m/>
    <d v="2022-12-26T00:00:00"/>
    <x v="12"/>
  </r>
  <r>
    <s v="Sociedad Comercializadora Ganadera"/>
    <d v="2022-12-30T00:00:00"/>
    <d v="2022-12-30T00:00:00"/>
    <n v="52"/>
    <s v="NC290"/>
    <x v="1"/>
    <n v="28307.5"/>
    <x v="280"/>
    <n v="-37648.974999997939"/>
    <n v="0"/>
    <n v="4502475049"/>
    <n v="5085238463"/>
    <n v="5113849068"/>
    <m/>
    <m/>
    <m/>
    <x v="0"/>
    <d v="2022-12-26T00:00:00"/>
    <m/>
    <m/>
    <m/>
    <m/>
    <m/>
    <m/>
    <m/>
    <m/>
    <d v="2022-12-26T00:00:00"/>
    <x v="12"/>
  </r>
  <r>
    <s v="Sociedad Comercializadora Ganadera"/>
    <d v="2022-12-28T00:00:00"/>
    <d v="2022-12-28T00:00:00"/>
    <n v="52"/>
    <s v="FEDV566"/>
    <x v="3"/>
    <n v="14162"/>
    <x v="54"/>
    <n v="110463600"/>
    <n v="62"/>
    <n v="4502478777"/>
    <n v="5085275913"/>
    <n v="5113845194"/>
    <m/>
    <s v="TIENE BL"/>
    <m/>
    <x v="2"/>
    <d v="2022-12-27T00:00:00"/>
    <m/>
    <m/>
    <m/>
    <m/>
    <m/>
    <m/>
    <m/>
    <m/>
    <d v="2022-12-27T00:00:00"/>
    <x v="12"/>
  </r>
  <r>
    <m/>
    <m/>
    <m/>
    <m/>
    <m/>
    <x v="6"/>
    <m/>
    <x v="761"/>
    <m/>
    <m/>
    <s v="SEMITNAL"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s v="SEMITNAL"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s v="SEMITNAL"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s v="SEMITNAL"/>
    <m/>
    <m/>
    <m/>
    <m/>
    <m/>
    <x v="8"/>
    <m/>
    <m/>
    <m/>
    <m/>
    <m/>
    <m/>
    <m/>
    <m/>
    <m/>
    <m/>
    <x v="1"/>
  </r>
  <r>
    <m/>
    <m/>
    <m/>
    <m/>
    <m/>
    <x v="6"/>
    <m/>
    <x v="761"/>
    <m/>
    <m/>
    <s v="SEMITNAL"/>
    <m/>
    <m/>
    <m/>
    <m/>
    <m/>
    <x v="8"/>
    <m/>
    <m/>
    <m/>
    <m/>
    <m/>
    <m/>
    <m/>
    <m/>
    <m/>
    <m/>
    <x v="1"/>
  </r>
  <r>
    <m/>
    <m/>
    <m/>
    <m/>
    <m/>
    <x v="6"/>
    <m/>
    <x v="761"/>
    <m/>
    <m/>
    <s v="SEMITNAL"/>
    <m/>
    <m/>
    <m/>
    <m/>
    <m/>
    <x v="8"/>
    <m/>
    <m/>
    <m/>
    <m/>
    <m/>
    <m/>
    <m/>
    <m/>
    <m/>
    <m/>
    <x v="1"/>
  </r>
  <r>
    <m/>
    <m/>
    <m/>
    <m/>
    <m/>
    <x v="6"/>
    <m/>
    <x v="761"/>
    <m/>
    <m/>
    <s v="SEMITNAL"/>
    <m/>
    <m/>
    <m/>
    <m/>
    <m/>
    <x v="8"/>
    <m/>
    <m/>
    <m/>
    <m/>
    <m/>
    <m/>
    <m/>
    <m/>
    <m/>
    <m/>
    <x v="1"/>
  </r>
  <r>
    <m/>
    <m/>
    <m/>
    <m/>
    <m/>
    <x v="6"/>
    <m/>
    <x v="761"/>
    <m/>
    <m/>
    <s v="SEMITNAL"/>
    <m/>
    <m/>
    <m/>
    <m/>
    <m/>
    <x v="8"/>
    <m/>
    <m/>
    <m/>
    <m/>
    <m/>
    <m/>
    <m/>
    <m/>
    <m/>
    <m/>
    <x v="1"/>
  </r>
  <r>
    <m/>
    <m/>
    <m/>
    <m/>
    <m/>
    <x v="6"/>
    <m/>
    <x v="761"/>
    <m/>
    <m/>
    <s v="SEMITNAL"/>
    <m/>
    <m/>
    <m/>
    <m/>
    <m/>
    <x v="8"/>
    <m/>
    <m/>
    <m/>
    <m/>
    <m/>
    <m/>
    <m/>
    <m/>
    <m/>
    <m/>
    <x v="1"/>
  </r>
  <r>
    <m/>
    <m/>
    <m/>
    <m/>
    <m/>
    <x v="6"/>
    <m/>
    <x v="761"/>
    <m/>
    <m/>
    <s v="SEMITNAL"/>
    <m/>
    <m/>
    <m/>
    <m/>
    <m/>
    <x v="8"/>
    <m/>
    <m/>
    <m/>
    <m/>
    <m/>
    <m/>
    <m/>
    <m/>
    <m/>
    <m/>
    <x v="1"/>
  </r>
  <r>
    <m/>
    <m/>
    <m/>
    <m/>
    <m/>
    <x v="6"/>
    <m/>
    <x v="761"/>
    <m/>
    <m/>
    <s v="SEMITNAL"/>
    <m/>
    <m/>
    <m/>
    <m/>
    <m/>
    <x v="8"/>
    <m/>
    <m/>
    <m/>
    <m/>
    <m/>
    <m/>
    <m/>
    <m/>
    <m/>
    <m/>
    <x v="1"/>
  </r>
  <r>
    <m/>
    <m/>
    <m/>
    <m/>
    <m/>
    <x v="6"/>
    <m/>
    <x v="761"/>
    <m/>
    <m/>
    <s v="SEMITNAL"/>
    <m/>
    <m/>
    <m/>
    <m/>
    <m/>
    <x v="8"/>
    <m/>
    <m/>
    <m/>
    <m/>
    <m/>
    <m/>
    <m/>
    <m/>
    <m/>
    <m/>
    <x v="1"/>
  </r>
  <r>
    <m/>
    <m/>
    <m/>
    <m/>
    <m/>
    <x v="6"/>
    <m/>
    <x v="761"/>
    <m/>
    <m/>
    <s v="SEMITNAL"/>
    <m/>
    <m/>
    <m/>
    <m/>
    <m/>
    <x v="8"/>
    <m/>
    <m/>
    <m/>
    <m/>
    <m/>
    <m/>
    <m/>
    <m/>
    <m/>
    <m/>
    <x v="1"/>
  </r>
  <r>
    <m/>
    <m/>
    <m/>
    <m/>
    <m/>
    <x v="6"/>
    <m/>
    <x v="761"/>
    <m/>
    <m/>
    <s v="SEMITNAL"/>
    <m/>
    <m/>
    <m/>
    <m/>
    <m/>
    <x v="8"/>
    <m/>
    <m/>
    <m/>
    <m/>
    <m/>
    <m/>
    <m/>
    <m/>
    <m/>
    <m/>
    <x v="1"/>
  </r>
  <r>
    <m/>
    <m/>
    <m/>
    <m/>
    <m/>
    <x v="6"/>
    <m/>
    <x v="761"/>
    <m/>
    <m/>
    <s v="SEMITNAL"/>
    <m/>
    <m/>
    <m/>
    <m/>
    <m/>
    <x v="8"/>
    <m/>
    <m/>
    <m/>
    <m/>
    <m/>
    <m/>
    <m/>
    <m/>
    <m/>
    <m/>
    <x v="1"/>
  </r>
  <r>
    <m/>
    <m/>
    <m/>
    <m/>
    <m/>
    <x v="6"/>
    <m/>
    <x v="761"/>
    <m/>
    <m/>
    <s v="SEMITNAL"/>
    <m/>
    <m/>
    <m/>
    <m/>
    <m/>
    <x v="8"/>
    <m/>
    <m/>
    <m/>
    <m/>
    <m/>
    <m/>
    <m/>
    <m/>
    <m/>
    <m/>
    <x v="1"/>
  </r>
  <r>
    <m/>
    <m/>
    <m/>
    <m/>
    <m/>
    <x v="6"/>
    <m/>
    <x v="761"/>
    <m/>
    <m/>
    <s v="SEMITNAL"/>
    <m/>
    <m/>
    <m/>
    <m/>
    <m/>
    <x v="8"/>
    <m/>
    <m/>
    <m/>
    <m/>
    <m/>
    <m/>
    <m/>
    <m/>
    <m/>
    <m/>
    <x v="1"/>
  </r>
  <r>
    <m/>
    <m/>
    <m/>
    <m/>
    <m/>
    <x v="6"/>
    <m/>
    <x v="761"/>
    <m/>
    <m/>
    <s v="SEMITNAL"/>
    <m/>
    <m/>
    <m/>
    <m/>
    <m/>
    <x v="8"/>
    <m/>
    <m/>
    <m/>
    <m/>
    <m/>
    <m/>
    <m/>
    <m/>
    <m/>
    <m/>
    <x v="1"/>
  </r>
  <r>
    <m/>
    <m/>
    <m/>
    <m/>
    <m/>
    <x v="6"/>
    <m/>
    <x v="761"/>
    <m/>
    <m/>
    <s v="SEMITNAL"/>
    <m/>
    <m/>
    <m/>
    <m/>
    <m/>
    <x v="8"/>
    <m/>
    <m/>
    <m/>
    <m/>
    <m/>
    <m/>
    <m/>
    <m/>
    <m/>
    <m/>
    <x v="1"/>
  </r>
  <r>
    <m/>
    <m/>
    <m/>
    <m/>
    <m/>
    <x v="6"/>
    <m/>
    <x v="761"/>
    <m/>
    <m/>
    <s v="SEMITNAL"/>
    <m/>
    <m/>
    <m/>
    <m/>
    <m/>
    <x v="8"/>
    <m/>
    <m/>
    <m/>
    <m/>
    <m/>
    <m/>
    <m/>
    <m/>
    <m/>
    <m/>
    <x v="1"/>
  </r>
  <r>
    <m/>
    <m/>
    <m/>
    <m/>
    <m/>
    <x v="6"/>
    <m/>
    <x v="761"/>
    <m/>
    <m/>
    <s v="SEMITNAL"/>
    <m/>
    <m/>
    <m/>
    <m/>
    <m/>
    <x v="8"/>
    <m/>
    <m/>
    <m/>
    <m/>
    <m/>
    <m/>
    <m/>
    <m/>
    <m/>
    <m/>
    <x v="1"/>
  </r>
  <r>
    <m/>
    <m/>
    <m/>
    <m/>
    <m/>
    <x v="6"/>
    <m/>
    <x v="761"/>
    <m/>
    <m/>
    <s v="SEMITNAL"/>
    <m/>
    <m/>
    <m/>
    <m/>
    <m/>
    <x v="8"/>
    <m/>
    <m/>
    <m/>
    <m/>
    <m/>
    <m/>
    <m/>
    <m/>
    <m/>
    <m/>
    <x v="1"/>
  </r>
  <r>
    <m/>
    <m/>
    <m/>
    <m/>
    <m/>
    <x v="6"/>
    <m/>
    <x v="761"/>
    <m/>
    <m/>
    <s v="SEMITNAL"/>
    <m/>
    <m/>
    <m/>
    <m/>
    <m/>
    <x v="8"/>
    <m/>
    <m/>
    <m/>
    <m/>
    <m/>
    <m/>
    <m/>
    <m/>
    <m/>
    <m/>
    <x v="1"/>
  </r>
  <r>
    <m/>
    <m/>
    <m/>
    <m/>
    <m/>
    <x v="6"/>
    <m/>
    <x v="761"/>
    <m/>
    <m/>
    <s v="SEMITNAL"/>
    <m/>
    <m/>
    <m/>
    <m/>
    <m/>
    <x v="8"/>
    <m/>
    <m/>
    <m/>
    <m/>
    <m/>
    <m/>
    <m/>
    <m/>
    <m/>
    <m/>
    <x v="1"/>
  </r>
  <r>
    <m/>
    <m/>
    <m/>
    <m/>
    <m/>
    <x v="7"/>
    <m/>
    <x v="761"/>
    <m/>
    <m/>
    <s v="SEMITNAL"/>
    <m/>
    <m/>
    <m/>
    <m/>
    <m/>
    <x v="8"/>
    <m/>
    <m/>
    <m/>
    <m/>
    <m/>
    <m/>
    <m/>
    <m/>
    <m/>
    <m/>
    <x v="1"/>
  </r>
  <r>
    <m/>
    <m/>
    <m/>
    <m/>
    <m/>
    <x v="8"/>
    <m/>
    <x v="761"/>
    <m/>
    <m/>
    <s v="SEMITNAL"/>
    <m/>
    <m/>
    <m/>
    <m/>
    <m/>
    <x v="8"/>
    <m/>
    <m/>
    <m/>
    <m/>
    <m/>
    <m/>
    <m/>
    <m/>
    <m/>
    <m/>
    <x v="1"/>
  </r>
  <r>
    <m/>
    <m/>
    <m/>
    <m/>
    <m/>
    <x v="6"/>
    <m/>
    <x v="761"/>
    <m/>
    <m/>
    <s v="SEMITNAL"/>
    <m/>
    <m/>
    <m/>
    <m/>
    <m/>
    <x v="8"/>
    <m/>
    <m/>
    <m/>
    <m/>
    <m/>
    <m/>
    <m/>
    <m/>
    <m/>
    <m/>
    <x v="1"/>
  </r>
  <r>
    <m/>
    <m/>
    <m/>
    <m/>
    <m/>
    <x v="6"/>
    <m/>
    <x v="761"/>
    <m/>
    <m/>
    <s v="SEMITNAL"/>
    <m/>
    <m/>
    <m/>
    <m/>
    <m/>
    <x v="8"/>
    <m/>
    <m/>
    <m/>
    <m/>
    <m/>
    <m/>
    <m/>
    <m/>
    <m/>
    <m/>
    <x v="1"/>
  </r>
  <r>
    <m/>
    <m/>
    <m/>
    <m/>
    <m/>
    <x v="6"/>
    <m/>
    <x v="761"/>
    <m/>
    <m/>
    <s v="SEMITNAL"/>
    <m/>
    <m/>
    <m/>
    <m/>
    <m/>
    <x v="8"/>
    <m/>
    <m/>
    <m/>
    <m/>
    <m/>
    <m/>
    <m/>
    <m/>
    <m/>
    <m/>
    <x v="1"/>
  </r>
  <r>
    <m/>
    <m/>
    <m/>
    <m/>
    <m/>
    <x v="6"/>
    <m/>
    <x v="761"/>
    <m/>
    <m/>
    <s v="SEMITNAL"/>
    <m/>
    <m/>
    <m/>
    <m/>
    <m/>
    <x v="8"/>
    <m/>
    <m/>
    <m/>
    <m/>
    <m/>
    <m/>
    <m/>
    <m/>
    <m/>
    <m/>
    <x v="1"/>
  </r>
  <r>
    <m/>
    <m/>
    <m/>
    <m/>
    <m/>
    <x v="6"/>
    <m/>
    <x v="761"/>
    <m/>
    <m/>
    <s v="SEMITNAL"/>
    <m/>
    <m/>
    <m/>
    <m/>
    <m/>
    <x v="8"/>
    <m/>
    <m/>
    <m/>
    <m/>
    <m/>
    <m/>
    <m/>
    <m/>
    <m/>
    <m/>
    <x v="1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1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1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1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1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1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1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1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1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1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  <r>
    <m/>
    <m/>
    <m/>
    <m/>
    <m/>
    <x v="6"/>
    <m/>
    <x v="761"/>
    <m/>
    <m/>
    <m/>
    <m/>
    <m/>
    <m/>
    <m/>
    <m/>
    <x v="8"/>
    <m/>
    <m/>
    <m/>
    <m/>
    <m/>
    <m/>
    <m/>
    <m/>
    <m/>
    <m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59">
  <r>
    <s v="Subagan S.A."/>
    <s v="A019"/>
    <s v="A_Jordan"/>
    <d v="2022-01-05T00:00:00"/>
    <x v="0"/>
    <d v="2022-01-05T00:00:00"/>
    <d v="2022-01-07T00:00:00"/>
    <s v="MIC470"/>
    <n v="7008146"/>
    <x v="0"/>
    <n v="13379"/>
    <n v="7130"/>
    <n v="95392270"/>
    <n v="34"/>
    <n v="393.5"/>
    <n v="2805655"/>
  </r>
  <r>
    <s v="Agropecuaria Francia y Lusitania"/>
    <s v="F159"/>
    <s v="F_Totumito"/>
    <d v="2022-01-08T00:00:00"/>
    <x v="0"/>
    <d v="2022-01-12T00:00:00"/>
    <d v="2022-01-12T00:00:00"/>
    <s v="AG-405"/>
    <n v="7008147"/>
    <x v="1"/>
    <n v="16689"/>
    <n v="7648.8669782491461"/>
    <n v="127651941"/>
    <n v="66"/>
    <n v="252.86363636363637"/>
    <n v="1934120.3181818181"/>
  </r>
  <r>
    <s v="Jeral S.A.S"/>
    <s v="F171"/>
    <s v="F_Yacare"/>
    <d v="2022-01-11T00:00:00"/>
    <x v="0"/>
    <d v="2022-01-07T00:00:00"/>
    <d v="2022-01-13T00:00:00"/>
    <s v="JFEV-36"/>
    <n v="7008146"/>
    <x v="0"/>
    <n v="92284"/>
    <n v="7550"/>
    <n v="696744200"/>
    <n v="268"/>
    <n v="344.34328358208955"/>
    <n v="2599791.7910447763"/>
  </r>
  <r>
    <s v="Fabian Andrés Cortes Londoño"/>
    <s v="F166"/>
    <s v="F_Chaparral"/>
    <d v="2022-01-13T00:00:00"/>
    <x v="0"/>
    <d v="2022-01-12T00:00:00"/>
    <d v="2022-01-13T00:00:00"/>
    <s v="FE1-35"/>
    <n v="7008146"/>
    <x v="0"/>
    <n v="31107"/>
    <n v="6600"/>
    <n v="205306200"/>
    <n v="84"/>
    <n v="370.32142857142856"/>
    <n v="2444121.4285714286"/>
  </r>
  <r>
    <s v="Carlos Alberto Vergara Curi"/>
    <s v="F159"/>
    <s v="F_Totumito"/>
    <d v="2022-01-11T00:00:00"/>
    <x v="0"/>
    <d v="2022-01-11T00:00:00"/>
    <d v="2022-01-14T00:00:00"/>
    <s v="FE-15"/>
    <n v="7008147"/>
    <x v="1"/>
    <n v="11382"/>
    <n v="7500"/>
    <n v="85365000"/>
    <n v="40"/>
    <n v="284.55"/>
    <n v="2134125"/>
  </r>
  <r>
    <s v="Subagan S.A."/>
    <s v="F159"/>
    <s v="F_Totumito"/>
    <d v="2022-01-11T00:00:00"/>
    <x v="0"/>
    <d v="2022-01-07T00:00:00"/>
    <d v="2022-01-14T00:00:00"/>
    <s v="MICC473"/>
    <n v="7008147"/>
    <x v="1"/>
    <n v="17434"/>
    <n v="7600"/>
    <n v="132498400"/>
    <n v="68"/>
    <n v="256.38235294117646"/>
    <n v="1948505.8823529412"/>
  </r>
  <r>
    <s v="Inversiones El Diamante"/>
    <s v="F096"/>
    <s v="F_El Diamante"/>
    <d v="2022-01-14T00:00:00"/>
    <x v="0"/>
    <d v="2022-01-14T00:00:00"/>
    <d v="2022-01-17T00:00:00"/>
    <s v="FE 143"/>
    <n v="7008147"/>
    <x v="1"/>
    <n v="4640"/>
    <n v="7766"/>
    <n v="36034240"/>
    <n v="20"/>
    <n v="232"/>
    <n v="1801712"/>
  </r>
  <r>
    <s v="Inversiones El Diamante"/>
    <s v="F096"/>
    <s v="F_El Diamante"/>
    <d v="2022-01-14T00:00:00"/>
    <x v="0"/>
    <d v="2022-01-14T00:00:00"/>
    <d v="2022-01-17T00:00:00"/>
    <s v="FE 144"/>
    <n v="7008459"/>
    <x v="2"/>
    <n v="705"/>
    <n v="12136"/>
    <n v="8555880"/>
    <n v="7"/>
    <n v="100.71428571428571"/>
    <n v="1222268.5714285714"/>
  </r>
  <r>
    <s v="Alfonso Orozoco Martinez"/>
    <s v="F097"/>
    <s v="F_Don Alfonso"/>
    <d v="2022-01-14T00:00:00"/>
    <x v="0"/>
    <d v="2022-01-14T00:00:00"/>
    <d v="2022-01-17T00:00:00"/>
    <s v="FE 64"/>
    <n v="7008146"/>
    <x v="0"/>
    <n v="61980"/>
    <n v="7500"/>
    <n v="464850000"/>
    <n v="208"/>
    <n v="297.98076923076923"/>
    <n v="2234855.769230769"/>
  </r>
  <r>
    <s v="German Alberto Cañon Jaime"/>
    <s v="F038"/>
    <s v="F_La Estrella"/>
    <d v="2022-01-17T00:00:00"/>
    <x v="0"/>
    <d v="2022-01-15T00:00:00"/>
    <d v="2022-01-17T00:00:00"/>
    <s v="FE 41"/>
    <n v="7008146"/>
    <x v="0"/>
    <n v="31111"/>
    <n v="7200"/>
    <n v="223999200"/>
    <n v="95"/>
    <n v="327.48421052631579"/>
    <n v="2357886.3157894737"/>
  </r>
  <r>
    <s v="CC Subasta Ganadera Del Sinu S.A.S"/>
    <s v="F159"/>
    <s v="F_Totumito"/>
    <d v="2022-01-12T00:00:00"/>
    <x v="0"/>
    <d v="2022-01-14T00:00:00"/>
    <d v="2022-01-18T00:00:00"/>
    <s v="AG-414"/>
    <n v="7008147"/>
    <x v="1"/>
    <n v="9803"/>
    <n v="7770"/>
    <n v="76169310"/>
    <n v="40"/>
    <n v="245.07499999999999"/>
    <n v="1904232.75"/>
  </r>
  <r>
    <s v="CC Subasta Ganadera Del Sinu S.A.S"/>
    <s v="F159"/>
    <s v="F_Totumito"/>
    <d v="2022-01-14T00:00:00"/>
    <x v="0"/>
    <d v="2022-01-14T00:00:00"/>
    <d v="2022-01-18T00:00:00"/>
    <s v="AF62261"/>
    <n v="7008147"/>
    <x v="1"/>
    <n v="11726"/>
    <n v="7690"/>
    <n v="90172940"/>
    <n v="42"/>
    <n v="279.1904761904762"/>
    <n v="2146974.7619047621"/>
  </r>
  <r>
    <s v="Subastar S.A"/>
    <s v="F159"/>
    <s v="F_Totumito"/>
    <d v="2022-01-13T00:00:00"/>
    <x v="0"/>
    <d v="2022-01-13T00:00:00"/>
    <d v="2022-01-18T00:00:00"/>
    <n v="236391"/>
    <n v="7008147"/>
    <x v="1"/>
    <n v="5750"/>
    <n v="7586.9949565217394"/>
    <n v="43625221"/>
    <n v="20"/>
    <n v="287.5"/>
    <n v="2181261.0499999998"/>
  </r>
  <r>
    <s v="Subastar S.A"/>
    <s v="F159"/>
    <s v="F_Totumito"/>
    <d v="2022-01-13T00:00:00"/>
    <x v="0"/>
    <d v="2022-01-13T00:00:00"/>
    <d v="2022-01-18T00:00:00"/>
    <n v="236404"/>
    <n v="7008147"/>
    <x v="1"/>
    <n v="5210"/>
    <n v="7637.239923224568"/>
    <n v="39790020"/>
    <n v="18"/>
    <n v="289.44444444444446"/>
    <n v="2210556.6666666665"/>
  </r>
  <r>
    <s v="Hacienda Casa La Vista S.A.S"/>
    <s v="F122"/>
    <s v="F_La Carolina"/>
    <d v="2022-01-18T00:00:00"/>
    <x v="0"/>
    <d v="2022-01-15T00:00:00"/>
    <d v="2022-01-18T00:00:00"/>
    <s v="FEV 23 "/>
    <n v="7008146"/>
    <x v="0"/>
    <n v="11634"/>
    <n v="6850"/>
    <n v="79692900"/>
    <n v="37"/>
    <n v="314.43243243243245"/>
    <n v="2153862.1621621624"/>
  </r>
  <r>
    <s v="Agropecuaria Francia y Lusitania"/>
    <s v="F159"/>
    <s v="F_Totumito"/>
    <d v="2022-01-19T00:00:00"/>
    <x v="0"/>
    <d v="2022-01-18T00:00:00"/>
    <d v="2022-01-19T00:00:00"/>
    <s v="AG-414"/>
    <n v="7008147"/>
    <x v="1"/>
    <n v="29667"/>
    <n v="7600"/>
    <n v="225469200"/>
    <n v="117"/>
    <n v="253.56410256410257"/>
    <n v="1927087.1794871795"/>
  </r>
  <r>
    <s v="Jonny De Jesús Ceballos Gonzales"/>
    <s v="F172"/>
    <s v="F_Holanda"/>
    <d v="2022-01-19T00:00:00"/>
    <x v="0"/>
    <d v="2022-01-19T00:00:00"/>
    <d v="2022-01-21T00:00:00"/>
    <s v="FEJC24"/>
    <n v="7008146"/>
    <x v="0"/>
    <n v="7102"/>
    <n v="8000"/>
    <n v="56816000"/>
    <n v="41"/>
    <n v="173.21951219512195"/>
    <n v="1385756.0975609757"/>
  </r>
  <r>
    <s v="Jonny De Jesús Ceballos Gonzales"/>
    <s v="F172"/>
    <s v="F_Holanda"/>
    <d v="2022-01-19T00:00:00"/>
    <x v="0"/>
    <d v="2022-01-19T00:00:00"/>
    <d v="2022-01-21T00:00:00"/>
    <s v="FEJC23"/>
    <n v="7008151"/>
    <x v="3"/>
    <n v="17831"/>
    <n v="7200"/>
    <n v="128383200"/>
    <n v="76"/>
    <n v="234.61842105263159"/>
    <n v="1689252.6315789474"/>
  </r>
  <r>
    <s v="Wilson Murillo"/>
    <s v="F071"/>
    <s v="F_Texas Araujo"/>
    <d v="2022-01-16T00:00:00"/>
    <x v="0"/>
    <d v="2022-01-20T00:00:00"/>
    <d v="2022-01-21T00:00:00"/>
    <s v="FE159"/>
    <n v="7008146"/>
    <x v="0"/>
    <n v="20310"/>
    <n v="7700"/>
    <n v="156387000"/>
    <n v="60"/>
    <n v="338.5"/>
    <n v="2606450"/>
  </r>
  <r>
    <s v="Agrochaparral S.A.S"/>
    <s v="F170"/>
    <s v="F_La Florida"/>
    <d v="2022-01-20T00:00:00"/>
    <x v="0"/>
    <d v="2022-01-19T00:00:00"/>
    <d v="2022-01-24T00:00:00"/>
    <s v="ACH-30"/>
    <n v="7008146"/>
    <x v="0"/>
    <n v="31936"/>
    <n v="7200"/>
    <n v="229939200"/>
    <n v="92"/>
    <n v="347.13043478260869"/>
    <n v="2499339.1304347827"/>
  </r>
  <r>
    <s v="Wilson Murillo"/>
    <s v="F011"/>
    <s v="F_Chumbimbo"/>
    <d v="2022-01-18T00:00:00"/>
    <x v="0"/>
    <d v="2022-01-20T00:00:00"/>
    <d v="2022-01-24T00:00:00"/>
    <s v="FE160"/>
    <n v="7008147"/>
    <x v="1"/>
    <n v="7384"/>
    <n v="7600"/>
    <n v="56118400"/>
    <n v="26"/>
    <n v="284"/>
    <n v="2158400"/>
  </r>
  <r>
    <s v="CC Subasta Ganadera Del Sinu S.A.S"/>
    <s v="F159"/>
    <s v="F_Totumito"/>
    <d v="2022-01-18T00:00:00"/>
    <x v="0"/>
    <d v="2022-01-19T00:00:00"/>
    <d v="2022-01-24T00:00:00"/>
    <s v="AF62334"/>
    <n v="7008147"/>
    <x v="1"/>
    <n v="11726"/>
    <n v="7600"/>
    <n v="89117600"/>
    <n v="50"/>
    <n v="234.52"/>
    <n v="1782352"/>
  </r>
  <r>
    <s v="CC Subasta Ganadera Del Sinu S.A.S"/>
    <s v="F159"/>
    <s v="F_Totumito"/>
    <d v="2022-01-18T00:00:00"/>
    <x v="0"/>
    <d v="2022-01-19T00:00:00"/>
    <d v="2022-01-24T00:00:00"/>
    <s v="AF62337"/>
    <n v="7008147"/>
    <x v="1"/>
    <n v="5296"/>
    <n v="7520"/>
    <n v="39825920"/>
    <n v="19"/>
    <n v="278.73684210526318"/>
    <n v="2096101.0526315789"/>
  </r>
  <r>
    <s v="Inversiones Valledupar S.A.S"/>
    <s v="F110"/>
    <s v="F_Santa Elena"/>
    <d v="2022-01-20T00:00:00"/>
    <x v="0"/>
    <d v="2022-01-20T00:00:00"/>
    <d v="2022-01-24T00:00:00"/>
    <s v="FE 65"/>
    <n v="7008147"/>
    <x v="1"/>
    <n v="19181"/>
    <n v="8000"/>
    <n v="153448000"/>
    <n v="124"/>
    <n v="154.68548387096774"/>
    <n v="1237483.8709677418"/>
  </r>
  <r>
    <s v="CC Subasta Ganadera Del Sinu S.A.S"/>
    <s v="F067"/>
    <s v="F_Guacharacas"/>
    <d v="2022-01-18T00:00:00"/>
    <x v="0"/>
    <d v="2022-01-19T00:00:00"/>
    <d v="2022-01-24T00:00:00"/>
    <s v="AF62335"/>
    <n v="7008146"/>
    <x v="0"/>
    <n v="17514"/>
    <n v="7500"/>
    <n v="131355000"/>
    <n v="51"/>
    <n v="343.41176470588238"/>
    <n v="2575588.2352941176"/>
  </r>
  <r>
    <s v="CC Subasta Ganadera Del Sinu S.A.S"/>
    <s v="F067"/>
    <s v="F_Guacharacas"/>
    <d v="2022-01-18T00:00:00"/>
    <x v="0"/>
    <d v="2022-01-19T00:00:00"/>
    <d v="2022-01-24T00:00:00"/>
    <s v="AF62336"/>
    <n v="7008146"/>
    <x v="0"/>
    <n v="29082"/>
    <n v="7585"/>
    <n v="220586970"/>
    <n v="80"/>
    <n v="363.52499999999998"/>
    <n v="2757337.125"/>
  </r>
  <r>
    <s v="Monte Rojo S.A.S"/>
    <s v="F167"/>
    <s v="F_Chenevo"/>
    <d v="2022-01-24T00:00:00"/>
    <x v="0"/>
    <d v="2022-01-22T00:00:00"/>
    <d v="2022-01-25T00:00:00"/>
    <s v="FVE28"/>
    <n v="7008146"/>
    <x v="0"/>
    <n v="10932"/>
    <n v="7200"/>
    <n v="78710400"/>
    <n v="36"/>
    <n v="303.66666666666669"/>
    <n v="2186400"/>
  </r>
  <r>
    <s v="Monte Rojo S.A.S"/>
    <s v="F167"/>
    <s v="F_Chenevo"/>
    <d v="2022-01-24T00:00:00"/>
    <x v="0"/>
    <d v="2022-01-20T00:00:00"/>
    <d v="2022-01-25T00:00:00"/>
    <s v="FVE27"/>
    <n v="7008147"/>
    <x v="1"/>
    <n v="12537"/>
    <n v="7550"/>
    <n v="94654350"/>
    <n v="59"/>
    <n v="212.4915254237288"/>
    <n v="1604311.0169491526"/>
  </r>
  <r>
    <s v="Ana Maria Solano Hernandez"/>
    <s v="F079"/>
    <s v="F_San Andres"/>
    <d v="2022-01-23T00:00:00"/>
    <x v="0"/>
    <d v="2022-01-21T00:00:00"/>
    <d v="2022-01-25T00:00:00"/>
    <n v="431"/>
    <n v="7008147"/>
    <x v="1"/>
    <n v="29306"/>
    <n v="7600"/>
    <n v="222725600"/>
    <n v="120"/>
    <n v="244.21666666666667"/>
    <n v="1856046.6666666667"/>
  </r>
  <r>
    <s v="Jaime Enrique Ardila Quintero"/>
    <s v="F167"/>
    <s v="F_Chenevo"/>
    <d v="2022-01-24T00:00:00"/>
    <x v="0"/>
    <d v="2022-01-20T00:00:00"/>
    <d v="2022-01-26T00:00:00"/>
    <s v="FE-128"/>
    <n v="7008147"/>
    <x v="1"/>
    <n v="12076"/>
    <n v="7174.5999503146741"/>
    <n v="86640469"/>
    <n v="55"/>
    <n v="219.56363636363636"/>
    <n v="1575281.2545454546"/>
  </r>
  <r>
    <s v="Jaime Enrique Ardila Quintero"/>
    <s v="F167"/>
    <s v="F_Chenevo"/>
    <d v="2022-01-24T00:00:00"/>
    <x v="0"/>
    <d v="2022-01-20T00:00:00"/>
    <d v="2022-01-26T00:00:00"/>
    <s v="FE-129"/>
    <n v="7008146"/>
    <x v="0"/>
    <n v="7064"/>
    <n v="6550.8999150622876"/>
    <n v="46275557"/>
    <n v="20"/>
    <n v="353.2"/>
    <n v="2313777.85"/>
  </r>
  <r>
    <s v="Olger Fernando Rojas Angarita"/>
    <s v="F164"/>
    <s v="F_El Recreo"/>
    <d v="2022-01-21T00:00:00"/>
    <x v="0"/>
    <d v="2022-01-21T00:00:00"/>
    <d v="2022-01-26T00:00:00"/>
    <s v="OR149"/>
    <n v="7008146"/>
    <x v="0"/>
    <n v="18606"/>
    <n v="7100"/>
    <n v="132102600"/>
    <n v="46"/>
    <n v="404.47826086956519"/>
    <n v="2871795.6521739131"/>
  </r>
  <r>
    <s v="Maria Adelaidad Restrepo Echeverri"/>
    <s v="F058"/>
    <s v="F_La Pradilla"/>
    <d v="2022-01-23T00:00:00"/>
    <x v="0"/>
    <d v="2022-01-22T00:00:00"/>
    <d v="2022-01-26T00:00:00"/>
    <s v="MARE60"/>
    <n v="7008146"/>
    <x v="0"/>
    <n v="5429"/>
    <n v="7400"/>
    <n v="40174600"/>
    <n v="15"/>
    <n v="361.93333333333334"/>
    <n v="2678306.6666666665"/>
  </r>
  <r>
    <s v="Maria Adelaidad Restrepo Echeverri"/>
    <s v="F058"/>
    <s v="F_La Pradilla"/>
    <d v="2022-01-23T00:00:00"/>
    <x v="0"/>
    <d v="2022-01-22T00:00:00"/>
    <d v="2022-01-26T00:00:00"/>
    <s v="MARE61"/>
    <n v="7008146"/>
    <x v="0"/>
    <n v="2959"/>
    <n v="7300"/>
    <n v="21600700"/>
    <n v="9"/>
    <n v="328.77777777777777"/>
    <n v="2400077.777777778"/>
  </r>
  <r>
    <s v="Edelmira Vasquez Granada"/>
    <s v="F069"/>
    <s v="F_Las Camelias"/>
    <d v="2022-01-14T00:00:00"/>
    <x v="0"/>
    <d v="2022-01-14T00:00:00"/>
    <d v="2022-01-27T00:00:00"/>
    <s v="FE30"/>
    <n v="7008146"/>
    <x v="0"/>
    <n v="6323"/>
    <n v="7800"/>
    <n v="49319400"/>
    <n v="21"/>
    <n v="301.09523809523807"/>
    <n v="2348542.8571428573"/>
  </r>
  <r>
    <s v="Fabian Andrés Cortes Londoño"/>
    <s v="F166"/>
    <s v="F_Chaparral"/>
    <d v="2022-01-25T00:00:00"/>
    <x v="0"/>
    <d v="2022-01-22T00:00:00"/>
    <d v="2022-01-27T00:00:00"/>
    <s v="FE1-39"/>
    <n v="7008147"/>
    <x v="1"/>
    <n v="32637"/>
    <n v="6800"/>
    <n v="221931600"/>
    <n v="135"/>
    <n v="241.75555555555556"/>
    <n v="1643937.7777777778"/>
  </r>
  <r>
    <s v="Subastar S.A"/>
    <s v="F159"/>
    <s v="F_Totumito"/>
    <d v="2022-01-21T00:00:00"/>
    <x v="0"/>
    <d v="2022-01-21T00:00:00"/>
    <d v="2022-01-28T00:00:00"/>
    <n v="227882"/>
    <n v="7008147"/>
    <x v="1"/>
    <n v="6006"/>
    <n v="7687.4850149850154"/>
    <n v="46171035"/>
    <n v="22"/>
    <n v="273"/>
    <n v="2098683.4090909092"/>
  </r>
  <r>
    <s v="Subagan S.A."/>
    <s v="A148"/>
    <s v="A_El Tropezon"/>
    <d v="2022-01-24T00:00:00"/>
    <x v="0"/>
    <d v="2022-01-21T00:00:00"/>
    <d v="2022-01-28T00:00:00"/>
    <s v="MIC490"/>
    <n v="7008146"/>
    <x v="0"/>
    <n v="3403"/>
    <n v="7280"/>
    <n v="24773840"/>
    <n v="8"/>
    <n v="425.375"/>
    <n v="3096730"/>
  </r>
  <r>
    <s v="CC Subasta Ganadera Del Sinu S.A.S"/>
    <s v="F019"/>
    <s v="F_Jordan"/>
    <d v="2022-01-21T00:00:00"/>
    <x v="0"/>
    <d v="2022-01-21T00:00:00"/>
    <d v="2022-01-28T00:00:00"/>
    <s v="AF62399"/>
    <n v="7008146"/>
    <x v="0"/>
    <n v="13678"/>
    <n v="7680"/>
    <n v="105047040"/>
    <n v="33"/>
    <n v="414.4848484848485"/>
    <n v="3183243.6363636362"/>
  </r>
  <r>
    <s v="CC Subasta Ganadera Del Sinu S.A.S"/>
    <s v="A148"/>
    <s v="A_El Tropezon"/>
    <d v="2022-01-25T00:00:00"/>
    <x v="0"/>
    <d v="2022-01-25T00:00:00"/>
    <d v="2022-01-28T00:00:00"/>
    <s v="AF62477"/>
    <n v="7008146"/>
    <x v="0"/>
    <n v="7078"/>
    <n v="7250"/>
    <n v="51315500"/>
    <n v="16"/>
    <n v="442.375"/>
    <n v="3207218.75"/>
  </r>
  <r>
    <s v="Subagan S.A."/>
    <s v="F067"/>
    <s v="F_Guacharacas"/>
    <d v="2022-01-19T00:00:00"/>
    <x v="0"/>
    <d v="2022-01-19T00:00:00"/>
    <d v="2022-01-28T00:00:00"/>
    <s v="PR22874"/>
    <n v="7008146"/>
    <x v="0"/>
    <n v="5888"/>
    <n v="7600"/>
    <n v="44748800"/>
    <n v="16"/>
    <n v="368"/>
    <n v="2796800"/>
  </r>
  <r>
    <s v="Subagan S.A."/>
    <s v="A019"/>
    <s v="A_Jordan"/>
    <d v="2022-01-26T00:00:00"/>
    <x v="0"/>
    <d v="2022-01-26T00:00:00"/>
    <d v="2022-01-28T00:00:00"/>
    <s v="MIC497"/>
    <n v="7008146"/>
    <x v="0"/>
    <n v="6587"/>
    <n v="7690"/>
    <n v="50654030"/>
    <n v="15"/>
    <n v="439.13333333333333"/>
    <n v="3376935.3333333335"/>
  </r>
  <r>
    <s v="Subagan S.A."/>
    <s v="F159"/>
    <s v="F_Totumito"/>
    <d v="2022-01-27T00:00:00"/>
    <x v="0"/>
    <d v="2022-01-27T00:00:00"/>
    <d v="2022-01-28T00:00:00"/>
    <s v="PCR23238"/>
    <n v="7008147"/>
    <x v="1"/>
    <n v="6036"/>
    <n v="7750"/>
    <n v="46779000"/>
    <n v="25"/>
    <n v="241.44"/>
    <n v="1871160"/>
  </r>
  <r>
    <s v="Subagan S.A."/>
    <s v="F159"/>
    <s v="F_Totumito"/>
    <d v="2022-01-26T00:00:00"/>
    <x v="0"/>
    <d v="2022-01-27T00:00:00"/>
    <d v="2022-01-28T00:00:00"/>
    <s v="MIC499"/>
    <n v="7008147"/>
    <x v="1"/>
    <n v="5370"/>
    <n v="7808"/>
    <n v="41928960"/>
    <n v="20"/>
    <n v="268.5"/>
    <n v="2096448"/>
  </r>
  <r>
    <s v="Agronegocios JAR S.A.S Zomac"/>
    <s v="F019"/>
    <s v="F_Jordan"/>
    <d v="2022-01-28T00:00:00"/>
    <x v="0"/>
    <d v="2022-01-21T00:00:00"/>
    <d v="2022-01-28T00:00:00"/>
    <s v="AG55"/>
    <n v="7008146"/>
    <x v="0"/>
    <n v="333"/>
    <n v="7000"/>
    <n v="2331000"/>
    <n v="1"/>
    <n v="333"/>
    <n v="2331000"/>
  </r>
  <r>
    <s v="CC Subasta Ganadera Del Sinu S.A.S"/>
    <s v="F158"/>
    <s v="F_Guadalajara"/>
    <d v="2022-01-25T00:00:00"/>
    <x v="0"/>
    <d v="2022-01-25T00:00:00"/>
    <d v="2022-01-31T00:00:00"/>
    <s v="AF62463"/>
    <n v="7008146"/>
    <x v="0"/>
    <n v="6974"/>
    <n v="7500"/>
    <n v="52305000"/>
    <n v="17"/>
    <n v="410.23529411764707"/>
    <n v="3076764.7058823528"/>
  </r>
  <r>
    <s v="CC Subasta Ganadera Del Sinu S.A.S"/>
    <s v="F158"/>
    <s v="F_Guadalajara"/>
    <d v="2022-01-25T00:00:00"/>
    <x v="0"/>
    <d v="2022-01-25T00:00:00"/>
    <d v="2022-01-31T00:00:00"/>
    <s v="AF62490"/>
    <n v="7008146"/>
    <x v="0"/>
    <n v="11726"/>
    <n v="7700"/>
    <n v="90290200"/>
    <n v="32"/>
    <n v="366.4375"/>
    <n v="2821568.75"/>
  </r>
  <r>
    <s v="Subastar S.A"/>
    <s v="F158"/>
    <s v="F_Guadalajara"/>
    <d v="2022-01-25T00:00:00"/>
    <x v="0"/>
    <d v="2022-01-25T00:00:00"/>
    <d v="2022-01-31T00:00:00"/>
    <n v="7407"/>
    <n v="7008146"/>
    <x v="0"/>
    <n v="11906"/>
    <n v="7536.7500419956323"/>
    <n v="89732546"/>
    <n v="36"/>
    <n v="330.72222222222223"/>
    <n v="2492570.722222222"/>
  </r>
  <r>
    <s v="Subagan S.A."/>
    <s v="F158"/>
    <s v="F_Guadalajara"/>
    <d v="2022-01-26T00:00:00"/>
    <x v="0"/>
    <d v="2022-01-26T00:00:00"/>
    <d v="2022-01-31T00:00:00"/>
    <s v="MIC498"/>
    <n v="7008146"/>
    <x v="0"/>
    <n v="12213"/>
    <n v="7580"/>
    <n v="92574540"/>
    <n v="34"/>
    <n v="359.20588235294116"/>
    <n v="2722780.588235294"/>
  </r>
  <r>
    <s v="Sugaberrio S.A.S"/>
    <s v="F058"/>
    <s v="F_La Pradilla"/>
    <d v="2022-01-27T00:00:00"/>
    <x v="0"/>
    <d v="2022-01-28T00:00:00"/>
    <d v="2022-01-31T00:00:00"/>
    <s v="FAC6063"/>
    <n v="7008146"/>
    <x v="0"/>
    <n v="5992"/>
    <n v="7200"/>
    <n v="43142400"/>
    <n v="17"/>
    <n v="352.47058823529414"/>
    <n v="2537788.2352941176"/>
  </r>
  <r>
    <s v="Sugaberrio S.A.S"/>
    <s v="F058"/>
    <s v="F_La Pradilla"/>
    <d v="2022-01-27T00:00:00"/>
    <x v="0"/>
    <d v="2022-01-28T00:00:00"/>
    <d v="2022-01-31T00:00:00"/>
    <s v="FAC6055"/>
    <n v="7008146"/>
    <x v="0"/>
    <n v="6012"/>
    <n v="7200"/>
    <n v="43286400"/>
    <n v="17"/>
    <n v="353.64705882352939"/>
    <n v="2546258.8235294116"/>
  </r>
  <r>
    <s v="Maria Fernanda Dangond Quintero"/>
    <s v="F155"/>
    <s v="F_El Tigre"/>
    <d v="2022-01-27T00:00:00"/>
    <x v="0"/>
    <d v="2022-01-29T00:00:00"/>
    <d v="2022-01-31T00:00:00"/>
    <s v="GAN 18"/>
    <n v="7008147"/>
    <x v="1"/>
    <n v="10316"/>
    <n v="7650"/>
    <n v="78917400"/>
    <n v="48"/>
    <n v="214.91666666666666"/>
    <n v="1644112.5"/>
  </r>
  <r>
    <s v="Maria Fernanda Dangond Quintero"/>
    <s v="F155"/>
    <s v="F_El Tigre"/>
    <d v="2022-01-28T00:00:00"/>
    <x v="0"/>
    <d v="2022-01-29T00:00:00"/>
    <d v="2022-01-31T00:00:00"/>
    <s v="GAN-19"/>
    <n v="7008147"/>
    <x v="1"/>
    <n v="10552"/>
    <n v="7500"/>
    <n v="79140000"/>
    <n v="50"/>
    <n v="211.04"/>
    <n v="1582800"/>
  </r>
  <r>
    <s v="Wilson Murillo"/>
    <s v="F126"/>
    <s v="F_Las Carmelitas"/>
    <d v="2022-02-01T00:00:00"/>
    <x v="1"/>
    <d v="2022-02-03T00:00:00"/>
    <d v="2022-02-03T00:00:00"/>
    <s v="FE161"/>
    <n v="7008147"/>
    <x v="1"/>
    <n v="13700"/>
    <n v="7600"/>
    <n v="104120000"/>
    <n v="40"/>
    <n v="342.5"/>
    <n v="2603000"/>
  </r>
  <r>
    <s v="Subagan S.A."/>
    <s v="F019"/>
    <s v="F_Jordan"/>
    <d v="2022-02-01T00:00:00"/>
    <x v="1"/>
    <d v="2022-02-01T00:00:00"/>
    <d v="2022-02-07T00:00:00"/>
    <s v="MIC506"/>
    <n v="7008146"/>
    <x v="0"/>
    <n v="6417"/>
    <n v="7450"/>
    <n v="47806650"/>
    <n v="15"/>
    <n v="427.8"/>
    <n v="3187110"/>
  </r>
  <r>
    <s v="Subagan S.A."/>
    <s v="A148"/>
    <s v="A_El Tropezon"/>
    <d v="2022-02-01T00:00:00"/>
    <x v="1"/>
    <d v="2022-02-01T00:00:00"/>
    <d v="2022-02-07T00:00:00"/>
    <s v="MIC505"/>
    <n v="7008146"/>
    <x v="0"/>
    <n v="6323"/>
    <n v="7570"/>
    <n v="47865110"/>
    <n v="15"/>
    <n v="421.53333333333336"/>
    <n v="3191007.3333333335"/>
  </r>
  <r>
    <s v="Juan Pablo Gutierrez Sanin"/>
    <s v="F007"/>
    <s v="F_El Caldero"/>
    <d v="2022-02-04T00:00:00"/>
    <x v="1"/>
    <d v="2022-02-03T00:00:00"/>
    <d v="2022-02-07T00:00:00"/>
    <s v="PNFE-114"/>
    <n v="7008146"/>
    <x v="0"/>
    <n v="25978"/>
    <n v="7500"/>
    <n v="194835000"/>
    <n v="77"/>
    <n v="337.3766233766234"/>
    <n v="2530324.6753246752"/>
  </r>
  <r>
    <s v="Sugaberrio S.A.S"/>
    <s v="F155"/>
    <s v="F_El Tigre"/>
    <d v="2022-01-28T00:00:00"/>
    <x v="0"/>
    <d v="2022-02-02T00:00:00"/>
    <d v="2022-02-07T00:00:00"/>
    <s v="FAC 6103"/>
    <n v="7008147"/>
    <x v="1"/>
    <n v="7550"/>
    <n v="5149"/>
    <n v="38874950"/>
    <n v="26"/>
    <n v="290.38461538461536"/>
    <n v="1495190.3846153845"/>
  </r>
  <r>
    <s v="Sugaberrio S.A.S"/>
    <s v="F155"/>
    <s v="F_El Tigre"/>
    <d v="2022-02-03T00:00:00"/>
    <x v="1"/>
    <d v="2022-02-04T00:00:00"/>
    <d v="2022-02-07T00:00:00"/>
    <s v="FAC6127"/>
    <n v="7008146"/>
    <x v="0"/>
    <n v="4591"/>
    <n v="7700"/>
    <n v="35350700"/>
    <n v="25"/>
    <n v="183.64"/>
    <n v="1414028"/>
  </r>
  <r>
    <s v="Fabian Andrés Cortes Londoño"/>
    <s v="F171"/>
    <s v="F_Yacare"/>
    <d v="2022-02-06T00:00:00"/>
    <x v="1"/>
    <d v="2022-02-04T00:00:00"/>
    <d v="2022-02-10T00:00:00"/>
    <s v="FE1-40"/>
    <n v="7008146"/>
    <x v="0"/>
    <n v="20559"/>
    <n v="6400"/>
    <n v="131577600"/>
    <n v="49"/>
    <n v="419.57142857142856"/>
    <n v="2685257.1428571427"/>
  </r>
  <r>
    <s v="Subastar S.A"/>
    <s v="F155"/>
    <s v="F_El Tigre"/>
    <d v="2022-02-02T00:00:00"/>
    <x v="1"/>
    <d v="2022-02-03T00:00:00"/>
    <d v="2022-02-10T00:00:00"/>
    <n v="38924"/>
    <n v="7008147"/>
    <x v="1"/>
    <n v="5010"/>
    <n v="7737.7299401197606"/>
    <n v="38766027"/>
    <n v="26"/>
    <n v="192.69230769230768"/>
    <n v="1491001.0384615385"/>
  </r>
  <r>
    <s v="Subastar S.A"/>
    <s v="F159"/>
    <s v="F_Totumito"/>
    <d v="2022-02-01T00:00:00"/>
    <x v="1"/>
    <d v="2022-02-01T00:00:00"/>
    <d v="2022-02-10T00:00:00"/>
    <n v="7442"/>
    <n v="7008147"/>
    <x v="1"/>
    <n v="5588"/>
    <n v="8039.2000715819613"/>
    <n v="44923050"/>
    <n v="21"/>
    <n v="266.09523809523807"/>
    <n v="2139192.8571428573"/>
  </r>
  <r>
    <s v="Subastar S.A"/>
    <s v="F159"/>
    <s v="F_Totumito"/>
    <d v="2022-02-01T00:00:00"/>
    <x v="1"/>
    <d v="2022-02-01T00:00:00"/>
    <d v="2022-02-10T00:00:00"/>
    <n v="7443"/>
    <n v="7008147"/>
    <x v="1"/>
    <n v="5690"/>
    <n v="7386.0149384885763"/>
    <n v="42026425"/>
    <n v="21"/>
    <n v="270.95238095238096"/>
    <n v="2001258.3333333333"/>
  </r>
  <r>
    <s v="Subastar S.A"/>
    <s v="F159"/>
    <s v="F_Totumito"/>
    <d v="2022-02-01T00:00:00"/>
    <x v="1"/>
    <d v="2022-02-01T00:00:00"/>
    <d v="2022-02-10T00:00:00"/>
    <n v="7444"/>
    <n v="7008147"/>
    <x v="1"/>
    <n v="10393"/>
    <n v="7586.9949966323484"/>
    <n v="78851639"/>
    <n v="40"/>
    <n v="259.82499999999999"/>
    <n v="1971290.9750000001"/>
  </r>
  <r>
    <s v="Subastar S.A"/>
    <s v="F159"/>
    <s v="F_Totumito"/>
    <d v="2022-02-01T00:00:00"/>
    <x v="1"/>
    <d v="2022-02-01T00:00:00"/>
    <d v="2022-02-10T00:00:00"/>
    <n v="7445"/>
    <n v="7008147"/>
    <x v="1"/>
    <n v="5580"/>
    <n v="7586.9949820788534"/>
    <n v="42335432"/>
    <n v="21"/>
    <n v="265.71428571428572"/>
    <n v="2015972.9523809524"/>
  </r>
  <r>
    <s v="Subastar S.A"/>
    <s v="F159"/>
    <s v="F_Totumito"/>
    <d v="2022-02-02T00:00:00"/>
    <x v="1"/>
    <d v="2022-02-02T00:00:00"/>
    <d v="2022-02-10T00:00:00"/>
    <n v="7451"/>
    <n v="7008147"/>
    <x v="1"/>
    <n v="5120"/>
    <n v="7582.3826171874998"/>
    <n v="38821799"/>
    <n v="18"/>
    <n v="284.44444444444446"/>
    <n v="2156766.611111111"/>
  </r>
  <r>
    <s v="Subastar S.A"/>
    <s v="F159"/>
    <s v="F_Totumito"/>
    <d v="2022-02-02T00:00:00"/>
    <x v="1"/>
    <d v="2022-02-02T00:00:00"/>
    <d v="2022-02-10T00:00:00"/>
    <n v="7452"/>
    <n v="7008147"/>
    <x v="1"/>
    <n v="5688"/>
    <n v="7731.2285513361467"/>
    <n v="43975228"/>
    <n v="20"/>
    <n v="284.39999999999998"/>
    <n v="2198761.4"/>
  </r>
  <r>
    <s v="Agrosa S.A.S"/>
    <s v="F159"/>
    <s v="F_Totumito"/>
    <d v="2022-02-09T00:00:00"/>
    <x v="1"/>
    <d v="2022-02-03T00:00:00"/>
    <d v="2022-02-10T00:00:00"/>
    <s v="AGRO24"/>
    <n v="7008147"/>
    <x v="1"/>
    <n v="10754"/>
    <n v="7700"/>
    <n v="82805800"/>
    <n v="44"/>
    <n v="244.40909090909091"/>
    <n v="1881950"/>
  </r>
  <r>
    <s v="Adriana Maria Jaramillo Perez "/>
    <s v="F135"/>
    <s v="F_El Boton"/>
    <d v="2022-02-08T00:00:00"/>
    <x v="1"/>
    <d v="2022-02-08T00:00:00"/>
    <d v="2022-02-10T00:00:00"/>
    <s v="FAJ57"/>
    <n v="7008146"/>
    <x v="0"/>
    <n v="51048"/>
    <n v="7600"/>
    <n v="387964800"/>
    <n v="140"/>
    <n v="364.62857142857143"/>
    <n v="2771177.1428571427"/>
  </r>
  <r>
    <s v="Jose Gabriel Martinez Jaramillo"/>
    <s v="F186"/>
    <s v="F_El Loro"/>
    <d v="2022-02-08T00:00:00"/>
    <x v="1"/>
    <d v="2022-02-08T00:00:00"/>
    <d v="2022-02-11T00:00:00"/>
    <s v="FE-971"/>
    <n v="7008146"/>
    <x v="0"/>
    <n v="13014"/>
    <n v="7350"/>
    <n v="95652900"/>
    <n v="34"/>
    <n v="382.76470588235293"/>
    <n v="2813320.588235294"/>
  </r>
  <r>
    <s v="Jose Gabriel Martinez Jaramillo"/>
    <s v="F186"/>
    <s v="F_El Loro"/>
    <d v="2022-02-09T00:00:00"/>
    <x v="1"/>
    <d v="2022-02-09T00:00:00"/>
    <d v="2022-02-11T00:00:00"/>
    <s v="FE-972"/>
    <n v="7008146"/>
    <x v="0"/>
    <n v="18442"/>
    <n v="7350"/>
    <n v="135548700"/>
    <n v="55"/>
    <n v="335.30909090909091"/>
    <n v="2464521.8181818184"/>
  </r>
  <r>
    <s v="Jose Gabriel Martinez Jaramillo"/>
    <s v="F186"/>
    <s v="F_El Loro"/>
    <d v="2022-02-10T00:00:00"/>
    <x v="1"/>
    <d v="2022-02-10T00:00:00"/>
    <d v="2022-02-11T00:00:00"/>
    <s v="FE-973"/>
    <n v="7008146"/>
    <x v="0"/>
    <n v="5724"/>
    <n v="7350"/>
    <n v="42071400"/>
    <n v="14"/>
    <n v="408.85714285714283"/>
    <n v="3005100"/>
  </r>
  <r>
    <s v="Wilson Murillo"/>
    <s v="F126"/>
    <s v="F_Las Carmelitas"/>
    <d v="2022-02-04T00:00:00"/>
    <x v="1"/>
    <d v="2022-02-10T00:00:00"/>
    <d v="2022-02-14T00:00:00"/>
    <s v="FE164"/>
    <n v="7008147"/>
    <x v="1"/>
    <n v="6212"/>
    <n v="7650"/>
    <n v="47521800"/>
    <n v="20"/>
    <n v="310.60000000000002"/>
    <n v="2376090"/>
  </r>
  <r>
    <s v="Wilson Murillo"/>
    <s v="F071"/>
    <s v="F_Texas Araujo"/>
    <d v="2022-02-05T00:00:00"/>
    <x v="1"/>
    <d v="2022-02-10T00:00:00"/>
    <d v="2022-02-14T00:00:00"/>
    <s v="FE165"/>
    <n v="7008146"/>
    <x v="0"/>
    <n v="25636"/>
    <n v="7670"/>
    <n v="196628120"/>
    <n v="68"/>
    <n v="377"/>
    <n v="2891590"/>
  </r>
  <r>
    <s v="Fabian Andrés Cortes Londoño"/>
    <s v="F188"/>
    <s v="Loma Rosa"/>
    <d v="2022-02-06T00:00:00"/>
    <x v="1"/>
    <d v="2022-02-07T00:00:00"/>
    <d v="2022-02-17T00:00:00"/>
    <s v="FE1-41"/>
    <n v="7008146"/>
    <x v="0"/>
    <n v="35418"/>
    <n v="6476.2888926534533"/>
    <n v="229377200"/>
    <n v="100"/>
    <n v="354.18"/>
    <n v="2293772"/>
  </r>
  <r>
    <s v="Juan Pablo Sierra Cardona"/>
    <s v="F158"/>
    <s v="F_Guadalajara"/>
    <d v="2022-02-16T00:00:00"/>
    <x v="1"/>
    <d v="2022-02-15T00:00:00"/>
    <d v="2022-02-17T00:00:00"/>
    <s v="JPS-957"/>
    <n v="7008146"/>
    <x v="0"/>
    <n v="63763"/>
    <n v="7600"/>
    <n v="484598800"/>
    <n v="171"/>
    <n v="372.88304093567251"/>
    <n v="2833911.111111111"/>
  </r>
  <r>
    <s v="Olger Fernando Rojas Angarita"/>
    <s v="F164"/>
    <s v="F_El Recreo"/>
    <d v="2022-02-18T00:00:00"/>
    <x v="1"/>
    <d v="2022-02-18T00:00:00"/>
    <d v="2022-02-21T00:00:00"/>
    <s v="OR155"/>
    <n v="7008147"/>
    <x v="1"/>
    <n v="4297"/>
    <n v="7650"/>
    <n v="32872050"/>
    <n v="17"/>
    <n v="252.76470588235293"/>
    <n v="1933650"/>
  </r>
  <r>
    <s v="Olger Fernando Rojas Angarita"/>
    <s v="F164"/>
    <s v="F_El Recreo"/>
    <d v="2022-02-18T00:00:00"/>
    <x v="1"/>
    <d v="2022-02-18T00:00:00"/>
    <d v="2022-02-21T00:00:00"/>
    <s v="OR156"/>
    <n v="7008146"/>
    <x v="0"/>
    <n v="6064"/>
    <n v="7200"/>
    <n v="43660800"/>
    <n v="18"/>
    <n v="336.88888888888891"/>
    <n v="2425600"/>
  </r>
  <r>
    <s v="Jose Gabriel Martinez Jaramillo"/>
    <s v="F186"/>
    <s v="F_El Loro"/>
    <d v="2022-02-18T00:00:00"/>
    <x v="1"/>
    <d v="2022-02-16T00:00:00"/>
    <d v="2022-02-21T00:00:00"/>
    <s v="FE-988"/>
    <n v="7008146"/>
    <x v="0"/>
    <n v="14311"/>
    <n v="7350"/>
    <n v="105185850"/>
    <n v="39"/>
    <n v="366.94871794871796"/>
    <n v="2697073.076923077"/>
  </r>
  <r>
    <s v="Jorge Luis Reyes Vargas"/>
    <s v="F058"/>
    <s v="F_La Pradilla"/>
    <d v="2022-02-19T00:00:00"/>
    <x v="1"/>
    <d v="2022-02-10T00:00:00"/>
    <d v="2022-02-21T00:00:00"/>
    <s v="FE-53"/>
    <n v="7008146"/>
    <x v="0"/>
    <n v="6196"/>
    <n v="7200"/>
    <n v="44611200"/>
    <n v="18"/>
    <n v="344.22222222222223"/>
    <n v="2478400"/>
  </r>
  <r>
    <s v="Sugaberrio S.A.S"/>
    <s v="F106"/>
    <s v="F_Buenaventura"/>
    <d v="2022-02-11T00:00:00"/>
    <x v="1"/>
    <d v="2022-02-12T00:00:00"/>
    <d v="2022-02-22T00:00:00"/>
    <s v="FSL6029"/>
    <n v="7008146"/>
    <x v="0"/>
    <n v="3450"/>
    <n v="7250"/>
    <n v="25012500"/>
    <n v="9"/>
    <n v="383.33333333333331"/>
    <n v="2779166.6666666665"/>
  </r>
  <r>
    <s v="Mauricio Alberto Gomez Montaño"/>
    <s v="F024"/>
    <s v="F_El Imperio"/>
    <d v="2022-02-21T00:00:00"/>
    <x v="1"/>
    <d v="2022-02-21T00:00:00"/>
    <d v="2022-02-23T00:00:00"/>
    <s v="FE14"/>
    <n v="7008146"/>
    <x v="0"/>
    <n v="11659"/>
    <n v="7300"/>
    <n v="85110700"/>
    <n v="35"/>
    <n v="333.1142857142857"/>
    <n v="2431734.2857142859"/>
  </r>
  <r>
    <s v="Sugaberrio S.A.S"/>
    <s v="F085"/>
    <s v="F_La Castellana"/>
    <d v="2022-02-17T00:00:00"/>
    <x v="1"/>
    <d v="2022-02-18T00:00:00"/>
    <d v="2022-02-24T00:00:00"/>
    <s v="FAC6269"/>
    <n v="7008147"/>
    <x v="1"/>
    <n v="4046"/>
    <n v="7700"/>
    <n v="31154200"/>
    <n v="21"/>
    <n v="192.66666666666666"/>
    <n v="1483533.3333333333"/>
  </r>
  <r>
    <s v="Sugaberrio S.A.S"/>
    <s v="F085"/>
    <s v="F_La Castellana"/>
    <d v="2022-02-19T00:00:00"/>
    <x v="1"/>
    <d v="2022-02-20T00:00:00"/>
    <d v="2022-02-24T00:00:00"/>
    <s v="FBC12594"/>
    <n v="7008147"/>
    <x v="1"/>
    <n v="3018"/>
    <n v="7107.355864811133"/>
    <n v="21450000"/>
    <n v="11"/>
    <n v="274.36363636363637"/>
    <n v="1950000"/>
  </r>
  <r>
    <s v="Subagan S.A."/>
    <s v="F019"/>
    <s v="F_Jordan"/>
    <d v="2022-02-16T00:00:00"/>
    <x v="1"/>
    <d v="2022-02-16T00:00:00"/>
    <d v="2022-02-24T00:00:00"/>
    <s v="MIC520"/>
    <n v="7008146"/>
    <x v="0"/>
    <n v="2896"/>
    <n v="7680"/>
    <n v="22241280"/>
    <n v="7"/>
    <n v="413.71428571428572"/>
    <n v="3177325.7142857141"/>
  </r>
  <r>
    <s v="Gonzalo Hoyos Pulido"/>
    <s v="F189"/>
    <s v="F_Juan Simón"/>
    <d v="2022-02-24T00:00:00"/>
    <x v="1"/>
    <d v="2022-02-24T00:00:00"/>
    <d v="2022-02-25T00:00:00"/>
    <s v="FELE50"/>
    <n v="7008146"/>
    <x v="0"/>
    <n v="17962"/>
    <n v="7900"/>
    <n v="141899800"/>
    <n v="58"/>
    <n v="309.68965517241378"/>
    <n v="2446548.2758620689"/>
  </r>
  <r>
    <s v="Subagan S.A."/>
    <s v="F165"/>
    <s v="F_San Clemente"/>
    <d v="2022-02-21T00:00:00"/>
    <x v="1"/>
    <d v="2022-02-25T00:00:00"/>
    <d v="2022-02-25T00:00:00"/>
    <s v="MIC523"/>
    <n v="7008151"/>
    <x v="3"/>
    <n v="31993"/>
    <n v="7249"/>
    <n v="231917257"/>
    <n v="111"/>
    <n v="288.22522522522524"/>
    <n v="2089344.6576576577"/>
  </r>
  <r>
    <s v="Subagan S.A."/>
    <s v="F165"/>
    <s v="F_San Clemente"/>
    <d v="2022-02-24T00:00:00"/>
    <x v="1"/>
    <d v="2022-02-24T00:00:00"/>
    <d v="2022-02-25T00:00:00"/>
    <s v="MIC526"/>
    <n v="7008151"/>
    <x v="3"/>
    <n v="3260"/>
    <n v="6900"/>
    <n v="22494000"/>
    <n v="12"/>
    <n v="271.66666666666669"/>
    <n v="1874500"/>
  </r>
  <r>
    <s v="Subagan S.A."/>
    <s v="F165"/>
    <s v="F_San Clemente"/>
    <d v="2022-02-24T00:00:00"/>
    <x v="1"/>
    <d v="2022-02-24T00:00:00"/>
    <d v="2022-02-25T00:00:00"/>
    <s v="MIC527"/>
    <n v="7008151"/>
    <x v="3"/>
    <n v="4336"/>
    <n v="6900"/>
    <n v="29918400"/>
    <n v="14"/>
    <n v="309.71428571428572"/>
    <n v="2137028.5714285714"/>
  </r>
  <r>
    <s v="Subagan S.A."/>
    <s v="F165"/>
    <s v="F_San Clemente"/>
    <d v="2022-02-24T00:00:00"/>
    <x v="1"/>
    <d v="2022-02-24T00:00:00"/>
    <d v="2022-02-25T00:00:00"/>
    <s v="MIC528"/>
    <n v="7008151"/>
    <x v="3"/>
    <n v="14910"/>
    <n v="7110"/>
    <n v="106010100"/>
    <n v="54"/>
    <n v="276.11111111111109"/>
    <n v="1963150"/>
  </r>
  <r>
    <s v="Subagan S.A."/>
    <s v="F165"/>
    <s v="F_San Clemente"/>
    <d v="2022-02-24T00:00:00"/>
    <x v="1"/>
    <d v="2022-02-24T00:00:00"/>
    <d v="2022-02-25T00:00:00"/>
    <s v="MIC529"/>
    <n v="7008151"/>
    <x v="3"/>
    <n v="17518"/>
    <n v="7000"/>
    <n v="122626000"/>
    <n v="59"/>
    <n v="296.91525423728814"/>
    <n v="2078406.779661017"/>
  </r>
  <r>
    <s v="Wilson Murillo"/>
    <s v="F071"/>
    <s v="F_Texas Araujo"/>
    <d v="2022-02-20T00:00:00"/>
    <x v="1"/>
    <d v="2022-02-24T00:00:00"/>
    <d v="2022-02-28T00:00:00"/>
    <s v="FE168"/>
    <n v="7008146"/>
    <x v="0"/>
    <n v="6672"/>
    <n v="7670"/>
    <n v="51174240"/>
    <n v="17"/>
    <n v="392.47058823529414"/>
    <n v="3010249.411764706"/>
  </r>
  <r>
    <s v="Subastar S.A"/>
    <s v="F186"/>
    <s v="F_El Loro"/>
    <d v="2022-02-22T00:00:00"/>
    <x v="1"/>
    <d v="2022-03-02T00:00:00"/>
    <d v="2022-02-28T00:00:00"/>
    <s v="L1 2505"/>
    <n v="7008146"/>
    <x v="0"/>
    <n v="6764"/>
    <n v="7034.2999704316971"/>
    <n v="47580005"/>
    <n v="18"/>
    <n v="375.77777777777777"/>
    <n v="2643333.611111111"/>
  </r>
  <r>
    <s v="Subagan S.A."/>
    <s v="F188"/>
    <s v="Loma Rosa"/>
    <d v="2022-02-24T00:00:00"/>
    <x v="1"/>
    <d v="2022-02-25T00:00:00"/>
    <d v="2022-02-28T00:00:00"/>
    <s v="MIC525"/>
    <n v="7008146"/>
    <x v="0"/>
    <n v="28763"/>
    <n v="7478"/>
    <n v="215089714"/>
    <n v="90"/>
    <n v="319.5888888888889"/>
    <n v="2389885.7111111111"/>
  </r>
  <r>
    <s v="Sugaberrio S.A.S"/>
    <s v="F085"/>
    <s v="F_La Castellana"/>
    <d v="2022-02-24T00:00:00"/>
    <x v="1"/>
    <d v="2022-02-25T00:00:00"/>
    <d v="2022-02-28T00:00:00"/>
    <s v="FBC12622"/>
    <n v="7008147"/>
    <x v="1"/>
    <n v="2474"/>
    <n v="7276"/>
    <n v="18000000"/>
    <n v="9"/>
    <n v="274.88888888888891"/>
    <n v="2000000"/>
  </r>
  <r>
    <s v="Wilson Murillo"/>
    <s v="F011"/>
    <s v="F_Chumbimbo"/>
    <d v="2022-02-23T00:00:00"/>
    <x v="1"/>
    <d v="2022-03-01T00:00:00"/>
    <d v="2022-02-28T00:00:00"/>
    <s v="FE169"/>
    <n v="7008151"/>
    <x v="3"/>
    <n v="12312"/>
    <n v="7500"/>
    <n v="92340000"/>
    <n v="38"/>
    <n v="324"/>
    <n v="2430000"/>
  </r>
  <r>
    <s v="Sugaberrio S.A.S"/>
    <s v="F114"/>
    <s v="F_Guayacanes"/>
    <d v="2022-03-02T00:00:00"/>
    <x v="2"/>
    <d v="2022-03-03T00:00:00"/>
    <d v="2022-03-03T00:00:00"/>
    <s v="FBC12754"/>
    <n v="7008146"/>
    <x v="0"/>
    <n v="4759"/>
    <n v="7320"/>
    <n v="34835880"/>
    <n v="17"/>
    <n v="279.94117647058823"/>
    <n v="2049169.4117647058"/>
  </r>
  <r>
    <s v="Wilson Murillo"/>
    <s v="F071"/>
    <s v="F_Texas Araujo"/>
    <d v="2022-03-01T00:00:00"/>
    <x v="2"/>
    <d v="2022-03-02T00:00:00"/>
    <d v="2022-03-03T00:00:00"/>
    <s v="FE172"/>
    <n v="7008146"/>
    <x v="0"/>
    <n v="7245"/>
    <n v="7700"/>
    <n v="55786500"/>
    <n v="23"/>
    <n v="315"/>
    <n v="2425500"/>
  </r>
  <r>
    <s v="Agropecuaria San Francisco S.A.S"/>
    <s v="F069"/>
    <s v="F_Las Camelias"/>
    <d v="2022-03-01T00:00:00"/>
    <x v="2"/>
    <d v="2022-03-03T00:00:00"/>
    <d v="2022-03-04T00:00:00"/>
    <s v="FE26"/>
    <n v="7008146"/>
    <x v="0"/>
    <n v="11987"/>
    <n v="7700"/>
    <n v="92299900"/>
    <n v="36"/>
    <n v="332.97222222222223"/>
    <n v="2563886.111111111"/>
  </r>
  <r>
    <s v="Juan Alberto Saldarriaga"/>
    <s v="F071"/>
    <s v="F_Texas Araujo"/>
    <d v="2022-03-03T00:00:00"/>
    <x v="2"/>
    <d v="2022-03-03T00:00:00"/>
    <d v="2022-03-07T00:00:00"/>
    <s v="FE5964"/>
    <n v="7008146"/>
    <x v="0"/>
    <n v="6356"/>
    <n v="7800"/>
    <n v="49576800"/>
    <n v="21"/>
    <n v="302.66666666666669"/>
    <n v="2360800"/>
  </r>
  <r>
    <s v="GANEM Tapias Elias Farid"/>
    <s v="F165"/>
    <s v="F_San Clemente"/>
    <d v="2022-03-03T00:00:00"/>
    <x v="2"/>
    <d v="2022-03-03T00:00:00"/>
    <d v="2022-03-07T00:00:00"/>
    <s v="EGGA-101"/>
    <n v="7008151"/>
    <x v="3"/>
    <n v="19420"/>
    <n v="6900"/>
    <n v="133998000"/>
    <n v="75"/>
    <n v="258.93333333333334"/>
    <n v="1786640"/>
  </r>
  <r>
    <s v="Comercializadora El Delirio S.A.S"/>
    <s v="F020"/>
    <s v="F_Triana"/>
    <d v="2022-03-01T00:00:00"/>
    <x v="2"/>
    <d v="2022-03-01T00:00:00"/>
    <d v="2022-03-04T00:00:00"/>
    <s v="FE181"/>
    <n v="7008146"/>
    <x v="0"/>
    <n v="270411"/>
    <n v="7700"/>
    <n v="2082164700"/>
    <n v="651"/>
    <n v="415.37788018433179"/>
    <n v="3198409.6774193547"/>
  </r>
  <r>
    <s v="Carlos Alberto Vergara Curi"/>
    <s v="F159"/>
    <s v="F_Totumito"/>
    <d v="2022-03-08T00:00:00"/>
    <x v="2"/>
    <d v="2022-03-04T00:00:00"/>
    <d v="2022-03-10T00:00:00"/>
    <s v="FE-16"/>
    <n v="7008147"/>
    <x v="1"/>
    <n v="8158"/>
    <n v="8100"/>
    <n v="66079800"/>
    <n v="32"/>
    <n v="254.9375"/>
    <n v="2064993.75"/>
  </r>
  <r>
    <s v="Inversiones El Diamante H.M S.A.S"/>
    <s v="F096"/>
    <s v="F_El Diamante"/>
    <d v="2022-03-10T00:00:00"/>
    <x v="2"/>
    <d v="2022-03-10T00:00:00"/>
    <d v="2022-03-11T00:00:00"/>
    <s v="FE154"/>
    <n v="7008459"/>
    <x v="2"/>
    <n v="1506"/>
    <n v="13700"/>
    <n v="20632200"/>
    <n v="17"/>
    <n v="88.588235294117652"/>
    <n v="1213658.8235294118"/>
  </r>
  <r>
    <s v="Jeral S.A.S"/>
    <s v="F171"/>
    <s v="F_Yacare"/>
    <d v="2022-03-09T00:00:00"/>
    <x v="2"/>
    <d v="2022-03-08T00:00:00"/>
    <d v="2022-03-11T00:00:00"/>
    <s v="JFEV-47"/>
    <n v="7008146"/>
    <x v="0"/>
    <n v="8615"/>
    <n v="7300"/>
    <n v="62889500"/>
    <n v="25"/>
    <n v="344.6"/>
    <n v="2515580"/>
  </r>
  <r>
    <s v="Subasta Ganadera Casanare S.A"/>
    <s v="F177"/>
    <s v="F_Santa Mónica"/>
    <d v="2022-03-03T00:00:00"/>
    <x v="2"/>
    <d v="2022-03-04T00:00:00"/>
    <d v="2022-03-11T00:00:00"/>
    <s v="FEC20897"/>
    <n v="7008146"/>
    <x v="0"/>
    <n v="3396"/>
    <n v="7503.1802120141347"/>
    <n v="25480800"/>
    <n v="9"/>
    <n v="377.33333333333331"/>
    <n v="2831200"/>
  </r>
  <r>
    <s v="Subasta Ganadera Casanare S.A"/>
    <s v="F177"/>
    <s v="F_Santa Mónica"/>
    <d v="2022-03-03T00:00:00"/>
    <x v="2"/>
    <d v="2022-03-04T00:00:00"/>
    <d v="2022-03-11T00:00:00"/>
    <s v="FEC20929"/>
    <n v="7008146"/>
    <x v="0"/>
    <n v="4456"/>
    <n v="7454.5780969479356"/>
    <n v="33217600"/>
    <n v="17"/>
    <n v="262.11764705882354"/>
    <n v="1953976.4705882352"/>
  </r>
  <r>
    <s v="Inversiones Bonito Viento S.A.S"/>
    <s v="F043"/>
    <s v="F_Monaco"/>
    <d v="2022-03-10T00:00:00"/>
    <x v="2"/>
    <d v="2022-03-10T00:00:00"/>
    <d v="2022-03-14T00:00:00"/>
    <s v="IBV74"/>
    <n v="7008146"/>
    <x v="0"/>
    <n v="15315"/>
    <n v="8100"/>
    <n v="124051500"/>
    <n v="40"/>
    <n v="382.875"/>
    <n v="3101287.5"/>
  </r>
  <r>
    <s v="Wilson Murillo"/>
    <s v="F071"/>
    <s v="F_Texas Araujo"/>
    <d v="2022-03-07T00:00:00"/>
    <x v="2"/>
    <d v="2022-03-10T00:00:00"/>
    <d v="2022-03-14T00:00:00"/>
    <s v="FE173"/>
    <n v="7008146"/>
    <x v="0"/>
    <n v="21804"/>
    <n v="8250"/>
    <n v="179883000"/>
    <n v="69"/>
    <n v="316"/>
    <n v="2607000"/>
  </r>
  <r>
    <s v="Jorge Alberto Cabanzo Lopez"/>
    <s v="F119"/>
    <s v="F_La Majagua"/>
    <d v="2022-03-07T00:00:00"/>
    <x v="2"/>
    <d v="2022-03-03T00:00:00"/>
    <d v="2022-03-17T00:00:00"/>
    <s v="FE30"/>
    <n v="7008146"/>
    <x v="0"/>
    <n v="3626"/>
    <n v="7600"/>
    <n v="27557600"/>
    <n v="12"/>
    <n v="302.16666666666669"/>
    <n v="2296466.6666666665"/>
  </r>
  <r>
    <s v="Sugaberrio S.A.S"/>
    <s v="F085"/>
    <s v="F_La Castellana"/>
    <d v="2022-03-02T00:00:00"/>
    <x v="2"/>
    <d v="2022-03-03T00:00:00"/>
    <d v="2022-03-18T00:00:00"/>
    <s v="FCC10006 "/>
    <n v="7008147"/>
    <x v="1"/>
    <n v="2691"/>
    <n v="7766.6295057599409"/>
    <n v="20900000"/>
    <n v="11"/>
    <n v="244.63636363636363"/>
    <n v="1900000"/>
  </r>
  <r>
    <s v="Sugaberrio S.A.S"/>
    <s v="F085"/>
    <s v="F_La Castellana"/>
    <d v="2022-03-02T00:00:00"/>
    <x v="2"/>
    <d v="2022-03-03T00:00:00"/>
    <d v="2022-03-18T00:00:00"/>
    <s v="FCC10017"/>
    <n v="7008147"/>
    <x v="1"/>
    <n v="1589"/>
    <n v="6828.1938325991187"/>
    <n v="10850000"/>
    <n v="7"/>
    <n v="227"/>
    <n v="1550000"/>
  </r>
  <r>
    <s v="Sugaberrio S.A.S"/>
    <s v="F085"/>
    <s v="F_La Castellana"/>
    <d v="2022-03-05T00:00:00"/>
    <x v="2"/>
    <d v="2022-03-06T00:00:00"/>
    <d v="2022-03-18T00:00:00"/>
    <n v="12815"/>
    <n v="7008147"/>
    <x v="1"/>
    <n v="2736"/>
    <n v="7894.7368421052633"/>
    <n v="21600000"/>
    <n v="12"/>
    <n v="228"/>
    <n v="1800000"/>
  </r>
  <r>
    <s v="Sugaberrio S.A.S"/>
    <s v="F085"/>
    <s v="F_La Castellana"/>
    <d v="2022-03-05T00:00:00"/>
    <x v="2"/>
    <d v="2022-03-06T00:00:00"/>
    <d v="2022-03-18T00:00:00"/>
    <n v="12816"/>
    <n v="7008147"/>
    <x v="1"/>
    <n v="2870"/>
    <n v="7317.0731707317073"/>
    <n v="21000000"/>
    <n v="12"/>
    <n v="239.16666666666666"/>
    <n v="1750000"/>
  </r>
  <r>
    <s v="Sugaberrio S.A.S"/>
    <s v="F085"/>
    <s v="F_La Castellana"/>
    <d v="2022-03-05T00:00:00"/>
    <x v="2"/>
    <d v="2022-03-06T00:00:00"/>
    <d v="2022-03-18T00:00:00"/>
    <n v="12837"/>
    <n v="7008147"/>
    <x v="1"/>
    <n v="4894"/>
    <n v="7764.609726195341"/>
    <n v="38000000"/>
    <n v="19"/>
    <n v="257.57894736842104"/>
    <n v="2000000"/>
  </r>
  <r>
    <s v="Subastar S.A"/>
    <s v="F159"/>
    <s v="F_Totumito"/>
    <d v="2022-03-10T00:00:00"/>
    <x v="2"/>
    <d v="2022-03-12T00:00:00"/>
    <d v="2022-03-18T00:00:00"/>
    <s v="M1-237560"/>
    <n v="7008147"/>
    <x v="1"/>
    <n v="4922"/>
    <n v="8742.630028443722"/>
    <n v="43031225"/>
    <n v="21"/>
    <n v="234.38095238095238"/>
    <n v="2049105.9523809524"/>
  </r>
  <r>
    <s v="Subastar S.A"/>
    <s v="F159"/>
    <s v="F_Totumito"/>
    <d v="2022-03-11T00:00:00"/>
    <x v="2"/>
    <d v="2022-03-12T00:00:00"/>
    <d v="2022-03-18T00:00:00"/>
    <s v="J1-229180"/>
    <n v="7008147"/>
    <x v="1"/>
    <n v="4998"/>
    <n v="8340.6700680272115"/>
    <n v="41686669"/>
    <n v="18"/>
    <n v="277.66666666666669"/>
    <n v="2315926.0555555555"/>
  </r>
  <r>
    <s v="Subastar S.A"/>
    <s v="F159"/>
    <s v="F_Totumito"/>
    <d v="2022-03-11T00:00:00"/>
    <x v="2"/>
    <d v="2022-03-12T00:00:00"/>
    <d v="2022-03-18T00:00:00"/>
    <s v="J1-229179"/>
    <n v="7008147"/>
    <x v="1"/>
    <n v="4706"/>
    <n v="8390.9150021249461"/>
    <n v="39487646"/>
    <n v="17"/>
    <n v="276.8235294117647"/>
    <n v="2322802.7058823528"/>
  </r>
  <r>
    <s v="Subastar S.A"/>
    <s v="F159"/>
    <s v="F_Totumito"/>
    <d v="2022-03-10T00:00:00"/>
    <x v="2"/>
    <d v="2022-03-12T00:00:00"/>
    <d v="2022-03-18T00:00:00"/>
    <s v="M1-237579"/>
    <n v="7008147"/>
    <x v="1"/>
    <n v="5260"/>
    <n v="8591.8950570342204"/>
    <n v="45193368"/>
    <n v="20"/>
    <n v="263"/>
    <n v="2259668.4"/>
  </r>
  <r>
    <s v="CC Subasta Ganadera Del Sinu S.A.S"/>
    <s v="F124"/>
    <s v="F_El Prado"/>
    <d v="2022-03-15T00:00:00"/>
    <x v="2"/>
    <d v="2022-03-15T00:00:00"/>
    <d v="2022-03-22T00:00:00"/>
    <n v="63358"/>
    <n v="7008146"/>
    <x v="0"/>
    <n v="5658"/>
    <n v="8650"/>
    <n v="48941700"/>
    <n v="18"/>
    <n v="314.33333333333331"/>
    <n v="2718983.3333333335"/>
  </r>
  <r>
    <s v="CC Subasta Ganadera Del Sinu S.A.S"/>
    <s v="F124"/>
    <s v="F_El Prado"/>
    <d v="2022-03-15T00:00:00"/>
    <x v="2"/>
    <d v="2022-03-15T00:00:00"/>
    <d v="2022-03-22T00:00:00"/>
    <n v="63360"/>
    <n v="7008146"/>
    <x v="0"/>
    <n v="4616"/>
    <n v="8700"/>
    <n v="40159200"/>
    <n v="20"/>
    <n v="230.8"/>
    <n v="2007960"/>
  </r>
  <r>
    <s v="CC Subasta Ganadera Del Sinu S.A.S"/>
    <s v="F124"/>
    <s v="F_El Prado"/>
    <d v="2022-03-15T00:00:00"/>
    <x v="2"/>
    <d v="2022-03-15T00:00:00"/>
    <d v="2022-03-22T00:00:00"/>
    <n v="63361"/>
    <n v="7008146"/>
    <x v="0"/>
    <n v="3834"/>
    <n v="9000"/>
    <n v="34506000"/>
    <n v="22"/>
    <n v="174.27272727272728"/>
    <n v="1568454.5454545454"/>
  </r>
  <r>
    <s v="CC Subasta Ganadera Del Sinu S.A.S"/>
    <s v="F124"/>
    <s v="F_El Prado"/>
    <d v="2022-03-15T00:00:00"/>
    <x v="2"/>
    <d v="2022-03-15T00:00:00"/>
    <d v="2022-03-22T00:00:00"/>
    <n v="63362"/>
    <n v="7008146"/>
    <x v="0"/>
    <n v="5702"/>
    <n v="8700"/>
    <n v="49607400"/>
    <n v="18"/>
    <n v="316.77777777777777"/>
    <n v="2755966.6666666665"/>
  </r>
  <r>
    <s v="CC Subasta Ganadera Del Sinu S.A.S"/>
    <s v="F124"/>
    <s v="F_El Prado"/>
    <d v="2022-03-15T00:00:00"/>
    <x v="2"/>
    <d v="2022-03-15T00:00:00"/>
    <d v="2022-03-22T00:00:00"/>
    <n v="63363"/>
    <n v="7008146"/>
    <x v="0"/>
    <n v="5784"/>
    <n v="8650"/>
    <n v="50031600"/>
    <n v="18"/>
    <n v="321.33333333333331"/>
    <n v="2779533.3333333335"/>
  </r>
  <r>
    <s v="CC Subasta Ganadera Del Sinu S.A.S"/>
    <s v="F124"/>
    <s v="F_El Prado"/>
    <d v="2022-03-15T00:00:00"/>
    <x v="2"/>
    <d v="2022-03-15T00:00:00"/>
    <d v="2022-03-22T00:00:00"/>
    <n v="63368"/>
    <n v="7008146"/>
    <x v="0"/>
    <n v="4340"/>
    <n v="8600"/>
    <n v="37324000"/>
    <n v="20"/>
    <n v="217"/>
    <n v="1866200"/>
  </r>
  <r>
    <s v="CC Subasta Ganadera Del Sinu S.A.S"/>
    <s v="F124"/>
    <s v="F_El Prado"/>
    <d v="2022-03-15T00:00:00"/>
    <x v="2"/>
    <d v="2022-03-15T00:00:00"/>
    <d v="2022-03-22T00:00:00"/>
    <n v="63369"/>
    <n v="7008146"/>
    <x v="0"/>
    <n v="3816"/>
    <n v="8800"/>
    <n v="33580800"/>
    <n v="15"/>
    <n v="254.4"/>
    <n v="2238720"/>
  </r>
  <r>
    <s v="CC Subasta Ganadera Del Sinu S.A.S"/>
    <s v="F124"/>
    <s v="F_El Prado"/>
    <d v="2022-03-15T00:00:00"/>
    <x v="2"/>
    <d v="2022-03-15T00:00:00"/>
    <d v="2022-03-22T00:00:00"/>
    <n v="63370"/>
    <n v="7008146"/>
    <x v="0"/>
    <n v="4642"/>
    <n v="8550"/>
    <n v="39689100"/>
    <n v="16"/>
    <n v="290.125"/>
    <n v="2480568.75"/>
  </r>
  <r>
    <s v="CC Subasta Ganadera Del Sinu S.A.S"/>
    <s v="F124"/>
    <s v="F_El Prado"/>
    <d v="2022-03-15T00:00:00"/>
    <x v="2"/>
    <d v="2022-03-15T00:00:00"/>
    <d v="2022-03-22T00:00:00"/>
    <n v="63372"/>
    <n v="7008146"/>
    <x v="0"/>
    <n v="5640"/>
    <n v="8750"/>
    <n v="49350000"/>
    <n v="18"/>
    <n v="313.33333333333331"/>
    <n v="2741666.6666666665"/>
  </r>
  <r>
    <s v="CC Subasta Ganadera Del Sinu S.A.S"/>
    <s v="F124"/>
    <s v="F_El Prado"/>
    <d v="2022-03-15T00:00:00"/>
    <x v="2"/>
    <d v="2022-03-15T00:00:00"/>
    <d v="2022-03-22T00:00:00"/>
    <n v="63375"/>
    <n v="7008146"/>
    <x v="0"/>
    <n v="5220"/>
    <n v="8500"/>
    <n v="44370000"/>
    <n v="20"/>
    <n v="261"/>
    <n v="2218500"/>
  </r>
  <r>
    <s v="CC Subasta Ganadera Del Sinu S.A.S"/>
    <s v="F124"/>
    <s v="F_El Prado"/>
    <d v="2022-03-15T00:00:00"/>
    <x v="2"/>
    <d v="2022-03-15T00:00:00"/>
    <d v="2022-03-22T00:00:00"/>
    <n v="63377"/>
    <n v="7008146"/>
    <x v="0"/>
    <n v="5324"/>
    <n v="8900"/>
    <n v="47383600"/>
    <n v="20"/>
    <n v="266.2"/>
    <n v="2369180"/>
  </r>
  <r>
    <s v="CC Subasta Ganadera Del Sinu S.A.S"/>
    <s v="F124"/>
    <s v="F_El Prado"/>
    <d v="2022-03-15T00:00:00"/>
    <x v="2"/>
    <d v="2022-03-15T00:00:00"/>
    <d v="2022-03-22T00:00:00"/>
    <n v="63378"/>
    <n v="7008146"/>
    <x v="0"/>
    <n v="5906"/>
    <n v="8650"/>
    <n v="51086900"/>
    <n v="20"/>
    <n v="295.3"/>
    <n v="2554345"/>
  </r>
  <r>
    <s v="CC Subasta Ganadera Del Sinu S.A.S"/>
    <s v="F124"/>
    <s v="F_El Prado"/>
    <d v="2022-03-15T00:00:00"/>
    <x v="2"/>
    <d v="2022-03-15T00:00:00"/>
    <d v="2022-03-22T00:00:00"/>
    <n v="63379"/>
    <n v="7008146"/>
    <x v="0"/>
    <n v="5252"/>
    <n v="8300"/>
    <n v="43591600"/>
    <n v="20"/>
    <n v="262.60000000000002"/>
    <n v="2179580"/>
  </r>
  <r>
    <s v="CC Subasta Ganadera Del Sinu S.A.S"/>
    <s v="F124"/>
    <s v="F_El Prado"/>
    <d v="2022-03-15T00:00:00"/>
    <x v="2"/>
    <d v="2022-03-15T00:00:00"/>
    <d v="2022-03-22T00:00:00"/>
    <n v="63381"/>
    <n v="7008146"/>
    <x v="0"/>
    <n v="5762"/>
    <n v="7900"/>
    <n v="45519800"/>
    <n v="20"/>
    <n v="288.10000000000002"/>
    <n v="2275990"/>
  </r>
  <r>
    <s v="CC Subasta Ganadera Del Sinu S.A.S"/>
    <s v="F124"/>
    <s v="F_El Prado"/>
    <d v="2022-03-15T00:00:00"/>
    <x v="2"/>
    <d v="2022-03-15T00:00:00"/>
    <d v="2022-03-22T00:00:00"/>
    <n v="63384"/>
    <n v="7008146"/>
    <x v="0"/>
    <n v="4854"/>
    <n v="8800"/>
    <n v="42715200"/>
    <n v="21"/>
    <n v="231.14285714285714"/>
    <n v="2034057.142857143"/>
  </r>
  <r>
    <s v="CC Subasta Ganadera Del Sinu S.A.S"/>
    <s v="F124"/>
    <s v="F_El Prado"/>
    <d v="2022-03-15T00:00:00"/>
    <x v="2"/>
    <d v="2022-03-15T00:00:00"/>
    <d v="2022-03-22T00:00:00"/>
    <n v="63388"/>
    <n v="7008146"/>
    <x v="0"/>
    <n v="342"/>
    <n v="6500"/>
    <n v="2223000"/>
    <n v="1"/>
    <n v="342"/>
    <n v="2223000"/>
  </r>
  <r>
    <s v="Inversiones Valledupar S.A.S"/>
    <s v="F110"/>
    <s v="F_Santa Elena"/>
    <d v="2022-03-18T00:00:00"/>
    <x v="2"/>
    <d v="2022-03-18T00:00:00"/>
    <d v="2022-03-22T00:00:00"/>
    <s v="FE 75"/>
    <n v="7008147"/>
    <x v="1"/>
    <n v="20859"/>
    <n v="8600"/>
    <n v="179387400"/>
    <n v="140"/>
    <n v="148.99285714285713"/>
    <n v="1281338.5714285714"/>
  </r>
  <r>
    <s v="CC Subasta Ganadera Del Sinu S.A.S"/>
    <s v="F062"/>
    <s v="F_La Leticia"/>
    <d v="2022-03-15T00:00:00"/>
    <x v="2"/>
    <d v="2022-03-15T00:00:00"/>
    <d v="2022-03-22T00:00:00"/>
    <n v="63396"/>
    <n v="7008146"/>
    <x v="0"/>
    <n v="12053"/>
    <n v="8364"/>
    <n v="100811292"/>
    <n v="36"/>
    <n v="334.80555555555554"/>
    <n v="2800313.6666666665"/>
  </r>
  <r>
    <s v="CC Subasta Ganadera Del Sinu S.A.S"/>
    <s v="F062"/>
    <s v="F_La Leticia"/>
    <d v="2022-03-15T00:00:00"/>
    <x v="2"/>
    <d v="2022-03-15T00:00:00"/>
    <d v="2022-03-22T00:00:00"/>
    <n v="63397"/>
    <n v="7008146"/>
    <x v="0"/>
    <n v="12020"/>
    <n v="8000.0054908485854"/>
    <n v="96160066"/>
    <n v="35"/>
    <n v="343.42857142857144"/>
    <n v="2747430.4571428574"/>
  </r>
  <r>
    <s v="Subagan S.A."/>
    <s v="F159"/>
    <s v="F_Totumito"/>
    <d v="2022-03-18T00:00:00"/>
    <x v="2"/>
    <d v="2022-03-18T00:00:00"/>
    <d v="2022-03-22T00:00:00"/>
    <s v="MIC547"/>
    <n v="7008147"/>
    <x v="1"/>
    <n v="11071"/>
    <n v="8553"/>
    <n v="94690263"/>
    <n v="44"/>
    <n v="251.61363636363637"/>
    <n v="2152051.4318181816"/>
  </r>
  <r>
    <s v="Amvimundo S.A.S"/>
    <s v="F184"/>
    <s v="F_Cocodrilla"/>
    <d v="2022-03-23T00:00:00"/>
    <x v="2"/>
    <d v="2022-03-23T00:00:00"/>
    <d v="2022-03-23T00:00:00"/>
    <s v="FE186"/>
    <n v="7008146"/>
    <x v="0"/>
    <n v="37020"/>
    <n v="7600"/>
    <n v="281352000"/>
    <n v="100"/>
    <n v="370.2"/>
    <n v="2813520"/>
  </r>
  <r>
    <s v="Subasta Ganadera Casanare S.A"/>
    <s v="F177"/>
    <s v="F_Santa Mónica"/>
    <d v="2022-03-10T00:00:00"/>
    <x v="2"/>
    <d v="2022-03-11T00:00:00"/>
    <d v="2022-03-23T00:00:00"/>
    <s v="FEC21298"/>
    <n v="7008146"/>
    <x v="0"/>
    <n v="6502"/>
    <n v="7252.9529375576749"/>
    <n v="47158700"/>
    <n v="16"/>
    <n v="406.375"/>
    <n v="2947418.75"/>
  </r>
  <r>
    <s v="Subasta Ganadera Casanare S.A"/>
    <s v="F177"/>
    <s v="F_Santa Mónica"/>
    <d v="2022-03-10T00:00:00"/>
    <x v="2"/>
    <d v="2022-03-11T00:00:00"/>
    <d v="2022-03-23T00:00:00"/>
    <s v="FEC21300"/>
    <n v="7008146"/>
    <x v="0"/>
    <n v="6244"/>
    <n v="7453.6515054452275"/>
    <n v="46540600"/>
    <n v="19"/>
    <n v="328.63157894736844"/>
    <n v="2449505.2631578948"/>
  </r>
  <r>
    <s v="Subasta Ganadera Casanare S.A"/>
    <s v="F177"/>
    <s v="F_Santa Mónica"/>
    <d v="2022-03-10T00:00:00"/>
    <x v="2"/>
    <d v="2022-03-11T00:00:00"/>
    <d v="2022-03-23T00:00:00"/>
    <s v="FEC21301"/>
    <n v="7008146"/>
    <x v="0"/>
    <n v="5516"/>
    <n v="7504.3509789702684"/>
    <n v="41394000"/>
    <n v="20"/>
    <n v="275.8"/>
    <n v="2069700"/>
  </r>
  <r>
    <s v="Subasta Ganadera Casanare S.A"/>
    <s v="F177"/>
    <s v="F_Santa Mónica"/>
    <d v="2022-03-10T00:00:00"/>
    <x v="2"/>
    <d v="2022-03-11T00:00:00"/>
    <d v="2022-03-23T00:00:00"/>
    <s v="FEC21302"/>
    <n v="7008146"/>
    <x v="0"/>
    <n v="4950"/>
    <n v="7153.393939393939"/>
    <n v="35409300"/>
    <n v="14"/>
    <n v="353.57142857142856"/>
    <n v="2529235.7142857141"/>
  </r>
  <r>
    <s v="Subasta Ganadera Casanare S.A"/>
    <s v="F177"/>
    <s v="F_Santa Mónica"/>
    <d v="2022-03-10T00:00:00"/>
    <x v="2"/>
    <d v="2022-03-11T00:00:00"/>
    <d v="2022-03-23T00:00:00"/>
    <s v="FEC21303"/>
    <n v="7008146"/>
    <x v="0"/>
    <n v="5770"/>
    <n v="7504.1594454072792"/>
    <n v="43299000"/>
    <n v="20"/>
    <n v="288.5"/>
    <n v="2164950"/>
  </r>
  <r>
    <s v="Subasta Ganadera Casanare S.A"/>
    <s v="F177"/>
    <s v="F_Santa Mónica"/>
    <d v="2022-03-10T00:00:00"/>
    <x v="2"/>
    <d v="2022-03-11T00:00:00"/>
    <d v="2022-03-23T00:00:00"/>
    <s v="FEC21320"/>
    <n v="7008146"/>
    <x v="0"/>
    <n v="5916"/>
    <n v="7454.0567951318462"/>
    <n v="44098200"/>
    <n v="20"/>
    <n v="295.8"/>
    <n v="2204910"/>
  </r>
  <r>
    <s v="Subasta Ganadera Casanare S.A"/>
    <s v="F177"/>
    <s v="F_Santa Mónica"/>
    <d v="2022-03-10T00:00:00"/>
    <x v="2"/>
    <d v="2022-03-11T00:00:00"/>
    <d v="2022-03-23T00:00:00"/>
    <s v="FEC21323"/>
    <n v="7008146"/>
    <x v="0"/>
    <n v="2140"/>
    <n v="7355.0467289719627"/>
    <n v="15739800"/>
    <n v="9"/>
    <n v="237.77777777777777"/>
    <n v="1748866.6666666667"/>
  </r>
  <r>
    <s v="CC Subasta Ganadera Del Sinu S.A.S"/>
    <s v="F165"/>
    <s v="F_San Clemente"/>
    <d v="2022-03-18T00:00:00"/>
    <x v="2"/>
    <d v="2022-03-18T00:00:00"/>
    <d v="2022-03-24T00:00:00"/>
    <n v="63401"/>
    <n v="7008146"/>
    <x v="0"/>
    <n v="6224"/>
    <n v="8250"/>
    <n v="51348000"/>
    <n v="22"/>
    <n v="282.90909090909093"/>
    <n v="2334000"/>
  </r>
  <r>
    <s v="Agrosa S.A.S"/>
    <s v="F159"/>
    <s v="F_Totumito"/>
    <d v="2022-03-25T00:00:00"/>
    <x v="2"/>
    <d v="2022-03-24T00:00:00"/>
    <d v="2022-03-25T00:00:00"/>
    <s v="AGRO26"/>
    <n v="7008147"/>
    <x v="1"/>
    <n v="16730"/>
    <n v="8793"/>
    <n v="147114418"/>
    <n v="64"/>
    <n v="261.40625"/>
    <n v="2298662.78125"/>
  </r>
  <r>
    <s v="Subagan S.A."/>
    <s v="F165"/>
    <s v="F_San Clemente"/>
    <d v="2022-03-24T00:00:00"/>
    <x v="2"/>
    <d v="2022-03-23T00:00:00"/>
    <d v="2022-03-25T00:00:00"/>
    <s v="MIC554"/>
    <n v="7008151"/>
    <x v="3"/>
    <n v="21475"/>
    <n v="7662"/>
    <n v="164541450"/>
    <n v="82"/>
    <n v="261.89024390243901"/>
    <n v="2006603.0487804879"/>
  </r>
  <r>
    <s v="Sugaberrio S.A.S"/>
    <s v="F096"/>
    <s v="F_El Diamante"/>
    <d v="2022-03-17T00:00:00"/>
    <x v="2"/>
    <d v="2022-03-18T00:00:00"/>
    <d v="2022-03-28T00:00:00"/>
    <s v="FAC 6501"/>
    <n v="7008147"/>
    <x v="1"/>
    <n v="1314"/>
    <n v="8100"/>
    <n v="10643400"/>
    <n v="6"/>
    <n v="219"/>
    <n v="1773900"/>
  </r>
  <r>
    <s v="Sugaberrio S.A.S"/>
    <s v="F096"/>
    <s v="F_El Diamante"/>
    <d v="2022-03-17T00:00:00"/>
    <x v="2"/>
    <d v="2022-03-18T00:00:00"/>
    <d v="2022-03-28T00:00:00"/>
    <s v="FAC 6517"/>
    <n v="7008147"/>
    <x v="1"/>
    <n v="4541"/>
    <n v="8100"/>
    <n v="36782100"/>
    <n v="17"/>
    <n v="267.11764705882354"/>
    <n v="2163652.9411764704"/>
  </r>
  <r>
    <s v="David Martinez Jaramillo"/>
    <s v="F186"/>
    <s v="F_El Loro"/>
    <d v="2022-03-23T00:00:00"/>
    <x v="2"/>
    <d v="2022-03-23T00:00:00"/>
    <d v="2022-03-29T00:00:00"/>
    <s v="DM154"/>
    <n v="7008146"/>
    <x v="0"/>
    <n v="14497"/>
    <n v="7350"/>
    <n v="106552950"/>
    <n v="45"/>
    <n v="322.15555555555557"/>
    <n v="2367843.3333333335"/>
  </r>
  <r>
    <s v="CC Subasta Ganadera Del Sinu S.A.S"/>
    <s v="A019"/>
    <s v="A_Jordan"/>
    <d v="2022-03-23T00:00:00"/>
    <x v="2"/>
    <d v="2022-03-23T00:00:00"/>
    <d v="2022-03-29T00:00:00"/>
    <n v="63431"/>
    <n v="7008147"/>
    <x v="1"/>
    <n v="5632"/>
    <n v="8550"/>
    <n v="48153600"/>
    <n v="19"/>
    <n v="296.42105263157896"/>
    <n v="2534400"/>
  </r>
  <r>
    <s v="CC Subasta Ganadera Del Sinu S.A.S"/>
    <s v="A019"/>
    <s v="A_Jordan"/>
    <d v="2022-03-23T00:00:00"/>
    <x v="2"/>
    <d v="2022-03-23T00:00:00"/>
    <d v="2022-03-29T00:00:00"/>
    <n v="63432"/>
    <n v="7008147"/>
    <x v="1"/>
    <n v="5596"/>
    <n v="8750"/>
    <n v="48965000"/>
    <n v="18"/>
    <n v="310.88888888888891"/>
    <n v="2720277.777777778"/>
  </r>
  <r>
    <s v="CC Subasta Ganadera Del Sinu S.A.S"/>
    <s v="A019"/>
    <s v="A_Jordan"/>
    <d v="2022-03-23T00:00:00"/>
    <x v="2"/>
    <d v="2022-03-23T00:00:00"/>
    <d v="2022-03-29T00:00:00"/>
    <n v="63456"/>
    <n v="7008147"/>
    <x v="1"/>
    <n v="5512"/>
    <n v="8150"/>
    <n v="44922800"/>
    <n v="16"/>
    <n v="344.5"/>
    <n v="2807675"/>
  </r>
  <r>
    <s v="CC Subasta Ganadera Del Sinu S.A.S"/>
    <s v="F165"/>
    <s v="F_San Clemente"/>
    <d v="2022-03-25T00:00:00"/>
    <x v="2"/>
    <d v="2022-03-25T00:00:00"/>
    <d v="2022-03-29T00:00:00"/>
    <n v="63499"/>
    <n v="7008151"/>
    <x v="3"/>
    <n v="10515"/>
    <n v="6900"/>
    <n v="72553500"/>
    <n v="35"/>
    <n v="300.42857142857144"/>
    <n v="2072957.142857143"/>
  </r>
  <r>
    <s v="CC Subasta Ganadera Del Sinu S.A.S"/>
    <s v="F068"/>
    <s v="F_Guadalupe"/>
    <d v="2022-03-25T00:00:00"/>
    <x v="2"/>
    <d v="2022-03-26T00:00:00"/>
    <d v="2022-03-29T00:00:00"/>
    <n v="63500"/>
    <n v="7008146"/>
    <x v="0"/>
    <n v="12914"/>
    <n v="8630"/>
    <n v="111447820"/>
    <n v="40"/>
    <n v="322.85000000000002"/>
    <n v="2786195.5"/>
  </r>
  <r>
    <s v="Subagan S.A."/>
    <s v="F019"/>
    <s v="F_Jordan"/>
    <d v="2022-03-26T00:00:00"/>
    <x v="2"/>
    <d v="2022-03-26T00:00:00"/>
    <d v="2022-03-29T00:00:00"/>
    <s v="MICC556"/>
    <n v="7008146"/>
    <x v="0"/>
    <n v="18623"/>
    <n v="7200"/>
    <n v="134085600"/>
    <n v="45"/>
    <n v="413.84444444444443"/>
    <n v="2979680"/>
  </r>
  <r>
    <s v="Subagan S.A."/>
    <s v="F165"/>
    <s v="F_San Clemente"/>
    <d v="2022-03-28T00:00:00"/>
    <x v="2"/>
    <d v="2022-03-28T00:00:00"/>
    <d v="2022-03-29T00:00:00"/>
    <s v="MIC558"/>
    <n v="7008151"/>
    <x v="3"/>
    <n v="6287"/>
    <n v="7500"/>
    <n v="47152500"/>
    <n v="20"/>
    <n v="314.35000000000002"/>
    <n v="2357625"/>
  </r>
  <r>
    <s v="Subastar S.A"/>
    <s v="A019"/>
    <s v="A_Jordan"/>
    <d v="2022-03-30T00:00:00"/>
    <x v="2"/>
    <d v="2022-03-30T00:00:00"/>
    <d v="2022-03-31T00:00:00"/>
    <n v="7663"/>
    <n v="7008146"/>
    <x v="0"/>
    <n v="5957"/>
    <n v="8441.1599798556326"/>
    <n v="50283990"/>
    <n v="14"/>
    <n v="425.5"/>
    <n v="3591713.5714285714"/>
  </r>
  <r>
    <s v="Subastar S.A"/>
    <s v="A019"/>
    <s v="A_Jordan"/>
    <d v="2022-03-30T00:00:00"/>
    <x v="2"/>
    <d v="2022-03-30T00:00:00"/>
    <d v="2022-03-31T00:00:00"/>
    <n v="7664"/>
    <n v="7008146"/>
    <x v="0"/>
    <n v="11507"/>
    <n v="8742.6299643695147"/>
    <n v="100601443"/>
    <n v="33"/>
    <n v="348.69696969696969"/>
    <n v="3048528.5757575757"/>
  </r>
  <r>
    <s v="Jonny De Jesús Ceballos Gonzales"/>
    <s v="F172"/>
    <s v="F_Holanda"/>
    <d v="2022-04-01T00:00:00"/>
    <x v="3"/>
    <d v="2022-04-01T00:00:00"/>
    <d v="2022-04-04T00:00:00"/>
    <s v="FEJC28"/>
    <n v="7008146"/>
    <x v="0"/>
    <n v="11341"/>
    <n v="8200"/>
    <n v="92996184"/>
    <n v="38"/>
    <n v="298.44736842105266"/>
    <n v="2447268"/>
  </r>
  <r>
    <s v="Jonny De Jesús Ceballos Gonzales"/>
    <s v="F172"/>
    <s v="F_Holanda"/>
    <d v="2022-04-02T00:00:00"/>
    <x v="3"/>
    <d v="2022-04-02T00:00:00"/>
    <d v="2022-04-05T00:00:00"/>
    <s v="FEJC30"/>
    <n v="7008147"/>
    <x v="1"/>
    <n v="4100"/>
    <n v="8300"/>
    <n v="34030000"/>
    <n v="15"/>
    <n v="273.33333333333331"/>
    <n v="2268666.6666666665"/>
  </r>
  <r>
    <s v="Sociedad Agricola De Dibulla LTDA"/>
    <s v="F182"/>
    <s v="F_Vista Hermosa"/>
    <d v="2022-04-01T00:00:00"/>
    <x v="3"/>
    <d v="2022-04-01T00:00:00"/>
    <d v="2022-04-05T00:00:00"/>
    <s v="SAD5473"/>
    <n v="7008147"/>
    <x v="1"/>
    <n v="2918"/>
    <n v="8800"/>
    <n v="25678400"/>
    <n v="15"/>
    <n v="194.53333333333333"/>
    <n v="1711893.3333333333"/>
  </r>
  <r>
    <s v="Wilson Murillo"/>
    <s v="F011"/>
    <s v="F_Chumbimbo"/>
    <d v="2022-04-01T00:00:00"/>
    <x v="3"/>
    <d v="2022-04-05T00:00:00"/>
    <d v="2022-04-06T00:00:00"/>
    <s v="FE177"/>
    <n v="7008146"/>
    <x v="0"/>
    <n v="13262"/>
    <n v="8200"/>
    <n v="108748400"/>
    <n v="38"/>
    <n v="349"/>
    <n v="2861800"/>
  </r>
  <r>
    <s v="Wilson Murillo"/>
    <s v="F011"/>
    <s v="F_Chumbimbo"/>
    <d v="2022-04-01T00:00:00"/>
    <x v="3"/>
    <d v="2022-04-05T00:00:00"/>
    <d v="2022-04-06T00:00:00"/>
    <s v="FE176"/>
    <n v="7008151"/>
    <x v="3"/>
    <n v="12005"/>
    <n v="7600"/>
    <n v="91238000"/>
    <n v="49"/>
    <n v="245"/>
    <n v="1862000"/>
  </r>
  <r>
    <s v="Sugaberrio S.A.S"/>
    <s v="F096"/>
    <s v="F_El Diamante"/>
    <d v="2022-03-31T00:00:00"/>
    <x v="2"/>
    <d v="2022-04-01T00:00:00"/>
    <d v="2022-04-06T00:00:00"/>
    <s v="FAC 6711"/>
    <n v="7008147"/>
    <x v="1"/>
    <n v="3953"/>
    <n v="8900"/>
    <n v="35181700"/>
    <n v="17"/>
    <n v="232.52941176470588"/>
    <n v="2069511.7647058824"/>
  </r>
  <r>
    <s v="Sugaberrio S.A.S"/>
    <s v="F096"/>
    <s v="F_El Diamante"/>
    <d v="2022-03-31T00:00:00"/>
    <x v="2"/>
    <d v="2022-04-01T00:00:00"/>
    <d v="2022-04-06T00:00:00"/>
    <s v="FAC 6707"/>
    <n v="7008147"/>
    <x v="1"/>
    <n v="503"/>
    <n v="8051.6898608349902"/>
    <n v="4050000"/>
    <n v="3"/>
    <n v="167.66666666666666"/>
    <n v="1350000"/>
  </r>
  <r>
    <s v="Comercializadora El Delirio S.A.S"/>
    <s v="F020"/>
    <s v="F_Triana"/>
    <d v="2022-04-06T00:00:00"/>
    <x v="3"/>
    <d v="2022-04-06T00:00:00"/>
    <d v="2022-04-07T00:00:00"/>
    <s v="FE188"/>
    <n v="7008146"/>
    <x v="0"/>
    <n v="81944"/>
    <n v="8350"/>
    <n v="684232400"/>
    <n v="207"/>
    <n v="395.8647342995169"/>
    <n v="3305470.531400966"/>
  </r>
  <r>
    <s v="Rodolfo De Jesus Jaramillo Calle"/>
    <s v="F162"/>
    <s v="F_Corozal"/>
    <d v="2022-04-05T00:00:00"/>
    <x v="3"/>
    <d v="2022-04-05T00:00:00"/>
    <d v="2022-04-07T00:00:00"/>
    <s v="FE88"/>
    <n v="7008146"/>
    <x v="0"/>
    <n v="61003"/>
    <n v="8500"/>
    <n v="518525500"/>
    <n v="150"/>
    <n v="406.68666666666667"/>
    <n v="3456836.6666666665"/>
  </r>
  <r>
    <s v="Sugaberrio S.A.S"/>
    <s v="F096"/>
    <s v="F_El Diamante"/>
    <d v="2022-04-05T00:00:00"/>
    <x v="3"/>
    <d v="2022-04-07T00:00:00"/>
    <d v="2022-04-07T00:00:00"/>
    <s v="FBC13450"/>
    <n v="7008147"/>
    <x v="1"/>
    <n v="16286"/>
    <n v="9020"/>
    <n v="146899720"/>
    <n v="74"/>
    <n v="220.08108108108109"/>
    <n v="1985131.3513513512"/>
  </r>
  <r>
    <s v="Subastar S.A"/>
    <s v="F067"/>
    <s v="F_Guacharacas"/>
    <d v="2022-04-04T00:00:00"/>
    <x v="3"/>
    <d v="2022-04-04T00:00:00"/>
    <d v="2022-04-08T00:00:00"/>
    <n v="7672"/>
    <n v="7008146"/>
    <x v="0"/>
    <n v="5669"/>
    <n v="8441"/>
    <n v="47852029"/>
    <n v="14"/>
    <n v="404.92857142857144"/>
    <n v="3418002.0714285714"/>
  </r>
  <r>
    <s v="Wilson Murillo"/>
    <s v="F071"/>
    <s v="F_Texas Araujo"/>
    <d v="2022-04-05T00:00:00"/>
    <x v="3"/>
    <d v="2022-04-07T00:00:00"/>
    <d v="2022-04-08T00:00:00"/>
    <s v="FE178"/>
    <n v="7008146"/>
    <x v="0"/>
    <n v="6540"/>
    <n v="8200"/>
    <n v="53628000"/>
    <n v="20"/>
    <n v="327"/>
    <n v="2681400"/>
  </r>
  <r>
    <s v="CC Subasta Ganadera Del Sinu S.A.S"/>
    <s v="F165"/>
    <s v="F_San Clemente"/>
    <d v="2022-04-05T00:00:00"/>
    <x v="3"/>
    <d v="2022-04-05T00:00:00"/>
    <d v="2022-04-11T00:00:00"/>
    <n v="63729"/>
    <n v="7008151"/>
    <x v="3"/>
    <n v="6170"/>
    <n v="7500"/>
    <n v="46275000"/>
    <n v="22"/>
    <n v="280.45454545454544"/>
    <n v="2103409.0909090908"/>
  </r>
  <r>
    <s v="CC Subasta Ganadera Del Sinu S.A.S"/>
    <s v="F165"/>
    <s v="F_San Clemente"/>
    <d v="2022-04-05T00:00:00"/>
    <x v="3"/>
    <d v="2022-04-05T00:00:00"/>
    <d v="2022-04-11T00:00:00"/>
    <n v="63730"/>
    <n v="7008151"/>
    <x v="3"/>
    <n v="6512"/>
    <n v="7300"/>
    <n v="47537600"/>
    <n v="20"/>
    <n v="325.60000000000002"/>
    <n v="2376880"/>
  </r>
  <r>
    <s v="Subagan S.A."/>
    <s v="F165"/>
    <s v="F_San Clemente"/>
    <d v="2022-04-11T00:00:00"/>
    <x v="3"/>
    <d v="2022-04-11T00:00:00"/>
    <d v="2022-04-13T00:00:00"/>
    <s v="MIC559"/>
    <n v="7008151"/>
    <x v="3"/>
    <n v="14021"/>
    <n v="7224"/>
    <n v="101287704"/>
    <n v="60"/>
    <n v="233.68333333333334"/>
    <n v="1688128.4"/>
  </r>
  <r>
    <s v="Wilson Murillo"/>
    <s v="F071"/>
    <s v="F_Texas Araujo"/>
    <d v="2022-04-05T00:00:00"/>
    <x v="3"/>
    <d v="2022-04-05T00:00:00"/>
    <d v="2022-04-18T00:00:00"/>
    <s v="FE179"/>
    <n v="7008146"/>
    <x v="0"/>
    <n v="14080"/>
    <n v="8250"/>
    <n v="116160000"/>
    <n v="40"/>
    <n v="352"/>
    <n v="2904000"/>
  </r>
  <r>
    <s v="Subasta Ganadera Casanare S.A"/>
    <s v="A035"/>
    <s v="A_Santa Ines"/>
    <d v="2022-04-07T00:00:00"/>
    <x v="3"/>
    <d v="2022-04-09T00:00:00"/>
    <d v="2022-04-18T00:00:00"/>
    <s v="FEC22265"/>
    <n v="7008146"/>
    <x v="0"/>
    <n v="4340"/>
    <n v="7852.764976958525"/>
    <n v="34081000"/>
    <n v="10"/>
    <n v="434"/>
    <n v="3408100"/>
  </r>
  <r>
    <s v="Subasta Ganadera Casanare S.A"/>
    <s v="A035"/>
    <s v="A_Santa Ines"/>
    <d v="2022-04-07T00:00:00"/>
    <x v="3"/>
    <d v="2022-04-09T00:00:00"/>
    <d v="2022-04-18T00:00:00"/>
    <s v="FEC22307"/>
    <n v="7008146"/>
    <x v="0"/>
    <n v="6130"/>
    <n v="8052.7406199021207"/>
    <n v="49363300"/>
    <n v="14"/>
    <n v="437.85714285714283"/>
    <n v="3525950"/>
  </r>
  <r>
    <s v="Juan Alberto Saldarriaga"/>
    <s v="F096"/>
    <s v="F_El Diamante"/>
    <d v="2022-04-08T00:00:00"/>
    <x v="3"/>
    <d v="2022-04-09T00:00:00"/>
    <d v="2022-04-19T00:00:00"/>
    <n v="5992"/>
    <n v="7008147"/>
    <x v="1"/>
    <n v="11184"/>
    <n v="8450"/>
    <n v="94504800"/>
    <n v="40"/>
    <n v="279.60000000000002"/>
    <n v="2362620"/>
  </r>
  <r>
    <s v="Subastar S.A"/>
    <s v="A019"/>
    <s v="A_Jordan"/>
    <d v="2022-04-11T00:00:00"/>
    <x v="3"/>
    <d v="2022-04-11T00:00:00"/>
    <d v="2022-04-19T00:00:00"/>
    <n v="7682"/>
    <n v="7008146"/>
    <x v="0"/>
    <n v="5828"/>
    <n v="8943.6099862731644"/>
    <n v="52123359"/>
    <n v="19"/>
    <n v="306.73684210526318"/>
    <n v="2743334.6842105263"/>
  </r>
  <r>
    <s v="CC Subasta Ganadera Del Sinu S.A.S"/>
    <s v="F165"/>
    <s v="F_San Clemente"/>
    <d v="2022-04-12T00:00:00"/>
    <x v="3"/>
    <d v="2022-04-13T00:00:00"/>
    <d v="2022-04-19T00:00:00"/>
    <s v="AF63785"/>
    <n v="7008151"/>
    <x v="3"/>
    <n v="5484"/>
    <n v="7350"/>
    <n v="40307400"/>
    <n v="20"/>
    <n v="274.2"/>
    <n v="2015370"/>
  </r>
  <r>
    <s v="Mauricio Alberto Gomez Montaño"/>
    <s v="F024"/>
    <s v="F_El Imperio"/>
    <d v="2022-04-20T00:00:00"/>
    <x v="3"/>
    <d v="2022-04-20T00:00:00"/>
    <d v="2022-04-20T00:00:00"/>
    <s v="FE19"/>
    <n v="7008146"/>
    <x v="0"/>
    <n v="4596"/>
    <n v="8000"/>
    <n v="36768000"/>
    <n v="12"/>
    <n v="383"/>
    <n v="3064000"/>
  </r>
  <r>
    <s v="Inversiones El Diamante H.M S.A.S"/>
    <s v="F096"/>
    <s v="F_El Diamante"/>
    <d v="2022-04-19T00:00:00"/>
    <x v="3"/>
    <d v="2022-04-19T00:00:00"/>
    <d v="2022-04-21T00:00:00"/>
    <s v="FE 161"/>
    <n v="7008459"/>
    <x v="2"/>
    <n v="2930"/>
    <n v="14440"/>
    <n v="42309200"/>
    <n v="33"/>
    <n v="88.787878787878782"/>
    <n v="1282096.9696969697"/>
  </r>
  <r>
    <s v="Sugaberrio S.A.S"/>
    <s v="F116"/>
    <s v="F_San Rafael"/>
    <d v="2022-04-19T00:00:00"/>
    <x v="3"/>
    <d v="2022-04-20T00:00:00"/>
    <d v="2022-04-22T00:00:00"/>
    <s v="FAC6902"/>
    <n v="7008147"/>
    <x v="1"/>
    <n v="1449"/>
    <n v="9385.7832988267764"/>
    <n v="13600000"/>
    <n v="10"/>
    <n v="144.9"/>
    <n v="1360000"/>
  </r>
  <r>
    <s v="Sugaberrio S.A.S"/>
    <s v="F116"/>
    <s v="F_San Rafael"/>
    <d v="2022-04-19T00:00:00"/>
    <x v="3"/>
    <d v="2022-04-20T00:00:00"/>
    <d v="2022-04-22T00:00:00"/>
    <s v="FAC6908"/>
    <n v="7008147"/>
    <x v="1"/>
    <n v="2757"/>
    <n v="8650"/>
    <n v="23848050"/>
    <n v="9"/>
    <n v="306.33333333333331"/>
    <n v="2649783.3333333335"/>
  </r>
  <r>
    <s v="Sugaberrio S.A.S"/>
    <s v="F116"/>
    <s v="F_San Rafael"/>
    <d v="2022-04-19T00:00:00"/>
    <x v="3"/>
    <d v="2022-04-20T00:00:00"/>
    <d v="2022-04-22T00:00:00"/>
    <s v="FAC6918"/>
    <n v="7008147"/>
    <x v="1"/>
    <n v="4915"/>
    <n v="8850.457782299085"/>
    <n v="43500000"/>
    <n v="29"/>
    <n v="169.48275862068965"/>
    <n v="1500000"/>
  </r>
  <r>
    <s v="Sugaberrio S.A.S"/>
    <s v="F116"/>
    <s v="F_San Rafael"/>
    <d v="2022-04-19T00:00:00"/>
    <x v="3"/>
    <d v="2022-04-20T00:00:00"/>
    <d v="2022-04-22T00:00:00"/>
    <s v="FAC6909"/>
    <n v="7008147"/>
    <x v="1"/>
    <n v="2169"/>
    <n v="10189.027201475334"/>
    <n v="22100000"/>
    <n v="17"/>
    <n v="127.58823529411765"/>
    <n v="1300000"/>
  </r>
  <r>
    <s v="Sugaberrio S.A.S"/>
    <s v="A035"/>
    <s v="A_Santa Ines"/>
    <d v="2022-04-09T00:00:00"/>
    <x v="3"/>
    <d v="2022-04-10T00:00:00"/>
    <d v="2022-04-22T00:00:00"/>
    <s v="FBC13536"/>
    <n v="7008146"/>
    <x v="0"/>
    <n v="7264"/>
    <n v="7950"/>
    <n v="57748800"/>
    <n v="11"/>
    <n v="660.36363636363637"/>
    <n v="5249890.9090909092"/>
  </r>
  <r>
    <s v="Wilson Murillo"/>
    <s v="F071"/>
    <s v="F_Texas Araujo"/>
    <d v="2022-04-13T00:00:00"/>
    <x v="3"/>
    <d v="2022-04-21T00:00:00"/>
    <d v="2022-04-25T00:00:00"/>
    <s v="FE181"/>
    <n v="7008146"/>
    <x v="0"/>
    <n v="6642"/>
    <n v="8400"/>
    <n v="55792800"/>
    <n v="18"/>
    <n v="369"/>
    <n v="3099600"/>
  </r>
  <r>
    <s v="Wilson Murillo"/>
    <s v="F069"/>
    <s v="F_Las Camelias"/>
    <d v="2022-04-13T00:00:00"/>
    <x v="3"/>
    <d v="2022-04-21T00:00:00"/>
    <d v="2022-04-25T00:00:00"/>
    <s v="FE80"/>
    <n v="7008146"/>
    <x v="0"/>
    <n v="11507"/>
    <n v="8400"/>
    <n v="96658800"/>
    <n v="37"/>
    <n v="311"/>
    <n v="2612400"/>
  </r>
  <r>
    <s v="Fabian Andrés Cortes Londoño"/>
    <s v="F166"/>
    <s v="F_Chaparral"/>
    <d v="2022-04-22T00:00:00"/>
    <x v="3"/>
    <d v="2022-04-22T00:00:00"/>
    <d v="2022-04-26T00:00:00"/>
    <s v="_x0009_FELC-864"/>
    <n v="7008147"/>
    <x v="1"/>
    <n v="25513"/>
    <n v="7558"/>
    <n v="192827254"/>
    <n v="97"/>
    <n v="263.02061855670104"/>
    <n v="1987909.8350515463"/>
  </r>
  <r>
    <s v="Subasta Ganadera Casanare S.A"/>
    <s v="F062"/>
    <s v="F_La Leticia"/>
    <d v="2022-04-21T00:00:00"/>
    <x v="3"/>
    <d v="2022-04-21T00:00:00"/>
    <d v="2022-04-26T00:00:00"/>
    <s v="FEC22642"/>
    <n v="7008146"/>
    <x v="0"/>
    <n v="3096"/>
    <n v="7853.4883720930229"/>
    <n v="24314400"/>
    <n v="9"/>
    <n v="344"/>
    <n v="2701600"/>
  </r>
  <r>
    <s v="Subasta Ganadera Casanare S.A"/>
    <s v="F062"/>
    <s v="F_La Leticia"/>
    <d v="2022-04-21T00:00:00"/>
    <x v="3"/>
    <d v="2022-04-21T00:00:00"/>
    <d v="2022-04-26T00:00:00"/>
    <s v="FEC22645"/>
    <n v="7008146"/>
    <x v="0"/>
    <n v="2708"/>
    <n v="7753.9881831610046"/>
    <n v="20997800"/>
    <n v="9"/>
    <n v="300.88888888888891"/>
    <n v="2333088.888888889"/>
  </r>
  <r>
    <s v="Subasta Ganadera Casanare S.A"/>
    <s v="F062"/>
    <s v="F_La Leticia"/>
    <d v="2022-04-21T00:00:00"/>
    <x v="3"/>
    <d v="2022-04-21T00:00:00"/>
    <d v="2022-04-26T00:00:00"/>
    <s v="FEC22686"/>
    <n v="7008146"/>
    <x v="0"/>
    <n v="5942"/>
    <n v="8453.2312352743193"/>
    <n v="50229100"/>
    <n v="16"/>
    <n v="371.375"/>
    <n v="3139318.75"/>
  </r>
  <r>
    <s v="Subasta Ganadera Casanare S.A"/>
    <s v="F062"/>
    <s v="F_La Leticia"/>
    <d v="2022-04-21T00:00:00"/>
    <x v="3"/>
    <d v="2022-04-21T00:00:00"/>
    <d v="2022-04-26T00:00:00"/>
    <s v="FEC22662"/>
    <n v="7008146"/>
    <x v="0"/>
    <n v="5516"/>
    <n v="7953.4807831762146"/>
    <n v="43871400"/>
    <n v="16"/>
    <n v="344.75"/>
    <n v="2741962.5"/>
  </r>
  <r>
    <s v="Subagan S.A."/>
    <s v="F019"/>
    <s v="F_Jordan"/>
    <d v="2022-04-09T00:00:00"/>
    <x v="3"/>
    <d v="2022-04-09T00:00:00"/>
    <d v="2022-04-26T00:00:00"/>
    <s v="PAZC580"/>
    <n v="7008146"/>
    <x v="0"/>
    <n v="5586"/>
    <n v="7800"/>
    <n v="43570800"/>
    <n v="15"/>
    <n v="372.4"/>
    <n v="2904720"/>
  </r>
  <r>
    <s v="Subagan S.A."/>
    <s v="F019"/>
    <s v="F_Jordan"/>
    <d v="2022-04-09T00:00:00"/>
    <x v="3"/>
    <d v="2022-04-09T00:00:00"/>
    <d v="2022-04-26T00:00:00"/>
    <s v="PAZC568"/>
    <n v="7008146"/>
    <x v="0"/>
    <n v="6153"/>
    <n v="7600"/>
    <n v="46762800"/>
    <n v="15"/>
    <n v="410.2"/>
    <n v="3117520"/>
  </r>
  <r>
    <s v="Sugaberrio S.A.S"/>
    <s v="F085"/>
    <s v="F_La Castellana"/>
    <d v="2022-04-20T00:00:00"/>
    <x v="3"/>
    <d v="2022-04-24T00:00:00"/>
    <d v="2022-04-26T00:00:00"/>
    <n v="10831"/>
    <n v="7008147"/>
    <x v="1"/>
    <n v="1556"/>
    <n v="8800"/>
    <n v="13692800"/>
    <n v="6"/>
    <n v="259.33333333333331"/>
    <n v="2282133.3333333335"/>
  </r>
  <r>
    <s v="Sugaberrio S.A.S"/>
    <s v="F085"/>
    <s v="F_La Castellana"/>
    <d v="2022-04-20T00:00:00"/>
    <x v="3"/>
    <d v="2022-04-24T00:00:00"/>
    <d v="2022-04-26T00:00:00"/>
    <n v="10836"/>
    <n v="7008147"/>
    <x v="1"/>
    <n v="1350"/>
    <n v="9400"/>
    <n v="12690000"/>
    <n v="7"/>
    <n v="192.85714285714286"/>
    <n v="1812857.142857143"/>
  </r>
  <r>
    <s v="Sugaberrio S.A.S"/>
    <s v="F085"/>
    <s v="F_La Castellana"/>
    <d v="2022-04-20T00:00:00"/>
    <x v="3"/>
    <d v="2022-04-24T00:00:00"/>
    <d v="2022-04-26T00:00:00"/>
    <n v="10837"/>
    <n v="7008147"/>
    <x v="1"/>
    <n v="1025"/>
    <n v="8800"/>
    <n v="9020000"/>
    <n v="5"/>
    <n v="205"/>
    <n v="1804000"/>
  </r>
  <r>
    <s v="Sugaberrio S.A.S"/>
    <s v="F085"/>
    <s v="F_La Castellana"/>
    <d v="2022-04-20T00:00:00"/>
    <x v="3"/>
    <d v="2022-04-24T00:00:00"/>
    <d v="2022-04-26T00:00:00"/>
    <n v="19838"/>
    <n v="7008147"/>
    <x v="1"/>
    <n v="4915"/>
    <n v="8660"/>
    <n v="42563900"/>
    <n v="17"/>
    <n v="289.11764705882354"/>
    <n v="2503758.8235294116"/>
  </r>
  <r>
    <s v="Sugaberrio S.A.S"/>
    <s v="F085"/>
    <s v="F_La Castellana"/>
    <d v="2022-04-20T00:00:00"/>
    <x v="3"/>
    <d v="2022-04-24T00:00:00"/>
    <d v="2022-04-26T00:00:00"/>
    <n v="10857"/>
    <n v="7008147"/>
    <x v="1"/>
    <n v="935"/>
    <n v="8600"/>
    <n v="8041000"/>
    <n v="4"/>
    <n v="233.75"/>
    <n v="2010250"/>
  </r>
  <r>
    <s v="Sugaberrio S.A.S"/>
    <s v="F085"/>
    <s v="F_La Castellana"/>
    <d v="2022-04-22T00:00:00"/>
    <x v="3"/>
    <d v="2022-04-24T00:00:00"/>
    <d v="2022-04-26T00:00:00"/>
    <n v="6694"/>
    <n v="7008147"/>
    <x v="1"/>
    <n v="1520"/>
    <n v="8300"/>
    <n v="12616000"/>
    <n v="6"/>
    <n v="253.33333333333334"/>
    <n v="2102666.6666666665"/>
  </r>
  <r>
    <s v="Sugaberrio S.A.S"/>
    <s v="F085"/>
    <s v="F_La Castellana"/>
    <d v="2022-04-22T00:00:00"/>
    <x v="3"/>
    <d v="2022-04-24T00:00:00"/>
    <d v="2022-04-26T00:00:00"/>
    <n v="6720"/>
    <n v="7008147"/>
    <x v="1"/>
    <n v="1766"/>
    <n v="7700"/>
    <n v="13598200"/>
    <n v="7"/>
    <n v="252.28571428571428"/>
    <n v="1942600"/>
  </r>
  <r>
    <s v="Sugaberrio S.A.S"/>
    <s v="F085"/>
    <s v="F_La Castellana"/>
    <d v="2022-04-22T00:00:00"/>
    <x v="3"/>
    <d v="2022-04-24T00:00:00"/>
    <d v="2022-04-26T00:00:00"/>
    <n v="6721"/>
    <n v="7008147"/>
    <x v="1"/>
    <n v="5970"/>
    <n v="8100"/>
    <n v="48357000"/>
    <n v="30"/>
    <n v="199"/>
    <n v="1611900"/>
  </r>
  <r>
    <s v="Subagan S.A."/>
    <s v="F165"/>
    <s v="F_San Clemente"/>
    <d v="2022-04-25T00:00:00"/>
    <x v="3"/>
    <d v="2022-04-25T00:00:00"/>
    <d v="2022-07-26T00:00:00"/>
    <s v="MIC570"/>
    <n v="7008151"/>
    <x v="3"/>
    <n v="23210"/>
    <n v="7630"/>
    <n v="177092300"/>
    <n v="80"/>
    <n v="290.125"/>
    <n v="2213653.75"/>
  </r>
  <r>
    <s v="Paul Andres Rodriguez Sanchez"/>
    <s v="F049"/>
    <s v="F_El Rosario"/>
    <d v="2022-04-26T00:00:00"/>
    <x v="3"/>
    <d v="2022-04-26T00:00:00"/>
    <d v="2022-04-26T00:00:00"/>
    <s v="GCOR4"/>
    <n v="7008147"/>
    <x v="1"/>
    <n v="8857"/>
    <n v="9300"/>
    <n v="82370100"/>
    <n v="31"/>
    <n v="285.70967741935482"/>
    <n v="2657100"/>
  </r>
  <r>
    <s v="Sugaberrio S.A.S"/>
    <s v="F116"/>
    <s v="F_San Rafael"/>
    <d v="2022-04-20T00:00:00"/>
    <x v="3"/>
    <d v="2022-04-21T00:00:00"/>
    <d v="2022-04-27T00:00:00"/>
    <n v="10839"/>
    <n v="7008147"/>
    <x v="1"/>
    <n v="1290"/>
    <n v="9000"/>
    <n v="11610000"/>
    <n v="8"/>
    <n v="161.25"/>
    <n v="1451250"/>
  </r>
  <r>
    <s v="Sugaberrio S.A.S"/>
    <s v="F116"/>
    <s v="F_San Rafael"/>
    <d v="2022-04-20T00:00:00"/>
    <x v="3"/>
    <d v="2022-04-21T00:00:00"/>
    <d v="2022-04-27T00:00:00"/>
    <n v="10841"/>
    <n v="7008147"/>
    <x v="1"/>
    <n v="1274"/>
    <n v="9000"/>
    <n v="11466000"/>
    <n v="8"/>
    <n v="159.25"/>
    <n v="1433250"/>
  </r>
  <r>
    <s v="Sugaberrio S.A.S"/>
    <s v="F116"/>
    <s v="F_San Rafael"/>
    <d v="2022-04-20T00:00:00"/>
    <x v="3"/>
    <d v="2022-04-21T00:00:00"/>
    <d v="2022-04-27T00:00:00"/>
    <s v="P3167"/>
    <n v="7008147"/>
    <x v="1"/>
    <n v="159"/>
    <n v="9000"/>
    <n v="1431000"/>
    <n v="1"/>
    <n v="159"/>
    <n v="1431000"/>
  </r>
  <r>
    <s v="Sugaberrio S.A.S"/>
    <s v="F116"/>
    <s v="F_San Rafael"/>
    <d v="2022-04-20T00:00:00"/>
    <x v="3"/>
    <d v="2022-04-21T00:00:00"/>
    <d v="2022-04-27T00:00:00"/>
    <n v="10853"/>
    <n v="7008147"/>
    <x v="1"/>
    <n v="3911"/>
    <n v="9200"/>
    <n v="35981200"/>
    <n v="22"/>
    <n v="177.77272727272728"/>
    <n v="1635509.0909090908"/>
  </r>
  <r>
    <s v="Sugaberrio S.A.S"/>
    <s v="F116"/>
    <s v="F_San Rafael"/>
    <d v="2022-04-20T00:00:00"/>
    <x v="3"/>
    <d v="2022-04-21T00:00:00"/>
    <d v="2022-04-27T00:00:00"/>
    <n v="10895"/>
    <n v="7008147"/>
    <x v="1"/>
    <n v="1995"/>
    <n v="8700"/>
    <n v="17356500"/>
    <n v="11"/>
    <n v="181.36363636363637"/>
    <n v="1577863.6363636365"/>
  </r>
  <r>
    <s v="Sugaberrio S.A.S"/>
    <s v="F175"/>
    <s v="F_Mis Deseos"/>
    <d v="2022-04-21T00:00:00"/>
    <x v="3"/>
    <d v="2022-04-22T00:00:00"/>
    <d v="2022-04-27T00:00:00"/>
    <n v="6961"/>
    <n v="7008147"/>
    <x v="1"/>
    <n v="4627"/>
    <n v="9044.7374108493623"/>
    <n v="41850000"/>
    <n v="27"/>
    <n v="171.37037037037038"/>
    <n v="1550000"/>
  </r>
  <r>
    <s v="Sugaberrio S.A.S"/>
    <s v="F175"/>
    <s v="F_Mis Deseos"/>
    <d v="2022-04-21T00:00:00"/>
    <x v="3"/>
    <d v="2022-04-22T00:00:00"/>
    <d v="2022-04-27T00:00:00"/>
    <n v="6982"/>
    <n v="7008147"/>
    <x v="1"/>
    <n v="1946"/>
    <n v="9044.1932168550866"/>
    <n v="17600000"/>
    <n v="11"/>
    <n v="176.90909090909091"/>
    <n v="1600000"/>
  </r>
  <r>
    <s v="Sugaberrio S.A.S"/>
    <s v="F175"/>
    <s v="F_Mis Deseos"/>
    <d v="2022-04-21T00:00:00"/>
    <x v="3"/>
    <d v="2022-04-22T00:00:00"/>
    <d v="2022-04-27T00:00:00"/>
    <n v="6988"/>
    <n v="7008147"/>
    <x v="1"/>
    <n v="2212"/>
    <n v="8951.1754068716091"/>
    <n v="19800000"/>
    <n v="11"/>
    <n v="201.09090909090909"/>
    <n v="1800000"/>
  </r>
  <r>
    <s v="Sugaberrio S.A.S"/>
    <s v="F175"/>
    <s v="F_Mis Deseos"/>
    <d v="2022-04-21T00:00:00"/>
    <x v="3"/>
    <d v="2022-04-22T00:00:00"/>
    <d v="2022-04-27T00:00:00"/>
    <n v="6989"/>
    <n v="7008147"/>
    <x v="1"/>
    <n v="2684"/>
    <n v="9649.7764530551412"/>
    <n v="25900000"/>
    <n v="14"/>
    <n v="191.71428571428572"/>
    <n v="1850000"/>
  </r>
  <r>
    <s v="Sugaberrio S.A.S"/>
    <s v="F116"/>
    <s v="F_San Rafael"/>
    <d v="2022-04-25T00:00:00"/>
    <x v="3"/>
    <d v="2022-04-21T00:00:00"/>
    <d v="2022-04-27T00:00:00"/>
    <s v="FBC 13743"/>
    <n v="7008147"/>
    <x v="1"/>
    <n v="4412"/>
    <n v="8900"/>
    <n v="39266800"/>
    <n v="27"/>
    <n v="163.40740740740742"/>
    <n v="1454325.9259259258"/>
  </r>
  <r>
    <s v="Sugaberrio S.A.S"/>
    <s v="F143"/>
    <s v="F_Las Marias"/>
    <d v="2022-04-25T00:00:00"/>
    <x v="3"/>
    <d v="2022-04-27T00:00:00"/>
    <d v="2022-04-27T00:00:00"/>
    <s v="FBC 13744"/>
    <n v="7008147"/>
    <x v="1"/>
    <n v="6766"/>
    <n v="9120"/>
    <n v="61705920"/>
    <n v="42"/>
    <n v="161.0952380952381"/>
    <n v="1469188.5714285714"/>
  </r>
  <r>
    <s v="Subasta Ganadera Casanare S.A"/>
    <s v="F177"/>
    <s v="F_Santa Mónica"/>
    <d v="2022-04-21T00:00:00"/>
    <x v="3"/>
    <d v="2022-04-22T00:00:00"/>
    <d v="2022-04-27T00:00:00"/>
    <s v="FEC22640"/>
    <n v="7008146"/>
    <x v="0"/>
    <n v="2894"/>
    <n v="8153.7318590186596"/>
    <n v="23596900"/>
    <n v="9"/>
    <n v="321.55555555555554"/>
    <n v="2621877.777777778"/>
  </r>
  <r>
    <s v="Subasta Ganadera Casanare S.A"/>
    <s v="F177"/>
    <s v="F_Santa Mónica"/>
    <d v="2022-04-21T00:00:00"/>
    <x v="3"/>
    <d v="2022-04-22T00:00:00"/>
    <d v="2022-04-27T00:00:00"/>
    <s v="FEC22641"/>
    <n v="7008146"/>
    <x v="0"/>
    <n v="3134"/>
    <n v="8053.4460753031271"/>
    <n v="25239500"/>
    <n v="9"/>
    <n v="348.22222222222223"/>
    <n v="2804388.888888889"/>
  </r>
  <r>
    <s v="Subasta Ganadera Casanare S.A"/>
    <s v="F177"/>
    <s v="F_Santa Mónica"/>
    <d v="2022-04-21T00:00:00"/>
    <x v="3"/>
    <d v="2022-04-22T00:00:00"/>
    <d v="2022-04-27T00:00:00"/>
    <s v="FEC22649"/>
    <n v="7008146"/>
    <x v="0"/>
    <n v="2748"/>
    <n v="7403.9301310043666"/>
    <n v="20346000"/>
    <n v="9"/>
    <n v="305.33333333333331"/>
    <n v="2260666.6666666665"/>
  </r>
  <r>
    <s v="Subasta Ganadera Casanare S.A"/>
    <s v="F177"/>
    <s v="F_Santa Mónica"/>
    <d v="2022-04-21T00:00:00"/>
    <x v="3"/>
    <d v="2022-04-22T00:00:00"/>
    <d v="2022-04-27T00:00:00"/>
    <s v="FEC22661"/>
    <n v="7008146"/>
    <x v="0"/>
    <n v="5474"/>
    <n v="7853.5074899525025"/>
    <n v="42990100"/>
    <n v="16"/>
    <n v="342.125"/>
    <n v="2686881.25"/>
  </r>
  <r>
    <s v="Subastar S.A"/>
    <s v="F165"/>
    <s v="F_San Clemente"/>
    <d v="2022-04-22T00:00:00"/>
    <x v="3"/>
    <d v="2022-04-22T00:00:00"/>
    <d v="2022-04-27T00:00:00"/>
    <n v="7729"/>
    <n v="7008151"/>
    <x v="3"/>
    <n v="5375"/>
    <n v="7536.7499534883718"/>
    <n v="40510031"/>
    <n v="20"/>
    <n v="268.75"/>
    <n v="2025501.55"/>
  </r>
  <r>
    <s v="Subastar S.A"/>
    <s v="F165"/>
    <s v="F_San Clemente"/>
    <d v="2022-04-22T00:00:00"/>
    <x v="3"/>
    <d v="2022-04-22T00:00:00"/>
    <d v="2022-04-27T00:00:00"/>
    <n v="7730"/>
    <n v="7008151"/>
    <x v="3"/>
    <n v="5196"/>
    <n v="7536.75"/>
    <n v="39160953"/>
    <n v="20"/>
    <n v="259.8"/>
    <n v="1958047.65"/>
  </r>
  <r>
    <s v="Subagan S.A."/>
    <s v="F019"/>
    <s v="F_Jordan"/>
    <d v="2022-04-25T00:00:00"/>
    <x v="3"/>
    <d v="2022-04-25T00:00:00"/>
    <d v="2022-04-27T00:00:00"/>
    <s v="MIC571"/>
    <n v="7008146"/>
    <x v="0"/>
    <n v="12327"/>
    <n v="8756"/>
    <n v="107935212"/>
    <n v="32"/>
    <n v="385.21875"/>
    <n v="3372975.375"/>
  </r>
  <r>
    <s v="Hacienda Cansa La Vista S.A.S"/>
    <s v="F122"/>
    <s v="F_La Carolina"/>
    <d v="2022-04-26T00:00:00"/>
    <x v="3"/>
    <d v="2022-04-26T00:00:00"/>
    <d v="2022-04-28T00:00:00"/>
    <s v="FEV 27"/>
    <n v="7008147"/>
    <x v="1"/>
    <n v="1882"/>
    <n v="9500"/>
    <n v="17879000"/>
    <n v="8"/>
    <n v="235.25"/>
    <n v="2234875"/>
  </r>
  <r>
    <s v="Wilson Murillo"/>
    <s v="F071"/>
    <s v="F_Texas Araujo"/>
    <d v="2022-04-25T00:00:00"/>
    <x v="3"/>
    <d v="2022-04-28T00:00:00"/>
    <d v="2022-04-28T00:00:00"/>
    <s v="FE184"/>
    <n v="7008146"/>
    <x v="0"/>
    <n v="17992"/>
    <n v="8950"/>
    <n v="161028400"/>
    <n v="58"/>
    <n v="310.20689655172413"/>
    <n v="2776351.7241379311"/>
  </r>
  <r>
    <s v="CC Subasta Ganadera Del Sinu S.A.S"/>
    <s v="A148"/>
    <s v="A_El Tropezon"/>
    <d v="2022-04-26T00:00:00"/>
    <x v="3"/>
    <d v="2022-04-26T00:00:00"/>
    <d v="2022-04-29T00:00:00"/>
    <s v="AF63993"/>
    <n v="7008146"/>
    <x v="0"/>
    <n v="6266"/>
    <n v="8900"/>
    <n v="55767400"/>
    <n v="18"/>
    <n v="348.11111111111109"/>
    <n v="3098188.888888889"/>
  </r>
  <r>
    <s v="CC Subasta Ganadera Del Sinu S.A.S"/>
    <s v="A148"/>
    <s v="A_El Tropezon"/>
    <d v="2022-04-26T00:00:00"/>
    <x v="3"/>
    <d v="2022-04-26T00:00:00"/>
    <d v="2022-04-29T00:00:00"/>
    <s v="AF63974"/>
    <n v="7008146"/>
    <x v="0"/>
    <n v="5582"/>
    <n v="9150"/>
    <n v="51075300"/>
    <n v="17"/>
    <n v="328.35294117647061"/>
    <n v="3004429.411764706"/>
  </r>
  <r>
    <s v="CC Subasta Ganadera Del Sinu S.A.S"/>
    <s v="A148"/>
    <s v="A_El Tropezon"/>
    <d v="2022-04-26T00:00:00"/>
    <x v="3"/>
    <d v="2022-04-26T00:00:00"/>
    <d v="2022-04-29T00:00:00"/>
    <s v="AF63966"/>
    <n v="7008146"/>
    <x v="0"/>
    <n v="5542"/>
    <n v="9650"/>
    <n v="53480300"/>
    <n v="22"/>
    <n v="251.90909090909091"/>
    <n v="2430922.7272727271"/>
  </r>
  <r>
    <s v="Subagan S.A."/>
    <s v="F019"/>
    <s v="F_Jordan"/>
    <d v="2022-04-25T00:00:00"/>
    <x v="3"/>
    <d v="2022-04-25T00:00:00"/>
    <d v="2022-04-29T00:00:00"/>
    <s v="MIC569"/>
    <n v="7008151"/>
    <x v="3"/>
    <n v="17197"/>
    <n v="7747"/>
    <n v="133225159"/>
    <n v="54"/>
    <n v="318.46296296296299"/>
    <n v="2467132.5740740742"/>
  </r>
  <r>
    <s v="Subagan S.A."/>
    <s v="F019"/>
    <s v="F_Jordan"/>
    <d v="2022-05-27T00:00:00"/>
    <x v="4"/>
    <d v="2022-04-25T00:00:00"/>
    <d v="2022-04-29T00:00:00"/>
    <s v="MIC573"/>
    <n v="7008151"/>
    <x v="3"/>
    <n v="6081"/>
    <n v="7682"/>
    <n v="46714242"/>
    <n v="20"/>
    <n v="304.05"/>
    <n v="2335712.1"/>
  </r>
  <r>
    <s v="Subagan S.A."/>
    <s v="F019"/>
    <s v="F_Jordan"/>
    <d v="2022-05-27T00:00:00"/>
    <x v="4"/>
    <d v="2022-04-25T00:00:00"/>
    <d v="2022-04-29T00:00:00"/>
    <s v="MIC574"/>
    <n v="7008151"/>
    <x v="3"/>
    <n v="27508"/>
    <n v="7712"/>
    <n v="212141696"/>
    <n v="91"/>
    <n v="302.28571428571428"/>
    <n v="2331227.4285714286"/>
  </r>
  <r>
    <s v="Subasta Ganadera Casanare S.A"/>
    <s v="F177"/>
    <s v="F_Santa Mónica"/>
    <d v="2022-04-28T00:00:00"/>
    <x v="3"/>
    <d v="2022-04-29T00:00:00"/>
    <d v="2022-04-29T00:00:00"/>
    <s v="FEC22993"/>
    <n v="7008146"/>
    <x v="0"/>
    <n v="2288"/>
    <n v="8253.6713286713293"/>
    <n v="18884400"/>
    <n v="7"/>
    <n v="326.85714285714283"/>
    <n v="2697771.4285714286"/>
  </r>
  <r>
    <s v="Subasta Ganadera Casanare S.A"/>
    <s v="F177"/>
    <s v="F_Santa Mónica"/>
    <d v="2022-04-28T00:00:00"/>
    <x v="3"/>
    <d v="2022-04-29T00:00:00"/>
    <d v="2022-04-29T00:00:00"/>
    <s v="FEC23024"/>
    <n v="7008146"/>
    <x v="0"/>
    <n v="5620"/>
    <n v="8153.6298932384343"/>
    <n v="45823400"/>
    <n v="17"/>
    <n v="330.58823529411762"/>
    <n v="2695494.1176470588"/>
  </r>
  <r>
    <s v="Subasta Ganadera Casanare S.A"/>
    <s v="A035"/>
    <s v="A_Santa Ines"/>
    <d v="2022-04-28T00:00:00"/>
    <x v="3"/>
    <d v="2022-04-30T00:00:00"/>
    <d v="2022-04-29T00:00:00"/>
    <s v="FEC23001"/>
    <n v="7008146"/>
    <x v="0"/>
    <n v="3344"/>
    <n v="8252.5119617224882"/>
    <n v="27596400"/>
    <n v="7"/>
    <n v="477.71428571428572"/>
    <n v="3942342.8571428573"/>
  </r>
  <r>
    <s v="Subasta Ganadera Casanare S.A"/>
    <s v="A035"/>
    <s v="A_Santa Ines"/>
    <d v="2022-04-28T00:00:00"/>
    <x v="3"/>
    <d v="2022-04-30T00:00:00"/>
    <d v="2022-04-29T00:00:00"/>
    <s v="FEC23038"/>
    <n v="7008146"/>
    <x v="0"/>
    <n v="6304"/>
    <n v="8352.8553299492378"/>
    <n v="52656400"/>
    <n v="15"/>
    <n v="420.26666666666665"/>
    <n v="3510426.6666666665"/>
  </r>
  <r>
    <s v="Subasta Ganadera Casanare S.A"/>
    <s v="A035"/>
    <s v="A_Santa Ines"/>
    <d v="2022-04-28T00:00:00"/>
    <x v="3"/>
    <d v="2022-04-30T00:00:00"/>
    <d v="2022-04-29T00:00:00"/>
    <s v="FEC23053 "/>
    <n v="7008146"/>
    <x v="0"/>
    <n v="6920"/>
    <n v="8452.6011560693642"/>
    <n v="58492000"/>
    <n v="15"/>
    <n v="461.33333333333331"/>
    <n v="3899466.6666666665"/>
  </r>
  <r>
    <s v="Sugaberrio S.A.S"/>
    <s v="F116"/>
    <s v="F_San Rafael"/>
    <d v="2022-04-26T00:00:00"/>
    <x v="3"/>
    <d v="2022-04-27T00:00:00"/>
    <d v="2022-04-29T00:00:00"/>
    <s v="FAC7033"/>
    <n v="7008147"/>
    <x v="1"/>
    <n v="5586"/>
    <n v="9550"/>
    <n v="53346300"/>
    <n v="23"/>
    <n v="242.86956521739131"/>
    <n v="2319404.3478260869"/>
  </r>
  <r>
    <s v="Sugaberrio S.A.S"/>
    <s v="F116"/>
    <s v="F_San Rafael"/>
    <d v="2022-04-26T00:00:00"/>
    <x v="3"/>
    <d v="2022-04-27T00:00:00"/>
    <d v="2022-04-29T00:00:00"/>
    <s v="FAC7026"/>
    <n v="7008147"/>
    <x v="1"/>
    <n v="2063"/>
    <n v="8700"/>
    <n v="17948100"/>
    <n v="7"/>
    <n v="294.71428571428572"/>
    <n v="2564014.2857142859"/>
  </r>
  <r>
    <s v="Sugaberrio S.A.S"/>
    <s v="F116"/>
    <s v="F_San Rafael"/>
    <d v="2022-04-26T00:00:00"/>
    <x v="3"/>
    <d v="2022-04-27T00:00:00"/>
    <d v="2022-04-29T00:00:00"/>
    <s v="FAC7031"/>
    <n v="7008147"/>
    <x v="1"/>
    <n v="1647"/>
    <n v="9100"/>
    <n v="14987700"/>
    <n v="9"/>
    <n v="183"/>
    <n v="1665300"/>
  </r>
  <r>
    <s v="Sugaberrio S.A.S"/>
    <s v="F116"/>
    <s v="F_San Rafael"/>
    <d v="2022-04-26T00:00:00"/>
    <x v="3"/>
    <d v="2022-04-27T00:00:00"/>
    <d v="2022-04-29T00:00:00"/>
    <s v="FAC7034 "/>
    <n v="7008147"/>
    <x v="1"/>
    <n v="6508"/>
    <n v="9450"/>
    <n v="61500600"/>
    <n v="24"/>
    <n v="271.16666666666669"/>
    <n v="2562525"/>
  </r>
  <r>
    <s v="Sugaberrio S.A.S"/>
    <s v="F116"/>
    <s v="F_San Rafael"/>
    <d v="2022-04-26T00:00:00"/>
    <x v="3"/>
    <d v="2022-04-27T00:00:00"/>
    <d v="2022-04-29T00:00:00"/>
    <s v="FAC7050"/>
    <n v="7008147"/>
    <x v="1"/>
    <n v="977"/>
    <n v="9300"/>
    <n v="9086100"/>
    <n v="5"/>
    <n v="195.4"/>
    <n v="1817220"/>
  </r>
  <r>
    <s v="Subasta Ganadera Casanare S.A"/>
    <s v="F068"/>
    <s v="F_Guadalupe"/>
    <d v="2022-04-28T00:00:00"/>
    <x v="3"/>
    <d v="2022-04-28T00:00:00"/>
    <d v="2022-04-29T00:00:00"/>
    <n v="23041"/>
    <n v="7008146"/>
    <x v="0"/>
    <n v="5540"/>
    <n v="8503.0324909747287"/>
    <n v="47106800"/>
    <n v="14"/>
    <n v="395.71428571428572"/>
    <n v="3364771.4285714286"/>
  </r>
  <r>
    <s v="Subasta Ganadera Casanare S.A"/>
    <s v="F068"/>
    <s v="F_Guadalupe"/>
    <d v="2022-04-28T00:00:00"/>
    <x v="3"/>
    <d v="2022-04-28T00:00:00"/>
    <d v="2022-04-29T00:00:00"/>
    <n v="23023"/>
    <n v="7008146"/>
    <x v="0"/>
    <n v="5766"/>
    <n v="7953.537981269511"/>
    <n v="45860100"/>
    <n v="17"/>
    <n v="339.1764705882353"/>
    <n v="2697652.9411764704"/>
  </r>
  <r>
    <s v="Subasta Ganadera Casanare S.A"/>
    <s v="F068"/>
    <s v="F_Guadalupe"/>
    <d v="2022-04-28T00:00:00"/>
    <x v="3"/>
    <d v="2022-04-28T00:00:00"/>
    <d v="2022-04-29T00:00:00"/>
    <n v="23039"/>
    <n v="7008146"/>
    <x v="0"/>
    <n v="5574"/>
    <n v="8103.0139935414427"/>
    <n v="45166200"/>
    <n v="14"/>
    <n v="398.14285714285717"/>
    <n v="3226157.1428571427"/>
  </r>
  <r>
    <s v="Cencogan S.A.S"/>
    <s v="F019"/>
    <s v="F_Jordan"/>
    <d v="2022-04-28T00:00:00"/>
    <x v="3"/>
    <d v="2022-04-28T00:00:00"/>
    <d v="2022-04-29T00:00:00"/>
    <s v="C129795"/>
    <n v="7008146"/>
    <x v="0"/>
    <n v="6805"/>
    <n v="9050"/>
    <n v="61585250"/>
    <n v="17"/>
    <n v="400.29411764705884"/>
    <n v="3622661.7647058824"/>
  </r>
  <r>
    <s v="Cencogan S.A.S"/>
    <s v="F019"/>
    <s v="F_Jordan"/>
    <d v="2022-04-28T00:00:00"/>
    <x v="3"/>
    <d v="2022-04-28T00:00:00"/>
    <d v="2022-04-29T00:00:00"/>
    <s v="C129796"/>
    <n v="7008146"/>
    <x v="0"/>
    <n v="6847"/>
    <n v="9050"/>
    <n v="61965350"/>
    <n v="17"/>
    <n v="402.76470588235293"/>
    <n v="3645020.588235294"/>
  </r>
  <r>
    <s v="Subagan S.A."/>
    <s v="F116"/>
    <s v="F_San Rafael"/>
    <d v="2022-05-02T00:00:00"/>
    <x v="4"/>
    <d v="2022-05-04T00:00:00"/>
    <d v="2022-05-06T00:00:00"/>
    <s v="MIC581"/>
    <n v="7008147"/>
    <x v="1"/>
    <n v="16051"/>
    <n v="9717"/>
    <n v="155967567"/>
    <n v="66"/>
    <n v="243.19696969696969"/>
    <n v="2363144.9545454546"/>
  </r>
  <r>
    <s v="Juan Pablo Gutierrez Sanin"/>
    <s v="F007"/>
    <s v="F_El Caldero"/>
    <d v="2022-05-10T00:00:00"/>
    <x v="4"/>
    <d v="2022-05-10T00:00:00"/>
    <d v="2022-05-10T00:00:00"/>
    <s v="PNFE-143"/>
    <n v="7008146"/>
    <x v="0"/>
    <n v="23729"/>
    <n v="9300"/>
    <n v="220679700"/>
    <n v="70"/>
    <n v="338.98571428571427"/>
    <n v="3152567.1428571427"/>
  </r>
  <r>
    <s v="Sugaberrio S.A.S"/>
    <s v="F174"/>
    <s v="F_Villa Cristina"/>
    <d v="2022-05-09T00:00:00"/>
    <x v="4"/>
    <d v="2022-04-09T00:00:00"/>
    <d v="2022-05-10T00:00:00"/>
    <s v="FBC 14097"/>
    <n v="7008146"/>
    <x v="0"/>
    <n v="11832"/>
    <n v="8420"/>
    <n v="99625440"/>
    <n v="34"/>
    <n v="348"/>
    <n v="2930160"/>
  </r>
  <r>
    <s v="Sugaberrio S.A.S"/>
    <s v="F056"/>
    <s v="F_Las Delicias"/>
    <d v="2022-05-10T00:00:00"/>
    <x v="4"/>
    <d v="2022-05-11T00:00:00"/>
    <d v="2022-05-11T00:00:00"/>
    <s v="FAC7263"/>
    <n v="7008147"/>
    <x v="1"/>
    <n v="3714"/>
    <n v="9200"/>
    <n v="34168800"/>
    <n v="18"/>
    <n v="206.33333333333334"/>
    <n v="1898266.6666666667"/>
  </r>
  <r>
    <s v="Subagan S.A."/>
    <s v="F067"/>
    <s v="F_Guacharacas"/>
    <d v="2022-05-01T00:00:00"/>
    <x v="4"/>
    <d v="2022-05-01T00:00:00"/>
    <d v="2022-05-11T00:00:00"/>
    <s v="PAZC659"/>
    <n v="7008146"/>
    <x v="0"/>
    <n v="16101"/>
    <n v="8050"/>
    <n v="129613050"/>
    <n v="46"/>
    <n v="350.02173913043481"/>
    <n v="2817675"/>
  </r>
  <r>
    <s v="Henry Humberto Cano Avila"/>
    <s v="F196"/>
    <s v="F_Las Pampas"/>
    <d v="2022-05-10T00:00:00"/>
    <x v="4"/>
    <d v="2022-05-10T00:00:00"/>
    <d v="2022-05-11T00:00:00"/>
    <s v="FEHC-507"/>
    <n v="7008146"/>
    <x v="0"/>
    <n v="75025"/>
    <n v="8033.719430056648"/>
    <n v="602729800.24000001"/>
    <n v="217"/>
    <n v="345.73732718894007"/>
    <n v="2777556.6831336408"/>
  </r>
  <r>
    <s v="Henry Humberto Cano Avila"/>
    <s v="F196"/>
    <s v="F_Las Pampas"/>
    <d v="2022-05-11T00:00:00"/>
    <x v="4"/>
    <d v="2022-05-05T00:00:00"/>
    <d v="2022-05-11T00:00:00"/>
    <s v="FEHC-508"/>
    <n v="7008147"/>
    <x v="1"/>
    <n v="148030"/>
    <n v="8328.2753495912984"/>
    <n v="1232834600"/>
    <n v="528"/>
    <n v="280.3598484848485"/>
    <n v="2334914.0151515151"/>
  </r>
  <r>
    <s v="Wilson Murillo"/>
    <s v="F008"/>
    <s v="F_Tunez"/>
    <d v="2022-05-05T00:00:00"/>
    <x v="4"/>
    <d v="2022-05-05T00:00:00"/>
    <d v="2022-05-12T00:00:00"/>
    <s v="FE189"/>
    <n v="7008146"/>
    <x v="0"/>
    <n v="20130"/>
    <n v="9050"/>
    <n v="182176500"/>
    <n v="55"/>
    <n v="366"/>
    <n v="3312300"/>
  </r>
  <r>
    <s v="Sugaberrio S.A.S"/>
    <s v="F056"/>
    <s v="F_Las Delicias"/>
    <d v="2022-05-05T00:00:00"/>
    <x v="4"/>
    <d v="2022-05-07T00:00:00"/>
    <d v="2022-05-12T00:00:00"/>
    <n v="7177"/>
    <n v="7008147"/>
    <x v="1"/>
    <n v="1286"/>
    <n v="9300"/>
    <n v="11959800"/>
    <n v="7"/>
    <n v="183.71428571428572"/>
    <n v="1708542.857142857"/>
  </r>
  <r>
    <s v="Sugaberrio S.A.S"/>
    <s v="F056"/>
    <s v="F_Las Delicias"/>
    <d v="2022-05-05T00:00:00"/>
    <x v="4"/>
    <d v="2022-05-07T00:00:00"/>
    <d v="2022-05-12T00:00:00"/>
    <n v="7200"/>
    <n v="7008147"/>
    <x v="1"/>
    <n v="4926"/>
    <n v="9700"/>
    <n v="47782200"/>
    <n v="26"/>
    <n v="189.46153846153845"/>
    <n v="1837776.923076923"/>
  </r>
  <r>
    <s v="Sugaberrio S.A.S"/>
    <s v="F056"/>
    <s v="F_Las Delicias"/>
    <d v="2022-05-05T00:00:00"/>
    <x v="4"/>
    <d v="2022-05-07T00:00:00"/>
    <d v="2022-05-12T00:00:00"/>
    <n v="7197"/>
    <n v="7008147"/>
    <x v="1"/>
    <n v="3298"/>
    <n v="9278.350515463917"/>
    <n v="30600000"/>
    <n v="18"/>
    <n v="183.22222222222223"/>
    <n v="1700000"/>
  </r>
  <r>
    <s v="Sugaberrio S.A.S"/>
    <s v="F056"/>
    <s v="F_Las Delicias"/>
    <d v="2022-05-05T00:00:00"/>
    <x v="4"/>
    <d v="2022-05-07T00:00:00"/>
    <d v="2022-05-12T00:00:00"/>
    <n v="7193"/>
    <n v="7008147"/>
    <x v="1"/>
    <n v="5130"/>
    <n v="9200"/>
    <n v="47196000"/>
    <n v="30"/>
    <n v="171"/>
    <n v="1573200"/>
  </r>
  <r>
    <s v="Sugaberrio S.A.S"/>
    <s v="F056"/>
    <s v="F_Las Delicias"/>
    <d v="2022-05-06T00:00:00"/>
    <x v="4"/>
    <d v="2022-05-07T00:00:00"/>
    <d v="2022-05-12T00:00:00"/>
    <n v="6932"/>
    <n v="7008147"/>
    <x v="1"/>
    <n v="6369"/>
    <n v="9326.4248704663205"/>
    <n v="59400000"/>
    <n v="27"/>
    <n v="235.88888888888889"/>
    <n v="2200000"/>
  </r>
  <r>
    <s v="Sugaberrio S.A.S"/>
    <s v="F056"/>
    <s v="F_Las Delicias"/>
    <d v="2022-05-06T00:00:00"/>
    <x v="4"/>
    <d v="2022-05-07T00:00:00"/>
    <d v="2022-05-12T00:00:00"/>
    <n v="6931"/>
    <n v="7008147"/>
    <x v="1"/>
    <n v="3241"/>
    <n v="9028.0777537796985"/>
    <n v="29260000"/>
    <n v="19"/>
    <n v="170.57894736842104"/>
    <n v="1540000"/>
  </r>
  <r>
    <s v="Sugaberrio S.A.S"/>
    <s v="F056"/>
    <s v="F_Las Delicias"/>
    <d v="2022-05-06T00:00:00"/>
    <x v="4"/>
    <d v="2022-05-07T00:00:00"/>
    <d v="2022-05-12T00:00:00"/>
    <n v="6948"/>
    <n v="7008147"/>
    <x v="1"/>
    <n v="980"/>
    <n v="8316.3265306122448"/>
    <n v="8150000"/>
    <n v="5"/>
    <n v="196"/>
    <n v="1630000"/>
  </r>
  <r>
    <s v="Sugaberrio S.A.S"/>
    <s v="F174"/>
    <s v="F_Villa Cristina"/>
    <d v="2022-05-05T00:00:00"/>
    <x v="4"/>
    <d v="2022-05-06T00:00:00"/>
    <d v="2022-05-12T00:00:00"/>
    <s v="FAC7207"/>
    <n v="7008146"/>
    <x v="0"/>
    <n v="4482"/>
    <n v="8700"/>
    <n v="38993400"/>
    <n v="15"/>
    <n v="298.8"/>
    <n v="2599560"/>
  </r>
  <r>
    <s v="Sugaberrio S.A.S"/>
    <s v="F136"/>
    <s v="F_San Martin"/>
    <d v="2022-05-09T00:00:00"/>
    <x v="4"/>
    <d v="2022-05-09T00:00:00"/>
    <d v="2022-05-12T00:00:00"/>
    <s v="FBC14098"/>
    <n v="7008146"/>
    <x v="0"/>
    <n v="28728"/>
    <n v="8670"/>
    <n v="249071760"/>
    <n v="104"/>
    <n v="276.23076923076923"/>
    <n v="2394920.769230769"/>
  </r>
  <r>
    <s v="Subasta Ganadera Casanare S.A"/>
    <s v="F171"/>
    <s v="F_Yacare"/>
    <d v="2022-05-07T00:00:00"/>
    <x v="4"/>
    <d v="2022-05-09T00:00:00"/>
    <d v="2022-05-12T00:00:00"/>
    <s v="FEC23462"/>
    <n v="7008146"/>
    <x v="0"/>
    <n v="4140"/>
    <n v="8302.608695652174"/>
    <n v="34372800"/>
    <n v="9"/>
    <n v="460"/>
    <n v="3819200"/>
  </r>
  <r>
    <s v="Henry Humberto Cano Avila"/>
    <s v="F197"/>
    <s v="F_El Arbolito"/>
    <d v="2022-05-10T00:00:00"/>
    <x v="4"/>
    <d v="2022-05-05T00:00:00"/>
    <d v="2022-05-11T00:00:00"/>
    <s v="FEHC-506"/>
    <n v="7008146"/>
    <x v="0"/>
    <n v="90730"/>
    <n v="8100"/>
    <n v="734913000"/>
    <n v="218"/>
    <n v="416.1926605504587"/>
    <n v="3371160.5504587158"/>
  </r>
  <r>
    <s v="Subastar S.A"/>
    <s v="A195"/>
    <s v="A_Linda Loma"/>
    <d v="2022-05-05T00:00:00"/>
    <x v="4"/>
    <d v="2022-05-11T00:00:00"/>
    <d v="2022-05-13T00:00:00"/>
    <n v="7816"/>
    <n v="7008147"/>
    <x v="1"/>
    <n v="12279"/>
    <n v="9848.0200342047392"/>
    <n v="120923838"/>
    <n v="42"/>
    <n v="292.35714285714283"/>
    <n v="2879139"/>
  </r>
  <r>
    <s v="Subastar S.A"/>
    <s v="A195"/>
    <s v="A_Linda Loma"/>
    <d v="2022-05-05T00:00:00"/>
    <x v="4"/>
    <d v="2022-05-11T00:00:00"/>
    <d v="2022-05-13T00:00:00"/>
    <n v="7818"/>
    <n v="7008147"/>
    <x v="1"/>
    <n v="11383"/>
    <n v="10049"/>
    <n v="114387767"/>
    <n v="40"/>
    <n v="284.57499999999999"/>
    <n v="2859694.1749999998"/>
  </r>
  <r>
    <s v="Subastar S.A"/>
    <s v="A195"/>
    <s v="A_Linda Loma"/>
    <d v="2022-05-04T00:00:00"/>
    <x v="4"/>
    <d v="2022-05-11T00:00:00"/>
    <d v="2022-05-13T00:00:00"/>
    <n v="7803"/>
    <n v="7008147"/>
    <x v="1"/>
    <n v="5374"/>
    <n v="9446.0599181243015"/>
    <n v="50763126"/>
    <n v="20"/>
    <n v="268.7"/>
    <n v="2538156.2999999998"/>
  </r>
  <r>
    <s v="Subastar S.A"/>
    <s v="A195"/>
    <s v="A_Linda Loma"/>
    <d v="2022-05-04T00:00:00"/>
    <x v="4"/>
    <d v="2022-05-11T00:00:00"/>
    <d v="2022-05-13T00:00:00"/>
    <n v="7804"/>
    <n v="7008147"/>
    <x v="1"/>
    <n v="5342"/>
    <n v="9395.8150505428675"/>
    <n v="50192444"/>
    <n v="20"/>
    <n v="267.10000000000002"/>
    <n v="2509622.2000000002"/>
  </r>
  <r>
    <s v="Subastar S.A"/>
    <s v="A195"/>
    <s v="A_Linda Loma"/>
    <d v="2022-05-04T00:00:00"/>
    <x v="4"/>
    <d v="2022-05-11T00:00:00"/>
    <d v="2022-05-13T00:00:00"/>
    <n v="7810"/>
    <n v="7008147"/>
    <x v="1"/>
    <n v="11112"/>
    <n v="9898.2650287976958"/>
    <n v="109989521"/>
    <n v="40"/>
    <n v="277.8"/>
    <n v="2749738.0249999999"/>
  </r>
  <r>
    <s v="Agronegocios JAR S.A.S Zomac"/>
    <s v="A148"/>
    <s v="A_El Tropezon"/>
    <d v="2022-05-11T00:00:00"/>
    <x v="4"/>
    <d v="2022-05-11T00:00:00"/>
    <d v="2022-05-13T00:00:00"/>
    <s v="AG-64"/>
    <n v="7008146"/>
    <x v="0"/>
    <n v="12890"/>
    <n v="9260"/>
    <n v="119361400"/>
    <n v="30"/>
    <n v="429.66666666666669"/>
    <n v="3978713.3333333335"/>
  </r>
  <r>
    <s v="Wilson Murillo"/>
    <s v="F071"/>
    <s v="F_Texas Araujo"/>
    <d v="2022-05-09T00:00:00"/>
    <x v="4"/>
    <d v="2022-05-13T00:00:00"/>
    <d v="2022-05-13T00:00:00"/>
    <s v="FE190"/>
    <n v="7008146"/>
    <x v="0"/>
    <n v="19069"/>
    <n v="9100"/>
    <n v="173527900"/>
    <n v="54"/>
    <n v="353.12962962962962"/>
    <n v="3213479.6296296297"/>
  </r>
  <r>
    <s v="Lecheria San Diego S.A.S Zomac"/>
    <s v="F116"/>
    <s v="F_San Rafael"/>
    <d v="2022-05-13T00:00:00"/>
    <x v="4"/>
    <d v="2022-05-10T00:00:00"/>
    <d v="2022-05-13T00:00:00"/>
    <s v="LSD-99"/>
    <n v="7008147"/>
    <x v="1"/>
    <n v="6281"/>
    <n v="9500"/>
    <n v="59669500"/>
    <n v="30"/>
    <n v="209.36666666666667"/>
    <n v="1988983.3333333333"/>
  </r>
  <r>
    <s v="Subasta Ganadera Casanare S.A"/>
    <s v="A035"/>
    <s v="A_Santa Ines"/>
    <d v="2022-05-12T00:00:00"/>
    <x v="4"/>
    <d v="2022-05-14T00:00:00"/>
    <d v="2022-05-16T00:00:00"/>
    <s v="FEC23782"/>
    <n v="7008146"/>
    <x v="0"/>
    <n v="6520"/>
    <n v="8602.7607361963182"/>
    <n v="56090000"/>
    <n v="15"/>
    <n v="434.66666666666669"/>
    <n v="3739333.3333333335"/>
  </r>
  <r>
    <s v="Subasta Ganadera Casanare S.A"/>
    <s v="A035"/>
    <s v="A_Santa Ines"/>
    <d v="2022-05-12T00:00:00"/>
    <x v="4"/>
    <d v="2022-05-14T00:00:00"/>
    <d v="2022-05-16T00:00:00"/>
    <s v="FEC27790"/>
    <n v="7008146"/>
    <x v="0"/>
    <n v="6760"/>
    <n v="8552.6627218934918"/>
    <n v="57816000"/>
    <n v="15"/>
    <n v="450.66666666666669"/>
    <n v="3854400"/>
  </r>
  <r>
    <s v="Subasta Ganadera Casanare S.A"/>
    <s v="A035"/>
    <s v="A_Santa Ines"/>
    <d v="2022-05-12T00:00:00"/>
    <x v="4"/>
    <d v="2022-05-14T00:00:00"/>
    <d v="2022-05-16T00:00:00"/>
    <s v="FEC23791"/>
    <n v="7008146"/>
    <x v="0"/>
    <n v="6180"/>
    <n v="8454.3689320388348"/>
    <n v="52248000"/>
    <n v="15"/>
    <n v="412"/>
    <n v="3483200"/>
  </r>
  <r>
    <s v="Subastar S.A"/>
    <s v="F165"/>
    <s v="F_San Clemente"/>
    <d v="2022-05-03T00:00:00"/>
    <x v="4"/>
    <d v="2022-05-03T00:00:00"/>
    <d v="2022-05-16T00:00:00"/>
    <n v="7795"/>
    <n v="7008151"/>
    <x v="3"/>
    <n v="5657"/>
    <n v="7235"/>
    <n v="40928395"/>
    <n v="20"/>
    <n v="282.85000000000002"/>
    <n v="2046419.75"/>
  </r>
  <r>
    <s v="Sugaberrio S.A.S"/>
    <s v="F151"/>
    <s v="F_El Playon"/>
    <d v="2022-05-12T00:00:00"/>
    <x v="4"/>
    <d v="2022-05-14T00:00:00"/>
    <d v="2022-05-16T00:00:00"/>
    <s v="FBC14099"/>
    <n v="7008147"/>
    <x v="1"/>
    <n v="6152"/>
    <n v="9020"/>
    <n v="55491040"/>
    <n v="24"/>
    <n v="256.33333333333331"/>
    <n v="2312126.6666666665"/>
  </r>
  <r>
    <s v="Subagan S.A."/>
    <s v="F165"/>
    <s v="F_San Clemente"/>
    <d v="2022-05-04T00:00:00"/>
    <x v="4"/>
    <d v="2022-05-04T00:00:00"/>
    <d v="2022-05-16T00:00:00"/>
    <n v="27400"/>
    <n v="7008151"/>
    <x v="3"/>
    <n v="5062"/>
    <n v="7650"/>
    <n v="38724300"/>
    <n v="16"/>
    <n v="316.375"/>
    <n v="2420268.75"/>
  </r>
  <r>
    <s v="Subagan S.A."/>
    <s v="F165"/>
    <s v="F_San Clemente"/>
    <d v="2022-05-04T00:00:00"/>
    <x v="4"/>
    <d v="2022-05-04T00:00:00"/>
    <d v="2022-05-16T00:00:00"/>
    <n v="27415"/>
    <n v="7008151"/>
    <x v="3"/>
    <n v="2728"/>
    <n v="7700"/>
    <n v="21005600"/>
    <n v="11"/>
    <n v="248"/>
    <n v="1909600"/>
  </r>
  <r>
    <s v="Subagan S.A."/>
    <s v="F165"/>
    <s v="F_San Clemente"/>
    <d v="2022-05-04T00:00:00"/>
    <x v="4"/>
    <d v="2022-05-04T00:00:00"/>
    <d v="2022-05-16T00:00:00"/>
    <n v="27420"/>
    <n v="7008151"/>
    <x v="3"/>
    <n v="6202"/>
    <n v="7750"/>
    <n v="48065500"/>
    <n v="20"/>
    <n v="310.10000000000002"/>
    <n v="2403275"/>
  </r>
  <r>
    <s v="Subagan S.A."/>
    <s v="F165"/>
    <s v="F_San Clemente"/>
    <d v="2022-05-04T00:00:00"/>
    <x v="4"/>
    <d v="2022-05-04T00:00:00"/>
    <d v="2022-05-16T00:00:00"/>
    <n v="27451"/>
    <n v="7008151"/>
    <x v="3"/>
    <n v="3410"/>
    <n v="7550"/>
    <n v="25745500"/>
    <n v="12"/>
    <n v="284.16666666666669"/>
    <n v="2145458.3333333335"/>
  </r>
  <r>
    <s v="Subagan S.A."/>
    <s v="F165"/>
    <s v="F_San Clemente"/>
    <d v="2022-05-04T00:00:00"/>
    <x v="4"/>
    <d v="2022-05-04T00:00:00"/>
    <d v="2022-05-16T00:00:00"/>
    <n v="27455"/>
    <n v="7008151"/>
    <x v="3"/>
    <n v="3052"/>
    <n v="7500"/>
    <n v="22890000"/>
    <n v="10"/>
    <n v="305.2"/>
    <n v="2289000"/>
  </r>
  <r>
    <s v="Subagan S.A."/>
    <s v="F165"/>
    <s v="F_San Clemente"/>
    <d v="2022-05-04T00:00:00"/>
    <x v="4"/>
    <d v="2022-05-04T00:00:00"/>
    <d v="2022-05-16T00:00:00"/>
    <n v="27456"/>
    <n v="7008151"/>
    <x v="3"/>
    <n v="5076"/>
    <n v="7600"/>
    <n v="38577600"/>
    <n v="16"/>
    <n v="317.25"/>
    <n v="2411100"/>
  </r>
  <r>
    <s v="Subagan S.A."/>
    <s v="F165"/>
    <s v="F_San Clemente"/>
    <d v="2022-05-04T00:00:00"/>
    <x v="4"/>
    <d v="2022-05-04T00:00:00"/>
    <d v="2022-05-16T00:00:00"/>
    <n v="27465"/>
    <n v="7008151"/>
    <x v="3"/>
    <n v="4584"/>
    <n v="7600"/>
    <n v="34838400"/>
    <n v="14"/>
    <n v="327.42857142857144"/>
    <n v="2488457.1428571427"/>
  </r>
  <r>
    <s v="Subastar S.A"/>
    <s v="F056"/>
    <s v="F_Las Delicias"/>
    <d v="2022-05-10T00:00:00"/>
    <x v="4"/>
    <d v="2022-05-11T00:00:00"/>
    <d v="2022-05-17T00:00:00"/>
    <s v="L1 2648"/>
    <n v="7008147"/>
    <x v="1"/>
    <n v="6124"/>
    <n v="9145"/>
    <n v="56001469"/>
    <n v="25"/>
    <n v="244.96"/>
    <n v="2240058.7599999998"/>
  </r>
  <r>
    <s v="Sugaberrio S.A.S"/>
    <s v="F175"/>
    <s v="F_Mis Deseos"/>
    <d v="2022-05-13T00:00:00"/>
    <x v="4"/>
    <d v="2022-05-14T00:00:00"/>
    <d v="2022-05-17T00:00:00"/>
    <s v="FAC7379"/>
    <n v="7008147"/>
    <x v="1"/>
    <n v="4106"/>
    <n v="9200"/>
    <n v="37775200"/>
    <n v="17"/>
    <n v="241.52941176470588"/>
    <n v="2222070.588235294"/>
  </r>
  <r>
    <s v="Subagan S.A."/>
    <s v="A019"/>
    <s v="A_Jordan"/>
    <d v="2022-05-04T00:00:00"/>
    <x v="4"/>
    <d v="2022-05-09T00:00:00"/>
    <d v="2022-05-17T00:00:00"/>
    <s v="PRC27422"/>
    <n v="7008147"/>
    <x v="1"/>
    <n v="6046"/>
    <n v="9750"/>
    <n v="58948500"/>
    <n v="20"/>
    <n v="302.3"/>
    <n v="2947425"/>
  </r>
  <r>
    <s v="Subagan S.A."/>
    <s v="F019"/>
    <s v="F_Jordan"/>
    <d v="2022-05-12T00:00:00"/>
    <x v="4"/>
    <d v="2022-05-12T00:00:00"/>
    <d v="2022-05-17T00:00:00"/>
    <s v="MIC586"/>
    <n v="7008146"/>
    <x v="0"/>
    <n v="12861"/>
    <n v="9050"/>
    <n v="116392050"/>
    <n v="31"/>
    <n v="414.87096774193549"/>
    <n v="3754582.2580645164"/>
  </r>
  <r>
    <s v="Subagan S.A."/>
    <s v="F019"/>
    <s v="F_Jordan"/>
    <d v="2022-05-12T00:00:00"/>
    <x v="4"/>
    <d v="2022-05-12T00:00:00"/>
    <d v="2022-05-17T00:00:00"/>
    <s v="MIC587"/>
    <n v="7008146"/>
    <x v="0"/>
    <n v="3804"/>
    <n v="9510"/>
    <n v="36176040"/>
    <n v="13"/>
    <n v="292.61538461538464"/>
    <n v="2782772.3076923075"/>
  </r>
  <r>
    <s v="Subagan S.A."/>
    <s v="F165"/>
    <s v="F_San Clemente"/>
    <d v="2022-05-12T00:00:00"/>
    <x v="4"/>
    <d v="2022-05-12T00:00:00"/>
    <d v="2022-05-17T00:00:00"/>
    <s v="MIC585"/>
    <n v="7008151"/>
    <x v="3"/>
    <n v="15914"/>
    <n v="7844"/>
    <n v="124829416"/>
    <n v="60"/>
    <n v="265.23333333333335"/>
    <n v="2080490.2666666666"/>
  </r>
  <r>
    <s v="Agronegocios JAR S.A.S Zomac"/>
    <s v="F019"/>
    <s v="F_Jordan"/>
    <d v="2022-05-14T00:00:00"/>
    <x v="4"/>
    <d v="2022-05-14T00:00:00"/>
    <d v="2022-05-19T00:00:00"/>
    <s v="AG-65"/>
    <n v="7008146"/>
    <x v="0"/>
    <n v="27919"/>
    <n v="9400"/>
    <n v="262438600"/>
    <n v="62"/>
    <n v="450.30645161290323"/>
    <n v="4232880.6451612907"/>
  </r>
  <r>
    <s v="Sugaberrio S.A.S"/>
    <s v="F140"/>
    <s v="F_Gualanday"/>
    <d v="2022-05-12T00:00:00"/>
    <x v="4"/>
    <d v="2022-05-13T00:00:00"/>
    <d v="2022-05-19T00:00:00"/>
    <s v="FAC7307"/>
    <n v="7008147"/>
    <x v="1"/>
    <n v="2126"/>
    <n v="9300"/>
    <n v="19771800"/>
    <n v="10"/>
    <n v="212.6"/>
    <n v="1977180"/>
  </r>
  <r>
    <s v="Sugaberrio S.A.S"/>
    <s v="F140"/>
    <s v="F_Gualanday"/>
    <d v="2022-05-12T00:00:00"/>
    <x v="4"/>
    <d v="2022-05-13T00:00:00"/>
    <d v="2022-05-19T00:00:00"/>
    <s v="FAC7312 "/>
    <n v="7008147"/>
    <x v="1"/>
    <n v="3565"/>
    <n v="9000"/>
    <n v="32085000"/>
    <n v="13"/>
    <n v="274.23076923076923"/>
    <n v="2468076.923076923"/>
  </r>
  <r>
    <s v="Sugaberrio S.A.S"/>
    <s v="F140"/>
    <s v="F_Gualanday"/>
    <d v="2022-05-12T00:00:00"/>
    <x v="4"/>
    <d v="2022-05-13T00:00:00"/>
    <d v="2022-05-19T00:00:00"/>
    <s v="FAC7314"/>
    <n v="7008147"/>
    <x v="1"/>
    <n v="3272"/>
    <n v="9100"/>
    <n v="29775200"/>
    <n v="12"/>
    <n v="272.66666666666669"/>
    <n v="2481266.6666666665"/>
  </r>
  <r>
    <s v="Subagan S.A."/>
    <s v="F193"/>
    <s v="F_El Milagro"/>
    <d v="2022-02-15T00:00:00"/>
    <x v="1"/>
    <d v="2022-05-12T00:00:00"/>
    <d v="2022-05-19T00:00:00"/>
    <s v="MIC596"/>
    <n v="7008151"/>
    <x v="3"/>
    <n v="14946"/>
    <n v="7950"/>
    <n v="118820700"/>
    <n v="60"/>
    <n v="249.1"/>
    <n v="1980345"/>
  </r>
  <r>
    <s v="Subastar S.A"/>
    <s v="F140"/>
    <s v="F_Gualanday"/>
    <d v="2022-05-17T00:00:00"/>
    <x v="4"/>
    <d v="2022-05-17T00:00:00"/>
    <d v="2022-05-20T00:00:00"/>
    <n v="2678"/>
    <n v="7008147"/>
    <x v="1"/>
    <n v="3595"/>
    <n v="8943.6100139082064"/>
    <n v="32152278"/>
    <n v="13"/>
    <n v="276.53846153846155"/>
    <n v="2473252.153846154"/>
  </r>
  <r>
    <s v="Subastar S.A"/>
    <s v="F140"/>
    <s v="F_Gualanday"/>
    <d v="2022-05-17T00:00:00"/>
    <x v="4"/>
    <d v="2022-05-17T00:00:00"/>
    <d v="2022-05-20T00:00:00"/>
    <n v="2671"/>
    <n v="7008147"/>
    <x v="1"/>
    <n v="248"/>
    <n v="8843.1209677419356"/>
    <n v="2193094"/>
    <n v="1"/>
    <n v="248"/>
    <n v="2193094"/>
  </r>
  <r>
    <s v="Subastar S.A"/>
    <s v="F140"/>
    <s v="F_Gualanday"/>
    <d v="2022-05-17T00:00:00"/>
    <x v="4"/>
    <d v="2022-05-17T00:00:00"/>
    <d v="2022-05-20T00:00:00"/>
    <n v="2670"/>
    <n v="7008147"/>
    <x v="1"/>
    <n v="5233"/>
    <n v="9044.099942671508"/>
    <n v="47327775"/>
    <n v="25"/>
    <n v="209.32"/>
    <n v="1893111"/>
  </r>
  <r>
    <s v="Subastar S.A"/>
    <s v="F140"/>
    <s v="F_Gualanday"/>
    <d v="2022-05-17T00:00:00"/>
    <x v="4"/>
    <d v="2022-05-17T00:00:00"/>
    <d v="2022-05-20T00:00:00"/>
    <n v="2675"/>
    <n v="7008147"/>
    <x v="1"/>
    <n v="6657"/>
    <n v="9044.1000450653446"/>
    <n v="60206574"/>
    <n v="25"/>
    <n v="266.27999999999997"/>
    <n v="2408262.96"/>
  </r>
  <r>
    <s v="Subastar S.A"/>
    <s v="F140"/>
    <s v="F_Gualanday"/>
    <d v="2022-05-17T00:00:00"/>
    <x v="4"/>
    <d v="2022-05-18T00:00:00"/>
    <d v="2022-05-20T00:00:00"/>
    <s v="L1 2679"/>
    <n v="7008146"/>
    <x v="0"/>
    <n v="1480"/>
    <n v="8541.65"/>
    <n v="12641642"/>
    <n v="4"/>
    <n v="370"/>
    <n v="3160410.5"/>
  </r>
  <r>
    <s v="Carlos Alberto Vergara Curi "/>
    <s v="F159"/>
    <s v="F_Totumito"/>
    <d v="2022-05-18T00:00:00"/>
    <x v="4"/>
    <d v="2022-05-18T00:00:00"/>
    <d v="2022-05-20T00:00:00"/>
    <s v="FE-21"/>
    <n v="7008147"/>
    <x v="1"/>
    <n v="5530"/>
    <n v="9900"/>
    <n v="54747000"/>
    <n v="21"/>
    <n v="263.33333333333331"/>
    <n v="2607000"/>
  </r>
  <r>
    <s v="Inversiones Valledupar S.A.S"/>
    <s v="F110"/>
    <s v="F_Santa Elena"/>
    <d v="2022-05-17T00:00:00"/>
    <x v="4"/>
    <d v="2022-05-19T00:00:00"/>
    <d v="2022-05-21T00:00:00"/>
    <s v="FE-80"/>
    <n v="7008147"/>
    <x v="1"/>
    <n v="20869"/>
    <n v="9800"/>
    <n v="204516200"/>
    <n v="145"/>
    <n v="143.92413793103449"/>
    <n v="1410456.551724138"/>
  </r>
  <r>
    <s v="Sugaberrio S.A.S"/>
    <s v="F161"/>
    <s v="F_Los Santos"/>
    <d v="2022-05-19T00:00:00"/>
    <x v="4"/>
    <d v="2022-05-19T00:00:00"/>
    <d v="2022-05-21T00:00:00"/>
    <s v="FBC 14447"/>
    <n v="7008147"/>
    <x v="1"/>
    <n v="6071"/>
    <n v="9370"/>
    <n v="56885270"/>
    <n v="25"/>
    <n v="242.84"/>
    <n v="2275410.7999999998"/>
  </r>
  <r>
    <s v="Inversiones El Diamante H.M S.A.S"/>
    <s v="F096"/>
    <s v="F_El Diamante"/>
    <d v="2022-05-20T00:00:00"/>
    <x v="4"/>
    <d v="2022-05-20T00:00:00"/>
    <d v="2022-05-21T00:00:00"/>
    <s v="FE 168"/>
    <n v="7008459"/>
    <x v="2"/>
    <n v="756"/>
    <n v="15200"/>
    <n v="11491200"/>
    <n v="11"/>
    <n v="68.727272727272734"/>
    <n v="1044654.5454545454"/>
  </r>
  <r>
    <s v="Sociedad Agricola De Dibulla LTDA"/>
    <s v="F096"/>
    <s v="F_El Diamante"/>
    <d v="2022-05-18T00:00:00"/>
    <x v="4"/>
    <d v="2022-05-20T00:00:00"/>
    <d v="2022-05-21T00:00:00"/>
    <s v="SAD5496"/>
    <n v="7008146"/>
    <x v="0"/>
    <n v="5615"/>
    <n v="9000"/>
    <n v="50535000"/>
    <n v="20"/>
    <n v="280.75"/>
    <n v="2526750"/>
  </r>
  <r>
    <s v="Origen Genetica y Avanzada S.A.S"/>
    <s v="F096"/>
    <s v="F_El Diamante"/>
    <d v="2022-05-19T00:00:00"/>
    <x v="4"/>
    <d v="2022-05-20T00:00:00"/>
    <d v="2022-05-21T00:00:00"/>
    <s v="SC627 "/>
    <n v="7008147"/>
    <x v="1"/>
    <n v="2448"/>
    <n v="9145.5"/>
    <n v="22388184"/>
    <n v="9"/>
    <n v="272"/>
    <n v="2487576"/>
  </r>
  <r>
    <s v="Origen Genetica y Avanzada S.A.S"/>
    <s v="F096"/>
    <s v="F_El Diamante"/>
    <d v="2022-05-19T00:00:00"/>
    <x v="4"/>
    <d v="2022-05-20T00:00:00"/>
    <d v="2022-05-21T00:00:00"/>
    <s v="SC628"/>
    <n v="7008147"/>
    <x v="1"/>
    <n v="2622"/>
    <n v="9045"/>
    <n v="23715990"/>
    <n v="10"/>
    <n v="262.2"/>
    <n v="2371599"/>
  </r>
  <r>
    <s v="Subagan S.A."/>
    <s v="A019"/>
    <s v="A_Jordan"/>
    <d v="2022-05-13T00:00:00"/>
    <x v="4"/>
    <d v="2022-05-13T00:00:00"/>
    <d v="2022-05-23T00:00:00"/>
    <s v="MIC589"/>
    <n v="7008147"/>
    <x v="1"/>
    <n v="7926"/>
    <n v="9350"/>
    <n v="74108100"/>
    <n v="25"/>
    <n v="317.04000000000002"/>
    <n v="2964324"/>
  </r>
  <r>
    <s v="Sugaberrio S.A.S"/>
    <s v="F174"/>
    <s v="F_Villa Cristina"/>
    <d v="2022-05-19T00:00:00"/>
    <x v="4"/>
    <d v="2022-05-18T00:00:00"/>
    <d v="2022-05-23T00:00:00"/>
    <s v="FBC14446"/>
    <n v="7008146"/>
    <x v="0"/>
    <n v="11874"/>
    <n v="8820"/>
    <n v="104728680"/>
    <n v="36"/>
    <n v="329.83333333333331"/>
    <n v="2909130"/>
  </r>
  <r>
    <s v="Subagan S.A."/>
    <s v="F193"/>
    <s v="F_El Milagro"/>
    <d v="2022-05-20T00:00:00"/>
    <x v="4"/>
    <d v="2022-05-20T00:00:00"/>
    <d v="2022-05-23T00:00:00"/>
    <s v="MIC-600"/>
    <n v="7008151"/>
    <x v="3"/>
    <n v="16426"/>
    <n v="7900"/>
    <n v="129765400"/>
    <n v="60"/>
    <n v="273.76666666666665"/>
    <n v="2162756.6666666665"/>
  </r>
  <r>
    <s v="Subagan S.A."/>
    <s v="F193"/>
    <s v="F_El Milagro"/>
    <d v="2022-05-20T00:00:00"/>
    <x v="4"/>
    <d v="2022-05-20T00:00:00"/>
    <d v="2022-05-23T00:00:00"/>
    <s v="MIC601"/>
    <n v="7008151"/>
    <x v="3"/>
    <n v="6076"/>
    <n v="7900"/>
    <n v="48000400"/>
    <n v="21"/>
    <n v="289.33333333333331"/>
    <n v="2285733.3333333335"/>
  </r>
  <r>
    <s v="Subasta Ganadera Casanare S.A"/>
    <s v="A035"/>
    <s v="A_Santa Ines"/>
    <d v="2022-05-19T00:00:00"/>
    <x v="4"/>
    <d v="2022-05-21T00:00:00"/>
    <d v="2022-05-20T00:00:00"/>
    <s v="FEC24145"/>
    <n v="7008146"/>
    <x v="0"/>
    <n v="6780"/>
    <n v="8302.6548672566369"/>
    <n v="56292000"/>
    <n v="15"/>
    <n v="452"/>
    <n v="3752800"/>
  </r>
  <r>
    <s v="Subasta Ganadera Casanare S.A"/>
    <s v="A035"/>
    <s v="A_Santa Ines"/>
    <d v="2022-05-19T00:00:00"/>
    <x v="4"/>
    <d v="2022-05-21T00:00:00"/>
    <d v="2022-05-20T00:00:00"/>
    <s v="FEC24171"/>
    <n v="7008146"/>
    <x v="0"/>
    <n v="7914"/>
    <n v="8302.2744503411668"/>
    <n v="65704200"/>
    <n v="15"/>
    <n v="527.6"/>
    <n v="4380280"/>
  </r>
  <r>
    <s v="Subasta Ganadera Casanare S.A"/>
    <s v="A035"/>
    <s v="A_Santa Ines"/>
    <d v="2022-05-19T00:00:00"/>
    <x v="4"/>
    <d v="2022-05-21T00:00:00"/>
    <d v="2022-05-20T00:00:00"/>
    <s v="FEC24178"/>
    <n v="7008146"/>
    <x v="0"/>
    <n v="7976"/>
    <n v="8352.2567703109326"/>
    <n v="66617600"/>
    <n v="15"/>
    <n v="531.73333333333335"/>
    <n v="4441173.333333333"/>
  </r>
  <r>
    <s v="Subasta Ganadera Casanare S.A"/>
    <s v="A035"/>
    <s v="A_Santa Ines"/>
    <d v="2022-05-19T00:00:00"/>
    <x v="4"/>
    <d v="2022-05-21T00:00:00"/>
    <d v="2022-05-20T00:00:00"/>
    <s v="FEC24182"/>
    <n v="7008146"/>
    <x v="0"/>
    <n v="7988"/>
    <n v="8452.2533800701058"/>
    <n v="67516600"/>
    <n v="15"/>
    <n v="532.5333333333333"/>
    <n v="4501106.666666667"/>
  </r>
  <r>
    <s v="Subasta Ganadera Casanare S.A"/>
    <s v="A035"/>
    <s v="A_Santa Ines"/>
    <d v="2022-05-19T00:00:00"/>
    <x v="4"/>
    <d v="2022-05-21T00:00:00"/>
    <d v="2022-05-20T00:00:00"/>
    <s v="FEC24188"/>
    <n v="7008146"/>
    <x v="0"/>
    <n v="8198"/>
    <n v="8502.195657477434"/>
    <n v="69701000"/>
    <n v="15"/>
    <n v="546.5333333333333"/>
    <n v="4646733.333333333"/>
  </r>
  <r>
    <s v="Subasta Ganadera Casanare S.A"/>
    <s v="A035"/>
    <s v="A_Santa Ines"/>
    <d v="2022-05-19T00:00:00"/>
    <x v="4"/>
    <d v="2022-05-21T00:00:00"/>
    <d v="2022-05-20T00:00:00"/>
    <s v="FEC24192"/>
    <n v="7008146"/>
    <x v="0"/>
    <n v="3296"/>
    <n v="7902.5485436893205"/>
    <n v="26046800"/>
    <n v="7"/>
    <n v="470.85714285714283"/>
    <n v="3720971.4285714286"/>
  </r>
  <r>
    <s v="Sociedad Agricola De Dibulla LTDA"/>
    <s v="AC41"/>
    <s v="Alm. FeedLot"/>
    <d v="2022-05-18T00:00:00"/>
    <x v="4"/>
    <d v="2022-05-20T00:00:00"/>
    <d v="2022-05-23T00:00:00"/>
    <s v="SAD5497"/>
    <n v="7008146"/>
    <x v="0"/>
    <n v="17416"/>
    <n v="9000"/>
    <n v="156744000"/>
    <n v="52"/>
    <n v="334.92307692307691"/>
    <n v="3014307.6923076925"/>
  </r>
  <r>
    <s v="Subastar S.A"/>
    <s v="F194"/>
    <s v="F_Villa Lupe"/>
    <d v="2022-05-18T00:00:00"/>
    <x v="4"/>
    <d v="2022-05-19T00:00:00"/>
    <d v="2022-05-23T00:00:00"/>
    <s v="B1-39461"/>
    <n v="7008146"/>
    <x v="0"/>
    <n v="5646"/>
    <n v="8843.1200850159403"/>
    <n v="49928256"/>
    <n v="18"/>
    <n v="313.66666666666669"/>
    <n v="2773792"/>
  </r>
  <r>
    <s v="Subastar S.A"/>
    <s v="F194"/>
    <s v="F_Villa Lupe"/>
    <d v="2022-05-18T00:00:00"/>
    <x v="4"/>
    <d v="2022-05-19T00:00:00"/>
    <d v="2022-05-23T00:00:00"/>
    <s v="B1-39453"/>
    <n v="7008146"/>
    <x v="0"/>
    <n v="390"/>
    <n v="8742.6307692307691"/>
    <n v="3409626"/>
    <n v="1"/>
    <n v="390"/>
    <n v="3409626"/>
  </r>
  <r>
    <s v="Subastar S.A"/>
    <s v="F194"/>
    <s v="F_Villa Lupe"/>
    <d v="2022-05-18T00:00:00"/>
    <x v="4"/>
    <d v="2022-05-19T00:00:00"/>
    <d v="2022-05-23T00:00:00"/>
    <s v="B1-39476"/>
    <n v="7008146"/>
    <x v="0"/>
    <n v="2834"/>
    <n v="9094.3450952717012"/>
    <n v="25773374"/>
    <n v="8"/>
    <n v="354.25"/>
    <n v="3221671.75"/>
  </r>
  <r>
    <s v="Subastar S.A"/>
    <s v="F194"/>
    <s v="F_Villa Lupe"/>
    <d v="2022-05-18T00:00:00"/>
    <x v="4"/>
    <d v="2022-05-19T00:00:00"/>
    <d v="2022-05-23T00:00:00"/>
    <s v="B1-39473"/>
    <n v="7008146"/>
    <x v="0"/>
    <n v="2462"/>
    <n v="8792.8748984565391"/>
    <n v="21648058"/>
    <n v="7"/>
    <n v="351.71428571428572"/>
    <n v="3092579.7142857141"/>
  </r>
  <r>
    <s v="Subastar S.A"/>
    <s v="F194"/>
    <s v="F_Villa Lupe"/>
    <d v="2022-05-18T00:00:00"/>
    <x v="4"/>
    <d v="2022-05-19T00:00:00"/>
    <d v="2022-05-23T00:00:00"/>
    <s v="B1-39455"/>
    <n v="7008146"/>
    <x v="0"/>
    <n v="294"/>
    <n v="8742.6292517006805"/>
    <n v="2570333"/>
    <n v="1"/>
    <n v="294"/>
    <n v="2570333"/>
  </r>
  <r>
    <s v="Subasta Ganadera Casanare S.A"/>
    <s v="F068"/>
    <s v="F_Guadalupe"/>
    <d v="2022-05-19T00:00:00"/>
    <x v="4"/>
    <d v="2022-05-19T00:00:00"/>
    <d v="2022-05-24T00:00:00"/>
    <s v="FEC24136"/>
    <n v="7008146"/>
    <x v="0"/>
    <n v="3504"/>
    <n v="8303.4246575342459"/>
    <n v="29095200"/>
    <n v="10"/>
    <n v="350.4"/>
    <n v="2909520"/>
  </r>
  <r>
    <s v="Subasta Ganadera Casanare S.A"/>
    <s v="F068"/>
    <s v="F_Guadalupe"/>
    <d v="2022-05-19T00:00:00"/>
    <x v="4"/>
    <d v="2022-05-19T00:00:00"/>
    <d v="2022-05-24T00:00:00"/>
    <s v="FEC24137"/>
    <n v="7008146"/>
    <x v="0"/>
    <n v="2692"/>
    <n v="8403.120356612184"/>
    <n v="22621200"/>
    <n v="7"/>
    <n v="384.57142857142856"/>
    <n v="3231600"/>
  </r>
  <r>
    <s v="Subasta Ganadera Casanare S.A"/>
    <s v="F068"/>
    <s v="F_Guadalupe"/>
    <d v="2022-05-19T00:00:00"/>
    <x v="4"/>
    <d v="2022-05-19T00:00:00"/>
    <d v="2022-05-24T00:00:00"/>
    <s v="FEC24138"/>
    <n v="7008146"/>
    <x v="0"/>
    <n v="3020"/>
    <n v="8503.1788079470207"/>
    <n v="25679600"/>
    <n v="8"/>
    <n v="377.5"/>
    <n v="3209950"/>
  </r>
  <r>
    <s v="Subasta Ganadera Casanare S.A"/>
    <s v="F068"/>
    <s v="F_Guadalupe"/>
    <d v="2022-05-19T00:00:00"/>
    <x v="4"/>
    <d v="2022-05-19T00:00:00"/>
    <d v="2022-05-24T00:00:00"/>
    <s v="FEC24141"/>
    <n v="7008146"/>
    <x v="0"/>
    <n v="2672"/>
    <n v="8303.1437125748507"/>
    <n v="22186000"/>
    <n v="7"/>
    <n v="381.71428571428572"/>
    <n v="3169428.5714285714"/>
  </r>
  <r>
    <s v="Subasta Ganadera Casanare S.A"/>
    <s v="F068"/>
    <s v="F_Guadalupe"/>
    <d v="2022-05-19T00:00:00"/>
    <x v="4"/>
    <d v="2022-05-19T00:00:00"/>
    <d v="2022-05-24T00:00:00"/>
    <s v="FEC24156"/>
    <n v="7008146"/>
    <x v="0"/>
    <n v="4720"/>
    <n v="8653.8135593220341"/>
    <n v="40846000"/>
    <n v="15"/>
    <n v="314.66666666666669"/>
    <n v="2723066.6666666665"/>
  </r>
  <r>
    <s v="Subasta Ganadera Casanare S.A"/>
    <s v="F068"/>
    <s v="F_Guadalupe"/>
    <d v="2022-05-19T00:00:00"/>
    <x v="4"/>
    <d v="2022-05-19T00:00:00"/>
    <d v="2022-05-24T00:00:00"/>
    <s v="FEC24167"/>
    <n v="7008146"/>
    <x v="0"/>
    <n v="5284"/>
    <n v="9053.4065102195309"/>
    <n v="47838200"/>
    <n v="15"/>
    <n v="352.26666666666665"/>
    <n v="3189213.3333333335"/>
  </r>
  <r>
    <s v="Subasta Ganadera Casanare S.A"/>
    <s v="F068"/>
    <s v="F_Guadalupe"/>
    <d v="2022-05-19T00:00:00"/>
    <x v="4"/>
    <d v="2022-05-19T00:00:00"/>
    <d v="2022-05-24T00:00:00"/>
    <s v="FEC24168"/>
    <n v="7008146"/>
    <x v="0"/>
    <n v="6212"/>
    <n v="8603.2839665164192"/>
    <n v="53443600"/>
    <n v="17"/>
    <n v="365.41176470588238"/>
    <n v="3143741.1764705884"/>
  </r>
  <r>
    <s v="Wilson Murillo"/>
    <s v="F057"/>
    <s v="F_Patio Bonito"/>
    <d v="2022-05-18T00:00:00"/>
    <x v="4"/>
    <d v="2022-05-19T00:00:00"/>
    <d v="2022-05-25T00:00:00"/>
    <s v="FE193"/>
    <n v="7008151"/>
    <x v="3"/>
    <n v="14473"/>
    <n v="8000"/>
    <n v="115784000"/>
    <n v="44"/>
    <n v="328.93181818181819"/>
    <n v="2631454.5454545454"/>
  </r>
  <r>
    <s v="Agropecuaria Francia y Lusitania S.A.S"/>
    <s v="F191"/>
    <s v="F_Salonica"/>
    <d v="2022-05-23T00:00:00"/>
    <x v="4"/>
    <d v="2022-05-21T00:00:00"/>
    <d v="2022-05-25T00:00:00"/>
    <s v="AG477"/>
    <n v="7008147"/>
    <x v="1"/>
    <n v="34626"/>
    <n v="9850"/>
    <n v="341066100"/>
    <n v="120"/>
    <n v="288.55"/>
    <n v="2842217.5"/>
  </r>
  <r>
    <s v="Agrotunez S.A.S"/>
    <s v="F008"/>
    <s v="F_Tunez"/>
    <d v="2022-05-13T00:00:00"/>
    <x v="4"/>
    <d v="2022-05-13T00:00:00"/>
    <d v="2022-05-25T00:00:00"/>
    <n v="100694"/>
    <n v="7008146"/>
    <x v="0"/>
    <n v="13582"/>
    <n v="9350"/>
    <n v="126991700"/>
    <n v="45"/>
    <n v="301.82222222222219"/>
    <n v="2822037.777777778"/>
  </r>
  <r>
    <s v="Subagan S.A."/>
    <s v="F049"/>
    <s v="F_El Rosario"/>
    <d v="2022-05-23T00:00:00"/>
    <x v="4"/>
    <d v="2022-05-23T00:00:00"/>
    <d v="2022-05-25T00:00:00"/>
    <s v="MIC606"/>
    <n v="7008146"/>
    <x v="0"/>
    <n v="53964"/>
    <n v="10000"/>
    <n v="539640000"/>
    <n v="200"/>
    <n v="269.82"/>
    <n v="2698200"/>
  </r>
  <r>
    <s v="Rosa Elena Londoño Jimenez"/>
    <s v="F069"/>
    <s v="F_Las Camelias"/>
    <d v="2022-05-25T00:00:00"/>
    <x v="4"/>
    <d v="2022-05-25T00:00:00"/>
    <d v="2022-05-26T00:00:00"/>
    <s v="FDV-64"/>
    <n v="7008146"/>
    <x v="0"/>
    <n v="11174"/>
    <n v="9400"/>
    <n v="105035600"/>
    <n v="40"/>
    <n v="279.35000000000002"/>
    <n v="2625890"/>
  </r>
  <r>
    <s v="Sugaberrio S.A.S"/>
    <s v="F056"/>
    <s v="F_Las Delicias"/>
    <d v="2022-05-19T00:00:00"/>
    <x v="4"/>
    <d v="2022-05-20T00:00:00"/>
    <d v="2022-05-26T00:00:00"/>
    <n v="7429"/>
    <n v="7008147"/>
    <x v="1"/>
    <n v="2124"/>
    <n v="9200"/>
    <n v="19540800"/>
    <n v="10"/>
    <n v="212.4"/>
    <n v="1954080"/>
  </r>
  <r>
    <s v="Sugaberrio S.A.S"/>
    <s v="F056"/>
    <s v="F_Las Delicias"/>
    <d v="2022-05-19T00:00:00"/>
    <x v="4"/>
    <d v="2022-05-20T00:00:00"/>
    <d v="2022-05-26T00:00:00"/>
    <n v="7457"/>
    <n v="7008147"/>
    <x v="1"/>
    <n v="1259"/>
    <n v="9729.9444003177123"/>
    <n v="12250000"/>
    <n v="5"/>
    <n v="251.8"/>
    <n v="2450000"/>
  </r>
  <r>
    <s v="Subastar S.A"/>
    <s v="F049"/>
    <s v="F_El Rosario"/>
    <d v="2022-05-18T00:00:00"/>
    <x v="4"/>
    <d v="2022-05-19T00:00:00"/>
    <d v="2022-05-26T00:00:00"/>
    <n v="7865"/>
    <n v="7008146"/>
    <x v="0"/>
    <n v="5826"/>
    <n v="9546.5499485066939"/>
    <n v="55618200"/>
    <n v="19"/>
    <n v="306.63157894736844"/>
    <n v="2927273.6842105263"/>
  </r>
  <r>
    <s v="Subastar S.A"/>
    <s v="F049"/>
    <s v="F_El Rosario"/>
    <d v="2022-05-18T00:00:00"/>
    <x v="4"/>
    <d v="2022-05-19T00:00:00"/>
    <d v="2022-05-26T00:00:00"/>
    <n v="7867"/>
    <n v="7008146"/>
    <x v="0"/>
    <n v="5905"/>
    <n v="9446.0599491955963"/>
    <n v="55778984"/>
    <n v="19"/>
    <n v="310.78947368421052"/>
    <n v="2935736"/>
  </r>
  <r>
    <s v="Subagan S.A."/>
    <s v="A148"/>
    <s v="A_El Tropezon"/>
    <d v="2022-05-13T00:00:00"/>
    <x v="4"/>
    <d v="2022-05-13T00:00:00"/>
    <d v="2022-05-26T00:00:00"/>
    <s v="MIC588"/>
    <n v="7008147"/>
    <x v="1"/>
    <n v="17175"/>
    <n v="9737"/>
    <n v="167232975"/>
    <n v="54"/>
    <n v="318.05555555555554"/>
    <n v="3096906.9444444445"/>
  </r>
  <r>
    <s v="Subastar S.A"/>
    <s v="F193"/>
    <s v="F_El Milagro"/>
    <d v="2022-05-19T00:00:00"/>
    <x v="4"/>
    <d v="2022-05-19T00:00:00"/>
    <d v="2022-05-27T00:00:00"/>
    <n v="7876"/>
    <n v="7008151"/>
    <x v="3"/>
    <n v="4869"/>
    <n v="7335.769973300472"/>
    <n v="35717864"/>
    <n v="17"/>
    <n v="286.41176470588238"/>
    <n v="2101050.8235294116"/>
  </r>
  <r>
    <s v="Subastar S.A"/>
    <s v="F193"/>
    <s v="F_El Milagro"/>
    <d v="2022-05-19T00:00:00"/>
    <x v="4"/>
    <d v="2022-05-19T00:00:00"/>
    <d v="2022-05-27T00:00:00"/>
    <n v="7879"/>
    <n v="7008151"/>
    <x v="3"/>
    <n v="5289"/>
    <n v="8189.9349593495936"/>
    <n v="43316566"/>
    <n v="18"/>
    <n v="293.83333333333331"/>
    <n v="2406475.888888889"/>
  </r>
  <r>
    <s v="Subagan S.A."/>
    <s v="F201"/>
    <s v="F_La Aldea"/>
    <d v="2022-05-25T00:00:00"/>
    <x v="4"/>
    <d v="2022-05-25T00:00:00"/>
    <d v="2022-05-26T00:00:00"/>
    <s v="PRC28433"/>
    <n v="7008147"/>
    <x v="1"/>
    <n v="5644"/>
    <n v="10300"/>
    <n v="58133200"/>
    <n v="23"/>
    <n v="245.39130434782609"/>
    <n v="2527530.4347826089"/>
  </r>
  <r>
    <s v="Sugaberrio S.A.S"/>
    <s v="F161"/>
    <s v="F_Los Santos"/>
    <d v="2022-05-24T00:00:00"/>
    <x v="4"/>
    <d v="2022-05-25T00:00:00"/>
    <d v="2022-05-28T00:00:00"/>
    <s v="FAC7483 "/>
    <n v="7008147"/>
    <x v="1"/>
    <n v="3982"/>
    <n v="9300"/>
    <n v="37032600"/>
    <n v="18"/>
    <n v="221.22222222222223"/>
    <n v="2057366.6666666667"/>
  </r>
  <r>
    <s v="Sugaberrio S.A.S"/>
    <s v="F161"/>
    <s v="F_Los Santos"/>
    <d v="2022-05-24T00:00:00"/>
    <x v="4"/>
    <d v="2022-05-25T00:00:00"/>
    <d v="2022-05-28T00:00:00"/>
    <s v="FAC7488"/>
    <n v="7008147"/>
    <x v="1"/>
    <n v="6879"/>
    <n v="9350"/>
    <n v="64318650"/>
    <n v="24"/>
    <n v="286.625"/>
    <n v="2679943.75"/>
  </r>
  <r>
    <s v="Sugaberrio S.A.S"/>
    <s v="F194"/>
    <s v="F_Villa Lupe"/>
    <d v="2022-05-24T00:00:00"/>
    <x v="4"/>
    <d v="2022-05-25T00:00:00"/>
    <d v="2022-05-28T00:00:00"/>
    <s v="FAC7480 "/>
    <n v="7008146"/>
    <x v="0"/>
    <n v="1845"/>
    <n v="8900"/>
    <n v="16420500"/>
    <n v="6"/>
    <n v="307.5"/>
    <n v="2736750"/>
  </r>
  <r>
    <s v="Sugaberrio S.A.S"/>
    <s v="F194"/>
    <s v="F_Villa Lupe"/>
    <d v="2022-05-24T00:00:00"/>
    <x v="4"/>
    <d v="2022-05-25T00:00:00"/>
    <d v="2022-05-28T00:00:00"/>
    <s v="FAC7485"/>
    <n v="7008146"/>
    <x v="0"/>
    <n v="4037"/>
    <n v="8850"/>
    <n v="35727450"/>
    <n v="14"/>
    <n v="288.35714285714283"/>
    <n v="2551960.7142857141"/>
  </r>
  <r>
    <s v="Hernan Dario Botero Botero"/>
    <s v="F194"/>
    <s v="F_Villa Lupe"/>
    <d v="2022-05-26T00:00:00"/>
    <x v="4"/>
    <d v="2022-05-26T00:00:00"/>
    <d v="2022-05-28T00:00:00"/>
    <s v="FE-53"/>
    <n v="7008146"/>
    <x v="0"/>
    <n v="21488"/>
    <n v="9000"/>
    <n v="193392000"/>
    <n v="68"/>
    <n v="316"/>
    <n v="2844000"/>
  </r>
  <r>
    <s v="Olger Fernando Rojas Angarita"/>
    <s v="F075"/>
    <s v="F_El Tambo"/>
    <d v="2022-05-28T00:00:00"/>
    <x v="4"/>
    <d v="2022-05-27T00:00:00"/>
    <d v="2022-05-29T00:00:00"/>
    <s v="OR175"/>
    <n v="7008147"/>
    <x v="1"/>
    <n v="16212"/>
    <n v="9700"/>
    <n v="157256400"/>
    <n v="65"/>
    <n v="249.41538461538462"/>
    <n v="2419329.230769231"/>
  </r>
  <r>
    <s v="Olger Fernando Rojas Angarita"/>
    <s v="F075"/>
    <s v="F_El Tambo"/>
    <d v="2022-05-28T00:00:00"/>
    <x v="4"/>
    <d v="2022-05-27T00:00:00"/>
    <d v="2022-05-29T00:00:00"/>
    <s v="OR176"/>
    <n v="7008146"/>
    <x v="0"/>
    <n v="12626"/>
    <n v="9000"/>
    <n v="113634000"/>
    <n v="35"/>
    <n v="360.74285714285713"/>
    <n v="3246685.7142857141"/>
  </r>
  <r>
    <s v="Olger Fernando Rojas Angarita"/>
    <s v="F075"/>
    <s v="F_El Tambo"/>
    <d v="2022-05-28T00:00:00"/>
    <x v="4"/>
    <d v="2022-05-27T00:00:00"/>
    <d v="2022-05-29T00:00:00"/>
    <s v="OR174"/>
    <n v="7008146"/>
    <x v="0"/>
    <n v="12988"/>
    <n v="9250"/>
    <n v="120139000"/>
    <n v="45"/>
    <n v="288.62222222222221"/>
    <n v="2669755.5555555555"/>
  </r>
  <r>
    <s v="Subasta Ganadera Casanare S.A"/>
    <s v="F080"/>
    <s v="F_Predio Aguachi"/>
    <d v="2022-05-26T00:00:00"/>
    <x v="4"/>
    <d v="2022-05-28T00:00:00"/>
    <d v="2022-05-31T00:00:00"/>
    <s v="FEC24521"/>
    <n v="7008146"/>
    <x v="0"/>
    <n v="6772"/>
    <n v="8202.480803307737"/>
    <n v="55547200"/>
    <n v="14"/>
    <n v="483.71428571428572"/>
    <n v="3967657.1428571427"/>
  </r>
  <r>
    <s v="Subasta Ganadera Casanare S.A"/>
    <s v="F080"/>
    <s v="F_Predio Aguachi"/>
    <d v="2022-05-26T00:00:00"/>
    <x v="4"/>
    <d v="2022-05-28T00:00:00"/>
    <d v="2022-05-31T00:00:00"/>
    <s v="FEC24548 "/>
    <n v="7008146"/>
    <x v="0"/>
    <n v="2672"/>
    <n v="7953.1437125748507"/>
    <n v="21250800"/>
    <n v="7"/>
    <n v="381.71428571428572"/>
    <n v="3035828.5714285714"/>
  </r>
  <r>
    <s v="Subasta Ganadera Casanare S.A"/>
    <s v="F080"/>
    <s v="F_Predio Aguachi"/>
    <d v="2022-05-26T00:00:00"/>
    <x v="4"/>
    <d v="2022-05-28T00:00:00"/>
    <d v="2022-05-31T00:00:00"/>
    <s v="FEC24519"/>
    <n v="7008146"/>
    <x v="0"/>
    <n v="6876"/>
    <n v="8052.6178010471203"/>
    <n v="55369800"/>
    <n v="15"/>
    <n v="458.4"/>
    <n v="3691320"/>
  </r>
  <r>
    <s v="Sugaberrio S.A.S"/>
    <s v="F057"/>
    <s v="F_Patio Bonito"/>
    <d v="2022-05-26T00:00:00"/>
    <x v="4"/>
    <d v="2022-05-27T00:00:00"/>
    <d v="2022-05-31T00:00:00"/>
    <n v="7554"/>
    <n v="7008151"/>
    <x v="3"/>
    <n v="4516"/>
    <n v="7000"/>
    <n v="31612000"/>
    <n v="15"/>
    <n v="301.06666666666666"/>
    <n v="2107466.6666666665"/>
  </r>
  <r>
    <s v="Sugaberrio S.A.S"/>
    <s v="F057"/>
    <s v="F_Patio Bonito"/>
    <d v="2022-05-26T00:00:00"/>
    <x v="4"/>
    <d v="2022-05-27T00:00:00"/>
    <d v="2022-05-31T00:00:00"/>
    <n v="7558"/>
    <n v="7008151"/>
    <x v="3"/>
    <n v="2263"/>
    <n v="7000"/>
    <n v="15841000"/>
    <n v="8"/>
    <n v="282.875"/>
    <n v="1980125"/>
  </r>
  <r>
    <s v="Sugaberrio S.A.S"/>
    <s v="F080"/>
    <s v="F_Predio Aguachi"/>
    <d v="2022-05-27T00:00:00"/>
    <x v="4"/>
    <d v="2022-05-28T00:00:00"/>
    <d v="2022-05-31T00:00:00"/>
    <s v="FSL7230"/>
    <n v="7008146"/>
    <x v="0"/>
    <n v="4005"/>
    <n v="8500"/>
    <n v="34042500"/>
    <n v="9"/>
    <n v="445"/>
    <n v="3782500"/>
  </r>
  <r>
    <s v="Subasta Ganadera Casanare S.A"/>
    <s v="F062"/>
    <s v="F_La Leticia"/>
    <d v="2022-05-26T00:00:00"/>
    <x v="4"/>
    <d v="2022-05-26T00:00:00"/>
    <d v="2022-05-31T00:00:00"/>
    <s v="FEC24524"/>
    <n v="7008146"/>
    <x v="0"/>
    <n v="5534"/>
    <n v="8303.2526201662458"/>
    <n v="45950200"/>
    <n v="15"/>
    <n v="368.93333333333334"/>
    <n v="3063346.6666666665"/>
  </r>
  <r>
    <s v="Subasta Ganadera Casanare S.A"/>
    <s v="F062"/>
    <s v="F_La Leticia"/>
    <d v="2022-05-26T00:00:00"/>
    <x v="4"/>
    <d v="2022-05-26T00:00:00"/>
    <d v="2022-05-31T00:00:00"/>
    <s v="FEC24527"/>
    <n v="7008146"/>
    <x v="0"/>
    <n v="6222"/>
    <n v="8403.0858244937317"/>
    <n v="52284000"/>
    <n v="16"/>
    <n v="388.875"/>
    <n v="3267750"/>
  </r>
  <r>
    <s v="CC Subasta Ganadera Del Sinu S.A.S"/>
    <s v="F062"/>
    <s v="F_La Leticia"/>
    <d v="2022-05-27T00:00:00"/>
    <x v="4"/>
    <d v="2022-05-27T00:00:00"/>
    <d v="2022-05-31T00:00:00"/>
    <n v="64624"/>
    <n v="7008146"/>
    <x v="0"/>
    <n v="5980"/>
    <n v="9650"/>
    <n v="57707000"/>
    <n v="18"/>
    <n v="332.22222222222223"/>
    <n v="3205944.4444444445"/>
  </r>
  <r>
    <s v="CC Subasta Ganadera Del Sinu S.A.S"/>
    <s v="F062"/>
    <s v="F_La Leticia"/>
    <d v="2022-05-27T00:00:00"/>
    <x v="4"/>
    <d v="2022-05-27T00:00:00"/>
    <d v="2022-05-31T00:00:00"/>
    <n v="64625"/>
    <n v="7008146"/>
    <x v="0"/>
    <n v="5962"/>
    <n v="9650"/>
    <n v="57533300"/>
    <n v="18"/>
    <n v="331.22222222222223"/>
    <n v="3196294.4444444445"/>
  </r>
  <r>
    <s v="Sugaberrio S.A.S"/>
    <s v="F079"/>
    <s v="F_San Andres"/>
    <d v="2022-06-01T00:00:00"/>
    <x v="5"/>
    <d v="2022-06-01T00:00:00"/>
    <d v="2022-06-03T00:00:00"/>
    <s v="FBC14847"/>
    <n v="7008147"/>
    <x v="1"/>
    <n v="26560"/>
    <n v="9520"/>
    <n v="252851200"/>
    <n v="108"/>
    <n v="245.92592592592592"/>
    <n v="2341214.8148148148"/>
  </r>
  <r>
    <s v="Sugaberrio S.A.S"/>
    <s v="F199"/>
    <s v="La Fortuna"/>
    <d v="2022-06-01T00:00:00"/>
    <x v="5"/>
    <d v="2022-06-01T00:00:00"/>
    <d v="2022-06-03T00:00:00"/>
    <n v="11476"/>
    <n v="7008146"/>
    <x v="0"/>
    <n v="1014"/>
    <n v="9400"/>
    <n v="9531600"/>
    <n v="5"/>
    <n v="202.8"/>
    <n v="1906320"/>
  </r>
  <r>
    <s v="Sugaberrio S.A.S"/>
    <s v="F199"/>
    <s v="La Fortuna"/>
    <d v="2022-06-01T00:00:00"/>
    <x v="5"/>
    <d v="2022-06-01T00:00:00"/>
    <d v="2022-06-03T00:00:00"/>
    <n v="11505"/>
    <n v="7008146"/>
    <x v="0"/>
    <n v="2186"/>
    <n v="9900"/>
    <n v="21641400"/>
    <n v="9"/>
    <n v="242.88888888888889"/>
    <n v="2404600"/>
  </r>
  <r>
    <s v="Sugaberrio S.A.S"/>
    <s v="F199"/>
    <s v="La Fortuna"/>
    <d v="2022-06-01T00:00:00"/>
    <x v="5"/>
    <d v="2022-06-01T00:00:00"/>
    <d v="2022-06-03T00:00:00"/>
    <n v="11534"/>
    <n v="7008146"/>
    <x v="0"/>
    <n v="1033"/>
    <n v="8600"/>
    <n v="8883800"/>
    <n v="4"/>
    <n v="258.25"/>
    <n v="2220950"/>
  </r>
  <r>
    <s v="Sugaberrio S.A.S"/>
    <s v="F199"/>
    <s v="La Fortuna"/>
    <d v="2022-06-01T00:00:00"/>
    <x v="5"/>
    <d v="2022-06-01T00:00:00"/>
    <d v="2022-06-03T00:00:00"/>
    <n v="11549"/>
    <n v="7008146"/>
    <x v="0"/>
    <n v="460"/>
    <n v="9700"/>
    <n v="4462000"/>
    <n v="2"/>
    <n v="230"/>
    <n v="2231000"/>
  </r>
  <r>
    <s v="Sugaberrio S.A.S"/>
    <s v="F199"/>
    <s v="La Fortuna"/>
    <d v="2022-06-01T00:00:00"/>
    <x v="5"/>
    <d v="2022-06-01T00:00:00"/>
    <d v="2022-06-03T00:00:00"/>
    <s v="FCC11539"/>
    <n v="7008146"/>
    <x v="0"/>
    <n v="1203"/>
    <n v="8500"/>
    <n v="10225500"/>
    <n v="4"/>
    <n v="300.75"/>
    <n v="2556375"/>
  </r>
  <r>
    <s v="Sugaberrio S.A.S"/>
    <s v="F199"/>
    <s v="La Fortuna"/>
    <d v="2022-06-01T00:00:00"/>
    <x v="5"/>
    <d v="2022-06-01T00:00:00"/>
    <d v="2022-06-03T00:00:00"/>
    <n v="11583"/>
    <n v="7008146"/>
    <x v="0"/>
    <n v="2859"/>
    <n v="8900"/>
    <n v="25445100"/>
    <n v="11"/>
    <n v="259.90909090909093"/>
    <n v="2313190.9090909092"/>
  </r>
  <r>
    <s v="Carlos Mario Restrepo Correa"/>
    <s v="F185"/>
    <s v="Nicaragua"/>
    <d v="2022-06-02T00:00:00"/>
    <x v="5"/>
    <d v="2022-06-02T00:00:00"/>
    <d v="2022-06-03T00:00:00"/>
    <s v="CR 104"/>
    <n v="7008151"/>
    <x v="3"/>
    <n v="20714"/>
    <n v="7950"/>
    <n v="164676300"/>
    <n v="65"/>
    <n v="318.67692307692306"/>
    <n v="2533481.5384615385"/>
  </r>
  <r>
    <s v="Comercializadora El Delirio S.A.S"/>
    <s v="F020"/>
    <s v="F_Triana"/>
    <d v="2022-06-01T00:00:00"/>
    <x v="5"/>
    <d v="2022-06-01T00:00:00"/>
    <d v="2022-06-03T00:00:00"/>
    <s v="FE200"/>
    <n v="7008146"/>
    <x v="0"/>
    <n v="340914"/>
    <n v="9500"/>
    <n v="3238683000"/>
    <n v="857"/>
    <n v="397.79929988331389"/>
    <n v="3779093.3488914818"/>
  </r>
  <r>
    <s v="Sugaberrio S.A.S"/>
    <s v="AC41"/>
    <s v="Alm. FeedLot"/>
    <d v="2022-06-01T00:00:00"/>
    <x v="5"/>
    <d v="2022-06-02T00:00:00"/>
    <d v="2022-06-03T00:00:00"/>
    <s v="FBC14848"/>
    <n v="7008146"/>
    <x v="0"/>
    <n v="6519"/>
    <n v="9120"/>
    <n v="59453280"/>
    <n v="18"/>
    <n v="362.16666666666669"/>
    <n v="3302960"/>
  </r>
  <r>
    <s v="Maria Fernanda Dangond Quintero"/>
    <s v="F161"/>
    <s v="F_Los Santos"/>
    <d v="2022-06-02T00:00:00"/>
    <x v="5"/>
    <d v="2022-06-06T00:00:00"/>
    <d v="2022-06-06T00:00:00"/>
    <s v="GAN -25"/>
    <n v="7008147"/>
    <x v="1"/>
    <n v="16673"/>
    <n v="9400"/>
    <n v="156726200"/>
    <n v="64"/>
    <n v="260.515625"/>
    <n v="2448846.875"/>
  </r>
  <r>
    <s v="Subasta Ganadera Casanare S.A"/>
    <s v="F071"/>
    <s v="F_Texas Araujo"/>
    <d v="2022-06-02T00:00:00"/>
    <x v="5"/>
    <d v="2022-06-02T00:00:00"/>
    <d v="2022-06-06T00:00:00"/>
    <s v="FEC24826"/>
    <n v="7008146"/>
    <x v="0"/>
    <n v="5930"/>
    <n v="8803.6424957841482"/>
    <n v="52205600"/>
    <n v="18"/>
    <n v="329.44444444444446"/>
    <n v="2900311.111111111"/>
  </r>
  <r>
    <s v="Subastar S.A"/>
    <s v="F069"/>
    <s v="F_Las Camelias"/>
    <d v="2022-06-02T00:00:00"/>
    <x v="5"/>
    <d v="2022-06-02T00:00:00"/>
    <d v="2022-06-06T00:00:00"/>
    <s v="TI 7966"/>
    <n v="7008146"/>
    <x v="0"/>
    <n v="5971"/>
    <n v="9245.0800535923627"/>
    <n v="55202373"/>
    <n v="18"/>
    <n v="331.72222222222223"/>
    <n v="3066798.5"/>
  </r>
  <r>
    <s v="Carlos Mario Restrepo Correa"/>
    <s v="F185"/>
    <s v="Nicaragua"/>
    <d v="2022-06-06T00:00:00"/>
    <x v="5"/>
    <d v="2022-06-06T00:00:00"/>
    <d v="2022-06-07T00:00:00"/>
    <s v="_x0009_CR 105"/>
    <n v="7008151"/>
    <x v="3"/>
    <n v="27884"/>
    <n v="8000"/>
    <n v="223072000"/>
    <n v="79"/>
    <n v="352.96202531645571"/>
    <n v="2823696.2025316455"/>
  </r>
  <r>
    <s v="Subastar S.A"/>
    <s v="F199"/>
    <s v="La Fortuna"/>
    <d v="2022-06-02T00:00:00"/>
    <x v="5"/>
    <d v="2022-06-02T00:00:00"/>
    <d v="2022-06-07T00:00:00"/>
    <s v="T1 7967"/>
    <n v="7008146"/>
    <x v="0"/>
    <n v="5706"/>
    <n v="9496.3049421661417"/>
    <n v="54185916"/>
    <n v="20"/>
    <n v="285.3"/>
    <n v="2709295.8"/>
  </r>
  <r>
    <s v="Subastar S.A"/>
    <s v="F199"/>
    <s v="La Fortuna"/>
    <d v="2022-06-02T00:00:00"/>
    <x v="5"/>
    <d v="2022-06-02T00:00:00"/>
    <d v="2022-06-07T00:00:00"/>
    <s v="T17968"/>
    <n v="7008146"/>
    <x v="0"/>
    <n v="5467"/>
    <n v="9496.3049204316812"/>
    <n v="51916299"/>
    <n v="20"/>
    <n v="273.35000000000002"/>
    <n v="2595814.9500000002"/>
  </r>
  <r>
    <s v="Subastar S.A"/>
    <s v="F019"/>
    <s v="F_Jordan"/>
    <d v="2022-06-01T00:00:00"/>
    <x v="5"/>
    <d v="2022-06-01T00:00:00"/>
    <d v="2022-06-07T00:00:00"/>
    <n v="7945"/>
    <n v="7008146"/>
    <x v="0"/>
    <n v="6123"/>
    <n v="8843.1200391964721"/>
    <n v="54146424"/>
    <n v="15"/>
    <n v="408.2"/>
    <n v="3609761.6"/>
  </r>
  <r>
    <s v="Subastar S.A"/>
    <s v="F165"/>
    <s v="F_San Clemente"/>
    <d v="2022-06-02T00:00:00"/>
    <x v="5"/>
    <d v="2022-06-02T00:00:00"/>
    <d v="2022-06-07T00:00:00"/>
    <n v="239279"/>
    <n v="7008151"/>
    <x v="3"/>
    <n v="5618"/>
    <n v="7536.7500889996436"/>
    <n v="42341462"/>
    <n v="21"/>
    <n v="267.52380952380952"/>
    <n v="2016260.0952380951"/>
  </r>
  <r>
    <s v="Subagan S.A."/>
    <s v="F019"/>
    <s v="F_Jordan"/>
    <d v="2022-06-04T00:00:00"/>
    <x v="5"/>
    <d v="2022-06-04T00:00:00"/>
    <d v="2022-06-07T00:00:00"/>
    <s v="PAZC939"/>
    <n v="7008146"/>
    <x v="0"/>
    <n v="6536"/>
    <n v="8000"/>
    <n v="52288000"/>
    <n v="15"/>
    <n v="435.73333333333335"/>
    <n v="3485866.6666666665"/>
  </r>
  <r>
    <s v="Subagan S.A."/>
    <s v="F201"/>
    <s v="F_La Aldea"/>
    <d v="2022-06-07T00:00:00"/>
    <x v="5"/>
    <d v="2022-06-07T00:00:00"/>
    <d v="2022-06-07T00:00:00"/>
    <s v="MIC619"/>
    <n v="7008147"/>
    <x v="1"/>
    <n v="30840"/>
    <n v="10138"/>
    <n v="312655920"/>
    <n v="120"/>
    <n v="257"/>
    <n v="2605466"/>
  </r>
  <r>
    <s v="Mauricio Alberto Gomez Montaño"/>
    <s v="F024"/>
    <s v="F_El Imperio"/>
    <d v="2022-06-07T00:00:00"/>
    <x v="5"/>
    <d v="2022-07-07T00:00:00"/>
    <d v="2022-07-07T00:00:00"/>
    <s v="FE22"/>
    <n v="7008146"/>
    <x v="0"/>
    <n v="10279"/>
    <n v="9200"/>
    <n v="94566800"/>
    <n v="29"/>
    <n v="354.44827586206895"/>
    <n v="3260924.1379310344"/>
  </r>
  <r>
    <s v="Subastar S.A"/>
    <s v="F175"/>
    <s v="F_Mis Deseos"/>
    <d v="2022-06-01T00:00:00"/>
    <x v="5"/>
    <d v="2022-06-02T00:00:00"/>
    <d v="2022-06-09T00:00:00"/>
    <n v="39539"/>
    <n v="7008147"/>
    <x v="1"/>
    <n v="4440"/>
    <n v="9395.815090090091"/>
    <n v="41717419"/>
    <n v="19"/>
    <n v="233.68421052631578"/>
    <n v="2195653.6315789474"/>
  </r>
  <r>
    <s v="Sugaberrio S.A.S"/>
    <s v="F175"/>
    <s v="F_Mis Deseos"/>
    <d v="2022-06-07T00:00:00"/>
    <x v="5"/>
    <d v="2022-06-08T00:00:00"/>
    <d v="2022-06-09T00:00:00"/>
    <s v="FAC 7675"/>
    <n v="7008147"/>
    <x v="1"/>
    <n v="288"/>
    <n v="8800"/>
    <n v="2534400"/>
    <n v="1"/>
    <n v="288"/>
    <n v="2534400"/>
  </r>
  <r>
    <s v="Sugaberrio S.A.S"/>
    <s v="F175"/>
    <s v="F_Mis Deseos"/>
    <d v="2022-06-07T00:00:00"/>
    <x v="5"/>
    <d v="2022-06-08T00:00:00"/>
    <d v="2022-06-09T00:00:00"/>
    <s v="FAC7677"/>
    <n v="7008147"/>
    <x v="1"/>
    <n v="256"/>
    <n v="8450"/>
    <n v="2163200"/>
    <n v="1"/>
    <n v="256"/>
    <n v="2163200"/>
  </r>
  <r>
    <s v="Sugaberrio S.A.S"/>
    <s v="F175"/>
    <s v="F_Mis Deseos"/>
    <d v="2022-06-07T00:00:00"/>
    <x v="5"/>
    <d v="2022-06-08T00:00:00"/>
    <d v="2022-06-09T00:00:00"/>
    <s v="FAC7678"/>
    <n v="7008147"/>
    <x v="1"/>
    <n v="267"/>
    <n v="8400"/>
    <n v="2242800"/>
    <n v="1"/>
    <n v="267"/>
    <n v="2242800"/>
  </r>
  <r>
    <s v="Sugaberrio S.A.S"/>
    <s v="F175"/>
    <s v="F_Mis Deseos"/>
    <d v="2022-06-07T00:00:00"/>
    <x v="5"/>
    <d v="2022-06-08T00:00:00"/>
    <d v="2022-06-09T00:00:00"/>
    <s v="FAC7679"/>
    <n v="7008147"/>
    <x v="1"/>
    <n v="240"/>
    <n v="9200"/>
    <n v="2208000"/>
    <n v="1"/>
    <n v="240"/>
    <n v="2208000"/>
  </r>
  <r>
    <s v="Sugaberrio S.A.S"/>
    <s v="F175"/>
    <s v="F_Mis Deseos"/>
    <d v="2022-06-07T00:00:00"/>
    <x v="5"/>
    <d v="2022-06-08T00:00:00"/>
    <d v="2022-06-09T00:00:00"/>
    <s v="FAC7688"/>
    <n v="7008147"/>
    <x v="1"/>
    <n v="1487"/>
    <n v="8450"/>
    <n v="12565150"/>
    <n v="6"/>
    <n v="247.83333333333334"/>
    <n v="2094191.6666666667"/>
  </r>
  <r>
    <s v="Sugaberrio S.A.S"/>
    <s v="F175"/>
    <s v="F_Mis Deseos"/>
    <d v="2022-06-07T00:00:00"/>
    <x v="5"/>
    <d v="2022-06-08T00:00:00"/>
    <d v="2022-06-09T00:00:00"/>
    <s v="FAC7694"/>
    <n v="7008147"/>
    <x v="1"/>
    <n v="1768"/>
    <n v="9050"/>
    <n v="16000400"/>
    <n v="8"/>
    <n v="221"/>
    <n v="2000050"/>
  </r>
  <r>
    <s v="Sugaberrio S.A.S"/>
    <s v="F175"/>
    <s v="F_Mis Deseos"/>
    <d v="2022-06-07T00:00:00"/>
    <x v="5"/>
    <d v="2022-06-08T00:00:00"/>
    <d v="2022-06-09T00:00:00"/>
    <s v="FAC7697"/>
    <n v="7008147"/>
    <x v="1"/>
    <n v="3928"/>
    <n v="8550"/>
    <n v="33584400"/>
    <n v="16"/>
    <n v="245.5"/>
    <n v="2099025"/>
  </r>
  <r>
    <s v="Sugaberrio S.A.S"/>
    <s v="F175"/>
    <s v="F_Mis Deseos"/>
    <d v="2022-06-07T00:00:00"/>
    <x v="5"/>
    <d v="2022-06-08T00:00:00"/>
    <d v="2022-06-09T00:00:00"/>
    <s v="FAC7706"/>
    <n v="7008147"/>
    <x v="1"/>
    <n v="5108"/>
    <n v="9550"/>
    <n v="48781400"/>
    <n v="21"/>
    <n v="243.23809523809524"/>
    <n v="2322923.8095238097"/>
  </r>
  <r>
    <s v="Sugaberrio S.A.S"/>
    <s v="F175"/>
    <s v="F_Mis Deseos"/>
    <d v="2022-06-07T00:00:00"/>
    <x v="5"/>
    <d v="2022-06-08T00:00:00"/>
    <d v="2022-06-09T00:00:00"/>
    <s v="FAC7707"/>
    <n v="7008147"/>
    <x v="1"/>
    <n v="2526"/>
    <n v="8600"/>
    <n v="21723600"/>
    <n v="9"/>
    <n v="280.66666666666669"/>
    <n v="2413733.3333333335"/>
  </r>
  <r>
    <s v="Sugaberrio S.A.S"/>
    <s v="F175"/>
    <s v="F_Mis Deseos"/>
    <d v="2022-06-07T00:00:00"/>
    <x v="5"/>
    <d v="2022-06-08T00:00:00"/>
    <d v="2022-06-09T00:00:00"/>
    <s v="FAC7715 "/>
    <n v="7008147"/>
    <x v="1"/>
    <n v="2328"/>
    <n v="9650"/>
    <n v="22465200"/>
    <n v="9"/>
    <n v="258.66666666666669"/>
    <n v="2496133.3333333335"/>
  </r>
  <r>
    <s v="Sugaberrio S.A.S"/>
    <s v="F175"/>
    <s v="F_Mis Deseos"/>
    <d v="2022-06-07T00:00:00"/>
    <x v="5"/>
    <d v="2022-06-08T00:00:00"/>
    <d v="2022-06-09T00:00:00"/>
    <s v="FAC7716"/>
    <n v="7008147"/>
    <x v="1"/>
    <n v="1335"/>
    <n v="9350"/>
    <n v="12482250"/>
    <n v="5"/>
    <n v="267"/>
    <n v="2496450"/>
  </r>
  <r>
    <s v="Subasta Ganadera Casanare S.A"/>
    <s v="F071"/>
    <s v="F_Texas Araujo"/>
    <d v="2022-06-09T00:00:00"/>
    <x v="5"/>
    <d v="2022-06-11T00:00:00"/>
    <d v="2022-06-10T00:00:00"/>
    <n v="25155"/>
    <n v="7008146"/>
    <x v="0"/>
    <n v="4446"/>
    <n v="8603.5087719298244"/>
    <n v="38251200"/>
    <n v="13"/>
    <n v="342"/>
    <n v="2942400"/>
  </r>
  <r>
    <s v="Subasta Ganadera Casanare S.A"/>
    <s v="F071"/>
    <s v="F_Texas Araujo"/>
    <d v="2022-06-09T00:00:00"/>
    <x v="5"/>
    <d v="2022-06-11T00:00:00"/>
    <d v="2022-06-10T00:00:00"/>
    <n v="25147"/>
    <n v="7008146"/>
    <x v="0"/>
    <n v="4990"/>
    <n v="8053.1262525050097"/>
    <n v="40185100"/>
    <n v="13"/>
    <n v="383.84615384615387"/>
    <n v="3091161.5384615385"/>
  </r>
  <r>
    <s v="Subasta Ganadera Casanare S.A"/>
    <s v="F071"/>
    <s v="F_Texas Araujo"/>
    <d v="2022-06-09T00:00:00"/>
    <x v="5"/>
    <d v="2022-06-11T00:00:00"/>
    <d v="2022-06-10T00:00:00"/>
    <n v="25148"/>
    <n v="7008146"/>
    <x v="0"/>
    <n v="5860"/>
    <n v="8703.6860068259393"/>
    <n v="51003600"/>
    <n v="18"/>
    <n v="325.55555555555554"/>
    <n v="2833533.3333333335"/>
  </r>
  <r>
    <s v="Subasta Ganadera Casanare S.A"/>
    <s v="F071"/>
    <s v="F_Texas Araujo"/>
    <d v="2022-06-09T00:00:00"/>
    <x v="5"/>
    <d v="2022-06-11T00:00:00"/>
    <d v="2022-06-10T00:00:00"/>
    <n v="25146"/>
    <n v="7008146"/>
    <x v="0"/>
    <n v="5130"/>
    <n v="8353.040935672514"/>
    <n v="42851100"/>
    <n v="13"/>
    <n v="394.61538461538464"/>
    <n v="3296238.4615384615"/>
  </r>
  <r>
    <s v="Subasta Ganadera Casanare S.A"/>
    <s v="F071"/>
    <s v="F_Texas Araujo"/>
    <d v="2022-06-09T00:00:00"/>
    <x v="5"/>
    <d v="2022-06-11T00:00:00"/>
    <d v="2022-06-10T00:00:00"/>
    <n v="25164"/>
    <n v="7008146"/>
    <x v="0"/>
    <n v="6258"/>
    <n v="8203.6433365292432"/>
    <n v="51338400"/>
    <n v="19"/>
    <n v="329.36842105263156"/>
    <n v="2702021.0526315789"/>
  </r>
  <r>
    <s v="Subasta Ganadera Casanare S.A"/>
    <s v="F071"/>
    <s v="F_Texas Araujo"/>
    <d v="2022-06-09T00:00:00"/>
    <x v="5"/>
    <d v="2022-06-11T00:00:00"/>
    <d v="2022-06-10T00:00:00"/>
    <n v="25175"/>
    <n v="7008146"/>
    <x v="0"/>
    <n v="4534"/>
    <n v="9553.7053374503757"/>
    <n v="43316500"/>
    <n v="14"/>
    <n v="323.85714285714283"/>
    <n v="3094035.7142857141"/>
  </r>
  <r>
    <s v="Subasta Ganadera Casanare S.A"/>
    <s v="F071"/>
    <s v="F_Texas Araujo"/>
    <d v="2022-06-09T00:00:00"/>
    <x v="5"/>
    <d v="2022-06-11T00:00:00"/>
    <d v="2022-06-10T00:00:00"/>
    <n v="25184"/>
    <n v="7008146"/>
    <x v="0"/>
    <n v="1616"/>
    <n v="8853.712871287129"/>
    <n v="14307600"/>
    <n v="5"/>
    <n v="323.2"/>
    <n v="2861520"/>
  </r>
  <r>
    <s v="Sugaberrio S.A.S"/>
    <s v="F056"/>
    <s v="F_Las Delicias"/>
    <d v="2022-06-02T00:00:00"/>
    <x v="5"/>
    <d v="2022-06-03T00:00:00"/>
    <d v="2022-06-10T00:00:00"/>
    <n v="7642"/>
    <n v="7008147"/>
    <x v="1"/>
    <n v="4657"/>
    <n v="9250"/>
    <n v="43077250"/>
    <n v="17"/>
    <n v="273.94117647058823"/>
    <n v="2533955.8823529412"/>
  </r>
  <r>
    <s v="Sugaberrio S.A.S"/>
    <s v="F056"/>
    <s v="F_Las Delicias"/>
    <d v="2022-06-02T00:00:00"/>
    <x v="5"/>
    <d v="2022-06-03T00:00:00"/>
    <d v="2022-06-10T00:00:00"/>
    <n v="7646"/>
    <n v="7008147"/>
    <x v="1"/>
    <n v="6054"/>
    <n v="9250"/>
    <n v="55999500"/>
    <n v="23"/>
    <n v="263.21739130434781"/>
    <n v="2434760.8695652173"/>
  </r>
  <r>
    <s v="Sugaberrio S.A.S"/>
    <s v="F059"/>
    <s v="F_Tulcan"/>
    <d v="2022-06-02T00:00:00"/>
    <x v="5"/>
    <d v="2022-06-03T00:00:00"/>
    <d v="2022-06-10T00:00:00"/>
    <n v="7634"/>
    <n v="7008146"/>
    <x v="0"/>
    <n v="5165"/>
    <n v="8850"/>
    <n v="45710250"/>
    <n v="14"/>
    <n v="368.92857142857144"/>
    <n v="3265017.8571428573"/>
  </r>
  <r>
    <s v="Sugaberrio S.A.S"/>
    <s v="F059"/>
    <s v="F_Tulcan"/>
    <d v="2022-06-02T00:00:00"/>
    <x v="5"/>
    <d v="2022-06-03T00:00:00"/>
    <d v="2022-06-10T00:00:00"/>
    <n v="7640"/>
    <n v="7008146"/>
    <x v="0"/>
    <n v="7322"/>
    <n v="9050"/>
    <n v="66264100"/>
    <n v="20"/>
    <n v="366.1"/>
    <n v="3313205"/>
  </r>
  <r>
    <s v="Sugaberrio S.A.S"/>
    <s v="F074"/>
    <s v="F_Venecia"/>
    <d v="2022-06-02T00:00:00"/>
    <x v="5"/>
    <d v="2022-06-03T00:00:00"/>
    <d v="2022-06-10T00:00:00"/>
    <n v="7605"/>
    <n v="7008146"/>
    <x v="0"/>
    <n v="1123"/>
    <n v="8900"/>
    <n v="9994700"/>
    <n v="3"/>
    <n v="374.33333333333331"/>
    <n v="3331566.6666666665"/>
  </r>
  <r>
    <s v="Sugaberrio S.A.S"/>
    <s v="F074"/>
    <s v="F_Venecia"/>
    <d v="2022-06-02T00:00:00"/>
    <x v="5"/>
    <d v="2022-06-03T00:00:00"/>
    <d v="2022-06-10T00:00:00"/>
    <n v="7615"/>
    <n v="7008146"/>
    <x v="0"/>
    <n v="2682"/>
    <n v="8750"/>
    <n v="23467500"/>
    <n v="10"/>
    <n v="268.2"/>
    <n v="2346750"/>
  </r>
  <r>
    <s v="Sugaberrio S.A.S"/>
    <s v="F074"/>
    <s v="F_Venecia"/>
    <d v="2022-06-02T00:00:00"/>
    <x v="5"/>
    <d v="2022-06-03T00:00:00"/>
    <d v="2022-06-10T00:00:00"/>
    <n v="7625"/>
    <n v="7008146"/>
    <x v="0"/>
    <n v="2185"/>
    <n v="8850"/>
    <n v="19337250"/>
    <n v="6"/>
    <n v="364.16666666666669"/>
    <n v="3222875"/>
  </r>
  <r>
    <s v="Sugaberrio S.A.S"/>
    <s v="AC41"/>
    <s v="Alm. FeedLot"/>
    <d v="2022-06-06T00:00:00"/>
    <x v="5"/>
    <d v="2022-06-03T00:00:00"/>
    <d v="2022-06-10T00:00:00"/>
    <s v="FBC4958"/>
    <n v="7008146"/>
    <x v="0"/>
    <n v="6561"/>
    <n v="9020"/>
    <n v="59180220"/>
    <n v="19"/>
    <n v="345.31578947368422"/>
    <n v="3114748.4210526315"/>
  </r>
  <r>
    <s v="Subagan S.A."/>
    <s v="F019"/>
    <s v="F_Jordan"/>
    <d v="2022-06-07T00:00:00"/>
    <x v="5"/>
    <d v="2022-06-04T00:00:00"/>
    <d v="2022-06-10T00:00:00"/>
    <s v="MIC623"/>
    <n v="7008146"/>
    <x v="0"/>
    <n v="23218"/>
    <n v="9400"/>
    <n v="218249200"/>
    <n v="62"/>
    <n v="374.48387096774195"/>
    <n v="3520148.3870967743"/>
  </r>
  <r>
    <s v="Subagan S.A."/>
    <s v="F193"/>
    <s v="F_El Milagro"/>
    <d v="2022-06-08T00:00:00"/>
    <x v="5"/>
    <d v="2022-06-02T00:00:00"/>
    <d v="2022-06-10T00:00:00"/>
    <s v="MIC613"/>
    <n v="7008151"/>
    <x v="3"/>
    <n v="26730"/>
    <n v="7950"/>
    <n v="212503500"/>
    <n v="90"/>
    <n v="297"/>
    <n v="2361150"/>
  </r>
  <r>
    <s v="Subagan S.A."/>
    <s v="F193"/>
    <s v="F_El Milagro"/>
    <d v="2022-06-08T00:00:00"/>
    <x v="5"/>
    <d v="2022-06-02T00:00:00"/>
    <d v="2022-06-10T00:00:00"/>
    <s v="MIC628"/>
    <n v="7008151"/>
    <x v="3"/>
    <n v="9921"/>
    <n v="7950"/>
    <n v="78871950"/>
    <n v="37"/>
    <n v="268.13513513513516"/>
    <n v="2131674.3243243243"/>
  </r>
  <r>
    <s v="Subagan S.A."/>
    <s v="F193"/>
    <s v="F_El Milagro"/>
    <d v="2022-06-08T00:00:00"/>
    <x v="5"/>
    <d v="2022-06-02T00:00:00"/>
    <d v="2022-06-10T00:00:00"/>
    <s v="MIC629"/>
    <n v="7008151"/>
    <x v="3"/>
    <n v="7327"/>
    <n v="7950"/>
    <n v="58249650"/>
    <n v="25"/>
    <n v="293.08"/>
    <n v="2329986"/>
  </r>
  <r>
    <s v="CC Subasta Ganadera Del Sinu S.A.S"/>
    <s v="F067"/>
    <s v="F_Guacharacas"/>
    <d v="2022-07-07T00:00:00"/>
    <x v="6"/>
    <d v="2022-07-07T00:00:00"/>
    <d v="2022-06-13T00:00:00"/>
    <n v="64792"/>
    <n v="7008146"/>
    <x v="0"/>
    <n v="6108"/>
    <n v="9400"/>
    <n v="57415200"/>
    <n v="18"/>
    <n v="339.33333333333331"/>
    <n v="3189733.3333333335"/>
  </r>
  <r>
    <s v="Agronegocios JAR S.A.S Zomac"/>
    <s v="A148"/>
    <s v="A_El Tropezon"/>
    <d v="2022-06-08T00:00:00"/>
    <x v="5"/>
    <d v="2022-06-08T00:00:00"/>
    <d v="2022-06-13T00:00:00"/>
    <s v="_x0009_AG-70"/>
    <n v="7008146"/>
    <x v="0"/>
    <n v="2022"/>
    <n v="9450"/>
    <n v="19107900"/>
    <n v="5"/>
    <n v="404.4"/>
    <n v="3821580"/>
  </r>
  <r>
    <s v="Subagan S.A."/>
    <s v="A195"/>
    <s v="A_Linda Loma"/>
    <d v="2022-06-03T00:00:00"/>
    <x v="5"/>
    <d v="2022-06-01T00:00:00"/>
    <d v="2022-06-13T00:00:00"/>
    <s v="MIC614"/>
    <n v="7008146"/>
    <x v="0"/>
    <n v="18666"/>
    <n v="9260"/>
    <n v="172847160"/>
    <n v="47"/>
    <n v="397.14893617021278"/>
    <n v="3677599.1489361702"/>
  </r>
  <r>
    <s v="Subagan S.A."/>
    <s v="A195"/>
    <s v="A_Linda Loma"/>
    <d v="2022-06-03T00:00:00"/>
    <x v="5"/>
    <d v="2022-06-01T00:00:00"/>
    <d v="2022-06-13T00:00:00"/>
    <s v="MIC615"/>
    <n v="7008146"/>
    <x v="0"/>
    <n v="20811"/>
    <n v="9260"/>
    <n v="192709860"/>
    <n v="49"/>
    <n v="424.71428571428572"/>
    <n v="3932854.2857142859"/>
  </r>
  <r>
    <s v="Subagan S.A."/>
    <s v="A195"/>
    <s v="A_Linda Loma"/>
    <d v="2022-06-08T00:00:00"/>
    <x v="5"/>
    <d v="2022-06-08T00:00:00"/>
    <d v="2022-06-13T00:00:00"/>
    <s v="MIC625"/>
    <n v="7008146"/>
    <x v="0"/>
    <n v="40789"/>
    <n v="9450"/>
    <n v="385456050"/>
    <n v="115"/>
    <n v="354.68695652173915"/>
    <n v="3351791.7391304346"/>
  </r>
  <r>
    <s v="Alfonso Orozco Martinez"/>
    <s v="F097"/>
    <s v="F_Don Alfonso"/>
    <d v="2022-06-13T00:00:00"/>
    <x v="5"/>
    <d v="2022-06-13T00:00:00"/>
    <d v="2022-06-13T00:00:00"/>
    <s v="FE 79"/>
    <n v="7008146"/>
    <x v="0"/>
    <n v="50765"/>
    <n v="9200"/>
    <n v="467038000"/>
    <n v="160"/>
    <n v="317.28125"/>
    <n v="2918987.5"/>
  </r>
  <r>
    <s v="Agropecuaria Francia y Lusitania S.A.S"/>
    <s v="F201"/>
    <s v="F_La Aldea"/>
    <d v="2022-03-10T00:00:00"/>
    <x v="2"/>
    <d v="2022-06-09T00:00:00"/>
    <d v="2022-06-13T00:00:00"/>
    <s v="AG488"/>
    <n v="7008147"/>
    <x v="1"/>
    <n v="5310"/>
    <n v="9900"/>
    <n v="52569000"/>
    <n v="22"/>
    <n v="241.36363636363637"/>
    <n v="2389500"/>
  </r>
  <r>
    <s v="Agropecuaria Francia y Lusitania S.A.S"/>
    <s v="F201"/>
    <s v="F_La Aldea"/>
    <d v="2022-06-13T00:00:00"/>
    <x v="5"/>
    <d v="2022-06-09T00:00:00"/>
    <d v="2022-06-13T00:00:00"/>
    <s v="AG489"/>
    <n v="7008147"/>
    <x v="1"/>
    <n v="10623"/>
    <n v="9850"/>
    <n v="104636550"/>
    <n v="40"/>
    <n v="265.57499999999999"/>
    <n v="2615913.75"/>
  </r>
  <r>
    <s v="Agropecuaria Francia y Lusitania S.A.S"/>
    <s v="F191"/>
    <s v="F_Salonica"/>
    <d v="2022-06-13T00:00:00"/>
    <x v="5"/>
    <d v="2022-06-09T00:00:00"/>
    <d v="2022-06-13T00:00:00"/>
    <s v="AG490"/>
    <n v="7008147"/>
    <x v="1"/>
    <n v="44988"/>
    <n v="9800"/>
    <n v="440882400"/>
    <n v="160"/>
    <n v="281.17500000000001"/>
    <n v="2755515"/>
  </r>
  <r>
    <s v="Sugaberrio S.A.S"/>
    <s v="F198"/>
    <s v="La Tranquilidad"/>
    <d v="2022-06-10T00:00:00"/>
    <x v="5"/>
    <d v="2022-06-11T00:00:00"/>
    <d v="2022-06-13T00:00:00"/>
    <s v="FAC7824 "/>
    <n v="7008147"/>
    <x v="1"/>
    <n v="3987"/>
    <n v="9200"/>
    <n v="36680400"/>
    <n v="19"/>
    <n v="209.84210526315789"/>
    <n v="1930547.3684210526"/>
  </r>
  <r>
    <s v="Sugaberrio S.A.S"/>
    <s v="F198"/>
    <s v="La Tranquilidad"/>
    <d v="2022-06-10T00:00:00"/>
    <x v="5"/>
    <d v="2022-06-11T00:00:00"/>
    <d v="2022-06-13T00:00:00"/>
    <s v="FAC7827"/>
    <n v="7008147"/>
    <x v="1"/>
    <n v="5050"/>
    <n v="9500"/>
    <n v="47975000"/>
    <n v="24"/>
    <n v="210.41666666666666"/>
    <n v="1998958.3333333333"/>
  </r>
  <r>
    <s v="Agropecuaria Nacederos S.A.S"/>
    <s v="F071"/>
    <s v="F_Texas Araujo"/>
    <d v="2022-06-14T00:00:00"/>
    <x v="5"/>
    <d v="2022-06-14T00:00:00"/>
    <d v="2022-06-14T00:00:00"/>
    <s v="AN 197"/>
    <n v="7008146"/>
    <x v="0"/>
    <n v="17974"/>
    <n v="10008"/>
    <n v="179883792"/>
    <n v="59"/>
    <n v="304.64406779661016"/>
    <n v="3048877.8305084747"/>
  </r>
  <r>
    <s v="Subastar S.A"/>
    <s v="F019"/>
    <s v="F_Jordan"/>
    <d v="2022-06-09T00:00:00"/>
    <x v="5"/>
    <d v="2022-06-09T00:00:00"/>
    <d v="2022-06-14T00:00:00"/>
    <n v="239391"/>
    <n v="7008146"/>
    <x v="0"/>
    <n v="6512"/>
    <n v="9195"/>
    <n v="59876766"/>
    <n v="17"/>
    <n v="383.05882352941177"/>
    <n v="3522162.7058823528"/>
  </r>
  <r>
    <s v="Xiomara Del Carmen Kerguelen Velilla"/>
    <s v="F067"/>
    <s v="F_Guacharacas"/>
    <d v="2022-06-08T00:00:00"/>
    <x v="5"/>
    <d v="2022-06-07T00:00:00"/>
    <d v="2022-06-14T00:00:00"/>
    <s v="XK23"/>
    <n v="7008146"/>
    <x v="0"/>
    <n v="13226"/>
    <n v="9000"/>
    <n v="119034000"/>
    <n v="30"/>
    <n v="440.86666666666667"/>
    <n v="3967800"/>
  </r>
  <r>
    <s v="Sugaberrio S.A.S"/>
    <s v="A035"/>
    <s v="A_Santa Ines"/>
    <d v="2022-06-01T00:00:00"/>
    <x v="5"/>
    <d v="2022-06-02T00:00:00"/>
    <d v="2022-06-15T00:00:00"/>
    <s v="FCC11504"/>
    <n v="7008146"/>
    <x v="0"/>
    <n v="7726"/>
    <n v="8650"/>
    <n v="66829900"/>
    <n v="15"/>
    <n v="515.06666666666672"/>
    <n v="4455326.666666667"/>
  </r>
  <r>
    <s v="Subastar S.A"/>
    <s v="F073"/>
    <s v="F_Bello Horizont"/>
    <d v="2022-06-08T00:00:00"/>
    <x v="5"/>
    <d v="2022-06-09T00:00:00"/>
    <d v="2022-06-15T00:00:00"/>
    <s v="B1 39591"/>
    <n v="7008146"/>
    <x v="0"/>
    <n v="282"/>
    <n v="9044.099290780141"/>
    <n v="2550436"/>
    <n v="1"/>
    <n v="282"/>
    <n v="2550436"/>
  </r>
  <r>
    <s v="Subastar S.A"/>
    <s v="F073"/>
    <s v="F_Bello Horizont"/>
    <d v="2022-06-08T00:00:00"/>
    <x v="5"/>
    <d v="2022-06-09T00:00:00"/>
    <d v="2022-06-15T00:00:00"/>
    <s v="B1 39578"/>
    <n v="7008146"/>
    <x v="0"/>
    <n v="5358"/>
    <n v="9044.1000373273619"/>
    <n v="48458288"/>
    <n v="17"/>
    <n v="315.1764705882353"/>
    <n v="2850487.5294117648"/>
  </r>
  <r>
    <s v="Sugaberrio S.A.S"/>
    <s v="F073"/>
    <s v="F_Bello Horizont"/>
    <d v="2022-06-11T00:00:00"/>
    <x v="5"/>
    <d v="2022-06-11T00:00:00"/>
    <d v="2022-06-15T00:00:00"/>
    <s v="FBC15105"/>
    <n v="7008146"/>
    <x v="0"/>
    <n v="6041"/>
    <n v="9020"/>
    <n v="54489820"/>
    <n v="22"/>
    <n v="274.59090909090907"/>
    <n v="2476810"/>
  </r>
  <r>
    <s v="Subagan S.A."/>
    <s v="F019"/>
    <s v="F_Jordan"/>
    <d v="2022-06-07T00:00:00"/>
    <x v="5"/>
    <d v="2022-06-07T00:00:00"/>
    <d v="2022-06-15T00:00:00"/>
    <s v="MIC621"/>
    <n v="7008146"/>
    <x v="0"/>
    <n v="5458"/>
    <n v="9550"/>
    <n v="52123900"/>
    <n v="18"/>
    <n v="303.22222222222223"/>
    <n v="2895772.222222222"/>
  </r>
  <r>
    <s v="Sugaberrio S.A.S"/>
    <s v="F090"/>
    <s v="F_San Antonio"/>
    <d v="2022-06-09T00:00:00"/>
    <x v="5"/>
    <d v="2022-06-10T00:00:00"/>
    <d v="2022-06-15T00:00:00"/>
    <n v="7737"/>
    <n v="7008146"/>
    <x v="0"/>
    <n v="1454"/>
    <n v="8500"/>
    <n v="12359000"/>
    <n v="5"/>
    <n v="290.8"/>
    <n v="2471800"/>
  </r>
  <r>
    <s v="Sugaberrio S.A.S"/>
    <s v="F090"/>
    <s v="F_San Antonio"/>
    <d v="2022-06-09T00:00:00"/>
    <x v="5"/>
    <d v="2022-06-10T00:00:00"/>
    <d v="2022-06-15T00:00:00"/>
    <n v="7763"/>
    <n v="7008146"/>
    <x v="0"/>
    <n v="1883"/>
    <n v="8500"/>
    <n v="16005500"/>
    <n v="5"/>
    <n v="376.6"/>
    <n v="3201100"/>
  </r>
  <r>
    <s v="Sugaberrio S.A.S"/>
    <s v="F090"/>
    <s v="F_San Antonio"/>
    <d v="2022-06-09T00:00:00"/>
    <x v="5"/>
    <d v="2022-06-10T00:00:00"/>
    <d v="2022-06-15T00:00:00"/>
    <n v="7780"/>
    <n v="7008146"/>
    <x v="0"/>
    <n v="2189"/>
    <n v="8650"/>
    <n v="18934850"/>
    <n v="6"/>
    <n v="364.83333333333331"/>
    <n v="3155808.3333333335"/>
  </r>
  <r>
    <s v="Sugaberrio S.A.S"/>
    <s v="F090"/>
    <s v="F_San Antonio"/>
    <d v="2022-06-09T00:00:00"/>
    <x v="5"/>
    <d v="2022-06-10T00:00:00"/>
    <d v="2022-06-15T00:00:00"/>
    <n v="7786"/>
    <n v="7008146"/>
    <x v="0"/>
    <n v="365"/>
    <n v="8300"/>
    <n v="3029500"/>
    <n v="1"/>
    <n v="365"/>
    <n v="3029500"/>
  </r>
  <r>
    <s v="Sugaberrio S.A.S"/>
    <s v="F056"/>
    <s v="F_Las Delicias"/>
    <d v="2022-06-09T00:00:00"/>
    <x v="5"/>
    <d v="2022-06-10T00:00:00"/>
    <d v="2022-06-15T00:00:00"/>
    <n v="7757"/>
    <n v="7008147"/>
    <x v="1"/>
    <n v="3694"/>
    <n v="8800"/>
    <n v="32507200"/>
    <n v="17"/>
    <n v="217.29411764705881"/>
    <n v="1912188.2352941176"/>
  </r>
  <r>
    <s v="Sugaberrio S.A.S"/>
    <s v="F056"/>
    <s v="F_Las Delicias"/>
    <d v="2022-06-09T00:00:00"/>
    <x v="5"/>
    <d v="2022-06-10T00:00:00"/>
    <d v="2022-06-15T00:00:00"/>
    <n v="7782"/>
    <n v="7008147"/>
    <x v="1"/>
    <n v="2082"/>
    <n v="8600"/>
    <n v="17905200"/>
    <n v="9"/>
    <n v="231.33333333333334"/>
    <n v="1989466.6666666667"/>
  </r>
  <r>
    <s v="Sugaberrio S.A.S"/>
    <s v="F038"/>
    <s v="F_La Estrella"/>
    <d v="2022-06-09T00:00:00"/>
    <x v="5"/>
    <d v="2022-06-10T00:00:00"/>
    <d v="2022-06-15T00:00:00"/>
    <n v="7744"/>
    <n v="7008146"/>
    <x v="0"/>
    <n v="2598"/>
    <n v="9300"/>
    <n v="24161400"/>
    <n v="13"/>
    <n v="199.84615384615384"/>
    <n v="1858569.2307692308"/>
  </r>
  <r>
    <s v="Sugaberrio S.A.S"/>
    <s v="F038"/>
    <s v="F_La Estrella"/>
    <d v="2022-06-09T00:00:00"/>
    <x v="5"/>
    <d v="2022-06-10T00:00:00"/>
    <d v="2022-06-15T00:00:00"/>
    <n v="7770"/>
    <n v="7008146"/>
    <x v="0"/>
    <n v="2382"/>
    <n v="10000"/>
    <n v="23820000"/>
    <n v="13"/>
    <n v="183.23076923076923"/>
    <n v="1832307.6923076923"/>
  </r>
  <r>
    <s v="Sugaberrio S.A.S"/>
    <s v="F073"/>
    <s v="F_Bello Horizont"/>
    <d v="2022-06-15T00:00:00"/>
    <x v="5"/>
    <d v="2022-06-15T00:00:00"/>
    <d v="2022-06-16T00:00:00"/>
    <s v="FBC15163"/>
    <n v="7008146"/>
    <x v="0"/>
    <n v="5193"/>
    <n v="9020"/>
    <n v="46840860"/>
    <n v="16"/>
    <n v="324.5625"/>
    <n v="2927553.75"/>
  </r>
  <r>
    <s v="Subastar S.A"/>
    <s v="F073"/>
    <s v="F_Bello Horizont"/>
    <d v="2022-06-15T00:00:00"/>
    <x v="5"/>
    <d v="2022-06-16T00:00:00"/>
    <d v="2022-06-21T00:00:00"/>
    <s v="B1 39619"/>
    <n v="7008146"/>
    <x v="0"/>
    <n v="6016"/>
    <n v="9094.3450797872338"/>
    <n v="54711580"/>
    <n v="20"/>
    <n v="300.8"/>
    <n v="2735579"/>
  </r>
  <r>
    <s v="Rangel Jacob Cerchiario Mejia"/>
    <s v="F168"/>
    <s v="F_Providencia"/>
    <d v="2022-06-18T00:00:00"/>
    <x v="5"/>
    <d v="2022-06-17T00:00:00"/>
    <d v="2022-06-21T00:00:00"/>
    <s v="RJC-13"/>
    <n v="7008146"/>
    <x v="0"/>
    <n v="19202"/>
    <n v="8800"/>
    <n v="168977600"/>
    <n v="48"/>
    <n v="400.04166666666669"/>
    <n v="3520366.6666666665"/>
  </r>
  <r>
    <s v="Subagan S.A."/>
    <s v="A148"/>
    <s v="A_El Tropezon"/>
    <d v="2022-06-07T00:00:00"/>
    <x v="5"/>
    <d v="2022-06-07T00:00:00"/>
    <d v="2022-06-21T00:00:00"/>
    <s v="MIC620"/>
    <n v="7008146"/>
    <x v="0"/>
    <n v="11901"/>
    <n v="9550"/>
    <n v="113654550"/>
    <n v="37"/>
    <n v="321.64864864864865"/>
    <n v="3071744.5945945946"/>
  </r>
  <r>
    <s v="Subagan S.A."/>
    <s v="A148"/>
    <s v="A_El Tropezon"/>
    <d v="2022-06-07T00:00:00"/>
    <x v="5"/>
    <d v="2022-06-07T00:00:00"/>
    <d v="2022-06-21T00:00:00"/>
    <s v="MIC622"/>
    <n v="7008146"/>
    <x v="0"/>
    <n v="5837"/>
    <n v="9550"/>
    <n v="55743350"/>
    <n v="18"/>
    <n v="324.27777777777777"/>
    <n v="3096852.777777778"/>
  </r>
  <r>
    <s v="Subastar S.A"/>
    <s v="F062"/>
    <s v="F_La Leticia"/>
    <d v="2022-06-13T00:00:00"/>
    <x v="5"/>
    <d v="2022-06-13T00:00:00"/>
    <d v="2022-06-21T00:00:00"/>
    <n v="8041"/>
    <n v="7008146"/>
    <x v="0"/>
    <n v="12984"/>
    <n v="9295.3250154035741"/>
    <n v="120690500"/>
    <n v="36"/>
    <n v="360.66666666666669"/>
    <n v="3352513.888888889"/>
  </r>
  <r>
    <s v="Subagan S.A."/>
    <s v="F067"/>
    <s v="F_Guacharacas"/>
    <d v="2022-06-08T00:00:00"/>
    <x v="5"/>
    <d v="2022-06-08T00:00:00"/>
    <d v="2022-06-21T00:00:00"/>
    <s v="MIC626"/>
    <n v="7008146"/>
    <x v="0"/>
    <n v="19212"/>
    <n v="9411"/>
    <n v="180804132"/>
    <n v="52"/>
    <n v="369.46153846153845"/>
    <n v="3477002.5384615385"/>
  </r>
  <r>
    <s v="Subagan S.A."/>
    <s v="A019"/>
    <s v="A_Jordan"/>
    <d v="2022-06-07T00:00:00"/>
    <x v="5"/>
    <d v="2022-06-07T00:00:00"/>
    <d v="2022-06-21T00:00:00"/>
    <s v="MIC624"/>
    <n v="7008147"/>
    <x v="1"/>
    <n v="4905"/>
    <n v="9550"/>
    <n v="46842750"/>
    <n v="18"/>
    <n v="272.5"/>
    <n v="2602375"/>
  </r>
  <r>
    <s v="Subagan S.A."/>
    <s v="A148"/>
    <s v="A_El Tropezon"/>
    <d v="2022-06-16T00:00:00"/>
    <x v="5"/>
    <d v="2022-06-16T00:00:00"/>
    <d v="2022-06-21T00:00:00"/>
    <s v="MIC632"/>
    <n v="7008146"/>
    <x v="0"/>
    <n v="24290"/>
    <n v="9450"/>
    <n v="229540500"/>
    <n v="68"/>
    <n v="357.20588235294116"/>
    <n v="3375595.588235294"/>
  </r>
  <r>
    <s v="Subagan S.A."/>
    <s v="F193"/>
    <s v="F_El Milagro"/>
    <d v="2022-06-16T00:00:00"/>
    <x v="5"/>
    <d v="2022-06-16T00:00:00"/>
    <d v="2022-06-21T00:00:00"/>
    <s v="MIC633"/>
    <n v="7008151"/>
    <x v="3"/>
    <n v="11563"/>
    <n v="7770"/>
    <n v="89844510"/>
    <n v="36"/>
    <n v="321.19444444444446"/>
    <n v="2495680.8333333335"/>
  </r>
  <r>
    <s v="Agrosa S.A.S"/>
    <s v="F185"/>
    <s v="Nicaragua"/>
    <d v="2022-06-21T00:00:00"/>
    <x v="5"/>
    <d v="2022-06-21T00:00:00"/>
    <d v="2022-06-22T00:00:00"/>
    <s v="AGRO32"/>
    <n v="7008151"/>
    <x v="3"/>
    <n v="24526"/>
    <n v="7750"/>
    <n v="190076500"/>
    <n v="80"/>
    <n v="306.57499999999999"/>
    <n v="2375956.25"/>
  </r>
  <r>
    <s v="Sugaberrio S.A.S"/>
    <s v="F161"/>
    <s v="F_Los Santos"/>
    <d v="2022-06-18T00:00:00"/>
    <x v="5"/>
    <d v="2022-06-18T00:00:00"/>
    <d v="2022-06-22T00:00:00"/>
    <s v="FBS 201"/>
    <n v="7008147"/>
    <x v="1"/>
    <n v="4585"/>
    <n v="9100"/>
    <n v="41723500"/>
    <n v="19"/>
    <n v="241.31578947368422"/>
    <n v="2195973.6842105263"/>
  </r>
  <r>
    <s v="Subagan S.A."/>
    <s v="F193"/>
    <s v="F_El Milagro"/>
    <d v="2022-06-11T00:00:00"/>
    <x v="5"/>
    <d v="2022-06-11T00:00:00"/>
    <d v="2022-06-23T00:00:00"/>
    <s v="MIC630"/>
    <n v="7008151"/>
    <x v="3"/>
    <n v="14585"/>
    <n v="7834"/>
    <n v="114258890"/>
    <n v="55"/>
    <n v="265.18181818181819"/>
    <n v="2077434.3636363635"/>
  </r>
  <r>
    <s v="Inversiones Bonito Viento S.A.S"/>
    <s v="F043"/>
    <s v="F_Monaco"/>
    <d v="2022-06-22T00:00:00"/>
    <x v="5"/>
    <d v="2022-06-22T00:00:00"/>
    <d v="2022-06-23T00:00:00"/>
    <s v="IBV99"/>
    <n v="7008146"/>
    <x v="0"/>
    <n v="24001"/>
    <n v="9300"/>
    <n v="223209300"/>
    <n v="60"/>
    <n v="400.01666666666665"/>
    <n v="3720155"/>
  </r>
  <r>
    <s v="Martha Marina Gutierrez Gomez"/>
    <s v="A019"/>
    <s v="A_Jordan"/>
    <d v="2022-06-21T00:00:00"/>
    <x v="5"/>
    <d v="2022-06-21T00:00:00"/>
    <d v="2022-06-24T00:00:00"/>
    <s v="RJGG-80"/>
    <n v="7008147"/>
    <x v="1"/>
    <n v="3165"/>
    <n v="9500"/>
    <n v="30067500"/>
    <n v="9"/>
    <n v="351.66666666666669"/>
    <n v="3340833.3333333335"/>
  </r>
  <r>
    <s v="Sugaberrio S.A.S"/>
    <s v="F151"/>
    <s v="F_El Playon"/>
    <d v="2022-06-23T00:00:00"/>
    <x v="5"/>
    <d v="2022-06-24T00:00:00"/>
    <d v="2022-06-27T00:00:00"/>
    <s v="FBC15303"/>
    <n v="7008147"/>
    <x v="1"/>
    <n v="11315"/>
    <n v="9020"/>
    <n v="102061300"/>
    <n v="48"/>
    <n v="235.72916666666666"/>
    <n v="2126277.0833333335"/>
  </r>
  <r>
    <s v="Juan Alberto Saldarriaga "/>
    <s v="F069"/>
    <s v="F_Las Camelias"/>
    <d v="2022-06-15T00:00:00"/>
    <x v="5"/>
    <d v="2022-06-15T00:00:00"/>
    <d v="2022-06-28T00:00:00"/>
    <n v="6048"/>
    <n v="7008146"/>
    <x v="0"/>
    <n v="6386"/>
    <n v="9450"/>
    <n v="60347700"/>
    <n v="17"/>
    <n v="375.64705882352939"/>
    <n v="3549864.7058823528"/>
  </r>
  <r>
    <s v="Subagan S.A."/>
    <s v="F062"/>
    <s v="F_La Leticia"/>
    <d v="2022-06-24T00:00:00"/>
    <x v="5"/>
    <d v="2022-06-23T00:00:00"/>
    <d v="2022-06-28T00:00:00"/>
    <s v="MIC636"/>
    <n v="7008146"/>
    <x v="0"/>
    <n v="26215"/>
    <n v="9528"/>
    <n v="249776520"/>
    <n v="72"/>
    <n v="364.09722222222223"/>
    <n v="3469118.3333333335"/>
  </r>
  <r>
    <s v="Subastar S.A"/>
    <s v="F193"/>
    <s v="F_El Milagro"/>
    <d v="2022-06-08T00:00:00"/>
    <x v="5"/>
    <d v="2022-06-10T00:00:00"/>
    <d v="2022-06-28T00:00:00"/>
    <s v="B1 39575"/>
    <n v="7008151"/>
    <x v="3"/>
    <n v="2718"/>
    <n v="7084.5448859455482"/>
    <n v="19255793"/>
    <n v="10"/>
    <n v="271.8"/>
    <n v="1925579.3"/>
  </r>
  <r>
    <s v="Subastar S.A"/>
    <s v="F193"/>
    <s v="F_El Milagro"/>
    <d v="2022-06-08T00:00:00"/>
    <x v="5"/>
    <d v="2022-06-10T00:00:00"/>
    <d v="2022-06-28T00:00:00"/>
    <n v="39573"/>
    <n v="7008151"/>
    <x v="3"/>
    <n v="2108"/>
    <n v="7034.299810246679"/>
    <n v="14828304"/>
    <n v="8"/>
    <n v="263.5"/>
    <n v="1853538"/>
  </r>
  <r>
    <s v="Subastar S.A"/>
    <s v="F193"/>
    <s v="F_El Milagro"/>
    <d v="2022-06-08T00:00:00"/>
    <x v="5"/>
    <d v="2022-06-10T00:00:00"/>
    <d v="2022-06-28T00:00:00"/>
    <n v="39574"/>
    <n v="7008151"/>
    <x v="3"/>
    <n v="1936"/>
    <n v="7034.3001033057853"/>
    <n v="13618405"/>
    <n v="8"/>
    <n v="242"/>
    <n v="1702300.625"/>
  </r>
  <r>
    <s v="Subastar S.A"/>
    <s v="F193"/>
    <s v="F_El Milagro"/>
    <d v="2022-06-08T00:00:00"/>
    <x v="5"/>
    <d v="2022-06-10T00:00:00"/>
    <d v="2022-06-28T00:00:00"/>
    <n v="39649"/>
    <n v="7008151"/>
    <x v="3"/>
    <n v="582"/>
    <n v="6330.8694158075605"/>
    <n v="3684566"/>
    <n v="2"/>
    <n v="291"/>
    <n v="1842283"/>
  </r>
  <r>
    <s v="Subastar S.A"/>
    <s v="F193"/>
    <s v="F_El Milagro"/>
    <d v="2022-06-08T00:00:00"/>
    <x v="5"/>
    <d v="2022-06-10T00:00:00"/>
    <d v="2022-06-28T00:00:00"/>
    <n v="39654"/>
    <n v="7008151"/>
    <x v="3"/>
    <n v="206"/>
    <n v="7436.2621359223303"/>
    <n v="1531870"/>
    <n v="1"/>
    <n v="206"/>
    <n v="1531870"/>
  </r>
  <r>
    <s v="Subastar S.A"/>
    <s v="F193"/>
    <s v="F_El Milagro"/>
    <d v="2022-06-08T00:00:00"/>
    <x v="5"/>
    <d v="2022-06-10T00:00:00"/>
    <d v="2022-06-28T00:00:00"/>
    <n v="39656"/>
    <n v="7008151"/>
    <x v="3"/>
    <n v="186"/>
    <n v="6632.3387096774195"/>
    <n v="1233615"/>
    <n v="1"/>
    <n v="186"/>
    <n v="1233615"/>
  </r>
  <r>
    <s v="Subastar S.A"/>
    <s v="F193"/>
    <s v="F_El Milagro"/>
    <d v="2022-06-08T00:00:00"/>
    <x v="5"/>
    <d v="2022-06-10T00:00:00"/>
    <d v="2022-06-28T00:00:00"/>
    <n v="39648"/>
    <n v="7008151"/>
    <x v="3"/>
    <n v="274"/>
    <n v="6632.3394160583939"/>
    <n v="1817261"/>
    <n v="1"/>
    <n v="274"/>
    <n v="1817261"/>
  </r>
  <r>
    <s v="Subastar S.A"/>
    <s v="F193"/>
    <s v="F_El Milagro"/>
    <d v="2022-06-08T00:00:00"/>
    <x v="5"/>
    <d v="2022-06-10T00:00:00"/>
    <d v="2022-06-28T00:00:00"/>
    <n v="39657"/>
    <n v="7008151"/>
    <x v="3"/>
    <n v="428"/>
    <n v="7235.2803738317753"/>
    <n v="3096700"/>
    <n v="2"/>
    <n v="214"/>
    <n v="1548350"/>
  </r>
  <r>
    <s v="Subagan S.A."/>
    <s v="A019"/>
    <s v="A_Jordan"/>
    <d v="2022-06-24T00:00:00"/>
    <x v="5"/>
    <d v="2022-06-25T00:00:00"/>
    <d v="2022-06-28T00:00:00"/>
    <s v="MIC635"/>
    <n v="7008146"/>
    <x v="0"/>
    <n v="19862"/>
    <n v="9512"/>
    <n v="188927344"/>
    <n v="54"/>
    <n v="367.81481481481484"/>
    <n v="3498654.5185185187"/>
  </r>
  <r>
    <s v="Sugaberrio S.A.S"/>
    <s v="F193"/>
    <s v="F_El Milagro"/>
    <d v="2022-06-09T00:00:00"/>
    <x v="5"/>
    <d v="2022-06-10T00:00:00"/>
    <d v="2022-06-28T00:00:00"/>
    <n v="7762"/>
    <n v="7008151"/>
    <x v="3"/>
    <n v="3119"/>
    <n v="7550"/>
    <n v="23548450"/>
    <n v="10"/>
    <n v="311.89999999999998"/>
    <n v="2354845"/>
  </r>
  <r>
    <s v="Sugaberrio S.A.S"/>
    <s v="F193"/>
    <s v="F_El Milagro"/>
    <d v="2022-06-09T00:00:00"/>
    <x v="5"/>
    <d v="2022-06-10T00:00:00"/>
    <d v="2022-06-28T00:00:00"/>
    <n v="7779"/>
    <n v="7008151"/>
    <x v="3"/>
    <n v="1648"/>
    <n v="7300"/>
    <n v="12030400"/>
    <n v="5"/>
    <n v="329.6"/>
    <n v="2406080"/>
  </r>
  <r>
    <s v="Juan Pablo Gutierrez Sanin"/>
    <s v="F007"/>
    <s v="F_El Caldero"/>
    <d v="2022-06-25T00:00:00"/>
    <x v="5"/>
    <d v="2022-06-26T00:00:00"/>
    <d v="2022-06-28T00:00:00"/>
    <s v="_x0009_PNFE-162"/>
    <n v="7008146"/>
    <x v="0"/>
    <n v="36828"/>
    <n v="9100"/>
    <n v="335134800"/>
    <n v="106"/>
    <n v="347.43396226415092"/>
    <n v="3161649.0566037735"/>
  </r>
  <r>
    <s v="Subasta Ganadera Casanare S.A"/>
    <s v="A035"/>
    <s v="A_Santa Ines"/>
    <d v="2022-06-16T00:00:00"/>
    <x v="5"/>
    <d v="2022-06-18T00:00:00"/>
    <d v="2022-06-28T00:00:00"/>
    <n v="25527"/>
    <n v="7008146"/>
    <x v="0"/>
    <n v="5388"/>
    <n v="7802.8953229398667"/>
    <n v="42042000"/>
    <n v="13"/>
    <n v="414.46153846153845"/>
    <n v="3234000"/>
  </r>
  <r>
    <s v="Subasta Ganadera Casanare S.A"/>
    <s v="A035"/>
    <s v="A_Santa Ines"/>
    <d v="2022-06-16T00:00:00"/>
    <x v="5"/>
    <d v="2022-06-18T00:00:00"/>
    <d v="2022-06-28T00:00:00"/>
    <n v="25528"/>
    <n v="7008146"/>
    <x v="0"/>
    <n v="3070"/>
    <n v="8153.9087947882736"/>
    <n v="25032500"/>
    <n v="10"/>
    <n v="307"/>
    <n v="2503250"/>
  </r>
  <r>
    <s v="Subasta Ganadera Casanare S.A"/>
    <s v="A035"/>
    <s v="A_Santa Ines"/>
    <d v="2022-06-16T00:00:00"/>
    <x v="5"/>
    <d v="2022-06-18T00:00:00"/>
    <d v="2022-06-28T00:00:00"/>
    <n v="25529"/>
    <n v="7008146"/>
    <x v="0"/>
    <n v="6642"/>
    <n v="8102.5293586269199"/>
    <n v="53817000"/>
    <n v="14"/>
    <n v="474.42857142857144"/>
    <n v="3844071.4285714286"/>
  </r>
  <r>
    <s v="Maria Fernanda Dangond Quintero"/>
    <s v="F073"/>
    <s v="F_Bello Horizont"/>
    <d v="2022-06-24T00:00:00"/>
    <x v="5"/>
    <d v="2022-06-27T00:00:00"/>
    <d v="2022-06-28T00:00:00"/>
    <s v="GAN - 28"/>
    <n v="7008146"/>
    <x v="0"/>
    <n v="22751"/>
    <n v="8550"/>
    <n v="194521050"/>
    <n v="60"/>
    <n v="379.18333333333334"/>
    <n v="3242017.5"/>
  </r>
  <r>
    <s v="Maria Fernanda Dangond Quintero"/>
    <s v="F073"/>
    <s v="F_Bello Horizont"/>
    <d v="2022-06-24T00:00:00"/>
    <x v="5"/>
    <d v="2022-06-27T00:00:00"/>
    <d v="2022-06-28T00:00:00"/>
    <s v="GAN - 27"/>
    <n v="7008147"/>
    <x v="1"/>
    <n v="5507"/>
    <n v="8900"/>
    <n v="49012300"/>
    <n v="21"/>
    <n v="262.23809523809524"/>
    <n v="2333919.0476190476"/>
  </r>
  <r>
    <s v="Sugaberrio S.A.S"/>
    <s v="F038"/>
    <s v="F_La Estrella"/>
    <d v="2022-06-16T00:00:00"/>
    <x v="5"/>
    <d v="2022-06-17T00:00:00"/>
    <d v="2022-06-28T00:00:00"/>
    <s v="FAC7870"/>
    <n v="7008146"/>
    <x v="0"/>
    <n v="5056"/>
    <n v="9950"/>
    <n v="50307200"/>
    <n v="23"/>
    <n v="219.82608695652175"/>
    <n v="2187269.5652173911"/>
  </r>
  <r>
    <s v="Sugaberrio S.A.S"/>
    <s v="F056"/>
    <s v="F_Las Delicias"/>
    <d v="2022-06-16T00:00:00"/>
    <x v="5"/>
    <d v="2022-06-17T00:00:00"/>
    <d v="2022-06-28T00:00:00"/>
    <s v="FAC 7881"/>
    <n v="7008147"/>
    <x v="1"/>
    <n v="2585"/>
    <n v="8800"/>
    <n v="22748000"/>
    <n v="12"/>
    <n v="215.41666666666666"/>
    <n v="1895666.6666666667"/>
  </r>
  <r>
    <s v="CC Subasta Ganadera Del Sinu S.A.S"/>
    <s v="F185"/>
    <s v="Nicaragua"/>
    <d v="2022-06-21T00:00:00"/>
    <x v="5"/>
    <d v="2022-06-21T00:00:00"/>
    <d v="2022-06-28T00:00:00"/>
    <s v="AF65048"/>
    <n v="7008151"/>
    <x v="3"/>
    <n v="18623"/>
    <n v="7750"/>
    <n v="144328250"/>
    <n v="60"/>
    <n v="310.38333333333333"/>
    <n v="2405470.8333333335"/>
  </r>
  <r>
    <s v="Subastar S.A"/>
    <s v="F019"/>
    <s v="F_Jordan"/>
    <d v="2022-06-23T00:00:00"/>
    <x v="5"/>
    <d v="2022-06-23T00:00:00"/>
    <d v="2022-06-29T00:00:00"/>
    <n v="239716"/>
    <n v="7008146"/>
    <x v="0"/>
    <n v="6974"/>
    <n v="9094.3449956983077"/>
    <n v="63423962"/>
    <n v="16"/>
    <n v="435.875"/>
    <n v="3963997.625"/>
  </r>
  <r>
    <s v="Subastar S.A"/>
    <s v="F165"/>
    <s v="F_San Clemente"/>
    <d v="2022-06-23T00:00:00"/>
    <x v="5"/>
    <d v="2022-06-23T00:00:00"/>
    <d v="2022-06-29T00:00:00"/>
    <n v="239720"/>
    <n v="7008151"/>
    <x v="3"/>
    <n v="5600"/>
    <n v="7386.0150000000003"/>
    <n v="41361684"/>
    <n v="16"/>
    <n v="350"/>
    <n v="2585105.25"/>
  </r>
  <r>
    <s v="Subastar S.A"/>
    <s v="F165"/>
    <s v="F_San Clemente"/>
    <d v="2022-06-23T00:00:00"/>
    <x v="5"/>
    <d v="2022-06-23T00:00:00"/>
    <d v="2022-06-29T00:00:00"/>
    <n v="239736"/>
    <n v="7008151"/>
    <x v="3"/>
    <n v="4944"/>
    <n v="7185.0349919093851"/>
    <n v="35522813"/>
    <n v="15"/>
    <n v="329.6"/>
    <n v="2368187.5333333332"/>
  </r>
  <r>
    <s v="Subastar S.A"/>
    <s v="F165"/>
    <s v="F_San Clemente"/>
    <d v="2022-06-23T00:00:00"/>
    <x v="5"/>
    <d v="2022-06-23T00:00:00"/>
    <d v="2022-06-29T00:00:00"/>
    <n v="239767"/>
    <n v="7008151"/>
    <x v="3"/>
    <n v="5808"/>
    <n v="7134.7899449035813"/>
    <n v="41438860"/>
    <n v="22"/>
    <n v="264"/>
    <n v="1883584.5454545454"/>
  </r>
  <r>
    <s v="Subastar S.A"/>
    <s v="F165"/>
    <s v="F_San Clemente"/>
    <d v="2022-06-23T00:00:00"/>
    <x v="5"/>
    <d v="2022-06-23T00:00:00"/>
    <d v="2022-06-29T00:00:00"/>
    <n v="239769"/>
    <n v="7008151"/>
    <x v="3"/>
    <n v="5710"/>
    <n v="7185.035026269702"/>
    <n v="41026550"/>
    <n v="19"/>
    <n v="300.5263157894737"/>
    <n v="2159292.1052631577"/>
  </r>
  <r>
    <s v="Subastar S.A"/>
    <s v="F191"/>
    <s v="F_Salonica"/>
    <d v="2022-06-23T00:00:00"/>
    <x v="5"/>
    <d v="2022-06-24T00:00:00"/>
    <d v="2022-06-29T00:00:00"/>
    <n v="239743"/>
    <n v="7008147"/>
    <x v="1"/>
    <n v="5796"/>
    <n v="9446.0600414078672"/>
    <n v="54749364"/>
    <n v="20"/>
    <n v="289.8"/>
    <n v="2737468.2"/>
  </r>
  <r>
    <s v="Subastar S.A"/>
    <s v="F191"/>
    <s v="F_Salonica"/>
    <d v="2022-06-23T00:00:00"/>
    <x v="5"/>
    <d v="2022-06-24T00:00:00"/>
    <d v="2022-06-29T00:00:00"/>
    <n v="239753"/>
    <n v="7008147"/>
    <x v="1"/>
    <n v="5808"/>
    <n v="9496.304924242424"/>
    <n v="55154539"/>
    <n v="20"/>
    <n v="290.39999999999998"/>
    <n v="2757726.95"/>
  </r>
  <r>
    <s v="Sugaberrio S.A.S"/>
    <s v="F199"/>
    <s v="La Fortuna"/>
    <d v="2022-06-16T00:00:00"/>
    <x v="5"/>
    <d v="2022-06-17T00:00:00"/>
    <d v="2022-06-29T00:00:00"/>
    <n v="7860"/>
    <n v="7008146"/>
    <x v="0"/>
    <n v="1207"/>
    <n v="9100"/>
    <n v="10983700"/>
    <n v="5"/>
    <n v="241.4"/>
    <n v="2196740"/>
  </r>
  <r>
    <s v="Sugaberrio S.A.S"/>
    <s v="F199"/>
    <s v="La Fortuna"/>
    <d v="2022-06-16T00:00:00"/>
    <x v="5"/>
    <d v="2022-06-17T00:00:00"/>
    <d v="2022-06-29T00:00:00"/>
    <n v="7874"/>
    <n v="7008146"/>
    <x v="0"/>
    <n v="4235"/>
    <n v="9010"/>
    <n v="38157350"/>
    <n v="15"/>
    <n v="282.33333333333331"/>
    <n v="2543823.3333333335"/>
  </r>
  <r>
    <s v="Sugaberrio S.A.S"/>
    <s v="F199"/>
    <s v="La Fortuna"/>
    <d v="2022-06-16T00:00:00"/>
    <x v="5"/>
    <d v="2022-06-17T00:00:00"/>
    <d v="2022-06-29T00:00:00"/>
    <n v="7878"/>
    <n v="7008146"/>
    <x v="0"/>
    <n v="4847"/>
    <n v="9350"/>
    <n v="45319450"/>
    <n v="21"/>
    <n v="230.8095238095238"/>
    <n v="2158069.0476190476"/>
  </r>
  <r>
    <s v="Sugaberrio S.A.S"/>
    <s v="F074"/>
    <s v="F_Venecia"/>
    <d v="2022-06-17T00:00:00"/>
    <x v="5"/>
    <d v="2022-06-17T00:00:00"/>
    <d v="2022-06-29T00:00:00"/>
    <s v="FBC15166"/>
    <n v="7008146"/>
    <x v="0"/>
    <n v="4960"/>
    <n v="8920"/>
    <n v="44243200"/>
    <n v="16"/>
    <n v="310"/>
    <n v="2765200"/>
  </r>
  <r>
    <s v="Sugaberrio S.A.S"/>
    <s v="F059"/>
    <s v="F_Tulcan"/>
    <d v="2022-06-23T00:00:00"/>
    <x v="5"/>
    <d v="2022-06-23T00:00:00"/>
    <d v="2022-06-30T00:00:00"/>
    <s v="FBC15302"/>
    <n v="7008146"/>
    <x v="0"/>
    <n v="11313"/>
    <n v="8994"/>
    <n v="101749122"/>
    <n v="40"/>
    <n v="282.82499999999999"/>
    <n v="2543728.0499999998"/>
  </r>
  <r>
    <s v="Olger Fernando Rojas Angarita"/>
    <s v="F075"/>
    <s v="F_El Tambo"/>
    <d v="2022-06-24T00:00:00"/>
    <x v="5"/>
    <d v="2022-06-24T00:00:00"/>
    <d v="2022-06-30T00:00:00"/>
    <s v="OR183"/>
    <n v="7008146"/>
    <x v="0"/>
    <n v="42616"/>
    <n v="8600"/>
    <n v="366497600"/>
    <n v="119"/>
    <n v="358.11764705882354"/>
    <n v="3079811.7647058824"/>
  </r>
  <r>
    <s v="Hugo Alfonso Portillo Rodriguez"/>
    <s v="F140"/>
    <s v="F_Gualanday"/>
    <d v="2022-06-15T00:00:00"/>
    <x v="5"/>
    <d v="2022-06-25T00:00:00"/>
    <d v="2022-06-30T00:00:00"/>
    <s v="E-141"/>
    <n v="7008146"/>
    <x v="0"/>
    <n v="30605"/>
    <n v="9000"/>
    <n v="275445000"/>
    <n v="90"/>
    <n v="340.05555555555554"/>
    <n v="3060500"/>
  </r>
  <r>
    <s v="Maria Fernanda Dangond Quintero"/>
    <s v="F073"/>
    <s v="F_Bello Horizont"/>
    <d v="2022-06-27T00:00:00"/>
    <x v="5"/>
    <d v="2022-06-29T00:00:00"/>
    <d v="2022-06-30T00:00:00"/>
    <s v="GAN - 29"/>
    <n v="7008146"/>
    <x v="0"/>
    <n v="13521"/>
    <n v="8550"/>
    <n v="115604550"/>
    <n v="36"/>
    <n v="375.58333333333331"/>
    <n v="3211237.5"/>
  </r>
  <r>
    <s v="Sugaberrio S.A.S"/>
    <s v="F058"/>
    <s v="F_La Pradilla"/>
    <d v="2022-06-23T00:00:00"/>
    <x v="5"/>
    <d v="2022-06-23T00:00:00"/>
    <d v="2022-06-30T00:00:00"/>
    <s v="FBC15421"/>
    <n v="7008146"/>
    <x v="0"/>
    <n v="13433"/>
    <n v="8712"/>
    <n v="117028296"/>
    <n v="36"/>
    <n v="373.13888888888891"/>
    <n v="3250786"/>
  </r>
  <r>
    <s v="Hugo Alfonso Portillo Rodriguez"/>
    <s v="AC41"/>
    <s v="Alm. FeedLot"/>
    <d v="2022-06-24T00:00:00"/>
    <x v="5"/>
    <d v="2022-06-24T00:00:00"/>
    <d v="2022-06-30T00:00:00"/>
    <s v="E144"/>
    <n v="7008146"/>
    <x v="0"/>
    <n v="10194"/>
    <n v="9000"/>
    <n v="91746000"/>
    <n v="30"/>
    <n v="339.8"/>
    <n v="3058200"/>
  </r>
  <r>
    <s v="Sugaberrio S.A.S"/>
    <s v="F198"/>
    <s v="La Tranquilidad"/>
    <d v="2022-06-23T00:00:00"/>
    <x v="5"/>
    <d v="2022-06-24T00:00:00"/>
    <d v="2022-06-30T00:00:00"/>
    <s v="FBC15422 "/>
    <n v="7008147"/>
    <x v="1"/>
    <n v="5470"/>
    <n v="9349"/>
    <n v="51139030"/>
    <n v="24"/>
    <n v="227.91666666666666"/>
    <n v="2130792.9166666665"/>
  </r>
  <r>
    <s v="Sugaberrio S.A.S"/>
    <s v="F198"/>
    <s v="La Tranquilidad"/>
    <d v="2022-06-23T00:00:00"/>
    <x v="5"/>
    <d v="2022-06-24T00:00:00"/>
    <d v="2022-06-30T00:00:00"/>
    <s v="FAC7961"/>
    <n v="7008147"/>
    <x v="1"/>
    <n v="5825"/>
    <n v="9050"/>
    <n v="52716250"/>
    <n v="22"/>
    <n v="264.77272727272725"/>
    <n v="2396193.1818181816"/>
  </r>
  <r>
    <s v="Julian Molina Arias"/>
    <s v="F071"/>
    <s v="F_Texas Araujo"/>
    <d v="2022-06-28T00:00:00"/>
    <x v="5"/>
    <d v="2022-06-28T00:00:00"/>
    <d v="2022-06-30T00:00:00"/>
    <s v="FACE29"/>
    <n v="7008146"/>
    <x v="0"/>
    <n v="13351"/>
    <n v="9100"/>
    <n v="121494100"/>
    <n v="44"/>
    <n v="303.43181818181819"/>
    <n v="2761229.5454545454"/>
  </r>
  <r>
    <s v="Wilson Murillo"/>
    <s v="F057 "/>
    <s v="F_Patio Bonito"/>
    <d v="2022-07-01T00:00:00"/>
    <x v="6"/>
    <d v="2022-07-01T00:00:00"/>
    <d v="2022-07-01T00:00:00"/>
    <s v="FE198"/>
    <n v="7008146"/>
    <x v="0"/>
    <n v="16595"/>
    <n v="9650"/>
    <n v="160141750"/>
    <n v="51"/>
    <n v="325.39215686274508"/>
    <n v="3140034.3137254901"/>
  </r>
  <r>
    <s v="Subastar S.A"/>
    <s v="F199"/>
    <s v="La Fortuna"/>
    <d v="2022-06-13T00:00:00"/>
    <x v="5"/>
    <d v="2022-06-13T00:00:00"/>
    <d v="2022-07-01T00:00:00"/>
    <n v="8042"/>
    <n v="7008146"/>
    <x v="0"/>
    <n v="4897"/>
    <n v="9848"/>
    <n v="48225754"/>
    <n v="20"/>
    <n v="244.85"/>
    <n v="2411287.7000000002"/>
  </r>
  <r>
    <s v="Beatriz Elena Santa Ruiz"/>
    <s v="F176"/>
    <s v="F_Tripoli"/>
    <d v="2022-06-30T00:00:00"/>
    <x v="5"/>
    <d v="2022-06-30T00:00:00"/>
    <d v="2022-07-05T00:00:00"/>
    <s v="FE-1"/>
    <n v="7008147"/>
    <x v="1"/>
    <n v="7639"/>
    <n v="9500"/>
    <n v="72570500"/>
    <n v="29"/>
    <n v="263.41379310344826"/>
    <n v="2502431.0344827585"/>
  </r>
  <r>
    <s v="Jose Francisco Muñoz Jimenez"/>
    <s v="F182"/>
    <s v="F_Vista Hermosa"/>
    <d v="2022-06-29T00:00:00"/>
    <x v="5"/>
    <d v="2022-06-28T00:00:00"/>
    <d v="2022-07-05T00:00:00"/>
    <s v="FV-2"/>
    <n v="7008147"/>
    <x v="1"/>
    <n v="20093"/>
    <n v="9000"/>
    <n v="180837000"/>
    <n v="70"/>
    <n v="287.04285714285714"/>
    <n v="2583385.7142857141"/>
  </r>
  <r>
    <s v="Monte Rojo S.A.S"/>
    <s v="F167"/>
    <s v="F_Chenevo"/>
    <d v="2022-07-05T00:00:00"/>
    <x v="6"/>
    <d v="2022-07-02T00:00:00"/>
    <d v="2022-07-06T00:00:00"/>
    <s v="FVE40"/>
    <n v="7008146"/>
    <x v="0"/>
    <n v="38865"/>
    <n v="8800"/>
    <n v="342012000"/>
    <n v="123"/>
    <n v="315.97560975609758"/>
    <n v="2780585.3658536584"/>
  </r>
  <r>
    <s v="Monte Rojo S.A.S"/>
    <s v="F167"/>
    <s v="F_Chenevo"/>
    <d v="2022-07-05T00:00:00"/>
    <x v="6"/>
    <d v="2022-07-02T00:00:00"/>
    <d v="2022-07-06T00:00:00"/>
    <s v="FVE41"/>
    <n v="7008146"/>
    <x v="0"/>
    <n v="56706"/>
    <n v="8400"/>
    <n v="476330400"/>
    <n v="139"/>
    <n v="407.9568345323741"/>
    <n v="3426837.4100719425"/>
  </r>
  <r>
    <s v="German Alberto Cañon Jaime"/>
    <s v="F038"/>
    <s v="F_La Estrella"/>
    <d v="2022-06-23T00:00:00"/>
    <x v="5"/>
    <d v="2022-06-22T00:00:00"/>
    <d v="2022-07-06T00:00:00"/>
    <s v="FE59"/>
    <n v="7008146"/>
    <x v="0"/>
    <n v="31418"/>
    <n v="8900"/>
    <n v="279620200"/>
    <n v="90"/>
    <n v="349.0888888888889"/>
    <n v="3106891.111111111"/>
  </r>
  <r>
    <s v="Subastar S.A"/>
    <s v="F151"/>
    <s v="F_El Playon"/>
    <d v="2022-06-29T00:00:00"/>
    <x v="5"/>
    <d v="2022-06-30T00:00:00"/>
    <d v="2022-07-06T00:00:00"/>
    <n v="39705"/>
    <n v="7008147"/>
    <x v="1"/>
    <n v="5622"/>
    <n v="8843.1200640341522"/>
    <n v="49716021"/>
    <n v="18"/>
    <n v="312.33333333333331"/>
    <n v="2762001.1666666665"/>
  </r>
  <r>
    <s v="Subastar S.A"/>
    <s v="F151"/>
    <s v="F_El Playon"/>
    <d v="2022-06-29T00:00:00"/>
    <x v="5"/>
    <d v="2022-06-30T00:00:00"/>
    <d v="2022-07-06T00:00:00"/>
    <n v="39702"/>
    <n v="7008147"/>
    <x v="1"/>
    <n v="6360"/>
    <n v="9144.589937106919"/>
    <n v="58159592"/>
    <n v="22"/>
    <n v="289.09090909090907"/>
    <n v="2643617.8181818184"/>
  </r>
  <r>
    <s v="Subastar S.A"/>
    <s v="F151"/>
    <s v="F_El Playon"/>
    <d v="2022-06-29T00:00:00"/>
    <x v="5"/>
    <d v="2022-06-30T00:00:00"/>
    <d v="2022-07-06T00:00:00"/>
    <n v="39698"/>
    <n v="7008147"/>
    <x v="1"/>
    <n v="5638"/>
    <n v="9194.8350478893226"/>
    <n v="51840480"/>
    <n v="20"/>
    <n v="281.89999999999998"/>
    <n v="2592024"/>
  </r>
  <r>
    <s v="Subastar S.A"/>
    <s v="F151"/>
    <s v="F_El Playon"/>
    <d v="2022-06-29T00:00:00"/>
    <x v="5"/>
    <d v="2022-06-30T00:00:00"/>
    <d v="2022-07-06T00:00:00"/>
    <n v="39697"/>
    <n v="7008147"/>
    <x v="1"/>
    <n v="5132"/>
    <n v="9295.3250194855809"/>
    <n v="47703608"/>
    <n v="20"/>
    <n v="256.60000000000002"/>
    <n v="2385180.4"/>
  </r>
  <r>
    <s v="Wilson Murillo"/>
    <s v="F057"/>
    <s v="F_Patio Bonito"/>
    <d v="2022-07-07T00:00:00"/>
    <x v="6"/>
    <d v="2022-07-07T00:00:00"/>
    <d v="2022-07-08T00:00:00"/>
    <s v="FE201"/>
    <n v="7008151"/>
    <x v="3"/>
    <n v="5795"/>
    <n v="7650"/>
    <n v="44331750"/>
    <n v="19"/>
    <n v="305"/>
    <n v="2333250"/>
  </r>
  <r>
    <s v="Subasta Ganadera Casanare S.A"/>
    <s v="A035"/>
    <s v="A_Santa Ines"/>
    <d v="2022-06-14T00:00:00"/>
    <x v="5"/>
    <d v="2022-06-18T00:00:00"/>
    <d v="2022-07-08T00:00:00"/>
    <s v="FEC25321"/>
    <n v="7008146"/>
    <x v="0"/>
    <n v="2756"/>
    <n v="8302.1770682148035"/>
    <n v="22880800"/>
    <n v="5"/>
    <n v="551.20000000000005"/>
    <n v="4576160"/>
  </r>
  <r>
    <s v="Subasta Ganadera Casanare S.A"/>
    <s v="A035"/>
    <s v="A_Santa Ines"/>
    <d v="2022-06-30T00:00:00"/>
    <x v="5"/>
    <d v="2022-07-02T00:00:00"/>
    <d v="2022-07-08T00:00:00"/>
    <s v="FEC26073"/>
    <n v="7008146"/>
    <x v="0"/>
    <n v="6570"/>
    <n v="8102.7397260273974"/>
    <n v="53235000"/>
    <n v="15"/>
    <n v="438"/>
    <n v="3549000"/>
  </r>
  <r>
    <s v="Juan José López Aarón"/>
    <s v="F175"/>
    <s v="F_Mis Deseos"/>
    <d v="2022-06-06T00:00:00"/>
    <x v="5"/>
    <d v="2022-07-06T00:00:00"/>
    <d v="2022-07-10T00:00:00"/>
    <n v="45"/>
    <n v="7008147"/>
    <x v="1"/>
    <n v="22798"/>
    <n v="9300"/>
    <n v="212021400"/>
    <n v="100"/>
    <n v="227.98"/>
    <n v="2120214"/>
  </r>
  <r>
    <s v="Subastar S.A"/>
    <s v="F151"/>
    <s v="F_El Playon"/>
    <d v="2022-06-06T00:00:00"/>
    <x v="5"/>
    <d v="2022-07-07T00:00:00"/>
    <d v="2022-07-10T00:00:00"/>
    <s v="B1 39731"/>
    <n v="7008147"/>
    <x v="1"/>
    <n v="5878"/>
    <n v="8943.6100714528748"/>
    <n v="52570540"/>
    <n v="21"/>
    <n v="279.90476190476193"/>
    <n v="2503359.0476190476"/>
  </r>
  <r>
    <s v="Subastar S.A"/>
    <s v="F151"/>
    <s v="F_El Playon"/>
    <d v="2022-06-06T00:00:00"/>
    <x v="5"/>
    <d v="2022-07-07T00:00:00"/>
    <d v="2022-07-10T00:00:00"/>
    <s v="B1 39732"/>
    <n v="7008147"/>
    <x v="1"/>
    <n v="5416"/>
    <n v="8993.8550590841951"/>
    <n v="48710719"/>
    <n v="20"/>
    <n v="270.8"/>
    <n v="2435535.9500000002"/>
  </r>
  <r>
    <s v="Subasta Ganadera Casanare S.A"/>
    <s v="F197"/>
    <s v="F_El Arbolito"/>
    <d v="2022-07-07T00:00:00"/>
    <x v="6"/>
    <d v="2022-07-08T00:00:00"/>
    <d v="2022-07-11T00:00:00"/>
    <s v="FEC26517"/>
    <n v="7008146"/>
    <x v="0"/>
    <n v="2142"/>
    <n v="7552.8011204481791"/>
    <n v="16178100"/>
    <n v="5"/>
    <n v="428.4"/>
    <n v="3235620"/>
  </r>
  <r>
    <s v="Subasta Ganadera Casanare S.A"/>
    <s v="F197"/>
    <s v="F_El Arbolito"/>
    <d v="2022-07-07T00:00:00"/>
    <x v="6"/>
    <d v="2022-07-08T00:00:00"/>
    <d v="2022-07-11T00:00:00"/>
    <s v="FEC26547"/>
    <n v="7008146"/>
    <x v="0"/>
    <n v="5022"/>
    <n v="8503.3452807646354"/>
    <n v="42703800"/>
    <n v="14"/>
    <n v="358.71428571428572"/>
    <n v="3050271.4285714286"/>
  </r>
  <r>
    <s v="Subasta Ganadera Casanare S.A"/>
    <s v="F197"/>
    <s v="F_El Arbolito"/>
    <d v="2022-07-07T00:00:00"/>
    <x v="6"/>
    <d v="2022-07-08T00:00:00"/>
    <d v="2022-07-11T00:00:00"/>
    <s v="FEC26592"/>
    <n v="7008146"/>
    <x v="0"/>
    <n v="3310"/>
    <n v="8652.9003021148037"/>
    <n v="28641100"/>
    <n v="8"/>
    <n v="413.75"/>
    <n v="3580137.5"/>
  </r>
  <r>
    <s v="Subasta Ganadera Casanare S.A"/>
    <s v="F197"/>
    <s v="F_El Arbolito"/>
    <d v="2022-07-07T00:00:00"/>
    <x v="6"/>
    <d v="2022-07-08T00:00:00"/>
    <d v="2022-07-11T00:00:00"/>
    <s v="FEC26625"/>
    <n v="7008146"/>
    <x v="0"/>
    <n v="4786"/>
    <n v="7903.0087755954864"/>
    <n v="37823800"/>
    <n v="12"/>
    <n v="398.83333333333331"/>
    <n v="3151983.3333333335"/>
  </r>
  <r>
    <s v="Carlos Eduardo Dangond Castro"/>
    <s v="F073"/>
    <s v="F_Bello Horizont"/>
    <d v="2022-07-07T00:00:00"/>
    <x v="6"/>
    <d v="2022-07-07T00:00:00"/>
    <d v="2022-07-11T00:00:00"/>
    <s v="MND - 127"/>
    <n v="7008147"/>
    <x v="1"/>
    <n v="7481"/>
    <n v="9050"/>
    <n v="67703050"/>
    <n v="33"/>
    <n v="226.69696969696969"/>
    <n v="2051607.5757575757"/>
  </r>
  <r>
    <s v="CC Subasta Ganadera Del Sinu S.A.S"/>
    <s v="F082"/>
    <s v="F_Nuevo Porvenir"/>
    <d v="2022-07-05T00:00:00"/>
    <x v="6"/>
    <d v="2022-07-12T00:00:00"/>
    <d v="2022-07-11T00:00:00"/>
    <s v="AF65194"/>
    <n v="7008147"/>
    <x v="1"/>
    <n v="5596"/>
    <n v="8400"/>
    <n v="47006400"/>
    <n v="20"/>
    <n v="279.8"/>
    <n v="2350320"/>
  </r>
  <r>
    <s v="Inversiones Yepes Carrrera S.A.S"/>
    <s v="F067"/>
    <s v="F_Guacharacas"/>
    <d v="2022-07-08T00:00:00"/>
    <x v="6"/>
    <d v="2022-07-08T00:00:00"/>
    <d v="2022-07-11T00:00:00"/>
    <s v="FE140"/>
    <n v="7008146"/>
    <x v="0"/>
    <n v="8840"/>
    <n v="9300"/>
    <n v="82212000"/>
    <n v="21"/>
    <n v="420.95238095238096"/>
    <n v="3914857.1428571427"/>
  </r>
  <r>
    <s v="Subasta Ganadera Casanare S.A"/>
    <s v="A205"/>
    <s v="A_Rancho Apache"/>
    <d v="2022-06-30T00:00:00"/>
    <x v="5"/>
    <d v="2022-07-02T00:00:00"/>
    <d v="2022-07-11T00:00:00"/>
    <n v="26081"/>
    <n v="7008146"/>
    <x v="0"/>
    <n v="5048"/>
    <n v="8754.5166402535651"/>
    <n v="44192800"/>
    <n v="19"/>
    <n v="265.68421052631578"/>
    <n v="2325936.8421052634"/>
  </r>
  <r>
    <s v="Subasta Ganadera Casanare S.A"/>
    <s v="A205"/>
    <s v="A_Rancho Apache"/>
    <d v="2022-06-30T00:00:00"/>
    <x v="5"/>
    <d v="2022-07-02T00:00:00"/>
    <d v="2022-07-11T00:00:00"/>
    <n v="26068"/>
    <n v="7008146"/>
    <x v="0"/>
    <n v="5656"/>
    <n v="8654.4554455445541"/>
    <n v="48949600"/>
    <n v="21"/>
    <n v="269.33333333333331"/>
    <n v="2330933.3333333335"/>
  </r>
  <r>
    <s v="Subasta Ganadera Casanare S.A"/>
    <s v="A205"/>
    <s v="A_Rancho Apache"/>
    <d v="2022-06-30T00:00:00"/>
    <x v="5"/>
    <d v="2022-07-02T00:00:00"/>
    <d v="2022-07-11T00:00:00"/>
    <n v="26079"/>
    <n v="7008146"/>
    <x v="0"/>
    <n v="5030"/>
    <n v="8454.0556660039765"/>
    <n v="42523900"/>
    <n v="17"/>
    <n v="295.88235294117646"/>
    <n v="2501405.8823529412"/>
  </r>
  <r>
    <s v="Subasta Ganadera Casanare S.A"/>
    <s v="A205"/>
    <s v="A_Rancho Apache"/>
    <d v="2022-06-30T00:00:00"/>
    <x v="5"/>
    <d v="2022-07-02T00:00:00"/>
    <d v="2022-07-11T00:00:00"/>
    <n v="26084"/>
    <n v="7008146"/>
    <x v="0"/>
    <n v="4292"/>
    <n v="9005.8713886300102"/>
    <n v="38653200"/>
    <n v="21"/>
    <n v="204.38095238095238"/>
    <n v="1840628.5714285714"/>
  </r>
  <r>
    <s v="Subasta Ganadera Casanare S.A"/>
    <s v="A205"/>
    <s v="A_Rancho Apache"/>
    <d v="2022-06-30T00:00:00"/>
    <x v="5"/>
    <d v="2022-07-02T00:00:00"/>
    <d v="2022-07-11T00:00:00"/>
    <n v="26083"/>
    <n v="7008146"/>
    <x v="0"/>
    <n v="4616"/>
    <n v="9355.7192374350088"/>
    <n v="43186000"/>
    <n v="22"/>
    <n v="209.81818181818181"/>
    <n v="1963000"/>
  </r>
  <r>
    <s v="Subasta Ganadera Casanare S.A"/>
    <s v="A205"/>
    <s v="A_Rancho Apache"/>
    <d v="2022-06-30T00:00:00"/>
    <x v="5"/>
    <d v="2022-07-02T00:00:00"/>
    <d v="2022-07-11T00:00:00"/>
    <n v="26080"/>
    <n v="7008146"/>
    <x v="0"/>
    <n v="5988"/>
    <n v="8654.2084168336678"/>
    <n v="51821400"/>
    <n v="21"/>
    <n v="285.14285714285717"/>
    <n v="2467685.7142857141"/>
  </r>
  <r>
    <s v="Subagan S.A."/>
    <s v="F019"/>
    <s v="F_Jordan"/>
    <d v="2022-07-06T00:00:00"/>
    <x v="6"/>
    <d v="2022-07-06T00:00:00"/>
    <d v="2022-07-11T00:00:00"/>
    <s v="MIC639"/>
    <n v="7008146"/>
    <x v="0"/>
    <n v="26975"/>
    <n v="9300"/>
    <n v="250867500"/>
    <n v="65"/>
    <n v="415"/>
    <n v="3859500"/>
  </r>
  <r>
    <s v="Subastar S.A"/>
    <s v="A205"/>
    <s v="A_Rancho Apache"/>
    <d v="2022-06-29T00:00:00"/>
    <x v="5"/>
    <d v="2022-06-30T00:00:00"/>
    <d v="2022-07-11T00:00:00"/>
    <n v="39703"/>
    <n v="7008146"/>
    <x v="0"/>
    <n v="6330"/>
    <n v="9094.3450236966819"/>
    <n v="57567204"/>
    <n v="22"/>
    <n v="287.72727272727275"/>
    <n v="2616691.0909090908"/>
  </r>
  <r>
    <s v="Subastar S.A"/>
    <s v="A205"/>
    <s v="A_Rancho Apache"/>
    <d v="2022-06-29T00:00:00"/>
    <x v="5"/>
    <d v="2022-06-30T00:00:00"/>
    <d v="2022-07-11T00:00:00"/>
    <n v="39701"/>
    <n v="7008146"/>
    <x v="0"/>
    <n v="5864"/>
    <n v="9094.3449863574351"/>
    <n v="53329239"/>
    <n v="20"/>
    <n v="293.2"/>
    <n v="2666461.9500000002"/>
  </r>
  <r>
    <s v="Subastar S.A"/>
    <s v="A205"/>
    <s v="A_Rancho Apache"/>
    <d v="2022-06-29T00:00:00"/>
    <x v="5"/>
    <d v="2022-06-30T00:00:00"/>
    <d v="2022-07-11T00:00:00"/>
    <n v="39700"/>
    <n v="7008146"/>
    <x v="0"/>
    <n v="5520"/>
    <n v="9295.3250000000007"/>
    <n v="51310194"/>
    <n v="20"/>
    <n v="276"/>
    <n v="2565509.7000000002"/>
  </r>
  <r>
    <s v="Subastar S.A"/>
    <s v="A205"/>
    <s v="A_Rancho Apache"/>
    <d v="2022-06-29T00:00:00"/>
    <x v="5"/>
    <d v="2022-06-30T00:00:00"/>
    <d v="2022-07-11T00:00:00"/>
    <n v="39699"/>
    <n v="7008146"/>
    <x v="0"/>
    <n v="5846"/>
    <n v="9194.8349298665762"/>
    <n v="53753005"/>
    <n v="22"/>
    <n v="265.72727272727275"/>
    <n v="2443318.4090909092"/>
  </r>
  <r>
    <s v="Subagan S.A."/>
    <s v="F062"/>
    <s v="F_La Leticia"/>
    <d v="2022-07-07T00:00:00"/>
    <x v="6"/>
    <d v="2022-07-07T00:00:00"/>
    <d v="2022-07-11T00:00:00"/>
    <s v="MIC645"/>
    <n v="7008146"/>
    <x v="0"/>
    <n v="12285"/>
    <n v="9056"/>
    <n v="111252960"/>
    <n v="34"/>
    <n v="361.3235294117647"/>
    <n v="3272145.8823529412"/>
  </r>
  <r>
    <s v="Wilson Murillo"/>
    <s v="F057 "/>
    <s v="F_Patio Bonito"/>
    <d v="2022-07-08T00:00:00"/>
    <x v="6"/>
    <d v="2022-07-08T00:00:00"/>
    <d v="2022-07-12T00:00:00"/>
    <s v="FE203"/>
    <n v="7008151"/>
    <x v="3"/>
    <n v="11088"/>
    <n v="7670"/>
    <n v="85044960"/>
    <n v="36"/>
    <n v="308"/>
    <n v="2362360"/>
  </r>
  <r>
    <s v="Sugaberrio S.A.S"/>
    <s v="A205"/>
    <s v="A_Rancho Apache"/>
    <d v="2022-06-30T00:00:00"/>
    <x v="5"/>
    <d v="2022-07-01T00:00:00"/>
    <d v="2022-07-12T00:00:00"/>
    <n v="8074"/>
    <n v="7008146"/>
    <x v="0"/>
    <n v="4583"/>
    <n v="9200"/>
    <n v="42163600"/>
    <n v="24"/>
    <n v="190.95833333333334"/>
    <n v="1756816.6666666667"/>
  </r>
  <r>
    <s v="Sugaberrio S.A.S"/>
    <s v="A205"/>
    <s v="A_Rancho Apache"/>
    <d v="2022-06-30T00:00:00"/>
    <x v="5"/>
    <d v="2022-07-01T00:00:00"/>
    <d v="2022-07-12T00:00:00"/>
    <n v="8089"/>
    <n v="7008146"/>
    <x v="0"/>
    <n v="1406"/>
    <n v="9200"/>
    <n v="12935200"/>
    <n v="6"/>
    <n v="234.33333333333334"/>
    <n v="2155866.6666666665"/>
  </r>
  <r>
    <s v="Sugaberrio S.A.S"/>
    <s v="A205"/>
    <s v="A_Rancho Apache"/>
    <d v="2022-06-30T00:00:00"/>
    <x v="5"/>
    <d v="2022-07-01T00:00:00"/>
    <d v="2022-07-12T00:00:00"/>
    <n v="8075"/>
    <n v="7008146"/>
    <x v="0"/>
    <n v="5343"/>
    <n v="8900"/>
    <n v="47552700"/>
    <n v="22"/>
    <n v="242.86363636363637"/>
    <n v="2161486.3636363638"/>
  </r>
  <r>
    <s v="Sugaberrio S.A.S"/>
    <s v="A205"/>
    <s v="A_Rancho Apache"/>
    <d v="2022-06-30T00:00:00"/>
    <x v="5"/>
    <d v="2022-07-01T00:00:00"/>
    <d v="2022-07-12T00:00:00"/>
    <n v="8083"/>
    <n v="7008146"/>
    <x v="0"/>
    <n v="767"/>
    <n v="8100"/>
    <n v="6212700"/>
    <n v="4"/>
    <n v="191.75"/>
    <n v="1553175"/>
  </r>
  <r>
    <s v="Sugaberrio S.A.S"/>
    <s v="A205"/>
    <s v="A_Rancho Apache"/>
    <d v="2022-06-30T00:00:00"/>
    <x v="5"/>
    <d v="2022-07-01T00:00:00"/>
    <d v="2022-07-12T00:00:00"/>
    <n v="8058"/>
    <n v="7008146"/>
    <x v="0"/>
    <n v="5462"/>
    <n v="9250"/>
    <n v="50523500"/>
    <n v="21"/>
    <n v="260.09523809523807"/>
    <n v="2405880.9523809524"/>
  </r>
  <r>
    <s v="Sugaberrio S.A.S"/>
    <s v="A205"/>
    <s v="A_Rancho Apache"/>
    <d v="2022-06-30T00:00:00"/>
    <x v="5"/>
    <d v="2022-07-01T00:00:00"/>
    <d v="2022-07-12T00:00:00"/>
    <n v="8054"/>
    <n v="7008146"/>
    <x v="0"/>
    <n v="2058"/>
    <n v="8900"/>
    <n v="18316200"/>
    <n v="10"/>
    <n v="205.8"/>
    <n v="1831620"/>
  </r>
  <r>
    <s v="Sugaberrio S.A.S"/>
    <s v="F082"/>
    <s v="F_Nuevo Porvenir"/>
    <d v="2022-07-07T00:00:00"/>
    <x v="6"/>
    <d v="2022-07-08T00:00:00"/>
    <d v="2022-07-13T00:00:00"/>
    <s v="FBC 15752"/>
    <n v="7008147"/>
    <x v="1"/>
    <n v="27546"/>
    <n v="9043"/>
    <n v="249098478"/>
    <n v="100"/>
    <n v="275.45999999999998"/>
    <n v="2490984.7799999998"/>
  </r>
  <r>
    <s v="Sugaberrio S.A.S"/>
    <s v="F198"/>
    <s v="La Tranquilidad"/>
    <d v="2022-07-07T00:00:00"/>
    <x v="6"/>
    <d v="2022-07-08T00:00:00"/>
    <d v="2022-07-13T00:00:00"/>
    <n v="8109"/>
    <n v="7008147"/>
    <x v="1"/>
    <n v="1818"/>
    <n v="8650"/>
    <n v="15725700"/>
    <n v="8"/>
    <n v="227.25"/>
    <n v="1965712.5"/>
  </r>
  <r>
    <s v="Sugaberrio S.A.S"/>
    <s v="F198"/>
    <s v="La Tranquilidad"/>
    <d v="2022-07-07T00:00:00"/>
    <x v="6"/>
    <d v="2022-07-08T00:00:00"/>
    <d v="2022-07-13T00:00:00"/>
    <n v="8129"/>
    <n v="7008147"/>
    <x v="1"/>
    <n v="5440"/>
    <n v="8950"/>
    <n v="48688000"/>
    <n v="21"/>
    <n v="259.04761904761904"/>
    <n v="2318476.1904761903"/>
  </r>
  <r>
    <s v="Sugaberrio S.A.S"/>
    <s v="F198"/>
    <s v="La Tranquilidad"/>
    <d v="2022-07-07T00:00:00"/>
    <x v="6"/>
    <d v="2022-07-08T00:00:00"/>
    <d v="2022-07-13T00:00:00"/>
    <n v="8133"/>
    <n v="7008147"/>
    <x v="1"/>
    <n v="5573"/>
    <n v="9150"/>
    <n v="50992950"/>
    <n v="24"/>
    <n v="232.20833333333334"/>
    <n v="2124706.25"/>
  </r>
  <r>
    <s v="Sugaberrio S.A.S"/>
    <s v="F198"/>
    <s v="La Tranquilidad"/>
    <d v="2022-07-07T00:00:00"/>
    <x v="6"/>
    <d v="2022-07-08T00:00:00"/>
    <d v="2022-07-13T00:00:00"/>
    <n v="8140"/>
    <n v="7008147"/>
    <x v="1"/>
    <n v="1329"/>
    <n v="9200"/>
    <n v="12226800"/>
    <n v="5"/>
    <n v="265.8"/>
    <n v="2445360"/>
  </r>
  <r>
    <s v="Sugaberrio S.A.S"/>
    <s v="F198"/>
    <s v="La Tranquilidad"/>
    <d v="2022-07-07T00:00:00"/>
    <x v="6"/>
    <d v="2022-07-08T00:00:00"/>
    <d v="2022-07-13T00:00:00"/>
    <n v="8143"/>
    <n v="7008147"/>
    <x v="1"/>
    <n v="289"/>
    <n v="8200"/>
    <n v="2369800"/>
    <n v="1"/>
    <n v="289"/>
    <n v="2369800"/>
  </r>
  <r>
    <s v="Carlos Mario Restrepo Correa"/>
    <s v="F185"/>
    <s v="Nicaragua"/>
    <d v="2022-07-07T00:00:00"/>
    <x v="6"/>
    <d v="2022-07-07T00:00:00"/>
    <d v="2022-07-13T00:00:00"/>
    <s v="CR-113"/>
    <n v="7008151"/>
    <x v="3"/>
    <n v="53521"/>
    <n v="7870"/>
    <n v="421210270"/>
    <n v="166"/>
    <n v="322.41566265060243"/>
    <n v="2537411.2650602409"/>
  </r>
  <r>
    <s v="Carlos Mario Restrepo Correa"/>
    <s v="F185"/>
    <s v="Nicaragua"/>
    <d v="2022-07-12T00:00:00"/>
    <x v="6"/>
    <d v="2022-07-12T00:00:00"/>
    <d v="2022-07-13T00:00:00"/>
    <s v="CR-114"/>
    <n v="7008151"/>
    <x v="3"/>
    <n v="52390"/>
    <n v="7830"/>
    <n v="410213700"/>
    <n v="150"/>
    <n v="349.26666666666665"/>
    <n v="2734758"/>
  </r>
  <r>
    <s v="Agropecuaria Francia y Lusitania S.A.S"/>
    <s v="F165"/>
    <s v="F_San Clemente"/>
    <d v="2022-07-11T00:00:00"/>
    <x v="6"/>
    <d v="2022-07-11T00:00:00"/>
    <d v="2022-07-13T00:00:00"/>
    <s v="AG-502"/>
    <n v="7008147"/>
    <x v="1"/>
    <n v="30074"/>
    <n v="8750"/>
    <n v="263147500"/>
    <n v="100"/>
    <n v="300.74"/>
    <n v="2631475"/>
  </r>
  <r>
    <s v="Comercializadora Carbas S.A.S"/>
    <s v="F057"/>
    <s v="F_Patio Bonito"/>
    <d v="2022-07-13T00:00:00"/>
    <x v="6"/>
    <d v="2022-07-13T00:00:00"/>
    <d v="2022-07-13T00:00:00"/>
    <s v="GAN 58"/>
    <n v="7008151"/>
    <x v="3"/>
    <n v="10906"/>
    <n v="7670"/>
    <n v="83649020"/>
    <n v="33"/>
    <n v="330.4848484848485"/>
    <n v="2534818.7878787881"/>
  </r>
  <r>
    <s v="Maria Adelaida Restrepo Echeverri"/>
    <s v="F058"/>
    <s v="F_La Pradilla"/>
    <d v="2022-07-12T00:00:00"/>
    <x v="6"/>
    <d v="2022-07-08T00:00:00"/>
    <d v="2022-07-14T00:00:00"/>
    <s v="MARE77"/>
    <n v="7008146"/>
    <x v="0"/>
    <n v="10725"/>
    <n v="8610"/>
    <n v="92342250"/>
    <n v="29"/>
    <n v="369.82758620689657"/>
    <n v="3184215.5172413792"/>
  </r>
  <r>
    <s v="Sugaberrio S.A.S"/>
    <s v="F136"/>
    <s v="F_San Martin"/>
    <d v="2022-06-30T00:00:00"/>
    <x v="5"/>
    <d v="2022-07-01T00:00:00"/>
    <d v="2022-07-15T00:00:00"/>
    <s v="FAC8091"/>
    <n v="7008146"/>
    <x v="0"/>
    <n v="6053"/>
    <n v="8550"/>
    <n v="51753150"/>
    <n v="19"/>
    <n v="318.57894736842104"/>
    <n v="2723850"/>
  </r>
  <r>
    <s v="Sugaberrio S.A.S"/>
    <s v="F136"/>
    <s v="F_San Martin"/>
    <d v="2022-06-30T00:00:00"/>
    <x v="5"/>
    <d v="2022-07-01T00:00:00"/>
    <d v="2022-07-15T00:00:00"/>
    <s v="P4475"/>
    <n v="7008146"/>
    <x v="0"/>
    <n v="318.57894736842104"/>
    <n v="8550"/>
    <n v="2723850"/>
    <n v="-1"/>
    <n v="-318.57894736842104"/>
    <n v="-2723850"/>
  </r>
  <r>
    <s v="Abel Jose Garcia Cadena"/>
    <s v="F198"/>
    <s v="La Tranquilidad"/>
    <d v="2022-07-15T00:00:00"/>
    <x v="6"/>
    <d v="2022-07-11T00:00:00"/>
    <d v="2022-07-18T00:00:00"/>
    <s v="FE 102"/>
    <n v="7008147"/>
    <x v="1"/>
    <n v="1461"/>
    <n v="8900"/>
    <n v="13002900"/>
    <n v="5"/>
    <n v="292.2"/>
    <n v="2600580"/>
  </r>
  <r>
    <s v="Wilson Murillo"/>
    <s v="F199"/>
    <s v="La Fortuna"/>
    <d v="2022-07-14T00:00:00"/>
    <x v="6"/>
    <d v="2022-07-17T00:00:00"/>
    <d v="2022-07-19T00:00:00"/>
    <s v="FE 207"/>
    <n v="7008146"/>
    <x v="0"/>
    <n v="18626"/>
    <n v="9350"/>
    <n v="174153100"/>
    <n v="67"/>
    <n v="278"/>
    <n v="2599300"/>
  </r>
  <r>
    <s v="Agropecuaria San Francisco S.A.S"/>
    <s v="F069"/>
    <s v="F_Las Camelias"/>
    <d v="2022-07-12T00:00:00"/>
    <x v="6"/>
    <d v="2022-07-12T00:00:00"/>
    <d v="2022-07-18T00:00:00"/>
    <s v="FE 29"/>
    <n v="7008146"/>
    <x v="0"/>
    <n v="12695"/>
    <n v="9000"/>
    <n v="114255000"/>
    <n v="36"/>
    <n v="352.63888888888891"/>
    <n v="3173750"/>
  </r>
  <r>
    <s v="Wilson Murillo"/>
    <s v="F057"/>
    <s v="F_Patio Bonito"/>
    <d v="2022-07-14T00:00:00"/>
    <x v="6"/>
    <d v="2022-07-14T00:00:00"/>
    <d v="2022-07-18T00:00:00"/>
    <s v="FE206"/>
    <n v="7008146"/>
    <x v="0"/>
    <n v="11808"/>
    <n v="9350"/>
    <n v="110404800"/>
    <n v="41"/>
    <n v="288"/>
    <n v="2692800"/>
  </r>
  <r>
    <s v="Erasmo Lacourture Gutirrez"/>
    <s v="F203"/>
    <s v="F_La Lucha"/>
    <d v="2022-07-18T00:00:00"/>
    <x v="6"/>
    <d v="2022-07-14T00:00:00"/>
    <d v="2022-07-18T00:00:00"/>
    <s v="FV - 8"/>
    <n v="7008146"/>
    <x v="0"/>
    <n v="55148"/>
    <n v="8400"/>
    <n v="463243200"/>
    <n v="126"/>
    <n v="437.6825396825397"/>
    <n v="3676533.3333333335"/>
  </r>
  <r>
    <s v="Erasmo Lacourture Gutirrez"/>
    <s v="F203"/>
    <s v="F_La Lucha"/>
    <d v="2022-07-18T00:00:00"/>
    <x v="6"/>
    <d v="2022-07-14T00:00:00"/>
    <d v="2022-07-18T00:00:00"/>
    <s v="FV - 9"/>
    <n v="7008146"/>
    <x v="0"/>
    <n v="63414"/>
    <n v="8650"/>
    <n v="548531100"/>
    <n v="200"/>
    <n v="317.07"/>
    <n v="2742655.5"/>
  </r>
  <r>
    <s v="Erasmo Lacourture Gutirrez"/>
    <s v="F203"/>
    <s v="F_La Lucha"/>
    <d v="2022-07-18T00:00:00"/>
    <x v="6"/>
    <d v="2022-07-14T00:00:00"/>
    <d v="2022-07-18T00:00:00"/>
    <s v="FV - 10"/>
    <n v="7008147"/>
    <x v="1"/>
    <n v="99332"/>
    <n v="9000"/>
    <n v="893988000"/>
    <n v="394"/>
    <n v="252.11167512690355"/>
    <n v="2269005.0761421318"/>
  </r>
  <r>
    <s v="Subagan S.A."/>
    <s v="F049"/>
    <s v="F_El Rosario"/>
    <d v="2022-07-17T00:00:00"/>
    <x v="6"/>
    <d v="2022-07-13T00:00:00"/>
    <d v="2022-07-18T00:00:00"/>
    <s v="MIC656"/>
    <n v="7008146"/>
    <x v="0"/>
    <n v="61985"/>
    <n v="8570"/>
    <n v="531211450"/>
    <n v="240"/>
    <n v="258.27083333333331"/>
    <n v="2213381.0416666665"/>
  </r>
  <r>
    <s v="Subagan S.A."/>
    <s v="F193"/>
    <s v="F_El Milagro"/>
    <d v="2022-07-13T00:00:00"/>
    <x v="6"/>
    <d v="2022-07-13T00:00:00"/>
    <d v="2022-07-18T00:00:00"/>
    <s v="MIC653"/>
    <n v="7008151"/>
    <x v="3"/>
    <n v="12059"/>
    <n v="7662"/>
    <n v="92396058"/>
    <n v="44"/>
    <n v="274.06818181818181"/>
    <n v="2099910.4090909092"/>
  </r>
  <r>
    <s v="Sugaberrio S.A.S"/>
    <s v="F198"/>
    <s v="La Tranquilidad"/>
    <d v="2022-07-12T00:00:00"/>
    <x v="6"/>
    <d v="2022-07-13T00:00:00"/>
    <d v="2022-07-18T00:00:00"/>
    <n v="8210"/>
    <n v="7008147"/>
    <x v="1"/>
    <n v="3596"/>
    <n v="7950"/>
    <n v="28588200"/>
    <n v="15"/>
    <n v="239.73333333333332"/>
    <n v="1905880"/>
  </r>
  <r>
    <s v="Sugaberrio S.A.S"/>
    <s v="F198"/>
    <s v="La Tranquilidad"/>
    <d v="2022-07-12T00:00:00"/>
    <x v="6"/>
    <d v="2022-07-13T00:00:00"/>
    <d v="2022-07-18T00:00:00"/>
    <n v="8211"/>
    <n v="7008147"/>
    <x v="1"/>
    <n v="5553"/>
    <n v="8050"/>
    <n v="44701650"/>
    <n v="26"/>
    <n v="213.57692307692307"/>
    <n v="1719294.2307692308"/>
  </r>
  <r>
    <s v="Sugaberrio S.A.S"/>
    <s v="F198"/>
    <s v="La Tranquilidad"/>
    <d v="2022-07-12T00:00:00"/>
    <x v="6"/>
    <d v="2022-07-13T00:00:00"/>
    <d v="2022-07-18T00:00:00"/>
    <n v="8212"/>
    <n v="7008147"/>
    <x v="1"/>
    <n v="4249"/>
    <n v="8000"/>
    <n v="33992000"/>
    <n v="14"/>
    <n v="303.5"/>
    <n v="2428000"/>
  </r>
  <r>
    <s v="Sugaberrio S.A.S"/>
    <s v="F198"/>
    <s v="La Tranquilidad"/>
    <d v="2022-07-12T00:00:00"/>
    <x v="6"/>
    <d v="2022-07-13T00:00:00"/>
    <d v="2022-07-18T00:00:00"/>
    <n v="8233"/>
    <n v="7008147"/>
    <x v="1"/>
    <n v="5376"/>
    <n v="7650"/>
    <n v="41126400"/>
    <n v="25"/>
    <n v="215.04"/>
    <n v="1645056"/>
  </r>
  <r>
    <s v="Sugaberrio S.A.S"/>
    <s v="F198"/>
    <s v="La Tranquilidad"/>
    <d v="2022-07-12T00:00:00"/>
    <x v="6"/>
    <d v="2022-07-13T00:00:00"/>
    <d v="2022-07-18T00:00:00"/>
    <n v="8235"/>
    <n v="7008147"/>
    <x v="1"/>
    <n v="3909"/>
    <n v="7500"/>
    <n v="29317500"/>
    <n v="17"/>
    <n v="229.94117647058823"/>
    <n v="1724558.8235294118"/>
  </r>
  <r>
    <s v="Enrique Alonso Espinosa Rodriguez"/>
    <s v="F190"/>
    <s v="Potosi"/>
    <d v="2022-07-16T00:00:00"/>
    <x v="6"/>
    <d v="2022-07-16T00:00:00"/>
    <d v="2022-07-19T00:00:00"/>
    <s v="FE-53"/>
    <n v="7008146"/>
    <x v="0"/>
    <n v="23744"/>
    <n v="8800"/>
    <n v="208947200"/>
    <n v="73"/>
    <n v="325.26027397260276"/>
    <n v="2862290.4109589043"/>
  </r>
  <r>
    <s v="Subastar S.A"/>
    <s v="F191"/>
    <s v="F_Salonica"/>
    <d v="2022-07-14T00:00:00"/>
    <x v="6"/>
    <d v="2022-07-14T00:00:00"/>
    <d v="2022-07-19T00:00:00"/>
    <n v="240238"/>
    <n v="7008147"/>
    <x v="1"/>
    <n v="5988"/>
    <n v="8893.3650634602545"/>
    <n v="53253470"/>
    <n v="20"/>
    <n v="299.39999999999998"/>
    <n v="2662673.5"/>
  </r>
  <r>
    <s v="Subastar S.A"/>
    <s v="F191"/>
    <s v="F_Salonica"/>
    <d v="2022-07-14T00:00:00"/>
    <x v="6"/>
    <d v="2022-07-14T00:00:00"/>
    <d v="2022-07-19T00:00:00"/>
    <n v="240246"/>
    <n v="7008147"/>
    <x v="1"/>
    <n v="5752"/>
    <n v="8943.61004867872"/>
    <n v="51443645"/>
    <n v="23"/>
    <n v="250.08695652173913"/>
    <n v="2236680.2173913042"/>
  </r>
  <r>
    <s v="Subastar S.A"/>
    <s v="F191"/>
    <s v="F_Salonica"/>
    <d v="2022-07-14T00:00:00"/>
    <x v="6"/>
    <d v="2022-07-14T00:00:00"/>
    <d v="2022-07-19T00:00:00"/>
    <n v="240256"/>
    <n v="7008147"/>
    <x v="1"/>
    <n v="6250"/>
    <n v="8541.6499199999998"/>
    <n v="53385312"/>
    <n v="20"/>
    <n v="312.5"/>
    <n v="2669265.6"/>
  </r>
  <r>
    <s v="Subastar S.A"/>
    <s v="F191"/>
    <s v="F_Salonica"/>
    <d v="2022-07-14T00:00:00"/>
    <x v="6"/>
    <d v="2022-07-14T00:00:00"/>
    <d v="2022-07-19T00:00:00"/>
    <n v="240262"/>
    <n v="7008147"/>
    <x v="1"/>
    <n v="5434"/>
    <n v="8642.1400441663591"/>
    <n v="46961389"/>
    <n v="18"/>
    <n v="301.88888888888891"/>
    <n v="2608966.0555555555"/>
  </r>
  <r>
    <s v="Subastar S.A"/>
    <s v="F191"/>
    <s v="F_Salonica"/>
    <d v="2022-07-14T00:00:00"/>
    <x v="6"/>
    <d v="2022-07-14T00:00:00"/>
    <d v="2022-07-19T00:00:00"/>
    <n v="240266"/>
    <n v="7008147"/>
    <x v="1"/>
    <n v="5766"/>
    <n v="9144.5900104058273"/>
    <n v="52727706"/>
    <n v="22"/>
    <n v="262.09090909090907"/>
    <n v="2396713.9090909092"/>
  </r>
  <r>
    <s v="Subastar S.A"/>
    <s v="F191"/>
    <s v="F_Salonica"/>
    <d v="2022-07-14T00:00:00"/>
    <x v="6"/>
    <d v="2022-07-14T00:00:00"/>
    <d v="2022-07-19T00:00:00"/>
    <n v="240270"/>
    <n v="7008147"/>
    <x v="1"/>
    <n v="5776"/>
    <n v="8843.1199792243769"/>
    <n v="51077861"/>
    <n v="20"/>
    <n v="288.8"/>
    <n v="2553893.0499999998"/>
  </r>
  <r>
    <s v="Subastar S.A"/>
    <s v="F191"/>
    <s v="F_Salonica"/>
    <d v="2022-07-14T00:00:00"/>
    <x v="6"/>
    <d v="2022-07-14T00:00:00"/>
    <d v="2022-07-19T00:00:00"/>
    <n v="240280"/>
    <n v="7008147"/>
    <x v="1"/>
    <n v="5258"/>
    <n v="9144.5899581589965"/>
    <n v="48082254"/>
    <n v="18"/>
    <n v="292.11111111111109"/>
    <n v="2671236.3333333335"/>
  </r>
  <r>
    <s v="Subastar S.A"/>
    <s v="F191"/>
    <s v="F_Salonica"/>
    <d v="2022-07-14T00:00:00"/>
    <x v="6"/>
    <d v="2022-07-14T00:00:00"/>
    <d v="2022-07-19T00:00:00"/>
    <n v="240284"/>
    <n v="7008147"/>
    <x v="1"/>
    <n v="5488"/>
    <n v="8993.8549562682219"/>
    <n v="49358276"/>
    <n v="18"/>
    <n v="304.88888888888891"/>
    <n v="2742126.4444444445"/>
  </r>
  <r>
    <s v="Subastar S.A"/>
    <s v="F067"/>
    <s v="F_Guacharacas"/>
    <d v="2022-07-14T00:00:00"/>
    <x v="6"/>
    <d v="2022-07-14T00:00:00"/>
    <d v="2022-07-19T00:00:00"/>
    <n v="240234"/>
    <n v="7008146"/>
    <x v="0"/>
    <n v="6908"/>
    <n v="8491.4050376375217"/>
    <n v="58658626"/>
    <n v="18"/>
    <n v="383.77777777777777"/>
    <n v="3258812.5555555555"/>
  </r>
  <r>
    <s v="El Diamante"/>
    <s v="F096"/>
    <s v="F_El Diamante"/>
    <d v="2022-07-18T00:00:00"/>
    <x v="6"/>
    <d v="2022-07-16T00:00:00"/>
    <d v="2022-07-20T00:00:00"/>
    <s v="FE 187"/>
    <n v="7008459"/>
    <x v="2"/>
    <n v="2836"/>
    <n v="14136"/>
    <n v="40089696"/>
    <n v="31"/>
    <n v="91.483870967741936"/>
    <n v="1293216"/>
  </r>
  <r>
    <s v="Sugaberrio S.A.S"/>
    <s v="F140"/>
    <s v="F_Gualanday"/>
    <d v="2022-07-07T00:00:00"/>
    <x v="6"/>
    <d v="2022-07-08T00:00:00"/>
    <d v="2022-07-21T00:00:00"/>
    <n v="8166"/>
    <n v="7008146"/>
    <x v="0"/>
    <n v="5553"/>
    <n v="8200"/>
    <n v="45534600"/>
    <n v="15"/>
    <n v="370.2"/>
    <n v="3035640"/>
  </r>
  <r>
    <s v="Sugaberrio S.A.S"/>
    <s v="F140"/>
    <s v="F_Gualanday"/>
    <d v="2022-07-07T00:00:00"/>
    <x v="6"/>
    <d v="2022-07-08T00:00:00"/>
    <d v="2022-07-21T00:00:00"/>
    <n v="8130"/>
    <n v="7008146"/>
    <x v="0"/>
    <n v="5754"/>
    <n v="8250"/>
    <n v="47470500"/>
    <n v="15"/>
    <n v="383.6"/>
    <n v="3164700"/>
  </r>
  <r>
    <s v="Sugaberrio S.A.S"/>
    <s v="F080"/>
    <s v="F_Predio Aguachi"/>
    <d v="2022-07-14T00:00:00"/>
    <x v="6"/>
    <d v="2022-07-15T00:00:00"/>
    <d v="2022-07-22T00:00:00"/>
    <n v="8278"/>
    <n v="7008146"/>
    <x v="0"/>
    <n v="6538"/>
    <n v="8400"/>
    <n v="54919200"/>
    <n v="20"/>
    <n v="326.89999999999998"/>
    <n v="2745960"/>
  </r>
  <r>
    <s v="Sugaberrio S.A.S"/>
    <s v="F080"/>
    <s v="F_Predio Aguachi"/>
    <d v="2022-07-14T00:00:00"/>
    <x v="6"/>
    <d v="2022-07-15T00:00:00"/>
    <d v="2022-07-22T00:00:00"/>
    <n v="8279"/>
    <n v="7008146"/>
    <x v="0"/>
    <n v="6322"/>
    <n v="8350"/>
    <n v="52788700"/>
    <n v="20"/>
    <n v="316.10000000000002"/>
    <n v="2639435"/>
  </r>
  <r>
    <s v="Sugaberrio S.A.S"/>
    <s v="F080"/>
    <s v="F_Predio Aguachi"/>
    <d v="2022-07-14T00:00:00"/>
    <x v="6"/>
    <d v="2022-07-15T00:00:00"/>
    <d v="2022-07-22T00:00:00"/>
    <n v="8286"/>
    <n v="7008146"/>
    <x v="0"/>
    <n v="6325"/>
    <n v="7900"/>
    <n v="49967500"/>
    <n v="20"/>
    <n v="316.25"/>
    <n v="2498375"/>
  </r>
  <r>
    <s v="Sugaberrio S.A.S"/>
    <s v="F080"/>
    <s v="F_Predio Aguachi"/>
    <d v="2022-07-14T00:00:00"/>
    <x v="6"/>
    <d v="2022-07-15T00:00:00"/>
    <d v="2022-07-22T00:00:00"/>
    <n v="8294"/>
    <n v="7008146"/>
    <x v="0"/>
    <n v="5926"/>
    <n v="8600"/>
    <n v="50963600"/>
    <n v="20"/>
    <n v="296.3"/>
    <n v="2548180"/>
  </r>
  <r>
    <s v="Sugaberrio S.A.S"/>
    <s v="F074"/>
    <s v="F_Venecia"/>
    <d v="2022-07-14T00:00:00"/>
    <x v="6"/>
    <d v="2022-07-15T00:00:00"/>
    <d v="2022-07-22T00:00:00"/>
    <s v="FAC 8292"/>
    <n v="7008146"/>
    <x v="0"/>
    <n v="6568"/>
    <n v="8050"/>
    <n v="52872400"/>
    <n v="16"/>
    <n v="410.5"/>
    <n v="3304525"/>
  </r>
  <r>
    <s v="Sugaberrio S.A.S"/>
    <s v="F198"/>
    <s v="La Tranquilidad"/>
    <d v="2022-07-14T00:00:00"/>
    <x v="6"/>
    <d v="2022-07-15T00:00:00"/>
    <d v="2022-07-22T00:00:00"/>
    <n v="8276"/>
    <n v="7008147"/>
    <x v="1"/>
    <n v="2551"/>
    <n v="8300"/>
    <n v="21173300"/>
    <n v="13"/>
    <n v="196.23076923076923"/>
    <n v="1628715.3846153845"/>
  </r>
  <r>
    <s v="Sugaberrio S.A.S"/>
    <s v="F198"/>
    <s v="La Tranquilidad"/>
    <d v="2022-07-14T00:00:00"/>
    <x v="6"/>
    <d v="2022-07-15T00:00:00"/>
    <d v="2022-07-22T00:00:00"/>
    <n v="8308"/>
    <n v="7008147"/>
    <x v="1"/>
    <n v="2158"/>
    <n v="7950"/>
    <n v="17156100"/>
    <n v="8"/>
    <n v="269.75"/>
    <n v="2144512.5"/>
  </r>
  <r>
    <s v="Sugaberrio S.A.S"/>
    <s v="F058"/>
    <s v="F_La Pradilla"/>
    <d v="2022-07-07T00:00:00"/>
    <x v="6"/>
    <d v="2022-07-08T00:00:00"/>
    <d v="2022-07-22T00:00:00"/>
    <s v="FAC8120"/>
    <n v="7008146"/>
    <x v="0"/>
    <n v="3222"/>
    <n v="7750"/>
    <n v="24970500"/>
    <n v="10"/>
    <n v="322.2"/>
    <n v="2497050"/>
  </r>
  <r>
    <s v="Jaime Enrique Ardila Quintero"/>
    <s v="F167"/>
    <s v="F_Chenevo"/>
    <d v="2022-07-07T00:00:00"/>
    <x v="6"/>
    <d v="2022-07-02T00:00:00"/>
    <d v="2022-07-25T00:00:00"/>
    <s v="FE-200"/>
    <n v="7008146"/>
    <x v="0"/>
    <n v="25790"/>
    <n v="8800"/>
    <n v="226952000"/>
    <n v="89"/>
    <n v="289.77528089887642"/>
    <n v="2550022.4719101125"/>
  </r>
  <r>
    <s v="Comercializadora Carbas S.A.S"/>
    <s v="F057 "/>
    <s v="F_Patio Bonito"/>
    <d v="2022-07-21T00:00:00"/>
    <x v="6"/>
    <d v="2022-07-21T00:00:00"/>
    <d v="2022-07-25T00:00:00"/>
    <s v="GAN 59"/>
    <n v="7008146"/>
    <x v="0"/>
    <n v="2410"/>
    <n v="9095"/>
    <n v="21918950"/>
    <n v="9"/>
    <n v="267.77777777777777"/>
    <n v="2435438.888888889"/>
  </r>
  <r>
    <s v="Subagan S.A."/>
    <s v="F165"/>
    <s v="F_San Clemente"/>
    <d v="2022-07-23T00:00:00"/>
    <x v="6"/>
    <d v="2022-07-23T00:00:00"/>
    <d v="2022-07-26T00:00:00"/>
    <s v="MIC665"/>
    <n v="7008147"/>
    <x v="1"/>
    <n v="10771"/>
    <n v="8610"/>
    <n v="92738310"/>
    <n v="40"/>
    <n v="269.27499999999998"/>
    <n v="2318457.75"/>
  </r>
  <r>
    <s v="Sugaberrio S.A.S"/>
    <s v="F073"/>
    <s v="F_Bello Horizont"/>
    <d v="2022-07-07T00:00:00"/>
    <x v="6"/>
    <d v="2022-07-01T00:00:00"/>
    <d v="2022-07-27T00:00:00"/>
    <s v="FBC 15753"/>
    <n v="7008146"/>
    <x v="0"/>
    <n v="14208"/>
    <n v="8520"/>
    <n v="121052160"/>
    <n v="36"/>
    <n v="394.66666666666669"/>
    <n v="3362560"/>
  </r>
  <r>
    <s v="Subastar S.A"/>
    <s v="F071"/>
    <s v="F_Texas Araujo"/>
    <d v="2022-07-22T00:00:00"/>
    <x v="6"/>
    <d v="2022-07-22T00:00:00"/>
    <d v="2022-07-27T00:00:00"/>
    <n v="8205"/>
    <n v="7008146"/>
    <x v="0"/>
    <n v="5975"/>
    <n v="8390.9149790794982"/>
    <n v="50135717"/>
    <n v="17"/>
    <n v="351.47058823529414"/>
    <n v="2949159.8235294116"/>
  </r>
  <r>
    <s v="Subastar S.A"/>
    <s v="F071"/>
    <s v="F_Texas Araujo"/>
    <d v="2022-07-22T00:00:00"/>
    <x v="6"/>
    <d v="2022-07-22T00:00:00"/>
    <d v="2022-07-27T00:00:00"/>
    <n v="8206"/>
    <n v="7008146"/>
    <x v="0"/>
    <n v="5987"/>
    <n v="8340.6699515617165"/>
    <n v="49935591"/>
    <n v="18"/>
    <n v="332.61111111111109"/>
    <n v="2774199.5"/>
  </r>
  <r>
    <s v="Subastar S.A"/>
    <s v="F071"/>
    <s v="F_Texas Araujo"/>
    <d v="2022-07-22T00:00:00"/>
    <x v="6"/>
    <d v="2022-07-22T00:00:00"/>
    <d v="2022-07-27T00:00:00"/>
    <n v="8207"/>
    <n v="7008146"/>
    <x v="0"/>
    <n v="5685"/>
    <n v="8340.670008795074"/>
    <n v="47416709"/>
    <n v="17"/>
    <n v="334.41176470588238"/>
    <n v="2789218.1764705884"/>
  </r>
  <r>
    <s v="Subagan S.A."/>
    <s v="F071"/>
    <s v="F_Texas Araujo"/>
    <d v="2022-07-23T00:00:00"/>
    <x v="6"/>
    <d v="2022-07-23T00:00:00"/>
    <d v="2022-07-27T00:00:00"/>
    <s v="MIC666"/>
    <n v="7008146"/>
    <x v="0"/>
    <n v="17306"/>
    <n v="8200"/>
    <n v="141909200"/>
    <n v="57"/>
    <n v="303.61403508771929"/>
    <n v="2489635.0877192984"/>
  </r>
  <r>
    <s v="Wilson Murillo"/>
    <s v="F199"/>
    <s v="La Fortuna"/>
    <d v="2022-07-19T00:00:00"/>
    <x v="6"/>
    <d v="2022-07-24T00:00:00"/>
    <d v="2022-07-27T00:00:00"/>
    <s v="FE 208"/>
    <n v="7008146"/>
    <x v="0"/>
    <n v="11400"/>
    <n v="8950"/>
    <n v="102030000"/>
    <n v="40"/>
    <n v="285"/>
    <n v="2550750"/>
  </r>
  <r>
    <s v="Maria Adelaida Restrepo Echeverri"/>
    <s v="F058"/>
    <s v="F_La Pradilla"/>
    <d v="2022-07-25T00:00:00"/>
    <x v="6"/>
    <d v="2022-07-25T00:00:00"/>
    <d v="2022-07-28T00:00:00"/>
    <s v="MARE79"/>
    <n v="7008146"/>
    <x v="0"/>
    <n v="18469"/>
    <n v="8500"/>
    <n v="156986500"/>
    <n v="53"/>
    <n v="348.47169811320754"/>
    <n v="2962009.4339622641"/>
  </r>
  <r>
    <s v="Subagan S.A."/>
    <s v="F019"/>
    <s v="F_Jordan"/>
    <d v="2022-07-27T00:00:00"/>
    <x v="6"/>
    <d v="2022-07-27T00:00:00"/>
    <d v="2022-07-28T00:00:00"/>
    <s v="MIC670"/>
    <n v="7008147"/>
    <x v="1"/>
    <n v="14570"/>
    <n v="8630"/>
    <n v="125739100"/>
    <n v="47"/>
    <n v="310"/>
    <n v="2675300"/>
  </r>
  <r>
    <s v="Subagan S.A."/>
    <s v="F019"/>
    <s v="F_Jordan"/>
    <d v="2022-07-27T00:00:00"/>
    <x v="6"/>
    <d v="2022-07-27T00:00:00"/>
    <d v="2022-07-28T00:00:00"/>
    <s v="MIC671"/>
    <n v="7008147"/>
    <x v="1"/>
    <n v="9374"/>
    <n v="8600"/>
    <n v="80616400"/>
    <n v="23"/>
    <n v="407.56521739130437"/>
    <n v="3505060.8695652173"/>
  </r>
  <r>
    <s v="Agropecuaria Nacederos S.A.S"/>
    <s v="F071"/>
    <s v="F_Texas Araujo"/>
    <d v="2022-07-27T00:00:00"/>
    <x v="6"/>
    <d v="2022-07-27T00:00:00"/>
    <d v="2022-07-29T00:00:00"/>
    <s v="AN 199"/>
    <n v="7008146"/>
    <x v="0"/>
    <n v="4210"/>
    <n v="8688"/>
    <n v="36576480"/>
    <n v="13"/>
    <n v="323.84615384615387"/>
    <n v="2813575.3846153845"/>
  </r>
  <r>
    <s v="Comercializadora El Delirio S.A.S"/>
    <s v="F020"/>
    <s v="F_Triana"/>
    <d v="2022-07-27T00:00:00"/>
    <x v="6"/>
    <d v="2022-07-28T00:00:00"/>
    <d v="2022-07-29T00:00:00"/>
    <s v="FE-210"/>
    <n v="7008146"/>
    <x v="0"/>
    <n v="243537"/>
    <n v="8650"/>
    <n v="2106595050"/>
    <n v="654"/>
    <n v="372.3807339449541"/>
    <n v="3221093.3486238532"/>
  </r>
  <r>
    <s v="Sugaberrio S.A.S"/>
    <s v="F151"/>
    <s v="F_El Playon"/>
    <d v="2022-06-27T00:00:00"/>
    <x v="5"/>
    <d v="2022-07-26T00:00:00"/>
    <d v="2022-07-29T00:00:00"/>
    <s v="FBC16192"/>
    <n v="7008146"/>
    <x v="0"/>
    <n v="3850"/>
    <n v="8343"/>
    <n v="32120550"/>
    <n v="13"/>
    <n v="296.15384615384613"/>
    <n v="2470811.5384615385"/>
  </r>
  <r>
    <s v="Agropacharral S.A.S"/>
    <s v="F170"/>
    <s v="F_La Florida"/>
    <d v="2022-07-30T00:00:00"/>
    <x v="6"/>
    <d v="2022-07-29T00:00:00"/>
    <d v="2022-08-01T00:00:00"/>
    <s v="ACH -47"/>
    <n v="7008146"/>
    <x v="0"/>
    <n v="14122"/>
    <n v="8400"/>
    <n v="118624800"/>
    <n v="50"/>
    <n v="282.44"/>
    <n v="2372496"/>
  </r>
  <r>
    <s v="Cencogan S.A.S"/>
    <s v="F209"/>
    <s v="F_Villa Sandra"/>
    <d v="2022-07-29T00:00:00"/>
    <x v="6"/>
    <d v="2022-07-29T00:00:00"/>
    <d v="2022-08-01T00:00:00"/>
    <n v="133553"/>
    <n v="7008147"/>
    <x v="1"/>
    <n v="69244"/>
    <n v="9000"/>
    <n v="623196000"/>
    <n v="262"/>
    <n v="264.29007633587787"/>
    <n v="2378610.6870229007"/>
  </r>
  <r>
    <s v="Sugaberrio S.A.S"/>
    <s v="F038"/>
    <s v="F_La Estrella"/>
    <d v="2022-07-28T00:00:00"/>
    <x v="6"/>
    <d v="2022-07-29T00:00:00"/>
    <d v="2022-08-02T00:00:00"/>
    <s v="FAC8480"/>
    <n v="7008147"/>
    <x v="1"/>
    <n v="1486"/>
    <n v="9500"/>
    <n v="14117000"/>
    <n v="8"/>
    <n v="185.75"/>
    <n v="1764625"/>
  </r>
  <r>
    <s v="Sugaberrio S.A.S"/>
    <s v="AC41"/>
    <s v="Alm. FeedLot"/>
    <d v="2022-07-28T00:00:00"/>
    <x v="6"/>
    <d v="2022-07-29T00:00:00"/>
    <d v="2022-08-02T00:00:00"/>
    <n v="8448"/>
    <n v="7008146"/>
    <x v="0"/>
    <n v="6535"/>
    <n v="8100"/>
    <n v="52933500"/>
    <n v="16"/>
    <n v="408.4375"/>
    <n v="3308343.75"/>
  </r>
  <r>
    <s v="Sugaberrio S.A.S"/>
    <s v="AC41"/>
    <s v="Alm. FeedLot"/>
    <d v="2022-07-28T00:00:00"/>
    <x v="6"/>
    <d v="2022-07-29T00:00:00"/>
    <d v="2022-08-02T00:00:00"/>
    <n v="8451"/>
    <n v="7008146"/>
    <x v="0"/>
    <n v="6880"/>
    <n v="8150"/>
    <n v="56072000"/>
    <n v="19"/>
    <n v="362.10526315789474"/>
    <n v="2951157.8947368423"/>
  </r>
  <r>
    <s v="Juan Molina Arias"/>
    <s v="F071"/>
    <s v="F_Texas Araujo"/>
    <d v="2022-08-01T00:00:00"/>
    <x v="7"/>
    <d v="2022-08-01T00:00:00"/>
    <d v="2022-08-02T00:00:00"/>
    <s v="FACE 31"/>
    <n v="7008146"/>
    <x v="0"/>
    <n v="11607"/>
    <n v="8420"/>
    <n v="97730940"/>
    <n v="34"/>
    <n v="341.38235294117646"/>
    <n v="2874439.411764706"/>
  </r>
  <r>
    <s v="Comercializadora El Delirio S.A.S"/>
    <s v="F020"/>
    <s v="F_Triana"/>
    <d v="2022-08-01T00:00:00"/>
    <x v="7"/>
    <d v="2022-08-01T00:00:00"/>
    <d v="2022-08-02T00:00:00"/>
    <s v="FE212"/>
    <n v="7008146"/>
    <x v="0"/>
    <n v="16600"/>
    <n v="8650"/>
    <n v="143590000"/>
    <n v="46"/>
    <n v="360.86956521739131"/>
    <n v="3121521.7391304346"/>
  </r>
  <r>
    <s v="Agropecuaria Francia y Lusitania S.A.S"/>
    <s v="F049"/>
    <s v="F_El Rosario"/>
    <d v="2022-08-02T00:00:00"/>
    <x v="7"/>
    <d v="2022-08-02T00:00:00"/>
    <d v="2022-08-03T00:00:00"/>
    <s v="_x0009_AG-519"/>
    <n v="7008146"/>
    <x v="0"/>
    <n v="29395"/>
    <n v="8461"/>
    <n v="248717973"/>
    <n v="100"/>
    <n v="293.95"/>
    <n v="2487179.73"/>
  </r>
  <r>
    <s v="Cencogan S.A.S"/>
    <s v="A209"/>
    <s v="A_Villa Sandra"/>
    <d v="2022-07-29T00:00:00"/>
    <x v="6"/>
    <d v="2022-07-29T00:00:00"/>
    <d v="2022-08-01T00:00:00"/>
    <n v="133552"/>
    <n v="7008146"/>
    <x v="0"/>
    <n v="72254"/>
    <n v="8000"/>
    <n v="578032000"/>
    <n v="168"/>
    <n v="430.08333333333331"/>
    <n v="3440666.6666666665"/>
  </r>
  <r>
    <s v="Cencogan S.A.S"/>
    <s v="A209"/>
    <s v="A_Villa Sandra"/>
    <d v="2022-07-29T00:00:00"/>
    <x v="6"/>
    <d v="2022-07-29T00:00:00"/>
    <d v="2022-08-01T00:00:00"/>
    <n v="133554"/>
    <n v="7008146"/>
    <x v="0"/>
    <n v="110699"/>
    <n v="8400"/>
    <n v="929871600"/>
    <n v="305"/>
    <n v="362.94754098360653"/>
    <n v="3048759.3442622949"/>
  </r>
  <r>
    <s v="Rodolfo De Jesus Jaramillo"/>
    <s v="A162"/>
    <s v="A_Corozal"/>
    <d v="2022-08-01T00:00:00"/>
    <x v="7"/>
    <d v="2022-08-01T00:00:00"/>
    <d v="2022-08-03T00:00:00"/>
    <s v="FE101"/>
    <n v="7008146"/>
    <x v="0"/>
    <n v="20980"/>
    <n v="8800"/>
    <n v="184624000"/>
    <n v="50"/>
    <n v="419.6"/>
    <n v="3692480"/>
  </r>
  <r>
    <s v="Wilson Murillo"/>
    <s v="F071"/>
    <s v="F_Texas Araujo"/>
    <d v="2022-08-01T00:00:00"/>
    <x v="7"/>
    <d v="2022-08-01T00:00:00"/>
    <d v="2022-08-04T00:00:00"/>
    <s v="FE 209"/>
    <n v="7008146"/>
    <x v="0"/>
    <n v="18840"/>
    <n v="8970"/>
    <n v="168994800"/>
    <n v="60"/>
    <n v="314"/>
    <n v="2816580"/>
  </r>
  <r>
    <s v="Agropecuaria Nacederos S.A.S"/>
    <s v="F071"/>
    <s v="F_Texas Araujo"/>
    <d v="2022-08-01T00:00:00"/>
    <x v="7"/>
    <d v="2022-08-01T00:00:00"/>
    <d v="2022-08-04T00:00:00"/>
    <s v="AN 202"/>
    <n v="7008146"/>
    <x v="0"/>
    <n v="9127"/>
    <n v="10392"/>
    <n v="94847784"/>
    <n v="38"/>
    <n v="240.18421052631578"/>
    <n v="2495994.3157894737"/>
  </r>
  <r>
    <s v="Tanagro S.A.S Zomac"/>
    <s v="F208"/>
    <s v="F_Los Aceitunos"/>
    <d v="2022-08-04T00:00:00"/>
    <x v="7"/>
    <d v="2022-08-03T00:00:00"/>
    <d v="2022-08-07T00:00:00"/>
    <n v="114"/>
    <n v="7008147"/>
    <x v="1"/>
    <n v="40084"/>
    <n v="8600"/>
    <n v="344722400"/>
    <n v="168"/>
    <n v="238.5952380952381"/>
    <n v="2051919.0476190476"/>
  </r>
  <r>
    <s v="Wilson Murillo"/>
    <s v="F071"/>
    <s v="F_Texas Araujo"/>
    <d v="2022-08-01T00:00:00"/>
    <x v="7"/>
    <d v="2022-08-01T00:00:00"/>
    <d v="2022-08-05T00:00:00"/>
    <s v="FE 210"/>
    <n v="7008146"/>
    <x v="0"/>
    <n v="7060"/>
    <n v="8500"/>
    <n v="60010000"/>
    <n v="20"/>
    <n v="353"/>
    <n v="3000500"/>
  </r>
  <r>
    <s v="Subastar S.A"/>
    <s v="F191"/>
    <s v="F_Salonica"/>
    <d v="2022-08-04T00:00:00"/>
    <x v="7"/>
    <d v="2022-08-04T00:00:00"/>
    <d v="2022-08-08T00:00:00"/>
    <n v="240825"/>
    <n v="7008147"/>
    <x v="1"/>
    <n v="5428"/>
    <n v="7838.2199705232133"/>
    <n v="42545858"/>
    <n v="20"/>
    <n v="271.39999999999998"/>
    <n v="2127292.9"/>
  </r>
  <r>
    <s v="Rafael Ignacio Jaramillo"/>
    <s v="A211"/>
    <s v="A_Tierra Dentro"/>
    <d v="2022-08-01T00:00:00"/>
    <x v="7"/>
    <d v="2022-08-01T00:00:00"/>
    <d v="2022-08-03T00:00:00"/>
    <s v="GAN-70"/>
    <n v="7008146"/>
    <x v="0"/>
    <n v="43903"/>
    <n v="8800"/>
    <n v="386346400"/>
    <n v="100"/>
    <n v="439.03"/>
    <n v="3863464"/>
  </r>
  <r>
    <s v="Subastar S.A"/>
    <s v="F071"/>
    <s v="F_Texas Araujo"/>
    <d v="2022-08-04T00:00:00"/>
    <x v="7"/>
    <d v="2022-08-04T00:00:00"/>
    <d v="2022-08-08T00:00:00"/>
    <n v="240782"/>
    <n v="7008146"/>
    <x v="0"/>
    <n v="6380"/>
    <n v="8189.9349529780566"/>
    <n v="52251785"/>
    <n v="18"/>
    <n v="354.44444444444446"/>
    <n v="2902876.9444444445"/>
  </r>
  <r>
    <s v="Subastar S.A"/>
    <s v="F071"/>
    <s v="F_Texas Araujo"/>
    <d v="2022-08-04T00:00:00"/>
    <x v="7"/>
    <d v="2022-08-04T00:00:00"/>
    <d v="2022-08-08T00:00:00"/>
    <n v="240792"/>
    <n v="7008146"/>
    <x v="0"/>
    <n v="6414"/>
    <n v="8290.4250077954475"/>
    <n v="53174786"/>
    <n v="18"/>
    <n v="356.33333333333331"/>
    <n v="2954154.777777778"/>
  </r>
  <r>
    <s v="Subastar S.A"/>
    <s v="F071"/>
    <s v="F_Texas Araujo"/>
    <d v="2022-08-04T00:00:00"/>
    <x v="7"/>
    <d v="2022-08-04T00:00:00"/>
    <d v="2022-08-08T00:00:00"/>
    <n v="240819"/>
    <n v="7008146"/>
    <x v="0"/>
    <n v="6278"/>
    <n v="8290.4249761070405"/>
    <n v="52047288"/>
    <n v="18"/>
    <n v="348.77777777777777"/>
    <n v="2891516"/>
  </r>
  <r>
    <s v="Tanagro S.A.S Zomac"/>
    <s v="A208"/>
    <s v="A_Los Aceitunos"/>
    <d v="2022-08-04T00:00:00"/>
    <x v="7"/>
    <d v="2022-08-03T00:00:00"/>
    <d v="2022-08-07T00:00:00"/>
    <n v="115"/>
    <n v="7008146"/>
    <x v="0"/>
    <n v="30109"/>
    <n v="8300"/>
    <n v="249904700"/>
    <n v="96"/>
    <n v="313.63541666666669"/>
    <n v="2603173.9583333335"/>
  </r>
  <r>
    <s v="Tanagro S.A.S Zomac"/>
    <s v="A208"/>
    <s v="A_Los Aceitunos"/>
    <d v="2022-08-04T00:00:00"/>
    <x v="7"/>
    <d v="2022-08-04T00:00:00"/>
    <d v="2022-08-07T00:00:00"/>
    <n v="116"/>
    <n v="7008146"/>
    <x v="0"/>
    <n v="36414"/>
    <n v="8200"/>
    <n v="298594800"/>
    <n v="100"/>
    <n v="364.14"/>
    <n v="2985948"/>
  </r>
  <r>
    <s v="Tanagro S.A.S Zomac"/>
    <s v="A207"/>
    <s v="A_Chapinero"/>
    <d v="2022-08-05T00:00:00"/>
    <x v="7"/>
    <d v="2022-08-04T00:00:00"/>
    <d v="2022-08-07T00:00:00"/>
    <n v="117"/>
    <n v="7008146"/>
    <x v="0"/>
    <n v="33426"/>
    <n v="8200"/>
    <n v="274093200"/>
    <n v="99"/>
    <n v="337.63636363636363"/>
    <n v="2768618.1818181816"/>
  </r>
  <r>
    <s v="Tanagro S.A.S Zomac"/>
    <s v="A207"/>
    <s v="A_Chapinero"/>
    <d v="2022-08-05T00:00:00"/>
    <x v="7"/>
    <d v="2022-08-05T00:00:00"/>
    <d v="2022-08-07T00:00:00"/>
    <n v="118"/>
    <n v="7008146"/>
    <x v="0"/>
    <n v="34685"/>
    <n v="8200"/>
    <n v="284417000"/>
    <n v="97"/>
    <n v="357.57731958762889"/>
    <n v="2932134.0206185565"/>
  </r>
  <r>
    <s v="Tanagro S.A.S Zomac"/>
    <s v="A207"/>
    <s v="A_Chapinero"/>
    <d v="2022-08-05T00:00:00"/>
    <x v="7"/>
    <d v="2022-08-05T00:00:00"/>
    <d v="2022-08-07T00:00:00"/>
    <n v="119"/>
    <n v="7008146"/>
    <x v="0"/>
    <n v="9717"/>
    <n v="8100"/>
    <n v="78707700"/>
    <n v="24"/>
    <n v="404.875"/>
    <n v="3279487.5"/>
  </r>
  <r>
    <s v="Ricardo Serrano Joerger"/>
    <s v="F044"/>
    <s v="F_El Encanto"/>
    <d v="2022-08-08T00:00:00"/>
    <x v="7"/>
    <d v="2022-08-08T00:00:00"/>
    <d v="2022-08-09T00:00:00"/>
    <s v="FE-112"/>
    <n v="7008146"/>
    <x v="0"/>
    <n v="10677"/>
    <n v="8250"/>
    <n v="88085250"/>
    <n v="27"/>
    <n v="395.44444444444446"/>
    <n v="3262416.6666666665"/>
  </r>
  <r>
    <s v="Mauricio Alberto Gomez Montaño"/>
    <s v="F024"/>
    <s v="F_El Imperio"/>
    <d v="2022-08-08T00:00:00"/>
    <x v="7"/>
    <d v="2022-08-08T00:00:00"/>
    <d v="2022-08-09T00:00:00"/>
    <s v="FE25"/>
    <n v="7008146"/>
    <x v="0"/>
    <n v="26557"/>
    <n v="8400"/>
    <n v="223078800"/>
    <n v="76"/>
    <n v="349.43421052631578"/>
    <n v="2935247.3684210526"/>
  </r>
  <r>
    <s v="Oscar Fabian Quintero Ardila"/>
    <s v="AC41"/>
    <s v="Alm. FeedLot"/>
    <d v="2022-08-08T00:00:00"/>
    <x v="7"/>
    <d v="2022-08-05T00:00:00"/>
    <d v="2022-08-09T00:00:00"/>
    <s v="FE52"/>
    <n v="7008146"/>
    <x v="0"/>
    <n v="13142"/>
    <n v="8100"/>
    <n v="106450200"/>
    <n v="35"/>
    <n v="375.48571428571427"/>
    <n v="3041434.2857142859"/>
  </r>
  <r>
    <s v="Sociedad Agricola De Dibulla LTDA"/>
    <s v="F038"/>
    <s v="F_La Estrella"/>
    <d v="2022-08-03T00:00:00"/>
    <x v="7"/>
    <d v="2022-08-04T00:00:00"/>
    <d v="2022-08-09T00:00:00"/>
    <s v="SAD 5543"/>
    <n v="7008147"/>
    <x v="1"/>
    <n v="4856"/>
    <n v="9000"/>
    <n v="43704000"/>
    <n v="24"/>
    <n v="202.33333333333334"/>
    <n v="1821000"/>
  </r>
  <r>
    <s v="Hacienda Cansa La Vista S.A.S"/>
    <s v="A208"/>
    <s v="A_Los Aceitunos"/>
    <d v="2022-08-04T00:00:00"/>
    <x v="7"/>
    <d v="2022-08-04T00:00:00"/>
    <d v="2022-08-09T00:00:00"/>
    <s v="FEV-29"/>
    <n v="7008146"/>
    <x v="0"/>
    <n v="1813"/>
    <n v="8050"/>
    <n v="14594650"/>
    <n v="5"/>
    <n v="362.6"/>
    <n v="2918930"/>
  </r>
  <r>
    <s v="Hacienda Cansa La Vista S.A.S"/>
    <s v="F038"/>
    <s v="F_La Estrella"/>
    <d v="2022-08-03T00:00:00"/>
    <x v="7"/>
    <d v="2022-08-02T00:00:00"/>
    <d v="2022-08-09T00:00:00"/>
    <s v="FEV28"/>
    <n v="7008147"/>
    <x v="1"/>
    <n v="3760"/>
    <n v="8900"/>
    <n v="33464000"/>
    <n v="17"/>
    <n v="221.1764705882353"/>
    <n v="1968470.5882352942"/>
  </r>
  <r>
    <s v="CC Subasta Ganadera Del Sinu S.A.S"/>
    <s v="F165"/>
    <s v="F_San Clemente"/>
    <d v="2022-08-02T00:00:00"/>
    <x v="7"/>
    <d v="2022-08-02T00:00:00"/>
    <d v="2022-08-10T00:00:00"/>
    <n v="65660"/>
    <n v="7008147"/>
    <x v="1"/>
    <n v="21324"/>
    <n v="8262"/>
    <n v="176178888"/>
    <n v="74"/>
    <n v="288.16216216216219"/>
    <n v="2380795.7837837837"/>
  </r>
  <r>
    <s v="Cencogan S.A.S"/>
    <s v="A209"/>
    <s v="A_Villa Sandra"/>
    <d v="2022-08-03T00:00:00"/>
    <x v="7"/>
    <d v="2022-08-05T00:00:00"/>
    <d v="2022-08-10T00:00:00"/>
    <n v="133576"/>
    <n v="7008146"/>
    <x v="0"/>
    <n v="159671"/>
    <n v="8400"/>
    <n v="1341236400"/>
    <n v="434"/>
    <n v="367.90552995391704"/>
    <n v="3090406.4516129033"/>
  </r>
  <r>
    <s v="Inversiones Bonito Viento S.A.S"/>
    <s v="F043"/>
    <s v="F_Monaco"/>
    <d v="2022-08-09T00:00:00"/>
    <x v="7"/>
    <d v="2022-08-11T00:00:00"/>
    <d v="2022-08-11T00:00:00"/>
    <s v="IBV105"/>
    <n v="7008146"/>
    <x v="0"/>
    <n v="23677"/>
    <n v="8400"/>
    <n v="198886800"/>
    <n v="64"/>
    <n v="369.953125"/>
    <n v="3107606.25"/>
  </r>
  <r>
    <s v="Olger Fernando Rojas Angarita"/>
    <s v="F075"/>
    <s v="F_El Tambo"/>
    <d v="2022-08-09T00:00:00"/>
    <x v="7"/>
    <d v="2022-08-08T00:00:00"/>
    <d v="2022-09-11T00:00:00"/>
    <s v="OR 192"/>
    <n v="7008146"/>
    <x v="0"/>
    <n v="18990"/>
    <n v="8200"/>
    <n v="155718000"/>
    <n v="55"/>
    <n v="345.27272727272725"/>
    <n v="2831236.3636363638"/>
  </r>
  <r>
    <s v="Sociedad Agricola De Dibulla LTDA"/>
    <s v="AC41"/>
    <s v="Alm. FeedLot"/>
    <d v="2022-08-10T00:00:00"/>
    <x v="7"/>
    <d v="2022-08-02T00:00:00"/>
    <d v="2022-08-11T00:00:00"/>
    <s v="SAD5544"/>
    <n v="7008146"/>
    <x v="0"/>
    <n v="17453"/>
    <n v="8200"/>
    <n v="143114600"/>
    <n v="54"/>
    <n v="323.2037037037037"/>
    <n v="2650270.3703703703"/>
  </r>
  <r>
    <s v="Subastar S.A"/>
    <s v="F069"/>
    <s v="F_Las Camelias"/>
    <d v="2022-08-05T00:00:00"/>
    <x v="7"/>
    <d v="2022-08-05T00:00:00"/>
    <d v="2022-08-12T00:00:00"/>
    <n v="8252"/>
    <n v="7008146"/>
    <x v="0"/>
    <n v="5821"/>
    <n v="8189.935062704003"/>
    <n v="47673612"/>
    <n v="18"/>
    <n v="323.38888888888891"/>
    <n v="2648534"/>
  </r>
  <r>
    <s v="Subastar S.A"/>
    <s v="F069"/>
    <s v="F_Las Camelias"/>
    <d v="2022-08-05T00:00:00"/>
    <x v="7"/>
    <d v="2022-08-05T00:00:00"/>
    <d v="2022-08-12T00:00:00"/>
    <n v="8253"/>
    <n v="7008146"/>
    <x v="0"/>
    <n v="6190"/>
    <n v="8189.9350565428113"/>
    <n v="50695698"/>
    <n v="18"/>
    <n v="343.88888888888891"/>
    <n v="2816427.6666666665"/>
  </r>
  <r>
    <s v="Amvimundo S.A.S"/>
    <s v="F184"/>
    <s v="F_Cocodrilla"/>
    <d v="2022-08-11T00:00:00"/>
    <x v="7"/>
    <d v="2022-08-11T00:00:00"/>
    <d v="2022-08-12T00:00:00"/>
    <s v="FE210"/>
    <n v="7008146"/>
    <x v="0"/>
    <n v="40261"/>
    <n v="8400"/>
    <n v="338192400"/>
    <n v="100"/>
    <n v="402.61"/>
    <n v="3381924"/>
  </r>
  <r>
    <s v="Maruan David Alvarez Agudelo"/>
    <s v="AC41"/>
    <s v="Alm. FeedLot"/>
    <d v="2022-08-11T00:00:00"/>
    <x v="7"/>
    <d v="2022-08-11T00:00:00"/>
    <d v="2022-08-12T00:00:00"/>
    <s v="FE-43"/>
    <n v="7008146"/>
    <x v="0"/>
    <n v="18574"/>
    <n v="8200"/>
    <n v="152306800"/>
    <n v="53"/>
    <n v="350.45283018867923"/>
    <n v="2873713.2075471696"/>
  </r>
  <r>
    <s v="Jose Francisco Muñoz Jimenez"/>
    <s v="F182"/>
    <s v="F_Vista Hermosa"/>
    <d v="2022-08-08T00:00:00"/>
    <x v="7"/>
    <d v="2022-08-04T00:00:00"/>
    <d v="2022-08-12T00:00:00"/>
    <s v="FV-3"/>
    <n v="7008147"/>
    <x v="1"/>
    <n v="8142"/>
    <n v="8400"/>
    <n v="68392800"/>
    <n v="31"/>
    <n v="262.64516129032256"/>
    <n v="2206219.3548387098"/>
  </r>
  <r>
    <s v="Edelmira Vasquez Granada"/>
    <s v="F069"/>
    <s v="F_Las Camelias"/>
    <d v="2022-08-13T00:00:00"/>
    <x v="7"/>
    <d v="2022-08-13T00:00:00"/>
    <d v="2022-08-16T00:00:00"/>
    <s v="FE 41"/>
    <n v="7008146"/>
    <x v="0"/>
    <n v="12406"/>
    <n v="8500"/>
    <n v="105451000"/>
    <n v="38"/>
    <n v="326.4736842105263"/>
    <n v="2775026.3157894737"/>
  </r>
  <r>
    <s v="Maria Fernanda Dangond Quintero"/>
    <s v="A208"/>
    <s v="A_Los Aceitunos"/>
    <d v="2022-08-10T00:00:00"/>
    <x v="7"/>
    <d v="2022-08-12T00:00:00"/>
    <d v="2022-08-16T00:00:00"/>
    <s v="GAN-31"/>
    <n v="7008146"/>
    <x v="0"/>
    <n v="11947"/>
    <n v="8100"/>
    <n v="96770700"/>
    <n v="38"/>
    <n v="314.39473684210526"/>
    <n v="2546597.3684210526"/>
  </r>
  <r>
    <s v="Maria Fernanda Dangond Quintero"/>
    <s v="AC41"/>
    <s v="Alm. FeedLot"/>
    <d v="2022-08-10T00:00:00"/>
    <x v="7"/>
    <d v="2022-08-12T00:00:00"/>
    <d v="2022-08-16T00:00:00"/>
    <s v="GAN-30"/>
    <n v="7008146"/>
    <x v="0"/>
    <n v="24731"/>
    <n v="8100"/>
    <n v="200321100"/>
    <n v="69"/>
    <n v="358.42028985507244"/>
    <n v="2903204.3478260869"/>
  </r>
  <r>
    <s v="Wilson Murillo"/>
    <s v="F199"/>
    <s v="La Fortuna"/>
    <d v="2022-08-10T00:00:00"/>
    <x v="7"/>
    <d v="2022-08-13T00:00:00"/>
    <d v="2022-08-17T00:00:00"/>
    <s v="FE 211"/>
    <n v="7008146"/>
    <x v="0"/>
    <n v="12336"/>
    <n v="8930"/>
    <n v="110160480"/>
    <n v="48"/>
    <n v="257"/>
    <n v="2295010"/>
  </r>
  <r>
    <s v="Distrimora Limita"/>
    <s v="F117"/>
    <s v="F_Los Alacranes"/>
    <d v="2022-08-16T00:00:00"/>
    <x v="7"/>
    <d v="2022-08-12T00:00:00"/>
    <d v="2022-08-18T00:00:00"/>
    <s v="FE-140"/>
    <n v="7008146"/>
    <x v="0"/>
    <n v="14140"/>
    <n v="8100"/>
    <n v="114534000"/>
    <n v="35"/>
    <n v="404"/>
    <n v="3272400"/>
  </r>
  <r>
    <s v="Distrimora Limita"/>
    <s v="F117"/>
    <s v="F_Los Alacranes"/>
    <d v="2022-08-16T00:00:00"/>
    <x v="7"/>
    <d v="2022-08-12T00:00:00"/>
    <d v="2022-08-18T00:00:00"/>
    <s v="FE-141"/>
    <n v="7008146"/>
    <x v="0"/>
    <n v="11526"/>
    <n v="8200"/>
    <n v="94513200"/>
    <n v="30"/>
    <n v="384.2"/>
    <n v="3150440"/>
  </r>
  <r>
    <s v="Distrimora Limita"/>
    <s v="F117"/>
    <s v="F_Los Alacranes"/>
    <d v="2022-08-16T00:00:00"/>
    <x v="7"/>
    <d v="2022-08-12T00:00:00"/>
    <d v="2022-08-18T00:00:00"/>
    <s v="FE-142"/>
    <n v="7008146"/>
    <x v="0"/>
    <n v="9725"/>
    <n v="8200"/>
    <n v="79745000"/>
    <n v="30"/>
    <n v="324.16666666666669"/>
    <n v="2658166.6666666665"/>
  </r>
  <r>
    <s v="Maria Fernanda Dangond Quintero"/>
    <s v="A207"/>
    <s v="A_Chapinero"/>
    <d v="2022-08-10T00:00:00"/>
    <x v="7"/>
    <d v="2022-08-12T00:00:00"/>
    <d v="2022-08-18T00:00:00"/>
    <s v="GAN-32"/>
    <n v="7008146"/>
    <x v="0"/>
    <n v="26301"/>
    <n v="8100"/>
    <n v="213038100"/>
    <n v="90"/>
    <n v="292.23333333333335"/>
    <n v="2367090"/>
  </r>
  <r>
    <s v="Sugaberrio S.A.S"/>
    <s v="F058"/>
    <s v="F_La Pradilla"/>
    <d v="2022-08-11T00:00:00"/>
    <x v="7"/>
    <d v="2022-08-12T00:00:00"/>
    <d v="2022-08-22T00:00:00"/>
    <s v="FAC8561"/>
    <n v="7008146"/>
    <x v="0"/>
    <n v="7256"/>
    <n v="7950"/>
    <n v="57685200"/>
    <n v="20"/>
    <n v="362.8"/>
    <n v="2884260"/>
  </r>
  <r>
    <s v="Alfonso Orozco Martinez"/>
    <s v="F097"/>
    <s v="F_Don Alfonso"/>
    <d v="2022-08-16T00:00:00"/>
    <x v="7"/>
    <d v="2022-08-16T00:00:00"/>
    <d v="2022-08-22T00:00:00"/>
    <s v="FE86"/>
    <n v="7008146"/>
    <x v="0"/>
    <n v="58507"/>
    <n v="8300"/>
    <n v="485608100"/>
    <n v="200"/>
    <n v="292.53500000000003"/>
    <n v="2428040.5"/>
  </r>
  <r>
    <s v="Subastar S.A"/>
    <s v="F035"/>
    <s v="F_Santa Ines"/>
    <d v="2022-08-15T00:00:00"/>
    <x v="7"/>
    <d v="2022-08-17T00:00:00"/>
    <d v="2022-08-22T00:00:00"/>
    <s v="T1 8276"/>
    <n v="7008146"/>
    <x v="0"/>
    <n v="5342"/>
    <n v="7687.4850243354549"/>
    <n v="41066545"/>
    <n v="18"/>
    <n v="296.77777777777777"/>
    <n v="2281474.722222222"/>
  </r>
  <r>
    <s v="Subastar S.A"/>
    <s v="F035"/>
    <s v="F_Santa Ines"/>
    <d v="2022-08-15T00:00:00"/>
    <x v="7"/>
    <d v="2022-08-17T00:00:00"/>
    <d v="2022-08-22T00:00:00"/>
    <s v="T18277"/>
    <n v="7008146"/>
    <x v="0"/>
    <n v="5461"/>
    <n v="7687.4850759934079"/>
    <n v="41981356"/>
    <n v="18"/>
    <n v="303.38888888888891"/>
    <n v="2332297.5555555555"/>
  </r>
  <r>
    <s v="Subastar S.A"/>
    <s v="F035"/>
    <s v="F_Santa Ines"/>
    <d v="2022-08-17T00:00:00"/>
    <x v="7"/>
    <d v="2022-08-18T00:00:00"/>
    <d v="2022-08-22T00:00:00"/>
    <s v="B1-39956"/>
    <n v="7008146"/>
    <x v="0"/>
    <n v="5630"/>
    <n v="7536.7499111900534"/>
    <n v="42431902"/>
    <n v="20"/>
    <n v="281.5"/>
    <n v="2121595.1"/>
  </r>
  <r>
    <s v="Sugaberrio S.A.S"/>
    <s v="F210"/>
    <s v="F_Santa Marta"/>
    <d v="2022-08-11T00:00:00"/>
    <x v="7"/>
    <d v="2022-08-12T00:00:00"/>
    <d v="2022-08-22T00:00:00"/>
    <n v="8542"/>
    <n v="7008147"/>
    <x v="1"/>
    <n v="1372"/>
    <n v="8500"/>
    <n v="11662000"/>
    <n v="6"/>
    <n v="228.66666666666666"/>
    <n v="1943666.6666666667"/>
  </r>
  <r>
    <s v="Sugaberrio S.A.S"/>
    <s v="F210"/>
    <s v="F_Santa Marta"/>
    <d v="2022-08-11T00:00:00"/>
    <x v="7"/>
    <d v="2022-08-12T00:00:00"/>
    <d v="2022-08-22T00:00:00"/>
    <n v="8553"/>
    <n v="7008147"/>
    <x v="1"/>
    <n v="5162"/>
    <n v="8450"/>
    <n v="43618900"/>
    <n v="26"/>
    <n v="198.53846153846155"/>
    <n v="1677650"/>
  </r>
  <r>
    <s v="Sugaberrio S.A.S"/>
    <s v="F210"/>
    <s v="F_Santa Marta"/>
    <d v="2022-08-11T00:00:00"/>
    <x v="7"/>
    <d v="2022-08-12T00:00:00"/>
    <d v="2022-08-22T00:00:00"/>
    <n v="8556"/>
    <n v="7008147"/>
    <x v="1"/>
    <n v="6050"/>
    <n v="8100"/>
    <n v="49005000"/>
    <n v="29"/>
    <n v="208.62068965517241"/>
    <n v="1689827.5862068965"/>
  </r>
  <r>
    <s v="Sugaberrio S.A.S"/>
    <s v="F210"/>
    <s v="F_Santa Marta"/>
    <d v="2022-08-11T00:00:00"/>
    <x v="7"/>
    <d v="2022-08-12T00:00:00"/>
    <d v="2022-08-22T00:00:00"/>
    <n v="8563"/>
    <n v="7008147"/>
    <x v="1"/>
    <n v="5519"/>
    <n v="8300"/>
    <n v="45807700"/>
    <n v="22"/>
    <n v="250.86363636363637"/>
    <n v="2082168.1818181819"/>
  </r>
  <r>
    <s v="Sugaberrio S.A.S"/>
    <s v="F210"/>
    <s v="F_Santa Marta"/>
    <d v="2022-08-11T00:00:00"/>
    <x v="7"/>
    <d v="2022-08-12T00:00:00"/>
    <d v="2022-08-22T00:00:00"/>
    <n v="8568"/>
    <n v="7008147"/>
    <x v="1"/>
    <n v="4291"/>
    <n v="8250"/>
    <n v="35400750"/>
    <n v="18"/>
    <n v="238.38888888888889"/>
    <n v="1966708.3333333333"/>
  </r>
  <r>
    <s v="Sugaberrio S.A.S"/>
    <s v="F210"/>
    <s v="F_Santa Marta"/>
    <d v="2022-08-11T00:00:00"/>
    <x v="7"/>
    <d v="2022-08-12T00:00:00"/>
    <d v="2022-08-22T00:00:00"/>
    <n v="8573"/>
    <n v="7008147"/>
    <x v="1"/>
    <n v="1406"/>
    <n v="7400"/>
    <n v="10404400"/>
    <n v="5"/>
    <n v="281.2"/>
    <n v="2080880"/>
  </r>
  <r>
    <s v="Sugaberrio S.A.S"/>
    <s v="F210"/>
    <s v="F_Santa Marta"/>
    <d v="2022-08-11T00:00:00"/>
    <x v="7"/>
    <d v="2022-08-12T00:00:00"/>
    <d v="2022-08-22T00:00:00"/>
    <n v="8597"/>
    <n v="7008147"/>
    <x v="1"/>
    <n v="1889"/>
    <n v="7850"/>
    <n v="14828650"/>
    <n v="6"/>
    <n v="314.83333333333331"/>
    <n v="2471441.6666666665"/>
  </r>
  <r>
    <s v="Sugaberrio S.A.S"/>
    <s v="F210"/>
    <s v="F_Santa Marta"/>
    <d v="2022-08-11T00:00:00"/>
    <x v="7"/>
    <d v="2022-08-12T00:00:00"/>
    <d v="2022-08-22T00:00:00"/>
    <n v="8604"/>
    <n v="7008147"/>
    <x v="1"/>
    <n v="5933"/>
    <n v="8200"/>
    <n v="48650600"/>
    <n v="24"/>
    <n v="247.20833333333334"/>
    <n v="2027108.3333333333"/>
  </r>
  <r>
    <s v="Sugaberrio S.A.S"/>
    <s v="F210"/>
    <s v="F_Santa Marta"/>
    <d v="2022-08-13T00:00:00"/>
    <x v="7"/>
    <d v="2022-08-14T00:00:00"/>
    <d v="2022-08-22T00:00:00"/>
    <n v="8614"/>
    <n v="7008147"/>
    <x v="1"/>
    <n v="2649"/>
    <n v="7700"/>
    <n v="20397300"/>
    <n v="10"/>
    <n v="264.89999999999998"/>
    <n v="2039730"/>
  </r>
  <r>
    <s v="Sugaberrio S.A.S"/>
    <s v="F210"/>
    <s v="F_Santa Marta"/>
    <d v="2022-08-13T00:00:00"/>
    <x v="7"/>
    <d v="2022-08-14T00:00:00"/>
    <d v="2022-08-22T00:00:00"/>
    <n v="8616"/>
    <n v="7008147"/>
    <x v="1"/>
    <n v="4267"/>
    <n v="7250"/>
    <n v="30935750"/>
    <n v="17"/>
    <n v="251"/>
    <n v="1819750"/>
  </r>
  <r>
    <s v="Sugaberrio S.A.S"/>
    <s v="F210"/>
    <s v="F_Santa Marta"/>
    <d v="2022-08-13T00:00:00"/>
    <x v="7"/>
    <d v="2022-08-14T00:00:00"/>
    <d v="2022-08-22T00:00:00"/>
    <n v="8617"/>
    <n v="7008147"/>
    <x v="1"/>
    <n v="3089"/>
    <n v="8250"/>
    <n v="25484250"/>
    <n v="19"/>
    <n v="162.57894736842104"/>
    <n v="1341276.3157894737"/>
  </r>
  <r>
    <s v="Sugaberrio S.A.S"/>
    <s v="F210"/>
    <s v="F_Santa Marta"/>
    <d v="2022-08-13T00:00:00"/>
    <x v="7"/>
    <d v="2022-08-14T00:00:00"/>
    <d v="2022-08-22T00:00:00"/>
    <n v="8618"/>
    <n v="7008147"/>
    <x v="1"/>
    <n v="6371"/>
    <n v="7400"/>
    <n v="47145400"/>
    <n v="25"/>
    <n v="254.84"/>
    <n v="1885816"/>
  </r>
  <r>
    <s v="Sugaberrio S.A.S"/>
    <s v="F210"/>
    <s v="F_Santa Marta"/>
    <d v="2022-08-13T00:00:00"/>
    <x v="7"/>
    <d v="2022-08-14T00:00:00"/>
    <d v="2022-08-22T00:00:00"/>
    <n v="8619"/>
    <n v="7008147"/>
    <x v="1"/>
    <n v="6610"/>
    <n v="7350"/>
    <n v="48583500"/>
    <n v="24"/>
    <n v="275.41666666666669"/>
    <n v="2024312.5"/>
  </r>
  <r>
    <s v="Sugaberrio S.A.S"/>
    <s v="F210"/>
    <s v="F_Santa Marta"/>
    <d v="2022-08-13T00:00:00"/>
    <x v="7"/>
    <d v="2022-08-14T00:00:00"/>
    <d v="2022-08-22T00:00:00"/>
    <n v="8622"/>
    <n v="7008147"/>
    <x v="1"/>
    <n v="1678"/>
    <n v="8600"/>
    <n v="14430800"/>
    <n v="10"/>
    <n v="167.8"/>
    <n v="1443080"/>
  </r>
  <r>
    <s v="Subastar S.A"/>
    <s v="F049"/>
    <s v="F_El Rosario"/>
    <d v="2022-08-18T00:00:00"/>
    <x v="7"/>
    <d v="2022-08-18T00:00:00"/>
    <d v="2022-08-22T00:00:00"/>
    <n v="8286"/>
    <n v="7008147"/>
    <x v="1"/>
    <n v="5854"/>
    <n v="7536.7499145883157"/>
    <n v="44120134"/>
    <n v="19"/>
    <n v="308.10526315789474"/>
    <n v="2322112.3157894737"/>
  </r>
  <r>
    <s v="Subastar S.A"/>
    <s v="F049"/>
    <s v="F_El Rosario"/>
    <d v="2022-08-18T00:00:00"/>
    <x v="7"/>
    <d v="2022-08-18T00:00:00"/>
    <d v="2022-08-22T00:00:00"/>
    <n v="8284"/>
    <n v="7008147"/>
    <x v="1"/>
    <n v="5258"/>
    <n v="7787.975085583872"/>
    <n v="40949173"/>
    <n v="20"/>
    <n v="262.89999999999998"/>
    <n v="2047458.65"/>
  </r>
  <r>
    <s v="Subastar S.A"/>
    <s v="F062"/>
    <s v="F_La Leticia"/>
    <d v="2022-08-18T00:00:00"/>
    <x v="7"/>
    <d v="2022-08-18T00:00:00"/>
    <d v="2022-08-22T00:00:00"/>
    <n v="241090"/>
    <n v="7008146"/>
    <x v="0"/>
    <n v="6002"/>
    <n v="7737.7299233588801"/>
    <n v="46441855"/>
    <n v="17"/>
    <n v="353.05882352941177"/>
    <n v="2731873.8235294116"/>
  </r>
  <r>
    <s v="Subastar S.A"/>
    <s v="F062"/>
    <s v="F_La Leticia"/>
    <d v="2022-08-18T00:00:00"/>
    <x v="7"/>
    <d v="2022-08-18T00:00:00"/>
    <d v="2022-08-22T00:00:00"/>
    <n v="241102"/>
    <n v="7008146"/>
    <x v="0"/>
    <n v="5940"/>
    <n v="7486.5050505050503"/>
    <n v="44469840"/>
    <n v="18"/>
    <n v="330"/>
    <n v="2470546.6666666665"/>
  </r>
  <r>
    <s v="Subastar S.A"/>
    <s v="F062"/>
    <s v="F_La Leticia"/>
    <d v="2022-08-18T00:00:00"/>
    <x v="7"/>
    <d v="2022-08-18T00:00:00"/>
    <d v="2022-08-22T00:00:00"/>
    <n v="241125"/>
    <n v="7008146"/>
    <x v="0"/>
    <n v="6274"/>
    <n v="7586.9950589735417"/>
    <n v="47600807"/>
    <n v="18"/>
    <n v="348.55555555555554"/>
    <n v="2644489.277777778"/>
  </r>
  <r>
    <s v="Subasta Ganadera Casanare S.A"/>
    <s v="A035"/>
    <s v="A_Santa Ines"/>
    <d v="2022-08-18T00:00:00"/>
    <x v="7"/>
    <d v="2022-08-21T00:00:00"/>
    <d v="2022-08-23T00:00:00"/>
    <s v="FEC-28900"/>
    <n v="7008146"/>
    <x v="0"/>
    <n v="2744"/>
    <n v="7652.6239067055394"/>
    <n v="20998800"/>
    <n v="6"/>
    <n v="457.33333333333331"/>
    <n v="3499800"/>
  </r>
  <r>
    <s v="Subasta Ganadera Casanare S.A"/>
    <s v="A035"/>
    <s v="A_Santa Ines"/>
    <d v="2022-08-18T00:00:00"/>
    <x v="7"/>
    <d v="2022-08-21T00:00:00"/>
    <d v="2022-08-23T00:00:00"/>
    <s v="FEC28922"/>
    <n v="7008146"/>
    <x v="0"/>
    <n v="5428"/>
    <n v="7402.8739867354461"/>
    <n v="40182800"/>
    <n v="13"/>
    <n v="417.53846153846155"/>
    <n v="3090984.6153846155"/>
  </r>
  <r>
    <s v="Subasta Ganadera Casanare S.A"/>
    <s v="A035"/>
    <s v="A_Santa Ines"/>
    <d v="2022-08-18T00:00:00"/>
    <x v="7"/>
    <d v="2022-08-21T00:00:00"/>
    <d v="2022-08-23T00:00:00"/>
    <s v="FEC28957"/>
    <n v="7008146"/>
    <x v="0"/>
    <n v="3622"/>
    <n v="7802.6504693539482"/>
    <n v="28261200"/>
    <n v="8"/>
    <n v="452.75"/>
    <n v="3532650"/>
  </r>
  <r>
    <s v="Subasta Ganadera Casanare S.A"/>
    <s v="F171"/>
    <s v="F_Yacare"/>
    <d v="2022-08-18T00:00:00"/>
    <x v="7"/>
    <d v="2022-08-19T00:00:00"/>
    <d v="2022-08-23T00:00:00"/>
    <s v="FEC-28889"/>
    <n v="7008146"/>
    <x v="0"/>
    <n v="3580"/>
    <n v="7453.0167597765367"/>
    <n v="26681800"/>
    <n v="9"/>
    <n v="397.77777777777777"/>
    <n v="2964644.4444444445"/>
  </r>
  <r>
    <s v="Subasta Ganadera Casanare S.A"/>
    <s v="F171"/>
    <s v="F_Yacare"/>
    <d v="2022-08-18T00:00:00"/>
    <x v="7"/>
    <d v="2022-08-19T00:00:00"/>
    <d v="2022-08-23T00:00:00"/>
    <s v="FEC28897"/>
    <n v="7008146"/>
    <x v="0"/>
    <n v="1908"/>
    <n v="7503.1446540880506"/>
    <n v="14316000"/>
    <n v="5"/>
    <n v="381.6"/>
    <n v="2863200"/>
  </r>
  <r>
    <s v="Subasta Ganadera Casanare S.A"/>
    <s v="F171"/>
    <s v="F_Yacare"/>
    <d v="2022-08-18T00:00:00"/>
    <x v="7"/>
    <d v="2022-08-19T00:00:00"/>
    <d v="2022-08-23T00:00:00"/>
    <s v="FEC28938"/>
    <n v="7008146"/>
    <x v="0"/>
    <n v="5772"/>
    <n v="7453.3264033264031"/>
    <n v="43020600"/>
    <n v="16"/>
    <n v="360.75"/>
    <n v="2688787.5"/>
  </r>
  <r>
    <s v="Subasta Ganadera Casanare S.A"/>
    <s v="F171"/>
    <s v="F_Yacare"/>
    <d v="2022-08-18T00:00:00"/>
    <x v="7"/>
    <d v="2022-08-19T00:00:00"/>
    <d v="2022-08-23T00:00:00"/>
    <s v="FEC28966"/>
    <n v="7008146"/>
    <x v="0"/>
    <n v="4872"/>
    <n v="7303.2019704433496"/>
    <n v="35581200"/>
    <n v="13"/>
    <n v="374.76923076923077"/>
    <n v="2737015.3846153845"/>
  </r>
  <r>
    <s v="Agronegocios J.A.R ZOMAC"/>
    <s v="A148"/>
    <s v="A_El Tropezon"/>
    <d v="2022-08-22T00:00:00"/>
    <x v="7"/>
    <d v="2022-08-22T00:00:00"/>
    <d v="2022-08-23T00:00:00"/>
    <s v="AG-80"/>
    <n v="7008147"/>
    <x v="1"/>
    <n v="7686"/>
    <n v="8150"/>
    <n v="62640900"/>
    <n v="25"/>
    <n v="307.44"/>
    <n v="2505636"/>
  </r>
  <r>
    <s v="Sugaberrio S.A.S"/>
    <s v="A205"/>
    <s v="A_Rancho Apache"/>
    <d v="2022-08-20T00:00:00"/>
    <x v="7"/>
    <d v="2022-08-21T00:00:00"/>
    <d v="2022-08-23T00:00:00"/>
    <s v="FBC16592"/>
    <n v="7008147"/>
    <x v="1"/>
    <n v="5822"/>
    <n v="8450"/>
    <n v="49195900"/>
    <n v="21"/>
    <n v="277.23809523809524"/>
    <n v="2342661.9047619049"/>
  </r>
  <r>
    <s v="Sugaberrio S.A.S"/>
    <s v="A205"/>
    <s v="A_Rancho Apache"/>
    <d v="2022-08-20T00:00:00"/>
    <x v="7"/>
    <d v="2022-08-21T00:00:00"/>
    <d v="2022-08-23T00:00:00"/>
    <s v="FB16590"/>
    <n v="7008147"/>
    <x v="1"/>
    <n v="6348"/>
    <n v="8350"/>
    <n v="53005800"/>
    <n v="23"/>
    <n v="276"/>
    <n v="2304600"/>
  </r>
  <r>
    <s v="Wilson Murillo"/>
    <s v="A205"/>
    <s v="A_Rancho Apache"/>
    <d v="2022-08-15T00:00:00"/>
    <x v="7"/>
    <d v="2022-08-21T00:00:00"/>
    <d v="2022-08-23T00:00:00"/>
    <s v="FE212"/>
    <n v="7008146"/>
    <x v="0"/>
    <n v="10668"/>
    <n v="8650"/>
    <n v="92278200"/>
    <n v="42"/>
    <n v="254"/>
    <n v="2197100"/>
  </r>
  <r>
    <s v="Agropecuaria Francia y Lusitania S.A.S"/>
    <s v="A125"/>
    <s v="A_San Lorenzo"/>
    <d v="2022-08-11T00:00:00"/>
    <x v="7"/>
    <d v="2022-08-11T00:00:00"/>
    <d v="2022-08-24T00:00:00"/>
    <s v="AG-526"/>
    <n v="7008146"/>
    <x v="0"/>
    <n v="32796"/>
    <n v="8279"/>
    <n v="271518084"/>
    <n v="108"/>
    <n v="303.66666666666669"/>
    <n v="2514056.3333333335"/>
  </r>
  <r>
    <s v="Subastar S.A"/>
    <s v="F067"/>
    <s v="F_Guacharacas"/>
    <d v="2022-08-23T00:00:00"/>
    <x v="7"/>
    <d v="2022-08-14T00:00:00"/>
    <d v="2022-08-25T00:00:00"/>
    <n v="8301"/>
    <n v="7008146"/>
    <x v="0"/>
    <n v="6148"/>
    <n v="7436.25992192583"/>
    <n v="45718126"/>
    <n v="16"/>
    <n v="384.25"/>
    <n v="2857382.875"/>
  </r>
  <r>
    <s v="Sugaberrio S.A.S"/>
    <s v="F210"/>
    <s v="F_Santa Marta"/>
    <d v="2022-08-18T00:00:00"/>
    <x v="7"/>
    <d v="2022-08-19T00:00:00"/>
    <d v="2022-08-26T00:00:00"/>
    <n v="8652"/>
    <n v="7008147"/>
    <x v="1"/>
    <n v="3668"/>
    <n v="8200"/>
    <n v="30077600"/>
    <n v="16"/>
    <n v="229.25"/>
    <n v="1879850"/>
  </r>
  <r>
    <s v="Sugaberrio S.A.S"/>
    <s v="F210"/>
    <s v="F_Santa Marta"/>
    <d v="2022-08-18T00:00:00"/>
    <x v="7"/>
    <d v="2022-08-19T00:00:00"/>
    <d v="2022-08-26T00:00:00"/>
    <n v="8659"/>
    <n v="7008147"/>
    <x v="1"/>
    <n v="5448"/>
    <n v="8000"/>
    <n v="43584000"/>
    <n v="23"/>
    <n v="236.86956521739131"/>
    <n v="1894956.5217391304"/>
  </r>
  <r>
    <s v="Sugaberrio S.A.S"/>
    <s v="F210"/>
    <s v="F_Santa Marta"/>
    <d v="2022-08-18T00:00:00"/>
    <x v="7"/>
    <d v="2022-08-19T00:00:00"/>
    <d v="2022-08-26T00:00:00"/>
    <n v="8690"/>
    <n v="7008147"/>
    <x v="1"/>
    <n v="3491"/>
    <n v="7700"/>
    <n v="26880700"/>
    <n v="21"/>
    <n v="166.23809523809524"/>
    <n v="1280033.3333333333"/>
  </r>
  <r>
    <s v="Sugaberrio S.A.S"/>
    <s v="F210"/>
    <s v="F_Santa Marta"/>
    <d v="2022-08-23T00:00:00"/>
    <x v="7"/>
    <d v="2022-08-23T00:00:00"/>
    <d v="2022-08-26T00:00:00"/>
    <s v="FBC16653"/>
    <n v="7008147"/>
    <x v="1"/>
    <n v="5526"/>
    <n v="7943"/>
    <n v="43893018"/>
    <n v="21"/>
    <n v="263.14285714285717"/>
    <n v="2090143.7142857143"/>
  </r>
  <r>
    <s v="Wilson Murillo"/>
    <s v="F057"/>
    <s v="F_Patio Bonito"/>
    <d v="2022-08-16T00:00:00"/>
    <x v="7"/>
    <d v="2022-08-20T00:00:00"/>
    <d v="2022-08-29T00:00:00"/>
    <s v="FE213"/>
    <n v="7008146"/>
    <x v="0"/>
    <n v="37366"/>
    <n v="8450"/>
    <n v="315742700"/>
    <n v="119"/>
    <n v="314"/>
    <n v="2653300"/>
  </r>
  <r>
    <s v="Sugaberrio S.A.S"/>
    <s v="A205"/>
    <s v="A_Rancho Apache"/>
    <d v="2022-08-25T00:00:00"/>
    <x v="7"/>
    <d v="2022-08-26T00:00:00"/>
    <d v="2022-08-30T00:00:00"/>
    <n v="8731"/>
    <n v="7008147"/>
    <x v="1"/>
    <n v="6370"/>
    <n v="8150"/>
    <n v="51915500"/>
    <n v="22"/>
    <n v="289.54545454545456"/>
    <n v="2359795.4545454546"/>
  </r>
  <r>
    <s v="Sugaberrio S.A.S"/>
    <s v="A205"/>
    <s v="A_Rancho Apache"/>
    <d v="2022-08-25T00:00:00"/>
    <x v="7"/>
    <d v="2022-08-26T00:00:00"/>
    <d v="2022-08-30T00:00:00"/>
    <n v="8761"/>
    <n v="7008147"/>
    <x v="1"/>
    <n v="5127"/>
    <n v="8050"/>
    <n v="41272350"/>
    <n v="18"/>
    <n v="284.83333333333331"/>
    <n v="2292908.3333333335"/>
  </r>
  <r>
    <s v="Sugaberrio S.A.S"/>
    <s v="F136"/>
    <s v="F_San Martin"/>
    <d v="2022-08-25T00:00:00"/>
    <x v="7"/>
    <d v="2022-08-26T00:00:00"/>
    <d v="2022-08-30T00:00:00"/>
    <n v="8728"/>
    <n v="7008146"/>
    <x v="0"/>
    <n v="5994"/>
    <n v="7650"/>
    <n v="45854100"/>
    <n v="18"/>
    <n v="333"/>
    <n v="2547450"/>
  </r>
  <r>
    <s v="Sugaberrio S.A.S"/>
    <s v="F136"/>
    <s v="F_San Martin"/>
    <d v="2022-08-25T00:00:00"/>
    <x v="7"/>
    <d v="2022-08-26T00:00:00"/>
    <d v="2022-08-30T00:00:00"/>
    <n v="8729"/>
    <n v="7008146"/>
    <x v="0"/>
    <n v="6298"/>
    <n v="7850"/>
    <n v="49439300"/>
    <n v="18"/>
    <n v="349.88888888888891"/>
    <n v="2746627.777777778"/>
  </r>
  <r>
    <s v="Sugaberrio S.A.S"/>
    <s v="F136"/>
    <s v="F_San Martin"/>
    <d v="2022-08-25T00:00:00"/>
    <x v="7"/>
    <d v="2022-08-26T00:00:00"/>
    <d v="2022-08-30T00:00:00"/>
    <n v="8730"/>
    <n v="7008146"/>
    <x v="0"/>
    <n v="6513"/>
    <n v="7750"/>
    <n v="50475750"/>
    <n v="20"/>
    <n v="325.64999999999998"/>
    <n v="2523787.5"/>
  </r>
  <r>
    <s v="Sugaberrio S.A.S"/>
    <s v="F210"/>
    <s v="F_Santa Marta"/>
    <d v="2022-08-25T00:00:00"/>
    <x v="7"/>
    <d v="2022-08-26T00:00:00"/>
    <d v="2022-08-30T00:00:00"/>
    <n v="8760"/>
    <n v="7008147"/>
    <x v="1"/>
    <n v="5380"/>
    <n v="7700"/>
    <n v="41426000"/>
    <n v="18"/>
    <n v="298.88888888888891"/>
    <n v="2301444.4444444445"/>
  </r>
  <r>
    <s v="Sugaberrio S.A.S"/>
    <s v="F210"/>
    <s v="F_Santa Marta"/>
    <d v="2022-08-25T00:00:00"/>
    <x v="7"/>
    <d v="2022-08-26T00:00:00"/>
    <d v="2022-08-30T00:00:00"/>
    <n v="8722"/>
    <n v="7008147"/>
    <x v="1"/>
    <n v="3279"/>
    <n v="7100"/>
    <n v="23280900"/>
    <n v="12"/>
    <n v="273.25"/>
    <n v="1940075"/>
  </r>
  <r>
    <s v="Sugaberrio S.A.S"/>
    <s v="F210"/>
    <s v="F_Santa Marta"/>
    <d v="2022-08-25T00:00:00"/>
    <x v="7"/>
    <d v="2022-08-26T00:00:00"/>
    <d v="2022-08-30T00:00:00"/>
    <n v="8762"/>
    <n v="7008147"/>
    <x v="1"/>
    <n v="1601"/>
    <n v="7350"/>
    <n v="11767350"/>
    <n v="6"/>
    <n v="266.83333333333331"/>
    <n v="1961225"/>
  </r>
  <r>
    <s v="Sugaberrio S.A.S"/>
    <s v="F212"/>
    <s v="F_Villa Catalina"/>
    <d v="2022-08-25T00:00:00"/>
    <x v="7"/>
    <d v="2022-08-26T00:00:00"/>
    <d v="2022-08-30T00:00:00"/>
    <n v="8734"/>
    <n v="7008147"/>
    <x v="1"/>
    <n v="4602"/>
    <n v="7550"/>
    <n v="34745100"/>
    <n v="16"/>
    <n v="287.625"/>
    <n v="2171568.75"/>
  </r>
  <r>
    <s v="Sugaberrio S.A.S"/>
    <s v="F212"/>
    <s v="F_Villa Catalina"/>
    <d v="2022-08-25T00:00:00"/>
    <x v="7"/>
    <d v="2022-08-26T00:00:00"/>
    <d v="2022-08-30T00:00:00"/>
    <n v="8736"/>
    <n v="7008147"/>
    <x v="1"/>
    <n v="5669"/>
    <n v="7800"/>
    <n v="44218200"/>
    <n v="23"/>
    <n v="246.47826086956522"/>
    <n v="1922530.4347826086"/>
  </r>
  <r>
    <s v="Subastar S.A"/>
    <s v="F210"/>
    <s v="F_Santa Marta"/>
    <d v="2022-08-24T00:00:00"/>
    <x v="7"/>
    <d v="2022-08-25T00:00:00"/>
    <d v="2022-08-31T00:00:00"/>
    <n v="40021"/>
    <n v="7008147"/>
    <x v="1"/>
    <n v="4862"/>
    <n v="7536.7498971616615"/>
    <n v="36643678"/>
    <n v="25"/>
    <n v="194.48"/>
    <n v="1465747.12"/>
  </r>
  <r>
    <s v="Subastar S.A"/>
    <s v="F210"/>
    <s v="F_Santa Marta"/>
    <d v="2022-08-24T00:00:00"/>
    <x v="7"/>
    <d v="2022-08-25T00:00:00"/>
    <d v="2022-08-31T00:00:00"/>
    <n v="40023"/>
    <n v="7008147"/>
    <x v="1"/>
    <n v="4940"/>
    <n v="8642.1400809716597"/>
    <n v="42692172"/>
    <n v="26"/>
    <n v="190"/>
    <n v="1642006.6153846155"/>
  </r>
  <r>
    <s v="Subastar S.A"/>
    <s v="F210"/>
    <s v="F_Santa Marta"/>
    <d v="2022-08-24T00:00:00"/>
    <x v="7"/>
    <d v="2022-08-25T00:00:00"/>
    <d v="2022-08-31T00:00:00"/>
    <n v="40020"/>
    <n v="7008147"/>
    <x v="1"/>
    <n v="5766"/>
    <n v="7637.2400277488723"/>
    <n v="44036326"/>
    <n v="21"/>
    <n v="274.57142857142856"/>
    <n v="2096967.9047619049"/>
  </r>
  <r>
    <s v="Subastar S.A"/>
    <s v="F210"/>
    <s v="F_Santa Marta"/>
    <d v="2022-08-24T00:00:00"/>
    <x v="7"/>
    <d v="2022-08-25T00:00:00"/>
    <d v="2022-08-31T00:00:00"/>
    <n v="40024"/>
    <n v="7008147"/>
    <x v="1"/>
    <n v="3014"/>
    <n v="7134.7899800928999"/>
    <n v="21504257"/>
    <n v="11"/>
    <n v="274"/>
    <n v="1954932.4545454546"/>
  </r>
  <r>
    <s v="Maria Fernanda Dangond Quintero"/>
    <s v="F127"/>
    <s v="F_La Dolores"/>
    <d v="2022-08-25T00:00:00"/>
    <x v="7"/>
    <d v="2022-08-30T00:00:00"/>
    <d v="2022-08-31T00:00:00"/>
    <s v="GAN 33"/>
    <n v="7008147"/>
    <x v="1"/>
    <n v="34619"/>
    <n v="8100"/>
    <n v="280413900"/>
    <n v="139"/>
    <n v="249.05755395683454"/>
    <n v="2017366.1870503598"/>
  </r>
  <r>
    <s v="Sugaberrio S.A.S"/>
    <s v="F131"/>
    <s v="F_Villa Juana"/>
    <d v="2022-08-26T00:00:00"/>
    <x v="7"/>
    <d v="2022-08-26T00:00:00"/>
    <d v="2022-08-31T00:00:00"/>
    <n v="8771"/>
    <n v="7008147"/>
    <x v="1"/>
    <n v="5830"/>
    <n v="7200"/>
    <n v="41976000"/>
    <n v="25"/>
    <n v="233.2"/>
    <n v="1679040"/>
  </r>
  <r>
    <s v="Sugaberrio S.A.S"/>
    <s v="F131"/>
    <s v="F_Villa Juana"/>
    <d v="2022-08-26T00:00:00"/>
    <x v="7"/>
    <d v="2022-08-26T00:00:00"/>
    <d v="2022-08-31T00:00:00"/>
    <n v="8767"/>
    <n v="7008147"/>
    <x v="1"/>
    <n v="5786"/>
    <n v="7510"/>
    <n v="43452860"/>
    <n v="22"/>
    <n v="263"/>
    <n v="1975130"/>
  </r>
  <r>
    <s v="Sugaberrio S.A.S"/>
    <s v="F131"/>
    <s v="F_Villa Juana"/>
    <d v="2022-08-26T00:00:00"/>
    <x v="7"/>
    <d v="2022-08-26T00:00:00"/>
    <d v="2022-08-31T00:00:00"/>
    <n v="8768"/>
    <n v="7008147"/>
    <x v="1"/>
    <n v="5772"/>
    <n v="7510"/>
    <n v="43347720"/>
    <n v="22"/>
    <n v="262.36363636363637"/>
    <n v="1970350.9090909092"/>
  </r>
  <r>
    <s v="Sugaberrio S.A.S"/>
    <s v="F131"/>
    <s v="F_Villa Juana"/>
    <d v="2022-08-26T00:00:00"/>
    <x v="7"/>
    <d v="2022-08-26T00:00:00"/>
    <d v="2022-08-31T00:00:00"/>
    <n v="8769"/>
    <n v="7008147"/>
    <x v="1"/>
    <n v="5320"/>
    <n v="7700"/>
    <n v="40964000"/>
    <n v="25"/>
    <n v="212.8"/>
    <n v="1638560"/>
  </r>
  <r>
    <s v="Wilson Murillo"/>
    <s v="A205"/>
    <s v="A_Rancho Apache"/>
    <d v="2022-08-25T00:00:00"/>
    <x v="7"/>
    <d v="2022-08-29T00:00:00"/>
    <d v="2022-08-31T00:00:00"/>
    <s v="FE214"/>
    <n v="7008147"/>
    <x v="1"/>
    <n v="10122"/>
    <n v="8650"/>
    <n v="87555300"/>
    <n v="42"/>
    <n v="241"/>
    <n v="2084650"/>
  </r>
  <r>
    <s v="CC Subasta Ganadera Del Sinu S.A.S"/>
    <s v="F067"/>
    <s v="F_Guacharacas"/>
    <d v="2022-08-30T00:00:00"/>
    <x v="7"/>
    <d v="2022-08-30T00:00:00"/>
    <d v="2022-08-31T00:00:00"/>
    <s v="AF66087"/>
    <n v="7008146"/>
    <x v="0"/>
    <n v="12482"/>
    <n v="7564"/>
    <n v="94413848"/>
    <n v="32"/>
    <n v="390.0625"/>
    <n v="2950432.75"/>
  </r>
  <r>
    <s v="Wilson Murillo"/>
    <s v="F071"/>
    <s v="F_Texas Araujo"/>
    <d v="2022-09-01T00:00:00"/>
    <x v="8"/>
    <d v="2022-09-01T00:00:00"/>
    <d v="2022-09-05T00:00:00"/>
    <s v="FE 217"/>
    <n v="7008146"/>
    <x v="0"/>
    <n v="6360"/>
    <n v="8350"/>
    <n v="53106000"/>
    <n v="20"/>
    <n v="318"/>
    <n v="2655300"/>
  </r>
  <r>
    <s v="Subasta Ganadera Casanare S.A"/>
    <s v="A044"/>
    <s v="El Encanto"/>
    <d v="2022-09-01T00:00:00"/>
    <x v="8"/>
    <d v="2022-09-03T00:00:00"/>
    <d v="2022-09-05T00:00:00"/>
    <s v="FEC29852"/>
    <n v="7008146"/>
    <x v="0"/>
    <n v="6778"/>
    <n v="7902.8326940100324"/>
    <n v="53565400"/>
    <n v="16"/>
    <n v="423.625"/>
    <n v="3347837.5"/>
  </r>
  <r>
    <s v="Cencogan S.A.S"/>
    <s v="F067"/>
    <s v="F_Guacharacas"/>
    <d v="2022-09-01T00:00:00"/>
    <x v="8"/>
    <d v="2022-09-01T00:00:00"/>
    <d v="2022-09-05T00:00:00"/>
    <s v="C134917"/>
    <n v="7008146"/>
    <x v="0"/>
    <n v="12066"/>
    <n v="7739"/>
    <n v="93382394"/>
    <n v="32"/>
    <n v="377.0625"/>
    <n v="2918199.8125"/>
  </r>
  <r>
    <s v="Subastar S.A"/>
    <s v="F067"/>
    <s v="F_Guacharacas"/>
    <d v="2022-09-01T00:00:00"/>
    <x v="8"/>
    <d v="2022-09-01T00:00:00"/>
    <d v="2022-09-05T00:00:00"/>
    <n v="241377"/>
    <n v="7008146"/>
    <x v="0"/>
    <n v="6278"/>
    <n v="7938.7099394711695"/>
    <n v="49839221"/>
    <n v="16"/>
    <n v="392.375"/>
    <n v="3114951.3125"/>
  </r>
  <r>
    <s v="Agropecuaria San Francisco S.A.S"/>
    <s v="A213"/>
    <s v="A_La Casta"/>
    <d v="2022-09-01T00:00:00"/>
    <x v="8"/>
    <d v="2022-09-01T00:00:00"/>
    <d v="2022-09-05T00:00:00"/>
    <s v="FE31"/>
    <n v="7008146"/>
    <x v="0"/>
    <n v="25616"/>
    <n v="8000"/>
    <n v="204928000"/>
    <n v="72"/>
    <n v="355.77777777777777"/>
    <n v="2846222.222222222"/>
  </r>
  <r>
    <s v="Jose Francisco Muñoz Jimenez"/>
    <s v="F212"/>
    <s v="F_Villa Catalina"/>
    <d v="2022-09-02T00:00:00"/>
    <x v="8"/>
    <d v="2022-09-01T00:00:00"/>
    <d v="2022-09-06T00:00:00"/>
    <s v="FV-6"/>
    <n v="7008147"/>
    <x v="1"/>
    <n v="5809"/>
    <n v="8000"/>
    <n v="46472000"/>
    <n v="23"/>
    <n v="252.56521739130434"/>
    <n v="2020521.7391304348"/>
  </r>
  <r>
    <s v="Wilson Murillo"/>
    <s v="A205"/>
    <s v="A_Rancho Apache"/>
    <d v="2022-09-01T00:00:00"/>
    <x v="8"/>
    <d v="2022-09-01T00:00:00"/>
    <d v="2022-09-07T00:00:00"/>
    <s v="FE218"/>
    <n v="7008147"/>
    <x v="1"/>
    <n v="9266"/>
    <n v="8700"/>
    <n v="80614200"/>
    <n v="41"/>
    <n v="226"/>
    <n v="1966200"/>
  </r>
  <r>
    <s v="Wilson Murillo"/>
    <s v="A213"/>
    <s v="A_La Casta"/>
    <d v="2022-09-01T00:00:00"/>
    <x v="8"/>
    <d v="2022-09-01T00:00:00"/>
    <d v="2022-09-08T00:00:00"/>
    <s v="FE219"/>
    <n v="7008146"/>
    <x v="0"/>
    <n v="12204"/>
    <n v="8550"/>
    <n v="104344200"/>
    <n v="36"/>
    <n v="339"/>
    <n v="2898450"/>
  </r>
  <r>
    <s v="Hernan Dario Botero Botero"/>
    <s v="F194"/>
    <s v="F_Villa Lupe"/>
    <d v="2022-09-08T00:00:00"/>
    <x v="8"/>
    <d v="2022-09-08T00:00:00"/>
    <d v="2022-09-08T00:00:00"/>
    <s v="FE63"/>
    <n v="7008146"/>
    <x v="0"/>
    <n v="20634"/>
    <n v="7800"/>
    <n v="160945200"/>
    <n v="60"/>
    <n v="343.9"/>
    <n v="2682420"/>
  </r>
  <r>
    <s v="Juan Pablo Gutierrez Sanin"/>
    <s v="F007"/>
    <s v="F_El Caldero"/>
    <d v="2022-09-05T00:00:00"/>
    <x v="8"/>
    <d v="2022-09-05T00:00:00"/>
    <d v="2022-09-08T00:00:00"/>
    <s v="PNFE-184"/>
    <n v="7008146"/>
    <x v="0"/>
    <n v="8723"/>
    <n v="7500"/>
    <n v="65422500"/>
    <n v="24"/>
    <n v="363.45833333333331"/>
    <n v="2725937.5"/>
  </r>
  <r>
    <s v="Rangel Jacob Cerchiaro Mejia"/>
    <s v="F168"/>
    <s v="F_Providencia"/>
    <d v="2022-09-08T00:00:00"/>
    <x v="8"/>
    <d v="2022-09-07T00:00:00"/>
    <d v="2022-09-09T00:00:00"/>
    <s v="RJC-17"/>
    <n v="7008146"/>
    <x v="0"/>
    <n v="8485"/>
    <n v="7600"/>
    <n v="64486000"/>
    <n v="22"/>
    <n v="385.68181818181819"/>
    <n v="2931181.8181818184"/>
  </r>
  <r>
    <s v="Rangel Jacob Cerchiaro Mejia"/>
    <s v="F168"/>
    <s v="F_Providencia"/>
    <d v="2022-09-08T00:00:00"/>
    <x v="8"/>
    <d v="2022-09-07T00:00:00"/>
    <d v="2022-09-09T00:00:00"/>
    <s v="RJC-18"/>
    <n v="7008146"/>
    <x v="0"/>
    <n v="7725"/>
    <n v="7750"/>
    <n v="59868750"/>
    <n v="26"/>
    <n v="297.11538461538464"/>
    <n v="2302644.230769231"/>
  </r>
  <r>
    <s v="Rangel Jacob Cerchiaro Mejia"/>
    <s v="F168"/>
    <s v="F_Providencia"/>
    <d v="2022-09-08T00:00:00"/>
    <x v="8"/>
    <d v="2022-09-07T00:00:00"/>
    <d v="2022-09-09T00:00:00"/>
    <s v="RJC-19"/>
    <n v="7008147"/>
    <x v="1"/>
    <n v="5389"/>
    <n v="8200"/>
    <n v="44189800"/>
    <n v="22"/>
    <n v="244.95454545454547"/>
    <n v="2008627.2727272727"/>
  </r>
  <r>
    <s v="Sugaberrio S.A.S"/>
    <s v="F058"/>
    <s v="F_La Pradilla"/>
    <d v="2022-09-07T00:00:00"/>
    <x v="8"/>
    <d v="2022-09-06T00:00:00"/>
    <d v="2022-09-09T00:00:00"/>
    <n v="16990"/>
    <n v="7008146"/>
    <x v="0"/>
    <n v="9146"/>
    <n v="7643"/>
    <n v="69902878"/>
    <n v="29"/>
    <n v="315.37931034482756"/>
    <n v="2410444.0689655175"/>
  </r>
  <r>
    <s v="Sugaberrio S.A.S"/>
    <s v="F058"/>
    <s v="F_La Pradilla"/>
    <d v="2022-09-07T00:00:00"/>
    <x v="8"/>
    <d v="2022-09-06T00:00:00"/>
    <d v="2022-09-09T00:00:00"/>
    <n v="16989"/>
    <n v="7008146"/>
    <x v="0"/>
    <n v="7940"/>
    <n v="7643"/>
    <n v="60685420"/>
    <n v="30"/>
    <n v="264.66666666666669"/>
    <n v="2022847.3333333333"/>
  </r>
  <r>
    <s v="Subastar S.A"/>
    <s v="F165"/>
    <s v="F_San Clemente"/>
    <d v="2022-09-01T00:00:00"/>
    <x v="8"/>
    <d v="2022-09-01T00:00:00"/>
    <d v="2022-09-12T00:00:00"/>
    <n v="8328"/>
    <n v="7008146"/>
    <x v="0"/>
    <n v="5861"/>
    <n v="7235.2799863504524"/>
    <n v="42405976"/>
    <n v="18"/>
    <n v="325.61111111111109"/>
    <n v="2355887.5555555555"/>
  </r>
  <r>
    <s v="Subastar S.A"/>
    <s v="F165"/>
    <s v="F_San Clemente"/>
    <d v="2022-09-01T00:00:00"/>
    <x v="8"/>
    <d v="2022-09-01T00:00:00"/>
    <d v="2022-09-12T00:00:00"/>
    <n v="8329"/>
    <n v="7008146"/>
    <x v="0"/>
    <n v="5737"/>
    <n v="7235.2799372494337"/>
    <n v="41508801"/>
    <n v="18"/>
    <n v="318.72222222222223"/>
    <n v="2306044.5"/>
  </r>
  <r>
    <s v="Subastar S.A"/>
    <s v="A044"/>
    <s v="El Encanto"/>
    <d v="2022-09-09T00:00:00"/>
    <x v="8"/>
    <d v="2022-09-08T00:00:00"/>
    <d v="2022-09-12T00:00:00"/>
    <s v="G1-9011369"/>
    <n v="7008146"/>
    <x v="0"/>
    <n v="21410"/>
    <n v="7750"/>
    <n v="165927500"/>
    <n v="39"/>
    <n v="548.97435897435901"/>
    <n v="4254551.282051282"/>
  </r>
  <r>
    <s v="Adriana Jaramillo Perez"/>
    <s v="F135"/>
    <s v="F_El Boton"/>
    <d v="2022-09-12T00:00:00"/>
    <x v="8"/>
    <d v="2022-09-12T00:00:00"/>
    <d v="2022-09-12T00:00:00"/>
    <s v="FAJ-79"/>
    <n v="7008146"/>
    <x v="0"/>
    <n v="19365"/>
    <n v="7825.818538600568"/>
    <n v="151546976"/>
    <n v="64"/>
    <n v="302.578125"/>
    <n v="2367921.5"/>
  </r>
  <r>
    <s v="Orygen Genética Avanzada"/>
    <s v="F038"/>
    <s v="F_La Estrella"/>
    <d v="2022-09-08T00:00:00"/>
    <x v="8"/>
    <d v="2022-09-09T00:00:00"/>
    <d v="2022-09-12T00:00:00"/>
    <s v="SC 1243"/>
    <n v="7008147"/>
    <x v="1"/>
    <n v="5524"/>
    <n v="8492.25"/>
    <n v="46911189"/>
    <n v="24"/>
    <n v="230.16666666666666"/>
    <n v="1954632.875"/>
  </r>
  <r>
    <s v="Wilson Murillo"/>
    <s v="A205"/>
    <s v="A_Rancho Apache"/>
    <d v="2022-09-05T00:00:00"/>
    <x v="8"/>
    <d v="2022-09-11T00:00:00"/>
    <d v="2022-09-13T00:00:00"/>
    <s v="FE220"/>
    <n v="7008147"/>
    <x v="1"/>
    <n v="10384"/>
    <n v="8850"/>
    <n v="91898400"/>
    <n v="44"/>
    <n v="236"/>
    <n v="2088600"/>
  </r>
  <r>
    <s v="Subastar S.A"/>
    <s v="F049"/>
    <s v="F_El Rosario"/>
    <d v="2022-09-09T00:00:00"/>
    <x v="8"/>
    <d v="2022-09-09T00:00:00"/>
    <d v="2022-09-14T00:00:00"/>
    <n v="8354"/>
    <n v="7008146"/>
    <x v="0"/>
    <n v="11548"/>
    <n v="7738"/>
    <n v="89355306"/>
    <n v="38"/>
    <n v="303.89473684210526"/>
    <n v="2351455.4210526315"/>
  </r>
  <r>
    <s v="Adriana Maria Jaramillo Perez"/>
    <s v="F135"/>
    <s v="F_El Boton"/>
    <d v="2022-09-14T00:00:00"/>
    <x v="8"/>
    <d v="2022-09-14T00:00:00"/>
    <d v="2022-09-14T00:00:00"/>
    <s v="FAJ-81"/>
    <n v="7008146"/>
    <x v="0"/>
    <n v="7944"/>
    <n v="8000"/>
    <n v="63552000"/>
    <n v="22"/>
    <n v="361.09090909090907"/>
    <n v="2888727.2727272729"/>
  </r>
  <r>
    <s v="Edward Fabian Mejia Abril"/>
    <s v="A205"/>
    <s v="A_Rancho Apache"/>
    <d v="2022-09-13T00:00:00"/>
    <x v="8"/>
    <d v="2022-09-10T00:00:00"/>
    <d v="2022-09-14T00:00:00"/>
    <s v="FELE 99"/>
    <n v="7008147"/>
    <x v="1"/>
    <n v="5677"/>
    <n v="8150"/>
    <n v="46267550"/>
    <n v="22"/>
    <n v="258.04545454545456"/>
    <n v="2103070.4545454546"/>
  </r>
  <r>
    <s v="Edward Fabian Mejia Abril"/>
    <s v="F085"/>
    <s v="F_La Castellana"/>
    <d v="2022-09-13T00:00:00"/>
    <x v="8"/>
    <d v="2022-09-10T00:00:00"/>
    <d v="2022-09-14T00:00:00"/>
    <s v="FELE100"/>
    <n v="7008147"/>
    <x v="1"/>
    <n v="5566"/>
    <n v="7850"/>
    <n v="43693100"/>
    <n v="20"/>
    <n v="278.3"/>
    <n v="2184655"/>
  </r>
  <r>
    <s v="Inversiones El Diamante HM S.A.S"/>
    <s v="F096"/>
    <s v="F_El Diamante"/>
    <d v="2022-09-14T00:00:00"/>
    <x v="8"/>
    <d v="2022-09-14T00:00:00"/>
    <d v="2022-09-14T00:00:00"/>
    <s v="FE207"/>
    <n v="7008459"/>
    <x v="2"/>
    <n v="2867"/>
    <n v="13528"/>
    <n v="38784776"/>
    <n v="31"/>
    <n v="92.483870967741936"/>
    <n v="1251121.8064516129"/>
  </r>
  <r>
    <s v="Wilson Murillo"/>
    <s v="A205"/>
    <s v="A_Rancho Apache"/>
    <d v="2022-09-15T00:00:00"/>
    <x v="8"/>
    <d v="2022-09-17T00:00:00"/>
    <d v="2022-09-20T00:00:00"/>
    <s v="FE221"/>
    <n v="7008147"/>
    <x v="1"/>
    <n v="21375"/>
    <n v="8900"/>
    <n v="190237500"/>
    <n v="95"/>
    <n v="225"/>
    <n v="2002500"/>
  </r>
  <r>
    <s v="Subagan S.A."/>
    <s v="F193"/>
    <s v="F_El Milagro"/>
    <d v="2022-09-14T00:00:00"/>
    <x v="8"/>
    <d v="2022-09-14T00:00:00"/>
    <d v="2022-09-20T00:00:00"/>
    <s v="MIC694"/>
    <n v="7008151"/>
    <x v="3"/>
    <n v="6300"/>
    <n v="7450"/>
    <n v="46935000"/>
    <n v="30"/>
    <n v="210"/>
    <n v="1564500"/>
  </r>
  <r>
    <s v="German Alberto Cañon Jaime"/>
    <s v="F038"/>
    <s v="F_La Estrella"/>
    <d v="2022-09-16T00:00:00"/>
    <x v="8"/>
    <d v="2022-09-15T00:00:00"/>
    <d v="2022-09-21T00:00:00"/>
    <s v="FE 74"/>
    <n v="7008147"/>
    <x v="1"/>
    <n v="4907"/>
    <n v="9150"/>
    <n v="44899050"/>
    <n v="23"/>
    <n v="213.34782608695653"/>
    <n v="1952132.6086956521"/>
  </r>
  <r>
    <s v="Edward Alvarez Ortiz"/>
    <s v="F035"/>
    <s v="F_Santa Ines"/>
    <d v="2022-09-16T00:00:00"/>
    <x v="8"/>
    <d v="2022-09-16T00:00:00"/>
    <d v="2022-09-21T00:00:00"/>
    <s v="FE 39"/>
    <n v="7008146"/>
    <x v="0"/>
    <n v="36458"/>
    <n v="7800"/>
    <n v="284372400"/>
    <n v="120"/>
    <n v="303.81666666666666"/>
    <n v="2369770"/>
  </r>
  <r>
    <s v="Edward Alvarez Ortiz"/>
    <s v="F082"/>
    <s v="F_Nuevo Porvenir"/>
    <d v="2022-09-16T00:00:00"/>
    <x v="8"/>
    <d v="2022-09-20T00:00:00"/>
    <d v="2022-09-21T00:00:00"/>
    <s v="FE 40"/>
    <n v="7008146"/>
    <x v="0"/>
    <n v="29089"/>
    <n v="7800"/>
    <n v="226894200"/>
    <n v="90"/>
    <n v="323.21111111111111"/>
    <n v="2521046.6666666665"/>
  </r>
  <r>
    <s v="German Alberto Cañon Jaime"/>
    <s v="F038"/>
    <s v="F_La Estrella"/>
    <d v="2022-09-21T00:00:00"/>
    <x v="8"/>
    <d v="2022-09-21T00:00:00"/>
    <d v="2022-09-22T00:00:00"/>
    <s v="FE 75"/>
    <n v="7008146"/>
    <x v="0"/>
    <n v="36062"/>
    <n v="7900"/>
    <n v="284889800"/>
    <n v="97"/>
    <n v="371.77319587628864"/>
    <n v="2937008.2474226803"/>
  </r>
  <r>
    <s v="Hacienda Cansa La Vista S.A.S"/>
    <s v="F038"/>
    <s v="F_La Estrella"/>
    <d v="2022-09-20T00:00:00"/>
    <x v="8"/>
    <d v="2022-09-21T00:00:00"/>
    <d v="2022-09-22T00:00:00"/>
    <s v="FEV32"/>
    <n v="7008147"/>
    <x v="1"/>
    <n v="5143"/>
    <n v="8900"/>
    <n v="45772700"/>
    <n v="26"/>
    <n v="197.80769230769232"/>
    <n v="1760488.4615384615"/>
  </r>
  <r>
    <s v="Wilson Murillo"/>
    <s v="F071"/>
    <s v="F_Texas Araujo"/>
    <d v="2022-09-19T00:00:00"/>
    <x v="8"/>
    <d v="2022-09-22T00:00:00"/>
    <d v="2022-09-26T00:00:00"/>
    <s v="FE 222"/>
    <n v="7008146"/>
    <x v="0"/>
    <n v="12440"/>
    <n v="8700"/>
    <n v="108228000"/>
    <n v="40"/>
    <n v="311"/>
    <n v="2705700"/>
  </r>
  <r>
    <s v="Agropecuaria Francia y Lusitania S.A.S"/>
    <s v="F124"/>
    <s v="F_El Prado"/>
    <d v="2022-09-23T00:00:00"/>
    <x v="8"/>
    <d v="2022-09-23T00:00:00"/>
    <d v="2022-09-27T00:00:00"/>
    <s v="AG-557"/>
    <n v="7008146"/>
    <x v="0"/>
    <n v="29150"/>
    <n v="8500"/>
    <n v="247775000"/>
    <n v="100"/>
    <n v="291.5"/>
    <n v="2477750"/>
  </r>
  <r>
    <s v="Maria Adelaida Restrepo Echeverri"/>
    <s v="F058"/>
    <s v="F_La Pradilla"/>
    <d v="2022-09-26T00:00:00"/>
    <x v="8"/>
    <d v="2022-09-23T00:00:00"/>
    <d v="2022-09-27T00:00:00"/>
    <s v="MARE 83"/>
    <n v="7008146"/>
    <x v="0"/>
    <n v="8678"/>
    <n v="7885"/>
    <n v="68426030"/>
    <n v="27"/>
    <n v="321.40740740740739"/>
    <n v="2534297.4074074072"/>
  </r>
  <r>
    <s v="Subagan S.A."/>
    <s v="F153"/>
    <s v="F_Villa Chola"/>
    <d v="2022-09-15T00:00:00"/>
    <x v="8"/>
    <d v="2022-09-16T00:00:00"/>
    <d v="2022-09-27T00:00:00"/>
    <s v="MIC695"/>
    <n v="7008147"/>
    <x v="1"/>
    <n v="11628"/>
    <n v="7740"/>
    <n v="90000720"/>
    <n v="43"/>
    <n v="270.41860465116281"/>
    <n v="2093040"/>
  </r>
  <r>
    <s v="Subasta Ganadera Casanare S.A"/>
    <s v="A044"/>
    <s v="El Encanto"/>
    <d v="2022-09-22T00:00:00"/>
    <x v="8"/>
    <d v="2022-09-24T00:00:00"/>
    <d v="2022-09-28T00:00:00"/>
    <s v="FEC30953"/>
    <n v="7008146"/>
    <x v="0"/>
    <n v="2822"/>
    <n v="7702.5513819985827"/>
    <n v="21736600"/>
    <n v="6"/>
    <n v="470.33333333333331"/>
    <n v="3622766.6666666665"/>
  </r>
  <r>
    <s v="Subasta Ganadera Casanare S.A"/>
    <s v="A044"/>
    <s v="El Encanto"/>
    <d v="2022-09-22T00:00:00"/>
    <x v="8"/>
    <d v="2022-09-24T00:00:00"/>
    <d v="2022-09-28T00:00:00"/>
    <s v="FEC31007"/>
    <n v="7008146"/>
    <x v="0"/>
    <n v="6510"/>
    <n v="8052.764976958525"/>
    <n v="52423500"/>
    <n v="15"/>
    <n v="434"/>
    <n v="3494900"/>
  </r>
  <r>
    <s v="Sugaberrio S.A.S"/>
    <s v="F038"/>
    <s v="F_La Estrella"/>
    <d v="2022-09-22T00:00:00"/>
    <x v="8"/>
    <d v="2022-09-23T00:00:00"/>
    <d v="2022-09-28T00:00:00"/>
    <s v="FAC 9026"/>
    <n v="7008147"/>
    <x v="1"/>
    <n v="2802"/>
    <n v="9039.971448965025"/>
    <n v="25330000"/>
    <n v="17"/>
    <n v="164.8235294117647"/>
    <n v="1490000"/>
  </r>
  <r>
    <s v="Sugaberrio S.A.S"/>
    <s v="F069"/>
    <s v="F_Las Camelias"/>
    <d v="2022-09-22T00:00:00"/>
    <x v="8"/>
    <d v="2022-09-23T00:00:00"/>
    <d v="2022-09-28T00:00:00"/>
    <s v="FAC 9034"/>
    <n v="7008146"/>
    <x v="0"/>
    <n v="5729"/>
    <n v="8100"/>
    <n v="46404900"/>
    <n v="22"/>
    <n v="260.40909090909093"/>
    <n v="2109313.6363636362"/>
  </r>
  <r>
    <s v="Sugaberrio S.A.S"/>
    <s v="F059"/>
    <s v="F_Tulcan"/>
    <d v="2022-09-22T00:00:00"/>
    <x v="8"/>
    <d v="2022-09-23T00:00:00"/>
    <d v="2022-09-28T00:00:00"/>
    <s v="FAC 9025"/>
    <n v="7008146"/>
    <x v="0"/>
    <n v="4044"/>
    <n v="7800"/>
    <n v="31543200"/>
    <n v="13"/>
    <n v="311.07692307692309"/>
    <n v="2426400"/>
  </r>
  <r>
    <s v="Subasta Ganadera Casanare S.A"/>
    <s v="F171"/>
    <s v="F_Yacare"/>
    <d v="2022-09-22T00:00:00"/>
    <x v="8"/>
    <d v="2022-09-23T00:00:00"/>
    <d v="2022-09-28T00:00:00"/>
    <s v="FEC30955"/>
    <n v="7008146"/>
    <x v="0"/>
    <n v="3184"/>
    <n v="7753.0150753768849"/>
    <n v="24685600"/>
    <n v="8"/>
    <n v="398"/>
    <n v="3085700"/>
  </r>
  <r>
    <s v="Subasta Ganadera Casanare S.A"/>
    <s v="F171"/>
    <s v="F_Yacare"/>
    <d v="2022-09-22T00:00:00"/>
    <x v="8"/>
    <d v="2022-09-23T00:00:00"/>
    <d v="2022-09-28T00:00:00"/>
    <s v="FEC30957"/>
    <n v="7008146"/>
    <x v="0"/>
    <n v="2684"/>
    <n v="7753.129657228018"/>
    <n v="20809400"/>
    <n v="7"/>
    <n v="383.42857142857144"/>
    <n v="2972771.4285714286"/>
  </r>
  <r>
    <s v="Sugaberrio S.A.S"/>
    <s v="F085"/>
    <s v="F_La Castellana"/>
    <d v="2022-09-22T00:00:00"/>
    <x v="8"/>
    <d v="2022-09-23T00:00:00"/>
    <d v="2022-09-29T00:00:00"/>
    <n v="9010"/>
    <n v="7008147"/>
    <x v="1"/>
    <n v="610"/>
    <n v="8250"/>
    <n v="5032500"/>
    <n v="3"/>
    <n v="203.33333333333334"/>
    <n v="1677500"/>
  </r>
  <r>
    <s v="Sugaberrio S.A.S"/>
    <s v="F085"/>
    <s v="F_La Castellana"/>
    <d v="2022-09-22T00:00:00"/>
    <x v="8"/>
    <d v="2022-09-23T00:00:00"/>
    <d v="2022-09-29T00:00:00"/>
    <n v="9016"/>
    <n v="7008147"/>
    <x v="1"/>
    <n v="1308"/>
    <n v="7950"/>
    <n v="10398600"/>
    <n v="6"/>
    <n v="218"/>
    <n v="1733100"/>
  </r>
  <r>
    <s v="Sugaberrio S.A.S"/>
    <s v="F085"/>
    <s v="F_La Castellana"/>
    <d v="2022-09-22T00:00:00"/>
    <x v="8"/>
    <d v="2022-09-23T00:00:00"/>
    <d v="2022-09-29T00:00:00"/>
    <n v="9018"/>
    <n v="7008147"/>
    <x v="1"/>
    <n v="1095"/>
    <n v="8150"/>
    <n v="8924250"/>
    <n v="5"/>
    <n v="219"/>
    <n v="1784850"/>
  </r>
  <r>
    <s v="Sugaberrio S.A.S"/>
    <s v="F085"/>
    <s v="F_La Castellana"/>
    <d v="2022-09-22T00:00:00"/>
    <x v="8"/>
    <d v="2022-09-23T00:00:00"/>
    <d v="2022-09-29T00:00:00"/>
    <n v="9052"/>
    <n v="7008147"/>
    <x v="1"/>
    <n v="2565"/>
    <n v="7900"/>
    <n v="20263500"/>
    <n v="10"/>
    <n v="256.5"/>
    <n v="2026350"/>
  </r>
  <r>
    <s v="Inversiones El Diamante HM S.A.S"/>
    <s v="AC41"/>
    <s v="Alm. FeedLot"/>
    <d v="2022-09-28T00:00:00"/>
    <x v="8"/>
    <d v="2022-09-28T00:00:00"/>
    <d v="2022-09-29T00:00:00"/>
    <s v="FE210"/>
    <n v="7008146"/>
    <x v="0"/>
    <n v="6315"/>
    <n v="8000"/>
    <n v="50520000"/>
    <n v="17"/>
    <n v="371.47058823529414"/>
    <n v="2971764.7058823528"/>
  </r>
  <r>
    <s v="Subagan S.A."/>
    <s v="A044"/>
    <s v="El Encanto"/>
    <d v="2022-09-29T00:00:00"/>
    <x v="8"/>
    <d v="2022-10-01T00:00:00"/>
    <d v="2022-09-30T00:00:00"/>
    <s v="MIC 701"/>
    <n v="7008146"/>
    <x v="0"/>
    <n v="6845"/>
    <n v="8189"/>
    <n v="56053705"/>
    <n v="14"/>
    <n v="488.92857142857144"/>
    <n v="4003836.0714285714"/>
  </r>
  <r>
    <s v="Fabian Andres Córtes Londoño"/>
    <s v="F166"/>
    <s v="F_Chaparral"/>
    <d v="2022-10-03T00:00:00"/>
    <x v="9"/>
    <d v="2022-10-02T00:00:00"/>
    <d v="2022-10-03T00:00:00"/>
    <s v="FE1-52"/>
    <n v="7008146"/>
    <x v="0"/>
    <n v="67746"/>
    <n v="7900"/>
    <n v="535193400"/>
    <n v="200"/>
    <n v="338.73"/>
    <n v="2675967"/>
  </r>
  <r>
    <s v="Wilson Murillo"/>
    <s v="A205"/>
    <s v="A_Rancho Apache"/>
    <d v="2022-10-01T00:00:00"/>
    <x v="9"/>
    <d v="2022-10-02T00:00:00"/>
    <d v="2022-10-03T00:00:00"/>
    <s v="FE223"/>
    <n v="7008147"/>
    <x v="1"/>
    <n v="11426"/>
    <n v="9000"/>
    <n v="102834000"/>
    <n v="58"/>
    <n v="197"/>
    <n v="1773000"/>
  </r>
  <r>
    <s v="Sugaberrio S.A.S"/>
    <s v="F038"/>
    <s v="F_La Estrella"/>
    <d v="2022-09-29T00:00:00"/>
    <x v="8"/>
    <d v="2022-09-30T00:00:00"/>
    <d v="2022-10-05T00:00:00"/>
    <n v="9085"/>
    <n v="7008147"/>
    <x v="1"/>
    <n v="934"/>
    <n v="10278.372591006424"/>
    <n v="9600000"/>
    <n v="6"/>
    <n v="155.66666666666666"/>
    <n v="1600000"/>
  </r>
  <r>
    <s v="Sugaberrio S.A.S"/>
    <s v="F038"/>
    <s v="F_La Estrella"/>
    <d v="2022-09-29T00:00:00"/>
    <x v="8"/>
    <d v="2022-09-30T00:00:00"/>
    <d v="2022-10-05T00:00:00"/>
    <n v="9098"/>
    <n v="7008147"/>
    <x v="1"/>
    <n v="3299"/>
    <n v="8100"/>
    <n v="26721900"/>
    <n v="15"/>
    <n v="219.93333333333334"/>
    <n v="1781460"/>
  </r>
  <r>
    <s v="Sugaberrio S.A.S"/>
    <s v="F038"/>
    <s v="F_La Estrella"/>
    <d v="2022-09-29T00:00:00"/>
    <x v="8"/>
    <d v="2022-09-30T00:00:00"/>
    <d v="2022-10-05T00:00:00"/>
    <n v="9093"/>
    <n v="7008147"/>
    <x v="1"/>
    <n v="2301"/>
    <n v="9369.8392003476747"/>
    <n v="21560000"/>
    <n v="11"/>
    <n v="209.18181818181819"/>
    <n v="1960000"/>
  </r>
  <r>
    <s v="Wilson Murillo"/>
    <s v="F071"/>
    <s v="F_Texas Araujo"/>
    <d v="2022-10-01T00:00:00"/>
    <x v="9"/>
    <d v="2022-10-04T00:00:00"/>
    <d v="2022-10-06T00:00:00"/>
    <s v="FE 224"/>
    <n v="7008146"/>
    <x v="0"/>
    <n v="11169"/>
    <n v="8550"/>
    <n v="95494950"/>
    <n v="34"/>
    <n v="328.5"/>
    <n v="2808675"/>
  </r>
  <r>
    <s v="Subastar S.A"/>
    <s v="A214"/>
    <s v="A_Santa Maria"/>
    <d v="2022-09-24T00:00:00"/>
    <x v="8"/>
    <d v="2022-09-24T00:00:00"/>
    <d v="2022-10-06T00:00:00"/>
    <n v="8392"/>
    <n v="7008147"/>
    <x v="1"/>
    <n v="5311"/>
    <n v="9245.080022594615"/>
    <n v="49100620"/>
    <n v="24"/>
    <n v="221.29166666666666"/>
    <n v="2045859.1666666667"/>
  </r>
  <r>
    <s v="Subastar S.A"/>
    <s v="A214"/>
    <s v="A_Santa Maria"/>
    <d v="2022-09-24T00:00:00"/>
    <x v="8"/>
    <d v="2022-09-24T00:00:00"/>
    <d v="2022-10-06T00:00:00"/>
    <n v="8393"/>
    <n v="7008147"/>
    <x v="1"/>
    <n v="5153"/>
    <n v="9144.5899476033374"/>
    <n v="47122072"/>
    <n v="23"/>
    <n v="224.04347826086956"/>
    <n v="2048785.7391304348"/>
  </r>
  <r>
    <s v="Subastar S.A"/>
    <s v="A214"/>
    <s v="A_Santa Maria"/>
    <d v="2022-09-24T00:00:00"/>
    <x v="8"/>
    <d v="2022-09-24T00:00:00"/>
    <d v="2022-10-06T00:00:00"/>
    <n v="8395"/>
    <n v="7008147"/>
    <x v="1"/>
    <n v="9864"/>
    <n v="9245.0799878345497"/>
    <n v="91193469"/>
    <n v="52"/>
    <n v="189.69230769230768"/>
    <n v="1753720.5576923077"/>
  </r>
  <r>
    <s v="Subastar S.A"/>
    <s v="A214"/>
    <s v="A_Santa Maria"/>
    <d v="2022-09-24T00:00:00"/>
    <x v="8"/>
    <d v="2022-09-24T00:00:00"/>
    <d v="2022-10-06T00:00:00"/>
    <n v="8412"/>
    <n v="7008147"/>
    <x v="1"/>
    <n v="4760"/>
    <n v="8441.1600840336141"/>
    <n v="40179922"/>
    <n v="20"/>
    <n v="238"/>
    <n v="2008996.1"/>
  </r>
  <r>
    <s v="Subastar S.A"/>
    <s v="A214"/>
    <s v="A_Santa Maria"/>
    <d v="2022-09-24T00:00:00"/>
    <x v="8"/>
    <d v="2022-09-24T00:00:00"/>
    <d v="2022-10-06T00:00:00"/>
    <n v="8413"/>
    <n v="7008147"/>
    <x v="1"/>
    <n v="5438"/>
    <n v="8591.8949981610895"/>
    <n v="46722725"/>
    <n v="22"/>
    <n v="247.18181818181819"/>
    <n v="2123760.2272727271"/>
  </r>
  <r>
    <s v="Subastar S.A"/>
    <s v="A214"/>
    <s v="A_Santa Maria"/>
    <d v="2022-10-01T00:00:00"/>
    <x v="9"/>
    <d v="2022-10-01T00:00:00"/>
    <d v="2022-10-06T00:00:00"/>
    <n v="101162"/>
    <n v="7008147"/>
    <x v="1"/>
    <n v="5248"/>
    <n v="7787.9750381097565"/>
    <n v="40871293"/>
    <n v="28"/>
    <n v="187.42857142857142"/>
    <n v="1459689.0357142857"/>
  </r>
  <r>
    <s v="Subastar S.A"/>
    <s v="A214"/>
    <s v="A_Santa Maria"/>
    <d v="2022-10-01T00:00:00"/>
    <x v="9"/>
    <d v="2022-10-01T00:00:00"/>
    <d v="2022-10-06T00:00:00"/>
    <n v="101177"/>
    <n v="7008147"/>
    <x v="1"/>
    <n v="1850"/>
    <n v="8591.8951351351352"/>
    <n v="15895006"/>
    <n v="8"/>
    <n v="231.25"/>
    <n v="1986875.75"/>
  </r>
  <r>
    <s v="Subastar S.A"/>
    <s v="A214"/>
    <s v="A_Santa Maria"/>
    <d v="2022-10-01T00:00:00"/>
    <x v="9"/>
    <d v="2022-10-01T00:00:00"/>
    <d v="2022-10-06T00:00:00"/>
    <n v="101167"/>
    <n v="7008147"/>
    <x v="1"/>
    <n v="3182"/>
    <n v="8139.6901319924573"/>
    <n v="25900494"/>
    <n v="16"/>
    <n v="198.875"/>
    <n v="1618780.875"/>
  </r>
  <r>
    <s v="Subastar S.A"/>
    <s v="A214"/>
    <s v="A_Santa Maria"/>
    <d v="2022-10-01T00:00:00"/>
    <x v="9"/>
    <d v="2022-10-01T00:00:00"/>
    <d v="2022-10-06T00:00:00"/>
    <n v="101168"/>
    <n v="7008147"/>
    <x v="1"/>
    <n v="2546"/>
    <n v="8943.6099764336213"/>
    <n v="22770431"/>
    <n v="14"/>
    <n v="181.85714285714286"/>
    <n v="1626459.357142857"/>
  </r>
  <r>
    <s v="Subastar S.A"/>
    <s v="A214"/>
    <s v="A_Santa Maria"/>
    <d v="2022-10-01T00:00:00"/>
    <x v="9"/>
    <d v="2022-10-01T00:00:00"/>
    <d v="2022-10-06T00:00:00"/>
    <n v="101169"/>
    <n v="7008147"/>
    <x v="1"/>
    <n v="2820"/>
    <n v="8390.9148936170204"/>
    <n v="23662380"/>
    <n v="14"/>
    <n v="201.42857142857142"/>
    <n v="1690170"/>
  </r>
  <r>
    <s v="Subastar S.A"/>
    <s v="A214"/>
    <s v="A_Santa Maria"/>
    <d v="2022-10-01T00:00:00"/>
    <x v="9"/>
    <d v="2022-10-01T00:00:00"/>
    <d v="2022-10-06T00:00:00"/>
    <n v="101171"/>
    <n v="7008147"/>
    <x v="1"/>
    <n v="2346"/>
    <n v="8089.4450127877235"/>
    <n v="18977838"/>
    <n v="11"/>
    <n v="213.27272727272728"/>
    <n v="1725258"/>
  </r>
  <r>
    <s v="Jose Francisco Muñoz Jimenez"/>
    <s v="F182"/>
    <s v="F_Vista Hermosa"/>
    <d v="2022-10-06T00:00:00"/>
    <x v="9"/>
    <d v="2022-10-06T00:00:00"/>
    <d v="2022-10-07T00:00:00"/>
    <s v="FV-8"/>
    <n v="7008147"/>
    <x v="1"/>
    <n v="9197"/>
    <n v="8250"/>
    <n v="75875250"/>
    <n v="37"/>
    <n v="248.56756756756758"/>
    <n v="2050682.4324324324"/>
  </r>
  <r>
    <s v="WIlson Murillo"/>
    <s v="A205"/>
    <s v="A_Rancho Apache"/>
    <d v="2022-10-03T00:00:00"/>
    <x v="9"/>
    <d v="2022-10-07T00:00:00"/>
    <d v="2022-10-10T00:00:00"/>
    <s v="FE225"/>
    <n v="7008147"/>
    <x v="1"/>
    <n v="11660"/>
    <n v="9000"/>
    <n v="104940000"/>
    <n v="44"/>
    <n v="265"/>
    <n v="2385000"/>
  </r>
  <r>
    <s v="Subastar S.A"/>
    <s v="F067"/>
    <s v="F_Guacharacas"/>
    <d v="2022-10-06T00:00:00"/>
    <x v="9"/>
    <d v="2022-10-06T00:00:00"/>
    <d v="2022-10-11T00:00:00"/>
    <n v="242189"/>
    <n v="7008146"/>
    <x v="0"/>
    <n v="6246"/>
    <n v="8139.6900416266408"/>
    <n v="50840504"/>
    <n v="17"/>
    <n v="367.41176470588238"/>
    <n v="2990617.8823529412"/>
  </r>
  <r>
    <s v="Subastar S.A"/>
    <s v="F067"/>
    <s v="F_Guacharacas"/>
    <d v="2022-10-06T00:00:00"/>
    <x v="9"/>
    <d v="2022-10-06T00:00:00"/>
    <d v="2022-10-11T00:00:00"/>
    <n v="242221"/>
    <n v="7008146"/>
    <x v="0"/>
    <n v="6354"/>
    <n v="8340.6699716713883"/>
    <n v="52996617"/>
    <n v="17"/>
    <n v="373.76470588235293"/>
    <n v="3117448.0588235296"/>
  </r>
  <r>
    <s v="Subastar S.A"/>
    <s v="A214"/>
    <s v="A_Santa Maria"/>
    <d v="2022-10-07T00:00:00"/>
    <x v="9"/>
    <d v="2022-10-07T00:00:00"/>
    <d v="2022-10-11T00:00:00"/>
    <n v="234690"/>
    <n v="7008147"/>
    <x v="1"/>
    <n v="5170"/>
    <n v="9094.3450676982593"/>
    <n v="47017764"/>
    <n v="23"/>
    <n v="224.78260869565219"/>
    <n v="2044250.6086956521"/>
  </r>
  <r>
    <s v="Subastar S.A"/>
    <s v="A214"/>
    <s v="A_Santa Maria"/>
    <d v="2022-10-07T00:00:00"/>
    <x v="9"/>
    <d v="2022-10-07T00:00:00"/>
    <d v="2022-10-11T00:00:00"/>
    <n v="234691"/>
    <n v="7008147"/>
    <x v="1"/>
    <n v="4949"/>
    <n v="9243.2119620125286"/>
    <n v="45744656"/>
    <n v="26"/>
    <n v="190.34615384615384"/>
    <n v="1759409.8461538462"/>
  </r>
  <r>
    <s v="Subastar S.A"/>
    <s v="A214"/>
    <s v="A_Santa Maria"/>
    <d v="2022-10-07T00:00:00"/>
    <x v="9"/>
    <d v="2022-10-07T00:00:00"/>
    <d v="2022-10-11T00:00:00"/>
    <n v="234693"/>
    <n v="7008147"/>
    <x v="1"/>
    <n v="5204"/>
    <n v="9245.0799385088394"/>
    <n v="48111396"/>
    <n v="25"/>
    <n v="208.16"/>
    <n v="1924455.84"/>
  </r>
  <r>
    <s v="Subastar S.A"/>
    <s v="A214"/>
    <s v="A_Santa Maria"/>
    <d v="2022-10-07T00:00:00"/>
    <x v="9"/>
    <d v="2022-10-07T00:00:00"/>
    <d v="2022-10-11T00:00:00"/>
    <n v="234703"/>
    <n v="7008147"/>
    <x v="1"/>
    <n v="2414"/>
    <n v="8792.8748964374481"/>
    <n v="21226000"/>
    <n v="11"/>
    <n v="219.45454545454547"/>
    <n v="1929636.3636363635"/>
  </r>
  <r>
    <s v="Subastar S.A"/>
    <s v="A214"/>
    <s v="A_Santa Maria"/>
    <d v="2022-10-07T00:00:00"/>
    <x v="9"/>
    <d v="2022-10-07T00:00:00"/>
    <d v="2022-10-11T00:00:00"/>
    <n v="234700"/>
    <n v="7008147"/>
    <x v="1"/>
    <n v="3218"/>
    <n v="8441.1600372902431"/>
    <n v="27163653"/>
    <n v="15"/>
    <n v="214.53333333333333"/>
    <n v="1810910.2"/>
  </r>
  <r>
    <s v="Subastar S.A"/>
    <s v="A214"/>
    <s v="A_Santa Maria"/>
    <d v="2022-10-07T00:00:00"/>
    <x v="9"/>
    <d v="2022-10-07T00:00:00"/>
    <d v="2022-10-11T00:00:00"/>
    <n v="234707"/>
    <n v="7008147"/>
    <x v="1"/>
    <n v="1678"/>
    <n v="8943.6102502979738"/>
    <n v="15007378"/>
    <n v="10"/>
    <n v="167.8"/>
    <n v="1500737.8"/>
  </r>
  <r>
    <s v="Agrotunez S.A.S"/>
    <s v="F008"/>
    <s v="F_Tunez"/>
    <d v="2022-10-07T00:00:00"/>
    <x v="9"/>
    <d v="2022-10-01T00:00:00"/>
    <d v="2022-10-12T00:00:00"/>
    <n v="100726"/>
    <n v="7008146"/>
    <x v="0"/>
    <n v="8472"/>
    <n v="8300"/>
    <n v="70317600"/>
    <n v="22"/>
    <n v="385.09090909090907"/>
    <n v="3196254.5454545454"/>
  </r>
  <r>
    <s v="Sugaberrio S.A.S"/>
    <s v="F085"/>
    <s v="F_La Castellana"/>
    <d v="2022-10-04T00:00:00"/>
    <x v="9"/>
    <d v="2022-10-04T00:00:00"/>
    <d v="2022-10-12T00:00:00"/>
    <s v="FBC 17592"/>
    <n v="7008147"/>
    <x v="1"/>
    <n v="5653"/>
    <n v="8043"/>
    <n v="45467079"/>
    <n v="23"/>
    <n v="245.78260869565219"/>
    <n v="1976829.5217391304"/>
  </r>
  <r>
    <s v="Sugaberrio S.A.S"/>
    <s v="F085"/>
    <s v="F_La Castellana"/>
    <d v="2022-10-07T00:00:00"/>
    <x v="9"/>
    <d v="2022-10-08T00:00:00"/>
    <d v="2022-10-12T00:00:00"/>
    <s v="FSL 8813"/>
    <n v="7008146"/>
    <x v="0"/>
    <n v="5402"/>
    <n v="8500"/>
    <n v="45917000"/>
    <n v="24"/>
    <n v="225.08333333333334"/>
    <n v="1913208.3333333333"/>
  </r>
  <r>
    <s v="Civil 33 S.A.S Zomac"/>
    <s v="AC41"/>
    <s v="Alm. FeedLot"/>
    <d v="2022-10-13T00:00:00"/>
    <x v="9"/>
    <d v="2022-10-13T00:00:00"/>
    <d v="2022-10-14T00:00:00"/>
    <s v="FEVC21"/>
    <n v="7008146"/>
    <x v="0"/>
    <n v="6802"/>
    <n v="8000"/>
    <n v="54416000"/>
    <n v="18"/>
    <n v="377.88888888888891"/>
    <n v="3023111.111111111"/>
  </r>
  <r>
    <s v="Sociedad Herrera Y CIA"/>
    <s v="F124"/>
    <s v="F_El Prado"/>
    <d v="2022-10-13T00:00:00"/>
    <x v="9"/>
    <d v="2022-10-12T00:00:00"/>
    <d v="2022-10-14T00:00:00"/>
    <s v="FE-101"/>
    <n v="7008146"/>
    <x v="0"/>
    <n v="35160"/>
    <n v="8700"/>
    <n v="305892000"/>
    <n v="96"/>
    <n v="366.25"/>
    <n v="3186375"/>
  </r>
  <r>
    <s v="Sociedad Herrera Y CIA"/>
    <s v="F124"/>
    <s v="F_El Prado"/>
    <d v="2022-10-13T00:00:00"/>
    <x v="9"/>
    <d v="2022-10-12T00:00:00"/>
    <d v="2022-10-14T00:00:00"/>
    <s v="FE102"/>
    <n v="7008146"/>
    <x v="0"/>
    <n v="36849"/>
    <n v="8700"/>
    <n v="320586300"/>
    <n v="100"/>
    <n v="368.49"/>
    <n v="3205863"/>
  </r>
  <r>
    <s v="Agrosa S.A.S"/>
    <s v="F215"/>
    <s v="F_Chinulito"/>
    <d v="2022-10-12T00:00:00"/>
    <x v="9"/>
    <d v="2022-10-12T00:00:00"/>
    <d v="2022-10-14T00:00:00"/>
    <s v="AGRO37"/>
    <n v="7008151"/>
    <x v="3"/>
    <n v="24388"/>
    <n v="7100"/>
    <n v="173154800"/>
    <n v="76"/>
    <n v="320.89473684210526"/>
    <n v="2278352.6315789474"/>
  </r>
  <r>
    <s v="Subastar S.A"/>
    <s v="A214"/>
    <s v="A_Santa Maria"/>
    <d v="2022-10-12T00:00:00"/>
    <x v="9"/>
    <d v="2022-10-12T00:00:00"/>
    <d v="2022-10-14T00:00:00"/>
    <n v="101522"/>
    <n v="7008147"/>
    <x v="1"/>
    <n v="4666"/>
    <n v="8340.6699528504068"/>
    <n v="38917566"/>
    <n v="22"/>
    <n v="212.09090909090909"/>
    <n v="1768980.2727272727"/>
  </r>
  <r>
    <s v="Subastar S.A"/>
    <s v="A214"/>
    <s v="A_Santa Maria"/>
    <d v="2022-10-12T00:00:00"/>
    <x v="9"/>
    <d v="2022-10-12T00:00:00"/>
    <d v="2022-10-14T00:00:00"/>
    <n v="101524"/>
    <n v="7008147"/>
    <x v="1"/>
    <n v="5356"/>
    <n v="9144.5899925317408"/>
    <n v="48978424"/>
    <n v="23"/>
    <n v="232.86956521739131"/>
    <n v="2129496.6956521738"/>
  </r>
  <r>
    <s v="Subastar S.A"/>
    <s v="F215"/>
    <s v="F_Chinulito"/>
    <d v="2022-10-13T00:00:00"/>
    <x v="9"/>
    <d v="2022-10-13T00:00:00"/>
    <d v="2022-10-19T00:00:00"/>
    <n v="242443"/>
    <n v="7008151"/>
    <x v="3"/>
    <n v="4658"/>
    <n v="7084.5450837269218"/>
    <n v="32999811"/>
    <n v="16"/>
    <n v="291.125"/>
    <n v="2062488.1875"/>
  </r>
  <r>
    <s v="Subastar S.A"/>
    <s v="F215"/>
    <s v="F_Chinulito"/>
    <d v="2022-10-13T00:00:00"/>
    <x v="9"/>
    <d v="2022-10-13T00:00:00"/>
    <d v="2022-10-19T00:00:00"/>
    <n v="242453"/>
    <n v="7008151"/>
    <x v="3"/>
    <n v="5972"/>
    <n v="7536.75"/>
    <n v="45009471"/>
    <n v="20"/>
    <n v="298.60000000000002"/>
    <n v="2250473.5499999998"/>
  </r>
  <r>
    <s v="Subastar S.A"/>
    <s v="F215"/>
    <s v="F_Chinulito"/>
    <d v="2022-10-13T00:00:00"/>
    <x v="9"/>
    <d v="2022-10-13T00:00:00"/>
    <d v="2022-10-19T00:00:00"/>
    <n v="242488"/>
    <n v="7008151"/>
    <x v="3"/>
    <n v="5050"/>
    <n v="6833.32"/>
    <n v="34508266"/>
    <n v="20"/>
    <n v="252.5"/>
    <n v="1725413.3"/>
  </r>
  <r>
    <s v="Subastar S.A"/>
    <s v="A151"/>
    <s v="A_El Playon"/>
    <d v="2022-10-12T00:00:00"/>
    <x v="9"/>
    <d v="2022-10-13T00:00:00"/>
    <d v="2022-10-19T00:00:00"/>
    <n v="40318"/>
    <n v="7008147"/>
    <x v="1"/>
    <n v="5318"/>
    <n v="9144.5900714554336"/>
    <n v="48630930"/>
    <n v="26"/>
    <n v="204.53846153846155"/>
    <n v="1870420.3846153845"/>
  </r>
  <r>
    <s v="Subastar S.A"/>
    <s v="A151"/>
    <s v="A_El Playon"/>
    <d v="2022-10-12T00:00:00"/>
    <x v="9"/>
    <d v="2022-10-13T00:00:00"/>
    <d v="2022-10-19T00:00:00"/>
    <n v="40319"/>
    <n v="7008147"/>
    <x v="1"/>
    <n v="5238"/>
    <n v="8843.1200840015281"/>
    <n v="46320263"/>
    <n v="25"/>
    <n v="209.52"/>
    <n v="1852810.52"/>
  </r>
  <r>
    <s v="Subastar S.A"/>
    <s v="A151"/>
    <s v="A_El Playon"/>
    <d v="2022-10-12T00:00:00"/>
    <x v="9"/>
    <d v="2022-10-13T00:00:00"/>
    <d v="2022-10-19T00:00:00"/>
    <n v="40321"/>
    <n v="7008147"/>
    <x v="1"/>
    <n v="5018"/>
    <n v="8742.6299322439227"/>
    <n v="43870517"/>
    <n v="24"/>
    <n v="209.08333333333334"/>
    <n v="1827938.2083333333"/>
  </r>
  <r>
    <s v="Subastar S.A"/>
    <s v="A151"/>
    <s v="A_El Playon"/>
    <d v="2022-10-12T00:00:00"/>
    <x v="9"/>
    <d v="2022-10-13T00:00:00"/>
    <d v="2022-10-19T00:00:00"/>
    <n v="40325"/>
    <n v="7008147"/>
    <x v="1"/>
    <n v="5468"/>
    <n v="8541.6499634235552"/>
    <n v="46705742"/>
    <n v="28"/>
    <n v="195.28571428571428"/>
    <n v="1668062.2142857143"/>
  </r>
  <r>
    <s v="Subastar S.A"/>
    <s v="A151"/>
    <s v="A_El Playon"/>
    <d v="2022-10-12T00:00:00"/>
    <x v="9"/>
    <d v="2022-10-13T00:00:00"/>
    <d v="2022-10-19T00:00:00"/>
    <n v="40333"/>
    <n v="7008147"/>
    <x v="1"/>
    <n v="5760"/>
    <n v="7938.7100694444443"/>
    <n v="45726970"/>
    <n v="20"/>
    <n v="288"/>
    <n v="2286348.5"/>
  </r>
  <r>
    <s v="Sugaberrio S.A.S"/>
    <s v="F085"/>
    <s v="F_La Castellana"/>
    <d v="2022-10-13T00:00:00"/>
    <x v="9"/>
    <d v="2022-10-14T00:00:00"/>
    <d v="2022-10-19T00:00:00"/>
    <s v="FAC 9308"/>
    <n v="7008147"/>
    <x v="1"/>
    <n v="5958"/>
    <n v="8050"/>
    <n v="47961900"/>
    <n v="24"/>
    <n v="248.25"/>
    <n v="1998412.5"/>
  </r>
  <r>
    <s v="Paul Rodriguez Sanchez"/>
    <s v="F049"/>
    <s v="F_El Rosario"/>
    <d v="2022-10-13T00:00:00"/>
    <x v="9"/>
    <d v="2022-10-12T00:00:00"/>
    <d v="2022-10-20T00:00:00"/>
    <s v="CGOR-7"/>
    <n v="7008146"/>
    <x v="0"/>
    <n v="6431"/>
    <n v="8500"/>
    <n v="54663500"/>
    <n v="24"/>
    <n v="267.95833333333331"/>
    <n v="2277645.8333333335"/>
  </r>
  <r>
    <s v="Subagan S.A."/>
    <s v="F215"/>
    <s v="F_Chinulito"/>
    <d v="2022-10-20T00:00:00"/>
    <x v="9"/>
    <d v="2022-10-20T00:00:00"/>
    <d v="2022-10-21T00:00:00"/>
    <s v="MIC709"/>
    <n v="7008151"/>
    <x v="3"/>
    <n v="18235"/>
    <n v="7197"/>
    <n v="131237295"/>
    <n v="60"/>
    <n v="303.91666666666669"/>
    <n v="2187288.25"/>
  </r>
  <r>
    <s v="Subagan S.A."/>
    <s v="F215"/>
    <s v="F_Chinulito"/>
    <d v="2022-10-20T00:00:00"/>
    <x v="9"/>
    <d v="2022-10-20T00:00:00"/>
    <d v="2022-10-21T00:00:00"/>
    <s v="MIC710"/>
    <n v="7008151"/>
    <x v="3"/>
    <n v="5372"/>
    <n v="7360"/>
    <n v="39537920"/>
    <n v="16"/>
    <n v="335.75"/>
    <n v="2471120"/>
  </r>
  <r>
    <s v="Sociedad Agricola De Dibulla LTDA"/>
    <s v="AC41"/>
    <s v="Alm. FeedLot"/>
    <d v="2022-10-21T00:00:00"/>
    <x v="9"/>
    <d v="2022-10-22T00:00:00"/>
    <d v="2022-10-23T00:00:00"/>
    <s v="SAD 5570"/>
    <n v="7008146"/>
    <x v="0"/>
    <n v="5946"/>
    <n v="8200"/>
    <n v="48757200"/>
    <n v="18"/>
    <n v="330.33333333333331"/>
    <n v="2708733.3333333335"/>
  </r>
  <r>
    <s v="Amvimundo S.A.S"/>
    <s v="F184"/>
    <s v="F_Cocodrilla"/>
    <d v="2022-10-24T00:00:00"/>
    <x v="9"/>
    <d v="2022-10-24T00:00:00"/>
    <d v="2022-10-24T00:00:00"/>
    <s v="FE223"/>
    <n v="7008146"/>
    <x v="0"/>
    <n v="80402"/>
    <n v="8500"/>
    <n v="683417000"/>
    <n v="204"/>
    <n v="394.12745098039215"/>
    <n v="3350083.3333333335"/>
  </r>
  <r>
    <s v="Mauricio Alberto Gomez Montaño"/>
    <s v="F024"/>
    <s v="F_El Imperio"/>
    <d v="2022-10-19T00:00:00"/>
    <x v="9"/>
    <d v="2022-10-19T00:00:00"/>
    <d v="2022-10-25T00:00:00"/>
    <s v="FE29"/>
    <n v="7008146"/>
    <x v="0"/>
    <n v="8002"/>
    <n v="8100"/>
    <n v="64816200"/>
    <n v="23"/>
    <n v="347.91304347826087"/>
    <n v="2818095.6521739131"/>
  </r>
  <r>
    <s v="Subagan S.A."/>
    <s v="F159"/>
    <s v="F_Totumito"/>
    <d v="2022-10-21T00:00:00"/>
    <x v="9"/>
    <d v="2022-10-21T00:00:00"/>
    <d v="2022-10-26T00:00:00"/>
    <s v="MIC711"/>
    <n v="7008147"/>
    <x v="1"/>
    <n v="4842"/>
    <n v="8496"/>
    <n v="41137632"/>
    <n v="20"/>
    <n v="242.1"/>
    <n v="2056881.6"/>
  </r>
  <r>
    <s v="Subagan S.A."/>
    <s v="F159"/>
    <s v="F_Totumito"/>
    <d v="2022-10-21T00:00:00"/>
    <x v="9"/>
    <d v="2022-10-24T00:00:00"/>
    <d v="2022-10-26T00:00:00"/>
    <s v="MIC714"/>
    <n v="7008147"/>
    <x v="1"/>
    <n v="5063"/>
    <n v="8547"/>
    <n v="43273461"/>
    <n v="22"/>
    <n v="230.13636363636363"/>
    <n v="1966975.5"/>
  </r>
  <r>
    <s v="Inversiones Bonito Viento S.A.S"/>
    <s v="F043"/>
    <s v="F_Monaco"/>
    <d v="2022-10-26T00:00:00"/>
    <x v="9"/>
    <d v="2022-10-26T00:00:00"/>
    <d v="2022-10-26T00:00:00"/>
    <s v="IBV114"/>
    <n v="7008146"/>
    <x v="0"/>
    <n v="12759"/>
    <n v="8650"/>
    <n v="110365350"/>
    <n v="36"/>
    <n v="354.41666666666669"/>
    <n v="3065704.1666666665"/>
  </r>
  <r>
    <s v="Comercializadora El Delirio"/>
    <s v="F020"/>
    <s v="F_Triana"/>
    <d v="2022-10-25T00:00:00"/>
    <x v="9"/>
    <d v="2022-10-25T00:00:00"/>
    <d v="2022-10-27T00:00:00"/>
    <s v="FE226"/>
    <n v="7008146"/>
    <x v="0"/>
    <n v="60509"/>
    <n v="8700"/>
    <n v="526428300"/>
    <n v="155"/>
    <n v="390.38064516129032"/>
    <n v="3396311.6129032257"/>
  </r>
  <r>
    <s v="Jose Francisco Muñoz Jimenez"/>
    <s v="F182"/>
    <s v="F_Vista Hermosa"/>
    <d v="2022-10-25T00:00:00"/>
    <x v="9"/>
    <d v="2022-10-22T00:00:00"/>
    <d v="2022-10-28T00:00:00"/>
    <s v="FV-10"/>
    <n v="7008147"/>
    <x v="1"/>
    <n v="8691"/>
    <n v="8450"/>
    <n v="73438950"/>
    <n v="40"/>
    <n v="217.27500000000001"/>
    <n v="1835973.75"/>
  </r>
  <r>
    <s v="Jorge Luis Oñate "/>
    <s v="F110"/>
    <s v="F_Santa Elena"/>
    <d v="2022-10-25T00:00:00"/>
    <x v="9"/>
    <d v="2022-10-20T00:00:00"/>
    <d v="2022-10-28T00:00:00"/>
    <s v="FE139"/>
    <n v="7008147"/>
    <x v="1"/>
    <n v="5309"/>
    <n v="9000"/>
    <n v="47781000"/>
    <n v="30"/>
    <n v="176.96666666666667"/>
    <n v="1592700"/>
  </r>
  <r>
    <s v="Henry Humberto Cano Avila"/>
    <s v="F197"/>
    <s v="F_El Arbolito"/>
    <d v="2022-10-20T00:00:00"/>
    <x v="9"/>
    <d v="2022-10-20T00:00:00"/>
    <d v="2022-10-28T00:00:00"/>
    <s v="_x0009_FEHC-512"/>
    <n v="7008146"/>
    <x v="0"/>
    <n v="43733"/>
    <n v="8350"/>
    <n v="365170550"/>
    <n v="137"/>
    <n v="319.21897810218979"/>
    <n v="2665478.4671532847"/>
  </r>
  <r>
    <s v="Subagan S.A."/>
    <s v="F067"/>
    <s v="F_Guacharacas"/>
    <d v="2022-10-28T00:00:00"/>
    <x v="9"/>
    <d v="2022-10-28T00:00:00"/>
    <d v="2022-10-28T00:00:00"/>
    <s v="MIC718"/>
    <n v="7008146"/>
    <x v="0"/>
    <n v="19294"/>
    <n v="8547"/>
    <n v="164905818"/>
    <n v="48"/>
    <n v="401.95833333333331"/>
    <n v="3435537.875"/>
  </r>
  <r>
    <s v="Jorge Luis Oñate "/>
    <s v="F063"/>
    <s v="F_Santo Domingo"/>
    <d v="2022-10-24T00:00:00"/>
    <x v="9"/>
    <d v="2022-10-21T00:00:00"/>
    <d v="2022-10-31T00:00:00"/>
    <s v="FE 138"/>
    <n v="7008147"/>
    <x v="1"/>
    <n v="44570"/>
    <n v="9000"/>
    <n v="401130000"/>
    <n v="240"/>
    <n v="185.70833333333334"/>
    <n v="1671375"/>
  </r>
  <r>
    <s v="Subastar S.A"/>
    <s v="A151"/>
    <s v="A_El Playon"/>
    <d v="2022-10-19T00:00:00"/>
    <x v="9"/>
    <d v="2022-10-20T00:00:00"/>
    <d v="2022-10-31T00:00:00"/>
    <s v="B1 40395"/>
    <n v="7008147"/>
    <x v="1"/>
    <n v="5984"/>
    <n v="8391"/>
    <n v="50211744"/>
    <n v="29"/>
    <n v="206.34482758620689"/>
    <n v="1731439.448275862"/>
  </r>
  <r>
    <s v="Sugaberrio S.A.S"/>
    <s v="F038"/>
    <s v="F_La Estrella"/>
    <d v="2022-10-27T00:00:00"/>
    <x v="9"/>
    <d v="2022-10-28T00:00:00"/>
    <d v="2022-10-31T00:00:00"/>
    <n v="9528"/>
    <n v="7008147"/>
    <x v="1"/>
    <n v="1393"/>
    <n v="9400"/>
    <n v="13094200"/>
    <n v="5"/>
    <n v="278.60000000000002"/>
    <n v="2618840"/>
  </r>
  <r>
    <s v="Sugaberrio S.A.S"/>
    <s v="F038"/>
    <s v="F_La Estrella"/>
    <d v="2022-10-27T00:00:00"/>
    <x v="9"/>
    <d v="2022-10-28T00:00:00"/>
    <d v="2022-10-31T00:00:00"/>
    <n v="9486"/>
    <n v="7008147"/>
    <x v="1"/>
    <n v="2140"/>
    <n v="9719.6261682242985"/>
    <n v="20800000"/>
    <n v="8"/>
    <n v="267.5"/>
    <n v="2600000"/>
  </r>
  <r>
    <s v="Sugaberrio S.A.S"/>
    <s v="F038"/>
    <s v="F_La Estrella"/>
    <d v="2022-10-27T00:00:00"/>
    <x v="9"/>
    <d v="2022-10-28T00:00:00"/>
    <d v="2022-10-31T00:00:00"/>
    <n v="9485"/>
    <n v="7008147"/>
    <x v="1"/>
    <n v="524"/>
    <n v="8587.7862595419847"/>
    <n v="4500000"/>
    <n v="2"/>
    <n v="262"/>
    <n v="2250000"/>
  </r>
  <r>
    <s v="Sugaberrio S.A.S"/>
    <s v="F038"/>
    <s v="F_La Estrella"/>
    <d v="2022-10-27T00:00:00"/>
    <x v="9"/>
    <d v="2022-10-28T00:00:00"/>
    <d v="2022-10-31T00:00:00"/>
    <n v="9456"/>
    <n v="7008147"/>
    <x v="1"/>
    <n v="1082"/>
    <n v="8800"/>
    <n v="9521600"/>
    <n v="5"/>
    <n v="216.4"/>
    <n v="1904320"/>
  </r>
  <r>
    <s v="Sugaberrio S.A.S"/>
    <s v="A151"/>
    <s v="A_El Playon"/>
    <d v="2022-10-27T00:00:00"/>
    <x v="9"/>
    <d v="2022-10-28T00:00:00"/>
    <d v="2022-10-31T00:00:00"/>
    <s v="FAC 9494"/>
    <n v="7008147"/>
    <x v="1"/>
    <n v="5252"/>
    <n v="8900"/>
    <n v="46742800"/>
    <n v="23"/>
    <n v="228.34782608695653"/>
    <n v="2032295.6521739131"/>
  </r>
  <r>
    <s v="Subastar S.A"/>
    <s v="F067"/>
    <s v="F_Guacharacas"/>
    <d v="2022-10-27T00:00:00"/>
    <x v="9"/>
    <d v="2022-10-27T00:00:00"/>
    <d v="2022-10-31T00:00:00"/>
    <n v="242944"/>
    <n v="7008146"/>
    <x v="0"/>
    <n v="5794"/>
    <n v="8491.4050742147047"/>
    <n v="49199201"/>
    <n v="16"/>
    <n v="362.125"/>
    <n v="3074950.0625"/>
  </r>
  <r>
    <s v="Sugaberrio S.A.S"/>
    <s v="F153"/>
    <s v="F_Villa Chola"/>
    <d v="2022-10-26T00:00:00"/>
    <x v="9"/>
    <d v="2022-10-27T00:00:00"/>
    <d v="2022-10-31T00:00:00"/>
    <s v="FAC9412"/>
    <n v="7008147"/>
    <x v="1"/>
    <n v="4473"/>
    <n v="8250"/>
    <n v="36902250"/>
    <n v="20"/>
    <n v="223.65"/>
    <n v="1845112.5"/>
  </r>
  <r>
    <s v="Jaime Rafael Daza Cuello"/>
    <s v="F079"/>
    <s v="F_San Andres"/>
    <d v="2022-10-29T00:00:00"/>
    <x v="9"/>
    <d v="2022-10-28T00:00:00"/>
    <d v="2022-10-31T00:00:00"/>
    <n v="304"/>
    <n v="7008147"/>
    <x v="1"/>
    <n v="29774"/>
    <n v="8400"/>
    <n v="250101600"/>
    <n v="103"/>
    <n v="289.06796116504853"/>
    <n v="2428170.873786408"/>
  </r>
  <r>
    <s v="WIlson Murillo"/>
    <s v="F011"/>
    <s v="F_Chumbimbo"/>
    <d v="2022-11-01T00:00:00"/>
    <x v="10"/>
    <d v="2022-11-01T00:00:00"/>
    <d v="2022-11-04T00:00:00"/>
    <s v="FE227"/>
    <n v="7008151"/>
    <x v="3"/>
    <n v="5922"/>
    <n v="8000"/>
    <n v="47376000"/>
    <n v="23"/>
    <n v="257.47826086956519"/>
    <n v="2059826.0869565217"/>
  </r>
  <r>
    <s v="WIlson Murillo"/>
    <s v="F071"/>
    <s v="F_Texas Araujo"/>
    <d v="2022-11-01T00:00:00"/>
    <x v="10"/>
    <d v="2022-11-01T00:00:00"/>
    <d v="2022-11-04T00:00:00"/>
    <s v="FE 226"/>
    <n v="7008146"/>
    <x v="0"/>
    <n v="6409"/>
    <n v="8750"/>
    <n v="56078750"/>
    <n v="17"/>
    <n v="377"/>
    <n v="3298750"/>
  </r>
  <r>
    <s v="WIlson Murillo"/>
    <s v="F071"/>
    <s v="F_Texas Araujo"/>
    <d v="2022-11-01T00:00:00"/>
    <x v="10"/>
    <d v="2022-11-01T00:00:00"/>
    <d v="2022-11-04T00:00:00"/>
    <s v="FE 228"/>
    <n v="7008147"/>
    <x v="1"/>
    <n v="5940"/>
    <n v="8950"/>
    <n v="53163000"/>
    <n v="24"/>
    <n v="247.5"/>
    <n v="2215125"/>
  </r>
  <r>
    <s v="Juan Pablo Gutierrez Sanin"/>
    <s v="F007"/>
    <s v="F_El Caldero"/>
    <d v="2022-11-02T00:00:00"/>
    <x v="10"/>
    <d v="2022-11-02T00:00:00"/>
    <d v="2022-11-08T00:00:00"/>
    <s v="PNFE-205"/>
    <n v="7008146"/>
    <x v="0"/>
    <n v="10320"/>
    <n v="8600"/>
    <n v="88752000"/>
    <n v="30"/>
    <n v="344"/>
    <n v="2958400"/>
  </r>
  <r>
    <s v="Subagan S.A."/>
    <s v="F187"/>
    <s v="F_La Guyana"/>
    <d v="2022-11-03T00:00:00"/>
    <x v="10"/>
    <d v="2022-11-03T00:00:00"/>
    <d v="2022-11-08T00:00:00"/>
    <s v="MIC726"/>
    <n v="7008146"/>
    <x v="0"/>
    <n v="18648"/>
    <n v="8457"/>
    <n v="157706136"/>
    <n v="50"/>
    <n v="372.96"/>
    <n v="3154122.72"/>
  </r>
  <r>
    <s v="Subagan S.A."/>
    <s v="F187"/>
    <s v="F_La Guyana"/>
    <d v="2022-11-03T00:00:00"/>
    <x v="10"/>
    <d v="2022-11-03T00:00:00"/>
    <d v="2022-11-08T00:00:00"/>
    <s v="MIC725"/>
    <n v="7008146"/>
    <x v="0"/>
    <n v="19263"/>
    <n v="8480"/>
    <n v="163350240"/>
    <n v="48"/>
    <n v="401.3125"/>
    <n v="3403130"/>
  </r>
  <r>
    <s v="Subagan S.A."/>
    <s v="F019"/>
    <s v="F_Jordan"/>
    <d v="2022-11-03T00:00:00"/>
    <x v="10"/>
    <d v="2022-11-03T00:00:00"/>
    <d v="2022-11-08T00:00:00"/>
    <s v="MIC724"/>
    <n v="7008146"/>
    <x v="0"/>
    <n v="6625"/>
    <n v="8600"/>
    <n v="56975000"/>
    <n v="17"/>
    <n v="389.70588235294116"/>
    <n v="3351470.588235294"/>
  </r>
  <r>
    <s v="Sugaberrio S.A.S"/>
    <s v="F038"/>
    <s v="F_La Estrella"/>
    <d v="2022-11-03T00:00:00"/>
    <x v="10"/>
    <d v="2022-11-04T00:00:00"/>
    <d v="2022-11-09T00:00:00"/>
    <n v="9593"/>
    <n v="7008147"/>
    <x v="1"/>
    <n v="5647"/>
    <n v="8700"/>
    <n v="49128900"/>
    <n v="23"/>
    <n v="245.52173913043478"/>
    <n v="2136039.1304347827"/>
  </r>
  <r>
    <s v="Sugaberrio S.A.S"/>
    <s v="F038"/>
    <s v="F_La Estrella"/>
    <d v="2022-11-03T00:00:00"/>
    <x v="10"/>
    <d v="2022-11-04T00:00:00"/>
    <d v="2022-11-09T00:00:00"/>
    <n v="9595"/>
    <n v="7008147"/>
    <x v="1"/>
    <n v="4054"/>
    <n v="8300"/>
    <n v="33648200"/>
    <n v="18"/>
    <n v="225.22222222222223"/>
    <n v="1869344.4444444445"/>
  </r>
  <r>
    <s v="Sugaberrio S.A.S"/>
    <s v="F038"/>
    <s v="F_La Estrella"/>
    <d v="2022-11-03T00:00:00"/>
    <x v="10"/>
    <d v="2022-11-04T00:00:00"/>
    <d v="2022-11-09T00:00:00"/>
    <n v="9648"/>
    <n v="7008147"/>
    <x v="1"/>
    <n v="1507"/>
    <n v="8450"/>
    <n v="12734150"/>
    <n v="8"/>
    <n v="188.375"/>
    <n v="1591768.75"/>
  </r>
  <r>
    <s v="Sugaberrio S.A.S"/>
    <s v="F038"/>
    <s v="F_La Estrella"/>
    <d v="2022-11-03T00:00:00"/>
    <x v="10"/>
    <d v="2022-11-04T00:00:00"/>
    <d v="2022-11-09T00:00:00"/>
    <n v="9650"/>
    <n v="7008147"/>
    <x v="1"/>
    <n v="1163"/>
    <n v="8050"/>
    <n v="9362150"/>
    <n v="5"/>
    <n v="232.6"/>
    <n v="1872430"/>
  </r>
  <r>
    <s v="Sugaberrio S.A.S"/>
    <s v="F038"/>
    <s v="F_La Estrella"/>
    <d v="2022-11-03T00:00:00"/>
    <x v="10"/>
    <d v="2022-11-04T00:00:00"/>
    <d v="2022-11-09T00:00:00"/>
    <n v="9651"/>
    <n v="7008147"/>
    <x v="1"/>
    <n v="1601"/>
    <n v="7800"/>
    <n v="12487800"/>
    <n v="7"/>
    <n v="228.71428571428572"/>
    <n v="1783971.4285714286"/>
  </r>
  <r>
    <s v="Sugaberrio S.A.S"/>
    <s v="F038"/>
    <s v="F_La Estrella"/>
    <d v="2022-11-03T00:00:00"/>
    <x v="10"/>
    <d v="2022-11-04T00:00:00"/>
    <d v="2022-11-09T00:00:00"/>
    <n v="9652"/>
    <n v="7008147"/>
    <x v="1"/>
    <n v="1554"/>
    <n v="8571.4285714285706"/>
    <n v="13320000"/>
    <n v="6"/>
    <n v="259"/>
    <n v="2220000"/>
  </r>
  <r>
    <s v="Sugaberrio S.A.S"/>
    <s v="A151"/>
    <s v="A_El Playon"/>
    <d v="2022-11-03T00:00:00"/>
    <x v="10"/>
    <d v="2022-11-04T00:00:00"/>
    <d v="2022-11-09T00:00:00"/>
    <n v="9601"/>
    <n v="7008147"/>
    <x v="1"/>
    <n v="756"/>
    <n v="8300"/>
    <n v="6274800"/>
    <n v="4"/>
    <n v="189"/>
    <n v="1568700"/>
  </r>
  <r>
    <s v="Sugaberrio S.A.S"/>
    <s v="A151"/>
    <s v="A_El Playon"/>
    <d v="2022-11-03T00:00:00"/>
    <x v="10"/>
    <d v="2022-11-04T00:00:00"/>
    <d v="2022-11-09T00:00:00"/>
    <n v="9644"/>
    <n v="7008147"/>
    <x v="1"/>
    <n v="4232"/>
    <n v="8400"/>
    <n v="35548800"/>
    <n v="17"/>
    <n v="248.94117647058823"/>
    <n v="2091105.8823529412"/>
  </r>
  <r>
    <s v="Maruan David Alvarez Agudelo"/>
    <s v="F217"/>
    <s v="F_Santa Fe"/>
    <d v="2022-11-03T00:00:00"/>
    <x v="10"/>
    <d v="2022-11-05T00:00:00"/>
    <d v="2022-11-09T00:00:00"/>
    <s v="FE-50"/>
    <n v="7008146"/>
    <x v="0"/>
    <n v="20074"/>
    <n v="8200"/>
    <n v="164606800"/>
    <n v="54"/>
    <n v="371.74074074074076"/>
    <n v="3048274.0740740742"/>
  </r>
  <r>
    <s v="Subastar S.A"/>
    <s v="F067"/>
    <s v="F_Guacharacas"/>
    <d v="2022-11-03T00:00:00"/>
    <x v="10"/>
    <d v="2022-11-03T00:00:00"/>
    <d v="2022-11-09T00:00:00"/>
    <n v="243031"/>
    <n v="7008146"/>
    <x v="0"/>
    <n v="5724"/>
    <n v="8591.8950034940608"/>
    <n v="49180007"/>
    <n v="14"/>
    <n v="408.85714285714283"/>
    <n v="3512857.6428571427"/>
  </r>
  <r>
    <s v="Subastar S.A"/>
    <s v="F067"/>
    <s v="F_Guacharacas"/>
    <d v="2022-11-03T00:00:00"/>
    <x v="10"/>
    <d v="2022-11-03T00:00:00"/>
    <d v="2022-11-09T00:00:00"/>
    <n v="243033"/>
    <n v="7008146"/>
    <x v="0"/>
    <n v="5876"/>
    <n v="8642.1400612661673"/>
    <n v="50781215"/>
    <n v="15"/>
    <n v="391.73333333333335"/>
    <n v="3385414.3333333335"/>
  </r>
  <r>
    <s v="Subastar S.A"/>
    <s v="F159"/>
    <s v="F_Totumito"/>
    <d v="2022-11-03T00:00:00"/>
    <x v="10"/>
    <d v="2022-11-03T00:00:00"/>
    <d v="2022-11-09T00:00:00"/>
    <n v="242982"/>
    <n v="7008147"/>
    <x v="1"/>
    <n v="5192"/>
    <n v="8692.3850154083211"/>
    <n v="45130863"/>
    <n v="20"/>
    <n v="259.60000000000002"/>
    <n v="2256543.15"/>
  </r>
  <r>
    <s v="Subastar S.A"/>
    <s v="F159"/>
    <s v="F_Totumito"/>
    <d v="2022-11-03T00:00:00"/>
    <x v="10"/>
    <d v="2022-11-03T00:00:00"/>
    <d v="2022-11-09T00:00:00"/>
    <n v="242985"/>
    <n v="7008147"/>
    <x v="1"/>
    <n v="4926"/>
    <n v="8792.8749492488841"/>
    <n v="43313702"/>
    <n v="21"/>
    <n v="234.57142857142858"/>
    <n v="2062557.2380952381"/>
  </r>
  <r>
    <s v="Subastar S.A"/>
    <s v="F159"/>
    <s v="F_Totumito"/>
    <d v="2022-11-03T00:00:00"/>
    <x v="10"/>
    <d v="2022-11-03T00:00:00"/>
    <d v="2022-11-09T00:00:00"/>
    <n v="242989"/>
    <n v="7008147"/>
    <x v="1"/>
    <n v="5758"/>
    <n v="8240.1799235845774"/>
    <n v="47446956"/>
    <n v="23"/>
    <n v="250.34782608695653"/>
    <n v="2062911.1304347827"/>
  </r>
  <r>
    <s v="Subastar S.A"/>
    <s v="F159"/>
    <s v="F_Totumito"/>
    <d v="2022-11-03T00:00:00"/>
    <x v="10"/>
    <d v="2022-11-03T00:00:00"/>
    <d v="2022-11-09T00:00:00"/>
    <n v="242992"/>
    <n v="7008147"/>
    <x v="1"/>
    <n v="5198"/>
    <n v="8843.1200461716053"/>
    <n v="45966538"/>
    <n v="20"/>
    <n v="259.89999999999998"/>
    <n v="2298326.9"/>
  </r>
  <r>
    <s v="Subastar S.A"/>
    <s v="F159"/>
    <s v="F_Totumito"/>
    <d v="2022-11-03T00:00:00"/>
    <x v="10"/>
    <d v="2022-11-03T00:00:00"/>
    <d v="2022-11-09T00:00:00"/>
    <n v="242999"/>
    <n v="7008147"/>
    <x v="1"/>
    <n v="5374"/>
    <n v="8390.9149609229626"/>
    <n v="45092777"/>
    <n v="20"/>
    <n v="268.7"/>
    <n v="2254638.85"/>
  </r>
  <r>
    <s v="Subastar S.A"/>
    <s v="F159"/>
    <s v="F_Totumito"/>
    <d v="2022-11-03T00:00:00"/>
    <x v="10"/>
    <d v="2022-11-03T00:00:00"/>
    <d v="2022-11-09T00:00:00"/>
    <n v="243011"/>
    <n v="7008147"/>
    <x v="1"/>
    <n v="5558"/>
    <n v="8843.1200071968342"/>
    <n v="49150061"/>
    <n v="22"/>
    <n v="252.63636363636363"/>
    <n v="2234093.6818181816"/>
  </r>
  <r>
    <s v="WIlson Murillo"/>
    <s v="F071"/>
    <s v="F_Texas Araujo"/>
    <d v="2022-11-04T00:00:00"/>
    <x v="10"/>
    <d v="2022-11-04T00:00:00"/>
    <d v="2022-11-11T00:00:00"/>
    <s v="FE 229"/>
    <n v="7008146"/>
    <x v="0"/>
    <n v="5865"/>
    <n v="8400"/>
    <n v="49266000"/>
    <n v="17"/>
    <n v="345"/>
    <n v="2898000"/>
  </r>
  <r>
    <s v="WIlson Murillo"/>
    <s v="F071"/>
    <s v="F_Texas Araujo"/>
    <d v="2022-11-04T00:00:00"/>
    <x v="10"/>
    <d v="2022-11-04T00:00:00"/>
    <d v="2022-11-11T00:00:00"/>
    <s v="FE 230"/>
    <n v="7008147"/>
    <x v="1"/>
    <n v="22971"/>
    <n v="9000"/>
    <n v="206739000"/>
    <n v="93"/>
    <n v="247"/>
    <n v="2223000"/>
  </r>
  <r>
    <s v="Subagan S.A."/>
    <s v="F187"/>
    <s v="F_La Guyana"/>
    <d v="2022-11-11T00:00:00"/>
    <x v="10"/>
    <d v="2022-11-11T00:00:00"/>
    <d v="2022-11-15T00:00:00"/>
    <s v="MIC729"/>
    <n v="7008146"/>
    <x v="0"/>
    <n v="22969"/>
    <n v="8500"/>
    <n v="195236500"/>
    <n v="60"/>
    <n v="382.81666666666666"/>
    <n v="3253941.6666666665"/>
  </r>
  <r>
    <s v="Subagan S.A."/>
    <s v="F187"/>
    <s v="F_La Guyana"/>
    <d v="2022-11-11T00:00:00"/>
    <x v="10"/>
    <d v="2022-11-11T00:00:00"/>
    <d v="2022-11-15T00:00:00"/>
    <s v="MIC730"/>
    <n v="7008146"/>
    <x v="0"/>
    <n v="18375"/>
    <n v="8500"/>
    <n v="156187500"/>
    <n v="48"/>
    <n v="382.8125"/>
    <n v="3253906.25"/>
  </r>
  <r>
    <s v="Subagan S.A."/>
    <s v="F187"/>
    <s v="F_La Guyana"/>
    <d v="2022-11-11T00:00:00"/>
    <x v="10"/>
    <d v="2022-11-11T00:00:00"/>
    <d v="2022-11-15T00:00:00"/>
    <s v="MIC731"/>
    <n v="7008146"/>
    <x v="0"/>
    <n v="7656"/>
    <n v="8500"/>
    <n v="65076000"/>
    <n v="20"/>
    <n v="382.8"/>
    <n v="3253800"/>
  </r>
  <r>
    <s v="Subastar S.A"/>
    <s v="F062"/>
    <s v="F_La Leticia"/>
    <d v="2022-11-09T00:00:00"/>
    <x v="10"/>
    <d v="2022-11-09T00:00:00"/>
    <d v="2022-11-15T00:00:00"/>
    <n v="8592"/>
    <n v="7008146"/>
    <x v="0"/>
    <n v="6862"/>
    <n v="8692.3850189449149"/>
    <n v="59647146"/>
    <n v="17"/>
    <n v="403.64705882352939"/>
    <n v="3508655.6470588236"/>
  </r>
  <r>
    <s v="Subastar S.A"/>
    <s v="F062"/>
    <s v="F_La Leticia"/>
    <d v="2022-11-09T00:00:00"/>
    <x v="10"/>
    <d v="2022-11-09T00:00:00"/>
    <d v="2022-11-15T00:00:00"/>
    <n v="8596"/>
    <n v="7008146"/>
    <x v="0"/>
    <n v="6715"/>
    <n v="8441.1599404318695"/>
    <n v="56682389"/>
    <n v="18"/>
    <n v="373.05555555555554"/>
    <n v="3149021.611111111"/>
  </r>
  <r>
    <s v="Subastar S.A"/>
    <s v="F062"/>
    <s v="F_La Leticia"/>
    <d v="2022-11-09T00:00:00"/>
    <x v="10"/>
    <d v="2022-11-09T00:00:00"/>
    <d v="2022-11-15T00:00:00"/>
    <n v="8597"/>
    <n v="7008146"/>
    <x v="0"/>
    <n v="6697"/>
    <n v="8240.1799313125284"/>
    <n v="55184485"/>
    <n v="18"/>
    <n v="372.05555555555554"/>
    <n v="3065804.722222222"/>
  </r>
  <r>
    <s v="Sugaberrio S.A.S"/>
    <s v="F153"/>
    <s v="F_Villa Chola"/>
    <d v="2022-11-11T00:00:00"/>
    <x v="10"/>
    <d v="2022-11-12T00:00:00"/>
    <d v="2022-11-15T00:00:00"/>
    <s v="FBC 18313"/>
    <n v="7008147"/>
    <x v="1"/>
    <n v="22215"/>
    <n v="8500"/>
    <n v="188827500"/>
    <n v="104"/>
    <n v="213.60576923076923"/>
    <n v="1815649.0384615385"/>
  </r>
  <r>
    <s v="Pedro Alirio Barajas Gomez"/>
    <s v="AC41"/>
    <s v="Alm. FeedLot"/>
    <d v="2022-11-15T00:00:00"/>
    <x v="10"/>
    <d v="2022-11-09T00:00:00"/>
    <d v="2022-11-15T00:00:00"/>
    <s v="FE 360"/>
    <n v="7008146"/>
    <x v="0"/>
    <n v="26482"/>
    <n v="8200"/>
    <n v="217152400"/>
    <n v="72"/>
    <n v="367.80555555555554"/>
    <n v="3016005.5555555555"/>
  </r>
  <r>
    <s v="Sugaberrio S.A.S"/>
    <s v="F116"/>
    <s v="F_San Rafael"/>
    <d v="2022-11-04T00:00:00"/>
    <x v="10"/>
    <d v="2022-11-05T00:00:00"/>
    <d v="2022-11-16T00:00:00"/>
    <s v="FBC 18137"/>
    <n v="7008147"/>
    <x v="1"/>
    <n v="18637"/>
    <n v="8150"/>
    <n v="151891550"/>
    <n v="72"/>
    <n v="258.84722222222223"/>
    <n v="2109604.861111111"/>
  </r>
  <r>
    <s v="Subastar S.A"/>
    <s v="F159"/>
    <s v="F_Totumito"/>
    <d v="2022-11-10T00:00:00"/>
    <x v="10"/>
    <d v="2022-11-10T00:00:00"/>
    <d v="2022-11-16T00:00:00"/>
    <n v="243218"/>
    <n v="7008147"/>
    <x v="1"/>
    <n v="5262"/>
    <n v="8541.6499429874566"/>
    <n v="44946162"/>
    <n v="20"/>
    <n v="263.10000000000002"/>
    <n v="2247308.1"/>
  </r>
  <r>
    <s v="Subastar S.A"/>
    <s v="F159"/>
    <s v="F_Totumito"/>
    <d v="2022-11-10T00:00:00"/>
    <x v="10"/>
    <d v="2022-11-10T00:00:00"/>
    <d v="2022-11-16T00:00:00"/>
    <n v="243223"/>
    <n v="7008147"/>
    <x v="1"/>
    <n v="4646"/>
    <n v="8541.6500215238921"/>
    <n v="39684506"/>
    <n v="20"/>
    <n v="232.3"/>
    <n v="1984225.3"/>
  </r>
  <r>
    <s v="Subastar S.A"/>
    <s v="F159"/>
    <s v="F_Totumito"/>
    <d v="2022-11-10T00:00:00"/>
    <x v="10"/>
    <d v="2022-11-10T00:00:00"/>
    <d v="2022-11-16T00:00:00"/>
    <n v="243233"/>
    <n v="7008147"/>
    <x v="1"/>
    <n v="5704"/>
    <n v="8290.4249649368867"/>
    <n v="47288584"/>
    <n v="20"/>
    <n v="285.2"/>
    <n v="2364429.2000000002"/>
  </r>
  <r>
    <s v="Subastar S.A"/>
    <s v="F069"/>
    <s v="F_Las Camelias"/>
    <d v="2022-11-10T00:00:00"/>
    <x v="10"/>
    <d v="2022-11-10T00:00:00"/>
    <d v="2022-11-16T00:00:00"/>
    <s v="M1243219"/>
    <n v="7008146"/>
    <x v="0"/>
    <n v="5918"/>
    <n v="8340.6699898614388"/>
    <n v="49360085"/>
    <n v="18"/>
    <n v="328.77777777777777"/>
    <n v="2742226.9444444445"/>
  </r>
  <r>
    <s v="Subastar S.A"/>
    <s v="F159"/>
    <s v="F_Totumito"/>
    <d v="2022-11-16T00:00:00"/>
    <x v="10"/>
    <d v="2022-11-16T00:00:00"/>
    <d v="2022-11-18T00:00:00"/>
    <n v="8613"/>
    <n v="7008147"/>
    <x v="1"/>
    <n v="5790"/>
    <n v="8240.1799654576862"/>
    <n v="47710642"/>
    <n v="25"/>
    <n v="231.6"/>
    <n v="1908425.68"/>
  </r>
  <r>
    <s v="Sugaberrio S.A.S"/>
    <s v="F143"/>
    <s v="F_Las Marias"/>
    <d v="2022-11-09T00:00:00"/>
    <x v="10"/>
    <d v="2022-11-11T00:00:00"/>
    <d v="2022-11-20T00:00:00"/>
    <n v="9687"/>
    <n v="7008147"/>
    <x v="1"/>
    <n v="4952"/>
    <n v="8500"/>
    <n v="42092000"/>
    <n v="25"/>
    <n v="198.08"/>
    <n v="1683680"/>
  </r>
  <r>
    <s v="Sugaberrio S.A.S"/>
    <s v="F143"/>
    <s v="F_Las Marias"/>
    <d v="2022-11-09T00:00:00"/>
    <x v="10"/>
    <d v="2022-11-11T00:00:00"/>
    <d v="2022-11-20T00:00:00"/>
    <n v="9686"/>
    <n v="7008147"/>
    <x v="1"/>
    <n v="4630"/>
    <n v="8500"/>
    <n v="39355000"/>
    <n v="24"/>
    <n v="192.91666666666666"/>
    <n v="1639791.6666666667"/>
  </r>
  <r>
    <s v="German Alberto Cañon Jaime"/>
    <s v="F038"/>
    <s v="F_La Estrella"/>
    <d v="2022-11-16T00:00:00"/>
    <x v="10"/>
    <d v="2022-11-11T00:00:00"/>
    <d v="2022-11-20T00:00:00"/>
    <s v="FE84"/>
    <n v="7008146"/>
    <x v="0"/>
    <n v="13118"/>
    <n v="8339"/>
    <n v="109394800"/>
    <n v="44"/>
    <n v="298.13636363636363"/>
    <n v="2486245.4545454546"/>
  </r>
  <r>
    <s v="Sugaberrio S.A.S"/>
    <s v="AC41"/>
    <s v="Alm. FeedLot"/>
    <d v="2022-11-11T00:00:00"/>
    <x v="10"/>
    <d v="2022-11-16T00:00:00"/>
    <d v="2022-11-20T00:00:00"/>
    <s v="FBC 18314"/>
    <n v="7008146"/>
    <x v="0"/>
    <n v="6782"/>
    <n v="8343"/>
    <n v="56582226"/>
    <n v="18"/>
    <n v="376.77777777777777"/>
    <n v="3143457"/>
  </r>
  <r>
    <s v="Sugaberrio S.A.S"/>
    <s v="AC41"/>
    <s v="Alm. FeedLot"/>
    <d v="2022-11-18T00:00:00"/>
    <x v="10"/>
    <d v="2022-11-16T00:00:00"/>
    <d v="2022-11-20T00:00:00"/>
    <s v="FBC 18402"/>
    <n v="7008146"/>
    <x v="0"/>
    <n v="6935"/>
    <n v="8193"/>
    <n v="56818455"/>
    <n v="19"/>
    <n v="365"/>
    <n v="2990445"/>
  </r>
  <r>
    <s v="Breynner Rizo Ojeda"/>
    <s v="AC41"/>
    <s v="Alm. FeedLot"/>
    <d v="2022-11-18T00:00:00"/>
    <x v="10"/>
    <d v="2022-11-16T00:00:00"/>
    <d v="2022-11-22T00:00:00"/>
    <s v="FVG-6"/>
    <n v="7008146"/>
    <x v="0"/>
    <n v="6844"/>
    <n v="8200"/>
    <n v="56120800"/>
    <n v="19"/>
    <n v="360.21052631578948"/>
    <n v="2953726.3157894737"/>
  </r>
  <r>
    <s v="Sugaberrio S.A.S"/>
    <s v="AC41"/>
    <s v="Alm. FeedLot"/>
    <d v="2022-11-18T00:00:00"/>
    <x v="10"/>
    <d v="2022-11-18T00:00:00"/>
    <d v="2022-11-24T00:00:00"/>
    <s v="FBC 18403"/>
    <n v="7008146"/>
    <x v="0"/>
    <n v="5648"/>
    <n v="8243"/>
    <n v="46556464"/>
    <n v="16"/>
    <n v="353"/>
    <n v="2909779"/>
  </r>
  <r>
    <s v="Orygen Genetica Avanzada S.A.S"/>
    <s v="F153"/>
    <s v="F_Villa Chola"/>
    <d v="2022-11-17T00:00:00"/>
    <x v="10"/>
    <d v="2022-11-19T00:00:00"/>
    <d v="2022-11-24T00:00:00"/>
    <s v="SC 1578"/>
    <n v="7008147"/>
    <x v="1"/>
    <n v="3082"/>
    <n v="8442"/>
    <n v="26018244"/>
    <n v="15"/>
    <n v="205.46666666666667"/>
    <n v="1734549.6"/>
  </r>
  <r>
    <s v="Orygen Genetica Avanzada S.A.S"/>
    <s v="F153"/>
    <s v="F_Villa Chola"/>
    <d v="2022-11-17T00:00:00"/>
    <x v="10"/>
    <d v="2022-11-19T00:00:00"/>
    <d v="2022-11-24T00:00:00"/>
    <s v="SC 1581"/>
    <n v="7008147"/>
    <x v="1"/>
    <n v="2934"/>
    <n v="8442"/>
    <n v="24768828"/>
    <n v="15"/>
    <n v="195.6"/>
    <n v="1651255.2"/>
  </r>
  <r>
    <s v="Civil 33 S.A.S ZOMAC"/>
    <s v="A216"/>
    <s v="A_Montecristo"/>
    <d v="2022-11-24T00:00:00"/>
    <x v="10"/>
    <d v="2022-11-19T00:00:00"/>
    <d v="2022-11-24T00:00:00"/>
    <s v="FEVC24"/>
    <n v="7008146"/>
    <x v="0"/>
    <n v="6157"/>
    <n v="8100"/>
    <n v="49871700"/>
    <n v="18"/>
    <n v="342.05555555555554"/>
    <n v="2770650"/>
  </r>
  <r>
    <s v="Gustavo Alberto Ramos"/>
    <s v="F011"/>
    <s v="F_Chumbimbo"/>
    <d v="2022-11-24T00:00:00"/>
    <x v="10"/>
    <d v="2022-11-24T00:00:00"/>
    <d v="2022-11-25T00:00:00"/>
    <s v="FEV-23"/>
    <n v="7008151"/>
    <x v="3"/>
    <n v="5359"/>
    <n v="8000"/>
    <n v="42872000"/>
    <n v="20"/>
    <n v="267.95"/>
    <n v="2143600"/>
  </r>
  <r>
    <s v="Juan José López Aarón"/>
    <s v="F153"/>
    <s v="F_Villa Chola"/>
    <d v="2022-11-21T00:00:00"/>
    <x v="10"/>
    <d v="2022-11-24T00:00:00"/>
    <d v="2022-11-28T00:00:00"/>
    <n v="56"/>
    <n v="7008147"/>
    <x v="1"/>
    <n v="11168"/>
    <n v="8400"/>
    <n v="93811200"/>
    <n v="50"/>
    <n v="223.36"/>
    <n v="1876224"/>
  </r>
  <r>
    <s v="Sugaberrio S.A.S"/>
    <s v="F153"/>
    <s v="F_Villa Chola"/>
    <d v="2022-11-22T00:00:00"/>
    <x v="10"/>
    <d v="2022-11-23T00:00:00"/>
    <d v="2022-11-28T00:00:00"/>
    <s v="FBC18507"/>
    <n v="7008147"/>
    <x v="1"/>
    <n v="11201"/>
    <n v="8300"/>
    <n v="92968300"/>
    <n v="45"/>
    <n v="248.9111111111111"/>
    <n v="2065962.2222222222"/>
  </r>
  <r>
    <s v="Sugaberrio S.A.S"/>
    <s v="F143"/>
    <s v="F_Las Marias"/>
    <d v="2022-11-24T00:00:00"/>
    <x v="10"/>
    <d v="2022-11-24T00:00:00"/>
    <d v="2022-11-28T00:00:00"/>
    <s v="FAC 9950"/>
    <n v="7008147"/>
    <x v="1"/>
    <n v="11519"/>
    <n v="8300"/>
    <n v="95607700"/>
    <n v="48"/>
    <n v="239.97916666666666"/>
    <n v="1991827.0833333333"/>
  </r>
  <r>
    <s v="Inversiones El Diamante HM S.A.S"/>
    <s v="F096"/>
    <s v="F_El Diamante"/>
    <d v="2022-11-28T00:00:00"/>
    <x v="10"/>
    <d v="2022-11-28T00:00:00"/>
    <d v="2022-11-28T00:00:00"/>
    <s v="FE 225"/>
    <n v="7008459"/>
    <x v="2"/>
    <n v="1690"/>
    <n v="13850"/>
    <n v="23406500"/>
    <n v="18"/>
    <n v="93.888888888888886"/>
    <n v="1300361.111111111"/>
  </r>
  <r>
    <s v="Mauricio Alberto Gomez Montaño"/>
    <s v="F024"/>
    <s v="F_El Imperio"/>
    <d v="2022-11-28T00:00:00"/>
    <x v="10"/>
    <d v="2022-11-29T00:00:00"/>
    <d v="2022-11-29T00:00:00"/>
    <s v="FE31"/>
    <n v="7008146"/>
    <x v="0"/>
    <n v="7326"/>
    <n v="8600"/>
    <n v="63003600"/>
    <n v="21"/>
    <n v="348.85714285714283"/>
    <n v="3000171.4285714286"/>
  </r>
  <r>
    <s v="Maria Adelaida Restrepo"/>
    <s v="F058"/>
    <s v="F_La Pradilla"/>
    <d v="2022-11-29T00:00:00"/>
    <x v="10"/>
    <d v="2022-11-29T00:00:00"/>
    <d v="2022-11-29T00:00:00"/>
    <s v="MARE 88"/>
    <n v="7008146"/>
    <x v="0"/>
    <n v="1979"/>
    <n v="8350"/>
    <n v="16524650"/>
    <n v="8"/>
    <n v="247.375"/>
    <n v="2065581.25"/>
  </r>
  <r>
    <s v="Maria Adelaida Restrepo"/>
    <s v="F058"/>
    <s v="F_La Pradilla"/>
    <d v="2022-11-29T00:00:00"/>
    <x v="10"/>
    <d v="2022-11-29T00:00:00"/>
    <d v="2022-11-29T00:00:00"/>
    <s v="MARE 89"/>
    <n v="7008146"/>
    <x v="0"/>
    <n v="4609"/>
    <n v="8550"/>
    <n v="39406950"/>
    <n v="15"/>
    <n v="307.26666666666665"/>
    <n v="2627130"/>
  </r>
  <r>
    <s v="Maria Adelaida Restrepo"/>
    <s v="F058"/>
    <s v="F_La Pradilla"/>
    <d v="2022-11-29T00:00:00"/>
    <x v="10"/>
    <d v="2022-11-29T00:00:00"/>
    <d v="2022-11-29T00:00:00"/>
    <s v="MARE 90"/>
    <n v="7008146"/>
    <x v="0"/>
    <n v="4823"/>
    <n v="8450"/>
    <n v="40754350"/>
    <n v="15"/>
    <n v="321.53333333333336"/>
    <n v="2716956.6666666665"/>
  </r>
  <r>
    <s v="Yuli Jazmin Agudelo"/>
    <s v="F221"/>
    <s v="EL_ Estoril"/>
    <d v="2022-11-28T00:00:00"/>
    <x v="10"/>
    <d v="2022-11-29T00:00:00"/>
    <d v="2022-11-29T00:00:00"/>
    <s v="FVG-20"/>
    <n v="7008146"/>
    <x v="0"/>
    <n v="42259"/>
    <n v="8300"/>
    <n v="350749700"/>
    <n v="100"/>
    <n v="422.59"/>
    <n v="3507497"/>
  </r>
  <r>
    <s v="Bradco SAS"/>
    <s v="F166"/>
    <s v="F_Chaparral"/>
    <d v="2022-10-04T00:00:00"/>
    <x v="9"/>
    <d v="2022-10-02T00:00:00"/>
    <d v="2022-11-30T00:00:00"/>
    <s v="FVE 1188"/>
    <n v="7008146"/>
    <x v="0"/>
    <n v="14579"/>
    <n v="7800"/>
    <n v="113716200"/>
    <n v="50"/>
    <n v="291.58"/>
    <n v="2274324"/>
  </r>
  <r>
    <s v="Maruan David Alvarez Agudelo"/>
    <s v="AC41"/>
    <s v="Alm. FeedLot"/>
    <d v="2022-11-17T00:00:00"/>
    <x v="10"/>
    <d v="2022-11-18T00:00:00"/>
    <d v="2022-11-30T00:00:00"/>
    <s v="FE 52"/>
    <n v="7008146"/>
    <x v="0"/>
    <n v="19313"/>
    <n v="8250"/>
    <n v="159332250"/>
    <n v="54"/>
    <n v="357.64814814814815"/>
    <n v="2950597.222222222"/>
  </r>
  <r>
    <s v="Breynner Rizo Ojeda"/>
    <s v="AC41"/>
    <s v="Alm. FeedLot"/>
    <d v="2022-11-28T00:00:00"/>
    <x v="10"/>
    <d v="2022-11-26T00:00:00"/>
    <d v="2022-11-30T00:00:00"/>
    <s v="FVG-7"/>
    <n v="7008146"/>
    <x v="0"/>
    <n v="9862"/>
    <n v="8200"/>
    <n v="80868400"/>
    <n v="28"/>
    <n v="352.21428571428572"/>
    <n v="2888157.1428571427"/>
  </r>
  <r>
    <s v="Olger Fernando Rojas Angarita"/>
    <s v="AC41"/>
    <s v="Alm. FeedLot"/>
    <d v="2022-12-03T00:00:00"/>
    <x v="11"/>
    <d v="2022-12-03T00:00:00"/>
    <d v="2022-12-05T00:00:00"/>
    <s v="OR 228"/>
    <n v="7008146"/>
    <x v="0"/>
    <n v="13372"/>
    <n v="8250"/>
    <n v="110319000"/>
    <n v="35"/>
    <n v="382.05714285714288"/>
    <n v="3151971.4285714286"/>
  </r>
  <r>
    <s v="Luis Francisco Pereira Florez"/>
    <s v="AC41"/>
    <s v="Alm. FeedLot"/>
    <d v="2022-12-03T00:00:00"/>
    <x v="11"/>
    <d v="2022-12-03T00:00:00"/>
    <d v="2022-12-05T00:00:00"/>
    <s v="FP1-3"/>
    <n v="7008146"/>
    <x v="0"/>
    <n v="5728"/>
    <n v="8250"/>
    <n v="47256000"/>
    <n v="17"/>
    <n v="336.94117647058823"/>
    <n v="2779764.7058823528"/>
  </r>
  <r>
    <s v="Jose Francisco Muñoz Jimenez"/>
    <s v="F182"/>
    <s v="F_Vista Hermosa"/>
    <d v="2022-12-01T00:00:00"/>
    <x v="11"/>
    <d v="2022-12-01T00:00:00"/>
    <d v="2022-12-05T00:00:00"/>
    <s v="FV 12"/>
    <n v="7008147"/>
    <x v="1"/>
    <n v="6598"/>
    <n v="8500"/>
    <n v="56083000"/>
    <n v="30"/>
    <n v="219.93333333333334"/>
    <n v="1869433.3333333333"/>
  </r>
  <r>
    <s v="Maria Fernanda Dangond Quintero"/>
    <s v="AC41"/>
    <s v="Alm. FeedLot"/>
    <d v="2022-12-01T00:00:00"/>
    <x v="11"/>
    <d v="2022-12-05T00:00:00"/>
    <d v="2022-12-06T00:00:00"/>
    <s v="GAN-35"/>
    <n v="7008146"/>
    <x v="0"/>
    <n v="12554"/>
    <n v="8200"/>
    <n v="102942800"/>
    <n v="36"/>
    <n v="348.72222222222223"/>
    <n v="2859522.222222222"/>
  </r>
  <r>
    <s v="Maria Fernanda Dangond Quintero"/>
    <s v="F153"/>
    <s v="F_Villa Chola"/>
    <d v="2022-12-01T00:00:00"/>
    <x v="11"/>
    <d v="2022-12-05T00:00:00"/>
    <d v="2022-12-06T00:00:00"/>
    <s v="GAN-36"/>
    <n v="7008147"/>
    <x v="1"/>
    <n v="15746"/>
    <n v="8300"/>
    <n v="130691800"/>
    <n v="55"/>
    <n v="286.29090909090911"/>
    <n v="2376214.5454545454"/>
  </r>
  <r>
    <s v="Sugaberrio S.A.S"/>
    <s v="F096"/>
    <s v="F_El Diamante"/>
    <d v="2022-12-02T00:00:00"/>
    <x v="11"/>
    <d v="2022-12-06T00:00:00"/>
    <d v="2022-12-06T00:00:00"/>
    <s v="FAC 10020"/>
    <n v="7008147"/>
    <x v="1"/>
    <n v="15949"/>
    <n v="8400"/>
    <n v="133971600"/>
    <n v="72"/>
    <n v="221.51388888888889"/>
    <n v="1860716.6666666667"/>
  </r>
  <r>
    <s v="Sociedad Agricola De Dibulla LTDA"/>
    <s v="F096"/>
    <s v="F_El Diamante"/>
    <d v="2022-12-03T00:00:00"/>
    <x v="11"/>
    <d v="2022-12-07T00:00:00"/>
    <d v="2022-12-08T00:00:00"/>
    <s v="SAD 5591"/>
    <n v="7008147"/>
    <x v="1"/>
    <n v="5064"/>
    <n v="9000"/>
    <n v="45576000"/>
    <n v="25"/>
    <n v="202.56"/>
    <n v="1823040"/>
  </r>
  <r>
    <s v="Sociedad Agricola De Dibulla LTDA"/>
    <s v="F096"/>
    <s v="F_El Diamante"/>
    <d v="2022-12-03T00:00:00"/>
    <x v="11"/>
    <d v="2022-12-07T00:00:00"/>
    <d v="2022-12-08T00:00:00"/>
    <s v="SAD 5592"/>
    <n v="7008147"/>
    <x v="1"/>
    <n v="10461"/>
    <n v="8300"/>
    <n v="86826300"/>
    <n v="36"/>
    <n v="290.58333333333331"/>
    <n v="2411841.6666666665"/>
  </r>
  <r>
    <s v="Inversiones OEMC S.A.S ZOMAC"/>
    <s v="AC41"/>
    <s v="Alm. FeedLot"/>
    <d v="2022-12-06T00:00:00"/>
    <x v="11"/>
    <d v="2022-12-06T00:00:00"/>
    <d v="2022-12-09T00:00:00"/>
    <s v="FVE 605"/>
    <n v="7008146"/>
    <x v="0"/>
    <n v="4528"/>
    <n v="8200"/>
    <n v="37129600"/>
    <n v="12"/>
    <n v="377.33333333333331"/>
    <n v="3094133.3333333335"/>
  </r>
  <r>
    <s v="Subastar S.A"/>
    <s v="A148"/>
    <s v="A_El Tropezon"/>
    <d v="2022-12-07T00:00:00"/>
    <x v="11"/>
    <d v="2022-12-12T00:00:00"/>
    <d v="2022-12-12T00:00:00"/>
    <n v="8683"/>
    <n v="7008146"/>
    <x v="0"/>
    <n v="5872"/>
    <n v="8390.9150204359667"/>
    <n v="49271453"/>
    <n v="18"/>
    <n v="326.22222222222223"/>
    <n v="2737302.9444444445"/>
  </r>
  <r>
    <s v="Subastar S.A"/>
    <s v="A148"/>
    <s v="A_El Tropezon"/>
    <d v="2022-12-07T00:00:00"/>
    <x v="11"/>
    <d v="2022-12-12T00:00:00"/>
    <d v="2022-12-12T00:00:00"/>
    <n v="8684"/>
    <n v="7008146"/>
    <x v="0"/>
    <n v="5896"/>
    <n v="8441.1599389416551"/>
    <n v="49769079"/>
    <n v="18"/>
    <n v="327.55555555555554"/>
    <n v="2764948.8333333335"/>
  </r>
  <r>
    <s v="Juan Pablo Gutierrez"/>
    <s v="F007"/>
    <s v="F_El Caldero"/>
    <d v="2022-12-07T00:00:00"/>
    <x v="11"/>
    <d v="2022-12-07T00:00:00"/>
    <d v="2022-12-12T00:00:00"/>
    <s v="PNFE-217"/>
    <n v="7008146"/>
    <x v="0"/>
    <n v="4211"/>
    <n v="8300"/>
    <n v="34951300"/>
    <n v="12"/>
    <n v="350.91666666666669"/>
    <n v="2912608.3333333335"/>
  </r>
  <r>
    <s v="WIlson Murillo"/>
    <s v="A205"/>
    <s v="A_Rancho Apache"/>
    <d v="2022-12-12T00:00:00"/>
    <x v="11"/>
    <d v="2022-12-07T00:00:00"/>
    <d v="2022-12-13T00:00:00"/>
    <s v="FE232"/>
    <n v="7008147"/>
    <x v="1"/>
    <n v="11320"/>
    <n v="8780"/>
    <n v="99389600"/>
    <n v="40"/>
    <n v="283"/>
    <n v="2484740"/>
  </r>
  <r>
    <s v="Promotora CH ZOMAC"/>
    <s v="F090"/>
    <s v="F_San Antonio"/>
    <d v="2022-11-28T00:00:00"/>
    <x v="10"/>
    <d v="2022-11-28T00:00:00"/>
    <d v="2022-12-15T00:00:00"/>
    <s v="FEPZ15"/>
    <n v="7008146"/>
    <x v="0"/>
    <n v="4996"/>
    <n v="8500"/>
    <n v="42466000"/>
    <n v="14"/>
    <n v="356.85714285714283"/>
    <n v="3033285.7142857141"/>
  </r>
  <r>
    <s v="Agroinversiones RG S.A.S ZOMAC"/>
    <s v="F220"/>
    <s v="F_Canaan"/>
    <d v="2022-12-13T00:00:00"/>
    <x v="11"/>
    <d v="2022-12-13T00:00:00"/>
    <d v="2022-12-13T00:00:00"/>
    <s v="FE88"/>
    <n v="7008146"/>
    <x v="0"/>
    <n v="18411"/>
    <n v="8200"/>
    <n v="150970200"/>
    <n v="51"/>
    <n v="361"/>
    <n v="2960200"/>
  </r>
  <r>
    <s v="Sugaberrio S.A.S"/>
    <s v="F220"/>
    <s v="F_Canaan"/>
    <d v="2022-12-14T00:00:00"/>
    <x v="11"/>
    <d v="2022-12-15T00:00:00"/>
    <d v="2022-12-15T00:00:00"/>
    <s v="FAC10101"/>
    <n v="7008146"/>
    <x v="0"/>
    <n v="12728"/>
    <n v="8250"/>
    <n v="105006000"/>
    <n v="44"/>
    <n v="289.27272727272725"/>
    <n v="2386500"/>
  </r>
  <r>
    <s v="Agroinversiones RG S.A.S ZOMAC"/>
    <s v="F220"/>
    <s v="F_Canaan"/>
    <d v="2022-12-13T00:00:00"/>
    <x v="11"/>
    <d v="2022-12-13T00:00:00"/>
    <d v="2022-12-15T00:00:00"/>
    <s v="FE87"/>
    <n v="7008147"/>
    <x v="1"/>
    <n v="38065"/>
    <n v="8200"/>
    <n v="312133000"/>
    <n v="143"/>
    <n v="266.1888111888112"/>
    <n v="2182748.2517482517"/>
  </r>
  <r>
    <s v="Sugaberrio S.A.S"/>
    <s v="AC41"/>
    <s v="Alm. FeedLot"/>
    <d v="2022-12-09T00:00:00"/>
    <x v="11"/>
    <d v="2022-12-10T00:00:00"/>
    <d v="2022-12-14T00:00:00"/>
    <s v="FBC 18814"/>
    <n v="7008146"/>
    <x v="0"/>
    <n v="6430"/>
    <n v="8143"/>
    <n v="52359490"/>
    <n v="18"/>
    <n v="357.22222222222223"/>
    <n v="2908860.5555555555"/>
  </r>
  <r>
    <s v="Sugaberrio S.A.S"/>
    <s v="AC41"/>
    <s v="Alm. FeedLot"/>
    <d v="2022-12-09T00:00:00"/>
    <x v="11"/>
    <d v="2022-12-10T00:00:00"/>
    <d v="2022-12-14T00:00:00"/>
    <s v="FBC18815"/>
    <n v="7008146"/>
    <x v="0"/>
    <n v="13347"/>
    <n v="8200"/>
    <n v="109445400"/>
    <n v="38"/>
    <n v="351.23684210526318"/>
    <n v="2880142.1052631577"/>
  </r>
  <r>
    <s v="Sugaberrio S.A.S"/>
    <s v="AC41"/>
    <s v="Alm. FeedLot"/>
    <d v="2022-12-08T00:00:00"/>
    <x v="11"/>
    <d v="2022-12-10T00:00:00"/>
    <d v="2022-12-14T00:00:00"/>
    <s v="FAC10092"/>
    <n v="7008146"/>
    <x v="0"/>
    <n v="6060"/>
    <n v="8250"/>
    <n v="49995000"/>
    <n v="18"/>
    <n v="336.66666666666669"/>
    <n v="2777500"/>
  </r>
  <r>
    <s v="Sugaberrio S.A.S"/>
    <s v="AC41"/>
    <s v="Alm. FeedLot"/>
    <d v="2022-12-13T00:00:00"/>
    <x v="11"/>
    <d v="2022-12-10T00:00:00"/>
    <d v="2022-12-14T00:00:00"/>
    <s v="FAC10097"/>
    <n v="7008146"/>
    <x v="0"/>
    <n v="27004"/>
    <n v="8100"/>
    <n v="218732400"/>
    <n v="72"/>
    <n v="375.05555555555554"/>
    <n v="3037950"/>
  </r>
  <r>
    <s v="Sugaberrio S.A.S"/>
    <s v="AC41"/>
    <s v="Alm. FeedLot"/>
    <d v="2022-12-14T00:00:00"/>
    <x v="11"/>
    <d v="2022-12-10T00:00:00"/>
    <d v="2022-12-14T00:00:00"/>
    <s v="FAC10100"/>
    <n v="7008146"/>
    <x v="0"/>
    <n v="13430"/>
    <n v="8250"/>
    <n v="110797500"/>
    <n v="40"/>
    <n v="335.75"/>
    <n v="2769937.5"/>
  </r>
  <r>
    <s v="Subagan S.A."/>
    <s v="F209"/>
    <s v="F_Villa Sandra"/>
    <d v="2022-12-13T00:00:00"/>
    <x v="11"/>
    <d v="2022-12-13T00:00:00"/>
    <d v="2022-12-15T00:00:00"/>
    <s v="MIC762"/>
    <n v="7008146"/>
    <x v="0"/>
    <n v="12512"/>
    <n v="8547"/>
    <n v="106940064"/>
    <n v="38"/>
    <n v="329.26315789473682"/>
    <n v="2814212.210526316"/>
  </r>
  <r>
    <s v="Maruan David Alvarez Agudelo"/>
    <s v="AC41"/>
    <s v="Alm. FeedLot"/>
    <d v="2022-12-13T00:00:00"/>
    <x v="11"/>
    <d v="2022-12-15T00:00:00"/>
    <d v="2022-12-19T00:00:00"/>
    <s v="FE 54"/>
    <n v="7008146"/>
    <x v="0"/>
    <n v="4390"/>
    <n v="8250"/>
    <n v="36217500"/>
    <n v="12"/>
    <n v="365.83333333333331"/>
    <n v="3018125"/>
  </r>
  <r>
    <s v="CC Subasta Ganadera Del Sinu S.A.S"/>
    <s v="F019"/>
    <s v="F_Jordan"/>
    <d v="2022-12-15T00:00:00"/>
    <x v="11"/>
    <d v="2022-12-15T00:00:00"/>
    <d v="2022-12-19T00:00:00"/>
    <s v="NF28383"/>
    <n v="7008146"/>
    <x v="0"/>
    <n v="12468"/>
    <n v="8466"/>
    <n v="105554088"/>
    <n v="29"/>
    <n v="429.93103448275861"/>
    <n v="3639796.1379310344"/>
  </r>
  <r>
    <s v="Sugaberrio S.A.S"/>
    <s v="F056"/>
    <s v="F_Las Delicias"/>
    <d v="2022-12-15T00:00:00"/>
    <x v="11"/>
    <d v="2022-12-16T00:00:00"/>
    <d v="2022-12-19T00:00:00"/>
    <s v="FAC10224"/>
    <n v="7008147"/>
    <x v="1"/>
    <n v="2366"/>
    <n v="8450"/>
    <n v="19992700"/>
    <n v="9"/>
    <n v="262.88888888888891"/>
    <n v="2221411.111111111"/>
  </r>
  <r>
    <s v="Sugaberrio S.A.S"/>
    <s v="F056"/>
    <s v="F_Las Delicias"/>
    <d v="2022-12-15T00:00:00"/>
    <x v="11"/>
    <d v="2022-12-16T00:00:00"/>
    <d v="2022-12-19T00:00:00"/>
    <n v="10156"/>
    <n v="7008147"/>
    <x v="1"/>
    <n v="5554"/>
    <n v="8300"/>
    <n v="46098200"/>
    <n v="25"/>
    <n v="222.16"/>
    <n v="1843928"/>
  </r>
  <r>
    <s v="Sugaberrio S.A.S"/>
    <s v="F056"/>
    <s v="F_Las Delicias"/>
    <d v="2022-12-15T00:00:00"/>
    <x v="11"/>
    <d v="2022-12-16T00:00:00"/>
    <d v="2022-12-19T00:00:00"/>
    <n v="10157"/>
    <n v="7008147"/>
    <x v="1"/>
    <n v="6107"/>
    <n v="7700"/>
    <n v="47023900"/>
    <n v="21"/>
    <n v="290.8095238095238"/>
    <n v="2239233.3333333335"/>
  </r>
  <r>
    <s v="Sugaberrio S.A.S"/>
    <s v="F056"/>
    <s v="F_Las Delicias"/>
    <d v="2022-12-15T00:00:00"/>
    <x v="11"/>
    <d v="2022-12-16T00:00:00"/>
    <d v="2022-12-19T00:00:00"/>
    <n v="10174"/>
    <n v="7008147"/>
    <x v="1"/>
    <n v="3358"/>
    <n v="8450"/>
    <n v="28375100"/>
    <n v="15"/>
    <n v="223.86666666666667"/>
    <n v="1891673.3333333333"/>
  </r>
  <r>
    <s v="Agropecuaria Francia y Lusitania S.A.S"/>
    <s v="A148"/>
    <s v="A_El Tropezon"/>
    <d v="2022-12-16T00:00:00"/>
    <x v="11"/>
    <d v="2022-12-16T00:00:00"/>
    <d v="2022-12-19T00:00:00"/>
    <s v="AG-619"/>
    <n v="7008146"/>
    <x v="0"/>
    <n v="16149"/>
    <n v="8511.4619481082427"/>
    <n v="137451599"/>
    <n v="54"/>
    <n v="299.05555555555554"/>
    <n v="2545399.9814814813"/>
  </r>
  <r>
    <s v="Subagan S.A."/>
    <s v="F019"/>
    <s v="F_Jordan"/>
    <d v="2022-12-09T00:00:00"/>
    <x v="11"/>
    <d v="2022-12-09T00:00:00"/>
    <d v="2022-12-15T00:00:00"/>
    <s v="MIC758"/>
    <n v="7008146"/>
    <x v="0"/>
    <n v="27583"/>
    <n v="8300"/>
    <n v="228938900"/>
    <n v="70"/>
    <n v="394.04285714285714"/>
    <n v="3270555.7142857141"/>
  </r>
  <r>
    <s v="Subagan S.A."/>
    <s v="F019"/>
    <s v="F_Jordan"/>
    <d v="2022-12-09T00:00:00"/>
    <x v="11"/>
    <d v="2022-12-09T00:00:00"/>
    <d v="2022-12-15T00:00:00"/>
    <s v="MIC757"/>
    <n v="7008146"/>
    <x v="0"/>
    <n v="19124"/>
    <n v="8517"/>
    <n v="162879108"/>
    <n v="47"/>
    <n v="406.89361702127661"/>
    <n v="3465512.9361702129"/>
  </r>
  <r>
    <s v="Fabian Andres Córtes Londoño"/>
    <s v="F166"/>
    <s v="F_Chaparral"/>
    <d v="2022-12-10T00:00:00"/>
    <x v="11"/>
    <d v="2022-12-11T00:00:00"/>
    <d v="2022-12-20T00:00:00"/>
    <s v="FE1-54"/>
    <n v="7008146"/>
    <x v="0"/>
    <n v="33099"/>
    <n v="8210"/>
    <n v="271742790"/>
    <n v="136"/>
    <n v="243.375"/>
    <n v="1998108.75"/>
  </r>
  <r>
    <s v="Subagan S.A."/>
    <s v="F223"/>
    <s v="F_Fronteras"/>
    <d v="2022-12-17T00:00:00"/>
    <x v="11"/>
    <d v="2022-12-17T00:00:00"/>
    <d v="2022-12-20T00:00:00"/>
    <s v="MIC768"/>
    <n v="7008146"/>
    <x v="0"/>
    <n v="55593"/>
    <n v="8000"/>
    <n v="444744000"/>
    <n v="136"/>
    <n v="408.77205882352939"/>
    <n v="3270176.4705882352"/>
  </r>
  <r>
    <s v="Subagan S.A."/>
    <s v="F019"/>
    <s v="F_Jordan"/>
    <d v="2022-12-16T00:00:00"/>
    <x v="11"/>
    <d v="2022-12-16T00:00:00"/>
    <d v="2022-12-20T00:00:00"/>
    <s v="PR37911"/>
    <n v="7008146"/>
    <x v="0"/>
    <n v="6698"/>
    <n v="8600"/>
    <n v="57602800"/>
    <n v="17"/>
    <n v="394"/>
    <n v="3388400"/>
  </r>
  <r>
    <s v="Subagan S.A."/>
    <s v="F019"/>
    <s v="F_Jordan"/>
    <d v="2022-12-16T00:00:00"/>
    <x v="11"/>
    <d v="2022-12-16T00:00:00"/>
    <d v="2022-12-20T00:00:00"/>
    <n v="37938"/>
    <n v="7008146"/>
    <x v="0"/>
    <n v="6726"/>
    <n v="8500"/>
    <n v="57171000"/>
    <n v="17"/>
    <n v="395.64705882352939"/>
    <n v="3363000"/>
  </r>
  <r>
    <s v="Julian Molina Arias"/>
    <s v="F069 "/>
    <s v="F_Las Camelias"/>
    <d v="2022-12-20T00:00:00"/>
    <x v="11"/>
    <d v="2022-12-22T00:00:00"/>
    <d v="2022-12-22T00:00:00"/>
    <s v="FACE 43"/>
    <n v="7008146"/>
    <x v="0"/>
    <n v="11688"/>
    <n v="8350"/>
    <n v="97594800"/>
    <n v="38"/>
    <n v="307.57894736842104"/>
    <n v="2568284.210526316"/>
  </r>
  <r>
    <s v="Hugo Alfonso Portillo"/>
    <s v="AC41"/>
    <s v="Alm. FeedLot"/>
    <d v="2022-12-17T00:00:00"/>
    <x v="11"/>
    <d v="2022-12-19T00:00:00"/>
    <d v="2022-12-22T00:00:00"/>
    <s v="E 201"/>
    <n v="7008146"/>
    <x v="0"/>
    <n v="5998"/>
    <n v="8200"/>
    <n v="49183600"/>
    <n v="17"/>
    <n v="352.8235294117647"/>
    <n v="2893152.9411764704"/>
  </r>
  <r>
    <s v="Hugo Alfonso Portillo"/>
    <s v="AC41"/>
    <s v="Alm. FeedLot"/>
    <d v="2022-12-19T00:00:00"/>
    <x v="11"/>
    <d v="2022-12-19T00:00:00"/>
    <d v="2022-12-22T00:00:00"/>
    <s v="E 203"/>
    <n v="7008146"/>
    <x v="0"/>
    <n v="7227"/>
    <n v="8200"/>
    <n v="59261400"/>
    <n v="19"/>
    <n v="380.36842105263156"/>
    <n v="3119021.0526315789"/>
  </r>
  <r>
    <s v="Sugaberrio S.A.S"/>
    <s v="A216"/>
    <s v="A_Montecristo"/>
    <d v="2022-12-13T00:00:00"/>
    <x v="11"/>
    <d v="2022-12-14T00:00:00"/>
    <d v="2022-12-23T00:00:00"/>
    <s v="FAC 10099"/>
    <n v="7008146"/>
    <x v="0"/>
    <n v="4896"/>
    <n v="8100"/>
    <n v="39657600"/>
    <n v="16"/>
    <n v="306"/>
    <n v="2478600"/>
  </r>
  <r>
    <s v="Subasta Ganadera Casanare S.A"/>
    <s v="F171"/>
    <s v="F_Yacare"/>
    <d v="2022-12-15T00:00:00"/>
    <x v="11"/>
    <d v="2022-12-16T00:00:00"/>
    <d v="2022-12-26T00:00:00"/>
    <s v="FEC35887"/>
    <n v="7008146"/>
    <x v="0"/>
    <n v="3412"/>
    <n v="7553.1652989449003"/>
    <n v="25771400"/>
    <n v="9"/>
    <n v="379.11111111111109"/>
    <n v="2863488.888888889"/>
  </r>
  <r>
    <s v="Subasta Ganadera Casanare S.A"/>
    <s v="F171"/>
    <s v="F_Yacare"/>
    <d v="2022-12-15T00:00:00"/>
    <x v="11"/>
    <d v="2022-12-16T00:00:00"/>
    <d v="2022-12-26T00:00:00"/>
    <s v="FEC35894"/>
    <n v="7008146"/>
    <x v="0"/>
    <n v="5634"/>
    <n v="7353.194888178914"/>
    <n v="41427900"/>
    <n v="15"/>
    <n v="375.6"/>
    <n v="2761860"/>
  </r>
  <r>
    <s v="Subasta Ganadera Casanare S.A"/>
    <s v="F171"/>
    <s v="F_Yacare"/>
    <d v="2022-12-15T00:00:00"/>
    <x v="11"/>
    <d v="2022-12-16T00:00:00"/>
    <d v="2022-12-26T00:00:00"/>
    <s v="FEC35895"/>
    <n v="7008146"/>
    <x v="0"/>
    <n v="6210"/>
    <n v="7853.2850241545893"/>
    <n v="48768900"/>
    <n v="17"/>
    <n v="365.29411764705884"/>
    <n v="2868758.8235294116"/>
  </r>
  <r>
    <s v="Subasta Ganadera Casanare S.A"/>
    <s v="F171"/>
    <s v="F_Yacare"/>
    <d v="2022-12-15T00:00:00"/>
    <x v="11"/>
    <d v="2022-12-16T00:00:00"/>
    <d v="2022-12-26T00:00:00"/>
    <s v="FEC35920"/>
    <n v="7008146"/>
    <x v="0"/>
    <n v="5350"/>
    <n v="7603.3644859813085"/>
    <n v="40678000"/>
    <n v="15"/>
    <n v="356.66666666666669"/>
    <n v="2711866.6666666665"/>
  </r>
  <r>
    <s v="Subasta Ganadera Casanare S.A"/>
    <s v="F171"/>
    <s v="F_Yacare"/>
    <d v="2022-12-15T00:00:00"/>
    <x v="11"/>
    <d v="2022-12-16T00:00:00"/>
    <d v="2022-12-26T00:00:00"/>
    <s v="FEC35921"/>
    <n v="7008146"/>
    <x v="0"/>
    <n v="5522"/>
    <n v="7303.2596885186531"/>
    <n v="40328600"/>
    <n v="15"/>
    <n v="368.13333333333333"/>
    <n v="2688573.3333333335"/>
  </r>
  <r>
    <s v="Subasta Ganadera Casanare S.A"/>
    <s v="F171"/>
    <s v="F_Yacare"/>
    <d v="2022-12-15T00:00:00"/>
    <x v="11"/>
    <d v="2022-12-16T00:00:00"/>
    <d v="2022-12-26T00:00:00"/>
    <s v="FEC35941"/>
    <n v="7008146"/>
    <x v="0"/>
    <n v="890"/>
    <n v="7906.7415730337079"/>
    <n v="7037000"/>
    <n v="5"/>
    <n v="178"/>
    <n v="1407400"/>
  </r>
  <r>
    <s v="Subasta Ganadera Casanare S.A"/>
    <s v="F171"/>
    <s v="F_Yacare"/>
    <d v="2022-12-15T00:00:00"/>
    <x v="11"/>
    <d v="2022-12-16T00:00:00"/>
    <d v="2022-12-26T00:00:00"/>
    <s v="FEC35952"/>
    <n v="7008146"/>
    <x v="0"/>
    <n v="3726"/>
    <n v="7653.2206119162638"/>
    <n v="28515900"/>
    <n v="10"/>
    <n v="372.6"/>
    <n v="2851590"/>
  </r>
  <r>
    <s v="Subasta Ganadera Casanare S.A"/>
    <s v="F171"/>
    <s v="F_Yacare"/>
    <d v="2022-12-15T00:00:00"/>
    <x v="11"/>
    <d v="2022-12-16T00:00:00"/>
    <d v="2022-12-26T00:00:00"/>
    <s v="FEC35956"/>
    <n v="7008146"/>
    <x v="0"/>
    <n v="3666"/>
    <n v="7703.2733224222584"/>
    <n v="28240200"/>
    <n v="10"/>
    <n v="366.6"/>
    <n v="2824020"/>
  </r>
  <r>
    <s v="Subasta Ganadera Casanare S.A"/>
    <s v="F171"/>
    <s v="F_Yacare"/>
    <d v="2022-12-15T00:00:00"/>
    <x v="11"/>
    <d v="2022-12-16T00:00:00"/>
    <d v="2022-12-26T00:00:00"/>
    <s v="FEC35957"/>
    <n v="7008146"/>
    <x v="0"/>
    <n v="3692"/>
    <n v="7553.250270855905"/>
    <n v="27886600"/>
    <n v="10"/>
    <n v="369.2"/>
    <n v="2788660"/>
  </r>
  <r>
    <s v="Subasta Ganadera Casanare S.A"/>
    <s v="F171"/>
    <s v="F_Yacare"/>
    <d v="2022-12-15T00:00:00"/>
    <x v="11"/>
    <d v="2022-12-16T00:00:00"/>
    <d v="2022-12-26T00:00:00"/>
    <s v="FEC35963"/>
    <n v="7008146"/>
    <x v="0"/>
    <n v="1850"/>
    <n v="7153.2432432432433"/>
    <n v="13233500"/>
    <n v="5"/>
    <n v="370"/>
    <n v="2646700"/>
  </r>
  <r>
    <s v="Subagan S.A."/>
    <s v="AC41"/>
    <s v="Alm. FeedLot"/>
    <d v="2022-12-22T00:00:00"/>
    <x v="11"/>
    <d v="2022-12-22T00:00:00"/>
    <d v="2022-12-26T00:00:00"/>
    <s v="CEC162"/>
    <n v="7008146"/>
    <x v="0"/>
    <n v="5814"/>
    <n v="8000"/>
    <n v="46512000"/>
    <n v="16"/>
    <n v="363.375"/>
    <n v="2907000"/>
  </r>
  <r>
    <s v="Sugaberrio S.A.S"/>
    <s v="F056"/>
    <s v="F_Las Delicias"/>
    <d v="2022-12-22T00:00:00"/>
    <x v="11"/>
    <d v="2022-12-23T00:00:00"/>
    <d v="2022-12-26T00:00:00"/>
    <s v="FAC 10289"/>
    <n v="7008147"/>
    <x v="1"/>
    <n v="5471"/>
    <n v="7700"/>
    <n v="42126700"/>
    <n v="23"/>
    <n v="237.86956521739131"/>
    <n v="1831595.6521739131"/>
  </r>
  <r>
    <s v="Sugaberrio S.A.S"/>
    <s v="AC41"/>
    <s v="Alm. FeedLot"/>
    <d v="2022-12-22T00:00:00"/>
    <x v="11"/>
    <d v="2022-12-23T00:00:00"/>
    <d v="2022-12-26T00:00:00"/>
    <s v="FAC 10275"/>
    <n v="7008146"/>
    <x v="0"/>
    <n v="6411"/>
    <n v="8400"/>
    <n v="53852400"/>
    <n v="17"/>
    <n v="377.11764705882354"/>
    <n v="3167788.2352941176"/>
  </r>
  <r>
    <s v="Sugaberrio S.A.S"/>
    <s v="F059"/>
    <s v="F_Tulcan"/>
    <d v="2022-12-22T00:00:00"/>
    <x v="11"/>
    <d v="2022-12-23T00:00:00"/>
    <d v="2022-12-26T00:00:00"/>
    <n v="10260"/>
    <n v="7008146"/>
    <x v="0"/>
    <n v="1409"/>
    <n v="7400"/>
    <n v="10426600"/>
    <n v="4"/>
    <n v="352.25"/>
    <n v="2606650"/>
  </r>
  <r>
    <s v="Sugaberrio S.A.S"/>
    <s v="F059"/>
    <s v="F_Tulcan"/>
    <d v="2022-12-22T00:00:00"/>
    <x v="11"/>
    <d v="2022-12-23T00:00:00"/>
    <d v="2022-12-26T00:00:00"/>
    <n v="10268"/>
    <n v="7008146"/>
    <x v="0"/>
    <n v="1799"/>
    <n v="8250"/>
    <n v="14841750"/>
    <n v="6"/>
    <n v="299.83333333333331"/>
    <n v="2473625"/>
  </r>
  <r>
    <s v="Claudia Liliana Cagua Lopez"/>
    <s v="F223"/>
    <s v="F_Fronteras"/>
    <d v="2022-12-26T00:00:00"/>
    <x v="11"/>
    <d v="2022-12-22T00:00:00"/>
    <d v="2022-12-29T00:00:00"/>
    <s v="CLAU-32"/>
    <n v="7008146"/>
    <x v="0"/>
    <n v="29449"/>
    <n v="8400"/>
    <n v="247371600"/>
    <n v="102"/>
    <n v="288.71568627450978"/>
    <n v="2425211.764705882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1" cacheId="3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4:K19" firstHeaderRow="1" firstDataRow="3" firstDataCol="1"/>
  <pivotFields count="16">
    <pivotField showAll="0"/>
    <pivotField showAll="0"/>
    <pivotField showAll="0"/>
    <pivotField numFmtId="14" showAll="0"/>
    <pivotField axis="axisRow" showAll="0" defaultSubtota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numFmtId="14" showAll="0"/>
    <pivotField numFmtId="14" showAll="0"/>
    <pivotField showAll="0"/>
    <pivotField showAll="0"/>
    <pivotField axis="axisCol" showAll="0" defaultSubtotal="0">
      <items count="4">
        <item x="2"/>
        <item x="1"/>
        <item x="3"/>
        <item x="0"/>
      </items>
    </pivotField>
    <pivotField showAll="0"/>
    <pivotField dataField="1" showAll="0"/>
    <pivotField numFmtId="165" showAll="0"/>
    <pivotField showAll="0"/>
    <pivotField dataField="1" numFmtId="176" showAll="0" defaultSubtotal="0"/>
    <pivotField numFmtId="42" showAl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2">
    <field x="9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dataFields count="2">
    <dataField name="Promedio de Peso Res" fld="14" subtotal="average" baseField="4" baseItem="6" numFmtId="177"/>
    <dataField name="Promedio de Precio kg" fld="11" subtotal="average" baseField="4" baseItem="0"/>
  </dataFields>
  <formats count="24">
    <format dxfId="139">
      <pivotArea collapsedLevelsAreSubtotals="1" fieldPosition="0">
        <references count="1">
          <reference field="4" count="0"/>
        </references>
      </pivotArea>
    </format>
    <format dxfId="138">
      <pivotArea grandRow="1" outline="0" collapsedLevelsAreSubtotals="1" fieldPosition="0"/>
    </format>
    <format dxfId="12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44">
      <pivotArea dataOnly="0" labelOnly="1" fieldPosition="0">
        <references count="1">
          <reference field="9" count="0"/>
        </references>
      </pivotArea>
    </format>
    <format dxfId="43">
      <pivotArea field="9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41">
      <pivotArea field="9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39">
      <pivotArea dataOnly="0" labelOnly="1" outline="0" fieldPosition="0">
        <references count="2">
          <reference field="4294967294" count="2">
            <x v="0"/>
            <x v="1"/>
          </reference>
          <reference field="9" count="1" selected="0">
            <x v="0"/>
          </reference>
        </references>
      </pivotArea>
    </format>
    <format dxfId="38">
      <pivotArea dataOnly="0" labelOnly="1" outline="0" fieldPosition="0">
        <references count="2">
          <reference field="4294967294" count="2">
            <x v="0"/>
            <x v="1"/>
          </reference>
          <reference field="9" count="1" selected="0">
            <x v="1"/>
          </reference>
        </references>
      </pivotArea>
    </format>
    <format dxfId="37">
      <pivotArea dataOnly="0" labelOnly="1" outline="0" fieldPosition="0">
        <references count="2">
          <reference field="4294967294" count="2">
            <x v="0"/>
            <x v="1"/>
          </reference>
          <reference field="9" count="1" selected="0">
            <x v="2"/>
          </reference>
        </references>
      </pivotArea>
    </format>
    <format dxfId="36">
      <pivotArea dataOnly="0" labelOnly="1" outline="0" fieldPosition="0">
        <references count="2">
          <reference field="4294967294" count="2">
            <x v="0"/>
            <x v="1"/>
          </reference>
          <reference field="9" count="1" selected="0">
            <x v="3"/>
          </reference>
        </references>
      </pivotArea>
    </format>
    <format dxfId="35">
      <pivotArea dataOnly="0" labelOnly="1" fieldPosition="0">
        <references count="1">
          <reference field="9" count="0"/>
        </references>
      </pivotArea>
    </format>
    <format dxfId="34">
      <pivotArea field="9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32">
      <pivotArea field="9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30">
      <pivotArea dataOnly="0" labelOnly="1" outline="0" fieldPosition="0">
        <references count="2">
          <reference field="4294967294" count="2">
            <x v="0"/>
            <x v="1"/>
          </reference>
          <reference field="9" count="1" selected="0">
            <x v="0"/>
          </reference>
        </references>
      </pivotArea>
    </format>
    <format dxfId="29">
      <pivotArea dataOnly="0" labelOnly="1" outline="0" fieldPosition="0">
        <references count="2">
          <reference field="4294967294" count="2">
            <x v="0"/>
            <x v="1"/>
          </reference>
          <reference field="9" count="1" selected="0">
            <x v="1"/>
          </reference>
        </references>
      </pivotArea>
    </format>
    <format dxfId="28">
      <pivotArea dataOnly="0" labelOnly="1" outline="0" fieldPosition="0">
        <references count="2">
          <reference field="4294967294" count="2">
            <x v="0"/>
            <x v="1"/>
          </reference>
          <reference field="9" count="1" selected="0">
            <x v="2"/>
          </reference>
        </references>
      </pivotArea>
    </format>
    <format dxfId="27">
      <pivotArea dataOnly="0" labelOnly="1" outline="0" fieldPosition="0">
        <references count="2">
          <reference field="4294967294" count="2">
            <x v="0"/>
            <x v="1"/>
          </reference>
          <reference field="9" count="1" selected="0">
            <x v="3"/>
          </reference>
        </references>
      </pivotArea>
    </format>
    <format dxfId="15">
      <pivotArea dataOnly="0" labelOnly="1" fieldPosition="0">
        <references count="1">
          <reference field="9" count="0"/>
        </references>
      </pivotArea>
    </format>
    <format dxfId="11">
      <pivotArea field="9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9">
      <pivotArea field="9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7">
      <pivotArea dataOnly="0" labelOnly="1" outline="0" fieldPosition="0">
        <references count="2">
          <reference field="4294967294" count="2">
            <x v="0"/>
            <x v="1"/>
          </reference>
          <reference field="9" count="1" selected="0">
            <x v="0"/>
          </reference>
        </references>
      </pivotArea>
    </format>
    <format dxfId="5">
      <pivotArea dataOnly="0" labelOnly="1" outline="0" fieldPosition="0">
        <references count="2">
          <reference field="4294967294" count="2">
            <x v="0"/>
            <x v="1"/>
          </reference>
          <reference field="9" count="1" selected="0">
            <x v="1"/>
          </reference>
        </references>
      </pivotArea>
    </format>
    <format dxfId="3">
      <pivotArea dataOnly="0" labelOnly="1" outline="0" fieldPosition="0">
        <references count="2">
          <reference field="4294967294" count="2">
            <x v="0"/>
            <x v="1"/>
          </reference>
          <reference field="9" count="1" selected="0">
            <x v="2"/>
          </reference>
        </references>
      </pivotArea>
    </format>
    <format dxfId="1">
      <pivotArea dataOnly="0" labelOnly="1" outline="0" fieldPosition="0">
        <references count="2">
          <reference field="4294967294" count="2">
            <x v="0"/>
            <x v="1"/>
          </reference>
          <reference field="9" count="1" selected="0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Costo de res por kilo" cacheId="6" applyNumberFormats="0" applyBorderFormats="0" applyFontFormats="0" applyPatternFormats="0" applyAlignmentFormats="0" applyWidthHeightFormats="0" dataCaption="" updatedVersion="5" createdVersion="6" compact="0" compactData="0">
  <location ref="A3:L75" firstHeaderRow="1" firstDataRow="2" firstDataCol="2" rowPageCount="1" colPageCount="1"/>
  <pivotFields count="28">
    <pivotField name="Proveedores" compact="0" outline="0" multipleItemSelectionAllowed="1" showAll="0"/>
    <pivotField name=" Fecha" compact="0" numFmtId="14" outline="0" multipleItemSelectionAllowed="1" showAll="0"/>
    <pivotField name="Fecha llegada correo" compact="0" numFmtId="14" outline="0" multipleItemSelectionAllowed="1" showAll="0"/>
    <pivotField name="Semana" compact="0" outline="0" multipleItemSelectionAllowed="1" showAll="0"/>
    <pivotField name="Factura" compact="0" outline="0" multipleItemSelectionAllowed="1" showAll="0"/>
    <pivotField name="Material" axis="axisRow" compact="0" outline="0" multipleItemSelectionAllowed="1" showAll="0" sortType="ascending">
      <items count="10">
        <item x="7"/>
        <item x="8"/>
        <item x="0"/>
        <item x="1"/>
        <item x="2"/>
        <item x="4"/>
        <item x="3"/>
        <item x="5"/>
        <item x="6"/>
        <item t="default"/>
      </items>
    </pivotField>
    <pivotField name="kilos" compact="0" numFmtId="1" outline="0" multipleItemSelectionAllowed="1" showAll="0"/>
    <pivotField name="Valor Und" axis="axisPage" dataField="1" compact="0" outline="0" multipleItemSelectionAllowed="1" showAll="0">
      <items count="7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t="default"/>
      </items>
    </pivotField>
    <pivotField name="Valor" compact="0" numFmtId="165" outline="0" multipleItemSelectionAllowed="1" showAll="0"/>
    <pivotField name="Und" compact="0" outline="0" multipleItemSelectionAllowed="1" showAll="0"/>
    <pivotField name="N° Pedido" compact="0" outline="0" multipleItemSelectionAllowed="1" showAll="0"/>
    <pivotField name="Migo" compact="0" outline="0" multipleItemSelectionAllowed="1" showAll="0"/>
    <pivotField name="RP" compact="0" outline="0" multipleItemSelectionAllowed="1" showAll="0"/>
    <pivotField name="Tablero" compact="0" outline="0" multipleItemSelectionAllowed="1" showAll="0"/>
    <pivotField name="Observaciones" compact="0" outline="0" multipleItemSelectionAllowed="1" showAll="0"/>
    <pivotField name="Observaciones Compras" compact="0" outline="0" multipleItemSelectionAllowed="1" showAll="0"/>
    <pivotField name="Destino" axis="axisCol" compact="0" outline="0" multipleItemSelectionAllowed="1" showAll="0" sortType="ascending">
      <items count="10">
        <item x="0"/>
        <item x="2"/>
        <item x="3"/>
        <item x="6"/>
        <item x="5"/>
        <item x="7"/>
        <item x="1"/>
        <item x="4"/>
        <item x="8"/>
        <item t="default"/>
      </items>
    </pivotField>
    <pivotField name="Fecha de entrada a corrales " compact="0" numFmtId="166" outline="0" multipleItemSelectionAllowed="1" showAll="0"/>
    <pivotField name="Pedido" compact="0" outline="0" multipleItemSelectionAllowed="1" showAll="0"/>
    <pivotField name="Valor Flete" compact="0" outline="0" multipleItemSelectionAllowed="1" showAll="0"/>
    <pivotField name="Fac flete" compact="0" outline="0" multipleItemSelectionAllowed="1" showAll="0"/>
    <pivotField name="RP flete" compact="0" outline="0" multipleItemSelectionAllowed="1" showAll="0"/>
    <pivotField name="Fac 2 flete" compact="0" outline="0" multipleItemSelectionAllowed="1" showAll="0"/>
    <pivotField name="RP 2 flete" compact="0" outline="0" multipleItemSelectionAllowed="1" showAll="0"/>
    <pivotField name="Fac flete 3" compact="0" outline="0" multipleItemSelectionAllowed="1" showAll="0"/>
    <pivotField name="RP 3 flete" compact="0" outline="0" multipleItemSelectionAllowed="1" showAll="0"/>
    <pivotField name="Fecha" compact="0" numFmtId="14" outline="0" multipleItemSelectionAllowed="1" showAll="0"/>
    <pivotField name="Mes" axis="axisRow" compact="0" outline="0" multipleItemSelectionAllowed="1" showAll="0" sortType="ascending">
      <items count="14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t="default"/>
      </items>
    </pivotField>
  </pivotFields>
  <rowFields count="2">
    <field x="5"/>
    <field x="27"/>
  </rowFields>
  <rowItems count="71">
    <i>
      <x/>
      <x/>
    </i>
    <i t="default">
      <x/>
    </i>
    <i>
      <x v="1"/>
      <x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"/>
    </i>
    <i>
      <x v="5"/>
      <x v="1"/>
    </i>
    <i r="1">
      <x v="2"/>
    </i>
    <i r="1">
      <x v="3"/>
    </i>
    <i r="1">
      <x v="4"/>
    </i>
    <i r="1">
      <x v="10"/>
    </i>
    <i r="1">
      <x v="11"/>
    </i>
    <i t="default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6"/>
    </i>
    <i>
      <x v="7"/>
      <x v="6"/>
    </i>
    <i t="default">
      <x v="7"/>
    </i>
    <i>
      <x v="8"/>
      <x/>
    </i>
    <i r="1">
      <x v="12"/>
    </i>
    <i t="default">
      <x v="8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7" hier="0"/>
  </pageFields>
  <dataFields count="1">
    <dataField name="AVERAGE of Valor Und" fld="7" subtotal="average" baseField="0"/>
  </dataFields>
  <pivotTableStyleInfo showRowHeaders="1" showColHeaders="1" showRowStripes="0" showColStripes="0" showLastColumn="1"/>
  <filters count="1">
    <filter fld="7" type="captionGreaterThan" evalOrder="-1" id="1" stringValue1="7000">
      <autoFilter ref="A1">
        <filterColumn colId="0">
          <customFilters>
            <customFilter operator="greaterThan" val="7000"/>
          </customFilters>
        </filterColumn>
      </autoFilter>
    </filter>
  </filters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4285F4"/>
    <outlinePr summaryBelow="0" summaryRight="0"/>
  </sheetPr>
  <dimension ref="A1:AB5496"/>
  <sheetViews>
    <sheetView workbookViewId="0">
      <pane ySplit="1" topLeftCell="A2" activePane="bottomLeft" state="frozen"/>
      <selection pane="bottomLeft" activeCell="A2" sqref="A2"/>
    </sheetView>
  </sheetViews>
  <sheetFormatPr baseColWidth="10" defaultColWidth="12.5703125" defaultRowHeight="15.75" customHeight="1"/>
  <cols>
    <col min="1" max="1" width="48.28515625" bestFit="1" customWidth="1"/>
    <col min="2" max="2" width="10.85546875" bestFit="1" customWidth="1"/>
    <col min="3" max="3" width="16.7109375" bestFit="1" customWidth="1"/>
    <col min="4" max="4" width="9.28515625" bestFit="1" customWidth="1"/>
    <col min="5" max="5" width="16.42578125" bestFit="1" customWidth="1"/>
    <col min="6" max="6" width="10.7109375" bestFit="1" customWidth="1"/>
    <col min="7" max="7" width="9.42578125" bestFit="1" customWidth="1"/>
    <col min="8" max="8" width="9.85546875" bestFit="1" customWidth="1"/>
    <col min="9" max="9" width="13.28515625" bestFit="1" customWidth="1"/>
    <col min="10" max="10" width="7.5703125" bestFit="1" customWidth="1"/>
    <col min="11" max="11" width="13.42578125" bestFit="1" customWidth="1"/>
    <col min="12" max="12" width="11" bestFit="1" customWidth="1"/>
    <col min="13" max="14" width="12.42578125" bestFit="1" customWidth="1"/>
    <col min="15" max="15" width="34.7109375" bestFit="1" customWidth="1"/>
    <col min="16" max="16" width="255.7109375" bestFit="1" customWidth="1"/>
    <col min="17" max="17" width="18.85546875" bestFit="1" customWidth="1"/>
    <col min="18" max="18" width="30.85546875" bestFit="1" customWidth="1"/>
    <col min="19" max="19" width="22.85546875" bestFit="1" customWidth="1"/>
    <col min="20" max="20" width="27.5703125" bestFit="1" customWidth="1"/>
    <col min="21" max="21" width="24.85546875" bestFit="1" customWidth="1"/>
    <col min="22" max="22" width="22.85546875" bestFit="1" customWidth="1"/>
    <col min="23" max="23" width="24.85546875" bestFit="1" customWidth="1"/>
    <col min="24" max="24" width="22.85546875" bestFit="1" customWidth="1"/>
    <col min="25" max="25" width="24.85546875" bestFit="1" customWidth="1"/>
    <col min="26" max="26" width="22.85546875" bestFit="1" customWidth="1"/>
    <col min="27" max="27" width="10.42578125" bestFit="1" customWidth="1"/>
    <col min="28" max="28" width="10" bestFit="1" customWidth="1"/>
  </cols>
  <sheetData>
    <row r="1" spans="1:28" ht="32.25" customHeight="1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1" t="s">
        <v>5</v>
      </c>
      <c r="G1" s="4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1" t="s">
        <v>12</v>
      </c>
      <c r="N1" s="3" t="s">
        <v>13</v>
      </c>
      <c r="O1" s="3" t="s">
        <v>14</v>
      </c>
      <c r="P1" s="1" t="s">
        <v>15</v>
      </c>
      <c r="Q1" s="1" t="s">
        <v>16</v>
      </c>
      <c r="R1" s="5" t="s">
        <v>17</v>
      </c>
      <c r="S1" s="6" t="s">
        <v>18</v>
      </c>
      <c r="T1" s="7" t="s">
        <v>19</v>
      </c>
      <c r="U1" s="7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8" t="s">
        <v>27</v>
      </c>
    </row>
    <row r="2" spans="1:28" ht="12.75">
      <c r="A2" s="9" t="s">
        <v>28</v>
      </c>
      <c r="B2" s="10">
        <v>44564</v>
      </c>
      <c r="C2" s="11">
        <v>44566</v>
      </c>
      <c r="D2" s="12">
        <v>1</v>
      </c>
      <c r="E2" s="13" t="s">
        <v>29</v>
      </c>
      <c r="F2" s="13">
        <v>3025457</v>
      </c>
      <c r="G2" s="14">
        <v>34001</v>
      </c>
      <c r="H2" s="15">
        <v>6850</v>
      </c>
      <c r="I2" s="16">
        <f t="shared" ref="I2:I3" si="0">H2*G2</f>
        <v>232906850</v>
      </c>
      <c r="J2" s="17">
        <v>70</v>
      </c>
      <c r="K2" s="18">
        <v>4502244775</v>
      </c>
      <c r="L2" s="19">
        <v>5079904100</v>
      </c>
      <c r="M2" s="20">
        <v>5113032519</v>
      </c>
      <c r="N2" s="21"/>
      <c r="O2" s="22" t="s">
        <v>30</v>
      </c>
      <c r="P2" s="23"/>
      <c r="Q2" s="24" t="s">
        <v>31</v>
      </c>
      <c r="R2" s="25">
        <v>44560</v>
      </c>
      <c r="S2" s="26">
        <v>4902184561</v>
      </c>
      <c r="T2" s="27">
        <v>15232200</v>
      </c>
      <c r="U2" s="28" t="s">
        <v>32</v>
      </c>
      <c r="V2" s="29">
        <v>5113030467</v>
      </c>
      <c r="W2" s="28" t="s">
        <v>33</v>
      </c>
      <c r="X2" s="29">
        <v>5113030470</v>
      </c>
      <c r="Y2" s="30" t="s">
        <v>34</v>
      </c>
      <c r="Z2" s="29">
        <v>5113031492</v>
      </c>
      <c r="AA2" s="31">
        <f t="shared" ref="AA2:AA3029" si="1">R2</f>
        <v>44560</v>
      </c>
      <c r="AB2" s="32"/>
    </row>
    <row r="3" spans="1:28" ht="12.75">
      <c r="A3" s="9" t="s">
        <v>35</v>
      </c>
      <c r="B3" s="10">
        <v>44564</v>
      </c>
      <c r="C3" s="11"/>
      <c r="D3" s="12">
        <v>1</v>
      </c>
      <c r="E3" s="13" t="s">
        <v>36</v>
      </c>
      <c r="F3" s="13">
        <v>3025459</v>
      </c>
      <c r="G3" s="14">
        <v>6766</v>
      </c>
      <c r="H3" s="33">
        <v>7300</v>
      </c>
      <c r="I3" s="16">
        <f t="shared" si="0"/>
        <v>49391800</v>
      </c>
      <c r="J3" s="17">
        <v>15</v>
      </c>
      <c r="K3" s="34">
        <v>4502243761</v>
      </c>
      <c r="L3" s="19">
        <v>5079905648</v>
      </c>
      <c r="M3" s="20">
        <v>5113033891</v>
      </c>
      <c r="N3" s="21"/>
      <c r="O3" s="9" t="s">
        <v>37</v>
      </c>
      <c r="P3" s="23"/>
      <c r="Q3" s="24" t="s">
        <v>31</v>
      </c>
      <c r="R3" s="25">
        <v>44560</v>
      </c>
      <c r="S3" s="28"/>
      <c r="T3" s="35"/>
      <c r="U3" s="35"/>
      <c r="V3" s="29"/>
      <c r="W3" s="35"/>
      <c r="X3" s="29"/>
      <c r="Y3" s="36"/>
      <c r="Z3" s="29"/>
      <c r="AA3" s="31">
        <f t="shared" si="1"/>
        <v>44560</v>
      </c>
      <c r="AB3" s="32"/>
    </row>
    <row r="4" spans="1:28" ht="12.75">
      <c r="A4" s="9" t="s">
        <v>35</v>
      </c>
      <c r="B4" s="10">
        <v>44568</v>
      </c>
      <c r="C4" s="11"/>
      <c r="D4" s="12">
        <v>1</v>
      </c>
      <c r="E4" s="13">
        <v>6</v>
      </c>
      <c r="F4" s="13">
        <v>3025459</v>
      </c>
      <c r="G4" s="14">
        <v>6766</v>
      </c>
      <c r="H4" s="33">
        <v>100</v>
      </c>
      <c r="I4" s="16">
        <f>-H4*G4</f>
        <v>-676600</v>
      </c>
      <c r="J4" s="17">
        <v>0</v>
      </c>
      <c r="K4" s="34">
        <v>4502243761</v>
      </c>
      <c r="L4" s="19">
        <v>5079905648</v>
      </c>
      <c r="M4" s="20">
        <v>5113033893</v>
      </c>
      <c r="N4" s="21"/>
      <c r="O4" s="9"/>
      <c r="P4" s="23" t="s">
        <v>38</v>
      </c>
      <c r="Q4" s="24" t="s">
        <v>31</v>
      </c>
      <c r="R4" s="25">
        <v>44560</v>
      </c>
      <c r="S4" s="28"/>
      <c r="T4" s="35"/>
      <c r="U4" s="35"/>
      <c r="V4" s="29"/>
      <c r="W4" s="35"/>
      <c r="X4" s="29"/>
      <c r="Y4" s="36"/>
      <c r="Z4" s="29"/>
      <c r="AA4" s="31">
        <f t="shared" si="1"/>
        <v>44560</v>
      </c>
      <c r="AB4" s="32"/>
    </row>
    <row r="5" spans="1:28" ht="12.75">
      <c r="A5" s="9" t="s">
        <v>39</v>
      </c>
      <c r="B5" s="10">
        <v>44562</v>
      </c>
      <c r="C5" s="11">
        <v>44565</v>
      </c>
      <c r="D5" s="12">
        <v>1</v>
      </c>
      <c r="E5" s="13" t="s">
        <v>40</v>
      </c>
      <c r="F5" s="13">
        <v>3025459</v>
      </c>
      <c r="G5" s="37">
        <v>12686.5</v>
      </c>
      <c r="H5" s="33">
        <v>7650</v>
      </c>
      <c r="I5" s="16">
        <f>H5*G5</f>
        <v>97051725</v>
      </c>
      <c r="J5" s="17">
        <v>31</v>
      </c>
      <c r="K5" s="34">
        <v>4502243765</v>
      </c>
      <c r="L5" s="19">
        <v>5079905650</v>
      </c>
      <c r="M5" s="20">
        <v>5113035944</v>
      </c>
      <c r="N5" s="21"/>
      <c r="O5" s="9" t="s">
        <v>37</v>
      </c>
      <c r="P5" s="23"/>
      <c r="Q5" s="24" t="s">
        <v>31</v>
      </c>
      <c r="R5" s="25">
        <v>44560</v>
      </c>
      <c r="S5" s="28"/>
      <c r="T5" s="35"/>
      <c r="U5" s="35"/>
      <c r="V5" s="29"/>
      <c r="W5" s="35"/>
      <c r="X5" s="29"/>
      <c r="Y5" s="36"/>
      <c r="Z5" s="29"/>
      <c r="AA5" s="31">
        <f t="shared" si="1"/>
        <v>44560</v>
      </c>
      <c r="AB5" s="32"/>
    </row>
    <row r="6" spans="1:28" ht="12.75">
      <c r="A6" s="9" t="s">
        <v>39</v>
      </c>
      <c r="B6" s="10">
        <v>44565</v>
      </c>
      <c r="C6" s="11">
        <v>44565</v>
      </c>
      <c r="D6" s="12">
        <v>1</v>
      </c>
      <c r="E6" s="13" t="s">
        <v>41</v>
      </c>
      <c r="F6" s="13">
        <v>3025459</v>
      </c>
      <c r="G6" s="37">
        <v>12686.5</v>
      </c>
      <c r="H6" s="33">
        <f>7650-7511.14</f>
        <v>138.85999999999967</v>
      </c>
      <c r="I6" s="16">
        <f>-H6*G6</f>
        <v>-1761647.3899999959</v>
      </c>
      <c r="J6" s="17">
        <v>0</v>
      </c>
      <c r="K6" s="34">
        <v>4502243765</v>
      </c>
      <c r="L6" s="19">
        <v>5079905650</v>
      </c>
      <c r="M6" s="20">
        <v>5113035945</v>
      </c>
      <c r="N6" s="21"/>
      <c r="O6" s="9"/>
      <c r="P6" s="23" t="s">
        <v>42</v>
      </c>
      <c r="Q6" s="24" t="s">
        <v>31</v>
      </c>
      <c r="R6" s="25">
        <v>44560</v>
      </c>
      <c r="S6" s="28"/>
      <c r="T6" s="35"/>
      <c r="U6" s="35"/>
      <c r="V6" s="29"/>
      <c r="W6" s="35"/>
      <c r="X6" s="29"/>
      <c r="Y6" s="36"/>
      <c r="Z6" s="29"/>
      <c r="AA6" s="31">
        <f t="shared" si="1"/>
        <v>44560</v>
      </c>
      <c r="AB6" s="32"/>
    </row>
    <row r="7" spans="1:28" ht="12.75">
      <c r="A7" s="9" t="s">
        <v>43</v>
      </c>
      <c r="B7" s="10">
        <v>44560</v>
      </c>
      <c r="C7" s="11">
        <v>44564</v>
      </c>
      <c r="D7" s="12">
        <v>1</v>
      </c>
      <c r="E7" s="13" t="s">
        <v>44</v>
      </c>
      <c r="F7" s="13">
        <v>3025459</v>
      </c>
      <c r="G7" s="37">
        <v>22062.5</v>
      </c>
      <c r="H7" s="33">
        <v>7400</v>
      </c>
      <c r="I7" s="16">
        <f t="shared" ref="I7:I9" si="2">H7*G7</f>
        <v>163262500</v>
      </c>
      <c r="J7" s="17">
        <v>42</v>
      </c>
      <c r="K7" s="34">
        <v>4502243768</v>
      </c>
      <c r="L7" s="19">
        <v>5079905434</v>
      </c>
      <c r="M7" s="20">
        <v>5113030981</v>
      </c>
      <c r="N7" s="21"/>
      <c r="O7" s="9" t="s">
        <v>37</v>
      </c>
      <c r="P7" s="23"/>
      <c r="Q7" s="24" t="s">
        <v>31</v>
      </c>
      <c r="R7" s="25">
        <v>44560</v>
      </c>
      <c r="S7" s="28"/>
      <c r="T7" s="35"/>
      <c r="U7" s="35"/>
      <c r="V7" s="29"/>
      <c r="W7" s="35"/>
      <c r="X7" s="29"/>
      <c r="Y7" s="36"/>
      <c r="Z7" s="29"/>
      <c r="AA7" s="31">
        <f t="shared" si="1"/>
        <v>44560</v>
      </c>
      <c r="AB7" s="32"/>
    </row>
    <row r="8" spans="1:28" ht="12.75">
      <c r="A8" s="9" t="s">
        <v>43</v>
      </c>
      <c r="B8" s="10">
        <v>44560</v>
      </c>
      <c r="C8" s="11">
        <v>44564</v>
      </c>
      <c r="D8" s="12">
        <v>1</v>
      </c>
      <c r="E8" s="13" t="s">
        <v>45</v>
      </c>
      <c r="F8" s="13">
        <v>3025459</v>
      </c>
      <c r="G8" s="37">
        <v>22062.5</v>
      </c>
      <c r="H8" s="33">
        <f>7627.61-7400</f>
        <v>227.60999999999967</v>
      </c>
      <c r="I8" s="16">
        <f t="shared" si="2"/>
        <v>5021645.6249999925</v>
      </c>
      <c r="J8" s="17">
        <v>0</v>
      </c>
      <c r="K8" s="34">
        <v>4502243768</v>
      </c>
      <c r="L8" s="19">
        <v>5079905434</v>
      </c>
      <c r="M8" s="20">
        <v>5113030982</v>
      </c>
      <c r="N8" s="21"/>
      <c r="O8" s="9"/>
      <c r="P8" s="23"/>
      <c r="Q8" s="24" t="s">
        <v>31</v>
      </c>
      <c r="R8" s="25">
        <v>44560</v>
      </c>
      <c r="S8" s="28"/>
      <c r="T8" s="35"/>
      <c r="U8" s="35"/>
      <c r="V8" s="29"/>
      <c r="W8" s="35"/>
      <c r="X8" s="29"/>
      <c r="Y8" s="36"/>
      <c r="Z8" s="29"/>
      <c r="AA8" s="31">
        <f t="shared" si="1"/>
        <v>44560</v>
      </c>
      <c r="AB8" s="32"/>
    </row>
    <row r="9" spans="1:28" ht="12.75">
      <c r="A9" s="9" t="s">
        <v>46</v>
      </c>
      <c r="B9" s="10">
        <v>44560</v>
      </c>
      <c r="C9" s="11">
        <v>44564</v>
      </c>
      <c r="D9" s="12">
        <v>1</v>
      </c>
      <c r="E9" s="13" t="s">
        <v>47</v>
      </c>
      <c r="F9" s="13">
        <v>3025457</v>
      </c>
      <c r="G9" s="37">
        <v>39033.5</v>
      </c>
      <c r="H9" s="33">
        <v>7400</v>
      </c>
      <c r="I9" s="16">
        <f t="shared" si="2"/>
        <v>288847900</v>
      </c>
      <c r="J9" s="17">
        <v>84</v>
      </c>
      <c r="K9" s="34">
        <v>4502243770</v>
      </c>
      <c r="L9" s="19">
        <v>5079905435</v>
      </c>
      <c r="M9" s="20">
        <v>5113029892</v>
      </c>
      <c r="N9" s="21"/>
      <c r="O9" s="9" t="s">
        <v>37</v>
      </c>
      <c r="P9" s="23"/>
      <c r="Q9" s="24" t="s">
        <v>31</v>
      </c>
      <c r="R9" s="25">
        <v>44560</v>
      </c>
      <c r="S9" s="28"/>
      <c r="T9" s="35"/>
      <c r="U9" s="35"/>
      <c r="V9" s="29"/>
      <c r="W9" s="35"/>
      <c r="X9" s="29"/>
      <c r="Y9" s="36"/>
      <c r="Z9" s="29"/>
      <c r="AA9" s="31">
        <f t="shared" si="1"/>
        <v>44560</v>
      </c>
      <c r="AB9" s="32"/>
    </row>
    <row r="10" spans="1:28" ht="12.75">
      <c r="A10" s="9" t="s">
        <v>46</v>
      </c>
      <c r="B10" s="10">
        <v>44560</v>
      </c>
      <c r="C10" s="11">
        <v>44564</v>
      </c>
      <c r="D10" s="12">
        <v>1</v>
      </c>
      <c r="E10" s="13" t="s">
        <v>48</v>
      </c>
      <c r="F10" s="13">
        <v>3025457</v>
      </c>
      <c r="G10" s="37">
        <v>39033.5</v>
      </c>
      <c r="H10" s="33">
        <f>7400-7344.06</f>
        <v>55.9399999999996</v>
      </c>
      <c r="I10" s="16">
        <f>-H10*G10</f>
        <v>-2183533.9899999844</v>
      </c>
      <c r="J10" s="17">
        <v>0</v>
      </c>
      <c r="K10" s="34">
        <v>4502243770</v>
      </c>
      <c r="L10" s="19">
        <v>5079905435</v>
      </c>
      <c r="M10" s="20">
        <v>5113029893</v>
      </c>
      <c r="N10" s="21"/>
      <c r="O10" s="9"/>
      <c r="P10" s="23"/>
      <c r="Q10" s="24" t="s">
        <v>31</v>
      </c>
      <c r="R10" s="25">
        <v>44560</v>
      </c>
      <c r="S10" s="28"/>
      <c r="T10" s="35"/>
      <c r="U10" s="35"/>
      <c r="V10" s="29"/>
      <c r="W10" s="35"/>
      <c r="X10" s="29"/>
      <c r="Y10" s="36"/>
      <c r="Z10" s="29"/>
      <c r="AA10" s="31">
        <f t="shared" si="1"/>
        <v>44560</v>
      </c>
      <c r="AB10" s="32"/>
    </row>
    <row r="11" spans="1:28" ht="12.75">
      <c r="A11" s="9" t="s">
        <v>49</v>
      </c>
      <c r="B11" s="10">
        <v>44572</v>
      </c>
      <c r="C11" s="11">
        <v>44572</v>
      </c>
      <c r="D11" s="12">
        <v>1</v>
      </c>
      <c r="E11" s="13" t="s">
        <v>50</v>
      </c>
      <c r="F11" s="13">
        <v>3025457</v>
      </c>
      <c r="G11" s="14">
        <v>26523</v>
      </c>
      <c r="H11" s="15">
        <v>6800</v>
      </c>
      <c r="I11" s="16">
        <f t="shared" ref="I11:I13" si="3">H11*G11</f>
        <v>180356400</v>
      </c>
      <c r="J11" s="17">
        <v>56</v>
      </c>
      <c r="K11" s="18">
        <v>4502247155</v>
      </c>
      <c r="L11" s="19">
        <v>5079952481</v>
      </c>
      <c r="M11" s="20">
        <v>5113038206</v>
      </c>
      <c r="N11" s="21"/>
      <c r="O11" s="22" t="s">
        <v>51</v>
      </c>
      <c r="P11" s="23" t="s">
        <v>52</v>
      </c>
      <c r="Q11" s="24" t="s">
        <v>31</v>
      </c>
      <c r="R11" s="25">
        <v>44561</v>
      </c>
      <c r="S11" s="28">
        <v>4902185384</v>
      </c>
      <c r="T11" s="27">
        <f>3282600*4</f>
        <v>13130400</v>
      </c>
      <c r="U11" s="28" t="s">
        <v>53</v>
      </c>
      <c r="V11" s="28">
        <v>5113030324</v>
      </c>
      <c r="W11" s="35"/>
      <c r="X11" s="29"/>
      <c r="Y11" s="36"/>
      <c r="Z11" s="29"/>
      <c r="AA11" s="31">
        <f t="shared" si="1"/>
        <v>44561</v>
      </c>
      <c r="AB11" s="32"/>
    </row>
    <row r="12" spans="1:28" ht="12.75">
      <c r="A12" s="9" t="s">
        <v>54</v>
      </c>
      <c r="B12" s="10">
        <v>44565</v>
      </c>
      <c r="C12" s="11"/>
      <c r="D12" s="12">
        <v>1</v>
      </c>
      <c r="E12" s="13" t="s">
        <v>55</v>
      </c>
      <c r="F12" s="13">
        <v>3025457</v>
      </c>
      <c r="G12" s="14">
        <v>35136</v>
      </c>
      <c r="H12" s="15">
        <v>6850</v>
      </c>
      <c r="I12" s="16">
        <f t="shared" si="3"/>
        <v>240681600</v>
      </c>
      <c r="J12" s="17">
        <v>70</v>
      </c>
      <c r="K12" s="18">
        <v>4502245665</v>
      </c>
      <c r="L12" s="19">
        <v>5079913847</v>
      </c>
      <c r="M12" s="20">
        <v>5113030348</v>
      </c>
      <c r="N12" s="21"/>
      <c r="O12" s="22" t="s">
        <v>56</v>
      </c>
      <c r="P12" s="23"/>
      <c r="Q12" s="24" t="s">
        <v>31</v>
      </c>
      <c r="R12" s="25">
        <v>44561</v>
      </c>
      <c r="S12" s="28">
        <v>4902185385</v>
      </c>
      <c r="T12" s="27">
        <f>2979200*5</f>
        <v>14896000</v>
      </c>
      <c r="U12" s="28" t="s">
        <v>57</v>
      </c>
      <c r="V12" s="29">
        <v>5113031494</v>
      </c>
      <c r="W12" s="35"/>
      <c r="X12" s="29"/>
      <c r="Y12" s="36"/>
      <c r="Z12" s="29"/>
      <c r="AA12" s="31">
        <f t="shared" si="1"/>
        <v>44561</v>
      </c>
      <c r="AB12" s="32"/>
    </row>
    <row r="13" spans="1:28" ht="12.75">
      <c r="A13" s="9" t="s">
        <v>58</v>
      </c>
      <c r="B13" s="10">
        <v>44566</v>
      </c>
      <c r="C13" s="11">
        <v>44566</v>
      </c>
      <c r="D13" s="12">
        <v>1</v>
      </c>
      <c r="E13" s="13" t="s">
        <v>59</v>
      </c>
      <c r="F13" s="13">
        <v>3025457</v>
      </c>
      <c r="G13" s="14">
        <v>38468</v>
      </c>
      <c r="H13" s="33">
        <v>7700</v>
      </c>
      <c r="I13" s="16">
        <f t="shared" si="3"/>
        <v>296203600</v>
      </c>
      <c r="J13" s="17">
        <v>90</v>
      </c>
      <c r="K13" s="34">
        <v>4502243773</v>
      </c>
      <c r="L13" s="19">
        <v>5079913924</v>
      </c>
      <c r="M13" s="20">
        <v>5113036877</v>
      </c>
      <c r="N13" s="21"/>
      <c r="O13" s="9" t="s">
        <v>37</v>
      </c>
      <c r="P13" s="23"/>
      <c r="Q13" s="24" t="s">
        <v>31</v>
      </c>
      <c r="R13" s="25">
        <v>44561</v>
      </c>
      <c r="S13" s="28"/>
      <c r="T13" s="35"/>
      <c r="U13" s="35"/>
      <c r="V13" s="29"/>
      <c r="W13" s="35"/>
      <c r="X13" s="29"/>
      <c r="Y13" s="36"/>
      <c r="Z13" s="29"/>
      <c r="AA13" s="31">
        <f t="shared" si="1"/>
        <v>44561</v>
      </c>
      <c r="AB13" s="32"/>
    </row>
    <row r="14" spans="1:28" ht="12.75">
      <c r="A14" s="9" t="s">
        <v>58</v>
      </c>
      <c r="B14" s="10">
        <v>44567</v>
      </c>
      <c r="C14" s="11">
        <v>44567</v>
      </c>
      <c r="D14" s="12">
        <v>1</v>
      </c>
      <c r="E14" s="13" t="s">
        <v>60</v>
      </c>
      <c r="F14" s="13">
        <v>3025457</v>
      </c>
      <c r="G14" s="14">
        <v>38468</v>
      </c>
      <c r="H14" s="33">
        <f>7700-7681.72</f>
        <v>18.279999999999745</v>
      </c>
      <c r="I14" s="16">
        <f>-H14*G14</f>
        <v>-703195.03999999026</v>
      </c>
      <c r="J14" s="17">
        <v>0</v>
      </c>
      <c r="K14" s="34">
        <v>4502243773</v>
      </c>
      <c r="L14" s="19">
        <v>5079913924</v>
      </c>
      <c r="M14" s="20">
        <v>5113036879</v>
      </c>
      <c r="N14" s="21"/>
      <c r="O14" s="9"/>
      <c r="P14" s="23"/>
      <c r="Q14" s="24" t="s">
        <v>31</v>
      </c>
      <c r="R14" s="25">
        <v>44561</v>
      </c>
      <c r="S14" s="28"/>
      <c r="T14" s="35"/>
      <c r="U14" s="35"/>
      <c r="V14" s="29"/>
      <c r="W14" s="35"/>
      <c r="X14" s="29"/>
      <c r="Y14" s="36"/>
      <c r="Z14" s="29"/>
      <c r="AA14" s="31">
        <f t="shared" si="1"/>
        <v>44561</v>
      </c>
      <c r="AB14" s="32"/>
    </row>
    <row r="15" spans="1:28" ht="12.75">
      <c r="A15" s="9" t="s">
        <v>61</v>
      </c>
      <c r="B15" s="10">
        <v>44565</v>
      </c>
      <c r="C15" s="11"/>
      <c r="D15" s="12">
        <v>1</v>
      </c>
      <c r="E15" s="13" t="s">
        <v>62</v>
      </c>
      <c r="F15" s="13">
        <v>3025457</v>
      </c>
      <c r="G15" s="14">
        <v>7358</v>
      </c>
      <c r="H15" s="33">
        <v>7300</v>
      </c>
      <c r="I15" s="16">
        <f>H15*G15</f>
        <v>53713400</v>
      </c>
      <c r="J15" s="17">
        <v>15</v>
      </c>
      <c r="K15" s="34">
        <v>4502243775</v>
      </c>
      <c r="L15" s="19">
        <v>5079914039</v>
      </c>
      <c r="M15" s="20">
        <v>5113029962</v>
      </c>
      <c r="N15" s="21"/>
      <c r="O15" s="9" t="s">
        <v>63</v>
      </c>
      <c r="P15" s="23"/>
      <c r="Q15" s="24" t="s">
        <v>31</v>
      </c>
      <c r="R15" s="25">
        <v>44561</v>
      </c>
      <c r="S15" s="28"/>
      <c r="T15" s="35"/>
      <c r="U15" s="35"/>
      <c r="V15" s="29"/>
      <c r="W15" s="35"/>
      <c r="X15" s="29"/>
      <c r="Y15" s="36"/>
      <c r="Z15" s="29"/>
      <c r="AA15" s="31">
        <f t="shared" si="1"/>
        <v>44561</v>
      </c>
      <c r="AB15" s="32"/>
    </row>
    <row r="16" spans="1:28" ht="12.75">
      <c r="A16" s="9" t="s">
        <v>61</v>
      </c>
      <c r="B16" s="10">
        <v>44565</v>
      </c>
      <c r="C16" s="11"/>
      <c r="D16" s="12">
        <v>1</v>
      </c>
      <c r="E16" s="13" t="s">
        <v>64</v>
      </c>
      <c r="F16" s="13">
        <v>3025457</v>
      </c>
      <c r="G16" s="14">
        <v>7358</v>
      </c>
      <c r="H16" s="33">
        <v>150</v>
      </c>
      <c r="I16" s="16">
        <f>-H16*G16</f>
        <v>-1103700</v>
      </c>
      <c r="J16" s="17">
        <v>0</v>
      </c>
      <c r="K16" s="34">
        <v>4502243775</v>
      </c>
      <c r="L16" s="19">
        <v>5079914039</v>
      </c>
      <c r="M16" s="20">
        <v>5113029963</v>
      </c>
      <c r="N16" s="21"/>
      <c r="O16" s="9"/>
      <c r="P16" s="23"/>
      <c r="Q16" s="24" t="s">
        <v>31</v>
      </c>
      <c r="R16" s="25">
        <v>44561</v>
      </c>
      <c r="S16" s="28"/>
      <c r="T16" s="35"/>
      <c r="U16" s="35"/>
      <c r="V16" s="29"/>
      <c r="W16" s="35"/>
      <c r="X16" s="29"/>
      <c r="Y16" s="36"/>
      <c r="Z16" s="29"/>
      <c r="AA16" s="31">
        <f t="shared" si="1"/>
        <v>44561</v>
      </c>
      <c r="AB16" s="32"/>
    </row>
    <row r="17" spans="1:28" ht="12.75">
      <c r="A17" s="9" t="s">
        <v>65</v>
      </c>
      <c r="B17" s="10">
        <v>44926</v>
      </c>
      <c r="C17" s="11">
        <v>44567</v>
      </c>
      <c r="D17" s="12">
        <v>1</v>
      </c>
      <c r="E17" s="13" t="s">
        <v>66</v>
      </c>
      <c r="F17" s="13">
        <v>3025457</v>
      </c>
      <c r="G17" s="37">
        <v>13705.5</v>
      </c>
      <c r="H17" s="33">
        <v>7650</v>
      </c>
      <c r="I17" s="16">
        <f t="shared" ref="I17:I18" si="4">H17*G17</f>
        <v>104847075</v>
      </c>
      <c r="J17" s="17">
        <v>28</v>
      </c>
      <c r="K17" s="34">
        <v>4502243776</v>
      </c>
      <c r="L17" s="19">
        <v>5079913925</v>
      </c>
      <c r="M17" s="20">
        <v>5113032472</v>
      </c>
      <c r="N17" s="21"/>
      <c r="O17" s="9" t="s">
        <v>63</v>
      </c>
      <c r="P17" s="23"/>
      <c r="Q17" s="24" t="s">
        <v>31</v>
      </c>
      <c r="R17" s="25">
        <v>44561</v>
      </c>
      <c r="S17" s="28"/>
      <c r="T17" s="35"/>
      <c r="U17" s="35"/>
      <c r="V17" s="29"/>
      <c r="W17" s="35"/>
      <c r="X17" s="29"/>
      <c r="Y17" s="36"/>
      <c r="Z17" s="29"/>
      <c r="AA17" s="31">
        <f t="shared" si="1"/>
        <v>44561</v>
      </c>
      <c r="AB17" s="32"/>
    </row>
    <row r="18" spans="1:28" ht="12.75">
      <c r="A18" s="9" t="s">
        <v>67</v>
      </c>
      <c r="B18" s="10">
        <v>44568</v>
      </c>
      <c r="C18" s="11"/>
      <c r="D18" s="12">
        <v>1</v>
      </c>
      <c r="E18" s="13" t="s">
        <v>68</v>
      </c>
      <c r="F18" s="13">
        <v>3025457</v>
      </c>
      <c r="G18" s="37">
        <v>6529.5</v>
      </c>
      <c r="H18" s="33">
        <v>7350</v>
      </c>
      <c r="I18" s="16">
        <f t="shared" si="4"/>
        <v>47991825</v>
      </c>
      <c r="J18" s="17">
        <v>14</v>
      </c>
      <c r="K18" s="34">
        <v>4502243779</v>
      </c>
      <c r="L18" s="19">
        <v>5079919635</v>
      </c>
      <c r="M18" s="20">
        <v>5113038200</v>
      </c>
      <c r="N18" s="21"/>
      <c r="O18" s="9" t="s">
        <v>63</v>
      </c>
      <c r="P18" s="23"/>
      <c r="Q18" s="24" t="s">
        <v>31</v>
      </c>
      <c r="R18" s="25">
        <v>44563</v>
      </c>
      <c r="S18" s="28"/>
      <c r="T18" s="35"/>
      <c r="U18" s="35"/>
      <c r="V18" s="29"/>
      <c r="W18" s="35"/>
      <c r="X18" s="29"/>
      <c r="Y18" s="36"/>
      <c r="Z18" s="29"/>
      <c r="AA18" s="31">
        <f t="shared" si="1"/>
        <v>44563</v>
      </c>
      <c r="AB18" s="32" t="str">
        <f t="shared" ref="AB18:AB3029" si="5">CONCATENATE(TEXT(AA18,"MMMM"))</f>
        <v>enero</v>
      </c>
    </row>
    <row r="19" spans="1:28" ht="12.75">
      <c r="A19" s="9" t="s">
        <v>67</v>
      </c>
      <c r="B19" s="10">
        <v>44568</v>
      </c>
      <c r="C19" s="11"/>
      <c r="D19" s="12">
        <v>1</v>
      </c>
      <c r="E19" s="13" t="s">
        <v>69</v>
      </c>
      <c r="F19" s="13">
        <v>3025457</v>
      </c>
      <c r="G19" s="37">
        <v>6529.5</v>
      </c>
      <c r="H19" s="33">
        <v>50</v>
      </c>
      <c r="I19" s="16">
        <f>-H19*G19</f>
        <v>-326475</v>
      </c>
      <c r="J19" s="17">
        <v>0</v>
      </c>
      <c r="K19" s="34">
        <v>4502243779</v>
      </c>
      <c r="L19" s="19">
        <v>5079919635</v>
      </c>
      <c r="M19" s="20">
        <v>5113038203</v>
      </c>
      <c r="N19" s="21"/>
      <c r="O19" s="9"/>
      <c r="P19" s="23" t="s">
        <v>70</v>
      </c>
      <c r="Q19" s="24" t="s">
        <v>31</v>
      </c>
      <c r="R19" s="25">
        <v>44563</v>
      </c>
      <c r="S19" s="28"/>
      <c r="T19" s="35"/>
      <c r="U19" s="35"/>
      <c r="V19" s="29"/>
      <c r="W19" s="35"/>
      <c r="X19" s="29"/>
      <c r="Y19" s="36"/>
      <c r="Z19" s="29"/>
      <c r="AA19" s="31">
        <f t="shared" si="1"/>
        <v>44563</v>
      </c>
      <c r="AB19" s="32" t="str">
        <f t="shared" si="5"/>
        <v>enero</v>
      </c>
    </row>
    <row r="20" spans="1:28" ht="12.75">
      <c r="A20" s="9" t="s">
        <v>58</v>
      </c>
      <c r="B20" s="10">
        <v>44566</v>
      </c>
      <c r="C20" s="11">
        <v>44566</v>
      </c>
      <c r="D20" s="12">
        <v>1</v>
      </c>
      <c r="E20" s="13" t="s">
        <v>71</v>
      </c>
      <c r="F20" s="13">
        <v>3025457</v>
      </c>
      <c r="G20" s="14">
        <v>62205</v>
      </c>
      <c r="H20" s="33">
        <v>7700</v>
      </c>
      <c r="I20" s="16">
        <f>H20*G20</f>
        <v>478978500</v>
      </c>
      <c r="J20" s="17">
        <v>128</v>
      </c>
      <c r="K20" s="34">
        <v>4502243781</v>
      </c>
      <c r="L20" s="19">
        <v>5079919637</v>
      </c>
      <c r="M20" s="20">
        <v>5113037192</v>
      </c>
      <c r="N20" s="21"/>
      <c r="O20" s="9" t="s">
        <v>37</v>
      </c>
      <c r="P20" s="23"/>
      <c r="Q20" s="24" t="s">
        <v>31</v>
      </c>
      <c r="R20" s="25">
        <v>44563</v>
      </c>
      <c r="S20" s="28"/>
      <c r="T20" s="35"/>
      <c r="U20" s="35"/>
      <c r="V20" s="29"/>
      <c r="W20" s="35"/>
      <c r="X20" s="29"/>
      <c r="Y20" s="36"/>
      <c r="Z20" s="29"/>
      <c r="AA20" s="31">
        <f t="shared" si="1"/>
        <v>44563</v>
      </c>
      <c r="AB20" s="32" t="str">
        <f t="shared" si="5"/>
        <v>enero</v>
      </c>
    </row>
    <row r="21" spans="1:28" ht="12.75">
      <c r="A21" s="9" t="s">
        <v>58</v>
      </c>
      <c r="B21" s="10">
        <v>44572</v>
      </c>
      <c r="C21" s="11">
        <v>44572</v>
      </c>
      <c r="D21" s="12">
        <v>1</v>
      </c>
      <c r="E21" s="13" t="s">
        <v>72</v>
      </c>
      <c r="F21" s="13">
        <v>3025457</v>
      </c>
      <c r="G21" s="14">
        <v>62205</v>
      </c>
      <c r="H21" s="33">
        <f>7700-7689.33</f>
        <v>10.670000000000073</v>
      </c>
      <c r="I21" s="16">
        <f>-H21*G21</f>
        <v>-663727.35000000452</v>
      </c>
      <c r="J21" s="17">
        <v>0</v>
      </c>
      <c r="K21" s="34">
        <v>4502243781</v>
      </c>
      <c r="L21" s="19">
        <v>5079919637</v>
      </c>
      <c r="M21" s="20">
        <v>5113037193</v>
      </c>
      <c r="N21" s="21"/>
      <c r="O21" s="9"/>
      <c r="P21" s="23"/>
      <c r="Q21" s="24" t="s">
        <v>31</v>
      </c>
      <c r="R21" s="25">
        <v>44563</v>
      </c>
      <c r="S21" s="28"/>
      <c r="T21" s="35"/>
      <c r="U21" s="35"/>
      <c r="V21" s="29"/>
      <c r="W21" s="35"/>
      <c r="X21" s="29"/>
      <c r="Y21" s="36"/>
      <c r="Z21" s="29"/>
      <c r="AA21" s="31">
        <f t="shared" si="1"/>
        <v>44563</v>
      </c>
      <c r="AB21" s="32" t="str">
        <f t="shared" si="5"/>
        <v>enero</v>
      </c>
    </row>
    <row r="22" spans="1:28" ht="12.75">
      <c r="A22" s="9" t="s">
        <v>73</v>
      </c>
      <c r="B22" s="10">
        <v>44567</v>
      </c>
      <c r="C22" s="11">
        <v>44567</v>
      </c>
      <c r="D22" s="12">
        <v>1</v>
      </c>
      <c r="E22" s="13" t="s">
        <v>74</v>
      </c>
      <c r="F22" s="13">
        <v>3025457</v>
      </c>
      <c r="G22" s="14">
        <v>26715</v>
      </c>
      <c r="H22" s="33">
        <v>7650</v>
      </c>
      <c r="I22" s="16">
        <f t="shared" ref="I22:I23" si="6">H22*G22</f>
        <v>204369750</v>
      </c>
      <c r="J22" s="17">
        <v>56</v>
      </c>
      <c r="K22" s="34">
        <v>4502243782</v>
      </c>
      <c r="L22" s="19">
        <v>5079919679</v>
      </c>
      <c r="M22" s="20">
        <v>5113032476</v>
      </c>
      <c r="N22" s="21"/>
      <c r="O22" s="9" t="s">
        <v>63</v>
      </c>
      <c r="P22" s="23"/>
      <c r="Q22" s="24" t="s">
        <v>31</v>
      </c>
      <c r="R22" s="25">
        <v>44563</v>
      </c>
      <c r="S22" s="28"/>
      <c r="T22" s="35"/>
      <c r="U22" s="35"/>
      <c r="V22" s="29"/>
      <c r="W22" s="35"/>
      <c r="X22" s="29"/>
      <c r="Y22" s="36"/>
      <c r="Z22" s="29"/>
      <c r="AA22" s="31">
        <f t="shared" si="1"/>
        <v>44563</v>
      </c>
      <c r="AB22" s="32" t="str">
        <f t="shared" si="5"/>
        <v>enero</v>
      </c>
    </row>
    <row r="23" spans="1:28" ht="12.75">
      <c r="A23" s="9" t="s">
        <v>75</v>
      </c>
      <c r="B23" s="10">
        <v>44566</v>
      </c>
      <c r="C23" s="11">
        <v>44566</v>
      </c>
      <c r="D23" s="12">
        <v>1</v>
      </c>
      <c r="E23" s="13" t="s">
        <v>76</v>
      </c>
      <c r="F23" s="13">
        <v>3025457</v>
      </c>
      <c r="G23" s="14">
        <v>27633</v>
      </c>
      <c r="H23" s="33">
        <v>7450</v>
      </c>
      <c r="I23" s="16">
        <f t="shared" si="6"/>
        <v>205865850</v>
      </c>
      <c r="J23" s="17">
        <v>56</v>
      </c>
      <c r="K23" s="34">
        <v>4502243784</v>
      </c>
      <c r="L23" s="19">
        <v>5079919680</v>
      </c>
      <c r="M23" s="20">
        <v>5113032494</v>
      </c>
      <c r="N23" s="21"/>
      <c r="O23" s="9" t="s">
        <v>63</v>
      </c>
      <c r="P23" s="23"/>
      <c r="Q23" s="24" t="s">
        <v>31</v>
      </c>
      <c r="R23" s="25">
        <v>44563</v>
      </c>
      <c r="S23" s="28"/>
      <c r="T23" s="35"/>
      <c r="U23" s="35"/>
      <c r="V23" s="29"/>
      <c r="W23" s="35"/>
      <c r="X23" s="29"/>
      <c r="Y23" s="36"/>
      <c r="Z23" s="29"/>
      <c r="AA23" s="31">
        <f t="shared" si="1"/>
        <v>44563</v>
      </c>
      <c r="AB23" s="32" t="str">
        <f t="shared" si="5"/>
        <v>enero</v>
      </c>
    </row>
    <row r="24" spans="1:28" ht="12.75">
      <c r="A24" s="9" t="s">
        <v>75</v>
      </c>
      <c r="B24" s="10">
        <v>44566</v>
      </c>
      <c r="C24" s="11">
        <v>44566</v>
      </c>
      <c r="D24" s="12">
        <v>1</v>
      </c>
      <c r="E24" s="13" t="s">
        <v>77</v>
      </c>
      <c r="F24" s="13">
        <v>3025457</v>
      </c>
      <c r="G24" s="14">
        <v>27633</v>
      </c>
      <c r="H24" s="38">
        <f>G24/I24</f>
        <v>-0.72243137254901957</v>
      </c>
      <c r="I24" s="39">
        <v>-38250</v>
      </c>
      <c r="J24" s="17">
        <v>0</v>
      </c>
      <c r="K24" s="34">
        <v>4502243784</v>
      </c>
      <c r="L24" s="19">
        <v>5079919680</v>
      </c>
      <c r="M24" s="20">
        <v>5113032497</v>
      </c>
      <c r="N24" s="21"/>
      <c r="O24" s="9"/>
      <c r="P24" s="23"/>
      <c r="Q24" s="24" t="s">
        <v>31</v>
      </c>
      <c r="R24" s="25">
        <v>44563</v>
      </c>
      <c r="S24" s="28"/>
      <c r="T24" s="35"/>
      <c r="U24" s="35"/>
      <c r="V24" s="29"/>
      <c r="W24" s="35"/>
      <c r="X24" s="29"/>
      <c r="Y24" s="36"/>
      <c r="Z24" s="29"/>
      <c r="AA24" s="31">
        <f t="shared" si="1"/>
        <v>44563</v>
      </c>
      <c r="AB24" s="32" t="str">
        <f t="shared" si="5"/>
        <v>enero</v>
      </c>
    </row>
    <row r="25" spans="1:28" ht="12.75">
      <c r="A25" s="9" t="s">
        <v>58</v>
      </c>
      <c r="B25" s="10">
        <v>44567</v>
      </c>
      <c r="C25" s="11">
        <v>44567</v>
      </c>
      <c r="D25" s="12">
        <v>1</v>
      </c>
      <c r="E25" s="13" t="s">
        <v>78</v>
      </c>
      <c r="F25" s="13">
        <v>3025459</v>
      </c>
      <c r="G25" s="14">
        <v>32928</v>
      </c>
      <c r="H25" s="33">
        <v>7700</v>
      </c>
      <c r="I25" s="16">
        <f>H25*G25</f>
        <v>253545600</v>
      </c>
      <c r="J25" s="17">
        <v>75</v>
      </c>
      <c r="K25" s="34">
        <v>4502243788</v>
      </c>
      <c r="L25" s="19">
        <v>5079919681</v>
      </c>
      <c r="M25" s="20">
        <v>5113036849</v>
      </c>
      <c r="N25" s="21"/>
      <c r="O25" s="9" t="s">
        <v>37</v>
      </c>
      <c r="P25" s="23"/>
      <c r="Q25" s="24" t="s">
        <v>31</v>
      </c>
      <c r="R25" s="25">
        <v>44563</v>
      </c>
      <c r="S25" s="28"/>
      <c r="T25" s="35"/>
      <c r="U25" s="35"/>
      <c r="V25" s="29"/>
      <c r="W25" s="35"/>
      <c r="X25" s="29"/>
      <c r="Y25" s="36"/>
      <c r="Z25" s="29"/>
      <c r="AA25" s="31">
        <f t="shared" si="1"/>
        <v>44563</v>
      </c>
      <c r="AB25" s="32" t="str">
        <f t="shared" si="5"/>
        <v>enero</v>
      </c>
    </row>
    <row r="26" spans="1:28" ht="12.75">
      <c r="A26" s="9" t="s">
        <v>58</v>
      </c>
      <c r="B26" s="10">
        <v>44567</v>
      </c>
      <c r="C26" s="11">
        <v>44567</v>
      </c>
      <c r="D26" s="12">
        <v>1</v>
      </c>
      <c r="E26" s="13" t="s">
        <v>79</v>
      </c>
      <c r="F26" s="13">
        <v>3025459</v>
      </c>
      <c r="G26" s="14">
        <v>32928</v>
      </c>
      <c r="H26" s="33">
        <f>7700-7691.82</f>
        <v>8.180000000000291</v>
      </c>
      <c r="I26" s="16">
        <f>-H26*G26</f>
        <v>-269351.04000000958</v>
      </c>
      <c r="J26" s="17">
        <v>0</v>
      </c>
      <c r="K26" s="34">
        <v>4502243788</v>
      </c>
      <c r="L26" s="19">
        <v>5079919681</v>
      </c>
      <c r="M26" s="20">
        <v>5113037029</v>
      </c>
      <c r="N26" s="21"/>
      <c r="O26" s="9"/>
      <c r="P26" s="23"/>
      <c r="Q26" s="24" t="s">
        <v>31</v>
      </c>
      <c r="R26" s="25">
        <v>44563</v>
      </c>
      <c r="S26" s="28"/>
      <c r="T26" s="35"/>
      <c r="U26" s="35"/>
      <c r="V26" s="29"/>
      <c r="W26" s="35"/>
      <c r="X26" s="29"/>
      <c r="Y26" s="36"/>
      <c r="Z26" s="29"/>
      <c r="AA26" s="31">
        <f t="shared" si="1"/>
        <v>44563</v>
      </c>
      <c r="AB26" s="32" t="str">
        <f t="shared" si="5"/>
        <v>enero</v>
      </c>
    </row>
    <row r="27" spans="1:28" ht="12.75">
      <c r="A27" s="9" t="s">
        <v>80</v>
      </c>
      <c r="B27" s="10">
        <v>44563</v>
      </c>
      <c r="C27" s="11">
        <v>44567</v>
      </c>
      <c r="D27" s="12">
        <v>1</v>
      </c>
      <c r="E27" s="13" t="s">
        <v>81</v>
      </c>
      <c r="F27" s="13">
        <v>3025460</v>
      </c>
      <c r="G27" s="14">
        <v>38877</v>
      </c>
      <c r="H27" s="40">
        <v>7350</v>
      </c>
      <c r="I27" s="16">
        <f t="shared" ref="I27:I35" si="7">H27*G27</f>
        <v>285745950</v>
      </c>
      <c r="J27" s="17">
        <v>84</v>
      </c>
      <c r="K27" s="34">
        <v>4502247530</v>
      </c>
      <c r="L27" s="19">
        <v>5079963349</v>
      </c>
      <c r="M27" s="20">
        <v>5113033529</v>
      </c>
      <c r="N27" s="21"/>
      <c r="O27" s="9" t="s">
        <v>37</v>
      </c>
      <c r="P27" s="23"/>
      <c r="Q27" s="24" t="s">
        <v>82</v>
      </c>
      <c r="R27" s="25">
        <v>44563</v>
      </c>
      <c r="S27" s="28"/>
      <c r="T27" s="35"/>
      <c r="U27" s="35"/>
      <c r="V27" s="29"/>
      <c r="W27" s="35"/>
      <c r="X27" s="29"/>
      <c r="Y27" s="36"/>
      <c r="Z27" s="29"/>
      <c r="AA27" s="31">
        <f t="shared" si="1"/>
        <v>44563</v>
      </c>
      <c r="AB27" s="32" t="str">
        <f t="shared" si="5"/>
        <v>enero</v>
      </c>
    </row>
    <row r="28" spans="1:28" ht="12.75">
      <c r="A28" s="9" t="s">
        <v>83</v>
      </c>
      <c r="B28" s="10">
        <v>44563</v>
      </c>
      <c r="C28" s="11">
        <v>44567</v>
      </c>
      <c r="D28" s="12">
        <v>1</v>
      </c>
      <c r="E28" s="13" t="s">
        <v>84</v>
      </c>
      <c r="F28" s="13">
        <v>3025460</v>
      </c>
      <c r="G28" s="14">
        <v>25540</v>
      </c>
      <c r="H28" s="40">
        <v>7400</v>
      </c>
      <c r="I28" s="16">
        <f t="shared" si="7"/>
        <v>188996000</v>
      </c>
      <c r="J28" s="17">
        <v>56</v>
      </c>
      <c r="K28" s="34">
        <v>4502247539</v>
      </c>
      <c r="L28" s="19">
        <v>5079963452</v>
      </c>
      <c r="M28" s="20">
        <v>5113035940</v>
      </c>
      <c r="N28" s="21"/>
      <c r="O28" s="9" t="s">
        <v>37</v>
      </c>
      <c r="P28" s="23"/>
      <c r="Q28" s="24" t="s">
        <v>82</v>
      </c>
      <c r="R28" s="25">
        <v>44563</v>
      </c>
      <c r="S28" s="28"/>
      <c r="T28" s="35"/>
      <c r="U28" s="35"/>
      <c r="V28" s="29"/>
      <c r="W28" s="35"/>
      <c r="X28" s="29"/>
      <c r="Y28" s="36"/>
      <c r="Z28" s="29"/>
      <c r="AA28" s="31">
        <f t="shared" si="1"/>
        <v>44563</v>
      </c>
      <c r="AB28" s="32" t="str">
        <f t="shared" si="5"/>
        <v>enero</v>
      </c>
    </row>
    <row r="29" spans="1:28" ht="12.75">
      <c r="A29" s="9" t="s">
        <v>85</v>
      </c>
      <c r="B29" s="10">
        <v>44567</v>
      </c>
      <c r="C29" s="11">
        <v>44567</v>
      </c>
      <c r="D29" s="12">
        <v>1</v>
      </c>
      <c r="E29" s="13" t="s">
        <v>86</v>
      </c>
      <c r="F29" s="13">
        <v>3025460</v>
      </c>
      <c r="G29" s="14">
        <v>20003</v>
      </c>
      <c r="H29" s="40">
        <v>7400</v>
      </c>
      <c r="I29" s="16">
        <f t="shared" si="7"/>
        <v>148022200</v>
      </c>
      <c r="J29" s="17">
        <v>42</v>
      </c>
      <c r="K29" s="34">
        <v>4502247544</v>
      </c>
      <c r="L29" s="19">
        <v>5079963512</v>
      </c>
      <c r="M29" s="20">
        <v>5113032921</v>
      </c>
      <c r="N29" s="21"/>
      <c r="O29" s="9" t="s">
        <v>63</v>
      </c>
      <c r="P29" s="23"/>
      <c r="Q29" s="24" t="s">
        <v>82</v>
      </c>
      <c r="R29" s="25">
        <v>44563</v>
      </c>
      <c r="S29" s="28"/>
      <c r="T29" s="35"/>
      <c r="U29" s="35"/>
      <c r="V29" s="29"/>
      <c r="W29" s="35"/>
      <c r="X29" s="29"/>
      <c r="Y29" s="36"/>
      <c r="Z29" s="29"/>
      <c r="AA29" s="31">
        <f t="shared" si="1"/>
        <v>44563</v>
      </c>
      <c r="AB29" s="32" t="str">
        <f t="shared" si="5"/>
        <v>enero</v>
      </c>
    </row>
    <row r="30" spans="1:28" ht="12.75">
      <c r="A30" s="9" t="s">
        <v>87</v>
      </c>
      <c r="B30" s="10">
        <v>44563</v>
      </c>
      <c r="C30" s="11"/>
      <c r="D30" s="12">
        <v>1</v>
      </c>
      <c r="E30" s="13" t="s">
        <v>88</v>
      </c>
      <c r="F30" s="13">
        <v>3025460</v>
      </c>
      <c r="G30" s="14">
        <v>26447</v>
      </c>
      <c r="H30" s="40">
        <v>7400</v>
      </c>
      <c r="I30" s="16">
        <f t="shared" si="7"/>
        <v>195707800</v>
      </c>
      <c r="J30" s="17">
        <v>56</v>
      </c>
      <c r="K30" s="34">
        <v>4502247548</v>
      </c>
      <c r="L30" s="19">
        <v>5079963565</v>
      </c>
      <c r="M30" s="20">
        <v>5113033938</v>
      </c>
      <c r="N30" s="21"/>
      <c r="O30" s="9" t="s">
        <v>63</v>
      </c>
      <c r="P30" s="23"/>
      <c r="Q30" s="24" t="s">
        <v>82</v>
      </c>
      <c r="R30" s="25">
        <v>44563</v>
      </c>
      <c r="S30" s="28"/>
      <c r="T30" s="35"/>
      <c r="U30" s="35"/>
      <c r="V30" s="29"/>
      <c r="W30" s="35"/>
      <c r="X30" s="29"/>
      <c r="Y30" s="36"/>
      <c r="Z30" s="29"/>
      <c r="AA30" s="31">
        <f t="shared" si="1"/>
        <v>44563</v>
      </c>
      <c r="AB30" s="32" t="str">
        <f t="shared" si="5"/>
        <v>enero</v>
      </c>
    </row>
    <row r="31" spans="1:28" ht="12.75">
      <c r="A31" s="9" t="s">
        <v>89</v>
      </c>
      <c r="B31" s="10">
        <v>44566</v>
      </c>
      <c r="C31" s="11">
        <v>44574</v>
      </c>
      <c r="D31" s="12">
        <v>1</v>
      </c>
      <c r="E31" s="13" t="s">
        <v>90</v>
      </c>
      <c r="F31" s="13">
        <v>3025460</v>
      </c>
      <c r="G31" s="14">
        <v>7476</v>
      </c>
      <c r="H31" s="40">
        <v>7400</v>
      </c>
      <c r="I31" s="16">
        <f t="shared" si="7"/>
        <v>55322400</v>
      </c>
      <c r="J31" s="17">
        <v>15</v>
      </c>
      <c r="K31" s="34">
        <v>4502247555</v>
      </c>
      <c r="L31" s="19">
        <v>5079963607</v>
      </c>
      <c r="M31" s="20">
        <v>5113043210</v>
      </c>
      <c r="N31" s="21"/>
      <c r="O31" s="9" t="s">
        <v>63</v>
      </c>
      <c r="P31" s="23" t="s">
        <v>91</v>
      </c>
      <c r="Q31" s="24" t="s">
        <v>82</v>
      </c>
      <c r="R31" s="25">
        <v>44563</v>
      </c>
      <c r="S31" s="28"/>
      <c r="T31" s="35"/>
      <c r="U31" s="35"/>
      <c r="V31" s="29"/>
      <c r="W31" s="35"/>
      <c r="X31" s="29"/>
      <c r="Y31" s="36"/>
      <c r="Z31" s="29"/>
      <c r="AA31" s="31">
        <f t="shared" si="1"/>
        <v>44563</v>
      </c>
      <c r="AB31" s="32" t="str">
        <f t="shared" si="5"/>
        <v>enero</v>
      </c>
    </row>
    <row r="32" spans="1:28" ht="12.75">
      <c r="A32" s="9" t="s">
        <v>92</v>
      </c>
      <c r="B32" s="10">
        <v>44567</v>
      </c>
      <c r="C32" s="11">
        <v>44567</v>
      </c>
      <c r="D32" s="12">
        <v>1</v>
      </c>
      <c r="E32" s="13" t="s">
        <v>93</v>
      </c>
      <c r="F32" s="13">
        <v>3025460</v>
      </c>
      <c r="G32" s="14">
        <v>6777</v>
      </c>
      <c r="H32" s="40">
        <v>7450</v>
      </c>
      <c r="I32" s="16">
        <f t="shared" si="7"/>
        <v>50488650</v>
      </c>
      <c r="J32" s="17">
        <v>14</v>
      </c>
      <c r="K32" s="34">
        <v>4502247564</v>
      </c>
      <c r="L32" s="19">
        <v>5079963727</v>
      </c>
      <c r="M32" s="20">
        <v>5113033466</v>
      </c>
      <c r="N32" s="21"/>
      <c r="O32" s="9" t="s">
        <v>37</v>
      </c>
      <c r="P32" s="23"/>
      <c r="Q32" s="24" t="s">
        <v>82</v>
      </c>
      <c r="R32" s="25">
        <v>44563</v>
      </c>
      <c r="S32" s="28"/>
      <c r="T32" s="35"/>
      <c r="U32" s="35"/>
      <c r="V32" s="29"/>
      <c r="W32" s="35"/>
      <c r="X32" s="29"/>
      <c r="Y32" s="36"/>
      <c r="Z32" s="29"/>
      <c r="AA32" s="31">
        <f t="shared" si="1"/>
        <v>44563</v>
      </c>
      <c r="AB32" s="32" t="str">
        <f t="shared" si="5"/>
        <v>enero</v>
      </c>
    </row>
    <row r="33" spans="1:28" ht="12.75">
      <c r="A33" s="9" t="s">
        <v>94</v>
      </c>
      <c r="B33" s="10">
        <v>44569</v>
      </c>
      <c r="C33" s="11">
        <v>44569</v>
      </c>
      <c r="D33" s="12">
        <v>1</v>
      </c>
      <c r="E33" s="13" t="s">
        <v>95</v>
      </c>
      <c r="F33" s="13">
        <v>3025460</v>
      </c>
      <c r="G33" s="14">
        <v>6372</v>
      </c>
      <c r="H33" s="40">
        <v>7393.75</v>
      </c>
      <c r="I33" s="16">
        <f t="shared" si="7"/>
        <v>47112975</v>
      </c>
      <c r="J33" s="17">
        <v>15</v>
      </c>
      <c r="K33" s="34">
        <v>4502247570</v>
      </c>
      <c r="L33" s="19">
        <v>5079963830</v>
      </c>
      <c r="M33" s="20">
        <v>5113035942</v>
      </c>
      <c r="N33" s="21"/>
      <c r="O33" s="9" t="s">
        <v>63</v>
      </c>
      <c r="P33" s="23"/>
      <c r="Q33" s="24" t="s">
        <v>82</v>
      </c>
      <c r="R33" s="25">
        <v>44563</v>
      </c>
      <c r="S33" s="28"/>
      <c r="T33" s="35"/>
      <c r="U33" s="35"/>
      <c r="V33" s="29"/>
      <c r="W33" s="35"/>
      <c r="X33" s="29"/>
      <c r="Y33" s="36"/>
      <c r="Z33" s="29"/>
      <c r="AA33" s="31">
        <f t="shared" si="1"/>
        <v>44563</v>
      </c>
      <c r="AB33" s="32" t="str">
        <f t="shared" si="5"/>
        <v>enero</v>
      </c>
    </row>
    <row r="34" spans="1:28" ht="12.75">
      <c r="A34" s="9" t="s">
        <v>96</v>
      </c>
      <c r="B34" s="10">
        <v>44566</v>
      </c>
      <c r="C34" s="11"/>
      <c r="D34" s="12">
        <v>1</v>
      </c>
      <c r="E34" s="13" t="s">
        <v>97</v>
      </c>
      <c r="F34" s="13">
        <v>3025457</v>
      </c>
      <c r="G34" s="37">
        <v>6921.5</v>
      </c>
      <c r="H34" s="33">
        <v>7350</v>
      </c>
      <c r="I34" s="16">
        <f t="shared" si="7"/>
        <v>50873025</v>
      </c>
      <c r="J34" s="17">
        <v>14</v>
      </c>
      <c r="K34" s="34">
        <v>4502243789</v>
      </c>
      <c r="L34" s="19">
        <v>5079935091</v>
      </c>
      <c r="M34" s="20">
        <v>5113040015</v>
      </c>
      <c r="N34" s="21"/>
      <c r="O34" s="9" t="s">
        <v>63</v>
      </c>
      <c r="P34" s="23" t="s">
        <v>98</v>
      </c>
      <c r="Q34" s="24" t="s">
        <v>31</v>
      </c>
      <c r="R34" s="25">
        <v>44564</v>
      </c>
      <c r="S34" s="28"/>
      <c r="T34" s="35"/>
      <c r="U34" s="35"/>
      <c r="V34" s="29"/>
      <c r="W34" s="35"/>
      <c r="X34" s="29"/>
      <c r="Y34" s="36"/>
      <c r="Z34" s="29"/>
      <c r="AA34" s="31">
        <f t="shared" si="1"/>
        <v>44564</v>
      </c>
      <c r="AB34" s="32" t="str">
        <f t="shared" si="5"/>
        <v>enero</v>
      </c>
    </row>
    <row r="35" spans="1:28" ht="12.75">
      <c r="A35" s="9" t="s">
        <v>99</v>
      </c>
      <c r="B35" s="10">
        <v>44567</v>
      </c>
      <c r="C35" s="11">
        <v>44568</v>
      </c>
      <c r="D35" s="12">
        <v>1</v>
      </c>
      <c r="E35" s="13" t="s">
        <v>100</v>
      </c>
      <c r="F35" s="13">
        <v>3025457</v>
      </c>
      <c r="G35" s="14">
        <v>13157</v>
      </c>
      <c r="H35" s="33">
        <v>7350</v>
      </c>
      <c r="I35" s="16">
        <f t="shared" si="7"/>
        <v>96703950</v>
      </c>
      <c r="J35" s="17">
        <v>30</v>
      </c>
      <c r="K35" s="34">
        <v>4502243791</v>
      </c>
      <c r="L35" s="19">
        <v>5079939038</v>
      </c>
      <c r="M35" s="20">
        <v>5113034265</v>
      </c>
      <c r="N35" s="21"/>
      <c r="O35" s="9" t="s">
        <v>37</v>
      </c>
      <c r="P35" s="23"/>
      <c r="Q35" s="24" t="s">
        <v>31</v>
      </c>
      <c r="R35" s="25">
        <v>44564</v>
      </c>
      <c r="S35" s="28"/>
      <c r="T35" s="35"/>
      <c r="U35" s="35"/>
      <c r="V35" s="29"/>
      <c r="W35" s="35"/>
      <c r="X35" s="29"/>
      <c r="Y35" s="36"/>
      <c r="Z35" s="29"/>
      <c r="AA35" s="31">
        <f t="shared" si="1"/>
        <v>44564</v>
      </c>
      <c r="AB35" s="32" t="str">
        <f t="shared" si="5"/>
        <v>enero</v>
      </c>
    </row>
    <row r="36" spans="1:28" ht="12.75">
      <c r="A36" s="9" t="s">
        <v>99</v>
      </c>
      <c r="B36" s="10">
        <v>44567</v>
      </c>
      <c r="C36" s="11">
        <v>44568</v>
      </c>
      <c r="D36" s="12">
        <v>1</v>
      </c>
      <c r="E36" s="13" t="s">
        <v>101</v>
      </c>
      <c r="F36" s="13">
        <v>3025457</v>
      </c>
      <c r="G36" s="14">
        <v>13157</v>
      </c>
      <c r="H36" s="33">
        <f>7350-7291.15</f>
        <v>58.850000000000364</v>
      </c>
      <c r="I36" s="16">
        <f>-H36*G36</f>
        <v>-774289.45000000484</v>
      </c>
      <c r="J36" s="17">
        <v>0</v>
      </c>
      <c r="K36" s="34">
        <v>4502243791</v>
      </c>
      <c r="L36" s="19">
        <v>5079939038</v>
      </c>
      <c r="M36" s="20">
        <v>5113034266</v>
      </c>
      <c r="N36" s="21"/>
      <c r="O36" s="9"/>
      <c r="P36" s="23"/>
      <c r="Q36" s="24" t="s">
        <v>31</v>
      </c>
      <c r="R36" s="25">
        <v>44564</v>
      </c>
      <c r="S36" s="28"/>
      <c r="T36" s="35"/>
      <c r="U36" s="35"/>
      <c r="V36" s="29"/>
      <c r="W36" s="35"/>
      <c r="X36" s="29"/>
      <c r="Y36" s="36"/>
      <c r="Z36" s="29"/>
      <c r="AA36" s="31">
        <f t="shared" si="1"/>
        <v>44564</v>
      </c>
      <c r="AB36" s="32" t="str">
        <f t="shared" si="5"/>
        <v>enero</v>
      </c>
    </row>
    <row r="37" spans="1:28" ht="12.75">
      <c r="A37" s="9" t="s">
        <v>58</v>
      </c>
      <c r="B37" s="10">
        <v>44567</v>
      </c>
      <c r="C37" s="11">
        <v>44567</v>
      </c>
      <c r="D37" s="12">
        <v>1</v>
      </c>
      <c r="E37" s="13" t="s">
        <v>102</v>
      </c>
      <c r="F37" s="13">
        <v>3025457</v>
      </c>
      <c r="G37" s="14">
        <v>33121</v>
      </c>
      <c r="H37" s="33">
        <v>7700</v>
      </c>
      <c r="I37" s="16">
        <f>H37*G37</f>
        <v>255031700</v>
      </c>
      <c r="J37" s="17">
        <v>72</v>
      </c>
      <c r="K37" s="34">
        <v>4502243792</v>
      </c>
      <c r="L37" s="19">
        <v>5079935092</v>
      </c>
      <c r="M37" s="20">
        <v>5113038686</v>
      </c>
      <c r="N37" s="21"/>
      <c r="O37" s="9" t="s">
        <v>37</v>
      </c>
      <c r="P37" s="23"/>
      <c r="Q37" s="24" t="s">
        <v>31</v>
      </c>
      <c r="R37" s="25">
        <v>44564</v>
      </c>
      <c r="S37" s="28"/>
      <c r="T37" s="35"/>
      <c r="U37" s="35"/>
      <c r="V37" s="29"/>
      <c r="W37" s="35"/>
      <c r="X37" s="29"/>
      <c r="Y37" s="36"/>
      <c r="Z37" s="29"/>
      <c r="AA37" s="31">
        <f t="shared" si="1"/>
        <v>44564</v>
      </c>
      <c r="AB37" s="32" t="str">
        <f t="shared" si="5"/>
        <v>enero</v>
      </c>
    </row>
    <row r="38" spans="1:28" ht="12.75">
      <c r="A38" s="9" t="s">
        <v>58</v>
      </c>
      <c r="B38" s="10">
        <v>44567</v>
      </c>
      <c r="C38" s="11">
        <v>44567</v>
      </c>
      <c r="D38" s="12">
        <v>1</v>
      </c>
      <c r="E38" s="13" t="s">
        <v>103</v>
      </c>
      <c r="F38" s="13">
        <v>3025457</v>
      </c>
      <c r="G38" s="14">
        <v>33121</v>
      </c>
      <c r="H38" s="33">
        <f>7700-7690.84</f>
        <v>9.1599999999998545</v>
      </c>
      <c r="I38" s="16">
        <f>-H38*G38</f>
        <v>-303388.35999999515</v>
      </c>
      <c r="J38" s="17">
        <v>0</v>
      </c>
      <c r="K38" s="34">
        <v>4502243792</v>
      </c>
      <c r="L38" s="19">
        <v>5079935092</v>
      </c>
      <c r="M38" s="20">
        <v>5113038699</v>
      </c>
      <c r="N38" s="21"/>
      <c r="O38" s="9"/>
      <c r="P38" s="23"/>
      <c r="Q38" s="24" t="s">
        <v>31</v>
      </c>
      <c r="R38" s="25">
        <v>44564</v>
      </c>
      <c r="S38" s="28"/>
      <c r="T38" s="35"/>
      <c r="U38" s="35"/>
      <c r="V38" s="29"/>
      <c r="W38" s="35"/>
      <c r="X38" s="29"/>
      <c r="Y38" s="36"/>
      <c r="Z38" s="29"/>
      <c r="AA38" s="31">
        <f t="shared" si="1"/>
        <v>44564</v>
      </c>
      <c r="AB38" s="32" t="str">
        <f t="shared" si="5"/>
        <v>enero</v>
      </c>
    </row>
    <row r="39" spans="1:28" ht="12.75">
      <c r="A39" s="9" t="s">
        <v>104</v>
      </c>
      <c r="B39" s="10">
        <v>44564</v>
      </c>
      <c r="C39" s="11">
        <v>44566</v>
      </c>
      <c r="D39" s="12">
        <v>1</v>
      </c>
      <c r="E39" s="13" t="s">
        <v>105</v>
      </c>
      <c r="F39" s="13">
        <v>3025459</v>
      </c>
      <c r="G39" s="37">
        <v>20290.5</v>
      </c>
      <c r="H39" s="33">
        <v>7450</v>
      </c>
      <c r="I39" s="16">
        <f t="shared" ref="I39:I41" si="8">H39*G39</f>
        <v>151164225</v>
      </c>
      <c r="J39" s="17">
        <v>42</v>
      </c>
      <c r="K39" s="34">
        <v>4502243794</v>
      </c>
      <c r="L39" s="19">
        <v>5079935093</v>
      </c>
      <c r="M39" s="20">
        <v>5113032103</v>
      </c>
      <c r="N39" s="21"/>
      <c r="O39" s="9" t="s">
        <v>63</v>
      </c>
      <c r="P39" s="23"/>
      <c r="Q39" s="24" t="s">
        <v>31</v>
      </c>
      <c r="R39" s="25">
        <v>44564</v>
      </c>
      <c r="S39" s="28"/>
      <c r="T39" s="35"/>
      <c r="U39" s="35"/>
      <c r="V39" s="29"/>
      <c r="W39" s="35"/>
      <c r="X39" s="29"/>
      <c r="Y39" s="36"/>
      <c r="Z39" s="29"/>
      <c r="AA39" s="31">
        <f t="shared" si="1"/>
        <v>44564</v>
      </c>
      <c r="AB39" s="32" t="str">
        <f t="shared" si="5"/>
        <v>enero</v>
      </c>
    </row>
    <row r="40" spans="1:28" ht="12.75">
      <c r="A40" s="9" t="s">
        <v>96</v>
      </c>
      <c r="B40" s="10">
        <v>44566</v>
      </c>
      <c r="C40" s="11"/>
      <c r="D40" s="12">
        <v>1</v>
      </c>
      <c r="E40" s="13" t="s">
        <v>106</v>
      </c>
      <c r="F40" s="13">
        <v>3025459</v>
      </c>
      <c r="G40" s="37">
        <v>13319.5</v>
      </c>
      <c r="H40" s="33">
        <v>7350</v>
      </c>
      <c r="I40" s="16">
        <f t="shared" si="8"/>
        <v>97898325</v>
      </c>
      <c r="J40" s="17">
        <v>28</v>
      </c>
      <c r="K40" s="34">
        <v>4502243798</v>
      </c>
      <c r="L40" s="19">
        <v>5079935094</v>
      </c>
      <c r="M40" s="20">
        <v>5113036855</v>
      </c>
      <c r="N40" s="21"/>
      <c r="O40" s="9" t="s">
        <v>63</v>
      </c>
      <c r="P40" s="23"/>
      <c r="Q40" s="24" t="s">
        <v>31</v>
      </c>
      <c r="R40" s="25">
        <v>44564</v>
      </c>
      <c r="S40" s="28"/>
      <c r="T40" s="35"/>
      <c r="U40" s="35"/>
      <c r="V40" s="29"/>
      <c r="W40" s="35"/>
      <c r="X40" s="29"/>
      <c r="Y40" s="36"/>
      <c r="Z40" s="29"/>
      <c r="AA40" s="31">
        <f t="shared" si="1"/>
        <v>44564</v>
      </c>
      <c r="AB40" s="32" t="str">
        <f t="shared" si="5"/>
        <v>enero</v>
      </c>
    </row>
    <row r="41" spans="1:28" ht="12.75">
      <c r="A41" s="9" t="s">
        <v>104</v>
      </c>
      <c r="B41" s="10">
        <v>44565</v>
      </c>
      <c r="C41" s="11">
        <v>44568</v>
      </c>
      <c r="D41" s="12">
        <v>1</v>
      </c>
      <c r="E41" s="13" t="s">
        <v>107</v>
      </c>
      <c r="F41" s="13">
        <v>3025457</v>
      </c>
      <c r="G41" s="14">
        <v>13510</v>
      </c>
      <c r="H41" s="33">
        <v>7450</v>
      </c>
      <c r="I41" s="16">
        <f t="shared" si="8"/>
        <v>100649500</v>
      </c>
      <c r="J41" s="17">
        <v>28</v>
      </c>
      <c r="K41" s="34">
        <v>4502243801</v>
      </c>
      <c r="L41" s="19">
        <v>5079948081</v>
      </c>
      <c r="M41" s="20">
        <v>5113034262</v>
      </c>
      <c r="N41" s="21"/>
      <c r="O41" s="9" t="s">
        <v>63</v>
      </c>
      <c r="P41" s="23"/>
      <c r="Q41" s="24" t="s">
        <v>31</v>
      </c>
      <c r="R41" s="25">
        <v>44565</v>
      </c>
      <c r="S41" s="28"/>
      <c r="T41" s="35"/>
      <c r="U41" s="35"/>
      <c r="V41" s="29"/>
      <c r="W41" s="35"/>
      <c r="X41" s="29"/>
      <c r="Y41" s="36"/>
      <c r="Z41" s="29"/>
      <c r="AA41" s="31">
        <f t="shared" si="1"/>
        <v>44565</v>
      </c>
      <c r="AB41" s="32" t="str">
        <f t="shared" si="5"/>
        <v>enero</v>
      </c>
    </row>
    <row r="42" spans="1:28" ht="12.75">
      <c r="A42" s="9" t="s">
        <v>104</v>
      </c>
      <c r="B42" s="10">
        <v>44565</v>
      </c>
      <c r="C42" s="11">
        <v>44568</v>
      </c>
      <c r="D42" s="12">
        <v>1</v>
      </c>
      <c r="E42" s="13" t="s">
        <v>108</v>
      </c>
      <c r="F42" s="13">
        <v>3025457</v>
      </c>
      <c r="G42" s="14">
        <v>13510</v>
      </c>
      <c r="H42" s="33">
        <f>7450-7447.05</f>
        <v>2.9499999999998181</v>
      </c>
      <c r="I42" s="16">
        <f>-H42*G42</f>
        <v>-39854.499999997541</v>
      </c>
      <c r="J42" s="17">
        <v>0</v>
      </c>
      <c r="K42" s="34">
        <v>4502243801</v>
      </c>
      <c r="L42" s="19">
        <v>5079948081</v>
      </c>
      <c r="M42" s="20">
        <v>5113034263</v>
      </c>
      <c r="N42" s="21"/>
      <c r="O42" s="9"/>
      <c r="P42" s="23"/>
      <c r="Q42" s="24" t="s">
        <v>31</v>
      </c>
      <c r="R42" s="25">
        <v>44565</v>
      </c>
      <c r="S42" s="28"/>
      <c r="T42" s="35"/>
      <c r="U42" s="35"/>
      <c r="V42" s="29"/>
      <c r="W42" s="35"/>
      <c r="X42" s="29"/>
      <c r="Y42" s="36"/>
      <c r="Z42" s="29"/>
      <c r="AA42" s="31">
        <f t="shared" si="1"/>
        <v>44565</v>
      </c>
      <c r="AB42" s="32" t="str">
        <f t="shared" si="5"/>
        <v>enero</v>
      </c>
    </row>
    <row r="43" spans="1:28" ht="12.75">
      <c r="A43" s="9" t="s">
        <v>99</v>
      </c>
      <c r="B43" s="10">
        <v>44568</v>
      </c>
      <c r="C43" s="11">
        <v>44572</v>
      </c>
      <c r="D43" s="12">
        <v>1</v>
      </c>
      <c r="E43" s="13" t="s">
        <v>109</v>
      </c>
      <c r="F43" s="13">
        <v>3025457</v>
      </c>
      <c r="G43" s="14">
        <v>20362</v>
      </c>
      <c r="H43" s="33">
        <v>7400</v>
      </c>
      <c r="I43" s="16">
        <f>H43*G43</f>
        <v>150678800</v>
      </c>
      <c r="J43" s="17">
        <v>45</v>
      </c>
      <c r="K43" s="34">
        <v>4502243802</v>
      </c>
      <c r="L43" s="19">
        <v>5079948211</v>
      </c>
      <c r="M43" s="41">
        <v>5113036850</v>
      </c>
      <c r="N43" s="21"/>
      <c r="O43" s="9" t="s">
        <v>37</v>
      </c>
      <c r="P43" s="23"/>
      <c r="Q43" s="24" t="s">
        <v>31</v>
      </c>
      <c r="R43" s="25">
        <v>44565</v>
      </c>
      <c r="S43" s="28"/>
      <c r="T43" s="35"/>
      <c r="U43" s="35"/>
      <c r="V43" s="29"/>
      <c r="W43" s="35"/>
      <c r="X43" s="29"/>
      <c r="Y43" s="36"/>
      <c r="Z43" s="29"/>
      <c r="AA43" s="31">
        <f t="shared" si="1"/>
        <v>44565</v>
      </c>
      <c r="AB43" s="32" t="str">
        <f t="shared" si="5"/>
        <v>enero</v>
      </c>
    </row>
    <row r="44" spans="1:28" ht="12.75">
      <c r="A44" s="9" t="s">
        <v>99</v>
      </c>
      <c r="B44" s="10">
        <v>44568</v>
      </c>
      <c r="C44" s="11">
        <v>44572</v>
      </c>
      <c r="D44" s="12">
        <v>1</v>
      </c>
      <c r="E44" s="13" t="s">
        <v>110</v>
      </c>
      <c r="F44" s="13">
        <v>3025457</v>
      </c>
      <c r="G44" s="14">
        <v>20362</v>
      </c>
      <c r="H44" s="33">
        <f>7400-7398.11</f>
        <v>1.8900000000003274</v>
      </c>
      <c r="I44" s="16">
        <f>-H44*G44</f>
        <v>-38484.180000006665</v>
      </c>
      <c r="J44" s="17">
        <v>0</v>
      </c>
      <c r="K44" s="34">
        <v>4502243802</v>
      </c>
      <c r="L44" s="19">
        <v>5079948211</v>
      </c>
      <c r="M44" s="41">
        <v>5113036851</v>
      </c>
      <c r="N44" s="21"/>
      <c r="O44" s="9"/>
      <c r="P44" s="23"/>
      <c r="Q44" s="24" t="s">
        <v>31</v>
      </c>
      <c r="R44" s="25">
        <v>44565</v>
      </c>
      <c r="S44" s="28"/>
      <c r="T44" s="35"/>
      <c r="U44" s="35"/>
      <c r="V44" s="29"/>
      <c r="W44" s="35"/>
      <c r="X44" s="29"/>
      <c r="Y44" s="36"/>
      <c r="Z44" s="29"/>
      <c r="AA44" s="31">
        <f t="shared" si="1"/>
        <v>44565</v>
      </c>
      <c r="AB44" s="32" t="str">
        <f t="shared" si="5"/>
        <v>enero</v>
      </c>
    </row>
    <row r="45" spans="1:28" ht="12.75">
      <c r="A45" s="9" t="s">
        <v>111</v>
      </c>
      <c r="B45" s="10">
        <v>44566</v>
      </c>
      <c r="C45" s="11"/>
      <c r="D45" s="12">
        <v>1</v>
      </c>
      <c r="E45" s="13" t="s">
        <v>112</v>
      </c>
      <c r="F45" s="13">
        <v>3025457</v>
      </c>
      <c r="G45" s="14">
        <v>13138</v>
      </c>
      <c r="H45" s="33">
        <v>7400</v>
      </c>
      <c r="I45" s="16">
        <f t="shared" ref="I45:I47" si="9">H45*G45</f>
        <v>97221200</v>
      </c>
      <c r="J45" s="17">
        <v>28</v>
      </c>
      <c r="K45" s="34">
        <v>4502243804</v>
      </c>
      <c r="L45" s="19">
        <v>5079948082</v>
      </c>
      <c r="M45" s="20">
        <v>5113034196</v>
      </c>
      <c r="N45" s="21"/>
      <c r="O45" s="9" t="s">
        <v>63</v>
      </c>
      <c r="P45" s="23"/>
      <c r="Q45" s="24" t="s">
        <v>31</v>
      </c>
      <c r="R45" s="25">
        <v>44565</v>
      </c>
      <c r="S45" s="28"/>
      <c r="T45" s="35"/>
      <c r="U45" s="35"/>
      <c r="V45" s="29"/>
      <c r="W45" s="35"/>
      <c r="X45" s="29"/>
      <c r="Y45" s="36"/>
      <c r="Z45" s="29"/>
      <c r="AA45" s="31">
        <f t="shared" si="1"/>
        <v>44565</v>
      </c>
      <c r="AB45" s="32" t="str">
        <f t="shared" si="5"/>
        <v>enero</v>
      </c>
    </row>
    <row r="46" spans="1:28" ht="12.75">
      <c r="A46" s="9" t="s">
        <v>111</v>
      </c>
      <c r="B46" s="10">
        <v>44566</v>
      </c>
      <c r="C46" s="11"/>
      <c r="D46" s="12">
        <v>1</v>
      </c>
      <c r="E46" s="13" t="s">
        <v>113</v>
      </c>
      <c r="F46" s="13">
        <v>3025457</v>
      </c>
      <c r="G46" s="14">
        <v>13138</v>
      </c>
      <c r="H46" s="33">
        <v>50</v>
      </c>
      <c r="I46" s="16">
        <f t="shared" si="9"/>
        <v>656900</v>
      </c>
      <c r="J46" s="17">
        <v>0</v>
      </c>
      <c r="K46" s="34">
        <v>4502243804</v>
      </c>
      <c r="L46" s="19">
        <v>5079948082</v>
      </c>
      <c r="M46" s="20">
        <v>5113034207</v>
      </c>
      <c r="N46" s="21"/>
      <c r="O46" s="9"/>
      <c r="P46" s="23"/>
      <c r="Q46" s="24" t="s">
        <v>31</v>
      </c>
      <c r="R46" s="25">
        <v>44565</v>
      </c>
      <c r="S46" s="28"/>
      <c r="T46" s="35"/>
      <c r="U46" s="35"/>
      <c r="V46" s="29"/>
      <c r="W46" s="35"/>
      <c r="X46" s="29"/>
      <c r="Y46" s="36"/>
      <c r="Z46" s="29"/>
      <c r="AA46" s="31">
        <f t="shared" si="1"/>
        <v>44565</v>
      </c>
      <c r="AB46" s="32" t="str">
        <f t="shared" si="5"/>
        <v>enero</v>
      </c>
    </row>
    <row r="47" spans="1:28" ht="12.75">
      <c r="A47" s="9" t="s">
        <v>58</v>
      </c>
      <c r="B47" s="10">
        <v>44572</v>
      </c>
      <c r="C47" s="11">
        <v>44572</v>
      </c>
      <c r="D47" s="12">
        <v>1</v>
      </c>
      <c r="E47" s="13" t="s">
        <v>114</v>
      </c>
      <c r="F47" s="13">
        <v>3025457</v>
      </c>
      <c r="G47" s="37">
        <v>34343.5</v>
      </c>
      <c r="H47" s="33">
        <v>7700</v>
      </c>
      <c r="I47" s="16">
        <f t="shared" si="9"/>
        <v>264444950</v>
      </c>
      <c r="J47" s="17">
        <v>74</v>
      </c>
      <c r="K47" s="34">
        <v>4502243823</v>
      </c>
      <c r="L47" s="19">
        <v>5079948083</v>
      </c>
      <c r="M47" s="20">
        <v>5113038700</v>
      </c>
      <c r="N47" s="21"/>
      <c r="O47" s="9" t="s">
        <v>37</v>
      </c>
      <c r="P47" s="23"/>
      <c r="Q47" s="24" t="s">
        <v>31</v>
      </c>
      <c r="R47" s="25">
        <v>44565</v>
      </c>
      <c r="S47" s="28"/>
      <c r="T47" s="35"/>
      <c r="U47" s="35"/>
      <c r="V47" s="29"/>
      <c r="W47" s="35"/>
      <c r="X47" s="29"/>
      <c r="Y47" s="36"/>
      <c r="Z47" s="29"/>
      <c r="AA47" s="31">
        <f t="shared" si="1"/>
        <v>44565</v>
      </c>
      <c r="AB47" s="32" t="str">
        <f t="shared" si="5"/>
        <v>enero</v>
      </c>
    </row>
    <row r="48" spans="1:28" ht="12.75">
      <c r="A48" s="9" t="s">
        <v>58</v>
      </c>
      <c r="B48" s="10">
        <v>44572</v>
      </c>
      <c r="C48" s="11">
        <v>44572</v>
      </c>
      <c r="D48" s="12">
        <v>1</v>
      </c>
      <c r="E48" s="13" t="s">
        <v>115</v>
      </c>
      <c r="F48" s="13">
        <v>3025457</v>
      </c>
      <c r="G48" s="37">
        <v>34343.5</v>
      </c>
      <c r="H48" s="33">
        <f>7700-7682.87</f>
        <v>17.130000000000109</v>
      </c>
      <c r="I48" s="16">
        <f>-H48*G48</f>
        <v>-588304.15500000375</v>
      </c>
      <c r="J48" s="17">
        <v>0</v>
      </c>
      <c r="K48" s="34">
        <v>4502243823</v>
      </c>
      <c r="L48" s="19">
        <v>5079948083</v>
      </c>
      <c r="M48" s="20">
        <v>5113038701</v>
      </c>
      <c r="N48" s="21"/>
      <c r="O48" s="9"/>
      <c r="P48" s="23"/>
      <c r="Q48" s="24" t="s">
        <v>31</v>
      </c>
      <c r="R48" s="25">
        <v>44565</v>
      </c>
      <c r="S48" s="28"/>
      <c r="T48" s="35"/>
      <c r="U48" s="35"/>
      <c r="V48" s="29"/>
      <c r="W48" s="35"/>
      <c r="X48" s="29"/>
      <c r="Y48" s="36"/>
      <c r="Z48" s="29"/>
      <c r="AA48" s="31">
        <f t="shared" si="1"/>
        <v>44565</v>
      </c>
      <c r="AB48" s="32" t="str">
        <f t="shared" si="5"/>
        <v>enero</v>
      </c>
    </row>
    <row r="49" spans="1:28" ht="12.75">
      <c r="A49" s="9" t="s">
        <v>116</v>
      </c>
      <c r="B49" s="10">
        <v>44559</v>
      </c>
      <c r="C49" s="11">
        <v>44560</v>
      </c>
      <c r="D49" s="12">
        <v>1</v>
      </c>
      <c r="E49" s="13" t="s">
        <v>117</v>
      </c>
      <c r="F49" s="13">
        <v>3025457</v>
      </c>
      <c r="G49" s="14">
        <v>225139</v>
      </c>
      <c r="H49" s="15">
        <v>8035</v>
      </c>
      <c r="I49" s="16">
        <f t="shared" ref="I49:I50" si="10">H49*G49</f>
        <v>1808991865</v>
      </c>
      <c r="J49" s="17">
        <v>420</v>
      </c>
      <c r="K49" s="18">
        <v>4502244647</v>
      </c>
      <c r="L49" s="19">
        <v>5079901855</v>
      </c>
      <c r="M49" s="20">
        <v>5113026332</v>
      </c>
      <c r="N49" s="21"/>
      <c r="O49" s="22" t="s">
        <v>118</v>
      </c>
      <c r="P49" s="23"/>
      <c r="Q49" s="24" t="s">
        <v>31</v>
      </c>
      <c r="R49" s="25">
        <v>44565</v>
      </c>
      <c r="S49" s="28">
        <v>4902185387</v>
      </c>
      <c r="T49" s="27">
        <f>9900000+1490000</f>
        <v>11390000</v>
      </c>
      <c r="U49" s="28" t="s">
        <v>119</v>
      </c>
      <c r="V49" s="29">
        <v>5113030903</v>
      </c>
      <c r="W49" s="28" t="s">
        <v>120</v>
      </c>
      <c r="X49" s="29">
        <v>5113030904</v>
      </c>
      <c r="Y49" s="36"/>
      <c r="Z49" s="29"/>
      <c r="AA49" s="31">
        <f t="shared" si="1"/>
        <v>44565</v>
      </c>
      <c r="AB49" s="32" t="str">
        <f t="shared" si="5"/>
        <v>enero</v>
      </c>
    </row>
    <row r="50" spans="1:28" ht="12.75">
      <c r="A50" s="9" t="s">
        <v>39</v>
      </c>
      <c r="B50" s="10">
        <v>44565</v>
      </c>
      <c r="C50" s="11">
        <v>44568</v>
      </c>
      <c r="D50" s="12">
        <v>1</v>
      </c>
      <c r="E50" s="13" t="s">
        <v>121</v>
      </c>
      <c r="F50" s="13">
        <v>3025459</v>
      </c>
      <c r="G50" s="37">
        <v>25939.5</v>
      </c>
      <c r="H50" s="33">
        <v>7650</v>
      </c>
      <c r="I50" s="16">
        <f t="shared" si="10"/>
        <v>198437175</v>
      </c>
      <c r="J50" s="17">
        <v>56</v>
      </c>
      <c r="K50" s="34">
        <v>4502243824</v>
      </c>
      <c r="L50" s="19">
        <v>5079948084</v>
      </c>
      <c r="M50" s="20">
        <v>5113035946</v>
      </c>
      <c r="N50" s="21"/>
      <c r="O50" s="9" t="s">
        <v>37</v>
      </c>
      <c r="P50" s="23"/>
      <c r="Q50" s="24" t="s">
        <v>31</v>
      </c>
      <c r="R50" s="25">
        <v>44565</v>
      </c>
      <c r="S50" s="28"/>
      <c r="T50" s="35"/>
      <c r="U50" s="35"/>
      <c r="V50" s="29"/>
      <c r="W50" s="35"/>
      <c r="X50" s="29"/>
      <c r="Y50" s="36"/>
      <c r="Z50" s="29"/>
      <c r="AA50" s="31">
        <f t="shared" si="1"/>
        <v>44565</v>
      </c>
      <c r="AB50" s="32" t="str">
        <f t="shared" si="5"/>
        <v>enero</v>
      </c>
    </row>
    <row r="51" spans="1:28" ht="12.75">
      <c r="A51" s="9" t="s">
        <v>39</v>
      </c>
      <c r="B51" s="10">
        <v>44565</v>
      </c>
      <c r="C51" s="11">
        <v>44568</v>
      </c>
      <c r="D51" s="12">
        <v>1</v>
      </c>
      <c r="E51" s="13" t="s">
        <v>60</v>
      </c>
      <c r="F51" s="13">
        <v>3025459</v>
      </c>
      <c r="G51" s="37">
        <v>25939.5</v>
      </c>
      <c r="H51" s="33">
        <f>7650-7498.55</f>
        <v>151.44999999999982</v>
      </c>
      <c r="I51" s="16">
        <f>-H51*G51</f>
        <v>-3928537.2749999953</v>
      </c>
      <c r="J51" s="17">
        <v>0</v>
      </c>
      <c r="K51" s="34">
        <v>4502243824</v>
      </c>
      <c r="L51" s="19">
        <v>5079948084</v>
      </c>
      <c r="M51" s="20">
        <v>5113036057</v>
      </c>
      <c r="N51" s="21"/>
      <c r="O51" s="9"/>
      <c r="P51" s="23"/>
      <c r="Q51" s="24" t="s">
        <v>31</v>
      </c>
      <c r="R51" s="25">
        <v>44565</v>
      </c>
      <c r="S51" s="28"/>
      <c r="T51" s="35"/>
      <c r="U51" s="35"/>
      <c r="V51" s="29"/>
      <c r="W51" s="35"/>
      <c r="X51" s="29"/>
      <c r="Y51" s="36"/>
      <c r="Z51" s="29"/>
      <c r="AA51" s="31">
        <f t="shared" si="1"/>
        <v>44565</v>
      </c>
      <c r="AB51" s="32" t="str">
        <f t="shared" si="5"/>
        <v>enero</v>
      </c>
    </row>
    <row r="52" spans="1:28" ht="12.75">
      <c r="A52" s="9" t="s">
        <v>122</v>
      </c>
      <c r="B52" s="10">
        <v>44572</v>
      </c>
      <c r="C52" s="11">
        <v>44572</v>
      </c>
      <c r="D52" s="12">
        <v>1</v>
      </c>
      <c r="E52" s="13">
        <v>97</v>
      </c>
      <c r="F52" s="13">
        <v>3025459</v>
      </c>
      <c r="G52" s="37">
        <v>7228.5</v>
      </c>
      <c r="H52" s="33">
        <v>7400</v>
      </c>
      <c r="I52" s="16">
        <f t="shared" ref="I52:I54" si="11">H52*G52</f>
        <v>53490900</v>
      </c>
      <c r="J52" s="17">
        <v>15</v>
      </c>
      <c r="K52" s="34">
        <v>4502243831</v>
      </c>
      <c r="L52" s="19">
        <v>5079948258</v>
      </c>
      <c r="M52" s="20">
        <v>5113036921</v>
      </c>
      <c r="N52" s="21"/>
      <c r="O52" s="9"/>
      <c r="P52" s="23"/>
      <c r="Q52" s="24" t="s">
        <v>31</v>
      </c>
      <c r="R52" s="25">
        <v>44565</v>
      </c>
      <c r="S52" s="28"/>
      <c r="T52" s="35"/>
      <c r="U52" s="35"/>
      <c r="V52" s="29"/>
      <c r="W52" s="35"/>
      <c r="X52" s="29"/>
      <c r="Y52" s="36"/>
      <c r="Z52" s="29"/>
      <c r="AA52" s="31">
        <f t="shared" si="1"/>
        <v>44565</v>
      </c>
      <c r="AB52" s="32" t="str">
        <f t="shared" si="5"/>
        <v>enero</v>
      </c>
    </row>
    <row r="53" spans="1:28" ht="12.75">
      <c r="A53" s="9" t="s">
        <v>122</v>
      </c>
      <c r="B53" s="10">
        <v>44572</v>
      </c>
      <c r="C53" s="11">
        <v>44572</v>
      </c>
      <c r="D53" s="12">
        <v>1</v>
      </c>
      <c r="E53" s="13" t="s">
        <v>123</v>
      </c>
      <c r="F53" s="13">
        <v>3025459</v>
      </c>
      <c r="G53" s="37">
        <v>7228.5</v>
      </c>
      <c r="H53" s="33">
        <v>50</v>
      </c>
      <c r="I53" s="16">
        <f t="shared" si="11"/>
        <v>361425</v>
      </c>
      <c r="J53" s="17">
        <v>0</v>
      </c>
      <c r="K53" s="34">
        <v>4502243831</v>
      </c>
      <c r="L53" s="19">
        <v>5079948258</v>
      </c>
      <c r="M53" s="20">
        <v>5113038954</v>
      </c>
      <c r="N53" s="21"/>
      <c r="O53" s="9"/>
      <c r="P53" s="23" t="s">
        <v>124</v>
      </c>
      <c r="Q53" s="24" t="s">
        <v>31</v>
      </c>
      <c r="R53" s="25">
        <v>44565</v>
      </c>
      <c r="S53" s="28"/>
      <c r="T53" s="35"/>
      <c r="U53" s="35"/>
      <c r="V53" s="29"/>
      <c r="W53" s="35"/>
      <c r="X53" s="29"/>
      <c r="Y53" s="36"/>
      <c r="Z53" s="29"/>
      <c r="AA53" s="31">
        <f t="shared" si="1"/>
        <v>44565</v>
      </c>
      <c r="AB53" s="32" t="str">
        <f t="shared" si="5"/>
        <v>enero</v>
      </c>
    </row>
    <row r="54" spans="1:28" ht="12.75">
      <c r="A54" s="9" t="s">
        <v>125</v>
      </c>
      <c r="B54" s="10">
        <v>44568</v>
      </c>
      <c r="C54" s="11">
        <v>44572</v>
      </c>
      <c r="D54" s="42">
        <v>2</v>
      </c>
      <c r="E54" s="13" t="s">
        <v>126</v>
      </c>
      <c r="F54" s="13">
        <v>3025457</v>
      </c>
      <c r="G54" s="14">
        <v>14785</v>
      </c>
      <c r="H54" s="33">
        <v>7450</v>
      </c>
      <c r="I54" s="16">
        <f t="shared" si="11"/>
        <v>110148250</v>
      </c>
      <c r="J54" s="17">
        <v>28</v>
      </c>
      <c r="K54" s="34">
        <v>4502247192</v>
      </c>
      <c r="L54" s="19">
        <v>5080002596</v>
      </c>
      <c r="M54" s="20">
        <v>5113040125</v>
      </c>
      <c r="N54" s="21"/>
      <c r="O54" s="9" t="s">
        <v>63</v>
      </c>
      <c r="P54" s="23"/>
      <c r="Q54" s="24" t="s">
        <v>31</v>
      </c>
      <c r="R54" s="25">
        <v>44568</v>
      </c>
      <c r="S54" s="28"/>
      <c r="T54" s="35"/>
      <c r="U54" s="35"/>
      <c r="V54" s="29"/>
      <c r="W54" s="35"/>
      <c r="X54" s="29"/>
      <c r="Y54" s="36"/>
      <c r="Z54" s="29"/>
      <c r="AA54" s="31">
        <f t="shared" si="1"/>
        <v>44568</v>
      </c>
      <c r="AB54" s="32" t="str">
        <f t="shared" si="5"/>
        <v>enero</v>
      </c>
    </row>
    <row r="55" spans="1:28" ht="12.75">
      <c r="A55" s="9" t="s">
        <v>125</v>
      </c>
      <c r="B55" s="10">
        <v>44568</v>
      </c>
      <c r="C55" s="11"/>
      <c r="D55" s="42">
        <v>2</v>
      </c>
      <c r="E55" s="13" t="s">
        <v>127</v>
      </c>
      <c r="F55" s="13">
        <v>3025457</v>
      </c>
      <c r="G55" s="14">
        <v>14785</v>
      </c>
      <c r="H55" s="33">
        <f>7450-7427.44</f>
        <v>22.5600000000004</v>
      </c>
      <c r="I55" s="16">
        <f>-H55*G55</f>
        <v>-333549.60000000591</v>
      </c>
      <c r="J55" s="17">
        <v>0</v>
      </c>
      <c r="K55" s="43">
        <v>4502247192</v>
      </c>
      <c r="L55" s="19">
        <v>5080002596</v>
      </c>
      <c r="M55" s="20">
        <v>5113040227</v>
      </c>
      <c r="N55" s="21"/>
      <c r="O55" s="9"/>
      <c r="P55" s="44" t="s">
        <v>128</v>
      </c>
      <c r="Q55" s="24" t="s">
        <v>31</v>
      </c>
      <c r="R55" s="25">
        <v>44568</v>
      </c>
      <c r="S55" s="28"/>
      <c r="T55" s="35"/>
      <c r="U55" s="35"/>
      <c r="V55" s="29"/>
      <c r="W55" s="35"/>
      <c r="X55" s="29"/>
      <c r="Y55" s="36"/>
      <c r="Z55" s="29"/>
      <c r="AA55" s="31">
        <f t="shared" si="1"/>
        <v>44568</v>
      </c>
      <c r="AB55" s="32" t="str">
        <f t="shared" si="5"/>
        <v>enero</v>
      </c>
    </row>
    <row r="56" spans="1:28" ht="12.75">
      <c r="A56" s="22" t="s">
        <v>129</v>
      </c>
      <c r="B56" s="10">
        <v>44567</v>
      </c>
      <c r="C56" s="11">
        <v>44574</v>
      </c>
      <c r="D56" s="42">
        <v>2</v>
      </c>
      <c r="E56" s="13" t="s">
        <v>130</v>
      </c>
      <c r="F56" s="13">
        <v>3025457</v>
      </c>
      <c r="G56" s="14">
        <v>6936</v>
      </c>
      <c r="H56" s="33">
        <v>7450</v>
      </c>
      <c r="I56" s="16">
        <f t="shared" ref="I56:I57" si="12">H56*G56</f>
        <v>51673200</v>
      </c>
      <c r="J56" s="17">
        <v>15</v>
      </c>
      <c r="K56" s="34">
        <v>4502251606</v>
      </c>
      <c r="L56" s="19">
        <v>5080049516</v>
      </c>
      <c r="M56" s="20">
        <v>5113040743</v>
      </c>
      <c r="N56" s="21"/>
      <c r="O56" s="9" t="s">
        <v>63</v>
      </c>
      <c r="P56" s="23" t="s">
        <v>131</v>
      </c>
      <c r="Q56" s="24" t="s">
        <v>31</v>
      </c>
      <c r="R56" s="25">
        <v>44568</v>
      </c>
      <c r="S56" s="28"/>
      <c r="T56" s="35"/>
      <c r="U56" s="35"/>
      <c r="V56" s="29"/>
      <c r="W56" s="35"/>
      <c r="X56" s="29"/>
      <c r="Y56" s="36"/>
      <c r="Z56" s="29"/>
      <c r="AA56" s="31">
        <f t="shared" si="1"/>
        <v>44568</v>
      </c>
      <c r="AB56" s="32" t="str">
        <f t="shared" si="5"/>
        <v>enero</v>
      </c>
    </row>
    <row r="57" spans="1:28" ht="12.75">
      <c r="A57" s="9" t="s">
        <v>132</v>
      </c>
      <c r="B57" s="10">
        <v>44568</v>
      </c>
      <c r="C57" s="11">
        <v>44572</v>
      </c>
      <c r="D57" s="42">
        <v>2</v>
      </c>
      <c r="E57" s="13" t="s">
        <v>133</v>
      </c>
      <c r="F57" s="13">
        <v>3025457</v>
      </c>
      <c r="G57" s="14">
        <v>5232</v>
      </c>
      <c r="H57" s="33">
        <v>7400</v>
      </c>
      <c r="I57" s="16">
        <f t="shared" si="12"/>
        <v>38716800</v>
      </c>
      <c r="J57" s="17">
        <v>12</v>
      </c>
      <c r="K57" s="34">
        <v>4502247193</v>
      </c>
      <c r="L57" s="19">
        <v>5080002597</v>
      </c>
      <c r="M57" s="20">
        <v>5113037884</v>
      </c>
      <c r="N57" s="21"/>
      <c r="O57" s="9" t="s">
        <v>63</v>
      </c>
      <c r="P57" s="23"/>
      <c r="Q57" s="24" t="s">
        <v>31</v>
      </c>
      <c r="R57" s="25">
        <v>44568</v>
      </c>
      <c r="S57" s="28"/>
      <c r="T57" s="35"/>
      <c r="U57" s="35"/>
      <c r="V57" s="29"/>
      <c r="W57" s="35"/>
      <c r="X57" s="29"/>
      <c r="Y57" s="36"/>
      <c r="Z57" s="29"/>
      <c r="AA57" s="31">
        <f t="shared" si="1"/>
        <v>44568</v>
      </c>
      <c r="AB57" s="32" t="str">
        <f t="shared" si="5"/>
        <v>enero</v>
      </c>
    </row>
    <row r="58" spans="1:28" ht="12.75">
      <c r="A58" s="9" t="s">
        <v>132</v>
      </c>
      <c r="B58" s="10">
        <v>44568</v>
      </c>
      <c r="C58" s="11">
        <v>44572</v>
      </c>
      <c r="D58" s="42">
        <v>2</v>
      </c>
      <c r="E58" s="13" t="s">
        <v>134</v>
      </c>
      <c r="F58" s="13">
        <v>3025457</v>
      </c>
      <c r="G58" s="14">
        <v>5232</v>
      </c>
      <c r="H58" s="33">
        <v>100</v>
      </c>
      <c r="I58" s="16">
        <f>-H58*G58</f>
        <v>-523200</v>
      </c>
      <c r="J58" s="17">
        <v>0</v>
      </c>
      <c r="K58" s="34">
        <v>4502247193</v>
      </c>
      <c r="L58" s="19">
        <v>5080002597</v>
      </c>
      <c r="M58" s="20">
        <v>5113037886</v>
      </c>
      <c r="N58" s="21"/>
      <c r="O58" s="9"/>
      <c r="P58" s="23"/>
      <c r="Q58" s="24" t="s">
        <v>31</v>
      </c>
      <c r="R58" s="25">
        <v>44568</v>
      </c>
      <c r="S58" s="28"/>
      <c r="T58" s="35"/>
      <c r="U58" s="35"/>
      <c r="V58" s="29"/>
      <c r="W58" s="35"/>
      <c r="X58" s="29"/>
      <c r="Y58" s="36"/>
      <c r="Z58" s="29"/>
      <c r="AA58" s="31">
        <f t="shared" si="1"/>
        <v>44568</v>
      </c>
      <c r="AB58" s="32" t="str">
        <f t="shared" si="5"/>
        <v>enero</v>
      </c>
    </row>
    <row r="59" spans="1:28" ht="12.75">
      <c r="A59" s="9" t="s">
        <v>135</v>
      </c>
      <c r="B59" s="10">
        <v>44572</v>
      </c>
      <c r="C59" s="11">
        <v>44573</v>
      </c>
      <c r="D59" s="42">
        <v>2</v>
      </c>
      <c r="E59" s="13" t="s">
        <v>136</v>
      </c>
      <c r="F59" s="13">
        <v>3025457</v>
      </c>
      <c r="G59" s="37">
        <v>10128.5</v>
      </c>
      <c r="H59" s="33">
        <v>7650</v>
      </c>
      <c r="I59" s="16">
        <f>H59*G59</f>
        <v>77483025</v>
      </c>
      <c r="J59" s="17">
        <v>26</v>
      </c>
      <c r="K59" s="34">
        <v>4502247196</v>
      </c>
      <c r="L59" s="19">
        <v>5080003818</v>
      </c>
      <c r="M59" s="20">
        <v>5113038682</v>
      </c>
      <c r="N59" s="21" t="s">
        <v>137</v>
      </c>
      <c r="O59" s="9" t="s">
        <v>37</v>
      </c>
      <c r="P59" s="23" t="s">
        <v>138</v>
      </c>
      <c r="Q59" s="24" t="s">
        <v>31</v>
      </c>
      <c r="R59" s="25">
        <v>44568</v>
      </c>
      <c r="S59" s="28"/>
      <c r="T59" s="35"/>
      <c r="U59" s="35"/>
      <c r="V59" s="29"/>
      <c r="W59" s="35"/>
      <c r="X59" s="29"/>
      <c r="Y59" s="36"/>
      <c r="Z59" s="29"/>
      <c r="AA59" s="31">
        <f t="shared" si="1"/>
        <v>44568</v>
      </c>
      <c r="AB59" s="32" t="str">
        <f t="shared" si="5"/>
        <v>enero</v>
      </c>
    </row>
    <row r="60" spans="1:28" ht="12.75">
      <c r="A60" s="9" t="s">
        <v>135</v>
      </c>
      <c r="B60" s="10">
        <v>44572</v>
      </c>
      <c r="C60" s="11">
        <v>44573</v>
      </c>
      <c r="D60" s="42">
        <v>2</v>
      </c>
      <c r="E60" s="13" t="s">
        <v>139</v>
      </c>
      <c r="F60" s="13">
        <v>3025457</v>
      </c>
      <c r="G60" s="37">
        <v>10128.5</v>
      </c>
      <c r="H60" s="33">
        <f>7650-7586.16</f>
        <v>63.840000000000146</v>
      </c>
      <c r="I60" s="16">
        <f>-H60*G60</f>
        <v>-646603.44000000146</v>
      </c>
      <c r="J60" s="17">
        <v>0</v>
      </c>
      <c r="K60" s="34">
        <v>4502247196</v>
      </c>
      <c r="L60" s="19">
        <v>5080003818</v>
      </c>
      <c r="M60" s="20">
        <v>5113038684</v>
      </c>
      <c r="N60" s="21" t="s">
        <v>137</v>
      </c>
      <c r="O60" s="9"/>
      <c r="P60" s="23"/>
      <c r="Q60" s="24" t="s">
        <v>31</v>
      </c>
      <c r="R60" s="25">
        <v>44568</v>
      </c>
      <c r="S60" s="28"/>
      <c r="T60" s="35"/>
      <c r="U60" s="35"/>
      <c r="V60" s="29"/>
      <c r="W60" s="35"/>
      <c r="X60" s="29"/>
      <c r="Y60" s="36"/>
      <c r="Z60" s="29"/>
      <c r="AA60" s="31">
        <f t="shared" si="1"/>
        <v>44568</v>
      </c>
      <c r="AB60" s="32" t="str">
        <f t="shared" si="5"/>
        <v>enero</v>
      </c>
    </row>
    <row r="61" spans="1:28" ht="12.75">
      <c r="A61" s="9" t="s">
        <v>58</v>
      </c>
      <c r="B61" s="10">
        <v>44572</v>
      </c>
      <c r="C61" s="11">
        <v>44572</v>
      </c>
      <c r="D61" s="42">
        <v>2</v>
      </c>
      <c r="E61" s="13" t="s">
        <v>140</v>
      </c>
      <c r="F61" s="13">
        <v>3025457</v>
      </c>
      <c r="G61" s="37">
        <v>55856.5</v>
      </c>
      <c r="H61" s="33">
        <v>7750</v>
      </c>
      <c r="I61" s="16">
        <f>H61*G61</f>
        <v>432887875</v>
      </c>
      <c r="J61" s="17">
        <v>121</v>
      </c>
      <c r="K61" s="34">
        <v>4502247198</v>
      </c>
      <c r="L61" s="19">
        <v>5080004137</v>
      </c>
      <c r="M61" s="20">
        <v>5113038704</v>
      </c>
      <c r="N61" s="21"/>
      <c r="O61" s="9" t="s">
        <v>37</v>
      </c>
      <c r="P61" s="23" t="s">
        <v>141</v>
      </c>
      <c r="Q61" s="24" t="s">
        <v>31</v>
      </c>
      <c r="R61" s="25">
        <v>44568</v>
      </c>
      <c r="S61" s="28"/>
      <c r="T61" s="35"/>
      <c r="U61" s="35"/>
      <c r="V61" s="29"/>
      <c r="W61" s="35"/>
      <c r="X61" s="29"/>
      <c r="Y61" s="36"/>
      <c r="Z61" s="29"/>
      <c r="AA61" s="31">
        <f t="shared" si="1"/>
        <v>44568</v>
      </c>
      <c r="AB61" s="32" t="str">
        <f t="shared" si="5"/>
        <v>enero</v>
      </c>
    </row>
    <row r="62" spans="1:28" ht="12.75">
      <c r="A62" s="9" t="s">
        <v>58</v>
      </c>
      <c r="B62" s="10">
        <v>44572</v>
      </c>
      <c r="C62" s="11"/>
      <c r="D62" s="42">
        <v>2</v>
      </c>
      <c r="E62" s="13" t="s">
        <v>142</v>
      </c>
      <c r="F62" s="13">
        <v>3025457</v>
      </c>
      <c r="G62" s="37">
        <v>55856.5</v>
      </c>
      <c r="H62" s="33">
        <f>7750-7749.3</f>
        <v>0.6999999999998181</v>
      </c>
      <c r="I62" s="16">
        <f>-H62*G62</f>
        <v>-39099.549999989838</v>
      </c>
      <c r="J62" s="17">
        <v>0</v>
      </c>
      <c r="K62" s="34">
        <v>4502247198</v>
      </c>
      <c r="L62" s="19">
        <v>5080004137</v>
      </c>
      <c r="M62" s="20">
        <v>5113038706</v>
      </c>
      <c r="N62" s="21"/>
      <c r="O62" s="9"/>
      <c r="P62" s="23"/>
      <c r="Q62" s="24" t="s">
        <v>31</v>
      </c>
      <c r="R62" s="25">
        <v>44568</v>
      </c>
      <c r="S62" s="28"/>
      <c r="T62" s="35"/>
      <c r="U62" s="35"/>
      <c r="V62" s="29"/>
      <c r="W62" s="35"/>
      <c r="X62" s="29"/>
      <c r="Y62" s="36"/>
      <c r="Z62" s="29"/>
      <c r="AA62" s="31">
        <f t="shared" si="1"/>
        <v>44568</v>
      </c>
      <c r="AB62" s="32" t="str">
        <f t="shared" si="5"/>
        <v>enero</v>
      </c>
    </row>
    <row r="63" spans="1:28" ht="12.75">
      <c r="A63" s="9" t="s">
        <v>58</v>
      </c>
      <c r="B63" s="10">
        <v>44572</v>
      </c>
      <c r="C63" s="11">
        <v>44572</v>
      </c>
      <c r="D63" s="42">
        <v>2</v>
      </c>
      <c r="E63" s="13" t="s">
        <v>143</v>
      </c>
      <c r="F63" s="13">
        <v>3025459</v>
      </c>
      <c r="G63" s="37">
        <v>30046.5</v>
      </c>
      <c r="H63" s="33">
        <v>7750</v>
      </c>
      <c r="I63" s="16">
        <f>H63*G63</f>
        <v>232860375</v>
      </c>
      <c r="J63" s="17">
        <v>59</v>
      </c>
      <c r="K63" s="34">
        <v>4502247199</v>
      </c>
      <c r="L63" s="19">
        <v>5080003819</v>
      </c>
      <c r="M63" s="20">
        <v>5113038708</v>
      </c>
      <c r="N63" s="21"/>
      <c r="O63" s="9" t="s">
        <v>37</v>
      </c>
      <c r="P63" s="23" t="s">
        <v>141</v>
      </c>
      <c r="Q63" s="24" t="s">
        <v>31</v>
      </c>
      <c r="R63" s="25">
        <v>44568</v>
      </c>
      <c r="S63" s="28"/>
      <c r="T63" s="35"/>
      <c r="U63" s="35"/>
      <c r="V63" s="29"/>
      <c r="W63" s="35"/>
      <c r="X63" s="29"/>
      <c r="Y63" s="36"/>
      <c r="Z63" s="29"/>
      <c r="AA63" s="31">
        <f t="shared" si="1"/>
        <v>44568</v>
      </c>
      <c r="AB63" s="32" t="str">
        <f t="shared" si="5"/>
        <v>enero</v>
      </c>
    </row>
    <row r="64" spans="1:28" ht="12.75">
      <c r="A64" s="9" t="s">
        <v>58</v>
      </c>
      <c r="B64" s="10">
        <v>44572</v>
      </c>
      <c r="C64" s="11">
        <v>44572</v>
      </c>
      <c r="D64" s="42">
        <v>2</v>
      </c>
      <c r="E64" s="13" t="s">
        <v>144</v>
      </c>
      <c r="F64" s="13">
        <v>3025459</v>
      </c>
      <c r="G64" s="37">
        <v>30046.5</v>
      </c>
      <c r="H64" s="33">
        <f>7750-7739.22</f>
        <v>10.779999999999745</v>
      </c>
      <c r="I64" s="16">
        <f>-H64*G64</f>
        <v>-323901.26999999234</v>
      </c>
      <c r="J64" s="17">
        <v>0</v>
      </c>
      <c r="K64" s="34">
        <v>4502247199</v>
      </c>
      <c r="L64" s="19">
        <v>5080003819</v>
      </c>
      <c r="M64" s="20">
        <v>5113038711</v>
      </c>
      <c r="N64" s="21"/>
      <c r="O64" s="9"/>
      <c r="P64" s="23"/>
      <c r="Q64" s="24" t="s">
        <v>31</v>
      </c>
      <c r="R64" s="25">
        <v>44568</v>
      </c>
      <c r="S64" s="28"/>
      <c r="T64" s="35"/>
      <c r="U64" s="35"/>
      <c r="V64" s="29"/>
      <c r="W64" s="35"/>
      <c r="X64" s="29"/>
      <c r="Y64" s="36"/>
      <c r="Z64" s="29"/>
      <c r="AA64" s="31">
        <f t="shared" si="1"/>
        <v>44568</v>
      </c>
      <c r="AB64" s="32" t="str">
        <f t="shared" si="5"/>
        <v>enero</v>
      </c>
    </row>
    <row r="65" spans="1:28" ht="12.75">
      <c r="A65" s="45" t="s">
        <v>145</v>
      </c>
      <c r="B65" s="10">
        <v>44572</v>
      </c>
      <c r="C65" s="11">
        <v>44572</v>
      </c>
      <c r="D65" s="42">
        <v>2</v>
      </c>
      <c r="E65" s="13" t="s">
        <v>146</v>
      </c>
      <c r="F65" s="13">
        <v>3025459</v>
      </c>
      <c r="G65" s="37">
        <v>6787.5</v>
      </c>
      <c r="H65" s="33">
        <v>7400</v>
      </c>
      <c r="I65" s="16">
        <f t="shared" ref="I65:I66" si="13">H65*G65</f>
        <v>50227500</v>
      </c>
      <c r="J65" s="17">
        <v>14</v>
      </c>
      <c r="K65" s="34">
        <v>4502247201</v>
      </c>
      <c r="L65" s="19">
        <v>5080003820</v>
      </c>
      <c r="M65" s="20">
        <v>5113037883</v>
      </c>
      <c r="N65" s="21"/>
      <c r="O65" s="9" t="s">
        <v>37</v>
      </c>
      <c r="P65" s="23"/>
      <c r="Q65" s="24" t="s">
        <v>31</v>
      </c>
      <c r="R65" s="25">
        <v>44568</v>
      </c>
      <c r="S65" s="28"/>
      <c r="T65" s="35"/>
      <c r="U65" s="35"/>
      <c r="V65" s="29"/>
      <c r="W65" s="35"/>
      <c r="X65" s="29"/>
      <c r="Y65" s="36"/>
      <c r="Z65" s="29"/>
      <c r="AA65" s="31">
        <f t="shared" si="1"/>
        <v>44568</v>
      </c>
      <c r="AB65" s="32" t="str">
        <f t="shared" si="5"/>
        <v>enero</v>
      </c>
    </row>
    <row r="66" spans="1:28" ht="12.75">
      <c r="A66" s="9" t="s">
        <v>99</v>
      </c>
      <c r="B66" s="10">
        <v>44572</v>
      </c>
      <c r="C66" s="11">
        <v>44573</v>
      </c>
      <c r="D66" s="42">
        <v>2</v>
      </c>
      <c r="E66" s="13" t="s">
        <v>147</v>
      </c>
      <c r="F66" s="13">
        <v>3025457</v>
      </c>
      <c r="G66" s="14">
        <v>13168</v>
      </c>
      <c r="H66" s="33">
        <v>7350</v>
      </c>
      <c r="I66" s="16">
        <f t="shared" si="13"/>
        <v>96784800</v>
      </c>
      <c r="J66" s="17">
        <v>28</v>
      </c>
      <c r="K66" s="34">
        <v>4502247204</v>
      </c>
      <c r="L66" s="19">
        <v>5080003821</v>
      </c>
      <c r="M66" s="20">
        <v>5113038679</v>
      </c>
      <c r="N66" s="21"/>
      <c r="O66" s="9" t="s">
        <v>37</v>
      </c>
      <c r="P66" s="23" t="s">
        <v>148</v>
      </c>
      <c r="Q66" s="24" t="s">
        <v>31</v>
      </c>
      <c r="R66" s="25">
        <v>44568</v>
      </c>
      <c r="S66" s="28"/>
      <c r="T66" s="35"/>
      <c r="U66" s="35"/>
      <c r="V66" s="29"/>
      <c r="W66" s="35"/>
      <c r="X66" s="29"/>
      <c r="Y66" s="36"/>
      <c r="Z66" s="29"/>
      <c r="AA66" s="31">
        <f t="shared" si="1"/>
        <v>44568</v>
      </c>
      <c r="AB66" s="32" t="str">
        <f t="shared" si="5"/>
        <v>enero</v>
      </c>
    </row>
    <row r="67" spans="1:28" ht="12.75">
      <c r="A67" s="9" t="s">
        <v>99</v>
      </c>
      <c r="B67" s="10">
        <v>44572</v>
      </c>
      <c r="C67" s="11">
        <v>44573</v>
      </c>
      <c r="D67" s="42">
        <v>2</v>
      </c>
      <c r="E67" s="13" t="s">
        <v>149</v>
      </c>
      <c r="F67" s="13">
        <v>3025457</v>
      </c>
      <c r="G67" s="14">
        <v>13168</v>
      </c>
      <c r="H67" s="33">
        <f>7350-7294.51</f>
        <v>55.489999999999782</v>
      </c>
      <c r="I67" s="16">
        <f>-H67*G67</f>
        <v>-730692.31999999715</v>
      </c>
      <c r="J67" s="17">
        <v>0</v>
      </c>
      <c r="K67" s="34">
        <v>4502247204</v>
      </c>
      <c r="L67" s="19">
        <v>5080003821</v>
      </c>
      <c r="M67" s="20">
        <v>5113038680</v>
      </c>
      <c r="N67" s="21"/>
      <c r="O67" s="9"/>
      <c r="P67" s="23"/>
      <c r="Q67" s="24" t="s">
        <v>31</v>
      </c>
      <c r="R67" s="25">
        <v>44568</v>
      </c>
      <c r="S67" s="28"/>
      <c r="T67" s="35"/>
      <c r="U67" s="35"/>
      <c r="V67" s="29"/>
      <c r="W67" s="35"/>
      <c r="X67" s="29"/>
      <c r="Y67" s="36"/>
      <c r="Z67" s="29"/>
      <c r="AA67" s="31">
        <f t="shared" si="1"/>
        <v>44568</v>
      </c>
      <c r="AB67" s="32" t="str">
        <f t="shared" si="5"/>
        <v>enero</v>
      </c>
    </row>
    <row r="68" spans="1:28" ht="12.75">
      <c r="A68" s="9" t="s">
        <v>80</v>
      </c>
      <c r="B68" s="10">
        <v>44568</v>
      </c>
      <c r="C68" s="11">
        <v>44573</v>
      </c>
      <c r="D68" s="42">
        <v>2</v>
      </c>
      <c r="E68" s="13" t="s">
        <v>150</v>
      </c>
      <c r="F68" s="13">
        <v>3025457</v>
      </c>
      <c r="G68" s="14">
        <v>39608</v>
      </c>
      <c r="H68" s="33">
        <v>7400</v>
      </c>
      <c r="I68" s="16">
        <f t="shared" ref="I68:I75" si="14">H68*G68</f>
        <v>293099200</v>
      </c>
      <c r="J68" s="17">
        <v>84</v>
      </c>
      <c r="K68" s="34">
        <v>4502249893</v>
      </c>
      <c r="L68" s="19">
        <v>5080015500</v>
      </c>
      <c r="M68" s="20">
        <v>5113039651</v>
      </c>
      <c r="N68" s="21"/>
      <c r="O68" s="9" t="s">
        <v>37</v>
      </c>
      <c r="P68" s="23" t="s">
        <v>151</v>
      </c>
      <c r="Q68" s="24" t="s">
        <v>82</v>
      </c>
      <c r="R68" s="25">
        <v>44568</v>
      </c>
      <c r="S68" s="28"/>
      <c r="T68" s="35"/>
      <c r="U68" s="35"/>
      <c r="V68" s="29"/>
      <c r="W68" s="35"/>
      <c r="X68" s="29"/>
      <c r="Y68" s="36"/>
      <c r="Z68" s="29"/>
      <c r="AA68" s="31">
        <f t="shared" si="1"/>
        <v>44568</v>
      </c>
      <c r="AB68" s="32" t="str">
        <f t="shared" si="5"/>
        <v>enero</v>
      </c>
    </row>
    <row r="69" spans="1:28" ht="12.75">
      <c r="A69" s="9" t="s">
        <v>83</v>
      </c>
      <c r="B69" s="10">
        <v>44568</v>
      </c>
      <c r="C69" s="11">
        <v>44572</v>
      </c>
      <c r="D69" s="42">
        <v>2</v>
      </c>
      <c r="E69" s="13" t="s">
        <v>152</v>
      </c>
      <c r="F69" s="13">
        <v>3025457</v>
      </c>
      <c r="G69" s="14">
        <v>19256</v>
      </c>
      <c r="H69" s="33">
        <v>7450</v>
      </c>
      <c r="I69" s="16">
        <f t="shared" si="14"/>
        <v>143457200</v>
      </c>
      <c r="J69" s="17">
        <v>42</v>
      </c>
      <c r="K69" s="34">
        <v>4502249898</v>
      </c>
      <c r="L69" s="19">
        <v>5080015551</v>
      </c>
      <c r="M69" s="20">
        <v>5113037897</v>
      </c>
      <c r="N69" s="21"/>
      <c r="O69" s="9" t="s">
        <v>37</v>
      </c>
      <c r="P69" s="23"/>
      <c r="Q69" s="24" t="s">
        <v>82</v>
      </c>
      <c r="R69" s="25">
        <v>44568</v>
      </c>
      <c r="S69" s="28"/>
      <c r="T69" s="35"/>
      <c r="U69" s="35"/>
      <c r="V69" s="29"/>
      <c r="W69" s="35"/>
      <c r="X69" s="29"/>
      <c r="Y69" s="36"/>
      <c r="Z69" s="29"/>
      <c r="AA69" s="31">
        <f t="shared" si="1"/>
        <v>44568</v>
      </c>
      <c r="AB69" s="32" t="str">
        <f t="shared" si="5"/>
        <v>enero</v>
      </c>
    </row>
    <row r="70" spans="1:28" ht="12.75">
      <c r="A70" s="9" t="s">
        <v>85</v>
      </c>
      <c r="B70" s="10">
        <v>44569</v>
      </c>
      <c r="C70" s="11">
        <v>44572</v>
      </c>
      <c r="D70" s="42">
        <v>2</v>
      </c>
      <c r="E70" s="13" t="s">
        <v>153</v>
      </c>
      <c r="F70" s="13">
        <v>3025457</v>
      </c>
      <c r="G70" s="14">
        <v>20159</v>
      </c>
      <c r="H70" s="33">
        <v>7450</v>
      </c>
      <c r="I70" s="16">
        <f t="shared" si="14"/>
        <v>150184550</v>
      </c>
      <c r="J70" s="17">
        <v>42</v>
      </c>
      <c r="K70" s="34">
        <v>4502249894</v>
      </c>
      <c r="L70" s="19">
        <v>5080015506</v>
      </c>
      <c r="M70" s="20">
        <v>5113038775</v>
      </c>
      <c r="N70" s="21" t="s">
        <v>154</v>
      </c>
      <c r="O70" s="9" t="s">
        <v>63</v>
      </c>
      <c r="P70" s="23" t="s">
        <v>155</v>
      </c>
      <c r="Q70" s="24" t="s">
        <v>82</v>
      </c>
      <c r="R70" s="25">
        <v>44568</v>
      </c>
      <c r="S70" s="28"/>
      <c r="T70" s="35"/>
      <c r="U70" s="35"/>
      <c r="V70" s="29"/>
      <c r="W70" s="35"/>
      <c r="X70" s="29"/>
      <c r="Y70" s="36"/>
      <c r="Z70" s="29"/>
      <c r="AA70" s="31">
        <f t="shared" si="1"/>
        <v>44568</v>
      </c>
      <c r="AB70" s="32" t="str">
        <f t="shared" si="5"/>
        <v>enero</v>
      </c>
    </row>
    <row r="71" spans="1:28" ht="12.75">
      <c r="A71" s="9" t="s">
        <v>28</v>
      </c>
      <c r="B71" s="10">
        <v>44572</v>
      </c>
      <c r="C71" s="11">
        <v>44572</v>
      </c>
      <c r="D71" s="42">
        <v>2</v>
      </c>
      <c r="E71" s="13" t="s">
        <v>156</v>
      </c>
      <c r="F71" s="13">
        <v>3025457</v>
      </c>
      <c r="G71" s="14">
        <v>34646</v>
      </c>
      <c r="H71" s="15">
        <v>6850</v>
      </c>
      <c r="I71" s="16">
        <f t="shared" si="14"/>
        <v>237325100</v>
      </c>
      <c r="J71" s="17">
        <v>70</v>
      </c>
      <c r="K71" s="34">
        <v>4502249256</v>
      </c>
      <c r="L71" s="19">
        <v>5080004503</v>
      </c>
      <c r="M71" s="20">
        <v>5113037027</v>
      </c>
      <c r="N71" s="21" t="s">
        <v>37</v>
      </c>
      <c r="O71" s="22" t="s">
        <v>157</v>
      </c>
      <c r="P71" s="23" t="s">
        <v>158</v>
      </c>
      <c r="Q71" s="24" t="s">
        <v>31</v>
      </c>
      <c r="R71" s="25">
        <v>44569</v>
      </c>
      <c r="S71" s="28">
        <v>4902188282</v>
      </c>
      <c r="T71" s="27">
        <f>2982600*5</f>
        <v>14913000</v>
      </c>
      <c r="U71" s="28" t="s">
        <v>159</v>
      </c>
      <c r="V71" s="29">
        <v>5113037811</v>
      </c>
      <c r="W71" s="35"/>
      <c r="X71" s="29"/>
      <c r="Y71" s="36"/>
      <c r="Z71" s="29"/>
      <c r="AA71" s="31">
        <f t="shared" si="1"/>
        <v>44569</v>
      </c>
      <c r="AB71" s="32" t="str">
        <f t="shared" si="5"/>
        <v>enero</v>
      </c>
    </row>
    <row r="72" spans="1:28" ht="12.75">
      <c r="A72" s="9" t="s">
        <v>160</v>
      </c>
      <c r="B72" s="10">
        <v>44569</v>
      </c>
      <c r="C72" s="11"/>
      <c r="D72" s="42">
        <v>2</v>
      </c>
      <c r="E72" s="13" t="s">
        <v>161</v>
      </c>
      <c r="F72" s="13">
        <v>3025457</v>
      </c>
      <c r="G72" s="37">
        <v>20712.5</v>
      </c>
      <c r="H72" s="33">
        <v>7450</v>
      </c>
      <c r="I72" s="16">
        <f t="shared" si="14"/>
        <v>154308125</v>
      </c>
      <c r="J72" s="17">
        <v>42</v>
      </c>
      <c r="K72" s="34">
        <v>4502247207</v>
      </c>
      <c r="L72" s="19">
        <v>5080003918</v>
      </c>
      <c r="M72" s="20">
        <v>5113043114</v>
      </c>
      <c r="N72" s="21"/>
      <c r="O72" s="22" t="s">
        <v>63</v>
      </c>
      <c r="P72" s="23" t="s">
        <v>162</v>
      </c>
      <c r="Q72" s="24" t="s">
        <v>31</v>
      </c>
      <c r="R72" s="25">
        <v>44569</v>
      </c>
      <c r="S72" s="28"/>
      <c r="T72" s="35"/>
      <c r="U72" s="35"/>
      <c r="V72" s="29"/>
      <c r="W72" s="35"/>
      <c r="X72" s="29"/>
      <c r="Y72" s="36"/>
      <c r="Z72" s="29"/>
      <c r="AA72" s="31">
        <f t="shared" si="1"/>
        <v>44569</v>
      </c>
      <c r="AB72" s="32" t="str">
        <f t="shared" si="5"/>
        <v>enero</v>
      </c>
    </row>
    <row r="73" spans="1:28" ht="12.75">
      <c r="A73" s="9" t="s">
        <v>160</v>
      </c>
      <c r="B73" s="10">
        <v>44569</v>
      </c>
      <c r="C73" s="11"/>
      <c r="D73" s="42">
        <v>2</v>
      </c>
      <c r="E73" s="13" t="s">
        <v>163</v>
      </c>
      <c r="F73" s="13">
        <v>3025457</v>
      </c>
      <c r="G73" s="37">
        <v>20712.5</v>
      </c>
      <c r="H73" s="33">
        <f>7494.13-7450</f>
        <v>44.130000000000109</v>
      </c>
      <c r="I73" s="16">
        <f t="shared" si="14"/>
        <v>914042.62500000221</v>
      </c>
      <c r="J73" s="17">
        <v>0</v>
      </c>
      <c r="K73" s="34">
        <v>4502247207</v>
      </c>
      <c r="L73" s="19">
        <v>5080003918</v>
      </c>
      <c r="M73" s="20">
        <v>5113043115</v>
      </c>
      <c r="N73" s="21"/>
      <c r="O73" s="22"/>
      <c r="P73" s="23" t="s">
        <v>164</v>
      </c>
      <c r="Q73" s="24" t="s">
        <v>31</v>
      </c>
      <c r="R73" s="25">
        <v>44569</v>
      </c>
      <c r="S73" s="28"/>
      <c r="T73" s="35"/>
      <c r="U73" s="35"/>
      <c r="V73" s="29"/>
      <c r="W73" s="35"/>
      <c r="X73" s="29"/>
      <c r="Y73" s="36"/>
      <c r="Z73" s="29"/>
      <c r="AA73" s="31">
        <f t="shared" si="1"/>
        <v>44569</v>
      </c>
      <c r="AB73" s="32" t="str">
        <f t="shared" si="5"/>
        <v>enero</v>
      </c>
    </row>
    <row r="74" spans="1:28" ht="12.75">
      <c r="A74" s="9" t="s">
        <v>73</v>
      </c>
      <c r="B74" s="10">
        <v>44572</v>
      </c>
      <c r="C74" s="11">
        <v>44572</v>
      </c>
      <c r="D74" s="42">
        <v>2</v>
      </c>
      <c r="E74" s="13" t="s">
        <v>165</v>
      </c>
      <c r="F74" s="13">
        <v>3025457</v>
      </c>
      <c r="G74" s="37">
        <v>13162.5</v>
      </c>
      <c r="H74" s="33">
        <v>7650</v>
      </c>
      <c r="I74" s="16">
        <f t="shared" si="14"/>
        <v>100693125</v>
      </c>
      <c r="J74" s="17">
        <v>28</v>
      </c>
      <c r="K74" s="34">
        <v>4502247208</v>
      </c>
      <c r="L74" s="19">
        <v>5080003919</v>
      </c>
      <c r="M74" s="20">
        <v>5113037817</v>
      </c>
      <c r="N74" s="21"/>
      <c r="O74" s="9" t="s">
        <v>63</v>
      </c>
      <c r="P74" s="23"/>
      <c r="Q74" s="24" t="s">
        <v>31</v>
      </c>
      <c r="R74" s="25">
        <v>44569</v>
      </c>
      <c r="S74" s="28"/>
      <c r="T74" s="35"/>
      <c r="U74" s="35"/>
      <c r="V74" s="29"/>
      <c r="W74" s="35"/>
      <c r="X74" s="29"/>
      <c r="Y74" s="36"/>
      <c r="Z74" s="29"/>
      <c r="AA74" s="31">
        <f t="shared" si="1"/>
        <v>44569</v>
      </c>
      <c r="AB74" s="32" t="str">
        <f t="shared" si="5"/>
        <v>enero</v>
      </c>
    </row>
    <row r="75" spans="1:28" ht="12.75">
      <c r="A75" s="9" t="s">
        <v>58</v>
      </c>
      <c r="B75" s="10">
        <v>44572</v>
      </c>
      <c r="C75" s="11">
        <v>44572</v>
      </c>
      <c r="D75" s="42">
        <v>2</v>
      </c>
      <c r="E75" s="13" t="s">
        <v>166</v>
      </c>
      <c r="F75" s="13">
        <v>3025457</v>
      </c>
      <c r="G75" s="37">
        <v>32140.5</v>
      </c>
      <c r="H75" s="33">
        <v>7750</v>
      </c>
      <c r="I75" s="16">
        <f t="shared" si="14"/>
        <v>249088875</v>
      </c>
      <c r="J75" s="17">
        <v>75</v>
      </c>
      <c r="K75" s="34">
        <v>4502247209</v>
      </c>
      <c r="L75" s="19">
        <v>5080003920</v>
      </c>
      <c r="M75" s="20">
        <v>5113038712</v>
      </c>
      <c r="N75" s="21"/>
      <c r="O75" s="9" t="s">
        <v>37</v>
      </c>
      <c r="P75" s="23" t="s">
        <v>141</v>
      </c>
      <c r="Q75" s="24" t="s">
        <v>31</v>
      </c>
      <c r="R75" s="25">
        <v>44569</v>
      </c>
      <c r="S75" s="28"/>
      <c r="T75" s="35"/>
      <c r="U75" s="35"/>
      <c r="V75" s="29"/>
      <c r="W75" s="35"/>
      <c r="X75" s="29"/>
      <c r="Y75" s="36"/>
      <c r="Z75" s="29"/>
      <c r="AA75" s="31">
        <f t="shared" si="1"/>
        <v>44569</v>
      </c>
      <c r="AB75" s="32" t="str">
        <f t="shared" si="5"/>
        <v>enero</v>
      </c>
    </row>
    <row r="76" spans="1:28" ht="12.75">
      <c r="A76" s="9" t="s">
        <v>58</v>
      </c>
      <c r="B76" s="10">
        <v>44572</v>
      </c>
      <c r="C76" s="11">
        <v>44572</v>
      </c>
      <c r="D76" s="42">
        <v>2</v>
      </c>
      <c r="E76" s="13" t="s">
        <v>167</v>
      </c>
      <c r="F76" s="13">
        <v>3025457</v>
      </c>
      <c r="G76" s="37">
        <v>32140.5</v>
      </c>
      <c r="H76" s="33">
        <f>7750-7715.38</f>
        <v>34.619999999999891</v>
      </c>
      <c r="I76" s="16">
        <f>-H76*G76</f>
        <v>-1112704.1099999964</v>
      </c>
      <c r="J76" s="17">
        <v>0</v>
      </c>
      <c r="K76" s="34">
        <v>4502247209</v>
      </c>
      <c r="L76" s="19">
        <v>5080003920</v>
      </c>
      <c r="M76" s="20">
        <v>5113038714</v>
      </c>
      <c r="N76" s="21"/>
      <c r="O76" s="9"/>
      <c r="P76" s="23"/>
      <c r="Q76" s="24" t="s">
        <v>31</v>
      </c>
      <c r="R76" s="25">
        <v>44569</v>
      </c>
      <c r="S76" s="28"/>
      <c r="T76" s="35"/>
      <c r="U76" s="35"/>
      <c r="V76" s="29"/>
      <c r="W76" s="35"/>
      <c r="X76" s="29"/>
      <c r="Y76" s="36"/>
      <c r="Z76" s="29"/>
      <c r="AA76" s="31">
        <f t="shared" si="1"/>
        <v>44569</v>
      </c>
      <c r="AB76" s="32" t="str">
        <f t="shared" si="5"/>
        <v>enero</v>
      </c>
    </row>
    <row r="77" spans="1:28" ht="12.75">
      <c r="A77" s="45" t="s">
        <v>145</v>
      </c>
      <c r="B77" s="10">
        <v>44572</v>
      </c>
      <c r="C77" s="11">
        <v>44572</v>
      </c>
      <c r="D77" s="42">
        <v>2</v>
      </c>
      <c r="E77" s="13" t="s">
        <v>146</v>
      </c>
      <c r="F77" s="13">
        <v>3025459</v>
      </c>
      <c r="G77" s="37">
        <v>6787.5</v>
      </c>
      <c r="H77" s="33">
        <v>7400</v>
      </c>
      <c r="I77" s="16">
        <f t="shared" ref="I77:I81" si="15">H77*G77</f>
        <v>50227500</v>
      </c>
      <c r="J77" s="17">
        <v>14</v>
      </c>
      <c r="K77" s="34">
        <v>4502247210</v>
      </c>
      <c r="L77" s="19">
        <v>5080003820</v>
      </c>
      <c r="M77" s="20">
        <v>5113037883</v>
      </c>
      <c r="N77" s="21"/>
      <c r="O77" s="9" t="s">
        <v>37</v>
      </c>
      <c r="P77" s="23"/>
      <c r="Q77" s="24" t="s">
        <v>31</v>
      </c>
      <c r="R77" s="25">
        <v>44569</v>
      </c>
      <c r="S77" s="28"/>
      <c r="T77" s="35"/>
      <c r="U77" s="35"/>
      <c r="V77" s="29"/>
      <c r="W77" s="35"/>
      <c r="X77" s="29"/>
      <c r="Y77" s="36"/>
      <c r="Z77" s="29"/>
      <c r="AA77" s="31">
        <f t="shared" si="1"/>
        <v>44569</v>
      </c>
      <c r="AB77" s="32" t="str">
        <f t="shared" si="5"/>
        <v>enero</v>
      </c>
    </row>
    <row r="78" spans="1:28" ht="12.75">
      <c r="A78" s="9" t="s">
        <v>168</v>
      </c>
      <c r="B78" s="10">
        <v>44572</v>
      </c>
      <c r="C78" s="11">
        <v>44572</v>
      </c>
      <c r="D78" s="42">
        <v>2</v>
      </c>
      <c r="E78" s="13" t="s">
        <v>169</v>
      </c>
      <c r="F78" s="13">
        <v>3025459</v>
      </c>
      <c r="G78" s="37">
        <v>13422.5</v>
      </c>
      <c r="H78" s="33">
        <v>7650</v>
      </c>
      <c r="I78" s="16">
        <f t="shared" si="15"/>
        <v>102682125</v>
      </c>
      <c r="J78" s="17">
        <v>28</v>
      </c>
      <c r="K78" s="34">
        <v>4502247211</v>
      </c>
      <c r="L78" s="19">
        <v>5080003827</v>
      </c>
      <c r="M78" s="20">
        <v>5113036977</v>
      </c>
      <c r="N78" s="21"/>
      <c r="O78" s="9" t="s">
        <v>63</v>
      </c>
      <c r="P78" s="23"/>
      <c r="Q78" s="24" t="s">
        <v>31</v>
      </c>
      <c r="R78" s="25">
        <v>44569</v>
      </c>
      <c r="S78" s="28"/>
      <c r="T78" s="35"/>
      <c r="U78" s="35"/>
      <c r="V78" s="29"/>
      <c r="W78" s="35"/>
      <c r="X78" s="29"/>
      <c r="Y78" s="36"/>
      <c r="Z78" s="29"/>
      <c r="AA78" s="31">
        <f t="shared" si="1"/>
        <v>44569</v>
      </c>
      <c r="AB78" s="32" t="str">
        <f t="shared" si="5"/>
        <v>enero</v>
      </c>
    </row>
    <row r="79" spans="1:28" ht="12.75">
      <c r="A79" s="9" t="s">
        <v>58</v>
      </c>
      <c r="B79" s="10">
        <v>44573</v>
      </c>
      <c r="C79" s="11">
        <v>44573</v>
      </c>
      <c r="D79" s="42">
        <v>2</v>
      </c>
      <c r="E79" s="13" t="s">
        <v>170</v>
      </c>
      <c r="F79" s="13">
        <v>3025457</v>
      </c>
      <c r="G79" s="37">
        <v>35335.5</v>
      </c>
      <c r="H79" s="33">
        <v>7750</v>
      </c>
      <c r="I79" s="16">
        <f t="shared" si="15"/>
        <v>273850125</v>
      </c>
      <c r="J79" s="17">
        <v>75</v>
      </c>
      <c r="K79" s="34">
        <v>4502247213</v>
      </c>
      <c r="L79" s="19">
        <v>5080004439</v>
      </c>
      <c r="M79" s="20">
        <v>5113044338</v>
      </c>
      <c r="N79" s="21"/>
      <c r="O79" s="9" t="s">
        <v>37</v>
      </c>
      <c r="P79" s="23"/>
      <c r="Q79" s="24" t="s">
        <v>31</v>
      </c>
      <c r="R79" s="25">
        <v>44570</v>
      </c>
      <c r="S79" s="28"/>
      <c r="T79" s="35"/>
      <c r="U79" s="35"/>
      <c r="V79" s="29"/>
      <c r="W79" s="35"/>
      <c r="X79" s="29"/>
      <c r="Y79" s="36"/>
      <c r="Z79" s="29"/>
      <c r="AA79" s="31">
        <f t="shared" si="1"/>
        <v>44570</v>
      </c>
      <c r="AB79" s="32" t="str">
        <f t="shared" si="5"/>
        <v>enero</v>
      </c>
    </row>
    <row r="80" spans="1:28" ht="12.75">
      <c r="A80" s="9" t="s">
        <v>54</v>
      </c>
      <c r="B80" s="10">
        <v>44572</v>
      </c>
      <c r="C80" s="11"/>
      <c r="D80" s="42">
        <v>2</v>
      </c>
      <c r="E80" s="13" t="s">
        <v>171</v>
      </c>
      <c r="F80" s="13">
        <v>3025457</v>
      </c>
      <c r="G80" s="14">
        <v>28599</v>
      </c>
      <c r="H80" s="15">
        <v>6850</v>
      </c>
      <c r="I80" s="16">
        <f t="shared" si="15"/>
        <v>195903150</v>
      </c>
      <c r="J80" s="17">
        <v>56</v>
      </c>
      <c r="K80" s="34">
        <v>4502249258</v>
      </c>
      <c r="L80" s="19">
        <v>5080004502</v>
      </c>
      <c r="M80" s="20">
        <v>5113037028</v>
      </c>
      <c r="N80" s="21"/>
      <c r="O80" s="22" t="s">
        <v>172</v>
      </c>
      <c r="P80" s="23" t="s">
        <v>173</v>
      </c>
      <c r="Q80" s="24" t="s">
        <v>31</v>
      </c>
      <c r="R80" s="25">
        <v>44570</v>
      </c>
      <c r="S80" s="28">
        <v>4902188285</v>
      </c>
      <c r="T80" s="27">
        <f>2979200*4</f>
        <v>11916800</v>
      </c>
      <c r="U80" s="28" t="s">
        <v>174</v>
      </c>
      <c r="V80" s="29">
        <v>5113037813</v>
      </c>
      <c r="W80" s="28" t="s">
        <v>175</v>
      </c>
      <c r="X80" s="29">
        <v>5113037815</v>
      </c>
      <c r="Y80" s="36"/>
      <c r="Z80" s="29"/>
      <c r="AA80" s="31">
        <f t="shared" si="1"/>
        <v>44570</v>
      </c>
      <c r="AB80" s="32" t="str">
        <f t="shared" si="5"/>
        <v>enero</v>
      </c>
    </row>
    <row r="81" spans="1:28" ht="12.75">
      <c r="A81" s="9" t="s">
        <v>96</v>
      </c>
      <c r="B81" s="10">
        <v>44572</v>
      </c>
      <c r="C81" s="11"/>
      <c r="D81" s="42">
        <v>2</v>
      </c>
      <c r="E81" s="13" t="s">
        <v>176</v>
      </c>
      <c r="F81" s="13">
        <v>3025459</v>
      </c>
      <c r="G81" s="37">
        <v>27193.5</v>
      </c>
      <c r="H81" s="33">
        <v>7400</v>
      </c>
      <c r="I81" s="16">
        <f t="shared" si="15"/>
        <v>201231900</v>
      </c>
      <c r="J81" s="17">
        <v>56</v>
      </c>
      <c r="K81" s="34">
        <v>4502247214</v>
      </c>
      <c r="L81" s="19">
        <v>5080004440</v>
      </c>
      <c r="M81" s="20">
        <v>5113046871</v>
      </c>
      <c r="N81" s="21"/>
      <c r="O81" s="9" t="s">
        <v>63</v>
      </c>
      <c r="P81" s="23"/>
      <c r="Q81" s="24" t="s">
        <v>31</v>
      </c>
      <c r="R81" s="25">
        <v>44570</v>
      </c>
      <c r="S81" s="28"/>
      <c r="T81" s="35"/>
      <c r="U81" s="35"/>
      <c r="V81" s="29"/>
      <c r="W81" s="35"/>
      <c r="X81" s="29"/>
      <c r="Y81" s="36"/>
      <c r="Z81" s="29"/>
      <c r="AA81" s="31">
        <f t="shared" si="1"/>
        <v>44570</v>
      </c>
      <c r="AB81" s="32" t="str">
        <f t="shared" si="5"/>
        <v>enero</v>
      </c>
    </row>
    <row r="82" spans="1:28" ht="12.75">
      <c r="A82" s="9" t="s">
        <v>96</v>
      </c>
      <c r="B82" s="10">
        <v>44572</v>
      </c>
      <c r="C82" s="11"/>
      <c r="D82" s="42">
        <v>2</v>
      </c>
      <c r="E82" s="13" t="s">
        <v>177</v>
      </c>
      <c r="F82" s="13">
        <v>3025459</v>
      </c>
      <c r="G82" s="37">
        <v>27193.5</v>
      </c>
      <c r="H82" s="33">
        <f>7400-7393.11</f>
        <v>6.8900000000003274</v>
      </c>
      <c r="I82" s="16">
        <f>-H82*G82</f>
        <v>-187363.2150000089</v>
      </c>
      <c r="J82" s="17">
        <v>0</v>
      </c>
      <c r="K82" s="34">
        <v>4502247214</v>
      </c>
      <c r="L82" s="19">
        <v>5080004440</v>
      </c>
      <c r="M82" s="20">
        <v>5113046872</v>
      </c>
      <c r="N82" s="23" t="s">
        <v>154</v>
      </c>
      <c r="O82" s="9"/>
      <c r="P82" s="23" t="s">
        <v>151</v>
      </c>
      <c r="Q82" s="24" t="s">
        <v>31</v>
      </c>
      <c r="R82" s="25">
        <v>44570</v>
      </c>
      <c r="S82" s="28"/>
      <c r="T82" s="35"/>
      <c r="U82" s="35"/>
      <c r="V82" s="29"/>
      <c r="W82" s="35"/>
      <c r="X82" s="29"/>
      <c r="Y82" s="36"/>
      <c r="Z82" s="29"/>
      <c r="AA82" s="31">
        <f t="shared" si="1"/>
        <v>44570</v>
      </c>
      <c r="AB82" s="32" t="str">
        <f t="shared" si="5"/>
        <v>enero</v>
      </c>
    </row>
    <row r="83" spans="1:28" ht="12.75">
      <c r="A83" s="9" t="s">
        <v>111</v>
      </c>
      <c r="B83" s="10">
        <v>44570</v>
      </c>
      <c r="C83" s="11">
        <v>44575</v>
      </c>
      <c r="D83" s="42">
        <v>2</v>
      </c>
      <c r="E83" s="13" t="s">
        <v>178</v>
      </c>
      <c r="F83" s="13">
        <v>3025459</v>
      </c>
      <c r="G83" s="37">
        <v>6679.5</v>
      </c>
      <c r="H83" s="33">
        <v>7400</v>
      </c>
      <c r="I83" s="16">
        <f t="shared" ref="I83:I85" si="16">H83*G83</f>
        <v>49428300</v>
      </c>
      <c r="J83" s="17">
        <v>14</v>
      </c>
      <c r="K83" s="34">
        <v>4502247216</v>
      </c>
      <c r="L83" s="19">
        <v>5080004441</v>
      </c>
      <c r="M83" s="20">
        <v>5113043108</v>
      </c>
      <c r="N83" s="21"/>
      <c r="O83" s="9" t="s">
        <v>63</v>
      </c>
      <c r="P83" s="23"/>
      <c r="Q83" s="24" t="s">
        <v>31</v>
      </c>
      <c r="R83" s="25">
        <v>44570</v>
      </c>
      <c r="S83" s="28"/>
      <c r="T83" s="35"/>
      <c r="U83" s="35"/>
      <c r="V83" s="29"/>
      <c r="W83" s="35"/>
      <c r="X83" s="29"/>
      <c r="Y83" s="36"/>
      <c r="Z83" s="29"/>
      <c r="AA83" s="31">
        <f t="shared" si="1"/>
        <v>44570</v>
      </c>
      <c r="AB83" s="32" t="str">
        <f t="shared" si="5"/>
        <v>enero</v>
      </c>
    </row>
    <row r="84" spans="1:28" ht="12.75">
      <c r="A84" s="9" t="s">
        <v>65</v>
      </c>
      <c r="B84" s="10">
        <v>44570</v>
      </c>
      <c r="C84" s="11">
        <v>44574</v>
      </c>
      <c r="D84" s="42">
        <v>2</v>
      </c>
      <c r="E84" s="13" t="s">
        <v>179</v>
      </c>
      <c r="F84" s="13">
        <v>3025457</v>
      </c>
      <c r="G84" s="37">
        <v>13167.5</v>
      </c>
      <c r="H84" s="33">
        <v>7650</v>
      </c>
      <c r="I84" s="16">
        <f t="shared" si="16"/>
        <v>100731375</v>
      </c>
      <c r="J84" s="17">
        <v>28</v>
      </c>
      <c r="K84" s="34">
        <v>4502247218</v>
      </c>
      <c r="L84" s="19">
        <v>5080004442</v>
      </c>
      <c r="M84" s="20">
        <v>5113040699</v>
      </c>
      <c r="N84" s="21"/>
      <c r="O84" s="9" t="s">
        <v>63</v>
      </c>
      <c r="P84" s="23"/>
      <c r="Q84" s="24" t="s">
        <v>31</v>
      </c>
      <c r="R84" s="25">
        <v>44571</v>
      </c>
      <c r="S84" s="28"/>
      <c r="T84" s="35"/>
      <c r="U84" s="35"/>
      <c r="V84" s="29"/>
      <c r="W84" s="35"/>
      <c r="X84" s="29"/>
      <c r="Y84" s="36"/>
      <c r="Z84" s="29"/>
      <c r="AA84" s="31">
        <f t="shared" si="1"/>
        <v>44571</v>
      </c>
      <c r="AB84" s="32" t="str">
        <f t="shared" si="5"/>
        <v>enero</v>
      </c>
    </row>
    <row r="85" spans="1:28" ht="12.75">
      <c r="A85" s="9" t="s">
        <v>180</v>
      </c>
      <c r="B85" s="10">
        <v>44582</v>
      </c>
      <c r="C85" s="11"/>
      <c r="D85" s="42">
        <v>2</v>
      </c>
      <c r="E85" s="13" t="s">
        <v>181</v>
      </c>
      <c r="F85" s="13">
        <v>3025457</v>
      </c>
      <c r="G85" s="14">
        <v>7042</v>
      </c>
      <c r="H85" s="33">
        <v>7400</v>
      </c>
      <c r="I85" s="16">
        <f t="shared" si="16"/>
        <v>52110800</v>
      </c>
      <c r="J85" s="17">
        <v>14</v>
      </c>
      <c r="K85" s="34">
        <v>4502247220</v>
      </c>
      <c r="L85" s="19">
        <v>5080013082</v>
      </c>
      <c r="M85" s="20">
        <v>5113061621</v>
      </c>
      <c r="N85" s="21"/>
      <c r="O85" s="9" t="s">
        <v>63</v>
      </c>
      <c r="P85" s="23" t="s">
        <v>182</v>
      </c>
      <c r="Q85" s="24" t="s">
        <v>31</v>
      </c>
      <c r="R85" s="25">
        <v>44571</v>
      </c>
      <c r="S85" s="28"/>
      <c r="T85" s="35"/>
      <c r="U85" s="35"/>
      <c r="V85" s="29"/>
      <c r="W85" s="35"/>
      <c r="X85" s="29"/>
      <c r="Y85" s="36"/>
      <c r="Z85" s="29"/>
      <c r="AA85" s="31">
        <f t="shared" si="1"/>
        <v>44571</v>
      </c>
      <c r="AB85" s="32" t="str">
        <f t="shared" si="5"/>
        <v>enero</v>
      </c>
    </row>
    <row r="86" spans="1:28" ht="12.75">
      <c r="A86" s="9" t="s">
        <v>180</v>
      </c>
      <c r="B86" s="10">
        <v>44582</v>
      </c>
      <c r="C86" s="11">
        <v>44586</v>
      </c>
      <c r="D86" s="42">
        <v>2</v>
      </c>
      <c r="E86" s="13" t="s">
        <v>183</v>
      </c>
      <c r="F86" s="13">
        <v>3025457</v>
      </c>
      <c r="G86" s="14">
        <v>7042</v>
      </c>
      <c r="H86" s="33">
        <f>7400-7341.47</f>
        <v>58.529999999999745</v>
      </c>
      <c r="I86" s="16">
        <f>-H86*G86</f>
        <v>-412168.2599999982</v>
      </c>
      <c r="J86" s="17">
        <v>0</v>
      </c>
      <c r="K86" s="34">
        <v>4502247220</v>
      </c>
      <c r="L86" s="19">
        <v>5080013082</v>
      </c>
      <c r="M86" s="20">
        <v>5113061625</v>
      </c>
      <c r="N86" s="21"/>
      <c r="O86" s="9"/>
      <c r="P86" s="23" t="s">
        <v>184</v>
      </c>
      <c r="Q86" s="24" t="s">
        <v>31</v>
      </c>
      <c r="R86" s="25">
        <v>44571</v>
      </c>
      <c r="S86" s="28"/>
      <c r="T86" s="35"/>
      <c r="U86" s="35"/>
      <c r="V86" s="29"/>
      <c r="W86" s="35"/>
      <c r="X86" s="29"/>
      <c r="Y86" s="36"/>
      <c r="Z86" s="29"/>
      <c r="AA86" s="31">
        <f t="shared" si="1"/>
        <v>44571</v>
      </c>
      <c r="AB86" s="32" t="str">
        <f t="shared" si="5"/>
        <v>enero</v>
      </c>
    </row>
    <row r="87" spans="1:28" ht="12.75">
      <c r="A87" s="9" t="s">
        <v>185</v>
      </c>
      <c r="B87" s="10">
        <v>44571</v>
      </c>
      <c r="C87" s="11">
        <v>44574</v>
      </c>
      <c r="D87" s="42">
        <v>2</v>
      </c>
      <c r="E87" s="13" t="s">
        <v>186</v>
      </c>
      <c r="F87" s="13">
        <v>3025457</v>
      </c>
      <c r="G87" s="14">
        <v>13240</v>
      </c>
      <c r="H87" s="33">
        <v>7350</v>
      </c>
      <c r="I87" s="16">
        <f>H87*G87</f>
        <v>97314000</v>
      </c>
      <c r="J87" s="17">
        <v>28</v>
      </c>
      <c r="K87" s="34">
        <v>4502247221</v>
      </c>
      <c r="L87" s="19">
        <v>5080004443</v>
      </c>
      <c r="M87" s="46">
        <v>5113040738</v>
      </c>
      <c r="N87" s="21"/>
      <c r="O87" s="47" t="s">
        <v>187</v>
      </c>
      <c r="P87" s="23"/>
      <c r="Q87" s="24" t="s">
        <v>31</v>
      </c>
      <c r="R87" s="25">
        <v>44571</v>
      </c>
      <c r="S87" s="28"/>
      <c r="T87" s="35"/>
      <c r="U87" s="35"/>
      <c r="V87" s="29"/>
      <c r="W87" s="35"/>
      <c r="X87" s="29"/>
      <c r="Y87" s="36"/>
      <c r="Z87" s="29"/>
      <c r="AA87" s="31">
        <f t="shared" si="1"/>
        <v>44571</v>
      </c>
      <c r="AB87" s="32" t="str">
        <f t="shared" si="5"/>
        <v>enero</v>
      </c>
    </row>
    <row r="88" spans="1:28" ht="12.75">
      <c r="A88" s="9" t="s">
        <v>185</v>
      </c>
      <c r="B88" s="10">
        <v>44571</v>
      </c>
      <c r="C88" s="11">
        <v>44574</v>
      </c>
      <c r="D88" s="42">
        <v>2</v>
      </c>
      <c r="E88" s="13" t="s">
        <v>188</v>
      </c>
      <c r="F88" s="13">
        <v>3025457</v>
      </c>
      <c r="G88" s="14">
        <v>13240</v>
      </c>
      <c r="H88" s="33">
        <f>7350-7329.68</f>
        <v>20.319999999999709</v>
      </c>
      <c r="I88" s="16">
        <f>-H88*G88</f>
        <v>-269036.79999999615</v>
      </c>
      <c r="J88" s="17">
        <v>0</v>
      </c>
      <c r="K88" s="34">
        <v>4502247221</v>
      </c>
      <c r="L88" s="19">
        <v>5080004443</v>
      </c>
      <c r="M88" s="46">
        <v>5113040740</v>
      </c>
      <c r="N88" s="21"/>
      <c r="O88" s="47"/>
      <c r="P88" s="23"/>
      <c r="Q88" s="24" t="s">
        <v>31</v>
      </c>
      <c r="R88" s="25">
        <v>44571</v>
      </c>
      <c r="S88" s="28"/>
      <c r="T88" s="35"/>
      <c r="U88" s="35"/>
      <c r="V88" s="29"/>
      <c r="W88" s="35"/>
      <c r="X88" s="29"/>
      <c r="Y88" s="36"/>
      <c r="Z88" s="29"/>
      <c r="AA88" s="31">
        <f t="shared" si="1"/>
        <v>44571</v>
      </c>
      <c r="AB88" s="32" t="str">
        <f t="shared" si="5"/>
        <v>enero</v>
      </c>
    </row>
    <row r="89" spans="1:28" ht="12.75">
      <c r="A89" s="9" t="s">
        <v>58</v>
      </c>
      <c r="B89" s="10">
        <v>44579</v>
      </c>
      <c r="C89" s="11">
        <v>44579</v>
      </c>
      <c r="D89" s="42">
        <v>2</v>
      </c>
      <c r="E89" s="13" t="s">
        <v>189</v>
      </c>
      <c r="F89" s="13">
        <v>3025457</v>
      </c>
      <c r="G89" s="37">
        <v>13619.5</v>
      </c>
      <c r="H89" s="33">
        <v>7750</v>
      </c>
      <c r="I89" s="16">
        <f>H89*G89</f>
        <v>105551125</v>
      </c>
      <c r="J89" s="17">
        <v>30</v>
      </c>
      <c r="K89" s="34">
        <v>4502247223</v>
      </c>
      <c r="L89" s="19">
        <v>5080013590</v>
      </c>
      <c r="M89" s="20">
        <v>5113050316</v>
      </c>
      <c r="N89" s="21"/>
      <c r="O89" s="9" t="s">
        <v>37</v>
      </c>
      <c r="P89" s="23"/>
      <c r="Q89" s="24" t="s">
        <v>31</v>
      </c>
      <c r="R89" s="25">
        <v>44571</v>
      </c>
      <c r="S89" s="28"/>
      <c r="T89" s="35"/>
      <c r="U89" s="35"/>
      <c r="V89" s="29"/>
      <c r="W89" s="35"/>
      <c r="X89" s="29"/>
      <c r="Y89" s="36"/>
      <c r="Z89" s="29"/>
      <c r="AA89" s="31">
        <f t="shared" si="1"/>
        <v>44571</v>
      </c>
      <c r="AB89" s="32" t="str">
        <f t="shared" si="5"/>
        <v>enero</v>
      </c>
    </row>
    <row r="90" spans="1:28" ht="12.75">
      <c r="A90" s="9" t="s">
        <v>58</v>
      </c>
      <c r="B90" s="10">
        <v>44579</v>
      </c>
      <c r="C90" s="11">
        <v>44579</v>
      </c>
      <c r="D90" s="42">
        <v>2</v>
      </c>
      <c r="E90" s="13" t="s">
        <v>190</v>
      </c>
      <c r="F90" s="13">
        <v>3025457</v>
      </c>
      <c r="G90" s="37">
        <v>13619.5</v>
      </c>
      <c r="H90" s="33">
        <f>7750-7729.35</f>
        <v>20.649999999999636</v>
      </c>
      <c r="I90" s="16">
        <f>-H90*G90</f>
        <v>-281242.67499999504</v>
      </c>
      <c r="J90" s="17">
        <v>0</v>
      </c>
      <c r="K90" s="34">
        <v>4502247223</v>
      </c>
      <c r="L90" s="19">
        <v>5080013590</v>
      </c>
      <c r="M90" s="20">
        <v>5113050327</v>
      </c>
      <c r="N90" s="21"/>
      <c r="O90" s="9"/>
      <c r="P90" s="23"/>
      <c r="Q90" s="24" t="s">
        <v>31</v>
      </c>
      <c r="R90" s="25">
        <v>44571</v>
      </c>
      <c r="S90" s="28"/>
      <c r="T90" s="35"/>
      <c r="U90" s="35"/>
      <c r="V90" s="29"/>
      <c r="W90" s="35"/>
      <c r="X90" s="29"/>
      <c r="Y90" s="36"/>
      <c r="Z90" s="29"/>
      <c r="AA90" s="31">
        <f t="shared" si="1"/>
        <v>44571</v>
      </c>
      <c r="AB90" s="32" t="str">
        <f t="shared" si="5"/>
        <v>enero</v>
      </c>
    </row>
    <row r="91" spans="1:28" ht="12.75">
      <c r="A91" s="9" t="s">
        <v>191</v>
      </c>
      <c r="B91" s="10">
        <v>44574</v>
      </c>
      <c r="C91" s="11"/>
      <c r="D91" s="42">
        <v>2</v>
      </c>
      <c r="E91" s="13" t="s">
        <v>192</v>
      </c>
      <c r="F91" s="13">
        <v>3025459</v>
      </c>
      <c r="G91" s="14">
        <v>6704</v>
      </c>
      <c r="H91" s="33">
        <v>7350</v>
      </c>
      <c r="I91" s="16">
        <f t="shared" ref="I91:I97" si="17">H91*G91</f>
        <v>49274400</v>
      </c>
      <c r="J91" s="17">
        <v>14</v>
      </c>
      <c r="K91" s="34">
        <v>4502247225</v>
      </c>
      <c r="L91" s="19">
        <v>5080013083</v>
      </c>
      <c r="M91" s="20">
        <v>5113043111</v>
      </c>
      <c r="N91" s="21"/>
      <c r="O91" s="9" t="s">
        <v>193</v>
      </c>
      <c r="P91" s="23"/>
      <c r="Q91" s="24" t="s">
        <v>31</v>
      </c>
      <c r="R91" s="25">
        <v>44571</v>
      </c>
      <c r="S91" s="28"/>
      <c r="T91" s="35"/>
      <c r="U91" s="35"/>
      <c r="V91" s="29"/>
      <c r="W91" s="35"/>
      <c r="X91" s="29"/>
      <c r="Y91" s="36"/>
      <c r="Z91" s="29"/>
      <c r="AA91" s="31">
        <f t="shared" si="1"/>
        <v>44571</v>
      </c>
      <c r="AB91" s="32" t="str">
        <f t="shared" si="5"/>
        <v>enero</v>
      </c>
    </row>
    <row r="92" spans="1:28" ht="12.75">
      <c r="A92" s="9" t="s">
        <v>43</v>
      </c>
      <c r="B92" s="10">
        <v>44574</v>
      </c>
      <c r="C92" s="11">
        <v>44574</v>
      </c>
      <c r="D92" s="42">
        <v>2</v>
      </c>
      <c r="E92" s="13" t="s">
        <v>194</v>
      </c>
      <c r="F92" s="13">
        <v>3025459</v>
      </c>
      <c r="G92" s="14">
        <v>28542</v>
      </c>
      <c r="H92" s="33">
        <v>7500</v>
      </c>
      <c r="I92" s="16">
        <f t="shared" si="17"/>
        <v>214065000</v>
      </c>
      <c r="J92" s="17">
        <v>56</v>
      </c>
      <c r="K92" s="34">
        <v>4502247226</v>
      </c>
      <c r="L92" s="19">
        <v>5080013085</v>
      </c>
      <c r="M92" s="46">
        <v>5113041144</v>
      </c>
      <c r="N92" s="21"/>
      <c r="O92" s="47" t="s">
        <v>37</v>
      </c>
      <c r="P92" s="23"/>
      <c r="Q92" s="24" t="s">
        <v>31</v>
      </c>
      <c r="R92" s="25">
        <v>44571</v>
      </c>
      <c r="S92" s="28"/>
      <c r="T92" s="35"/>
      <c r="U92" s="35"/>
      <c r="V92" s="29"/>
      <c r="W92" s="35"/>
      <c r="X92" s="29"/>
      <c r="Y92" s="36"/>
      <c r="Z92" s="29"/>
      <c r="AA92" s="31">
        <f t="shared" si="1"/>
        <v>44571</v>
      </c>
      <c r="AB92" s="32" t="str">
        <f t="shared" si="5"/>
        <v>enero</v>
      </c>
    </row>
    <row r="93" spans="1:28" ht="12.75">
      <c r="A93" s="9" t="s">
        <v>43</v>
      </c>
      <c r="B93" s="10">
        <v>44574</v>
      </c>
      <c r="C93" s="11">
        <v>44574</v>
      </c>
      <c r="D93" s="42">
        <v>2</v>
      </c>
      <c r="E93" s="13" t="s">
        <v>195</v>
      </c>
      <c r="F93" s="13">
        <v>3025459</v>
      </c>
      <c r="G93" s="14">
        <v>28542</v>
      </c>
      <c r="H93" s="33">
        <f>7609.29-7500</f>
        <v>109.28999999999996</v>
      </c>
      <c r="I93" s="16">
        <f t="shared" si="17"/>
        <v>3119355.1799999988</v>
      </c>
      <c r="J93" s="17">
        <v>0</v>
      </c>
      <c r="K93" s="34">
        <v>4502247226</v>
      </c>
      <c r="L93" s="19">
        <v>5080013085</v>
      </c>
      <c r="M93" s="46">
        <v>5113041146</v>
      </c>
      <c r="N93" s="21"/>
      <c r="O93" s="47"/>
      <c r="P93" s="23"/>
      <c r="Q93" s="24" t="s">
        <v>31</v>
      </c>
      <c r="R93" s="25">
        <v>44571</v>
      </c>
      <c r="S93" s="28"/>
      <c r="T93" s="35"/>
      <c r="U93" s="35"/>
      <c r="V93" s="29"/>
      <c r="W93" s="35"/>
      <c r="X93" s="29"/>
      <c r="Y93" s="36"/>
      <c r="Z93" s="29"/>
      <c r="AA93" s="31">
        <f t="shared" si="1"/>
        <v>44571</v>
      </c>
      <c r="AB93" s="32" t="str">
        <f t="shared" si="5"/>
        <v>enero</v>
      </c>
    </row>
    <row r="94" spans="1:28" ht="12.75">
      <c r="A94" s="9" t="s">
        <v>196</v>
      </c>
      <c r="B94" s="10">
        <v>44571</v>
      </c>
      <c r="C94" s="11"/>
      <c r="D94" s="42">
        <v>2</v>
      </c>
      <c r="E94" s="13" t="s">
        <v>197</v>
      </c>
      <c r="F94" s="13">
        <v>3025457</v>
      </c>
      <c r="G94" s="14">
        <v>25844</v>
      </c>
      <c r="H94" s="33">
        <v>7450</v>
      </c>
      <c r="I94" s="16">
        <f t="shared" si="17"/>
        <v>192537800</v>
      </c>
      <c r="J94" s="17">
        <v>56</v>
      </c>
      <c r="K94" s="34">
        <v>4502251564</v>
      </c>
      <c r="L94" s="19">
        <v>5080049360</v>
      </c>
      <c r="M94" s="46">
        <v>5113042216</v>
      </c>
      <c r="N94" s="21"/>
      <c r="O94" s="47"/>
      <c r="P94" s="23"/>
      <c r="Q94" s="24" t="s">
        <v>82</v>
      </c>
      <c r="R94" s="25">
        <v>44571</v>
      </c>
      <c r="S94" s="28"/>
      <c r="T94" s="35"/>
      <c r="U94" s="35"/>
      <c r="V94" s="29"/>
      <c r="W94" s="35"/>
      <c r="X94" s="29"/>
      <c r="Y94" s="36"/>
      <c r="Z94" s="29"/>
      <c r="AA94" s="31">
        <f t="shared" si="1"/>
        <v>44571</v>
      </c>
      <c r="AB94" s="32" t="str">
        <f t="shared" si="5"/>
        <v>enero</v>
      </c>
    </row>
    <row r="95" spans="1:28" ht="12.75">
      <c r="A95" s="9" t="s">
        <v>89</v>
      </c>
      <c r="B95" s="10">
        <v>44571</v>
      </c>
      <c r="C95" s="11">
        <v>44574</v>
      </c>
      <c r="D95" s="42">
        <v>2</v>
      </c>
      <c r="E95" s="13" t="s">
        <v>198</v>
      </c>
      <c r="F95" s="13">
        <v>3025457</v>
      </c>
      <c r="G95" s="14">
        <v>7563</v>
      </c>
      <c r="H95" s="33">
        <v>7450</v>
      </c>
      <c r="I95" s="16">
        <f t="shared" si="17"/>
        <v>56344350</v>
      </c>
      <c r="J95" s="17">
        <v>15</v>
      </c>
      <c r="K95" s="34">
        <v>4502251577</v>
      </c>
      <c r="L95" s="19">
        <v>5080049363</v>
      </c>
      <c r="M95" s="20">
        <v>5113043212</v>
      </c>
      <c r="N95" s="21"/>
      <c r="O95" s="9" t="s">
        <v>63</v>
      </c>
      <c r="P95" s="23"/>
      <c r="Q95" s="24" t="s">
        <v>82</v>
      </c>
      <c r="R95" s="25">
        <v>44571</v>
      </c>
      <c r="S95" s="28"/>
      <c r="T95" s="35"/>
      <c r="U95" s="35"/>
      <c r="V95" s="29"/>
      <c r="W95" s="35"/>
      <c r="X95" s="29"/>
      <c r="Y95" s="36"/>
      <c r="Z95" s="29"/>
      <c r="AA95" s="31">
        <f t="shared" si="1"/>
        <v>44571</v>
      </c>
      <c r="AB95" s="32" t="str">
        <f t="shared" si="5"/>
        <v>enero</v>
      </c>
    </row>
    <row r="96" spans="1:28" ht="12.75">
      <c r="A96" s="9" t="s">
        <v>199</v>
      </c>
      <c r="B96" s="10">
        <v>44571</v>
      </c>
      <c r="C96" s="11">
        <v>44574</v>
      </c>
      <c r="D96" s="42">
        <v>2</v>
      </c>
      <c r="E96" s="13" t="s">
        <v>200</v>
      </c>
      <c r="F96" s="13">
        <v>3025457</v>
      </c>
      <c r="G96" s="14">
        <v>7244</v>
      </c>
      <c r="H96" s="33">
        <v>7400</v>
      </c>
      <c r="I96" s="16">
        <f t="shared" si="17"/>
        <v>53605600</v>
      </c>
      <c r="J96" s="17">
        <v>15</v>
      </c>
      <c r="K96" s="34">
        <v>4502251595</v>
      </c>
      <c r="L96" s="19">
        <v>5080050791</v>
      </c>
      <c r="M96" s="20">
        <v>5113044339</v>
      </c>
      <c r="N96" s="21"/>
      <c r="O96" s="9" t="s">
        <v>63</v>
      </c>
      <c r="P96" s="23"/>
      <c r="Q96" s="24" t="s">
        <v>82</v>
      </c>
      <c r="R96" s="25">
        <v>44571</v>
      </c>
      <c r="S96" s="28"/>
      <c r="T96" s="35"/>
      <c r="U96" s="35"/>
      <c r="V96" s="29"/>
      <c r="W96" s="35"/>
      <c r="X96" s="29"/>
      <c r="Y96" s="36"/>
      <c r="Z96" s="29"/>
      <c r="AA96" s="31">
        <f t="shared" si="1"/>
        <v>44571</v>
      </c>
      <c r="AB96" s="32" t="str">
        <f t="shared" si="5"/>
        <v>enero</v>
      </c>
    </row>
    <row r="97" spans="1:28" ht="12.75">
      <c r="A97" s="9" t="s">
        <v>39</v>
      </c>
      <c r="B97" s="10">
        <v>44572</v>
      </c>
      <c r="C97" s="11">
        <v>44575</v>
      </c>
      <c r="D97" s="42">
        <v>2</v>
      </c>
      <c r="E97" s="13" t="s">
        <v>201</v>
      </c>
      <c r="F97" s="13">
        <v>3025457</v>
      </c>
      <c r="G97" s="14">
        <v>52070</v>
      </c>
      <c r="H97" s="33">
        <v>7700</v>
      </c>
      <c r="I97" s="16">
        <f t="shared" si="17"/>
        <v>400939000</v>
      </c>
      <c r="J97" s="17">
        <v>112</v>
      </c>
      <c r="K97" s="34">
        <v>4502247227</v>
      </c>
      <c r="L97" s="19">
        <v>5080030826</v>
      </c>
      <c r="M97" s="20">
        <v>5113045083</v>
      </c>
      <c r="N97" s="44"/>
      <c r="O97" s="9" t="s">
        <v>37</v>
      </c>
      <c r="P97" s="23"/>
      <c r="Q97" s="24" t="s">
        <v>31</v>
      </c>
      <c r="R97" s="25">
        <v>44572</v>
      </c>
      <c r="S97" s="28"/>
      <c r="T97" s="35"/>
      <c r="U97" s="35"/>
      <c r="V97" s="29"/>
      <c r="W97" s="35"/>
      <c r="X97" s="29"/>
      <c r="Y97" s="36"/>
      <c r="Z97" s="29"/>
      <c r="AA97" s="31">
        <f t="shared" si="1"/>
        <v>44572</v>
      </c>
      <c r="AB97" s="32" t="str">
        <f t="shared" si="5"/>
        <v>enero</v>
      </c>
    </row>
    <row r="98" spans="1:28" ht="12.75">
      <c r="A98" s="9" t="s">
        <v>39</v>
      </c>
      <c r="B98" s="10">
        <v>44572</v>
      </c>
      <c r="C98" s="11">
        <v>44575</v>
      </c>
      <c r="D98" s="42">
        <v>2</v>
      </c>
      <c r="E98" s="13" t="s">
        <v>202</v>
      </c>
      <c r="F98" s="13">
        <v>3025457</v>
      </c>
      <c r="G98" s="14">
        <v>52070</v>
      </c>
      <c r="H98" s="33">
        <f>7700-7699.25</f>
        <v>0.75</v>
      </c>
      <c r="I98" s="16">
        <f>-H98*G98</f>
        <v>-39052.5</v>
      </c>
      <c r="J98" s="17">
        <v>0</v>
      </c>
      <c r="K98" s="34">
        <v>4502247227</v>
      </c>
      <c r="L98" s="19">
        <v>5080030826</v>
      </c>
      <c r="M98" s="20">
        <v>5113045104</v>
      </c>
      <c r="N98" s="21"/>
      <c r="O98" s="9"/>
      <c r="P98" s="23"/>
      <c r="Q98" s="24" t="s">
        <v>31</v>
      </c>
      <c r="R98" s="25">
        <v>44572</v>
      </c>
      <c r="S98" s="28"/>
      <c r="T98" s="35"/>
      <c r="U98" s="35"/>
      <c r="V98" s="29"/>
      <c r="W98" s="35"/>
      <c r="X98" s="29"/>
      <c r="Y98" s="36"/>
      <c r="Z98" s="29"/>
      <c r="AA98" s="31">
        <f t="shared" si="1"/>
        <v>44572</v>
      </c>
      <c r="AB98" s="32" t="str">
        <f t="shared" si="5"/>
        <v>enero</v>
      </c>
    </row>
    <row r="99" spans="1:28" ht="12.75">
      <c r="A99" s="9" t="s">
        <v>203</v>
      </c>
      <c r="B99" s="10">
        <v>44572</v>
      </c>
      <c r="C99" s="11">
        <v>44575</v>
      </c>
      <c r="D99" s="42">
        <v>2</v>
      </c>
      <c r="E99" s="13" t="s">
        <v>204</v>
      </c>
      <c r="F99" s="13">
        <v>3025457</v>
      </c>
      <c r="G99" s="37">
        <v>15097</v>
      </c>
      <c r="H99" s="33">
        <v>7650</v>
      </c>
      <c r="I99" s="16">
        <f t="shared" ref="I99:I102" si="18">H99*G99</f>
        <v>115492050</v>
      </c>
      <c r="J99" s="17">
        <v>30</v>
      </c>
      <c r="K99" s="34">
        <v>4502247230</v>
      </c>
      <c r="L99" s="19">
        <v>5080031617</v>
      </c>
      <c r="M99" s="20">
        <v>5113042816</v>
      </c>
      <c r="N99" s="21"/>
      <c r="O99" s="9" t="s">
        <v>37</v>
      </c>
      <c r="P99" s="23"/>
      <c r="Q99" s="24" t="s">
        <v>31</v>
      </c>
      <c r="R99" s="25">
        <v>44572</v>
      </c>
      <c r="S99" s="28"/>
      <c r="T99" s="35"/>
      <c r="U99" s="35"/>
      <c r="V99" s="29"/>
      <c r="W99" s="35"/>
      <c r="X99" s="29"/>
      <c r="Y99" s="36"/>
      <c r="Z99" s="29"/>
      <c r="AA99" s="31">
        <f t="shared" si="1"/>
        <v>44572</v>
      </c>
      <c r="AB99" s="32" t="str">
        <f t="shared" si="5"/>
        <v>enero</v>
      </c>
    </row>
    <row r="100" spans="1:28" ht="12.75">
      <c r="A100" s="9" t="s">
        <v>116</v>
      </c>
      <c r="B100" s="10">
        <v>44559</v>
      </c>
      <c r="C100" s="11">
        <v>44560</v>
      </c>
      <c r="D100" s="42">
        <v>2</v>
      </c>
      <c r="E100" s="13" t="s">
        <v>117</v>
      </c>
      <c r="F100" s="13">
        <v>3025457</v>
      </c>
      <c r="G100" s="37">
        <v>67541.7</v>
      </c>
      <c r="H100" s="15">
        <v>8035</v>
      </c>
      <c r="I100" s="16">
        <f t="shared" si="18"/>
        <v>542697559.5</v>
      </c>
      <c r="J100" s="17">
        <v>126</v>
      </c>
      <c r="K100" s="48">
        <v>4502244647</v>
      </c>
      <c r="L100" s="19">
        <v>5079901855</v>
      </c>
      <c r="M100" s="20">
        <v>5113026332</v>
      </c>
      <c r="N100" s="21"/>
      <c r="O100" s="22" t="s">
        <v>205</v>
      </c>
      <c r="P100" s="23"/>
      <c r="Q100" s="24" t="s">
        <v>31</v>
      </c>
      <c r="R100" s="25">
        <v>44572</v>
      </c>
      <c r="S100" s="28">
        <v>4902188286</v>
      </c>
      <c r="T100" s="27">
        <v>14250000</v>
      </c>
      <c r="U100" s="28" t="s">
        <v>206</v>
      </c>
      <c r="V100" s="29">
        <v>5113037831</v>
      </c>
      <c r="W100" s="28" t="s">
        <v>207</v>
      </c>
      <c r="X100" s="29">
        <v>5113037835</v>
      </c>
      <c r="Y100" s="30" t="s">
        <v>208</v>
      </c>
      <c r="Z100" s="29">
        <v>5113037849</v>
      </c>
      <c r="AA100" s="31">
        <f t="shared" si="1"/>
        <v>44572</v>
      </c>
      <c r="AB100" s="32" t="str">
        <f t="shared" si="5"/>
        <v>enero</v>
      </c>
    </row>
    <row r="101" spans="1:28" ht="12.75">
      <c r="A101" s="9" t="s">
        <v>209</v>
      </c>
      <c r="B101" s="10">
        <v>44578</v>
      </c>
      <c r="C101" s="11">
        <v>44578</v>
      </c>
      <c r="D101" s="42">
        <v>2</v>
      </c>
      <c r="E101" s="13">
        <v>1075962</v>
      </c>
      <c r="F101" s="13">
        <v>3025459</v>
      </c>
      <c r="G101" s="37">
        <v>6789.5</v>
      </c>
      <c r="H101" s="33">
        <v>7350</v>
      </c>
      <c r="I101" s="16">
        <f t="shared" si="18"/>
        <v>49902825</v>
      </c>
      <c r="J101" s="17">
        <v>14</v>
      </c>
      <c r="K101" s="34">
        <v>4502247231</v>
      </c>
      <c r="L101" s="19">
        <v>5080031128</v>
      </c>
      <c r="M101" s="20">
        <v>5113044956</v>
      </c>
      <c r="N101" s="21"/>
      <c r="O101" s="9" t="s">
        <v>63</v>
      </c>
      <c r="P101" s="23" t="s">
        <v>210</v>
      </c>
      <c r="Q101" s="24" t="s">
        <v>31</v>
      </c>
      <c r="R101" s="25">
        <v>44572</v>
      </c>
      <c r="S101" s="28"/>
      <c r="T101" s="35"/>
      <c r="U101" s="35"/>
      <c r="V101" s="29"/>
      <c r="W101" s="35"/>
      <c r="X101" s="29"/>
      <c r="Y101" s="36"/>
      <c r="Z101" s="29"/>
      <c r="AA101" s="31">
        <f t="shared" si="1"/>
        <v>44572</v>
      </c>
      <c r="AB101" s="32" t="str">
        <f t="shared" si="5"/>
        <v>enero</v>
      </c>
    </row>
    <row r="102" spans="1:28" ht="12.75">
      <c r="A102" s="9" t="s">
        <v>58</v>
      </c>
      <c r="B102" s="10">
        <v>44579</v>
      </c>
      <c r="C102" s="11">
        <v>44579</v>
      </c>
      <c r="D102" s="42">
        <v>2</v>
      </c>
      <c r="E102" s="13" t="s">
        <v>211</v>
      </c>
      <c r="F102" s="13">
        <v>3025459</v>
      </c>
      <c r="G102" s="14">
        <v>28471</v>
      </c>
      <c r="H102" s="33">
        <v>7750</v>
      </c>
      <c r="I102" s="16">
        <f t="shared" si="18"/>
        <v>220650250</v>
      </c>
      <c r="J102" s="17">
        <v>57</v>
      </c>
      <c r="K102" s="34">
        <v>4502247232</v>
      </c>
      <c r="L102" s="19">
        <v>5080031129</v>
      </c>
      <c r="M102" s="20">
        <v>5113050331</v>
      </c>
      <c r="N102" s="23"/>
      <c r="O102" s="9" t="s">
        <v>37</v>
      </c>
      <c r="P102" s="23"/>
      <c r="Q102" s="24" t="s">
        <v>31</v>
      </c>
      <c r="R102" s="25">
        <v>44572</v>
      </c>
      <c r="S102" s="28"/>
      <c r="T102" s="35"/>
      <c r="U102" s="35"/>
      <c r="V102" s="29"/>
      <c r="W102" s="35"/>
      <c r="X102" s="29"/>
      <c r="Y102" s="36"/>
      <c r="Z102" s="29"/>
      <c r="AA102" s="31">
        <f t="shared" si="1"/>
        <v>44572</v>
      </c>
      <c r="AB102" s="32" t="str">
        <f t="shared" si="5"/>
        <v>enero</v>
      </c>
    </row>
    <row r="103" spans="1:28" ht="12.75">
      <c r="A103" s="9" t="s">
        <v>58</v>
      </c>
      <c r="B103" s="10">
        <v>44579</v>
      </c>
      <c r="C103" s="11">
        <v>44579</v>
      </c>
      <c r="D103" s="42">
        <v>2</v>
      </c>
      <c r="E103" s="13" t="s">
        <v>212</v>
      </c>
      <c r="F103" s="13">
        <v>3025459</v>
      </c>
      <c r="G103" s="14">
        <v>28471</v>
      </c>
      <c r="H103" s="33">
        <f>7750-7748.64</f>
        <v>1.3599999999996726</v>
      </c>
      <c r="I103" s="16">
        <f>-H103*G103</f>
        <v>-38720.559999990677</v>
      </c>
      <c r="J103" s="17">
        <v>0</v>
      </c>
      <c r="K103" s="34">
        <v>4502247232</v>
      </c>
      <c r="L103" s="19">
        <v>5080031129</v>
      </c>
      <c r="M103" s="20">
        <v>5113050337</v>
      </c>
      <c r="N103" s="21"/>
      <c r="O103" s="9"/>
      <c r="P103" s="23"/>
      <c r="Q103" s="24" t="s">
        <v>31</v>
      </c>
      <c r="R103" s="25">
        <v>44572</v>
      </c>
      <c r="S103" s="28"/>
      <c r="T103" s="35"/>
      <c r="U103" s="35"/>
      <c r="V103" s="29"/>
      <c r="W103" s="35"/>
      <c r="X103" s="29"/>
      <c r="Y103" s="36"/>
      <c r="Z103" s="29"/>
      <c r="AA103" s="31">
        <f t="shared" si="1"/>
        <v>44572</v>
      </c>
      <c r="AB103" s="32" t="str">
        <f t="shared" si="5"/>
        <v>enero</v>
      </c>
    </row>
    <row r="104" spans="1:28" ht="12.75">
      <c r="A104" s="9" t="s">
        <v>213</v>
      </c>
      <c r="B104" s="10">
        <v>44574</v>
      </c>
      <c r="C104" s="11"/>
      <c r="D104" s="49">
        <v>3</v>
      </c>
      <c r="E104" s="13" t="s">
        <v>214</v>
      </c>
      <c r="F104" s="13">
        <v>3025457</v>
      </c>
      <c r="G104" s="37">
        <v>6897.5</v>
      </c>
      <c r="H104" s="33">
        <v>7400</v>
      </c>
      <c r="I104" s="16">
        <f t="shared" ref="I104:I108" si="19">H104*G104</f>
        <v>51041500</v>
      </c>
      <c r="J104" s="17">
        <v>14</v>
      </c>
      <c r="K104" s="34">
        <v>4502250679</v>
      </c>
      <c r="L104" s="19">
        <v>5080065682</v>
      </c>
      <c r="M104" s="20">
        <v>5113048950</v>
      </c>
      <c r="N104" s="23"/>
      <c r="O104" s="9" t="s">
        <v>37</v>
      </c>
      <c r="P104" s="23"/>
      <c r="Q104" s="24" t="s">
        <v>31</v>
      </c>
      <c r="R104" s="25">
        <v>44574</v>
      </c>
      <c r="S104" s="28"/>
      <c r="T104" s="35"/>
      <c r="U104" s="35"/>
      <c r="V104" s="29"/>
      <c r="W104" s="35"/>
      <c r="X104" s="29"/>
      <c r="Y104" s="36"/>
      <c r="Z104" s="29"/>
      <c r="AA104" s="31">
        <f t="shared" si="1"/>
        <v>44574</v>
      </c>
      <c r="AB104" s="32" t="str">
        <f t="shared" si="5"/>
        <v>enero</v>
      </c>
    </row>
    <row r="105" spans="1:28" ht="12.75">
      <c r="A105" s="9" t="s">
        <v>215</v>
      </c>
      <c r="B105" s="10">
        <v>44579</v>
      </c>
      <c r="C105" s="11"/>
      <c r="D105" s="49">
        <v>3</v>
      </c>
      <c r="E105" s="13" t="s">
        <v>216</v>
      </c>
      <c r="F105" s="13">
        <v>3025460</v>
      </c>
      <c r="G105" s="37">
        <v>22232.25</v>
      </c>
      <c r="H105" s="33">
        <v>7350</v>
      </c>
      <c r="I105" s="16">
        <f t="shared" si="19"/>
        <v>163407037.5</v>
      </c>
      <c r="J105" s="17">
        <v>45</v>
      </c>
      <c r="K105" s="34">
        <v>4502250680</v>
      </c>
      <c r="L105" s="19">
        <v>5080065683</v>
      </c>
      <c r="M105" s="20">
        <v>5113060132</v>
      </c>
      <c r="N105" s="23"/>
      <c r="O105" s="9" t="s">
        <v>37</v>
      </c>
      <c r="P105" s="23" t="s">
        <v>217</v>
      </c>
      <c r="Q105" s="24" t="s">
        <v>31</v>
      </c>
      <c r="R105" s="25">
        <v>44574</v>
      </c>
      <c r="S105" s="28"/>
      <c r="T105" s="35"/>
      <c r="U105" s="35"/>
      <c r="V105" s="29"/>
      <c r="W105" s="35"/>
      <c r="X105" s="29"/>
      <c r="Y105" s="36"/>
      <c r="Z105" s="29"/>
      <c r="AA105" s="31">
        <f t="shared" si="1"/>
        <v>44574</v>
      </c>
      <c r="AB105" s="32" t="str">
        <f t="shared" si="5"/>
        <v>enero</v>
      </c>
    </row>
    <row r="106" spans="1:28" ht="12.75">
      <c r="A106" s="9" t="s">
        <v>215</v>
      </c>
      <c r="B106" s="10">
        <v>44579</v>
      </c>
      <c r="C106" s="11"/>
      <c r="D106" s="49">
        <v>3</v>
      </c>
      <c r="E106" s="13" t="s">
        <v>216</v>
      </c>
      <c r="F106" s="13">
        <v>3025459</v>
      </c>
      <c r="G106" s="37">
        <v>7410.75</v>
      </c>
      <c r="H106" s="33">
        <v>7350</v>
      </c>
      <c r="I106" s="16">
        <f t="shared" si="19"/>
        <v>54469012.5</v>
      </c>
      <c r="J106" s="17">
        <v>15</v>
      </c>
      <c r="K106" s="34">
        <v>4502250686</v>
      </c>
      <c r="L106" s="19">
        <v>5080065683</v>
      </c>
      <c r="M106" s="20">
        <v>5113060132</v>
      </c>
      <c r="N106" s="23"/>
      <c r="O106" s="9" t="s">
        <v>37</v>
      </c>
      <c r="P106" s="23" t="s">
        <v>218</v>
      </c>
      <c r="Q106" s="24" t="s">
        <v>31</v>
      </c>
      <c r="R106" s="25">
        <v>44574</v>
      </c>
      <c r="S106" s="28"/>
      <c r="T106" s="35"/>
      <c r="U106" s="35"/>
      <c r="V106" s="29"/>
      <c r="W106" s="35"/>
      <c r="X106" s="29"/>
      <c r="Y106" s="36"/>
      <c r="Z106" s="29"/>
      <c r="AA106" s="31">
        <f t="shared" si="1"/>
        <v>44574</v>
      </c>
      <c r="AB106" s="32" t="str">
        <f t="shared" si="5"/>
        <v>enero</v>
      </c>
    </row>
    <row r="107" spans="1:28" ht="12.75">
      <c r="A107" s="9" t="s">
        <v>215</v>
      </c>
      <c r="B107" s="10">
        <v>44580</v>
      </c>
      <c r="C107" s="11"/>
      <c r="D107" s="49">
        <v>3</v>
      </c>
      <c r="E107" s="13" t="s">
        <v>219</v>
      </c>
      <c r="F107" s="13">
        <v>3025460</v>
      </c>
      <c r="G107" s="14">
        <v>29643</v>
      </c>
      <c r="H107" s="33">
        <v>50</v>
      </c>
      <c r="I107" s="16">
        <f t="shared" si="19"/>
        <v>1482150</v>
      </c>
      <c r="J107" s="17">
        <v>0</v>
      </c>
      <c r="K107" s="34">
        <v>4502250680</v>
      </c>
      <c r="L107" s="19">
        <v>5080065683</v>
      </c>
      <c r="M107" s="20">
        <v>5113060133</v>
      </c>
      <c r="N107" s="23"/>
      <c r="O107" s="9"/>
      <c r="P107" s="23" t="s">
        <v>220</v>
      </c>
      <c r="Q107" s="24" t="s">
        <v>31</v>
      </c>
      <c r="R107" s="25">
        <v>44574</v>
      </c>
      <c r="S107" s="28"/>
      <c r="T107" s="35"/>
      <c r="U107" s="35"/>
      <c r="V107" s="29"/>
      <c r="W107" s="35"/>
      <c r="X107" s="29"/>
      <c r="Y107" s="36"/>
      <c r="Z107" s="29"/>
      <c r="AA107" s="31">
        <f t="shared" si="1"/>
        <v>44574</v>
      </c>
      <c r="AB107" s="32" t="str">
        <f t="shared" si="5"/>
        <v>enero</v>
      </c>
    </row>
    <row r="108" spans="1:28" ht="12.75">
      <c r="A108" s="9" t="s">
        <v>58</v>
      </c>
      <c r="B108" s="10">
        <v>44579</v>
      </c>
      <c r="C108" s="11">
        <v>44579</v>
      </c>
      <c r="D108" s="49">
        <v>3</v>
      </c>
      <c r="E108" s="13" t="s">
        <v>221</v>
      </c>
      <c r="F108" s="13">
        <v>3025460</v>
      </c>
      <c r="G108" s="37">
        <v>33358.5</v>
      </c>
      <c r="H108" s="33">
        <v>7750</v>
      </c>
      <c r="I108" s="16">
        <f t="shared" si="19"/>
        <v>258528375</v>
      </c>
      <c r="J108" s="17">
        <v>73</v>
      </c>
      <c r="K108" s="34">
        <v>4502250681</v>
      </c>
      <c r="L108" s="19">
        <v>5080065684</v>
      </c>
      <c r="M108" s="20">
        <v>5113050340</v>
      </c>
      <c r="N108" s="23"/>
      <c r="O108" s="9" t="s">
        <v>37</v>
      </c>
      <c r="P108" s="23"/>
      <c r="Q108" s="24" t="s">
        <v>31</v>
      </c>
      <c r="R108" s="25">
        <v>44574</v>
      </c>
      <c r="S108" s="28"/>
      <c r="T108" s="35"/>
      <c r="U108" s="35"/>
      <c r="V108" s="29"/>
      <c r="W108" s="35"/>
      <c r="X108" s="29"/>
      <c r="Y108" s="36"/>
      <c r="Z108" s="29"/>
      <c r="AA108" s="31">
        <f t="shared" si="1"/>
        <v>44574</v>
      </c>
      <c r="AB108" s="32" t="str">
        <f t="shared" si="5"/>
        <v>enero</v>
      </c>
    </row>
    <row r="109" spans="1:28" ht="12.75">
      <c r="A109" s="9" t="s">
        <v>58</v>
      </c>
      <c r="B109" s="10">
        <v>44579</v>
      </c>
      <c r="C109" s="11">
        <v>44579</v>
      </c>
      <c r="D109" s="49">
        <v>3</v>
      </c>
      <c r="E109" s="13" t="s">
        <v>222</v>
      </c>
      <c r="F109" s="13">
        <v>3025460</v>
      </c>
      <c r="G109" s="37">
        <v>33358.5</v>
      </c>
      <c r="H109" s="33">
        <f>7750-7746.58</f>
        <v>3.4200000000000728</v>
      </c>
      <c r="I109" s="16">
        <f>-H109*G109</f>
        <v>-114086.07000000242</v>
      </c>
      <c r="J109" s="17">
        <v>0</v>
      </c>
      <c r="K109" s="34">
        <v>4502250681</v>
      </c>
      <c r="L109" s="19">
        <v>5080065684</v>
      </c>
      <c r="M109" s="20">
        <v>5113050350</v>
      </c>
      <c r="N109" s="21"/>
      <c r="O109" s="9"/>
      <c r="P109" s="23"/>
      <c r="Q109" s="24" t="s">
        <v>31</v>
      </c>
      <c r="R109" s="25">
        <v>44574</v>
      </c>
      <c r="S109" s="28"/>
      <c r="T109" s="35"/>
      <c r="U109" s="35"/>
      <c r="V109" s="29"/>
      <c r="W109" s="35"/>
      <c r="X109" s="29"/>
      <c r="Y109" s="36"/>
      <c r="Z109" s="29"/>
      <c r="AA109" s="31">
        <f t="shared" si="1"/>
        <v>44574</v>
      </c>
      <c r="AB109" s="32" t="str">
        <f t="shared" si="5"/>
        <v>enero</v>
      </c>
    </row>
    <row r="110" spans="1:28" ht="12.75">
      <c r="A110" s="9" t="s">
        <v>223</v>
      </c>
      <c r="B110" s="10">
        <v>44574</v>
      </c>
      <c r="C110" s="11"/>
      <c r="D110" s="49">
        <v>3</v>
      </c>
      <c r="E110" s="13" t="s">
        <v>224</v>
      </c>
      <c r="F110" s="13">
        <v>3025460</v>
      </c>
      <c r="G110" s="14">
        <v>12694</v>
      </c>
      <c r="H110" s="33">
        <v>7350</v>
      </c>
      <c r="I110" s="16">
        <f>H110*G110</f>
        <v>93300900</v>
      </c>
      <c r="J110" s="17">
        <v>28</v>
      </c>
      <c r="K110" s="34">
        <v>4502250682</v>
      </c>
      <c r="L110" s="19">
        <v>5080065685</v>
      </c>
      <c r="M110" s="20">
        <v>5113071284</v>
      </c>
      <c r="N110" s="21"/>
      <c r="O110" s="9"/>
      <c r="P110" s="23" t="s">
        <v>225</v>
      </c>
      <c r="Q110" s="24" t="s">
        <v>31</v>
      </c>
      <c r="R110" s="25">
        <v>44574</v>
      </c>
      <c r="S110" s="28"/>
      <c r="T110" s="35"/>
      <c r="U110" s="35"/>
      <c r="V110" s="29"/>
      <c r="W110" s="35"/>
      <c r="X110" s="29"/>
      <c r="Y110" s="36"/>
      <c r="Z110" s="29"/>
      <c r="AA110" s="31">
        <f t="shared" si="1"/>
        <v>44574</v>
      </c>
      <c r="AB110" s="32" t="str">
        <f t="shared" si="5"/>
        <v>enero</v>
      </c>
    </row>
    <row r="111" spans="1:28" ht="12.75">
      <c r="A111" s="9" t="s">
        <v>223</v>
      </c>
      <c r="B111" s="10">
        <v>44574</v>
      </c>
      <c r="C111" s="11">
        <v>44587</v>
      </c>
      <c r="D111" s="49">
        <v>3</v>
      </c>
      <c r="E111" s="13" t="s">
        <v>226</v>
      </c>
      <c r="F111" s="13">
        <v>3025460</v>
      </c>
      <c r="G111" s="14">
        <v>12694</v>
      </c>
      <c r="H111" s="33">
        <v>50</v>
      </c>
      <c r="I111" s="16">
        <f>-H111*G111</f>
        <v>-634700</v>
      </c>
      <c r="J111" s="17">
        <v>0</v>
      </c>
      <c r="K111" s="34">
        <v>4502250682</v>
      </c>
      <c r="L111" s="19">
        <v>5080065685</v>
      </c>
      <c r="M111" s="20">
        <v>5113071285</v>
      </c>
      <c r="N111" s="50" t="s">
        <v>227</v>
      </c>
      <c r="O111" s="9" t="s">
        <v>228</v>
      </c>
      <c r="P111" s="23" t="s">
        <v>229</v>
      </c>
      <c r="Q111" s="24" t="s">
        <v>31</v>
      </c>
      <c r="R111" s="25">
        <v>44574</v>
      </c>
      <c r="S111" s="28"/>
      <c r="T111" s="35"/>
      <c r="U111" s="35"/>
      <c r="V111" s="29"/>
      <c r="W111" s="35"/>
      <c r="X111" s="29"/>
      <c r="Y111" s="36"/>
      <c r="Z111" s="29"/>
      <c r="AA111" s="31">
        <f t="shared" si="1"/>
        <v>44574</v>
      </c>
      <c r="AB111" s="32" t="str">
        <f t="shared" si="5"/>
        <v>enero</v>
      </c>
    </row>
    <row r="112" spans="1:28" ht="12.75">
      <c r="A112" s="9" t="s">
        <v>230</v>
      </c>
      <c r="B112" s="10">
        <v>44580</v>
      </c>
      <c r="C112" s="11"/>
      <c r="D112" s="49">
        <v>3</v>
      </c>
      <c r="E112" s="13" t="s">
        <v>231</v>
      </c>
      <c r="F112" s="13">
        <v>3025460</v>
      </c>
      <c r="G112" s="14">
        <v>13137</v>
      </c>
      <c r="H112" s="33">
        <v>7400</v>
      </c>
      <c r="I112" s="16">
        <f>H112*G112</f>
        <v>97213800</v>
      </c>
      <c r="J112" s="17">
        <v>30</v>
      </c>
      <c r="K112" s="34">
        <v>4502250684</v>
      </c>
      <c r="L112" s="19">
        <v>5080065686</v>
      </c>
      <c r="M112" s="20">
        <v>5113054083</v>
      </c>
      <c r="N112" s="23"/>
      <c r="O112" s="9" t="s">
        <v>37</v>
      </c>
      <c r="P112" s="23"/>
      <c r="Q112" s="24" t="s">
        <v>31</v>
      </c>
      <c r="R112" s="25">
        <v>44574</v>
      </c>
      <c r="S112" s="28"/>
      <c r="T112" s="35"/>
      <c r="U112" s="35"/>
      <c r="V112" s="29"/>
      <c r="W112" s="35"/>
      <c r="X112" s="29"/>
      <c r="Y112" s="36"/>
      <c r="Z112" s="29"/>
      <c r="AA112" s="31">
        <f t="shared" si="1"/>
        <v>44574</v>
      </c>
      <c r="AB112" s="32" t="str">
        <f t="shared" si="5"/>
        <v>enero</v>
      </c>
    </row>
    <row r="113" spans="1:28" ht="12.75">
      <c r="A113" s="9" t="s">
        <v>230</v>
      </c>
      <c r="B113" s="10">
        <v>44580</v>
      </c>
      <c r="C113" s="11"/>
      <c r="D113" s="49">
        <v>3</v>
      </c>
      <c r="E113" s="13" t="s">
        <v>232</v>
      </c>
      <c r="F113" s="13">
        <v>3025460</v>
      </c>
      <c r="G113" s="14">
        <v>13137</v>
      </c>
      <c r="H113" s="33">
        <f>7400-7246.99</f>
        <v>153.01000000000022</v>
      </c>
      <c r="I113" s="16">
        <f>-H113*G113</f>
        <v>-2010092.3700000029</v>
      </c>
      <c r="J113" s="17">
        <v>0</v>
      </c>
      <c r="K113" s="34">
        <v>4502250684</v>
      </c>
      <c r="L113" s="19">
        <v>5080065686</v>
      </c>
      <c r="M113" s="20">
        <v>5113054085</v>
      </c>
      <c r="N113" s="21"/>
      <c r="O113" s="9"/>
      <c r="P113" s="23"/>
      <c r="Q113" s="24" t="s">
        <v>31</v>
      </c>
      <c r="R113" s="25">
        <v>44574</v>
      </c>
      <c r="S113" s="28"/>
      <c r="T113" s="35"/>
      <c r="U113" s="35"/>
      <c r="V113" s="29"/>
      <c r="W113" s="35"/>
      <c r="X113" s="29"/>
      <c r="Y113" s="36"/>
      <c r="Z113" s="29"/>
      <c r="AA113" s="31">
        <f t="shared" si="1"/>
        <v>44574</v>
      </c>
      <c r="AB113" s="32" t="str">
        <f t="shared" si="5"/>
        <v>enero</v>
      </c>
    </row>
    <row r="114" spans="1:28" ht="12.75">
      <c r="A114" s="9" t="s">
        <v>233</v>
      </c>
      <c r="B114" s="10">
        <v>44575</v>
      </c>
      <c r="C114" s="11"/>
      <c r="D114" s="49">
        <v>3</v>
      </c>
      <c r="E114" s="13" t="s">
        <v>234</v>
      </c>
      <c r="F114" s="13">
        <v>3025460</v>
      </c>
      <c r="G114" s="37">
        <v>27069.5</v>
      </c>
      <c r="H114" s="33">
        <v>7500</v>
      </c>
      <c r="I114" s="16">
        <f t="shared" ref="I114:I117" si="20">H114*G114</f>
        <v>203021250</v>
      </c>
      <c r="J114" s="17">
        <v>61</v>
      </c>
      <c r="K114" s="34">
        <v>4502250688</v>
      </c>
      <c r="L114" s="19">
        <v>5080089802</v>
      </c>
      <c r="M114" s="20">
        <v>5113048325</v>
      </c>
      <c r="N114" s="23"/>
      <c r="O114" s="9" t="s">
        <v>37</v>
      </c>
      <c r="P114" s="23" t="s">
        <v>235</v>
      </c>
      <c r="Q114" s="24" t="s">
        <v>31</v>
      </c>
      <c r="R114" s="25">
        <v>44575</v>
      </c>
      <c r="S114" s="28"/>
      <c r="T114" s="35"/>
      <c r="U114" s="35"/>
      <c r="V114" s="29"/>
      <c r="W114" s="35"/>
      <c r="X114" s="29"/>
      <c r="Y114" s="36"/>
      <c r="Z114" s="29"/>
      <c r="AA114" s="31">
        <f t="shared" si="1"/>
        <v>44575</v>
      </c>
      <c r="AB114" s="32" t="str">
        <f t="shared" si="5"/>
        <v>enero</v>
      </c>
    </row>
    <row r="115" spans="1:28" ht="12.75">
      <c r="A115" s="9" t="s">
        <v>58</v>
      </c>
      <c r="B115" s="10">
        <v>44579</v>
      </c>
      <c r="C115" s="11">
        <v>44579</v>
      </c>
      <c r="D115" s="49">
        <v>3</v>
      </c>
      <c r="E115" s="13" t="s">
        <v>236</v>
      </c>
      <c r="F115" s="13">
        <v>3025460</v>
      </c>
      <c r="G115" s="14">
        <v>22253</v>
      </c>
      <c r="H115" s="33">
        <v>7750</v>
      </c>
      <c r="I115" s="16">
        <f t="shared" si="20"/>
        <v>172460750</v>
      </c>
      <c r="J115" s="17">
        <v>45</v>
      </c>
      <c r="K115" s="34">
        <v>4502250691</v>
      </c>
      <c r="L115" s="19">
        <v>5080089630</v>
      </c>
      <c r="M115" s="20">
        <v>5113050354</v>
      </c>
      <c r="N115" s="23"/>
      <c r="O115" s="9" t="s">
        <v>37</v>
      </c>
      <c r="P115" s="23"/>
      <c r="Q115" s="24" t="s">
        <v>31</v>
      </c>
      <c r="R115" s="25">
        <v>44575</v>
      </c>
      <c r="S115" s="28"/>
      <c r="T115" s="35"/>
      <c r="U115" s="35"/>
      <c r="V115" s="29"/>
      <c r="W115" s="35"/>
      <c r="X115" s="29"/>
      <c r="Y115" s="36"/>
      <c r="Z115" s="29"/>
      <c r="AA115" s="31">
        <f t="shared" si="1"/>
        <v>44575</v>
      </c>
      <c r="AB115" s="32" t="str">
        <f t="shared" si="5"/>
        <v>enero</v>
      </c>
    </row>
    <row r="116" spans="1:28" ht="12.75">
      <c r="A116" s="9" t="s">
        <v>80</v>
      </c>
      <c r="B116" s="10">
        <v>44575</v>
      </c>
      <c r="C116" s="11">
        <v>44575</v>
      </c>
      <c r="D116" s="49">
        <v>3</v>
      </c>
      <c r="E116" s="13" t="s">
        <v>237</v>
      </c>
      <c r="F116" s="13">
        <v>3025460</v>
      </c>
      <c r="G116" s="14">
        <v>39656</v>
      </c>
      <c r="H116" s="15">
        <v>7300</v>
      </c>
      <c r="I116" s="16">
        <f t="shared" si="20"/>
        <v>289488800</v>
      </c>
      <c r="J116" s="17">
        <v>84</v>
      </c>
      <c r="K116" s="34">
        <v>4502252895</v>
      </c>
      <c r="L116" s="19">
        <v>5080070746</v>
      </c>
      <c r="M116" s="20">
        <v>5113044502</v>
      </c>
      <c r="N116" s="23" t="s">
        <v>37</v>
      </c>
      <c r="O116" s="51" t="s">
        <v>238</v>
      </c>
      <c r="P116" s="23"/>
      <c r="Q116" s="24" t="s">
        <v>31</v>
      </c>
      <c r="R116" s="25">
        <v>44575</v>
      </c>
      <c r="S116" s="28">
        <v>4902192596</v>
      </c>
      <c r="T116" s="28" t="s">
        <v>239</v>
      </c>
      <c r="U116" s="28" t="s">
        <v>240</v>
      </c>
      <c r="V116" s="29">
        <v>5113045051</v>
      </c>
      <c r="W116" s="28" t="s">
        <v>241</v>
      </c>
      <c r="X116" s="29">
        <v>5113058871</v>
      </c>
      <c r="Y116" s="36"/>
      <c r="Z116" s="29"/>
      <c r="AA116" s="31">
        <f t="shared" si="1"/>
        <v>44575</v>
      </c>
      <c r="AB116" s="32" t="str">
        <f t="shared" si="5"/>
        <v>enero</v>
      </c>
    </row>
    <row r="117" spans="1:28" ht="12.75">
      <c r="A117" s="9" t="s">
        <v>242</v>
      </c>
      <c r="B117" s="10">
        <v>44575</v>
      </c>
      <c r="C117" s="11">
        <v>44580</v>
      </c>
      <c r="D117" s="49">
        <v>3</v>
      </c>
      <c r="E117" s="13" t="s">
        <v>243</v>
      </c>
      <c r="F117" s="13">
        <v>3025457</v>
      </c>
      <c r="G117" s="14">
        <v>6976</v>
      </c>
      <c r="H117" s="33">
        <v>7350</v>
      </c>
      <c r="I117" s="16">
        <f t="shared" si="20"/>
        <v>51273600</v>
      </c>
      <c r="J117" s="17">
        <v>15</v>
      </c>
      <c r="K117" s="34">
        <v>4502250694</v>
      </c>
      <c r="L117" s="19">
        <v>5080089803</v>
      </c>
      <c r="M117" s="20">
        <v>5113050535</v>
      </c>
      <c r="N117" s="23"/>
      <c r="O117" s="9" t="s">
        <v>37</v>
      </c>
      <c r="P117" s="23"/>
      <c r="Q117" s="24" t="s">
        <v>31</v>
      </c>
      <c r="R117" s="25">
        <v>44575</v>
      </c>
      <c r="S117" s="28"/>
      <c r="T117" s="35"/>
      <c r="U117" s="35"/>
      <c r="V117" s="29"/>
      <c r="W117" s="35"/>
      <c r="X117" s="29"/>
      <c r="Y117" s="36"/>
      <c r="Z117" s="29"/>
      <c r="AA117" s="31">
        <f t="shared" si="1"/>
        <v>44575</v>
      </c>
      <c r="AB117" s="32" t="str">
        <f t="shared" si="5"/>
        <v>enero</v>
      </c>
    </row>
    <row r="118" spans="1:28" ht="12.75">
      <c r="A118" s="9" t="s">
        <v>242</v>
      </c>
      <c r="B118" s="10">
        <v>44575</v>
      </c>
      <c r="C118" s="11">
        <v>44580</v>
      </c>
      <c r="D118" s="49">
        <v>3</v>
      </c>
      <c r="E118" s="13" t="s">
        <v>244</v>
      </c>
      <c r="F118" s="13">
        <v>3025457</v>
      </c>
      <c r="G118" s="14">
        <v>6976</v>
      </c>
      <c r="H118" s="33">
        <v>100</v>
      </c>
      <c r="I118" s="16">
        <f>-H118*G118</f>
        <v>-697600</v>
      </c>
      <c r="J118" s="17">
        <v>0</v>
      </c>
      <c r="K118" s="34">
        <v>4502250694</v>
      </c>
      <c r="L118" s="19">
        <v>5080089803</v>
      </c>
      <c r="M118" s="20">
        <v>5113050536</v>
      </c>
      <c r="N118" s="23"/>
      <c r="O118" s="52"/>
      <c r="P118" s="23"/>
      <c r="Q118" s="24" t="s">
        <v>31</v>
      </c>
      <c r="R118" s="25">
        <v>44575</v>
      </c>
      <c r="S118" s="28"/>
      <c r="T118" s="35"/>
      <c r="U118" s="35"/>
      <c r="V118" s="29"/>
      <c r="W118" s="35"/>
      <c r="X118" s="29"/>
      <c r="Y118" s="36"/>
      <c r="Z118" s="29"/>
      <c r="AA118" s="31">
        <f t="shared" si="1"/>
        <v>44575</v>
      </c>
      <c r="AB118" s="32" t="str">
        <f t="shared" si="5"/>
        <v>enero</v>
      </c>
    </row>
    <row r="119" spans="1:28" ht="12.75">
      <c r="A119" s="9" t="s">
        <v>245</v>
      </c>
      <c r="B119" s="10">
        <v>44575</v>
      </c>
      <c r="C119" s="11">
        <v>44578</v>
      </c>
      <c r="D119" s="49">
        <v>3</v>
      </c>
      <c r="E119" s="13" t="s">
        <v>246</v>
      </c>
      <c r="F119" s="13">
        <v>3025457</v>
      </c>
      <c r="G119" s="37">
        <v>6545.5</v>
      </c>
      <c r="H119" s="33">
        <v>7350</v>
      </c>
      <c r="I119" s="16">
        <f t="shared" ref="I119:I120" si="21">H119*G119</f>
        <v>48109425</v>
      </c>
      <c r="J119" s="17">
        <v>14</v>
      </c>
      <c r="K119" s="34">
        <v>4502250695</v>
      </c>
      <c r="L119" s="19">
        <v>5080089631</v>
      </c>
      <c r="M119" s="20">
        <v>5113046873</v>
      </c>
      <c r="N119" s="21"/>
      <c r="O119" s="9" t="s">
        <v>37</v>
      </c>
      <c r="P119" s="23"/>
      <c r="Q119" s="24" t="s">
        <v>31</v>
      </c>
      <c r="R119" s="25">
        <v>44575</v>
      </c>
      <c r="S119" s="28"/>
      <c r="T119" s="35"/>
      <c r="U119" s="35"/>
      <c r="V119" s="29"/>
      <c r="W119" s="35"/>
      <c r="X119" s="29"/>
      <c r="Y119" s="36"/>
      <c r="Z119" s="29"/>
      <c r="AA119" s="31">
        <f t="shared" si="1"/>
        <v>44575</v>
      </c>
      <c r="AB119" s="32" t="str">
        <f t="shared" si="5"/>
        <v>enero</v>
      </c>
    </row>
    <row r="120" spans="1:28" ht="12.75">
      <c r="A120" s="9" t="s">
        <v>247</v>
      </c>
      <c r="B120" s="10">
        <v>44581</v>
      </c>
      <c r="C120" s="11">
        <v>44581</v>
      </c>
      <c r="D120" s="49">
        <v>3</v>
      </c>
      <c r="E120" s="13" t="s">
        <v>248</v>
      </c>
      <c r="F120" s="13">
        <v>3025457</v>
      </c>
      <c r="G120" s="37">
        <v>13370.5</v>
      </c>
      <c r="H120" s="33">
        <v>7400</v>
      </c>
      <c r="I120" s="16">
        <f t="shared" si="21"/>
        <v>98941700</v>
      </c>
      <c r="J120" s="17">
        <v>28</v>
      </c>
      <c r="K120" s="34">
        <v>4502250697</v>
      </c>
      <c r="L120" s="19">
        <v>5080089632</v>
      </c>
      <c r="M120" s="20">
        <v>5113052125</v>
      </c>
      <c r="N120" s="21"/>
      <c r="O120" s="9" t="s">
        <v>63</v>
      </c>
      <c r="P120" s="23"/>
      <c r="Q120" s="24" t="s">
        <v>31</v>
      </c>
      <c r="R120" s="25">
        <v>44575</v>
      </c>
      <c r="S120" s="28"/>
      <c r="T120" s="35"/>
      <c r="U120" s="35"/>
      <c r="V120" s="29"/>
      <c r="W120" s="35"/>
      <c r="X120" s="29"/>
      <c r="Y120" s="36"/>
      <c r="Z120" s="29"/>
      <c r="AA120" s="31">
        <f t="shared" si="1"/>
        <v>44575</v>
      </c>
      <c r="AB120" s="32" t="str">
        <f t="shared" si="5"/>
        <v>enero</v>
      </c>
    </row>
    <row r="121" spans="1:28" ht="12.75">
      <c r="A121" s="9" t="s">
        <v>247</v>
      </c>
      <c r="B121" s="10">
        <v>44581</v>
      </c>
      <c r="C121" s="11">
        <v>44581</v>
      </c>
      <c r="D121" s="49">
        <v>3</v>
      </c>
      <c r="E121" s="13" t="s">
        <v>249</v>
      </c>
      <c r="F121" s="13">
        <v>3025457</v>
      </c>
      <c r="G121" s="37">
        <v>13370.5</v>
      </c>
      <c r="H121" s="33">
        <v>50</v>
      </c>
      <c r="I121" s="16">
        <f>-H121*G121</f>
        <v>-668525</v>
      </c>
      <c r="J121" s="17">
        <v>0</v>
      </c>
      <c r="K121" s="34">
        <v>4502250697</v>
      </c>
      <c r="L121" s="19">
        <v>5080089632</v>
      </c>
      <c r="M121" s="20">
        <v>5113052126</v>
      </c>
      <c r="N121" s="21"/>
      <c r="O121" s="9"/>
      <c r="P121" s="23"/>
      <c r="Q121" s="24" t="s">
        <v>31</v>
      </c>
      <c r="R121" s="25">
        <v>44575</v>
      </c>
      <c r="S121" s="28"/>
      <c r="T121" s="35"/>
      <c r="U121" s="35"/>
      <c r="V121" s="29"/>
      <c r="W121" s="35"/>
      <c r="X121" s="29"/>
      <c r="Y121" s="36"/>
      <c r="Z121" s="29"/>
      <c r="AA121" s="31">
        <f t="shared" si="1"/>
        <v>44575</v>
      </c>
      <c r="AB121" s="32" t="str">
        <f t="shared" si="5"/>
        <v>enero</v>
      </c>
    </row>
    <row r="122" spans="1:28" ht="12.75">
      <c r="A122" s="9" t="s">
        <v>250</v>
      </c>
      <c r="B122" s="10">
        <v>44576</v>
      </c>
      <c r="C122" s="11">
        <v>44579</v>
      </c>
      <c r="D122" s="49">
        <v>3</v>
      </c>
      <c r="E122" s="13" t="s">
        <v>251</v>
      </c>
      <c r="F122" s="13">
        <v>3025460</v>
      </c>
      <c r="G122" s="37">
        <v>14662</v>
      </c>
      <c r="H122" s="33">
        <v>7350</v>
      </c>
      <c r="I122" s="16">
        <f>H122*G122</f>
        <v>107765700</v>
      </c>
      <c r="J122" s="17">
        <v>28</v>
      </c>
      <c r="K122" s="34">
        <v>4502250698</v>
      </c>
      <c r="L122" s="19">
        <v>5080089633</v>
      </c>
      <c r="M122" s="20">
        <v>5113050599</v>
      </c>
      <c r="N122" s="21"/>
      <c r="O122" s="9" t="s">
        <v>63</v>
      </c>
      <c r="P122" s="23"/>
      <c r="Q122" s="24" t="s">
        <v>31</v>
      </c>
      <c r="R122" s="25">
        <v>44576</v>
      </c>
      <c r="S122" s="28"/>
      <c r="T122" s="35"/>
      <c r="U122" s="35"/>
      <c r="V122" s="29"/>
      <c r="W122" s="35"/>
      <c r="X122" s="29"/>
      <c r="Y122" s="36"/>
      <c r="Z122" s="29"/>
      <c r="AA122" s="31">
        <f t="shared" si="1"/>
        <v>44576</v>
      </c>
      <c r="AB122" s="32" t="str">
        <f t="shared" si="5"/>
        <v>enero</v>
      </c>
    </row>
    <row r="123" spans="1:28" ht="12.75">
      <c r="A123" s="9" t="s">
        <v>250</v>
      </c>
      <c r="B123" s="10">
        <v>44576</v>
      </c>
      <c r="C123" s="11">
        <v>44579</v>
      </c>
      <c r="D123" s="49">
        <v>3</v>
      </c>
      <c r="E123" s="13" t="s">
        <v>252</v>
      </c>
      <c r="F123" s="13">
        <v>3025460</v>
      </c>
      <c r="G123" s="37">
        <v>14662</v>
      </c>
      <c r="H123" s="33">
        <f>7350-7345.9</f>
        <v>4.1000000000003638</v>
      </c>
      <c r="I123" s="16">
        <f>-H123*G123</f>
        <v>-60114.200000005338</v>
      </c>
      <c r="J123" s="17">
        <v>0</v>
      </c>
      <c r="K123" s="34">
        <v>4502250698</v>
      </c>
      <c r="L123" s="19">
        <v>5080089633</v>
      </c>
      <c r="M123" s="20">
        <v>5113050603</v>
      </c>
      <c r="N123" s="21"/>
      <c r="O123" s="9" t="s">
        <v>63</v>
      </c>
      <c r="P123" s="23"/>
      <c r="Q123" s="24" t="s">
        <v>31</v>
      </c>
      <c r="R123" s="25">
        <v>44576</v>
      </c>
      <c r="S123" s="28"/>
      <c r="T123" s="35"/>
      <c r="U123" s="35"/>
      <c r="V123" s="29"/>
      <c r="W123" s="35"/>
      <c r="X123" s="29"/>
      <c r="Y123" s="36"/>
      <c r="Z123" s="29"/>
      <c r="AA123" s="31">
        <f t="shared" si="1"/>
        <v>44576</v>
      </c>
      <c r="AB123" s="32" t="str">
        <f t="shared" si="5"/>
        <v>enero</v>
      </c>
    </row>
    <row r="124" spans="1:28" ht="12.75">
      <c r="A124" s="9" t="s">
        <v>253</v>
      </c>
      <c r="B124" s="10">
        <v>44579</v>
      </c>
      <c r="C124" s="11"/>
      <c r="D124" s="49">
        <v>3</v>
      </c>
      <c r="E124" s="13" t="s">
        <v>254</v>
      </c>
      <c r="F124" s="13">
        <v>3025460</v>
      </c>
      <c r="G124" s="37">
        <v>7193.5</v>
      </c>
      <c r="H124" s="33">
        <v>7400</v>
      </c>
      <c r="I124" s="16">
        <f t="shared" ref="I124:I128" si="22">H124*G124</f>
        <v>53231900</v>
      </c>
      <c r="J124" s="17">
        <v>15</v>
      </c>
      <c r="K124" s="34">
        <v>4502250701</v>
      </c>
      <c r="L124" s="19">
        <v>5080089634</v>
      </c>
      <c r="M124" s="20">
        <v>5113047051</v>
      </c>
      <c r="N124" s="21"/>
      <c r="O124" s="9" t="s">
        <v>63</v>
      </c>
      <c r="P124" s="23"/>
      <c r="Q124" s="24" t="s">
        <v>31</v>
      </c>
      <c r="R124" s="25">
        <v>44576</v>
      </c>
      <c r="S124" s="28"/>
      <c r="T124" s="35"/>
      <c r="U124" s="35"/>
      <c r="V124" s="29"/>
      <c r="W124" s="35"/>
      <c r="X124" s="29"/>
      <c r="Y124" s="36"/>
      <c r="Z124" s="29"/>
      <c r="AA124" s="31">
        <f t="shared" si="1"/>
        <v>44576</v>
      </c>
      <c r="AB124" s="32" t="str">
        <f t="shared" si="5"/>
        <v>enero</v>
      </c>
    </row>
    <row r="125" spans="1:28" ht="12.75">
      <c r="A125" s="9" t="s">
        <v>87</v>
      </c>
      <c r="B125" s="10">
        <v>44576</v>
      </c>
      <c r="C125" s="11"/>
      <c r="D125" s="49">
        <v>3</v>
      </c>
      <c r="E125" s="13" t="s">
        <v>255</v>
      </c>
      <c r="F125" s="13">
        <v>3025460</v>
      </c>
      <c r="G125" s="14">
        <v>26582</v>
      </c>
      <c r="H125" s="15">
        <v>7300</v>
      </c>
      <c r="I125" s="16">
        <f t="shared" si="22"/>
        <v>194048600</v>
      </c>
      <c r="J125" s="17">
        <v>56</v>
      </c>
      <c r="K125" s="34">
        <v>4502252898</v>
      </c>
      <c r="L125" s="19">
        <v>5080070771</v>
      </c>
      <c r="M125" s="20">
        <v>5113045749</v>
      </c>
      <c r="N125" s="23" t="s">
        <v>63</v>
      </c>
      <c r="O125" s="22" t="s">
        <v>256</v>
      </c>
      <c r="P125" s="23"/>
      <c r="Q125" s="24" t="s">
        <v>31</v>
      </c>
      <c r="R125" s="25">
        <v>44576</v>
      </c>
      <c r="S125" s="28">
        <v>4902192597</v>
      </c>
      <c r="T125" s="27">
        <f>1638223*4</f>
        <v>6552892</v>
      </c>
      <c r="U125" s="28" t="s">
        <v>257</v>
      </c>
      <c r="V125" s="29">
        <v>5113045098</v>
      </c>
      <c r="W125" s="35"/>
      <c r="X125" s="29"/>
      <c r="Y125" s="36"/>
      <c r="Z125" s="29"/>
      <c r="AA125" s="31">
        <f t="shared" si="1"/>
        <v>44576</v>
      </c>
      <c r="AB125" s="32" t="str">
        <f t="shared" si="5"/>
        <v>enero</v>
      </c>
    </row>
    <row r="126" spans="1:28" ht="12.75">
      <c r="A126" s="9" t="s">
        <v>58</v>
      </c>
      <c r="B126" s="10">
        <v>44579</v>
      </c>
      <c r="C126" s="11">
        <v>44579</v>
      </c>
      <c r="D126" s="49">
        <v>3</v>
      </c>
      <c r="E126" s="13" t="s">
        <v>258</v>
      </c>
      <c r="F126" s="13">
        <v>3025460</v>
      </c>
      <c r="G126" s="14">
        <v>69589</v>
      </c>
      <c r="H126" s="33">
        <v>7750</v>
      </c>
      <c r="I126" s="16">
        <f t="shared" si="22"/>
        <v>539314750</v>
      </c>
      <c r="J126" s="17">
        <v>149</v>
      </c>
      <c r="K126" s="34">
        <v>4502250704</v>
      </c>
      <c r="L126" s="19">
        <v>5080089635</v>
      </c>
      <c r="M126" s="20">
        <v>5113050356</v>
      </c>
      <c r="N126" s="23"/>
      <c r="O126" s="9" t="s">
        <v>37</v>
      </c>
      <c r="P126" s="23"/>
      <c r="Q126" s="24" t="s">
        <v>31</v>
      </c>
      <c r="R126" s="25">
        <v>44576</v>
      </c>
      <c r="S126" s="28"/>
      <c r="T126" s="35"/>
      <c r="U126" s="35"/>
      <c r="V126" s="29"/>
      <c r="W126" s="35"/>
      <c r="X126" s="29"/>
      <c r="Y126" s="36"/>
      <c r="Z126" s="29"/>
      <c r="AA126" s="31">
        <f t="shared" si="1"/>
        <v>44576</v>
      </c>
      <c r="AB126" s="32" t="str">
        <f t="shared" si="5"/>
        <v>enero</v>
      </c>
    </row>
    <row r="127" spans="1:28" ht="12.75">
      <c r="A127" s="9" t="s">
        <v>58</v>
      </c>
      <c r="B127" s="10">
        <v>44579</v>
      </c>
      <c r="C127" s="11">
        <v>44579</v>
      </c>
      <c r="D127" s="49">
        <v>3</v>
      </c>
      <c r="E127" s="13" t="s">
        <v>259</v>
      </c>
      <c r="F127" s="13">
        <v>3025460</v>
      </c>
      <c r="G127" s="37">
        <v>27404.5</v>
      </c>
      <c r="H127" s="33">
        <v>7750</v>
      </c>
      <c r="I127" s="16">
        <f t="shared" si="22"/>
        <v>212384875</v>
      </c>
      <c r="J127" s="17">
        <v>60</v>
      </c>
      <c r="K127" s="34">
        <v>4502250709</v>
      </c>
      <c r="L127" s="19">
        <v>5080099874</v>
      </c>
      <c r="M127" s="20">
        <v>5113050367</v>
      </c>
      <c r="N127" s="23"/>
      <c r="O127" s="9" t="s">
        <v>37</v>
      </c>
      <c r="P127" s="23"/>
      <c r="Q127" s="24" t="s">
        <v>31</v>
      </c>
      <c r="R127" s="25">
        <v>44577</v>
      </c>
      <c r="S127" s="28"/>
      <c r="T127" s="35"/>
      <c r="U127" s="35"/>
      <c r="V127" s="29"/>
      <c r="W127" s="35"/>
      <c r="X127" s="29"/>
      <c r="Y127" s="36"/>
      <c r="Z127" s="29"/>
      <c r="AA127" s="31">
        <f t="shared" si="1"/>
        <v>44577</v>
      </c>
      <c r="AB127" s="32" t="str">
        <f t="shared" si="5"/>
        <v>enero</v>
      </c>
    </row>
    <row r="128" spans="1:28" ht="12.75">
      <c r="A128" s="9" t="s">
        <v>260</v>
      </c>
      <c r="B128" s="10">
        <v>44580</v>
      </c>
      <c r="C128" s="11"/>
      <c r="D128" s="49">
        <v>3</v>
      </c>
      <c r="E128" s="13" t="s">
        <v>261</v>
      </c>
      <c r="F128" s="13">
        <v>3025459</v>
      </c>
      <c r="G128" s="37">
        <v>12928.5</v>
      </c>
      <c r="H128" s="40">
        <v>7350</v>
      </c>
      <c r="I128" s="16">
        <f t="shared" si="22"/>
        <v>95024475</v>
      </c>
      <c r="J128" s="17">
        <v>28</v>
      </c>
      <c r="K128" s="34">
        <v>4502251140</v>
      </c>
      <c r="L128" s="19">
        <v>5080099876</v>
      </c>
      <c r="M128" s="20">
        <v>5113052874</v>
      </c>
      <c r="N128" s="23"/>
      <c r="O128" s="9" t="s">
        <v>63</v>
      </c>
      <c r="P128" s="23" t="s">
        <v>262</v>
      </c>
      <c r="Q128" s="24" t="s">
        <v>31</v>
      </c>
      <c r="R128" s="25">
        <v>44577</v>
      </c>
      <c r="S128" s="28"/>
      <c r="T128" s="35"/>
      <c r="U128" s="35"/>
      <c r="V128" s="29"/>
      <c r="W128" s="35"/>
      <c r="X128" s="29"/>
      <c r="Y128" s="36"/>
      <c r="Z128" s="29"/>
      <c r="AA128" s="31">
        <f t="shared" si="1"/>
        <v>44577</v>
      </c>
      <c r="AB128" s="32" t="str">
        <f t="shared" si="5"/>
        <v>enero</v>
      </c>
    </row>
    <row r="129" spans="1:28" ht="12.75">
      <c r="A129" s="9" t="s">
        <v>260</v>
      </c>
      <c r="B129" s="10">
        <v>44581</v>
      </c>
      <c r="C129" s="11"/>
      <c r="D129" s="49">
        <v>3</v>
      </c>
      <c r="E129" s="13" t="s">
        <v>263</v>
      </c>
      <c r="F129" s="13">
        <v>3025459</v>
      </c>
      <c r="G129" s="37">
        <v>12928.5</v>
      </c>
      <c r="H129" s="40">
        <f>7350-7296.96</f>
        <v>53.039999999999964</v>
      </c>
      <c r="I129" s="16">
        <f>-H129*G129</f>
        <v>-685727.63999999955</v>
      </c>
      <c r="J129" s="17">
        <v>0</v>
      </c>
      <c r="K129" s="34">
        <v>4502251140</v>
      </c>
      <c r="L129" s="19">
        <v>5080099876</v>
      </c>
      <c r="M129" s="20">
        <v>5113052875</v>
      </c>
      <c r="N129" s="23" t="s">
        <v>154</v>
      </c>
      <c r="O129" s="22"/>
      <c r="P129" s="23"/>
      <c r="Q129" s="24" t="s">
        <v>31</v>
      </c>
      <c r="R129" s="25">
        <v>44577</v>
      </c>
      <c r="S129" s="28"/>
      <c r="T129" s="35"/>
      <c r="U129" s="35"/>
      <c r="V129" s="29"/>
      <c r="W129" s="35"/>
      <c r="X129" s="29"/>
      <c r="Y129" s="36"/>
      <c r="Z129" s="29"/>
      <c r="AA129" s="31">
        <f t="shared" si="1"/>
        <v>44577</v>
      </c>
      <c r="AB129" s="32" t="str">
        <f t="shared" si="5"/>
        <v>enero</v>
      </c>
    </row>
    <row r="130" spans="1:28" ht="12.75">
      <c r="A130" s="9" t="s">
        <v>264</v>
      </c>
      <c r="B130" s="10">
        <v>44577</v>
      </c>
      <c r="C130" s="11">
        <v>44579</v>
      </c>
      <c r="D130" s="49">
        <v>3</v>
      </c>
      <c r="E130" s="13" t="s">
        <v>265</v>
      </c>
      <c r="F130" s="13">
        <v>3025459</v>
      </c>
      <c r="G130" s="37">
        <v>13718.5</v>
      </c>
      <c r="H130" s="33">
        <v>7700</v>
      </c>
      <c r="I130" s="16">
        <f t="shared" ref="I130:I132" si="23">H130*G130</f>
        <v>105632450</v>
      </c>
      <c r="J130" s="17">
        <v>28</v>
      </c>
      <c r="K130" s="34">
        <v>4502250719</v>
      </c>
      <c r="L130" s="19">
        <v>5080099875</v>
      </c>
      <c r="M130" s="20">
        <v>5113049026</v>
      </c>
      <c r="N130" s="21"/>
      <c r="O130" s="9" t="s">
        <v>63</v>
      </c>
      <c r="P130" s="23"/>
      <c r="Q130" s="24" t="s">
        <v>31</v>
      </c>
      <c r="R130" s="25">
        <v>44577</v>
      </c>
      <c r="S130" s="28"/>
      <c r="T130" s="35"/>
      <c r="U130" s="35"/>
      <c r="V130" s="29"/>
      <c r="W130" s="35"/>
      <c r="X130" s="29"/>
      <c r="Y130" s="36"/>
      <c r="Z130" s="29"/>
      <c r="AA130" s="31">
        <f t="shared" si="1"/>
        <v>44577</v>
      </c>
      <c r="AB130" s="32" t="str">
        <f t="shared" si="5"/>
        <v>enero</v>
      </c>
    </row>
    <row r="131" spans="1:28" ht="12.75">
      <c r="A131" s="9" t="s">
        <v>266</v>
      </c>
      <c r="B131" s="10">
        <v>44578</v>
      </c>
      <c r="C131" s="11">
        <v>44586</v>
      </c>
      <c r="D131" s="49">
        <v>3</v>
      </c>
      <c r="E131" s="13" t="s">
        <v>267</v>
      </c>
      <c r="F131" s="13">
        <v>3025460</v>
      </c>
      <c r="G131" s="37">
        <v>13436.5</v>
      </c>
      <c r="H131" s="33">
        <v>7400</v>
      </c>
      <c r="I131" s="16">
        <f t="shared" si="23"/>
        <v>99430100</v>
      </c>
      <c r="J131" s="17">
        <v>28</v>
      </c>
      <c r="K131" s="34">
        <v>4502250720</v>
      </c>
      <c r="L131" s="19">
        <v>5080122257</v>
      </c>
      <c r="M131" s="20">
        <v>5113063310</v>
      </c>
      <c r="N131" s="23"/>
      <c r="O131" s="9" t="s">
        <v>37</v>
      </c>
      <c r="P131" s="23"/>
      <c r="Q131" s="24" t="s">
        <v>31</v>
      </c>
      <c r="R131" s="25">
        <v>44578</v>
      </c>
      <c r="S131" s="28"/>
      <c r="T131" s="35"/>
      <c r="U131" s="35"/>
      <c r="V131" s="29"/>
      <c r="W131" s="35"/>
      <c r="X131" s="29"/>
      <c r="Y131" s="36"/>
      <c r="Z131" s="29"/>
      <c r="AA131" s="31">
        <f t="shared" si="1"/>
        <v>44578</v>
      </c>
      <c r="AB131" s="32" t="str">
        <f t="shared" si="5"/>
        <v>enero</v>
      </c>
    </row>
    <row r="132" spans="1:28" ht="12.75">
      <c r="A132" s="9" t="s">
        <v>39</v>
      </c>
      <c r="B132" s="10">
        <v>44578</v>
      </c>
      <c r="C132" s="11">
        <v>44581</v>
      </c>
      <c r="D132" s="49">
        <v>3</v>
      </c>
      <c r="E132" s="13" t="s">
        <v>268</v>
      </c>
      <c r="F132" s="13">
        <v>3025459</v>
      </c>
      <c r="G132" s="14">
        <v>15170</v>
      </c>
      <c r="H132" s="33">
        <v>7700</v>
      </c>
      <c r="I132" s="16">
        <f t="shared" si="23"/>
        <v>116809000</v>
      </c>
      <c r="J132" s="17">
        <v>30</v>
      </c>
      <c r="K132" s="34">
        <v>4502250721</v>
      </c>
      <c r="L132" s="19">
        <v>5080122553</v>
      </c>
      <c r="M132" s="20">
        <v>5113054009</v>
      </c>
      <c r="N132" s="21"/>
      <c r="O132" s="9" t="s">
        <v>37</v>
      </c>
      <c r="P132" s="23"/>
      <c r="Q132" s="24" t="s">
        <v>31</v>
      </c>
      <c r="R132" s="25">
        <v>44578</v>
      </c>
      <c r="S132" s="28"/>
      <c r="T132" s="35"/>
      <c r="U132" s="35"/>
      <c r="V132" s="29"/>
      <c r="W132" s="35"/>
      <c r="X132" s="29"/>
      <c r="Y132" s="36"/>
      <c r="Z132" s="29"/>
      <c r="AA132" s="31">
        <f t="shared" si="1"/>
        <v>44578</v>
      </c>
      <c r="AB132" s="32" t="str">
        <f t="shared" si="5"/>
        <v>enero</v>
      </c>
    </row>
    <row r="133" spans="1:28" ht="12.75">
      <c r="A133" s="9" t="s">
        <v>39</v>
      </c>
      <c r="B133" s="10">
        <v>44578</v>
      </c>
      <c r="C133" s="11">
        <v>44581</v>
      </c>
      <c r="D133" s="49">
        <v>3</v>
      </c>
      <c r="E133" s="13" t="s">
        <v>269</v>
      </c>
      <c r="F133" s="13">
        <v>3025459</v>
      </c>
      <c r="G133" s="14">
        <v>15170</v>
      </c>
      <c r="H133" s="33">
        <v>100</v>
      </c>
      <c r="I133" s="16">
        <f>-H133*G133</f>
        <v>-1517000</v>
      </c>
      <c r="J133" s="17">
        <v>0</v>
      </c>
      <c r="K133" s="34">
        <v>4502250721</v>
      </c>
      <c r="L133" s="19">
        <v>5080122553</v>
      </c>
      <c r="M133" s="20">
        <v>5113054011</v>
      </c>
      <c r="N133" s="21"/>
      <c r="O133" s="9"/>
      <c r="P133" s="23"/>
      <c r="Q133" s="24" t="s">
        <v>31</v>
      </c>
      <c r="R133" s="25">
        <v>44578</v>
      </c>
      <c r="S133" s="28"/>
      <c r="T133" s="35"/>
      <c r="U133" s="35"/>
      <c r="V133" s="29"/>
      <c r="W133" s="35"/>
      <c r="X133" s="29"/>
      <c r="Y133" s="36"/>
      <c r="Z133" s="29"/>
      <c r="AA133" s="31">
        <f t="shared" si="1"/>
        <v>44578</v>
      </c>
      <c r="AB133" s="32" t="str">
        <f t="shared" si="5"/>
        <v>enero</v>
      </c>
    </row>
    <row r="134" spans="1:28" ht="12.75">
      <c r="A134" s="9" t="s">
        <v>58</v>
      </c>
      <c r="B134" s="10">
        <v>44581</v>
      </c>
      <c r="C134" s="11">
        <v>44581</v>
      </c>
      <c r="D134" s="49">
        <v>3</v>
      </c>
      <c r="E134" s="13" t="s">
        <v>270</v>
      </c>
      <c r="F134" s="13">
        <v>3025459</v>
      </c>
      <c r="G134" s="14">
        <v>13656</v>
      </c>
      <c r="H134" s="33">
        <v>7750</v>
      </c>
      <c r="I134" s="16">
        <f t="shared" ref="I134:I139" si="24">H134*G134</f>
        <v>105834000</v>
      </c>
      <c r="J134" s="17">
        <v>30</v>
      </c>
      <c r="K134" s="34">
        <v>4502250723</v>
      </c>
      <c r="L134" s="19">
        <v>5080122554</v>
      </c>
      <c r="M134" s="20">
        <v>5113053840</v>
      </c>
      <c r="N134" s="21"/>
      <c r="O134" s="9" t="s">
        <v>37</v>
      </c>
      <c r="P134" s="23"/>
      <c r="Q134" s="24" t="s">
        <v>31</v>
      </c>
      <c r="R134" s="25">
        <v>44578</v>
      </c>
      <c r="S134" s="28"/>
      <c r="T134" s="35"/>
      <c r="U134" s="35"/>
      <c r="V134" s="29"/>
      <c r="W134" s="35"/>
      <c r="X134" s="29"/>
      <c r="Y134" s="36"/>
      <c r="Z134" s="29"/>
      <c r="AA134" s="31">
        <f t="shared" si="1"/>
        <v>44578</v>
      </c>
      <c r="AB134" s="32" t="str">
        <f t="shared" si="5"/>
        <v>enero</v>
      </c>
    </row>
    <row r="135" spans="1:28" ht="12.75">
      <c r="A135" s="9" t="s">
        <v>85</v>
      </c>
      <c r="B135" s="10">
        <v>44579</v>
      </c>
      <c r="C135" s="11">
        <v>44580</v>
      </c>
      <c r="D135" s="49">
        <v>3</v>
      </c>
      <c r="E135" s="13" t="s">
        <v>271</v>
      </c>
      <c r="F135" s="13">
        <v>3025460</v>
      </c>
      <c r="G135" s="14">
        <v>20782</v>
      </c>
      <c r="H135" s="15">
        <v>7300</v>
      </c>
      <c r="I135" s="16">
        <f t="shared" si="24"/>
        <v>151708600</v>
      </c>
      <c r="J135" s="17">
        <v>42</v>
      </c>
      <c r="K135" s="34">
        <v>4502254501</v>
      </c>
      <c r="L135" s="19">
        <v>5080125023</v>
      </c>
      <c r="M135" s="20">
        <v>5113051680</v>
      </c>
      <c r="N135" s="23" t="s">
        <v>63</v>
      </c>
      <c r="O135" s="22" t="s">
        <v>272</v>
      </c>
      <c r="P135" s="23"/>
      <c r="Q135" s="24" t="s">
        <v>31</v>
      </c>
      <c r="R135" s="25">
        <v>44579</v>
      </c>
      <c r="S135" s="28">
        <v>4902192600</v>
      </c>
      <c r="T135" s="27">
        <f>1793900*3</f>
        <v>5381700</v>
      </c>
      <c r="U135" s="28" t="s">
        <v>273</v>
      </c>
      <c r="V135" s="29">
        <v>5113051646</v>
      </c>
      <c r="W135" s="35"/>
      <c r="X135" s="29"/>
      <c r="Y135" s="36"/>
      <c r="Z135" s="29"/>
      <c r="AA135" s="31">
        <f t="shared" si="1"/>
        <v>44579</v>
      </c>
      <c r="AB135" s="32" t="str">
        <f t="shared" si="5"/>
        <v>enero</v>
      </c>
    </row>
    <row r="136" spans="1:28" ht="12.75">
      <c r="A136" s="9" t="s">
        <v>274</v>
      </c>
      <c r="B136" s="10">
        <v>44582</v>
      </c>
      <c r="C136" s="11">
        <v>44582</v>
      </c>
      <c r="D136" s="49">
        <v>3</v>
      </c>
      <c r="E136" s="13" t="s">
        <v>275</v>
      </c>
      <c r="F136" s="13">
        <v>3025460</v>
      </c>
      <c r="G136" s="14">
        <v>35197</v>
      </c>
      <c r="H136" s="33">
        <v>7650</v>
      </c>
      <c r="I136" s="16">
        <f t="shared" si="24"/>
        <v>269257050</v>
      </c>
      <c r="J136" s="17">
        <v>75</v>
      </c>
      <c r="K136" s="34">
        <v>4502257308</v>
      </c>
      <c r="L136" s="19">
        <v>5080198870</v>
      </c>
      <c r="M136" s="20">
        <v>5113057075</v>
      </c>
      <c r="N136" s="21"/>
      <c r="O136" s="9" t="s">
        <v>63</v>
      </c>
      <c r="P136" s="23"/>
      <c r="Q136" s="24" t="s">
        <v>31</v>
      </c>
      <c r="R136" s="25">
        <v>44579</v>
      </c>
      <c r="S136" s="28"/>
      <c r="T136" s="35"/>
      <c r="U136" s="35"/>
      <c r="V136" s="29"/>
      <c r="W136" s="35"/>
      <c r="X136" s="29"/>
      <c r="Y136" s="36"/>
      <c r="Z136" s="29"/>
      <c r="AA136" s="31">
        <f t="shared" si="1"/>
        <v>44579</v>
      </c>
      <c r="AB136" s="32" t="str">
        <f t="shared" si="5"/>
        <v>enero</v>
      </c>
    </row>
    <row r="137" spans="1:28" ht="12.75">
      <c r="A137" s="9" t="s">
        <v>276</v>
      </c>
      <c r="B137" s="10">
        <v>44582</v>
      </c>
      <c r="C137" s="11">
        <v>44585</v>
      </c>
      <c r="D137" s="49">
        <v>3</v>
      </c>
      <c r="E137" s="13" t="s">
        <v>277</v>
      </c>
      <c r="F137" s="13">
        <v>3025460</v>
      </c>
      <c r="G137" s="14">
        <v>14187</v>
      </c>
      <c r="H137" s="33">
        <v>7350</v>
      </c>
      <c r="I137" s="16">
        <f t="shared" si="24"/>
        <v>104274450</v>
      </c>
      <c r="J137" s="17">
        <v>28</v>
      </c>
      <c r="K137" s="34">
        <v>4502257846</v>
      </c>
      <c r="L137" s="19">
        <v>5080207007</v>
      </c>
      <c r="M137" s="20">
        <v>5113058834</v>
      </c>
      <c r="N137" s="21"/>
      <c r="O137" s="9"/>
      <c r="P137" s="23"/>
      <c r="Q137" s="24" t="s">
        <v>31</v>
      </c>
      <c r="R137" s="25">
        <v>44579</v>
      </c>
      <c r="S137" s="28"/>
      <c r="T137" s="35"/>
      <c r="U137" s="35"/>
      <c r="V137" s="29"/>
      <c r="W137" s="35"/>
      <c r="X137" s="29"/>
      <c r="Y137" s="36"/>
      <c r="Z137" s="29"/>
      <c r="AA137" s="31">
        <f t="shared" si="1"/>
        <v>44579</v>
      </c>
      <c r="AB137" s="32" t="str">
        <f t="shared" si="5"/>
        <v>enero</v>
      </c>
    </row>
    <row r="138" spans="1:28" ht="12.75">
      <c r="A138" s="9" t="s">
        <v>116</v>
      </c>
      <c r="B138" s="10">
        <v>44559</v>
      </c>
      <c r="C138" s="11">
        <v>44560</v>
      </c>
      <c r="D138" s="49">
        <v>3</v>
      </c>
      <c r="E138" s="13" t="s">
        <v>117</v>
      </c>
      <c r="F138" s="13">
        <v>3025457</v>
      </c>
      <c r="G138" s="37">
        <v>52532.432999999997</v>
      </c>
      <c r="H138" s="15">
        <v>8035</v>
      </c>
      <c r="I138" s="16">
        <f t="shared" si="24"/>
        <v>422098099.15499997</v>
      </c>
      <c r="J138" s="17">
        <v>84</v>
      </c>
      <c r="K138" s="34">
        <v>4502244647</v>
      </c>
      <c r="L138" s="19">
        <v>5079901855</v>
      </c>
      <c r="M138" s="20">
        <v>5113026332</v>
      </c>
      <c r="N138" s="21"/>
      <c r="O138" s="22" t="s">
        <v>278</v>
      </c>
      <c r="P138" s="23"/>
      <c r="Q138" s="24" t="s">
        <v>31</v>
      </c>
      <c r="R138" s="25">
        <v>44579</v>
      </c>
      <c r="S138" s="28">
        <v>4902192602</v>
      </c>
      <c r="T138" s="27">
        <v>9030000</v>
      </c>
      <c r="U138" s="28" t="s">
        <v>279</v>
      </c>
      <c r="V138" s="29">
        <v>5113049200</v>
      </c>
      <c r="W138" s="28" t="s">
        <v>280</v>
      </c>
      <c r="X138" s="29">
        <v>5113049201</v>
      </c>
      <c r="Y138" s="36"/>
      <c r="Z138" s="29"/>
      <c r="AA138" s="31">
        <f t="shared" si="1"/>
        <v>44579</v>
      </c>
      <c r="AB138" s="32" t="str">
        <f t="shared" si="5"/>
        <v>enero</v>
      </c>
    </row>
    <row r="139" spans="1:28" ht="12.75">
      <c r="A139" s="9" t="s">
        <v>58</v>
      </c>
      <c r="B139" s="10">
        <v>44582</v>
      </c>
      <c r="C139" s="11">
        <v>44582</v>
      </c>
      <c r="D139" s="49">
        <v>3</v>
      </c>
      <c r="E139" s="13" t="s">
        <v>281</v>
      </c>
      <c r="F139" s="13">
        <v>3025460</v>
      </c>
      <c r="G139" s="37">
        <v>12901.5</v>
      </c>
      <c r="H139" s="33">
        <v>7750</v>
      </c>
      <c r="I139" s="16">
        <f t="shared" si="24"/>
        <v>99986625</v>
      </c>
      <c r="J139" s="17">
        <v>31</v>
      </c>
      <c r="K139" s="34">
        <v>4502250735</v>
      </c>
      <c r="L139" s="19">
        <v>5080141072</v>
      </c>
      <c r="M139" s="20">
        <v>5113057858</v>
      </c>
      <c r="N139" s="21"/>
      <c r="O139" s="9" t="s">
        <v>37</v>
      </c>
      <c r="P139" s="23"/>
      <c r="Q139" s="24" t="s">
        <v>31</v>
      </c>
      <c r="R139" s="25">
        <v>44579</v>
      </c>
      <c r="S139" s="28"/>
      <c r="T139" s="35"/>
      <c r="U139" s="35"/>
      <c r="V139" s="29"/>
      <c r="W139" s="35"/>
      <c r="X139" s="29"/>
      <c r="Y139" s="36"/>
      <c r="Z139" s="29"/>
      <c r="AA139" s="31">
        <f t="shared" si="1"/>
        <v>44579</v>
      </c>
      <c r="AB139" s="32" t="str">
        <f t="shared" si="5"/>
        <v>enero</v>
      </c>
    </row>
    <row r="140" spans="1:28" ht="12.75">
      <c r="A140" s="9" t="s">
        <v>58</v>
      </c>
      <c r="B140" s="10">
        <v>44582</v>
      </c>
      <c r="C140" s="11">
        <v>44582</v>
      </c>
      <c r="D140" s="49">
        <v>3</v>
      </c>
      <c r="E140" s="13" t="s">
        <v>282</v>
      </c>
      <c r="F140" s="13">
        <v>3025460</v>
      </c>
      <c r="G140" s="37">
        <v>12901.5</v>
      </c>
      <c r="H140" s="33">
        <f>7750-7725.94</f>
        <v>24.0600000000004</v>
      </c>
      <c r="I140" s="16">
        <f>-H140*G140</f>
        <v>-310410.09000000515</v>
      </c>
      <c r="J140" s="17">
        <v>0</v>
      </c>
      <c r="K140" s="34">
        <v>4502250735</v>
      </c>
      <c r="L140" s="19">
        <v>5080141072</v>
      </c>
      <c r="M140" s="20">
        <v>5113057860</v>
      </c>
      <c r="N140" s="21"/>
      <c r="O140" s="9"/>
      <c r="P140" s="23"/>
      <c r="Q140" s="24" t="s">
        <v>31</v>
      </c>
      <c r="R140" s="25">
        <v>44579</v>
      </c>
      <c r="S140" s="28"/>
      <c r="T140" s="35"/>
      <c r="U140" s="35"/>
      <c r="V140" s="29"/>
      <c r="W140" s="35"/>
      <c r="X140" s="29"/>
      <c r="Y140" s="36"/>
      <c r="Z140" s="29"/>
      <c r="AA140" s="31">
        <f t="shared" si="1"/>
        <v>44579</v>
      </c>
      <c r="AB140" s="32" t="str">
        <f t="shared" si="5"/>
        <v>enero</v>
      </c>
    </row>
    <row r="141" spans="1:28" ht="12.75">
      <c r="A141" s="9" t="s">
        <v>67</v>
      </c>
      <c r="B141" s="10">
        <v>44585</v>
      </c>
      <c r="C141" s="11"/>
      <c r="D141" s="53">
        <v>4</v>
      </c>
      <c r="E141" s="13" t="s">
        <v>283</v>
      </c>
      <c r="F141" s="13">
        <v>3025457</v>
      </c>
      <c r="G141" s="37">
        <v>6429.5</v>
      </c>
      <c r="H141" s="33">
        <v>7400</v>
      </c>
      <c r="I141" s="16">
        <f t="shared" ref="I141:I142" si="25">H141*G141</f>
        <v>47578300</v>
      </c>
      <c r="J141" s="17">
        <v>14</v>
      </c>
      <c r="K141" s="34">
        <v>4502255293</v>
      </c>
      <c r="L141" s="19">
        <v>5080170028</v>
      </c>
      <c r="M141" s="20">
        <v>5113058835</v>
      </c>
      <c r="N141" s="21"/>
      <c r="O141" s="9"/>
      <c r="P141" s="23"/>
      <c r="Q141" s="24" t="s">
        <v>31</v>
      </c>
      <c r="R141" s="25">
        <v>44581</v>
      </c>
      <c r="S141" s="28"/>
      <c r="T141" s="35"/>
      <c r="U141" s="35"/>
      <c r="V141" s="29"/>
      <c r="W141" s="35"/>
      <c r="X141" s="29"/>
      <c r="Y141" s="36"/>
      <c r="Z141" s="29"/>
      <c r="AA141" s="31">
        <f t="shared" si="1"/>
        <v>44581</v>
      </c>
      <c r="AB141" s="32" t="str">
        <f t="shared" si="5"/>
        <v>enero</v>
      </c>
    </row>
    <row r="142" spans="1:28" ht="12.75">
      <c r="A142" s="9" t="s">
        <v>233</v>
      </c>
      <c r="B142" s="10">
        <v>44581</v>
      </c>
      <c r="C142" s="11"/>
      <c r="D142" s="53">
        <v>4</v>
      </c>
      <c r="E142" s="13" t="s">
        <v>284</v>
      </c>
      <c r="F142" s="13">
        <v>3025460</v>
      </c>
      <c r="G142" s="37">
        <v>27984.5</v>
      </c>
      <c r="H142" s="33">
        <v>7500</v>
      </c>
      <c r="I142" s="16">
        <f t="shared" si="25"/>
        <v>209883750</v>
      </c>
      <c r="J142" s="17">
        <v>56</v>
      </c>
      <c r="K142" s="34">
        <v>4502255296</v>
      </c>
      <c r="L142" s="19">
        <v>5080170029</v>
      </c>
      <c r="M142" s="20">
        <v>5113059636</v>
      </c>
      <c r="N142" s="23"/>
      <c r="O142" s="9" t="s">
        <v>37</v>
      </c>
      <c r="P142" s="23"/>
      <c r="Q142" s="24" t="s">
        <v>31</v>
      </c>
      <c r="R142" s="25">
        <v>44581</v>
      </c>
      <c r="S142" s="28"/>
      <c r="T142" s="35"/>
      <c r="U142" s="35"/>
      <c r="V142" s="29"/>
      <c r="W142" s="35"/>
      <c r="X142" s="29"/>
      <c r="Y142" s="36"/>
      <c r="Z142" s="29"/>
      <c r="AA142" s="31">
        <f t="shared" si="1"/>
        <v>44581</v>
      </c>
      <c r="AB142" s="32" t="str">
        <f t="shared" si="5"/>
        <v>enero</v>
      </c>
    </row>
    <row r="143" spans="1:28" ht="12.75">
      <c r="A143" s="9" t="s">
        <v>233</v>
      </c>
      <c r="B143" s="10">
        <v>44581</v>
      </c>
      <c r="C143" s="11"/>
      <c r="D143" s="53">
        <v>4</v>
      </c>
      <c r="E143" s="13" t="s">
        <v>285</v>
      </c>
      <c r="F143" s="13">
        <v>3025460</v>
      </c>
      <c r="G143" s="37">
        <v>27984.5</v>
      </c>
      <c r="H143" s="33">
        <f>7500-7497.76</f>
        <v>2.2399999999997817</v>
      </c>
      <c r="I143" s="16">
        <f>-H143*G143</f>
        <v>-62685.279999993894</v>
      </c>
      <c r="J143" s="17">
        <v>0</v>
      </c>
      <c r="K143" s="34">
        <v>4502255296</v>
      </c>
      <c r="L143" s="19">
        <v>5080170029</v>
      </c>
      <c r="M143" s="20">
        <v>5113059747</v>
      </c>
      <c r="N143" s="21"/>
      <c r="O143" s="9"/>
      <c r="P143" s="23"/>
      <c r="Q143" s="24" t="s">
        <v>31</v>
      </c>
      <c r="R143" s="25">
        <v>44581</v>
      </c>
      <c r="S143" s="28"/>
      <c r="T143" s="35"/>
      <c r="U143" s="35"/>
      <c r="V143" s="29"/>
      <c r="W143" s="35"/>
      <c r="X143" s="29"/>
      <c r="Y143" s="36"/>
      <c r="Z143" s="29"/>
      <c r="AA143" s="31">
        <f t="shared" si="1"/>
        <v>44581</v>
      </c>
      <c r="AB143" s="32" t="str">
        <f t="shared" si="5"/>
        <v>enero</v>
      </c>
    </row>
    <row r="144" spans="1:28" ht="12.75">
      <c r="A144" s="9" t="s">
        <v>286</v>
      </c>
      <c r="B144" s="10">
        <v>44582</v>
      </c>
      <c r="C144" s="11"/>
      <c r="D144" s="53">
        <v>4</v>
      </c>
      <c r="E144" s="13" t="s">
        <v>287</v>
      </c>
      <c r="F144" s="13">
        <v>3025460</v>
      </c>
      <c r="G144" s="37">
        <v>6140.5</v>
      </c>
      <c r="H144" s="33">
        <v>7400</v>
      </c>
      <c r="I144" s="16">
        <f>H144*G144</f>
        <v>45439700</v>
      </c>
      <c r="J144" s="17">
        <v>14</v>
      </c>
      <c r="K144" s="34">
        <v>4502255298</v>
      </c>
      <c r="L144" s="19">
        <v>5080170030</v>
      </c>
      <c r="M144" s="20">
        <v>5113061324</v>
      </c>
      <c r="N144" s="23"/>
      <c r="O144" s="9" t="s">
        <v>37</v>
      </c>
      <c r="P144" s="23"/>
      <c r="Q144" s="24" t="s">
        <v>31</v>
      </c>
      <c r="R144" s="25">
        <v>44581</v>
      </c>
      <c r="S144" s="28"/>
      <c r="T144" s="35"/>
      <c r="U144" s="35"/>
      <c r="V144" s="29"/>
      <c r="W144" s="35"/>
      <c r="X144" s="29"/>
      <c r="Y144" s="36"/>
      <c r="Z144" s="29"/>
      <c r="AA144" s="31">
        <f t="shared" si="1"/>
        <v>44581</v>
      </c>
      <c r="AB144" s="32" t="str">
        <f t="shared" si="5"/>
        <v>enero</v>
      </c>
    </row>
    <row r="145" spans="1:28" ht="12.75">
      <c r="A145" s="9" t="s">
        <v>286</v>
      </c>
      <c r="B145" s="10">
        <v>44586</v>
      </c>
      <c r="C145" s="11"/>
      <c r="D145" s="53">
        <v>4</v>
      </c>
      <c r="E145" s="13" t="s">
        <v>288</v>
      </c>
      <c r="F145" s="13">
        <v>3025460</v>
      </c>
      <c r="G145" s="37">
        <v>6140.5</v>
      </c>
      <c r="H145" s="33">
        <f>7400-7387.28</f>
        <v>12.720000000000255</v>
      </c>
      <c r="I145" s="16">
        <f>-H145*G145</f>
        <v>-78107.160000001561</v>
      </c>
      <c r="J145" s="17">
        <v>0</v>
      </c>
      <c r="K145" s="34">
        <v>4502255298</v>
      </c>
      <c r="L145" s="19">
        <v>5080170030</v>
      </c>
      <c r="M145" s="20">
        <v>5113061326</v>
      </c>
      <c r="N145" s="23"/>
      <c r="O145" s="9"/>
      <c r="P145" s="23"/>
      <c r="Q145" s="24" t="s">
        <v>31</v>
      </c>
      <c r="R145" s="25">
        <v>44581</v>
      </c>
      <c r="S145" s="28"/>
      <c r="T145" s="35"/>
      <c r="U145" s="35"/>
      <c r="V145" s="29"/>
      <c r="W145" s="35"/>
      <c r="X145" s="29"/>
      <c r="Y145" s="36"/>
      <c r="Z145" s="29"/>
      <c r="AA145" s="31">
        <f t="shared" si="1"/>
        <v>44581</v>
      </c>
      <c r="AB145" s="32" t="str">
        <f t="shared" si="5"/>
        <v>enero</v>
      </c>
    </row>
    <row r="146" spans="1:28" ht="12.75">
      <c r="A146" s="9" t="s">
        <v>289</v>
      </c>
      <c r="B146" s="10">
        <v>44581</v>
      </c>
      <c r="C146" s="11">
        <v>44585</v>
      </c>
      <c r="D146" s="53">
        <v>4</v>
      </c>
      <c r="E146" s="13" t="s">
        <v>290</v>
      </c>
      <c r="F146" s="13">
        <v>3025460</v>
      </c>
      <c r="G146" s="37">
        <v>15204.5</v>
      </c>
      <c r="H146" s="33">
        <v>7700</v>
      </c>
      <c r="I146" s="16">
        <f>H146*G146</f>
        <v>117074650</v>
      </c>
      <c r="J146" s="17">
        <v>30</v>
      </c>
      <c r="K146" s="34">
        <v>4502255301</v>
      </c>
      <c r="L146" s="19">
        <v>5080170031</v>
      </c>
      <c r="M146" s="20">
        <v>5113063253</v>
      </c>
      <c r="N146" s="21"/>
      <c r="O146" s="9" t="s">
        <v>37</v>
      </c>
      <c r="P146" s="23"/>
      <c r="Q146" s="24" t="s">
        <v>31</v>
      </c>
      <c r="R146" s="25">
        <v>44581</v>
      </c>
      <c r="S146" s="28"/>
      <c r="T146" s="35"/>
      <c r="U146" s="35"/>
      <c r="V146" s="29"/>
      <c r="W146" s="35"/>
      <c r="X146" s="29"/>
      <c r="Y146" s="36"/>
      <c r="Z146" s="29"/>
      <c r="AA146" s="31">
        <f t="shared" si="1"/>
        <v>44581</v>
      </c>
      <c r="AB146" s="32" t="str">
        <f t="shared" si="5"/>
        <v>enero</v>
      </c>
    </row>
    <row r="147" spans="1:28" ht="12.75">
      <c r="A147" s="9" t="s">
        <v>289</v>
      </c>
      <c r="B147" s="10">
        <v>44585</v>
      </c>
      <c r="C147" s="11">
        <v>44585</v>
      </c>
      <c r="D147" s="53">
        <v>4</v>
      </c>
      <c r="E147" s="13" t="s">
        <v>291</v>
      </c>
      <c r="F147" s="13">
        <v>3025460</v>
      </c>
      <c r="G147" s="37">
        <v>15204.5</v>
      </c>
      <c r="H147" s="33">
        <f>7700-7541.86</f>
        <v>158.14000000000033</v>
      </c>
      <c r="I147" s="16">
        <f>-H147*G147</f>
        <v>-2404439.630000005</v>
      </c>
      <c r="J147" s="17">
        <v>0</v>
      </c>
      <c r="K147" s="34">
        <v>4502255301</v>
      </c>
      <c r="L147" s="19">
        <v>5080170031</v>
      </c>
      <c r="M147" s="20">
        <v>5113063254</v>
      </c>
      <c r="N147" s="21"/>
      <c r="O147" s="9"/>
      <c r="P147" s="23" t="s">
        <v>292</v>
      </c>
      <c r="Q147" s="24" t="s">
        <v>31</v>
      </c>
      <c r="R147" s="25">
        <v>44581</v>
      </c>
      <c r="S147" s="28"/>
      <c r="T147" s="35"/>
      <c r="U147" s="35"/>
      <c r="V147" s="29"/>
      <c r="W147" s="35"/>
      <c r="X147" s="29"/>
      <c r="Y147" s="36"/>
      <c r="Z147" s="29"/>
      <c r="AA147" s="31">
        <f t="shared" si="1"/>
        <v>44581</v>
      </c>
      <c r="AB147" s="32" t="str">
        <f t="shared" si="5"/>
        <v>enero</v>
      </c>
    </row>
    <row r="148" spans="1:28" ht="12.75">
      <c r="A148" s="9" t="s">
        <v>39</v>
      </c>
      <c r="B148" s="10">
        <v>44582</v>
      </c>
      <c r="C148" s="11">
        <v>44585</v>
      </c>
      <c r="D148" s="53">
        <v>4</v>
      </c>
      <c r="E148" s="13" t="s">
        <v>293</v>
      </c>
      <c r="F148" s="13">
        <v>3025460</v>
      </c>
      <c r="G148" s="14">
        <v>24570</v>
      </c>
      <c r="H148" s="33">
        <v>7700</v>
      </c>
      <c r="I148" s="16">
        <f>H148*G148</f>
        <v>189189000</v>
      </c>
      <c r="J148" s="17">
        <v>56</v>
      </c>
      <c r="K148" s="34">
        <v>4502255305</v>
      </c>
      <c r="L148" s="19">
        <v>5080170032</v>
      </c>
      <c r="M148" s="20">
        <v>5113063307</v>
      </c>
      <c r="N148" s="21"/>
      <c r="O148" s="9" t="s">
        <v>37</v>
      </c>
      <c r="P148" s="23"/>
      <c r="Q148" s="24" t="s">
        <v>31</v>
      </c>
      <c r="R148" s="25">
        <v>44581</v>
      </c>
      <c r="S148" s="28"/>
      <c r="T148" s="35"/>
      <c r="U148" s="35"/>
      <c r="V148" s="29"/>
      <c r="W148" s="35"/>
      <c r="X148" s="29"/>
      <c r="Y148" s="36"/>
      <c r="Z148" s="29"/>
      <c r="AA148" s="31">
        <f t="shared" si="1"/>
        <v>44581</v>
      </c>
      <c r="AB148" s="32" t="str">
        <f t="shared" si="5"/>
        <v>enero</v>
      </c>
    </row>
    <row r="149" spans="1:28" ht="12.75">
      <c r="A149" s="9" t="s">
        <v>39</v>
      </c>
      <c r="B149" s="10">
        <v>44582</v>
      </c>
      <c r="C149" s="11">
        <v>44585</v>
      </c>
      <c r="D149" s="53">
        <v>4</v>
      </c>
      <c r="E149" s="13" t="s">
        <v>103</v>
      </c>
      <c r="F149" s="13">
        <v>3025460</v>
      </c>
      <c r="G149" s="14">
        <v>24570</v>
      </c>
      <c r="H149" s="33">
        <f>7700-7695.22</f>
        <v>4.7799999999997453</v>
      </c>
      <c r="I149" s="16">
        <f>-H149*G149</f>
        <v>-117444.59999999375</v>
      </c>
      <c r="J149" s="17">
        <v>0</v>
      </c>
      <c r="K149" s="34">
        <v>4502255305</v>
      </c>
      <c r="L149" s="19">
        <v>5080170032</v>
      </c>
      <c r="M149" s="20">
        <v>5113063308</v>
      </c>
      <c r="N149" s="21"/>
      <c r="O149" s="9"/>
      <c r="P149" s="23" t="s">
        <v>294</v>
      </c>
      <c r="Q149" s="24" t="s">
        <v>31</v>
      </c>
      <c r="R149" s="25">
        <v>44581</v>
      </c>
      <c r="S149" s="28"/>
      <c r="T149" s="35"/>
      <c r="U149" s="35"/>
      <c r="V149" s="29"/>
      <c r="W149" s="35"/>
      <c r="X149" s="29"/>
      <c r="Y149" s="36"/>
      <c r="Z149" s="29"/>
      <c r="AA149" s="31">
        <f t="shared" si="1"/>
        <v>44581</v>
      </c>
      <c r="AB149" s="32" t="str">
        <f t="shared" si="5"/>
        <v>enero</v>
      </c>
    </row>
    <row r="150" spans="1:28" ht="12.75">
      <c r="A150" s="22" t="s">
        <v>129</v>
      </c>
      <c r="B150" s="10">
        <v>44581</v>
      </c>
      <c r="C150" s="11">
        <v>44585</v>
      </c>
      <c r="D150" s="53">
        <v>4</v>
      </c>
      <c r="E150" s="13" t="s">
        <v>277</v>
      </c>
      <c r="F150" s="13">
        <v>3025460</v>
      </c>
      <c r="G150" s="37">
        <v>25880.5</v>
      </c>
      <c r="H150" s="33">
        <v>7550</v>
      </c>
      <c r="I150" s="16">
        <f>H150*G150</f>
        <v>195397775</v>
      </c>
      <c r="J150" s="17">
        <v>57</v>
      </c>
      <c r="K150" s="34">
        <v>4502255309</v>
      </c>
      <c r="L150" s="19">
        <v>5080170034</v>
      </c>
      <c r="M150" s="20">
        <v>5113058994</v>
      </c>
      <c r="N150" s="21"/>
      <c r="O150" s="9" t="s">
        <v>63</v>
      </c>
      <c r="P150" s="23"/>
      <c r="Q150" s="24" t="s">
        <v>31</v>
      </c>
      <c r="R150" s="25">
        <v>44581</v>
      </c>
      <c r="S150" s="28"/>
      <c r="T150" s="35"/>
      <c r="U150" s="35"/>
      <c r="V150" s="29"/>
      <c r="W150" s="35"/>
      <c r="X150" s="29"/>
      <c r="Y150" s="36"/>
      <c r="Z150" s="29"/>
      <c r="AA150" s="31">
        <f t="shared" si="1"/>
        <v>44581</v>
      </c>
      <c r="AB150" s="32" t="str">
        <f t="shared" si="5"/>
        <v>enero</v>
      </c>
    </row>
    <row r="151" spans="1:28" ht="12.75">
      <c r="A151" s="22" t="s">
        <v>129</v>
      </c>
      <c r="B151" s="10">
        <v>44581</v>
      </c>
      <c r="C151" s="11">
        <v>44585</v>
      </c>
      <c r="D151" s="53">
        <v>4</v>
      </c>
      <c r="E151" s="13" t="s">
        <v>295</v>
      </c>
      <c r="F151" s="13">
        <v>3025460</v>
      </c>
      <c r="G151" s="37">
        <v>25880.5</v>
      </c>
      <c r="H151" s="33">
        <f>7550-7547.01</f>
        <v>2.9899999999997817</v>
      </c>
      <c r="I151" s="16">
        <f>-H151*G151</f>
        <v>-77382.694999994346</v>
      </c>
      <c r="J151" s="17">
        <v>0</v>
      </c>
      <c r="K151" s="34">
        <v>4502255309</v>
      </c>
      <c r="L151" s="19">
        <v>5080170034</v>
      </c>
      <c r="M151" s="20">
        <v>5113059038</v>
      </c>
      <c r="N151" s="21"/>
      <c r="O151" s="9"/>
      <c r="P151" s="23"/>
      <c r="Q151" s="24" t="s">
        <v>31</v>
      </c>
      <c r="R151" s="25">
        <v>44581</v>
      </c>
      <c r="S151" s="28"/>
      <c r="T151" s="35"/>
      <c r="U151" s="35"/>
      <c r="V151" s="29"/>
      <c r="W151" s="35"/>
      <c r="X151" s="29"/>
      <c r="Y151" s="36"/>
      <c r="Z151" s="29"/>
      <c r="AA151" s="31">
        <f t="shared" si="1"/>
        <v>44581</v>
      </c>
      <c r="AB151" s="32" t="str">
        <f t="shared" si="5"/>
        <v>enero</v>
      </c>
    </row>
    <row r="152" spans="1:28" ht="12.75">
      <c r="A152" s="9" t="s">
        <v>296</v>
      </c>
      <c r="B152" s="10">
        <v>44581</v>
      </c>
      <c r="C152" s="11">
        <v>44585</v>
      </c>
      <c r="D152" s="53">
        <v>4</v>
      </c>
      <c r="E152" s="13" t="s">
        <v>297</v>
      </c>
      <c r="F152" s="13">
        <v>3025460</v>
      </c>
      <c r="G152" s="37">
        <v>6604.5</v>
      </c>
      <c r="H152" s="33">
        <v>7700</v>
      </c>
      <c r="I152" s="16">
        <f t="shared" ref="I152:I154" si="26">H152*G152</f>
        <v>50854650</v>
      </c>
      <c r="J152" s="17">
        <v>14</v>
      </c>
      <c r="K152" s="34">
        <v>4502255312</v>
      </c>
      <c r="L152" s="19">
        <v>5080170036</v>
      </c>
      <c r="M152" s="20">
        <v>5113059044</v>
      </c>
      <c r="N152" s="21"/>
      <c r="O152" s="9" t="s">
        <v>63</v>
      </c>
      <c r="P152" s="23"/>
      <c r="Q152" s="24" t="s">
        <v>31</v>
      </c>
      <c r="R152" s="25">
        <v>44581</v>
      </c>
      <c r="S152" s="28"/>
      <c r="T152" s="35"/>
      <c r="U152" s="35"/>
      <c r="V152" s="29"/>
      <c r="W152" s="35"/>
      <c r="X152" s="29"/>
      <c r="Y152" s="36"/>
      <c r="Z152" s="29"/>
      <c r="AA152" s="31">
        <f t="shared" si="1"/>
        <v>44581</v>
      </c>
      <c r="AB152" s="32" t="str">
        <f t="shared" si="5"/>
        <v>enero</v>
      </c>
    </row>
    <row r="153" spans="1:28" ht="12.75">
      <c r="A153" s="9" t="s">
        <v>233</v>
      </c>
      <c r="B153" s="10">
        <v>44582</v>
      </c>
      <c r="C153" s="11"/>
      <c r="D153" s="53">
        <v>4</v>
      </c>
      <c r="E153" s="13" t="s">
        <v>298</v>
      </c>
      <c r="F153" s="13">
        <v>3025460</v>
      </c>
      <c r="G153" s="37">
        <v>7638.5</v>
      </c>
      <c r="H153" s="33">
        <v>7500</v>
      </c>
      <c r="I153" s="16">
        <f t="shared" si="26"/>
        <v>57288750</v>
      </c>
      <c r="J153" s="17">
        <v>16</v>
      </c>
      <c r="K153" s="34">
        <v>4502255314</v>
      </c>
      <c r="L153" s="19">
        <v>5080180088</v>
      </c>
      <c r="M153" s="20">
        <v>5113062900</v>
      </c>
      <c r="N153" s="21"/>
      <c r="O153" s="9" t="s">
        <v>37</v>
      </c>
      <c r="P153" s="23"/>
      <c r="Q153" s="24" t="s">
        <v>31</v>
      </c>
      <c r="R153" s="25">
        <v>44582</v>
      </c>
      <c r="S153" s="28"/>
      <c r="T153" s="35"/>
      <c r="U153" s="35"/>
      <c r="V153" s="29"/>
      <c r="W153" s="35"/>
      <c r="X153" s="29"/>
      <c r="Y153" s="36"/>
      <c r="Z153" s="29"/>
      <c r="AA153" s="31">
        <f t="shared" si="1"/>
        <v>44582</v>
      </c>
      <c r="AB153" s="32" t="str">
        <f t="shared" si="5"/>
        <v>enero</v>
      </c>
    </row>
    <row r="154" spans="1:28" ht="12.75">
      <c r="A154" s="9" t="s">
        <v>104</v>
      </c>
      <c r="B154" s="10">
        <v>44582</v>
      </c>
      <c r="C154" s="11">
        <v>44585</v>
      </c>
      <c r="D154" s="53">
        <v>4</v>
      </c>
      <c r="E154" s="13" t="s">
        <v>299</v>
      </c>
      <c r="F154" s="13">
        <v>3025460</v>
      </c>
      <c r="G154" s="37">
        <v>19477.5</v>
      </c>
      <c r="H154" s="33">
        <v>7550</v>
      </c>
      <c r="I154" s="16">
        <f t="shared" si="26"/>
        <v>147055125</v>
      </c>
      <c r="J154" s="17">
        <v>42</v>
      </c>
      <c r="K154" s="34">
        <v>4502255320</v>
      </c>
      <c r="L154" s="19">
        <v>5080180090</v>
      </c>
      <c r="M154" s="20">
        <v>5113059902</v>
      </c>
      <c r="N154" s="21"/>
      <c r="O154" s="9" t="s">
        <v>63</v>
      </c>
      <c r="P154" s="23"/>
      <c r="Q154" s="24" t="s">
        <v>31</v>
      </c>
      <c r="R154" s="25">
        <v>44582</v>
      </c>
      <c r="S154" s="28"/>
      <c r="T154" s="35"/>
      <c r="U154" s="35"/>
      <c r="V154" s="29"/>
      <c r="W154" s="35"/>
      <c r="X154" s="29"/>
      <c r="Y154" s="36"/>
      <c r="Z154" s="29"/>
      <c r="AA154" s="31">
        <f t="shared" si="1"/>
        <v>44582</v>
      </c>
      <c r="AB154" s="32" t="str">
        <f t="shared" si="5"/>
        <v>enero</v>
      </c>
    </row>
    <row r="155" spans="1:28" ht="12.75">
      <c r="A155" s="9" t="s">
        <v>104</v>
      </c>
      <c r="B155" s="10">
        <v>44582</v>
      </c>
      <c r="C155" s="11">
        <v>44585</v>
      </c>
      <c r="D155" s="53">
        <v>4</v>
      </c>
      <c r="E155" s="13" t="s">
        <v>300</v>
      </c>
      <c r="F155" s="13">
        <v>3025460</v>
      </c>
      <c r="G155" s="37">
        <v>19477.5</v>
      </c>
      <c r="H155" s="33">
        <f>7550-7546.91</f>
        <v>3.0900000000001455</v>
      </c>
      <c r="I155" s="16">
        <f>-H155*G155</f>
        <v>-60185.475000002836</v>
      </c>
      <c r="J155" s="17">
        <v>0</v>
      </c>
      <c r="K155" s="34">
        <v>4502255320</v>
      </c>
      <c r="L155" s="19">
        <v>5080180090</v>
      </c>
      <c r="M155" s="20">
        <v>5113059903</v>
      </c>
      <c r="N155" s="21"/>
      <c r="O155" s="9"/>
      <c r="P155" s="23"/>
      <c r="Q155" s="24" t="s">
        <v>31</v>
      </c>
      <c r="R155" s="25">
        <v>44582</v>
      </c>
      <c r="S155" s="28"/>
      <c r="T155" s="35"/>
      <c r="U155" s="35"/>
      <c r="V155" s="29"/>
      <c r="W155" s="35"/>
      <c r="X155" s="29"/>
      <c r="Y155" s="36"/>
      <c r="Z155" s="29"/>
      <c r="AA155" s="31">
        <f t="shared" si="1"/>
        <v>44582</v>
      </c>
      <c r="AB155" s="32" t="str">
        <f t="shared" si="5"/>
        <v>enero</v>
      </c>
    </row>
    <row r="156" spans="1:28" ht="12.75">
      <c r="A156" s="9" t="s">
        <v>301</v>
      </c>
      <c r="B156" s="10">
        <v>44587</v>
      </c>
      <c r="C156" s="11">
        <v>44588</v>
      </c>
      <c r="D156" s="53">
        <v>4</v>
      </c>
      <c r="E156" s="13" t="s">
        <v>302</v>
      </c>
      <c r="F156" s="13">
        <v>3025460</v>
      </c>
      <c r="G156" s="37">
        <v>7358.5</v>
      </c>
      <c r="H156" s="33">
        <v>7450</v>
      </c>
      <c r="I156" s="16">
        <f t="shared" ref="I156:I157" si="27">H156*G156</f>
        <v>54820825</v>
      </c>
      <c r="J156" s="17">
        <v>16</v>
      </c>
      <c r="K156" s="34">
        <v>4502255328</v>
      </c>
      <c r="L156" s="19">
        <v>5080180092</v>
      </c>
      <c r="M156" s="20">
        <v>5113068735</v>
      </c>
      <c r="N156" s="21"/>
      <c r="O156" s="9" t="s">
        <v>63</v>
      </c>
      <c r="P156" s="23"/>
      <c r="Q156" s="24" t="s">
        <v>31</v>
      </c>
      <c r="R156" s="25">
        <v>44582</v>
      </c>
      <c r="S156" s="28"/>
      <c r="T156" s="35"/>
      <c r="U156" s="35"/>
      <c r="V156" s="29"/>
      <c r="W156" s="35"/>
      <c r="X156" s="29"/>
      <c r="Y156" s="36"/>
      <c r="Z156" s="29"/>
      <c r="AA156" s="31">
        <f t="shared" si="1"/>
        <v>44582</v>
      </c>
      <c r="AB156" s="32" t="str">
        <f t="shared" si="5"/>
        <v>enero</v>
      </c>
    </row>
    <row r="157" spans="1:28" ht="12.75">
      <c r="A157" s="9" t="s">
        <v>58</v>
      </c>
      <c r="B157" s="10">
        <v>44585</v>
      </c>
      <c r="C157" s="11">
        <v>44585</v>
      </c>
      <c r="D157" s="53">
        <v>4</v>
      </c>
      <c r="E157" s="13" t="s">
        <v>303</v>
      </c>
      <c r="F157" s="13">
        <v>3025460</v>
      </c>
      <c r="G157" s="37">
        <v>47072.5</v>
      </c>
      <c r="H157" s="33">
        <v>7800</v>
      </c>
      <c r="I157" s="16">
        <f t="shared" si="27"/>
        <v>367165500</v>
      </c>
      <c r="J157" s="17">
        <v>106</v>
      </c>
      <c r="K157" s="34">
        <v>4502255334</v>
      </c>
      <c r="L157" s="19">
        <v>5080180118</v>
      </c>
      <c r="M157" s="20">
        <v>5113066231</v>
      </c>
      <c r="N157" s="21"/>
      <c r="O157" s="9" t="s">
        <v>37</v>
      </c>
      <c r="P157" s="23"/>
      <c r="Q157" s="24" t="s">
        <v>31</v>
      </c>
      <c r="R157" s="25">
        <v>44582</v>
      </c>
      <c r="S157" s="28"/>
      <c r="T157" s="35"/>
      <c r="U157" s="35"/>
      <c r="V157" s="29"/>
      <c r="W157" s="35"/>
      <c r="X157" s="29"/>
      <c r="Y157" s="36"/>
      <c r="Z157" s="29"/>
      <c r="AA157" s="31">
        <f t="shared" si="1"/>
        <v>44582</v>
      </c>
      <c r="AB157" s="32" t="str">
        <f t="shared" si="5"/>
        <v>enero</v>
      </c>
    </row>
    <row r="158" spans="1:28" ht="12.75">
      <c r="A158" s="9" t="s">
        <v>58</v>
      </c>
      <c r="B158" s="10">
        <v>44586</v>
      </c>
      <c r="C158" s="11">
        <v>44586</v>
      </c>
      <c r="D158" s="53">
        <v>4</v>
      </c>
      <c r="E158" s="13" t="s">
        <v>304</v>
      </c>
      <c r="F158" s="13">
        <v>3025460</v>
      </c>
      <c r="G158" s="37">
        <v>47072.5</v>
      </c>
      <c r="H158" s="33">
        <f>7800-7787.78</f>
        <v>12.220000000000255</v>
      </c>
      <c r="I158" s="16">
        <f>-H158*G158</f>
        <v>-575225.95000001194</v>
      </c>
      <c r="J158" s="17">
        <v>0</v>
      </c>
      <c r="K158" s="34">
        <v>4502255334</v>
      </c>
      <c r="L158" s="19">
        <v>5080180118</v>
      </c>
      <c r="M158" s="20">
        <v>5113066233</v>
      </c>
      <c r="N158" s="21"/>
      <c r="O158" s="9"/>
      <c r="P158" s="23"/>
      <c r="Q158" s="24" t="s">
        <v>31</v>
      </c>
      <c r="R158" s="25">
        <v>44582</v>
      </c>
      <c r="S158" s="28"/>
      <c r="T158" s="35"/>
      <c r="U158" s="35"/>
      <c r="V158" s="29"/>
      <c r="W158" s="35"/>
      <c r="X158" s="29"/>
      <c r="Y158" s="36"/>
      <c r="Z158" s="29"/>
      <c r="AA158" s="31">
        <f t="shared" si="1"/>
        <v>44582</v>
      </c>
      <c r="AB158" s="32" t="str">
        <f t="shared" si="5"/>
        <v>enero</v>
      </c>
    </row>
    <row r="159" spans="1:28" ht="12.75">
      <c r="A159" s="9" t="s">
        <v>305</v>
      </c>
      <c r="B159" s="10">
        <v>44582</v>
      </c>
      <c r="C159" s="11"/>
      <c r="D159" s="53">
        <v>4</v>
      </c>
      <c r="E159" s="13" t="s">
        <v>306</v>
      </c>
      <c r="F159" s="13">
        <v>3025457</v>
      </c>
      <c r="G159" s="37">
        <v>20463.5</v>
      </c>
      <c r="H159" s="33">
        <v>7500</v>
      </c>
      <c r="I159" s="16">
        <f>H159*G159</f>
        <v>153476250</v>
      </c>
      <c r="J159" s="17">
        <v>42</v>
      </c>
      <c r="K159" s="34">
        <v>4502255337</v>
      </c>
      <c r="L159" s="19">
        <v>5080180094</v>
      </c>
      <c r="M159" s="20">
        <v>5113066216</v>
      </c>
      <c r="N159" s="23"/>
      <c r="O159" s="9" t="s">
        <v>37</v>
      </c>
      <c r="P159" s="23"/>
      <c r="Q159" s="24" t="s">
        <v>31</v>
      </c>
      <c r="R159" s="25">
        <v>44582</v>
      </c>
      <c r="S159" s="28"/>
      <c r="T159" s="35"/>
      <c r="U159" s="35"/>
      <c r="V159" s="29"/>
      <c r="W159" s="35"/>
      <c r="X159" s="29"/>
      <c r="Y159" s="36"/>
      <c r="Z159" s="29"/>
      <c r="AA159" s="31">
        <f t="shared" si="1"/>
        <v>44582</v>
      </c>
      <c r="AB159" s="32" t="str">
        <f t="shared" si="5"/>
        <v>enero</v>
      </c>
    </row>
    <row r="160" spans="1:28" ht="12.75">
      <c r="A160" s="9" t="s">
        <v>305</v>
      </c>
      <c r="B160" s="10">
        <v>44582</v>
      </c>
      <c r="C160" s="11"/>
      <c r="D160" s="53">
        <v>4</v>
      </c>
      <c r="E160" s="13" t="s">
        <v>307</v>
      </c>
      <c r="F160" s="13">
        <v>3025457</v>
      </c>
      <c r="G160" s="37">
        <v>20463.5</v>
      </c>
      <c r="H160" s="33">
        <v>50</v>
      </c>
      <c r="I160" s="16">
        <f>-H160*G160</f>
        <v>-1023175</v>
      </c>
      <c r="J160" s="17">
        <v>0</v>
      </c>
      <c r="K160" s="34">
        <v>4502255337</v>
      </c>
      <c r="L160" s="19">
        <v>5080180094</v>
      </c>
      <c r="M160" s="20">
        <v>5113066228</v>
      </c>
      <c r="N160" s="23"/>
      <c r="O160" s="9"/>
      <c r="P160" s="23"/>
      <c r="Q160" s="24" t="s">
        <v>31</v>
      </c>
      <c r="R160" s="25">
        <v>44582</v>
      </c>
      <c r="S160" s="28"/>
      <c r="T160" s="35"/>
      <c r="U160" s="35"/>
      <c r="V160" s="29"/>
      <c r="W160" s="35"/>
      <c r="X160" s="29"/>
      <c r="Y160" s="36"/>
      <c r="Z160" s="29"/>
      <c r="AA160" s="31">
        <f t="shared" si="1"/>
        <v>44582</v>
      </c>
      <c r="AB160" s="32" t="str">
        <f t="shared" si="5"/>
        <v>enero</v>
      </c>
    </row>
    <row r="161" spans="1:28" ht="12.75">
      <c r="A161" s="9" t="s">
        <v>65</v>
      </c>
      <c r="B161" s="10">
        <v>44585</v>
      </c>
      <c r="C161" s="11">
        <v>44585</v>
      </c>
      <c r="D161" s="53">
        <v>4</v>
      </c>
      <c r="E161" s="13" t="s">
        <v>308</v>
      </c>
      <c r="F161" s="13">
        <v>3025457</v>
      </c>
      <c r="G161" s="37">
        <v>13339.5</v>
      </c>
      <c r="H161" s="33">
        <v>7700</v>
      </c>
      <c r="I161" s="16">
        <f t="shared" ref="I161:I168" si="28">H161*G161</f>
        <v>102714150</v>
      </c>
      <c r="J161" s="17">
        <v>28</v>
      </c>
      <c r="K161" s="34">
        <v>4502255341</v>
      </c>
      <c r="L161" s="19">
        <v>5080180097</v>
      </c>
      <c r="M161" s="20">
        <v>5113059065</v>
      </c>
      <c r="N161" s="21"/>
      <c r="O161" s="9" t="s">
        <v>63</v>
      </c>
      <c r="P161" s="23"/>
      <c r="Q161" s="24" t="s">
        <v>31</v>
      </c>
      <c r="R161" s="25">
        <v>44582</v>
      </c>
      <c r="S161" s="28"/>
      <c r="T161" s="35"/>
      <c r="U161" s="35"/>
      <c r="V161" s="29"/>
      <c r="W161" s="35"/>
      <c r="X161" s="29"/>
      <c r="Y161" s="36"/>
      <c r="Z161" s="29"/>
      <c r="AA161" s="31">
        <f t="shared" si="1"/>
        <v>44582</v>
      </c>
      <c r="AB161" s="32" t="str">
        <f t="shared" si="5"/>
        <v>enero</v>
      </c>
    </row>
    <row r="162" spans="1:28" ht="12.75">
      <c r="A162" s="9" t="s">
        <v>111</v>
      </c>
      <c r="B162" s="10">
        <v>44582</v>
      </c>
      <c r="C162" s="11">
        <v>44587</v>
      </c>
      <c r="D162" s="53">
        <v>4</v>
      </c>
      <c r="E162" s="13" t="s">
        <v>309</v>
      </c>
      <c r="F162" s="13">
        <v>3025457</v>
      </c>
      <c r="G162" s="37">
        <v>6454.5</v>
      </c>
      <c r="H162" s="33">
        <v>7450</v>
      </c>
      <c r="I162" s="16">
        <f t="shared" si="28"/>
        <v>48086025</v>
      </c>
      <c r="J162" s="17">
        <v>14</v>
      </c>
      <c r="K162" s="34">
        <v>4502255342</v>
      </c>
      <c r="L162" s="19">
        <v>5080180098</v>
      </c>
      <c r="M162" s="20">
        <v>5113063251</v>
      </c>
      <c r="N162" s="21"/>
      <c r="O162" s="9" t="s">
        <v>63</v>
      </c>
      <c r="P162" s="23"/>
      <c r="Q162" s="24" t="s">
        <v>31</v>
      </c>
      <c r="R162" s="25">
        <v>44582</v>
      </c>
      <c r="S162" s="28"/>
      <c r="T162" s="35"/>
      <c r="U162" s="35"/>
      <c r="V162" s="29"/>
      <c r="W162" s="35"/>
      <c r="X162" s="29"/>
      <c r="Y162" s="36"/>
      <c r="Z162" s="29"/>
      <c r="AA162" s="31">
        <f t="shared" si="1"/>
        <v>44582</v>
      </c>
      <c r="AB162" s="32" t="str">
        <f t="shared" si="5"/>
        <v>enero</v>
      </c>
    </row>
    <row r="163" spans="1:28" ht="12.75">
      <c r="A163" s="9" t="s">
        <v>80</v>
      </c>
      <c r="B163" s="10">
        <v>44582</v>
      </c>
      <c r="C163" s="11">
        <v>44586</v>
      </c>
      <c r="D163" s="53">
        <v>4</v>
      </c>
      <c r="E163" s="13" t="s">
        <v>310</v>
      </c>
      <c r="F163" s="13">
        <v>3025460</v>
      </c>
      <c r="G163" s="14">
        <v>39189</v>
      </c>
      <c r="H163" s="33">
        <v>7600</v>
      </c>
      <c r="I163" s="16">
        <f t="shared" si="28"/>
        <v>297836400</v>
      </c>
      <c r="J163" s="17">
        <v>84</v>
      </c>
      <c r="K163" s="34">
        <v>4502258094</v>
      </c>
      <c r="L163" s="19">
        <v>5080217521</v>
      </c>
      <c r="M163" s="20">
        <v>5113062898</v>
      </c>
      <c r="N163" s="23"/>
      <c r="O163" s="23" t="s">
        <v>37</v>
      </c>
      <c r="P163" s="23"/>
      <c r="Q163" s="24" t="s">
        <v>82</v>
      </c>
      <c r="R163" s="25">
        <v>44582</v>
      </c>
      <c r="S163" s="28"/>
      <c r="T163" s="35"/>
      <c r="U163" s="35"/>
      <c r="V163" s="29"/>
      <c r="W163" s="35"/>
      <c r="X163" s="29"/>
      <c r="Y163" s="36"/>
      <c r="Z163" s="29"/>
      <c r="AA163" s="31">
        <f t="shared" si="1"/>
        <v>44582</v>
      </c>
      <c r="AB163" s="32" t="str">
        <f t="shared" si="5"/>
        <v>enero</v>
      </c>
    </row>
    <row r="164" spans="1:28" ht="12.75">
      <c r="A164" s="9" t="s">
        <v>83</v>
      </c>
      <c r="B164" s="10">
        <v>44582</v>
      </c>
      <c r="C164" s="11">
        <v>44586</v>
      </c>
      <c r="D164" s="53">
        <v>4</v>
      </c>
      <c r="E164" s="13" t="s">
        <v>311</v>
      </c>
      <c r="F164" s="13">
        <v>3025460</v>
      </c>
      <c r="G164" s="14">
        <v>19313</v>
      </c>
      <c r="H164" s="33">
        <v>7550</v>
      </c>
      <c r="I164" s="16">
        <f t="shared" si="28"/>
        <v>145813150</v>
      </c>
      <c r="J164" s="17">
        <v>42</v>
      </c>
      <c r="K164" s="34">
        <v>4502258095</v>
      </c>
      <c r="L164" s="19">
        <v>5080217559</v>
      </c>
      <c r="M164" s="20">
        <v>5113061154</v>
      </c>
      <c r="N164" s="23"/>
      <c r="O164" s="9" t="s">
        <v>37</v>
      </c>
      <c r="P164" s="23"/>
      <c r="Q164" s="24" t="s">
        <v>82</v>
      </c>
      <c r="R164" s="25">
        <v>44582</v>
      </c>
      <c r="S164" s="28"/>
      <c r="T164" s="35"/>
      <c r="U164" s="35"/>
      <c r="V164" s="29"/>
      <c r="W164" s="35"/>
      <c r="X164" s="29"/>
      <c r="Y164" s="36"/>
      <c r="Z164" s="29"/>
      <c r="AA164" s="31">
        <f t="shared" si="1"/>
        <v>44582</v>
      </c>
      <c r="AB164" s="32" t="str">
        <f t="shared" si="5"/>
        <v>enero</v>
      </c>
    </row>
    <row r="165" spans="1:28" ht="12.75">
      <c r="A165" s="9" t="s">
        <v>196</v>
      </c>
      <c r="B165" s="10">
        <v>44582</v>
      </c>
      <c r="C165" s="11"/>
      <c r="D165" s="53">
        <v>4</v>
      </c>
      <c r="E165" s="13" t="s">
        <v>312</v>
      </c>
      <c r="F165" s="13">
        <v>3025460</v>
      </c>
      <c r="G165" s="14">
        <v>26049</v>
      </c>
      <c r="H165" s="33">
        <v>7550</v>
      </c>
      <c r="I165" s="16">
        <f t="shared" si="28"/>
        <v>196669950</v>
      </c>
      <c r="J165" s="17">
        <v>56</v>
      </c>
      <c r="K165" s="34">
        <v>4502258097</v>
      </c>
      <c r="L165" s="19">
        <v>5080217566</v>
      </c>
      <c r="M165" s="20">
        <v>5113061399</v>
      </c>
      <c r="N165" s="21"/>
      <c r="O165" s="9" t="s">
        <v>63</v>
      </c>
      <c r="P165" s="23" t="s">
        <v>313</v>
      </c>
      <c r="Q165" s="24" t="s">
        <v>82</v>
      </c>
      <c r="R165" s="25">
        <v>44582</v>
      </c>
      <c r="S165" s="28"/>
      <c r="T165" s="35"/>
      <c r="U165" s="35"/>
      <c r="V165" s="29"/>
      <c r="W165" s="35"/>
      <c r="X165" s="29"/>
      <c r="Y165" s="36"/>
      <c r="Z165" s="29"/>
      <c r="AA165" s="31">
        <f t="shared" si="1"/>
        <v>44582</v>
      </c>
      <c r="AB165" s="32" t="str">
        <f t="shared" si="5"/>
        <v>enero</v>
      </c>
    </row>
    <row r="166" spans="1:28" ht="12.75">
      <c r="A166" s="9" t="s">
        <v>314</v>
      </c>
      <c r="B166" s="10">
        <v>44582</v>
      </c>
      <c r="C166" s="11">
        <v>44586</v>
      </c>
      <c r="D166" s="53">
        <v>4</v>
      </c>
      <c r="E166" s="13" t="s">
        <v>315</v>
      </c>
      <c r="F166" s="13">
        <v>3025460</v>
      </c>
      <c r="G166" s="14">
        <v>6909</v>
      </c>
      <c r="H166" s="33">
        <v>7500</v>
      </c>
      <c r="I166" s="16">
        <f t="shared" si="28"/>
        <v>51817500</v>
      </c>
      <c r="J166" s="17">
        <v>14</v>
      </c>
      <c r="K166" s="34">
        <v>4502258098</v>
      </c>
      <c r="L166" s="19">
        <v>5080217660</v>
      </c>
      <c r="M166" s="20">
        <v>5113060250</v>
      </c>
      <c r="N166" s="21"/>
      <c r="O166" s="9" t="s">
        <v>63</v>
      </c>
      <c r="P166" s="23"/>
      <c r="Q166" s="24" t="s">
        <v>82</v>
      </c>
      <c r="R166" s="25">
        <v>44582</v>
      </c>
      <c r="S166" s="28"/>
      <c r="T166" s="35"/>
      <c r="U166" s="35"/>
      <c r="V166" s="29"/>
      <c r="W166" s="35"/>
      <c r="X166" s="29"/>
      <c r="Y166" s="36"/>
      <c r="Z166" s="29"/>
      <c r="AA166" s="31">
        <f t="shared" si="1"/>
        <v>44582</v>
      </c>
      <c r="AB166" s="32" t="str">
        <f t="shared" si="5"/>
        <v>enero</v>
      </c>
    </row>
    <row r="167" spans="1:28" ht="12.75">
      <c r="A167" s="9" t="s">
        <v>199</v>
      </c>
      <c r="B167" s="10">
        <v>44582</v>
      </c>
      <c r="C167" s="11">
        <v>44587</v>
      </c>
      <c r="D167" s="53">
        <v>4</v>
      </c>
      <c r="E167" s="13" t="s">
        <v>316</v>
      </c>
      <c r="F167" s="13">
        <v>3025460</v>
      </c>
      <c r="G167" s="14">
        <v>8084</v>
      </c>
      <c r="H167" s="33">
        <v>7600</v>
      </c>
      <c r="I167" s="16">
        <f t="shared" si="28"/>
        <v>61438400</v>
      </c>
      <c r="J167" s="17">
        <v>15</v>
      </c>
      <c r="K167" s="34">
        <v>4502258100</v>
      </c>
      <c r="L167" s="19">
        <v>5080217664</v>
      </c>
      <c r="M167" s="20">
        <v>5113062937</v>
      </c>
      <c r="N167" s="21"/>
      <c r="O167" s="9"/>
      <c r="P167" s="23"/>
      <c r="Q167" s="24" t="s">
        <v>82</v>
      </c>
      <c r="R167" s="25">
        <v>44582</v>
      </c>
      <c r="S167" s="28"/>
      <c r="T167" s="35"/>
      <c r="U167" s="35"/>
      <c r="V167" s="29"/>
      <c r="W167" s="35"/>
      <c r="X167" s="29"/>
      <c r="Y167" s="36"/>
      <c r="Z167" s="29"/>
      <c r="AA167" s="31">
        <f t="shared" si="1"/>
        <v>44582</v>
      </c>
      <c r="AB167" s="32" t="str">
        <f t="shared" si="5"/>
        <v>enero</v>
      </c>
    </row>
    <row r="168" spans="1:28" ht="12.75">
      <c r="A168" s="9" t="s">
        <v>89</v>
      </c>
      <c r="B168" s="10">
        <v>44582</v>
      </c>
      <c r="C168" s="11"/>
      <c r="D168" s="53">
        <v>4</v>
      </c>
      <c r="E168" s="13" t="s">
        <v>317</v>
      </c>
      <c r="F168" s="13">
        <v>3025460</v>
      </c>
      <c r="G168" s="14">
        <v>7416</v>
      </c>
      <c r="H168" s="33">
        <v>7500</v>
      </c>
      <c r="I168" s="16">
        <f t="shared" si="28"/>
        <v>55620000</v>
      </c>
      <c r="J168" s="17">
        <v>15</v>
      </c>
      <c r="K168" s="34">
        <v>4502258102</v>
      </c>
      <c r="L168" s="19">
        <v>5080217665</v>
      </c>
      <c r="M168" s="20">
        <v>5113062938</v>
      </c>
      <c r="N168" s="21"/>
      <c r="O168" s="9"/>
      <c r="P168" s="23"/>
      <c r="Q168" s="24" t="s">
        <v>82</v>
      </c>
      <c r="R168" s="25">
        <v>44582</v>
      </c>
      <c r="S168" s="28"/>
      <c r="T168" s="35"/>
      <c r="U168" s="35"/>
      <c r="V168" s="29"/>
      <c r="W168" s="35"/>
      <c r="X168" s="29"/>
      <c r="Y168" s="36"/>
      <c r="Z168" s="29"/>
      <c r="AA168" s="31">
        <f t="shared" si="1"/>
        <v>44582</v>
      </c>
      <c r="AB168" s="32" t="str">
        <f t="shared" si="5"/>
        <v>enero</v>
      </c>
    </row>
    <row r="169" spans="1:28" ht="12.75">
      <c r="A169" s="9" t="s">
        <v>318</v>
      </c>
      <c r="B169" s="10">
        <v>44585</v>
      </c>
      <c r="C169" s="11">
        <v>44586</v>
      </c>
      <c r="D169" s="53">
        <v>4</v>
      </c>
      <c r="E169" s="13" t="s">
        <v>319</v>
      </c>
      <c r="F169" s="13">
        <v>3025460</v>
      </c>
      <c r="G169" s="14">
        <v>13942</v>
      </c>
      <c r="H169" s="38">
        <f>I169/G169</f>
        <v>7495.689284177306</v>
      </c>
      <c r="I169" s="39">
        <v>104504900</v>
      </c>
      <c r="J169" s="17">
        <v>28</v>
      </c>
      <c r="K169" s="34">
        <v>4502258107</v>
      </c>
      <c r="L169" s="19">
        <v>5080218021</v>
      </c>
      <c r="M169" s="20">
        <v>5113060655</v>
      </c>
      <c r="N169" s="23"/>
      <c r="O169" s="9" t="s">
        <v>37</v>
      </c>
      <c r="P169" s="23" t="s">
        <v>320</v>
      </c>
      <c r="Q169" s="24" t="s">
        <v>82</v>
      </c>
      <c r="R169" s="25">
        <v>44582</v>
      </c>
      <c r="S169" s="28"/>
      <c r="T169" s="35"/>
      <c r="U169" s="35"/>
      <c r="V169" s="29"/>
      <c r="W169" s="35"/>
      <c r="X169" s="29"/>
      <c r="Y169" s="36"/>
      <c r="Z169" s="29"/>
      <c r="AA169" s="31">
        <f t="shared" si="1"/>
        <v>44582</v>
      </c>
      <c r="AB169" s="32" t="str">
        <f t="shared" si="5"/>
        <v>enero</v>
      </c>
    </row>
    <row r="170" spans="1:28" ht="12.75">
      <c r="A170" s="9" t="s">
        <v>305</v>
      </c>
      <c r="B170" s="10">
        <v>44583</v>
      </c>
      <c r="C170" s="11"/>
      <c r="D170" s="53">
        <v>4</v>
      </c>
      <c r="E170" s="13" t="s">
        <v>321</v>
      </c>
      <c r="F170" s="13">
        <v>3025460</v>
      </c>
      <c r="G170" s="14">
        <v>13707</v>
      </c>
      <c r="H170" s="33">
        <v>7500</v>
      </c>
      <c r="I170" s="16">
        <f t="shared" ref="I170:I173" si="29">H170*G170</f>
        <v>102802500</v>
      </c>
      <c r="J170" s="17">
        <v>28</v>
      </c>
      <c r="K170" s="34">
        <v>4502255344</v>
      </c>
      <c r="L170" s="19">
        <v>5080201346</v>
      </c>
      <c r="M170" s="20">
        <v>5113066213</v>
      </c>
      <c r="N170" s="23"/>
      <c r="O170" s="9" t="s">
        <v>37</v>
      </c>
      <c r="P170" s="23"/>
      <c r="Q170" s="24" t="s">
        <v>31</v>
      </c>
      <c r="R170" s="25">
        <v>44583</v>
      </c>
      <c r="S170" s="28"/>
      <c r="T170" s="35"/>
      <c r="U170" s="35"/>
      <c r="V170" s="29"/>
      <c r="W170" s="35"/>
      <c r="X170" s="29"/>
      <c r="Y170" s="36"/>
      <c r="Z170" s="29"/>
      <c r="AA170" s="31">
        <f t="shared" si="1"/>
        <v>44583</v>
      </c>
      <c r="AB170" s="32" t="str">
        <f t="shared" si="5"/>
        <v>enero</v>
      </c>
    </row>
    <row r="171" spans="1:28" ht="12.75">
      <c r="A171" s="9" t="s">
        <v>233</v>
      </c>
      <c r="B171" s="10">
        <v>44583</v>
      </c>
      <c r="C171" s="11"/>
      <c r="D171" s="53">
        <v>4</v>
      </c>
      <c r="E171" s="13" t="s">
        <v>322</v>
      </c>
      <c r="F171" s="13">
        <v>3025460</v>
      </c>
      <c r="G171" s="37">
        <v>12885.5</v>
      </c>
      <c r="H171" s="33">
        <v>7500</v>
      </c>
      <c r="I171" s="16">
        <f t="shared" si="29"/>
        <v>96641250</v>
      </c>
      <c r="J171" s="17">
        <v>27</v>
      </c>
      <c r="K171" s="34">
        <v>4502255345</v>
      </c>
      <c r="L171" s="19">
        <v>5080201347</v>
      </c>
      <c r="M171" s="20">
        <v>5113063309</v>
      </c>
      <c r="N171" s="21"/>
      <c r="O171" s="9" t="s">
        <v>37</v>
      </c>
      <c r="P171" s="23"/>
      <c r="Q171" s="24" t="s">
        <v>31</v>
      </c>
      <c r="R171" s="25">
        <v>44583</v>
      </c>
      <c r="S171" s="28"/>
      <c r="T171" s="35"/>
      <c r="U171" s="35"/>
      <c r="V171" s="29"/>
      <c r="W171" s="35"/>
      <c r="X171" s="29"/>
      <c r="Y171" s="36"/>
      <c r="Z171" s="29"/>
      <c r="AA171" s="31">
        <f t="shared" si="1"/>
        <v>44583</v>
      </c>
      <c r="AB171" s="32" t="str">
        <f t="shared" si="5"/>
        <v>enero</v>
      </c>
    </row>
    <row r="172" spans="1:28" ht="12.75">
      <c r="A172" s="9" t="s">
        <v>104</v>
      </c>
      <c r="B172" s="10">
        <v>44583</v>
      </c>
      <c r="C172" s="11">
        <v>44586</v>
      </c>
      <c r="D172" s="53">
        <v>4</v>
      </c>
      <c r="E172" s="13" t="s">
        <v>323</v>
      </c>
      <c r="F172" s="13">
        <v>3025460</v>
      </c>
      <c r="G172" s="14">
        <v>12307</v>
      </c>
      <c r="H172" s="33">
        <v>7550</v>
      </c>
      <c r="I172" s="16">
        <f t="shared" si="29"/>
        <v>92917850</v>
      </c>
      <c r="J172" s="17">
        <v>28</v>
      </c>
      <c r="K172" s="34">
        <v>4502255347</v>
      </c>
      <c r="L172" s="19">
        <v>5080201668</v>
      </c>
      <c r="M172" s="20">
        <v>5113061406</v>
      </c>
      <c r="N172" s="21"/>
      <c r="O172" s="9" t="s">
        <v>63</v>
      </c>
      <c r="P172" s="23"/>
      <c r="Q172" s="24" t="s">
        <v>31</v>
      </c>
      <c r="R172" s="25">
        <v>44583</v>
      </c>
      <c r="S172" s="28"/>
      <c r="T172" s="35"/>
      <c r="U172" s="35"/>
      <c r="V172" s="29"/>
      <c r="W172" s="35"/>
      <c r="X172" s="29"/>
      <c r="Y172" s="36"/>
      <c r="Z172" s="29"/>
      <c r="AA172" s="31">
        <f t="shared" si="1"/>
        <v>44583</v>
      </c>
      <c r="AB172" s="32" t="str">
        <f t="shared" si="5"/>
        <v>enero</v>
      </c>
    </row>
    <row r="173" spans="1:28" ht="12.75">
      <c r="A173" s="9" t="s">
        <v>58</v>
      </c>
      <c r="B173" s="10">
        <v>44586</v>
      </c>
      <c r="C173" s="11">
        <v>44586</v>
      </c>
      <c r="D173" s="53">
        <v>4</v>
      </c>
      <c r="E173" s="13" t="s">
        <v>324</v>
      </c>
      <c r="F173" s="13">
        <v>3025460</v>
      </c>
      <c r="G173" s="37">
        <v>19068.5</v>
      </c>
      <c r="H173" s="33">
        <v>7800</v>
      </c>
      <c r="I173" s="16">
        <f t="shared" si="29"/>
        <v>148734300</v>
      </c>
      <c r="J173" s="17">
        <v>43</v>
      </c>
      <c r="K173" s="34">
        <v>4502255349</v>
      </c>
      <c r="L173" s="19">
        <v>5080201669</v>
      </c>
      <c r="M173" s="20">
        <v>5113066236</v>
      </c>
      <c r="N173" s="21"/>
      <c r="O173" s="9" t="s">
        <v>37</v>
      </c>
      <c r="P173" s="23"/>
      <c r="Q173" s="24" t="s">
        <v>31</v>
      </c>
      <c r="R173" s="25">
        <v>44583</v>
      </c>
      <c r="S173" s="28"/>
      <c r="T173" s="35"/>
      <c r="U173" s="35"/>
      <c r="V173" s="29"/>
      <c r="W173" s="35"/>
      <c r="X173" s="29"/>
      <c r="Y173" s="36"/>
      <c r="Z173" s="29"/>
      <c r="AA173" s="31">
        <f t="shared" si="1"/>
        <v>44583</v>
      </c>
      <c r="AB173" s="32" t="str">
        <f t="shared" si="5"/>
        <v>enero</v>
      </c>
    </row>
    <row r="174" spans="1:28" ht="12.75">
      <c r="A174" s="9" t="s">
        <v>58</v>
      </c>
      <c r="B174" s="10">
        <v>44586</v>
      </c>
      <c r="C174" s="11">
        <v>44586</v>
      </c>
      <c r="D174" s="53">
        <v>4</v>
      </c>
      <c r="E174" s="13" t="s">
        <v>325</v>
      </c>
      <c r="F174" s="13">
        <v>3025460</v>
      </c>
      <c r="G174" s="37">
        <v>19068.5</v>
      </c>
      <c r="H174" s="33">
        <f>7800-7787.89</f>
        <v>12.109999999999673</v>
      </c>
      <c r="I174" s="16">
        <f>-H174*G174</f>
        <v>-230919.53499999375</v>
      </c>
      <c r="J174" s="17">
        <v>0</v>
      </c>
      <c r="K174" s="34">
        <v>4502255349</v>
      </c>
      <c r="L174" s="19">
        <v>5080201669</v>
      </c>
      <c r="M174" s="20">
        <v>5113066241</v>
      </c>
      <c r="N174" s="21"/>
      <c r="O174" s="9"/>
      <c r="P174" s="23"/>
      <c r="Q174" s="24" t="s">
        <v>31</v>
      </c>
      <c r="R174" s="25">
        <v>44583</v>
      </c>
      <c r="S174" s="28"/>
      <c r="T174" s="35"/>
      <c r="U174" s="35"/>
      <c r="V174" s="29"/>
      <c r="W174" s="35"/>
      <c r="X174" s="29"/>
      <c r="Y174" s="36"/>
      <c r="Z174" s="29"/>
      <c r="AA174" s="31">
        <f t="shared" si="1"/>
        <v>44583</v>
      </c>
      <c r="AB174" s="32" t="str">
        <f t="shared" si="5"/>
        <v>enero</v>
      </c>
    </row>
    <row r="175" spans="1:28" ht="12.75">
      <c r="A175" s="22" t="s">
        <v>129</v>
      </c>
      <c r="B175" s="10">
        <v>44583</v>
      </c>
      <c r="C175" s="11">
        <v>44592</v>
      </c>
      <c r="D175" s="53">
        <v>4</v>
      </c>
      <c r="E175" s="13" t="s">
        <v>326</v>
      </c>
      <c r="F175" s="13">
        <v>3025460</v>
      </c>
      <c r="G175" s="14">
        <v>6548</v>
      </c>
      <c r="H175" s="33">
        <v>7550</v>
      </c>
      <c r="I175" s="16">
        <f t="shared" ref="I175:I177" si="30">H175*G175</f>
        <v>49437400</v>
      </c>
      <c r="J175" s="17">
        <v>15</v>
      </c>
      <c r="K175" s="34">
        <v>4502255350</v>
      </c>
      <c r="L175" s="19">
        <v>5080201670</v>
      </c>
      <c r="M175" s="20">
        <v>5113080303</v>
      </c>
      <c r="N175" s="21"/>
      <c r="O175" s="9" t="s">
        <v>63</v>
      </c>
      <c r="P175" s="23"/>
      <c r="Q175" s="24" t="s">
        <v>31</v>
      </c>
      <c r="R175" s="25">
        <v>44583</v>
      </c>
      <c r="S175" s="28"/>
      <c r="T175" s="35"/>
      <c r="U175" s="35"/>
      <c r="V175" s="29"/>
      <c r="W175" s="35"/>
      <c r="X175" s="29"/>
      <c r="Y175" s="36"/>
      <c r="Z175" s="29"/>
      <c r="AA175" s="31">
        <f t="shared" si="1"/>
        <v>44583</v>
      </c>
      <c r="AB175" s="32" t="str">
        <f t="shared" si="5"/>
        <v>enero</v>
      </c>
    </row>
    <row r="176" spans="1:28" ht="12.75">
      <c r="A176" s="9" t="s">
        <v>28</v>
      </c>
      <c r="B176" s="10">
        <v>44585</v>
      </c>
      <c r="C176" s="11">
        <v>44585</v>
      </c>
      <c r="D176" s="53">
        <v>4</v>
      </c>
      <c r="E176" s="13" t="s">
        <v>327</v>
      </c>
      <c r="F176" s="13">
        <v>3025460</v>
      </c>
      <c r="G176" s="14">
        <v>47542</v>
      </c>
      <c r="H176" s="15">
        <v>6850</v>
      </c>
      <c r="I176" s="16">
        <f t="shared" si="30"/>
        <v>325662700</v>
      </c>
      <c r="J176" s="17">
        <v>98</v>
      </c>
      <c r="K176" s="34">
        <v>4502257440</v>
      </c>
      <c r="L176" s="19">
        <v>5080201280</v>
      </c>
      <c r="M176" s="20">
        <v>5113061423</v>
      </c>
      <c r="N176" s="21"/>
      <c r="O176" s="22" t="s">
        <v>328</v>
      </c>
      <c r="P176" s="23"/>
      <c r="Q176" s="24" t="s">
        <v>31</v>
      </c>
      <c r="R176" s="25">
        <v>44583</v>
      </c>
      <c r="S176" s="28" t="s">
        <v>329</v>
      </c>
      <c r="T176" s="27">
        <f>2982600*7</f>
        <v>20878200</v>
      </c>
      <c r="U176" s="28" t="s">
        <v>330</v>
      </c>
      <c r="V176" s="29">
        <v>5113061416</v>
      </c>
      <c r="W176" s="35"/>
      <c r="X176" s="29"/>
      <c r="Y176" s="36"/>
      <c r="Z176" s="29"/>
      <c r="AA176" s="31">
        <f t="shared" si="1"/>
        <v>44583</v>
      </c>
      <c r="AB176" s="32" t="str">
        <f t="shared" si="5"/>
        <v>enero</v>
      </c>
    </row>
    <row r="177" spans="1:28" ht="12.75">
      <c r="A177" s="9" t="s">
        <v>331</v>
      </c>
      <c r="B177" s="10">
        <v>44589</v>
      </c>
      <c r="C177" s="11"/>
      <c r="D177" s="53">
        <v>4</v>
      </c>
      <c r="E177" s="13" t="s">
        <v>332</v>
      </c>
      <c r="F177" s="13">
        <v>3025457</v>
      </c>
      <c r="G177" s="37">
        <v>5728.5</v>
      </c>
      <c r="H177" s="33">
        <v>7350</v>
      </c>
      <c r="I177" s="16">
        <f t="shared" si="30"/>
        <v>42104475</v>
      </c>
      <c r="J177" s="17">
        <v>14</v>
      </c>
      <c r="K177" s="34">
        <v>4502255352</v>
      </c>
      <c r="L177" s="19">
        <v>5080201671</v>
      </c>
      <c r="M177" s="20">
        <v>5113083345</v>
      </c>
      <c r="N177" s="21"/>
      <c r="O177" s="9" t="s">
        <v>63</v>
      </c>
      <c r="P177" s="23" t="s">
        <v>333</v>
      </c>
      <c r="Q177" s="24" t="s">
        <v>31</v>
      </c>
      <c r="R177" s="25">
        <v>44584</v>
      </c>
      <c r="S177" s="28"/>
      <c r="T177" s="35"/>
      <c r="U177" s="35"/>
      <c r="V177" s="29"/>
      <c r="W177" s="35"/>
      <c r="X177" s="29"/>
      <c r="Y177" s="36"/>
      <c r="Z177" s="29"/>
      <c r="AA177" s="31">
        <f t="shared" si="1"/>
        <v>44584</v>
      </c>
      <c r="AB177" s="32" t="str">
        <f t="shared" si="5"/>
        <v>enero</v>
      </c>
    </row>
    <row r="178" spans="1:28" ht="12.75">
      <c r="A178" s="9" t="s">
        <v>331</v>
      </c>
      <c r="B178" s="10">
        <v>44589</v>
      </c>
      <c r="C178" s="11">
        <v>44589</v>
      </c>
      <c r="D178" s="53">
        <v>4</v>
      </c>
      <c r="E178" s="13" t="s">
        <v>334</v>
      </c>
      <c r="F178" s="13">
        <v>3025457</v>
      </c>
      <c r="G178" s="37">
        <v>5728.5</v>
      </c>
      <c r="H178" s="33">
        <f>7350-7223.39</f>
        <v>126.60999999999967</v>
      </c>
      <c r="I178" s="16">
        <f>-H178*G178</f>
        <v>-725285.38499999815</v>
      </c>
      <c r="J178" s="17">
        <v>0</v>
      </c>
      <c r="K178" s="34">
        <v>4502255352</v>
      </c>
      <c r="L178" s="19">
        <v>5080201671</v>
      </c>
      <c r="M178" s="20">
        <v>5113083387</v>
      </c>
      <c r="N178" s="21"/>
      <c r="O178" s="9"/>
      <c r="P178" s="23" t="s">
        <v>335</v>
      </c>
      <c r="Q178" s="24" t="s">
        <v>31</v>
      </c>
      <c r="R178" s="25">
        <v>44584</v>
      </c>
      <c r="S178" s="28"/>
      <c r="T178" s="35"/>
      <c r="U178" s="35"/>
      <c r="V178" s="29"/>
      <c r="W178" s="35"/>
      <c r="X178" s="29"/>
      <c r="Y178" s="36"/>
      <c r="Z178" s="29"/>
      <c r="AA178" s="31">
        <f t="shared" si="1"/>
        <v>44584</v>
      </c>
      <c r="AB178" s="32" t="str">
        <f t="shared" si="5"/>
        <v>enero</v>
      </c>
    </row>
    <row r="179" spans="1:28" ht="12.75">
      <c r="A179" s="9" t="s">
        <v>58</v>
      </c>
      <c r="B179" s="10">
        <v>44588</v>
      </c>
      <c r="C179" s="11">
        <v>44588</v>
      </c>
      <c r="D179" s="53">
        <v>4</v>
      </c>
      <c r="E179" s="13" t="s">
        <v>336</v>
      </c>
      <c r="F179" s="13">
        <v>3025460</v>
      </c>
      <c r="G179" s="37">
        <v>74872.5</v>
      </c>
      <c r="H179" s="33">
        <v>7800</v>
      </c>
      <c r="I179" s="16">
        <f>H179*G179</f>
        <v>584005500</v>
      </c>
      <c r="J179" s="17">
        <v>150</v>
      </c>
      <c r="K179" s="34">
        <v>4502255354</v>
      </c>
      <c r="L179" s="19">
        <v>5080201830</v>
      </c>
      <c r="M179" s="20">
        <v>5113078481</v>
      </c>
      <c r="N179" s="23"/>
      <c r="O179" s="9" t="s">
        <v>37</v>
      </c>
      <c r="P179" s="23"/>
      <c r="Q179" s="24" t="s">
        <v>31</v>
      </c>
      <c r="R179" s="25">
        <v>44584</v>
      </c>
      <c r="S179" s="28"/>
      <c r="T179" s="35"/>
      <c r="U179" s="35"/>
      <c r="V179" s="29"/>
      <c r="W179" s="35"/>
      <c r="X179" s="29"/>
      <c r="Y179" s="36"/>
      <c r="Z179" s="29"/>
      <c r="AA179" s="31">
        <f t="shared" si="1"/>
        <v>44584</v>
      </c>
      <c r="AB179" s="32" t="str">
        <f t="shared" si="5"/>
        <v>enero</v>
      </c>
    </row>
    <row r="180" spans="1:28" ht="12.75">
      <c r="A180" s="9" t="s">
        <v>58</v>
      </c>
      <c r="B180" s="10">
        <v>44588</v>
      </c>
      <c r="C180" s="11">
        <v>44588</v>
      </c>
      <c r="D180" s="53">
        <v>4</v>
      </c>
      <c r="E180" s="13" t="s">
        <v>337</v>
      </c>
      <c r="F180" s="13">
        <v>3025460</v>
      </c>
      <c r="G180" s="37">
        <v>74872.5</v>
      </c>
      <c r="H180" s="33">
        <f>7800-7799.47</f>
        <v>0.52999999999974534</v>
      </c>
      <c r="I180" s="16">
        <f>-H180*G180</f>
        <v>-39682.424999980933</v>
      </c>
      <c r="J180" s="17">
        <v>0</v>
      </c>
      <c r="K180" s="34">
        <v>4502255354</v>
      </c>
      <c r="L180" s="19">
        <v>5080201830</v>
      </c>
      <c r="M180" s="20">
        <v>5113078485</v>
      </c>
      <c r="N180" s="21"/>
      <c r="O180" s="9"/>
      <c r="P180" s="23"/>
      <c r="Q180" s="24" t="s">
        <v>31</v>
      </c>
      <c r="R180" s="25">
        <v>44584</v>
      </c>
      <c r="S180" s="28"/>
      <c r="T180" s="35"/>
      <c r="U180" s="35"/>
      <c r="V180" s="29"/>
      <c r="W180" s="35"/>
      <c r="X180" s="29"/>
      <c r="Y180" s="36"/>
      <c r="Z180" s="29"/>
      <c r="AA180" s="31">
        <f t="shared" si="1"/>
        <v>44584</v>
      </c>
      <c r="AB180" s="32" t="str">
        <f t="shared" si="5"/>
        <v>enero</v>
      </c>
    </row>
    <row r="181" spans="1:28" ht="12.75">
      <c r="A181" s="9" t="s">
        <v>338</v>
      </c>
      <c r="B181" s="10">
        <v>44588</v>
      </c>
      <c r="C181" s="11"/>
      <c r="D181" s="53">
        <v>4</v>
      </c>
      <c r="E181" s="13" t="s">
        <v>339</v>
      </c>
      <c r="F181" s="13">
        <v>3025460</v>
      </c>
      <c r="G181" s="14">
        <v>7387</v>
      </c>
      <c r="H181" s="33">
        <v>7500</v>
      </c>
      <c r="I181" s="16">
        <f>H181*G181</f>
        <v>55402500</v>
      </c>
      <c r="J181" s="17">
        <v>16</v>
      </c>
      <c r="K181" s="34">
        <v>4502255356</v>
      </c>
      <c r="L181" s="19">
        <v>5080203480</v>
      </c>
      <c r="M181" s="20">
        <v>5113075988</v>
      </c>
      <c r="N181" s="21"/>
      <c r="O181" s="23" t="s">
        <v>63</v>
      </c>
      <c r="P181" s="23"/>
      <c r="Q181" s="24" t="s">
        <v>31</v>
      </c>
      <c r="R181" s="25">
        <v>44584</v>
      </c>
      <c r="S181" s="28"/>
      <c r="T181" s="35"/>
      <c r="U181" s="35"/>
      <c r="V181" s="29"/>
      <c r="W181" s="35"/>
      <c r="X181" s="29"/>
      <c r="Y181" s="36"/>
      <c r="Z181" s="29"/>
      <c r="AA181" s="31">
        <f t="shared" si="1"/>
        <v>44584</v>
      </c>
      <c r="AB181" s="32" t="str">
        <f t="shared" si="5"/>
        <v>enero</v>
      </c>
    </row>
    <row r="182" spans="1:28" ht="12.75">
      <c r="A182" s="9" t="s">
        <v>338</v>
      </c>
      <c r="B182" s="10">
        <v>44588</v>
      </c>
      <c r="C182" s="11">
        <v>44589</v>
      </c>
      <c r="D182" s="53">
        <v>4</v>
      </c>
      <c r="E182" s="13" t="s">
        <v>340</v>
      </c>
      <c r="F182" s="13">
        <v>3025460</v>
      </c>
      <c r="G182" s="14">
        <v>7387</v>
      </c>
      <c r="H182" s="33">
        <f>7500-7494.66</f>
        <v>5.3400000000001455</v>
      </c>
      <c r="I182" s="16">
        <f>-H182*G182</f>
        <v>-39446.580000001079</v>
      </c>
      <c r="J182" s="17">
        <v>0</v>
      </c>
      <c r="K182" s="34">
        <v>4502255356</v>
      </c>
      <c r="L182" s="19">
        <v>5080203480</v>
      </c>
      <c r="M182" s="20">
        <v>5113075989</v>
      </c>
      <c r="N182" s="21"/>
      <c r="O182" s="9"/>
      <c r="P182" s="23" t="s">
        <v>341</v>
      </c>
      <c r="Q182" s="24" t="s">
        <v>31</v>
      </c>
      <c r="R182" s="25">
        <v>44584</v>
      </c>
      <c r="S182" s="28"/>
      <c r="T182" s="35"/>
      <c r="U182" s="35"/>
      <c r="V182" s="29"/>
      <c r="W182" s="35"/>
      <c r="X182" s="29"/>
      <c r="Y182" s="36"/>
      <c r="Z182" s="29"/>
      <c r="AA182" s="31">
        <f t="shared" si="1"/>
        <v>44584</v>
      </c>
      <c r="AB182" s="32" t="str">
        <f t="shared" si="5"/>
        <v>enero</v>
      </c>
    </row>
    <row r="183" spans="1:28" ht="12.75">
      <c r="A183" s="9" t="s">
        <v>54</v>
      </c>
      <c r="B183" s="10">
        <v>44585</v>
      </c>
      <c r="C183" s="11"/>
      <c r="D183" s="53">
        <v>4</v>
      </c>
      <c r="E183" s="13" t="s">
        <v>342</v>
      </c>
      <c r="F183" s="13">
        <v>3025460</v>
      </c>
      <c r="G183" s="14">
        <v>13712</v>
      </c>
      <c r="H183" s="15">
        <v>6850</v>
      </c>
      <c r="I183" s="16">
        <f t="shared" ref="I183:I186" si="31">H183*G183</f>
        <v>93927200</v>
      </c>
      <c r="J183" s="17">
        <v>28</v>
      </c>
      <c r="K183" s="34">
        <v>4502257444</v>
      </c>
      <c r="L183" s="19">
        <v>5080201284</v>
      </c>
      <c r="M183" s="20">
        <v>5113059905</v>
      </c>
      <c r="N183" s="21"/>
      <c r="O183" s="22" t="s">
        <v>343</v>
      </c>
      <c r="P183" s="23"/>
      <c r="Q183" s="24" t="s">
        <v>31</v>
      </c>
      <c r="R183" s="25">
        <v>44584</v>
      </c>
      <c r="S183" s="28">
        <v>4902197259</v>
      </c>
      <c r="T183" s="35">
        <f>2979200*2</f>
        <v>5958400</v>
      </c>
      <c r="U183" s="28" t="s">
        <v>344</v>
      </c>
      <c r="V183" s="29">
        <v>5113061441</v>
      </c>
      <c r="W183" s="28" t="s">
        <v>345</v>
      </c>
      <c r="X183" s="29">
        <v>5113061442</v>
      </c>
      <c r="Y183" s="36"/>
      <c r="Z183" s="29"/>
      <c r="AA183" s="31">
        <f t="shared" si="1"/>
        <v>44584</v>
      </c>
      <c r="AB183" s="32" t="str">
        <f t="shared" si="5"/>
        <v>enero</v>
      </c>
    </row>
    <row r="184" spans="1:28" ht="12.75">
      <c r="A184" s="9" t="s">
        <v>54</v>
      </c>
      <c r="B184" s="10">
        <v>44585</v>
      </c>
      <c r="C184" s="11"/>
      <c r="D184" s="53">
        <v>4</v>
      </c>
      <c r="E184" s="13" t="s">
        <v>342</v>
      </c>
      <c r="F184" s="13">
        <v>3025459</v>
      </c>
      <c r="G184" s="14">
        <v>27424</v>
      </c>
      <c r="H184" s="15">
        <v>6850</v>
      </c>
      <c r="I184" s="16">
        <f t="shared" si="31"/>
        <v>187854400</v>
      </c>
      <c r="J184" s="17">
        <v>56</v>
      </c>
      <c r="K184" s="34">
        <v>4502257444</v>
      </c>
      <c r="L184" s="19">
        <v>5080201284</v>
      </c>
      <c r="M184" s="20">
        <v>5113059905</v>
      </c>
      <c r="N184" s="21"/>
      <c r="O184" s="22" t="s">
        <v>172</v>
      </c>
      <c r="P184" s="23"/>
      <c r="Q184" s="24" t="s">
        <v>31</v>
      </c>
      <c r="R184" s="25">
        <v>44584</v>
      </c>
      <c r="S184" s="28">
        <v>4902197260</v>
      </c>
      <c r="T184" s="35">
        <f>2979200*4</f>
        <v>11916800</v>
      </c>
      <c r="U184" s="28" t="s">
        <v>346</v>
      </c>
      <c r="V184" s="29">
        <v>5113061439</v>
      </c>
      <c r="W184" s="35"/>
      <c r="X184" s="29"/>
      <c r="Y184" s="36"/>
      <c r="Z184" s="29"/>
      <c r="AA184" s="31">
        <f t="shared" si="1"/>
        <v>44584</v>
      </c>
      <c r="AB184" s="32" t="str">
        <f t="shared" si="5"/>
        <v>enero</v>
      </c>
    </row>
    <row r="185" spans="1:28" ht="12.75">
      <c r="A185" s="9" t="s">
        <v>85</v>
      </c>
      <c r="B185" s="10">
        <v>44584</v>
      </c>
      <c r="C185" s="11">
        <v>44588</v>
      </c>
      <c r="D185" s="53">
        <v>4</v>
      </c>
      <c r="E185" s="13" t="s">
        <v>347</v>
      </c>
      <c r="F185" s="13">
        <v>3025460</v>
      </c>
      <c r="G185" s="14">
        <v>20150</v>
      </c>
      <c r="H185" s="40">
        <v>7550</v>
      </c>
      <c r="I185" s="16">
        <f t="shared" si="31"/>
        <v>152132500</v>
      </c>
      <c r="J185" s="17">
        <v>42</v>
      </c>
      <c r="K185" s="34">
        <v>4502260545</v>
      </c>
      <c r="L185" s="19">
        <v>5080263849</v>
      </c>
      <c r="M185" s="20">
        <v>5113071168</v>
      </c>
      <c r="N185" s="21"/>
      <c r="O185" s="23" t="s">
        <v>63</v>
      </c>
      <c r="P185" s="23"/>
      <c r="Q185" s="24" t="s">
        <v>82</v>
      </c>
      <c r="R185" s="25">
        <v>44584</v>
      </c>
      <c r="S185" s="28"/>
      <c r="T185" s="35"/>
      <c r="U185" s="35"/>
      <c r="V185" s="29"/>
      <c r="W185" s="35"/>
      <c r="X185" s="29"/>
      <c r="Y185" s="36"/>
      <c r="Z185" s="29"/>
      <c r="AA185" s="31">
        <f t="shared" si="1"/>
        <v>44584</v>
      </c>
      <c r="AB185" s="32" t="str">
        <f t="shared" si="5"/>
        <v>enero</v>
      </c>
    </row>
    <row r="186" spans="1:28" ht="12.75">
      <c r="A186" s="9" t="s">
        <v>348</v>
      </c>
      <c r="B186" s="10">
        <v>44590</v>
      </c>
      <c r="C186" s="11">
        <v>44590</v>
      </c>
      <c r="D186" s="53">
        <v>4</v>
      </c>
      <c r="E186" s="13" t="s">
        <v>349</v>
      </c>
      <c r="F186" s="13">
        <v>3025457</v>
      </c>
      <c r="G186" s="37">
        <v>14389.5</v>
      </c>
      <c r="H186" s="33">
        <v>7500</v>
      </c>
      <c r="I186" s="16">
        <f t="shared" si="31"/>
        <v>107921250</v>
      </c>
      <c r="J186" s="17">
        <v>30</v>
      </c>
      <c r="K186" s="34">
        <v>4502255362</v>
      </c>
      <c r="L186" s="19">
        <v>5080223473</v>
      </c>
      <c r="M186" s="20">
        <v>5113075995</v>
      </c>
      <c r="N186" s="21"/>
      <c r="O186" s="23" t="s">
        <v>63</v>
      </c>
      <c r="P186" s="23"/>
      <c r="Q186" s="24" t="s">
        <v>31</v>
      </c>
      <c r="R186" s="25">
        <v>44585</v>
      </c>
      <c r="S186" s="28"/>
      <c r="T186" s="35"/>
      <c r="U186" s="35"/>
      <c r="V186" s="29"/>
      <c r="W186" s="35"/>
      <c r="X186" s="29"/>
      <c r="Y186" s="36"/>
      <c r="Z186" s="29"/>
      <c r="AA186" s="31">
        <f t="shared" si="1"/>
        <v>44585</v>
      </c>
      <c r="AB186" s="32" t="str">
        <f t="shared" si="5"/>
        <v>enero</v>
      </c>
    </row>
    <row r="187" spans="1:28" ht="12.75">
      <c r="A187" s="9" t="s">
        <v>348</v>
      </c>
      <c r="B187" s="10">
        <v>44590</v>
      </c>
      <c r="C187" s="11">
        <v>44590</v>
      </c>
      <c r="D187" s="53">
        <v>4</v>
      </c>
      <c r="E187" s="13" t="s">
        <v>350</v>
      </c>
      <c r="F187" s="13">
        <v>3025457</v>
      </c>
      <c r="G187" s="37">
        <v>14389.5</v>
      </c>
      <c r="H187" s="33">
        <f>7500-7497.23</f>
        <v>2.7700000000004366</v>
      </c>
      <c r="I187" s="16">
        <f>-H187*G187</f>
        <v>-39858.91500000628</v>
      </c>
      <c r="J187" s="17">
        <v>0</v>
      </c>
      <c r="K187" s="34">
        <v>4502255362</v>
      </c>
      <c r="L187" s="19">
        <v>5080223473</v>
      </c>
      <c r="M187" s="20">
        <v>5113076008</v>
      </c>
      <c r="N187" s="21"/>
      <c r="O187" s="9"/>
      <c r="P187" s="23"/>
      <c r="Q187" s="24" t="s">
        <v>31</v>
      </c>
      <c r="R187" s="25">
        <v>44585</v>
      </c>
      <c r="S187" s="28"/>
      <c r="T187" s="35"/>
      <c r="U187" s="35"/>
      <c r="V187" s="29"/>
      <c r="W187" s="35"/>
      <c r="X187" s="29"/>
      <c r="Y187" s="36"/>
      <c r="Z187" s="29"/>
      <c r="AA187" s="31">
        <f t="shared" si="1"/>
        <v>44585</v>
      </c>
      <c r="AB187" s="32" t="str">
        <f t="shared" si="5"/>
        <v>enero</v>
      </c>
    </row>
    <row r="188" spans="1:28" ht="12.75">
      <c r="A188" s="9" t="s">
        <v>116</v>
      </c>
      <c r="B188" s="10">
        <v>44559</v>
      </c>
      <c r="C188" s="11">
        <v>44560</v>
      </c>
      <c r="D188" s="53">
        <v>4</v>
      </c>
      <c r="E188" s="13" t="s">
        <v>117</v>
      </c>
      <c r="F188" s="13">
        <v>3025457</v>
      </c>
      <c r="G188" s="37">
        <v>15009.266600000001</v>
      </c>
      <c r="H188" s="15">
        <v>8035</v>
      </c>
      <c r="I188" s="16">
        <f t="shared" ref="I188:I191" si="32">H188*G188</f>
        <v>120599457.13100001</v>
      </c>
      <c r="J188" s="17">
        <v>42</v>
      </c>
      <c r="K188" s="34">
        <v>4502244647</v>
      </c>
      <c r="L188" s="19">
        <v>5079901855</v>
      </c>
      <c r="M188" s="20">
        <v>5113026332</v>
      </c>
      <c r="N188" s="21"/>
      <c r="O188" s="22" t="s">
        <v>351</v>
      </c>
      <c r="P188" s="23"/>
      <c r="Q188" s="24" t="s">
        <v>31</v>
      </c>
      <c r="R188" s="25">
        <v>44586</v>
      </c>
      <c r="S188" s="28">
        <v>4902197261</v>
      </c>
      <c r="T188" s="27">
        <f>1590000*3</f>
        <v>4770000</v>
      </c>
      <c r="U188" s="28" t="s">
        <v>352</v>
      </c>
      <c r="V188" s="29">
        <v>5113062838</v>
      </c>
      <c r="W188" s="28" t="s">
        <v>353</v>
      </c>
      <c r="X188" s="29">
        <v>5113062840</v>
      </c>
      <c r="Y188" s="36"/>
      <c r="Z188" s="29"/>
      <c r="AA188" s="31">
        <f t="shared" si="1"/>
        <v>44586</v>
      </c>
      <c r="AB188" s="32" t="str">
        <f t="shared" si="5"/>
        <v>enero</v>
      </c>
    </row>
    <row r="189" spans="1:28" ht="12.75">
      <c r="A189" s="9" t="s">
        <v>116</v>
      </c>
      <c r="B189" s="10">
        <v>44559</v>
      </c>
      <c r="C189" s="11">
        <v>44560</v>
      </c>
      <c r="D189" s="53">
        <v>4</v>
      </c>
      <c r="E189" s="13" t="s">
        <v>117</v>
      </c>
      <c r="F189" s="13">
        <v>3025457</v>
      </c>
      <c r="G189" s="37">
        <v>37523.166400000002</v>
      </c>
      <c r="H189" s="15">
        <v>8035</v>
      </c>
      <c r="I189" s="16">
        <f t="shared" si="32"/>
        <v>301498642.02399999</v>
      </c>
      <c r="J189" s="17">
        <v>70</v>
      </c>
      <c r="K189" s="34">
        <v>4502244647</v>
      </c>
      <c r="L189" s="19">
        <v>5079901855</v>
      </c>
      <c r="M189" s="20">
        <v>5113026332</v>
      </c>
      <c r="N189" s="21"/>
      <c r="O189" s="22" t="s">
        <v>354</v>
      </c>
      <c r="P189" s="23"/>
      <c r="Q189" s="24" t="s">
        <v>31</v>
      </c>
      <c r="R189" s="25">
        <v>44586</v>
      </c>
      <c r="S189" s="28">
        <v>4902197261</v>
      </c>
      <c r="T189" s="35">
        <f>1590000*5</f>
        <v>7950000</v>
      </c>
      <c r="U189" s="28" t="s">
        <v>355</v>
      </c>
      <c r="V189" s="29">
        <v>5113066684</v>
      </c>
      <c r="W189" s="35"/>
      <c r="X189" s="29"/>
      <c r="Y189" s="36"/>
      <c r="Z189" s="29"/>
      <c r="AA189" s="31">
        <f t="shared" si="1"/>
        <v>44586</v>
      </c>
      <c r="AB189" s="32" t="str">
        <f t="shared" si="5"/>
        <v>enero</v>
      </c>
    </row>
    <row r="190" spans="1:28" ht="12.75">
      <c r="A190" s="9" t="s">
        <v>58</v>
      </c>
      <c r="B190" s="10">
        <v>44592</v>
      </c>
      <c r="C190" s="11">
        <v>44592</v>
      </c>
      <c r="D190" s="53">
        <v>4</v>
      </c>
      <c r="E190" s="13" t="s">
        <v>356</v>
      </c>
      <c r="F190" s="13">
        <v>3025462</v>
      </c>
      <c r="G190" s="14">
        <v>18406</v>
      </c>
      <c r="H190" s="40">
        <v>7500</v>
      </c>
      <c r="I190" s="16">
        <f t="shared" si="32"/>
        <v>138045000</v>
      </c>
      <c r="J190" s="17">
        <v>66</v>
      </c>
      <c r="K190" s="34">
        <v>4502260975</v>
      </c>
      <c r="L190" s="19">
        <v>5080276070</v>
      </c>
      <c r="M190" s="20">
        <v>5113082284</v>
      </c>
      <c r="N190" s="23"/>
      <c r="O190" s="9" t="s">
        <v>37</v>
      </c>
      <c r="P190" s="23"/>
      <c r="Q190" s="24" t="s">
        <v>357</v>
      </c>
      <c r="R190" s="25">
        <v>44588</v>
      </c>
      <c r="S190" s="28"/>
      <c r="T190" s="35"/>
      <c r="U190" s="35"/>
      <c r="V190" s="29"/>
      <c r="W190" s="35"/>
      <c r="X190" s="29"/>
      <c r="Y190" s="36"/>
      <c r="Z190" s="29"/>
      <c r="AA190" s="31">
        <f t="shared" si="1"/>
        <v>44588</v>
      </c>
      <c r="AB190" s="32" t="str">
        <f t="shared" si="5"/>
        <v>enero</v>
      </c>
    </row>
    <row r="191" spans="1:28" ht="12.75">
      <c r="A191" s="9" t="s">
        <v>180</v>
      </c>
      <c r="B191" s="10">
        <v>44595</v>
      </c>
      <c r="C191" s="11"/>
      <c r="D191" s="42">
        <v>5</v>
      </c>
      <c r="E191" s="13" t="s">
        <v>358</v>
      </c>
      <c r="F191" s="13">
        <v>3025457</v>
      </c>
      <c r="G191" s="14">
        <v>6438.5</v>
      </c>
      <c r="H191" s="33">
        <v>7450</v>
      </c>
      <c r="I191" s="16">
        <f t="shared" si="32"/>
        <v>47966825</v>
      </c>
      <c r="J191" s="17">
        <v>14</v>
      </c>
      <c r="K191" s="34">
        <v>4502259533</v>
      </c>
      <c r="L191" s="19">
        <v>5080277037</v>
      </c>
      <c r="M191" s="20">
        <v>5113085055</v>
      </c>
      <c r="N191" s="23"/>
      <c r="O191" s="9" t="s">
        <v>63</v>
      </c>
      <c r="P191" s="23" t="s">
        <v>359</v>
      </c>
      <c r="Q191" s="24" t="s">
        <v>31</v>
      </c>
      <c r="R191" s="25">
        <v>44588</v>
      </c>
      <c r="S191" s="28"/>
      <c r="T191" s="35"/>
      <c r="U191" s="35"/>
      <c r="V191" s="29"/>
      <c r="W191" s="35"/>
      <c r="X191" s="29"/>
      <c r="Y191" s="36"/>
      <c r="Z191" s="29"/>
      <c r="AA191" s="31">
        <f t="shared" si="1"/>
        <v>44588</v>
      </c>
      <c r="AB191" s="32" t="str">
        <f t="shared" si="5"/>
        <v>enero</v>
      </c>
    </row>
    <row r="192" spans="1:28" ht="12.75">
      <c r="A192" s="9" t="s">
        <v>180</v>
      </c>
      <c r="B192" s="10">
        <v>44595</v>
      </c>
      <c r="C192" s="11"/>
      <c r="D192" s="42">
        <v>5</v>
      </c>
      <c r="E192" s="13" t="s">
        <v>360</v>
      </c>
      <c r="F192" s="13">
        <v>3025457</v>
      </c>
      <c r="G192" s="14">
        <v>6438.5</v>
      </c>
      <c r="H192" s="33">
        <f>7450-7350</f>
        <v>100</v>
      </c>
      <c r="I192" s="16">
        <f>-H192*G192</f>
        <v>-643850</v>
      </c>
      <c r="J192" s="17">
        <v>0</v>
      </c>
      <c r="K192" s="34">
        <v>4502259533</v>
      </c>
      <c r="L192" s="19">
        <v>5080277037</v>
      </c>
      <c r="M192" s="20">
        <v>5113085070</v>
      </c>
      <c r="N192" s="21"/>
      <c r="O192" s="9"/>
      <c r="P192" s="23"/>
      <c r="Q192" s="24" t="s">
        <v>31</v>
      </c>
      <c r="R192" s="25">
        <v>44588</v>
      </c>
      <c r="S192" s="28"/>
      <c r="T192" s="35"/>
      <c r="U192" s="35"/>
      <c r="V192" s="29"/>
      <c r="W192" s="35"/>
      <c r="X192" s="29"/>
      <c r="Y192" s="36"/>
      <c r="Z192" s="29"/>
      <c r="AA192" s="31">
        <f t="shared" si="1"/>
        <v>44588</v>
      </c>
      <c r="AB192" s="32" t="str">
        <f t="shared" si="5"/>
        <v>enero</v>
      </c>
    </row>
    <row r="193" spans="1:28" ht="12.75">
      <c r="A193" s="9" t="s">
        <v>58</v>
      </c>
      <c r="B193" s="10">
        <v>44592</v>
      </c>
      <c r="C193" s="11">
        <v>44592</v>
      </c>
      <c r="D193" s="42">
        <v>5</v>
      </c>
      <c r="E193" s="13" t="s">
        <v>361</v>
      </c>
      <c r="F193" s="13">
        <v>3025460</v>
      </c>
      <c r="G193" s="14">
        <v>72813.5</v>
      </c>
      <c r="H193" s="33">
        <v>7850</v>
      </c>
      <c r="I193" s="16">
        <f>H193*G193</f>
        <v>571585975</v>
      </c>
      <c r="J193" s="17">
        <v>148</v>
      </c>
      <c r="K193" s="34">
        <v>4502259535</v>
      </c>
      <c r="L193" s="19">
        <v>5080277109</v>
      </c>
      <c r="M193" s="20">
        <v>5113082196</v>
      </c>
      <c r="N193" s="21"/>
      <c r="O193" s="9" t="s">
        <v>37</v>
      </c>
      <c r="P193" s="23"/>
      <c r="Q193" s="24" t="s">
        <v>31</v>
      </c>
      <c r="R193" s="25">
        <v>44588</v>
      </c>
      <c r="S193" s="28"/>
      <c r="T193" s="35"/>
      <c r="U193" s="35"/>
      <c r="V193" s="29"/>
      <c r="W193" s="35"/>
      <c r="X193" s="29"/>
      <c r="Y193" s="36"/>
      <c r="Z193" s="29"/>
      <c r="AA193" s="31">
        <f t="shared" si="1"/>
        <v>44588</v>
      </c>
      <c r="AB193" s="32" t="str">
        <f t="shared" si="5"/>
        <v>enero</v>
      </c>
    </row>
    <row r="194" spans="1:28" ht="12.75">
      <c r="A194" s="9" t="s">
        <v>58</v>
      </c>
      <c r="B194" s="10">
        <v>44592</v>
      </c>
      <c r="C194" s="11">
        <v>44592</v>
      </c>
      <c r="D194" s="42">
        <v>5</v>
      </c>
      <c r="E194" s="13" t="s">
        <v>362</v>
      </c>
      <c r="F194" s="13">
        <v>3025460</v>
      </c>
      <c r="G194" s="14">
        <v>72813.5</v>
      </c>
      <c r="H194" s="33">
        <f>7850-7847.9</f>
        <v>2.1000000000003638</v>
      </c>
      <c r="I194" s="16">
        <f>-H194*G194</f>
        <v>-152908.35000002649</v>
      </c>
      <c r="J194" s="17">
        <v>0</v>
      </c>
      <c r="K194" s="34">
        <v>4502259535</v>
      </c>
      <c r="L194" s="19">
        <v>5080277109</v>
      </c>
      <c r="M194" s="20">
        <v>5113082298</v>
      </c>
      <c r="N194" s="21"/>
      <c r="O194" s="9"/>
      <c r="P194" s="23"/>
      <c r="Q194" s="24" t="s">
        <v>31</v>
      </c>
      <c r="R194" s="25">
        <v>44588</v>
      </c>
      <c r="S194" s="28"/>
      <c r="T194" s="35"/>
      <c r="U194" s="35"/>
      <c r="V194" s="29"/>
      <c r="W194" s="35"/>
      <c r="X194" s="29"/>
      <c r="Y194" s="36"/>
      <c r="Z194" s="29"/>
      <c r="AA194" s="31">
        <f t="shared" si="1"/>
        <v>44588</v>
      </c>
      <c r="AB194" s="32" t="str">
        <f t="shared" si="5"/>
        <v>enero</v>
      </c>
    </row>
    <row r="195" spans="1:28" ht="12.75">
      <c r="A195" s="9" t="s">
        <v>75</v>
      </c>
      <c r="B195" s="10">
        <v>44592</v>
      </c>
      <c r="C195" s="11">
        <v>44593</v>
      </c>
      <c r="D195" s="42">
        <v>5</v>
      </c>
      <c r="E195" s="13" t="s">
        <v>363</v>
      </c>
      <c r="F195" s="13">
        <v>3025460</v>
      </c>
      <c r="G195" s="14">
        <v>13663</v>
      </c>
      <c r="H195" s="33">
        <v>7550</v>
      </c>
      <c r="I195" s="16">
        <f>H195*G195</f>
        <v>103155650</v>
      </c>
      <c r="J195" s="17">
        <v>29</v>
      </c>
      <c r="K195" s="34">
        <v>4502259537</v>
      </c>
      <c r="L195" s="19">
        <v>5080277110</v>
      </c>
      <c r="M195" s="20">
        <v>5113082550</v>
      </c>
      <c r="N195" s="21"/>
      <c r="O195" s="9" t="s">
        <v>63</v>
      </c>
      <c r="P195" s="23"/>
      <c r="Q195" s="24" t="s">
        <v>31</v>
      </c>
      <c r="R195" s="25">
        <v>44588</v>
      </c>
      <c r="S195" s="28"/>
      <c r="T195" s="35"/>
      <c r="U195" s="35"/>
      <c r="V195" s="29"/>
      <c r="W195" s="35"/>
      <c r="X195" s="29"/>
      <c r="Y195" s="36"/>
      <c r="Z195" s="29"/>
      <c r="AA195" s="31">
        <f t="shared" si="1"/>
        <v>44588</v>
      </c>
      <c r="AB195" s="32" t="str">
        <f t="shared" si="5"/>
        <v>enero</v>
      </c>
    </row>
    <row r="196" spans="1:28" ht="12.75">
      <c r="A196" s="9" t="s">
        <v>75</v>
      </c>
      <c r="B196" s="10">
        <v>44592</v>
      </c>
      <c r="C196" s="11">
        <v>44593</v>
      </c>
      <c r="D196" s="42">
        <v>5</v>
      </c>
      <c r="E196" s="13" t="s">
        <v>244</v>
      </c>
      <c r="F196" s="13">
        <v>3025460</v>
      </c>
      <c r="G196" s="14">
        <v>13663</v>
      </c>
      <c r="H196" s="33">
        <v>50</v>
      </c>
      <c r="I196" s="16">
        <f>-H196*G196</f>
        <v>-683150</v>
      </c>
      <c r="J196" s="17">
        <v>0</v>
      </c>
      <c r="K196" s="34">
        <v>4502259537</v>
      </c>
      <c r="L196" s="19">
        <v>5080277110</v>
      </c>
      <c r="M196" s="20">
        <v>5113082551</v>
      </c>
      <c r="N196" s="21"/>
      <c r="O196" s="9"/>
      <c r="P196" s="23"/>
      <c r="Q196" s="24" t="s">
        <v>31</v>
      </c>
      <c r="R196" s="25">
        <v>44588</v>
      </c>
      <c r="S196" s="28"/>
      <c r="T196" s="35"/>
      <c r="U196" s="35"/>
      <c r="V196" s="29"/>
      <c r="W196" s="35"/>
      <c r="X196" s="29"/>
      <c r="Y196" s="36"/>
      <c r="Z196" s="29"/>
      <c r="AA196" s="31">
        <f t="shared" si="1"/>
        <v>44588</v>
      </c>
      <c r="AB196" s="32" t="str">
        <f t="shared" si="5"/>
        <v>enero</v>
      </c>
    </row>
    <row r="197" spans="1:28" ht="12.75">
      <c r="A197" s="9" t="s">
        <v>99</v>
      </c>
      <c r="B197" s="10">
        <v>44592</v>
      </c>
      <c r="C197" s="11"/>
      <c r="D197" s="42">
        <v>5</v>
      </c>
      <c r="E197" s="13" t="s">
        <v>364</v>
      </c>
      <c r="F197" s="13">
        <v>3025460</v>
      </c>
      <c r="G197" s="14">
        <v>13723</v>
      </c>
      <c r="H197" s="33">
        <v>7500</v>
      </c>
      <c r="I197" s="16">
        <f>H197*G197</f>
        <v>102922500</v>
      </c>
      <c r="J197" s="17">
        <v>30</v>
      </c>
      <c r="K197" s="34">
        <v>4502259540</v>
      </c>
      <c r="L197" s="19">
        <v>5080277571</v>
      </c>
      <c r="M197" s="20">
        <v>5113082773</v>
      </c>
      <c r="N197" s="23"/>
      <c r="O197" s="9" t="s">
        <v>37</v>
      </c>
      <c r="P197" s="23"/>
      <c r="Q197" s="24" t="s">
        <v>31</v>
      </c>
      <c r="R197" s="25">
        <v>44588</v>
      </c>
      <c r="S197" s="28"/>
      <c r="T197" s="35"/>
      <c r="U197" s="35"/>
      <c r="V197" s="29"/>
      <c r="W197" s="35"/>
      <c r="X197" s="29"/>
      <c r="Y197" s="36"/>
      <c r="Z197" s="29"/>
      <c r="AA197" s="31">
        <f t="shared" si="1"/>
        <v>44588</v>
      </c>
      <c r="AB197" s="32" t="str">
        <f t="shared" si="5"/>
        <v>enero</v>
      </c>
    </row>
    <row r="198" spans="1:28" ht="12.75">
      <c r="A198" s="9" t="s">
        <v>99</v>
      </c>
      <c r="B198" s="10">
        <v>44593</v>
      </c>
      <c r="C198" s="11">
        <v>44593</v>
      </c>
      <c r="D198" s="42">
        <v>5</v>
      </c>
      <c r="E198" s="13" t="s">
        <v>365</v>
      </c>
      <c r="F198" s="13">
        <v>3025460</v>
      </c>
      <c r="G198" s="14">
        <v>13723</v>
      </c>
      <c r="H198" s="33">
        <f>7500-7447.29</f>
        <v>52.710000000000036</v>
      </c>
      <c r="I198" s="16">
        <f>-H198*G198</f>
        <v>-723339.33000000054</v>
      </c>
      <c r="J198" s="17">
        <v>0</v>
      </c>
      <c r="K198" s="34">
        <v>4502259540</v>
      </c>
      <c r="L198" s="19">
        <v>5080277571</v>
      </c>
      <c r="M198" s="20">
        <v>5113082774</v>
      </c>
      <c r="N198" s="23"/>
      <c r="O198" s="9"/>
      <c r="P198" s="23" t="s">
        <v>366</v>
      </c>
      <c r="Q198" s="24" t="s">
        <v>31</v>
      </c>
      <c r="R198" s="25">
        <v>44588</v>
      </c>
      <c r="S198" s="28"/>
      <c r="T198" s="35"/>
      <c r="U198" s="35"/>
      <c r="V198" s="29"/>
      <c r="W198" s="35"/>
      <c r="X198" s="29"/>
      <c r="Y198" s="36"/>
      <c r="Z198" s="29"/>
      <c r="AA198" s="31">
        <f t="shared" si="1"/>
        <v>44588</v>
      </c>
      <c r="AB198" s="32" t="str">
        <f t="shared" si="5"/>
        <v>enero</v>
      </c>
    </row>
    <row r="199" spans="1:28" ht="12.75">
      <c r="A199" s="9" t="s">
        <v>73</v>
      </c>
      <c r="B199" s="10">
        <v>44592</v>
      </c>
      <c r="C199" s="11">
        <v>44593</v>
      </c>
      <c r="D199" s="42">
        <v>5</v>
      </c>
      <c r="E199" s="13" t="s">
        <v>367</v>
      </c>
      <c r="F199" s="13">
        <v>3025460</v>
      </c>
      <c r="G199" s="14">
        <v>19794</v>
      </c>
      <c r="H199" s="33">
        <v>7700</v>
      </c>
      <c r="I199" s="16">
        <f t="shared" ref="I199:I201" si="33">H199*G199</f>
        <v>152413800</v>
      </c>
      <c r="J199" s="17">
        <v>42</v>
      </c>
      <c r="K199" s="34">
        <v>4502259541</v>
      </c>
      <c r="L199" s="19">
        <v>5080277113</v>
      </c>
      <c r="M199" s="20">
        <v>5113082115</v>
      </c>
      <c r="N199" s="21"/>
      <c r="O199" s="9" t="s">
        <v>63</v>
      </c>
      <c r="P199" s="23"/>
      <c r="Q199" s="24" t="s">
        <v>31</v>
      </c>
      <c r="R199" s="25">
        <v>44588</v>
      </c>
      <c r="S199" s="28"/>
      <c r="T199" s="35"/>
      <c r="U199" s="35"/>
      <c r="V199" s="29"/>
      <c r="W199" s="35"/>
      <c r="X199" s="29"/>
      <c r="Y199" s="36"/>
      <c r="Z199" s="29"/>
      <c r="AA199" s="31">
        <f t="shared" si="1"/>
        <v>44588</v>
      </c>
      <c r="AB199" s="32" t="str">
        <f t="shared" si="5"/>
        <v>enero</v>
      </c>
    </row>
    <row r="200" spans="1:28" ht="12.75">
      <c r="A200" s="9" t="s">
        <v>368</v>
      </c>
      <c r="B200" s="10">
        <v>44594</v>
      </c>
      <c r="C200" s="11">
        <v>44594</v>
      </c>
      <c r="D200" s="42">
        <v>5</v>
      </c>
      <c r="E200" s="13" t="s">
        <v>369</v>
      </c>
      <c r="F200" s="13">
        <v>3025459</v>
      </c>
      <c r="G200" s="14">
        <v>6748.5</v>
      </c>
      <c r="H200" s="33">
        <v>7450</v>
      </c>
      <c r="I200" s="16">
        <f t="shared" si="33"/>
        <v>50276325</v>
      </c>
      <c r="J200" s="17">
        <v>15</v>
      </c>
      <c r="K200" s="34">
        <v>4502259542</v>
      </c>
      <c r="L200" s="19">
        <v>5080277114</v>
      </c>
      <c r="M200" s="20">
        <v>5113084720</v>
      </c>
      <c r="N200" s="21"/>
      <c r="O200" s="9" t="s">
        <v>63</v>
      </c>
      <c r="P200" s="23" t="s">
        <v>370</v>
      </c>
      <c r="Q200" s="24" t="s">
        <v>31</v>
      </c>
      <c r="R200" s="25">
        <v>44588</v>
      </c>
      <c r="S200" s="28"/>
      <c r="T200" s="35"/>
      <c r="U200" s="35"/>
      <c r="V200" s="29"/>
      <c r="W200" s="35"/>
      <c r="X200" s="29"/>
      <c r="Y200" s="36"/>
      <c r="Z200" s="29"/>
      <c r="AA200" s="31">
        <f t="shared" si="1"/>
        <v>44588</v>
      </c>
      <c r="AB200" s="32" t="str">
        <f t="shared" si="5"/>
        <v>enero</v>
      </c>
    </row>
    <row r="201" spans="1:28" ht="12.75">
      <c r="A201" s="9" t="s">
        <v>233</v>
      </c>
      <c r="B201" s="10">
        <v>44588</v>
      </c>
      <c r="C201" s="11"/>
      <c r="D201" s="42">
        <v>5</v>
      </c>
      <c r="E201" s="13" t="s">
        <v>371</v>
      </c>
      <c r="F201" s="13">
        <v>3025459</v>
      </c>
      <c r="G201" s="14">
        <v>20301.5</v>
      </c>
      <c r="H201" s="33">
        <v>7500</v>
      </c>
      <c r="I201" s="16">
        <f t="shared" si="33"/>
        <v>152261250</v>
      </c>
      <c r="J201" s="17">
        <v>42</v>
      </c>
      <c r="K201" s="34">
        <v>4502259545</v>
      </c>
      <c r="L201" s="19">
        <v>5080277115</v>
      </c>
      <c r="M201" s="20">
        <v>5113082729</v>
      </c>
      <c r="N201" s="23"/>
      <c r="O201" s="9" t="s">
        <v>37</v>
      </c>
      <c r="P201" s="23"/>
      <c r="Q201" s="24" t="s">
        <v>31</v>
      </c>
      <c r="R201" s="25">
        <v>44588</v>
      </c>
      <c r="S201" s="28"/>
      <c r="T201" s="35"/>
      <c r="U201" s="35"/>
      <c r="V201" s="29"/>
      <c r="W201" s="35"/>
      <c r="X201" s="29"/>
      <c r="Y201" s="36"/>
      <c r="Z201" s="29"/>
      <c r="AA201" s="31">
        <f t="shared" si="1"/>
        <v>44588</v>
      </c>
      <c r="AB201" s="32" t="str">
        <f t="shared" si="5"/>
        <v>enero</v>
      </c>
    </row>
    <row r="202" spans="1:28" ht="12.75">
      <c r="A202" s="9" t="s">
        <v>233</v>
      </c>
      <c r="B202" s="10">
        <v>44588</v>
      </c>
      <c r="C202" s="11"/>
      <c r="D202" s="42">
        <v>5</v>
      </c>
      <c r="E202" s="13" t="s">
        <v>372</v>
      </c>
      <c r="F202" s="13">
        <v>3025459</v>
      </c>
      <c r="G202" s="14">
        <v>20301.5</v>
      </c>
      <c r="H202" s="33">
        <v>50</v>
      </c>
      <c r="I202" s="16">
        <f>-H202*G202</f>
        <v>-1015075</v>
      </c>
      <c r="J202" s="17">
        <v>0</v>
      </c>
      <c r="K202" s="34">
        <v>4502259545</v>
      </c>
      <c r="L202" s="19">
        <v>5080277115</v>
      </c>
      <c r="M202" s="20">
        <v>5113082730</v>
      </c>
      <c r="N202" s="21"/>
      <c r="O202" s="9"/>
      <c r="P202" s="23"/>
      <c r="Q202" s="24" t="s">
        <v>31</v>
      </c>
      <c r="R202" s="25">
        <v>44588</v>
      </c>
      <c r="S202" s="28"/>
      <c r="T202" s="35"/>
      <c r="U202" s="35"/>
      <c r="V202" s="29"/>
      <c r="W202" s="35"/>
      <c r="X202" s="29"/>
      <c r="Y202" s="36"/>
      <c r="Z202" s="29"/>
      <c r="AA202" s="31">
        <f t="shared" si="1"/>
        <v>44588</v>
      </c>
      <c r="AB202" s="32" t="str">
        <f t="shared" si="5"/>
        <v>enero</v>
      </c>
    </row>
    <row r="203" spans="1:28" ht="12.75">
      <c r="A203" s="9" t="s">
        <v>75</v>
      </c>
      <c r="B203" s="10">
        <v>44593</v>
      </c>
      <c r="C203" s="11">
        <v>44593</v>
      </c>
      <c r="D203" s="42">
        <v>5</v>
      </c>
      <c r="E203" s="13" t="s">
        <v>373</v>
      </c>
      <c r="F203" s="13">
        <v>3025460</v>
      </c>
      <c r="G203" s="14">
        <v>19361</v>
      </c>
      <c r="H203" s="33">
        <v>7550</v>
      </c>
      <c r="I203" s="16">
        <f t="shared" ref="I203:I204" si="34">H203*G203</f>
        <v>146175550</v>
      </c>
      <c r="J203" s="17">
        <v>41</v>
      </c>
      <c r="K203" s="34">
        <v>4502259546</v>
      </c>
      <c r="L203" s="19">
        <v>5080278834</v>
      </c>
      <c r="M203" s="20">
        <v>5113082742</v>
      </c>
      <c r="N203" s="21"/>
      <c r="O203" s="9" t="s">
        <v>63</v>
      </c>
      <c r="P203" s="23"/>
      <c r="Q203" s="24" t="s">
        <v>31</v>
      </c>
      <c r="R203" s="25">
        <v>44589</v>
      </c>
      <c r="S203" s="28"/>
      <c r="T203" s="35"/>
      <c r="U203" s="35"/>
      <c r="V203" s="29"/>
      <c r="W203" s="35"/>
      <c r="X203" s="29"/>
      <c r="Y203" s="36"/>
      <c r="Z203" s="29"/>
      <c r="AA203" s="31">
        <f t="shared" si="1"/>
        <v>44589</v>
      </c>
      <c r="AB203" s="32" t="str">
        <f t="shared" si="5"/>
        <v>enero</v>
      </c>
    </row>
    <row r="204" spans="1:28" ht="12.75">
      <c r="A204" s="9" t="s">
        <v>58</v>
      </c>
      <c r="B204" s="10">
        <v>44593</v>
      </c>
      <c r="C204" s="11">
        <v>44593</v>
      </c>
      <c r="D204" s="42">
        <v>5</v>
      </c>
      <c r="E204" s="13" t="s">
        <v>374</v>
      </c>
      <c r="F204" s="13">
        <v>3025460</v>
      </c>
      <c r="G204" s="14">
        <v>58331</v>
      </c>
      <c r="H204" s="33">
        <v>7850</v>
      </c>
      <c r="I204" s="16">
        <f t="shared" si="34"/>
        <v>457898350</v>
      </c>
      <c r="J204" s="17">
        <v>119</v>
      </c>
      <c r="K204" s="34">
        <v>4502259548</v>
      </c>
      <c r="L204" s="19">
        <v>5080309044</v>
      </c>
      <c r="M204" s="20">
        <v>5113085206</v>
      </c>
      <c r="N204" s="23"/>
      <c r="O204" s="9" t="s">
        <v>37</v>
      </c>
      <c r="P204" s="23"/>
      <c r="Q204" s="24" t="s">
        <v>31</v>
      </c>
      <c r="R204" s="25">
        <v>44589</v>
      </c>
      <c r="S204" s="28"/>
      <c r="T204" s="35"/>
      <c r="U204" s="35"/>
      <c r="V204" s="29"/>
      <c r="W204" s="35"/>
      <c r="X204" s="29"/>
      <c r="Y204" s="36"/>
      <c r="Z204" s="29"/>
      <c r="AA204" s="31">
        <f t="shared" si="1"/>
        <v>44589</v>
      </c>
      <c r="AB204" s="32" t="str">
        <f t="shared" si="5"/>
        <v>enero</v>
      </c>
    </row>
    <row r="205" spans="1:28" ht="12.75">
      <c r="A205" s="9" t="s">
        <v>58</v>
      </c>
      <c r="B205" s="10">
        <v>44593</v>
      </c>
      <c r="C205" s="11">
        <v>44593</v>
      </c>
      <c r="D205" s="42">
        <v>5</v>
      </c>
      <c r="E205" s="13" t="s">
        <v>375</v>
      </c>
      <c r="F205" s="13">
        <v>3025460</v>
      </c>
      <c r="G205" s="14">
        <v>58331</v>
      </c>
      <c r="H205" s="33">
        <f>7850-7826.48</f>
        <v>23.520000000000437</v>
      </c>
      <c r="I205" s="16">
        <f>-H205*G205</f>
        <v>-1371945.1200000255</v>
      </c>
      <c r="J205" s="17">
        <v>0</v>
      </c>
      <c r="K205" s="34">
        <v>4502259548</v>
      </c>
      <c r="L205" s="19">
        <v>5080309044</v>
      </c>
      <c r="M205" s="20">
        <v>5113085218</v>
      </c>
      <c r="N205" s="21"/>
      <c r="O205" s="9"/>
      <c r="P205" s="23"/>
      <c r="Q205" s="24" t="s">
        <v>31</v>
      </c>
      <c r="R205" s="25">
        <v>44589</v>
      </c>
      <c r="S205" s="28"/>
      <c r="T205" s="35"/>
      <c r="U205" s="35"/>
      <c r="V205" s="29"/>
      <c r="W205" s="35"/>
      <c r="X205" s="29"/>
      <c r="Y205" s="36"/>
      <c r="Z205" s="29"/>
      <c r="AA205" s="31">
        <f t="shared" si="1"/>
        <v>44589</v>
      </c>
      <c r="AB205" s="32" t="str">
        <f t="shared" si="5"/>
        <v>enero</v>
      </c>
    </row>
    <row r="206" spans="1:28" ht="12.75">
      <c r="A206" s="9" t="s">
        <v>54</v>
      </c>
      <c r="B206" s="10">
        <v>44589</v>
      </c>
      <c r="C206" s="11"/>
      <c r="D206" s="42">
        <v>5</v>
      </c>
      <c r="E206" s="13" t="s">
        <v>376</v>
      </c>
      <c r="F206" s="13">
        <v>3025457</v>
      </c>
      <c r="G206" s="14">
        <v>13213</v>
      </c>
      <c r="H206" s="15">
        <v>6900</v>
      </c>
      <c r="I206" s="16">
        <f t="shared" ref="I206:I211" si="35">H206*G206</f>
        <v>91169700</v>
      </c>
      <c r="J206" s="17">
        <v>28</v>
      </c>
      <c r="K206" s="34">
        <v>4502261091</v>
      </c>
      <c r="L206" s="19">
        <v>5080278468</v>
      </c>
      <c r="M206" s="20">
        <v>5113073059</v>
      </c>
      <c r="N206" s="21"/>
      <c r="O206" s="22" t="s">
        <v>343</v>
      </c>
      <c r="P206" s="23"/>
      <c r="Q206" s="24" t="s">
        <v>31</v>
      </c>
      <c r="R206" s="25">
        <v>44589</v>
      </c>
      <c r="S206" s="28">
        <v>4902201340</v>
      </c>
      <c r="T206" s="27">
        <f>2979200*2</f>
        <v>5958400</v>
      </c>
      <c r="U206" s="28" t="s">
        <v>377</v>
      </c>
      <c r="V206" s="29">
        <v>5113077914</v>
      </c>
      <c r="W206" s="28" t="s">
        <v>378</v>
      </c>
      <c r="X206" s="29">
        <v>5113077913</v>
      </c>
      <c r="Y206" s="36"/>
      <c r="Z206" s="29"/>
      <c r="AA206" s="31">
        <f t="shared" si="1"/>
        <v>44589</v>
      </c>
      <c r="AB206" s="32" t="str">
        <f t="shared" si="5"/>
        <v>enero</v>
      </c>
    </row>
    <row r="207" spans="1:28" ht="12.75">
      <c r="A207" s="9" t="s">
        <v>196</v>
      </c>
      <c r="B207" s="10">
        <v>44589</v>
      </c>
      <c r="C207" s="11"/>
      <c r="D207" s="42">
        <v>5</v>
      </c>
      <c r="E207" s="13" t="s">
        <v>379</v>
      </c>
      <c r="F207" s="13">
        <v>3025457</v>
      </c>
      <c r="G207" s="14">
        <v>26904</v>
      </c>
      <c r="H207" s="15">
        <v>7350</v>
      </c>
      <c r="I207" s="16">
        <f t="shared" si="35"/>
        <v>197744400</v>
      </c>
      <c r="J207" s="17">
        <v>56</v>
      </c>
      <c r="K207" s="34">
        <v>4502261092</v>
      </c>
      <c r="L207" s="19">
        <v>5080278469</v>
      </c>
      <c r="M207" s="20">
        <v>5113073062</v>
      </c>
      <c r="N207" s="21"/>
      <c r="O207" s="22" t="s">
        <v>256</v>
      </c>
      <c r="P207" s="23" t="s">
        <v>313</v>
      </c>
      <c r="Q207" s="24" t="s">
        <v>31</v>
      </c>
      <c r="R207" s="25">
        <v>44589</v>
      </c>
      <c r="S207" s="28">
        <v>4902201356</v>
      </c>
      <c r="T207" s="27">
        <f>1638223*4</f>
        <v>6552892</v>
      </c>
      <c r="U207" s="28" t="s">
        <v>380</v>
      </c>
      <c r="V207" s="29">
        <v>5113077957</v>
      </c>
      <c r="W207" s="35"/>
      <c r="X207" s="29"/>
      <c r="Y207" s="36"/>
      <c r="Z207" s="29"/>
      <c r="AA207" s="31">
        <f t="shared" si="1"/>
        <v>44589</v>
      </c>
      <c r="AB207" s="32" t="str">
        <f t="shared" si="5"/>
        <v>enero</v>
      </c>
    </row>
    <row r="208" spans="1:28" ht="12.75">
      <c r="A208" s="9" t="s">
        <v>83</v>
      </c>
      <c r="B208" s="10">
        <v>44589</v>
      </c>
      <c r="C208" s="11">
        <v>44593</v>
      </c>
      <c r="D208" s="42">
        <v>5</v>
      </c>
      <c r="E208" s="13" t="s">
        <v>381</v>
      </c>
      <c r="F208" s="13">
        <v>3025457</v>
      </c>
      <c r="G208" s="14">
        <v>25772</v>
      </c>
      <c r="H208" s="40">
        <v>7650</v>
      </c>
      <c r="I208" s="16">
        <f t="shared" si="35"/>
        <v>197155800</v>
      </c>
      <c r="J208" s="17">
        <v>56</v>
      </c>
      <c r="K208" s="34">
        <v>4502262931</v>
      </c>
      <c r="L208" s="19">
        <v>5080328117</v>
      </c>
      <c r="M208" s="20">
        <v>5113084724</v>
      </c>
      <c r="N208" s="23"/>
      <c r="O208" s="9" t="s">
        <v>382</v>
      </c>
      <c r="P208" s="23"/>
      <c r="Q208" s="24" t="s">
        <v>82</v>
      </c>
      <c r="R208" s="25">
        <v>44589</v>
      </c>
      <c r="S208" s="28"/>
      <c r="T208" s="35"/>
      <c r="U208" s="35"/>
      <c r="V208" s="29"/>
      <c r="W208" s="35"/>
      <c r="X208" s="29"/>
      <c r="Y208" s="36"/>
      <c r="Z208" s="29"/>
      <c r="AA208" s="31">
        <f t="shared" si="1"/>
        <v>44589</v>
      </c>
      <c r="AB208" s="32" t="str">
        <f t="shared" si="5"/>
        <v>enero</v>
      </c>
    </row>
    <row r="209" spans="1:28" ht="12.75">
      <c r="A209" s="9" t="s">
        <v>318</v>
      </c>
      <c r="B209" s="10">
        <v>44594</v>
      </c>
      <c r="C209" s="11">
        <v>44594</v>
      </c>
      <c r="D209" s="42">
        <v>5</v>
      </c>
      <c r="E209" s="13" t="s">
        <v>383</v>
      </c>
      <c r="F209" s="13">
        <v>3025457</v>
      </c>
      <c r="G209" s="14">
        <v>13406</v>
      </c>
      <c r="H209" s="40">
        <v>7500</v>
      </c>
      <c r="I209" s="16">
        <f t="shared" si="35"/>
        <v>100545000</v>
      </c>
      <c r="J209" s="17">
        <v>28</v>
      </c>
      <c r="K209" s="34">
        <v>4502262932</v>
      </c>
      <c r="L209" s="19">
        <v>5080328209</v>
      </c>
      <c r="M209" s="20">
        <v>5113084186</v>
      </c>
      <c r="N209" s="23"/>
      <c r="O209" s="9" t="s">
        <v>382</v>
      </c>
      <c r="P209" s="23"/>
      <c r="Q209" s="24" t="s">
        <v>82</v>
      </c>
      <c r="R209" s="25">
        <v>44589</v>
      </c>
      <c r="S209" s="28"/>
      <c r="T209" s="35"/>
      <c r="U209" s="35"/>
      <c r="V209" s="29"/>
      <c r="W209" s="35"/>
      <c r="X209" s="29"/>
      <c r="Y209" s="36"/>
      <c r="Z209" s="29"/>
      <c r="AA209" s="31">
        <f t="shared" si="1"/>
        <v>44589</v>
      </c>
      <c r="AB209" s="32" t="str">
        <f t="shared" si="5"/>
        <v>enero</v>
      </c>
    </row>
    <row r="210" spans="1:28" ht="12.75">
      <c r="A210" s="9" t="s">
        <v>28</v>
      </c>
      <c r="B210" s="10">
        <v>44592</v>
      </c>
      <c r="C210" s="11"/>
      <c r="D210" s="42">
        <v>5</v>
      </c>
      <c r="E210" s="13" t="s">
        <v>384</v>
      </c>
      <c r="F210" s="13">
        <v>3025460</v>
      </c>
      <c r="G210" s="14">
        <v>34652</v>
      </c>
      <c r="H210" s="15">
        <v>6850</v>
      </c>
      <c r="I210" s="16">
        <f t="shared" si="35"/>
        <v>237366200</v>
      </c>
      <c r="J210" s="17">
        <v>70</v>
      </c>
      <c r="K210" s="34">
        <v>4502261094</v>
      </c>
      <c r="L210" s="19">
        <v>5080311840</v>
      </c>
      <c r="M210" s="20">
        <v>5113080396</v>
      </c>
      <c r="N210" s="21"/>
      <c r="O210" s="22" t="s">
        <v>385</v>
      </c>
      <c r="P210" s="23"/>
      <c r="Q210" s="24" t="s">
        <v>31</v>
      </c>
      <c r="R210" s="25">
        <v>44590</v>
      </c>
      <c r="S210" s="28">
        <v>4902201362</v>
      </c>
      <c r="T210" s="27">
        <v>15146400</v>
      </c>
      <c r="U210" s="28" t="s">
        <v>386</v>
      </c>
      <c r="V210" s="29">
        <v>5113082350</v>
      </c>
      <c r="W210" s="28" t="s">
        <v>387</v>
      </c>
      <c r="X210" s="29">
        <v>5113082351</v>
      </c>
      <c r="Y210" s="36"/>
      <c r="Z210" s="29"/>
      <c r="AA210" s="31">
        <f t="shared" si="1"/>
        <v>44590</v>
      </c>
      <c r="AB210" s="32" t="str">
        <f t="shared" si="5"/>
        <v>enero</v>
      </c>
    </row>
    <row r="211" spans="1:28" ht="12.75">
      <c r="A211" s="9" t="s">
        <v>58</v>
      </c>
      <c r="B211" s="10">
        <v>44593</v>
      </c>
      <c r="C211" s="11">
        <v>44593</v>
      </c>
      <c r="D211" s="42">
        <v>5</v>
      </c>
      <c r="E211" s="13" t="s">
        <v>388</v>
      </c>
      <c r="F211" s="13">
        <v>3025460</v>
      </c>
      <c r="G211" s="14">
        <v>41803</v>
      </c>
      <c r="H211" s="33">
        <v>7850</v>
      </c>
      <c r="I211" s="16">
        <f t="shared" si="35"/>
        <v>328153550</v>
      </c>
      <c r="J211" s="17">
        <v>89</v>
      </c>
      <c r="K211" s="34">
        <v>4502259551</v>
      </c>
      <c r="L211" s="19">
        <v>5080311041</v>
      </c>
      <c r="M211" s="20">
        <v>5113085423</v>
      </c>
      <c r="N211" s="23"/>
      <c r="O211" s="9" t="s">
        <v>37</v>
      </c>
      <c r="P211" s="23"/>
      <c r="Q211" s="24" t="s">
        <v>31</v>
      </c>
      <c r="R211" s="25">
        <v>44590</v>
      </c>
      <c r="S211" s="28"/>
      <c r="T211" s="35"/>
      <c r="U211" s="35"/>
      <c r="V211" s="29"/>
      <c r="W211" s="35"/>
      <c r="X211" s="29"/>
      <c r="Y211" s="36"/>
      <c r="Z211" s="29"/>
      <c r="AA211" s="31">
        <f t="shared" si="1"/>
        <v>44590</v>
      </c>
      <c r="AB211" s="32" t="str">
        <f t="shared" si="5"/>
        <v>enero</v>
      </c>
    </row>
    <row r="212" spans="1:28" ht="12.75">
      <c r="A212" s="9" t="s">
        <v>58</v>
      </c>
      <c r="B212" s="10">
        <v>44593</v>
      </c>
      <c r="C212" s="11">
        <v>44593</v>
      </c>
      <c r="D212" s="42">
        <v>5</v>
      </c>
      <c r="E212" s="13" t="s">
        <v>389</v>
      </c>
      <c r="F212" s="13">
        <v>3025460</v>
      </c>
      <c r="G212" s="14">
        <v>41803</v>
      </c>
      <c r="H212" s="33">
        <f>7850-7848.17</f>
        <v>1.8299999999999272</v>
      </c>
      <c r="I212" s="16">
        <f>-H212*G212</f>
        <v>-76499.489999996964</v>
      </c>
      <c r="J212" s="17">
        <v>0</v>
      </c>
      <c r="K212" s="34">
        <v>4502259551</v>
      </c>
      <c r="L212" s="19">
        <v>5080311041</v>
      </c>
      <c r="M212" s="20">
        <v>5113085425</v>
      </c>
      <c r="N212" s="21"/>
      <c r="O212" s="9"/>
      <c r="P212" s="23"/>
      <c r="Q212" s="24" t="s">
        <v>31</v>
      </c>
      <c r="R212" s="25">
        <v>44590</v>
      </c>
      <c r="S212" s="28"/>
      <c r="T212" s="35"/>
      <c r="U212" s="35"/>
      <c r="V212" s="29"/>
      <c r="W212" s="35"/>
      <c r="X212" s="29"/>
      <c r="Y212" s="36"/>
      <c r="Z212" s="29"/>
      <c r="AA212" s="31">
        <f t="shared" si="1"/>
        <v>44590</v>
      </c>
      <c r="AB212" s="32" t="str">
        <f t="shared" si="5"/>
        <v>enero</v>
      </c>
    </row>
    <row r="213" spans="1:28" ht="12.75">
      <c r="A213" s="9" t="s">
        <v>58</v>
      </c>
      <c r="B213" s="10">
        <v>44593</v>
      </c>
      <c r="C213" s="11">
        <v>44593</v>
      </c>
      <c r="D213" s="42">
        <v>5</v>
      </c>
      <c r="E213" s="13" t="s">
        <v>390</v>
      </c>
      <c r="F213" s="13">
        <v>3025460</v>
      </c>
      <c r="G213" s="14">
        <v>12497.5</v>
      </c>
      <c r="H213" s="33">
        <v>7850</v>
      </c>
      <c r="I213" s="16">
        <f>H213*G213</f>
        <v>98105375</v>
      </c>
      <c r="J213" s="17">
        <v>30</v>
      </c>
      <c r="K213" s="34">
        <v>4502259551</v>
      </c>
      <c r="L213" s="19">
        <v>5080311041</v>
      </c>
      <c r="M213" s="20">
        <v>5113085223</v>
      </c>
      <c r="N213" s="23"/>
      <c r="O213" s="9" t="s">
        <v>37</v>
      </c>
      <c r="P213" s="23"/>
      <c r="Q213" s="24" t="s">
        <v>31</v>
      </c>
      <c r="R213" s="25">
        <v>44590</v>
      </c>
      <c r="S213" s="28"/>
      <c r="T213" s="35"/>
      <c r="U213" s="35"/>
      <c r="V213" s="29"/>
      <c r="W213" s="35"/>
      <c r="X213" s="29"/>
      <c r="Y213" s="36"/>
      <c r="Z213" s="29"/>
      <c r="AA213" s="31">
        <f t="shared" si="1"/>
        <v>44590</v>
      </c>
      <c r="AB213" s="32" t="str">
        <f t="shared" si="5"/>
        <v>enero</v>
      </c>
    </row>
    <row r="214" spans="1:28" ht="12.75">
      <c r="A214" s="9" t="s">
        <v>58</v>
      </c>
      <c r="B214" s="10">
        <v>44593</v>
      </c>
      <c r="C214" s="11">
        <v>44593</v>
      </c>
      <c r="D214" s="42">
        <v>5</v>
      </c>
      <c r="E214" s="13" t="s">
        <v>391</v>
      </c>
      <c r="F214" s="13">
        <v>3025460</v>
      </c>
      <c r="G214" s="14">
        <v>12497.5</v>
      </c>
      <c r="H214" s="33">
        <f>7850-7834.45</f>
        <v>15.550000000000182</v>
      </c>
      <c r="I214" s="16">
        <f>-H214*G214</f>
        <v>-194336.12500000227</v>
      </c>
      <c r="J214" s="17">
        <v>0</v>
      </c>
      <c r="K214" s="34">
        <v>4502259551</v>
      </c>
      <c r="L214" s="19">
        <v>5080311041</v>
      </c>
      <c r="M214" s="20">
        <v>5113085226</v>
      </c>
      <c r="N214" s="21"/>
      <c r="O214" s="9"/>
      <c r="P214" s="23"/>
      <c r="Q214" s="24" t="s">
        <v>31</v>
      </c>
      <c r="R214" s="25">
        <v>44590</v>
      </c>
      <c r="S214" s="28"/>
      <c r="T214" s="35"/>
      <c r="U214" s="35"/>
      <c r="V214" s="29"/>
      <c r="W214" s="35"/>
      <c r="X214" s="29"/>
      <c r="Y214" s="36"/>
      <c r="Z214" s="29"/>
      <c r="AA214" s="31">
        <f t="shared" si="1"/>
        <v>44590</v>
      </c>
      <c r="AB214" s="32" t="str">
        <f t="shared" si="5"/>
        <v>enero</v>
      </c>
    </row>
    <row r="215" spans="1:28" ht="12.75">
      <c r="A215" s="9" t="s">
        <v>247</v>
      </c>
      <c r="B215" s="10">
        <v>44593</v>
      </c>
      <c r="C215" s="11">
        <v>44593</v>
      </c>
      <c r="D215" s="42">
        <v>5</v>
      </c>
      <c r="E215" s="13" t="s">
        <v>392</v>
      </c>
      <c r="F215" s="13">
        <v>3025460</v>
      </c>
      <c r="G215" s="14">
        <v>13572</v>
      </c>
      <c r="H215" s="33">
        <v>7450</v>
      </c>
      <c r="I215" s="16">
        <f t="shared" ref="I215:I218" si="36">H215*G215</f>
        <v>101111400</v>
      </c>
      <c r="J215" s="17">
        <v>28</v>
      </c>
      <c r="K215" s="34">
        <v>4502259553</v>
      </c>
      <c r="L215" s="19">
        <v>5080310535</v>
      </c>
      <c r="M215" s="20">
        <v>5113082566</v>
      </c>
      <c r="N215" s="21"/>
      <c r="O215" s="9" t="s">
        <v>63</v>
      </c>
      <c r="P215" s="23"/>
      <c r="Q215" s="24" t="s">
        <v>31</v>
      </c>
      <c r="R215" s="25">
        <v>44590</v>
      </c>
      <c r="S215" s="28"/>
      <c r="T215" s="35"/>
      <c r="U215" s="35"/>
      <c r="V215" s="29"/>
      <c r="W215" s="35"/>
      <c r="X215" s="29"/>
      <c r="Y215" s="36"/>
      <c r="Z215" s="29"/>
      <c r="AA215" s="31">
        <f t="shared" si="1"/>
        <v>44590</v>
      </c>
      <c r="AB215" s="32" t="str">
        <f t="shared" si="5"/>
        <v>enero</v>
      </c>
    </row>
    <row r="216" spans="1:28" ht="12.75">
      <c r="A216" s="9" t="s">
        <v>348</v>
      </c>
      <c r="B216" s="10">
        <v>44600</v>
      </c>
      <c r="C216" s="11">
        <v>44606</v>
      </c>
      <c r="D216" s="42">
        <v>5</v>
      </c>
      <c r="E216" s="13" t="s">
        <v>393</v>
      </c>
      <c r="F216" s="13">
        <v>3025460</v>
      </c>
      <c r="G216" s="14">
        <v>14655</v>
      </c>
      <c r="H216" s="33">
        <v>7500</v>
      </c>
      <c r="I216" s="16">
        <f t="shared" si="36"/>
        <v>109912500</v>
      </c>
      <c r="J216" s="17">
        <v>30</v>
      </c>
      <c r="K216" s="34">
        <v>4502259555</v>
      </c>
      <c r="L216" s="19">
        <v>5080311042</v>
      </c>
      <c r="M216" s="20">
        <v>5113092424</v>
      </c>
      <c r="N216" s="21"/>
      <c r="O216" s="9"/>
      <c r="P216" s="23" t="s">
        <v>394</v>
      </c>
      <c r="Q216" s="24" t="s">
        <v>31</v>
      </c>
      <c r="R216" s="25">
        <v>44590</v>
      </c>
      <c r="S216" s="28"/>
      <c r="T216" s="35"/>
      <c r="U216" s="35"/>
      <c r="V216" s="29"/>
      <c r="W216" s="35"/>
      <c r="X216" s="29"/>
      <c r="Y216" s="36"/>
      <c r="Z216" s="29"/>
      <c r="AA216" s="31">
        <f t="shared" si="1"/>
        <v>44590</v>
      </c>
      <c r="AB216" s="32" t="str">
        <f t="shared" si="5"/>
        <v>enero</v>
      </c>
    </row>
    <row r="217" spans="1:28" ht="12.75">
      <c r="A217" s="9" t="s">
        <v>111</v>
      </c>
      <c r="B217" s="10">
        <v>44591</v>
      </c>
      <c r="C217" s="11">
        <v>44594</v>
      </c>
      <c r="D217" s="42">
        <v>5</v>
      </c>
      <c r="E217" s="13" t="s">
        <v>395</v>
      </c>
      <c r="F217" s="13">
        <v>3025460</v>
      </c>
      <c r="G217" s="14">
        <v>13189</v>
      </c>
      <c r="H217" s="33">
        <v>7450</v>
      </c>
      <c r="I217" s="16">
        <f t="shared" si="36"/>
        <v>98258050</v>
      </c>
      <c r="J217" s="17">
        <v>28</v>
      </c>
      <c r="K217" s="34">
        <v>4502259557</v>
      </c>
      <c r="L217" s="19">
        <v>5080313860</v>
      </c>
      <c r="M217" s="20">
        <v>5113083424</v>
      </c>
      <c r="N217" s="21"/>
      <c r="O217" s="9" t="s">
        <v>63</v>
      </c>
      <c r="P217" s="23"/>
      <c r="Q217" s="24" t="s">
        <v>31</v>
      </c>
      <c r="R217" s="25">
        <v>44591</v>
      </c>
      <c r="S217" s="28"/>
      <c r="T217" s="35"/>
      <c r="U217" s="35"/>
      <c r="V217" s="29"/>
      <c r="W217" s="35"/>
      <c r="X217" s="29"/>
      <c r="Y217" s="36"/>
      <c r="Z217" s="29"/>
      <c r="AA217" s="31">
        <f t="shared" si="1"/>
        <v>44591</v>
      </c>
      <c r="AB217" s="32" t="str">
        <f t="shared" si="5"/>
        <v>enero</v>
      </c>
    </row>
    <row r="218" spans="1:28" ht="12.75">
      <c r="A218" s="9" t="s">
        <v>213</v>
      </c>
      <c r="B218" s="10">
        <v>44591</v>
      </c>
      <c r="C218" s="11">
        <v>44594</v>
      </c>
      <c r="D218" s="42">
        <v>5</v>
      </c>
      <c r="E218" s="13" t="s">
        <v>396</v>
      </c>
      <c r="F218" s="13">
        <v>3025460</v>
      </c>
      <c r="G218" s="14">
        <v>5917</v>
      </c>
      <c r="H218" s="33">
        <v>7450</v>
      </c>
      <c r="I218" s="16">
        <f t="shared" si="36"/>
        <v>44081650</v>
      </c>
      <c r="J218" s="17">
        <v>14</v>
      </c>
      <c r="K218" s="34">
        <v>4502259559</v>
      </c>
      <c r="L218" s="19">
        <v>5080314275</v>
      </c>
      <c r="M218" s="20">
        <v>5113084650</v>
      </c>
      <c r="N218" s="23"/>
      <c r="O218" s="9" t="s">
        <v>37</v>
      </c>
      <c r="P218" s="23"/>
      <c r="Q218" s="24" t="s">
        <v>31</v>
      </c>
      <c r="R218" s="25">
        <v>44591</v>
      </c>
      <c r="S218" s="28"/>
      <c r="T218" s="35"/>
      <c r="U218" s="35"/>
      <c r="V218" s="29"/>
      <c r="W218" s="35"/>
      <c r="X218" s="29"/>
      <c r="Y218" s="36"/>
      <c r="Z218" s="29"/>
      <c r="AA218" s="31">
        <f t="shared" si="1"/>
        <v>44591</v>
      </c>
      <c r="AB218" s="32" t="str">
        <f t="shared" si="5"/>
        <v>enero</v>
      </c>
    </row>
    <row r="219" spans="1:28" ht="12.75">
      <c r="A219" s="9" t="s">
        <v>213</v>
      </c>
      <c r="B219" s="10">
        <v>44591</v>
      </c>
      <c r="C219" s="11">
        <v>44594</v>
      </c>
      <c r="D219" s="42">
        <v>5</v>
      </c>
      <c r="E219" s="13" t="s">
        <v>397</v>
      </c>
      <c r="F219" s="13">
        <v>3025460</v>
      </c>
      <c r="G219" s="14">
        <v>5917</v>
      </c>
      <c r="H219" s="33">
        <f>7450-7298.86</f>
        <v>151.14000000000033</v>
      </c>
      <c r="I219" s="16">
        <f>-H219*G219</f>
        <v>-894295.38000000198</v>
      </c>
      <c r="J219" s="17">
        <v>0</v>
      </c>
      <c r="K219" s="34">
        <v>4502259559</v>
      </c>
      <c r="L219" s="19">
        <v>5080314275</v>
      </c>
      <c r="M219" s="20">
        <v>5113084651</v>
      </c>
      <c r="N219" s="21"/>
      <c r="O219" s="9"/>
      <c r="P219" s="23"/>
      <c r="Q219" s="24" t="s">
        <v>31</v>
      </c>
      <c r="R219" s="25">
        <v>44591</v>
      </c>
      <c r="S219" s="28"/>
      <c r="T219" s="35"/>
      <c r="U219" s="35"/>
      <c r="V219" s="29"/>
      <c r="W219" s="35"/>
      <c r="X219" s="29"/>
      <c r="Y219" s="36"/>
      <c r="Z219" s="29"/>
      <c r="AA219" s="31">
        <f t="shared" si="1"/>
        <v>44591</v>
      </c>
      <c r="AB219" s="32" t="str">
        <f t="shared" si="5"/>
        <v>enero</v>
      </c>
    </row>
    <row r="220" spans="1:28" ht="12.75">
      <c r="A220" s="9" t="s">
        <v>61</v>
      </c>
      <c r="B220" s="10">
        <v>44594</v>
      </c>
      <c r="C220" s="11"/>
      <c r="D220" s="42">
        <v>5</v>
      </c>
      <c r="E220" s="13" t="s">
        <v>398</v>
      </c>
      <c r="F220" s="13">
        <v>3025460</v>
      </c>
      <c r="G220" s="37">
        <v>6277.5</v>
      </c>
      <c r="H220" s="33">
        <v>7400</v>
      </c>
      <c r="I220" s="16">
        <f>H220*G220</f>
        <v>46453500</v>
      </c>
      <c r="J220" s="17">
        <v>14</v>
      </c>
      <c r="K220" s="34">
        <v>4502259560</v>
      </c>
      <c r="L220" s="19">
        <v>5080313861</v>
      </c>
      <c r="M220" s="20">
        <v>5113086688</v>
      </c>
      <c r="N220" s="21"/>
      <c r="O220" s="9" t="s">
        <v>63</v>
      </c>
      <c r="P220" s="23" t="s">
        <v>399</v>
      </c>
      <c r="Q220" s="24" t="s">
        <v>31</v>
      </c>
      <c r="R220" s="25">
        <v>44591</v>
      </c>
      <c r="S220" s="28"/>
      <c r="T220" s="35"/>
      <c r="U220" s="35"/>
      <c r="V220" s="29"/>
      <c r="W220" s="35"/>
      <c r="X220" s="29"/>
      <c r="Y220" s="36"/>
      <c r="Z220" s="29"/>
      <c r="AA220" s="31">
        <f t="shared" si="1"/>
        <v>44591</v>
      </c>
      <c r="AB220" s="32" t="str">
        <f t="shared" si="5"/>
        <v>enero</v>
      </c>
    </row>
    <row r="221" spans="1:28" ht="12.75">
      <c r="A221" s="9" t="s">
        <v>61</v>
      </c>
      <c r="B221" s="10">
        <v>44594</v>
      </c>
      <c r="C221" s="11"/>
      <c r="D221" s="42">
        <v>5</v>
      </c>
      <c r="E221" s="13" t="s">
        <v>400</v>
      </c>
      <c r="F221" s="13">
        <v>3025460</v>
      </c>
      <c r="G221" s="37">
        <v>6277.5</v>
      </c>
      <c r="H221" s="33">
        <v>100</v>
      </c>
      <c r="I221" s="16">
        <f>-H221*G221</f>
        <v>-627750</v>
      </c>
      <c r="J221" s="17">
        <v>0</v>
      </c>
      <c r="K221" s="34">
        <v>4502259560</v>
      </c>
      <c r="L221" s="19">
        <v>5080313861</v>
      </c>
      <c r="M221" s="20">
        <v>5113086689</v>
      </c>
      <c r="N221" s="21"/>
      <c r="O221" s="9"/>
      <c r="P221" s="23"/>
      <c r="Q221" s="24" t="s">
        <v>31</v>
      </c>
      <c r="R221" s="25">
        <v>44591</v>
      </c>
      <c r="S221" s="28"/>
      <c r="T221" s="35"/>
      <c r="U221" s="35"/>
      <c r="V221" s="29"/>
      <c r="W221" s="35"/>
      <c r="X221" s="29"/>
      <c r="Y221" s="36"/>
      <c r="Z221" s="29"/>
      <c r="AA221" s="31">
        <f t="shared" si="1"/>
        <v>44591</v>
      </c>
      <c r="AB221" s="32" t="str">
        <f t="shared" si="5"/>
        <v>enero</v>
      </c>
    </row>
    <row r="222" spans="1:28" ht="12.75">
      <c r="A222" s="9" t="s">
        <v>96</v>
      </c>
      <c r="B222" s="10">
        <v>44593</v>
      </c>
      <c r="C222" s="11"/>
      <c r="D222" s="42">
        <v>5</v>
      </c>
      <c r="E222" s="13" t="s">
        <v>401</v>
      </c>
      <c r="F222" s="13">
        <v>3025459</v>
      </c>
      <c r="G222" s="14">
        <v>25878</v>
      </c>
      <c r="H222" s="33">
        <v>7450</v>
      </c>
      <c r="I222" s="16">
        <f>H222*G222</f>
        <v>192791100</v>
      </c>
      <c r="J222" s="17">
        <v>56</v>
      </c>
      <c r="K222" s="34">
        <v>4502259565</v>
      </c>
      <c r="L222" s="19">
        <v>5080313862</v>
      </c>
      <c r="M222" s="20">
        <v>5113085892</v>
      </c>
      <c r="N222" s="21"/>
      <c r="O222" s="9" t="s">
        <v>63</v>
      </c>
      <c r="P222" s="23" t="s">
        <v>402</v>
      </c>
      <c r="Q222" s="24" t="s">
        <v>31</v>
      </c>
      <c r="R222" s="25">
        <v>44591</v>
      </c>
      <c r="S222" s="28"/>
      <c r="T222" s="35"/>
      <c r="U222" s="35"/>
      <c r="V222" s="29"/>
      <c r="W222" s="35"/>
      <c r="X222" s="29"/>
      <c r="Y222" s="36"/>
      <c r="Z222" s="29"/>
      <c r="AA222" s="31">
        <f t="shared" si="1"/>
        <v>44591</v>
      </c>
      <c r="AB222" s="32" t="str">
        <f t="shared" si="5"/>
        <v>enero</v>
      </c>
    </row>
    <row r="223" spans="1:28" ht="12.75">
      <c r="A223" s="9" t="s">
        <v>96</v>
      </c>
      <c r="B223" s="10">
        <v>44593</v>
      </c>
      <c r="C223" s="11"/>
      <c r="D223" s="42">
        <v>5</v>
      </c>
      <c r="E223" s="13" t="s">
        <v>403</v>
      </c>
      <c r="F223" s="13">
        <v>3025459</v>
      </c>
      <c r="G223" s="14">
        <v>25878</v>
      </c>
      <c r="H223" s="33">
        <f>7450-7389.45</f>
        <v>60.550000000000182</v>
      </c>
      <c r="I223" s="16">
        <f>-H223*G223</f>
        <v>-1566912.9000000048</v>
      </c>
      <c r="J223" s="17">
        <v>0</v>
      </c>
      <c r="K223" s="34">
        <v>4502259565</v>
      </c>
      <c r="L223" s="19">
        <v>5080313862</v>
      </c>
      <c r="M223" s="20">
        <v>5113085895</v>
      </c>
      <c r="N223" s="21"/>
      <c r="O223" s="9"/>
      <c r="P223" s="23"/>
      <c r="Q223" s="24" t="s">
        <v>31</v>
      </c>
      <c r="R223" s="25">
        <v>44591</v>
      </c>
      <c r="S223" s="28"/>
      <c r="T223" s="35"/>
      <c r="U223" s="35"/>
      <c r="V223" s="29"/>
      <c r="W223" s="35"/>
      <c r="X223" s="29"/>
      <c r="Y223" s="36"/>
      <c r="Z223" s="29"/>
      <c r="AA223" s="31">
        <f t="shared" si="1"/>
        <v>44591</v>
      </c>
      <c r="AB223" s="32" t="str">
        <f t="shared" si="5"/>
        <v>enero</v>
      </c>
    </row>
    <row r="224" spans="1:28" ht="12.75">
      <c r="A224" s="9" t="s">
        <v>404</v>
      </c>
      <c r="B224" s="10">
        <v>44593</v>
      </c>
      <c r="C224" s="11">
        <v>44595</v>
      </c>
      <c r="D224" s="42">
        <v>5</v>
      </c>
      <c r="E224" s="13" t="s">
        <v>405</v>
      </c>
      <c r="F224" s="13">
        <v>3025460</v>
      </c>
      <c r="G224" s="14">
        <v>7220.5</v>
      </c>
      <c r="H224" s="33">
        <v>7700</v>
      </c>
      <c r="I224" s="16">
        <f t="shared" ref="I224:I225" si="37">H224*G224</f>
        <v>55597850</v>
      </c>
      <c r="J224" s="17">
        <v>14</v>
      </c>
      <c r="K224" s="34">
        <v>4502259568</v>
      </c>
      <c r="L224" s="19">
        <v>5080335946</v>
      </c>
      <c r="M224" s="20">
        <v>5113089284</v>
      </c>
      <c r="N224" s="23"/>
      <c r="O224" s="9" t="s">
        <v>37</v>
      </c>
      <c r="P224" s="23"/>
      <c r="Q224" s="24" t="s">
        <v>31</v>
      </c>
      <c r="R224" s="25">
        <v>44593</v>
      </c>
      <c r="S224" s="28"/>
      <c r="T224" s="35"/>
      <c r="U224" s="35"/>
      <c r="V224" s="29"/>
      <c r="W224" s="35"/>
      <c r="X224" s="29"/>
      <c r="Y224" s="36"/>
      <c r="Z224" s="29"/>
      <c r="AA224" s="31">
        <f t="shared" si="1"/>
        <v>44593</v>
      </c>
      <c r="AB224" s="32" t="str">
        <f t="shared" si="5"/>
        <v>febrero</v>
      </c>
    </row>
    <row r="225" spans="1:28" ht="12.75">
      <c r="A225" s="9" t="s">
        <v>39</v>
      </c>
      <c r="B225" s="10">
        <v>44595</v>
      </c>
      <c r="C225" s="11">
        <v>44595</v>
      </c>
      <c r="D225" s="42">
        <v>5</v>
      </c>
      <c r="E225" s="13" t="s">
        <v>406</v>
      </c>
      <c r="F225" s="13">
        <v>3025460</v>
      </c>
      <c r="G225" s="14">
        <v>19645</v>
      </c>
      <c r="H225" s="33">
        <v>7700</v>
      </c>
      <c r="I225" s="16">
        <f t="shared" si="37"/>
        <v>151266500</v>
      </c>
      <c r="J225" s="17">
        <v>42</v>
      </c>
      <c r="K225" s="34">
        <v>4502259570</v>
      </c>
      <c r="L225" s="19">
        <v>5080335947</v>
      </c>
      <c r="M225" s="20">
        <v>5113089286</v>
      </c>
      <c r="N225" s="23"/>
      <c r="O225" s="9" t="s">
        <v>37</v>
      </c>
      <c r="P225" s="23"/>
      <c r="Q225" s="24" t="s">
        <v>31</v>
      </c>
      <c r="R225" s="25">
        <v>44593</v>
      </c>
      <c r="S225" s="28"/>
      <c r="T225" s="35"/>
      <c r="U225" s="35"/>
      <c r="V225" s="29"/>
      <c r="W225" s="35"/>
      <c r="X225" s="29"/>
      <c r="Y225" s="36"/>
      <c r="Z225" s="29"/>
      <c r="AA225" s="31">
        <f t="shared" si="1"/>
        <v>44593</v>
      </c>
      <c r="AB225" s="32" t="str">
        <f t="shared" si="5"/>
        <v>febrero</v>
      </c>
    </row>
    <row r="226" spans="1:28" ht="12.75">
      <c r="A226" s="9" t="s">
        <v>39</v>
      </c>
      <c r="B226" s="10">
        <v>44595</v>
      </c>
      <c r="C226" s="11">
        <v>44595</v>
      </c>
      <c r="D226" s="42">
        <v>5</v>
      </c>
      <c r="E226" s="13" t="s">
        <v>79</v>
      </c>
      <c r="F226" s="13">
        <v>3025460</v>
      </c>
      <c r="G226" s="14">
        <v>19645</v>
      </c>
      <c r="H226" s="33">
        <f>7700-7650</f>
        <v>50</v>
      </c>
      <c r="I226" s="16">
        <f>-H226*G226</f>
        <v>-982250</v>
      </c>
      <c r="J226" s="17">
        <v>0</v>
      </c>
      <c r="K226" s="34">
        <v>4502259570</v>
      </c>
      <c r="L226" s="19">
        <v>5080335947</v>
      </c>
      <c r="M226" s="20">
        <v>5113089318</v>
      </c>
      <c r="N226" s="21"/>
      <c r="O226" s="9"/>
      <c r="P226" s="23"/>
      <c r="Q226" s="24" t="s">
        <v>31</v>
      </c>
      <c r="R226" s="25">
        <v>44593</v>
      </c>
      <c r="S226" s="28"/>
      <c r="T226" s="35"/>
      <c r="U226" s="35"/>
      <c r="V226" s="29"/>
      <c r="W226" s="35"/>
      <c r="X226" s="29"/>
      <c r="Y226" s="36"/>
      <c r="Z226" s="29"/>
      <c r="AA226" s="31">
        <f t="shared" si="1"/>
        <v>44593</v>
      </c>
      <c r="AB226" s="32" t="str">
        <f t="shared" si="5"/>
        <v>febrero</v>
      </c>
    </row>
    <row r="227" spans="1:28" ht="12.75">
      <c r="A227" s="9" t="s">
        <v>65</v>
      </c>
      <c r="B227" s="10">
        <v>44594</v>
      </c>
      <c r="C227" s="11"/>
      <c r="D227" s="42">
        <v>5</v>
      </c>
      <c r="E227" s="13" t="s">
        <v>407</v>
      </c>
      <c r="F227" s="13">
        <v>3025459</v>
      </c>
      <c r="G227" s="14">
        <v>25917</v>
      </c>
      <c r="H227" s="33">
        <v>7700</v>
      </c>
      <c r="I227" s="16">
        <f t="shared" ref="I227:I233" si="38">H227*G227</f>
        <v>199560900</v>
      </c>
      <c r="J227" s="17">
        <v>56</v>
      </c>
      <c r="K227" s="34">
        <v>4502259573</v>
      </c>
      <c r="L227" s="19">
        <v>5080336159</v>
      </c>
      <c r="M227" s="20">
        <v>5113084717</v>
      </c>
      <c r="N227" s="21"/>
      <c r="O227" s="9" t="s">
        <v>63</v>
      </c>
      <c r="P227" s="23"/>
      <c r="Q227" s="24" t="s">
        <v>31</v>
      </c>
      <c r="R227" s="25">
        <v>44593</v>
      </c>
      <c r="S227" s="28"/>
      <c r="T227" s="35"/>
      <c r="U227" s="35"/>
      <c r="V227" s="29"/>
      <c r="W227" s="35"/>
      <c r="X227" s="29"/>
      <c r="Y227" s="36"/>
      <c r="Z227" s="29"/>
      <c r="AA227" s="31">
        <f t="shared" si="1"/>
        <v>44593</v>
      </c>
      <c r="AB227" s="32" t="str">
        <f t="shared" si="5"/>
        <v>febrero</v>
      </c>
    </row>
    <row r="228" spans="1:28" ht="12.75">
      <c r="A228" s="9" t="s">
        <v>85</v>
      </c>
      <c r="B228" s="10">
        <v>44593</v>
      </c>
      <c r="C228" s="11">
        <v>44596</v>
      </c>
      <c r="D228" s="42">
        <v>5</v>
      </c>
      <c r="E228" s="13" t="s">
        <v>408</v>
      </c>
      <c r="F228" s="13">
        <v>3025457</v>
      </c>
      <c r="G228" s="14">
        <v>19640</v>
      </c>
      <c r="H228" s="54">
        <v>7600</v>
      </c>
      <c r="I228" s="16">
        <f t="shared" si="38"/>
        <v>149264000</v>
      </c>
      <c r="J228" s="17">
        <v>42</v>
      </c>
      <c r="K228" s="34">
        <v>4502264806</v>
      </c>
      <c r="L228" s="19">
        <v>5080367308</v>
      </c>
      <c r="M228" s="20">
        <v>5113089001</v>
      </c>
      <c r="N228" s="21"/>
      <c r="O228" s="9" t="s">
        <v>63</v>
      </c>
      <c r="P228" s="23"/>
      <c r="Q228" s="24" t="s">
        <v>82</v>
      </c>
      <c r="R228" s="25">
        <v>44593</v>
      </c>
      <c r="S228" s="28"/>
      <c r="T228" s="35"/>
      <c r="U228" s="35"/>
      <c r="V228" s="29"/>
      <c r="W228" s="35"/>
      <c r="X228" s="29"/>
      <c r="Y228" s="36"/>
      <c r="Z228" s="29"/>
      <c r="AA228" s="31">
        <f t="shared" si="1"/>
        <v>44593</v>
      </c>
      <c r="AB228" s="32" t="str">
        <f t="shared" si="5"/>
        <v>febrero</v>
      </c>
    </row>
    <row r="229" spans="1:28" ht="12.75">
      <c r="A229" s="9" t="s">
        <v>199</v>
      </c>
      <c r="B229" s="10">
        <v>44593</v>
      </c>
      <c r="C229" s="11">
        <v>44599</v>
      </c>
      <c r="D229" s="42">
        <v>5</v>
      </c>
      <c r="E229" s="13" t="s">
        <v>409</v>
      </c>
      <c r="F229" s="13">
        <v>3025457</v>
      </c>
      <c r="G229" s="14">
        <v>7510</v>
      </c>
      <c r="H229" s="40">
        <v>7550</v>
      </c>
      <c r="I229" s="16">
        <f t="shared" si="38"/>
        <v>56700500</v>
      </c>
      <c r="J229" s="17">
        <v>15</v>
      </c>
      <c r="K229" s="34">
        <v>4502264811</v>
      </c>
      <c r="L229" s="19">
        <v>5080367315</v>
      </c>
      <c r="M229" s="20">
        <v>5113089665</v>
      </c>
      <c r="N229" s="21"/>
      <c r="O229" s="9" t="s">
        <v>63</v>
      </c>
      <c r="P229" s="23"/>
      <c r="Q229" s="24" t="s">
        <v>82</v>
      </c>
      <c r="R229" s="25">
        <v>44593</v>
      </c>
      <c r="S229" s="28"/>
      <c r="T229" s="35"/>
      <c r="U229" s="35"/>
      <c r="V229" s="29"/>
      <c r="W229" s="35"/>
      <c r="X229" s="29"/>
      <c r="Y229" s="36"/>
      <c r="Z229" s="29"/>
      <c r="AA229" s="31">
        <f t="shared" si="1"/>
        <v>44593</v>
      </c>
      <c r="AB229" s="32" t="str">
        <f t="shared" si="5"/>
        <v>febrero</v>
      </c>
    </row>
    <row r="230" spans="1:28" ht="12.75">
      <c r="A230" s="9" t="s">
        <v>410</v>
      </c>
      <c r="B230" s="10">
        <v>44593</v>
      </c>
      <c r="C230" s="11">
        <v>44594</v>
      </c>
      <c r="D230" s="42">
        <v>5</v>
      </c>
      <c r="E230" s="13" t="s">
        <v>411</v>
      </c>
      <c r="F230" s="13">
        <v>3025457</v>
      </c>
      <c r="G230" s="14">
        <v>14140</v>
      </c>
      <c r="H230" s="15">
        <v>7280</v>
      </c>
      <c r="I230" s="16">
        <f t="shared" si="38"/>
        <v>102939200</v>
      </c>
      <c r="J230" s="17">
        <v>28</v>
      </c>
      <c r="K230" s="34">
        <v>4502263662</v>
      </c>
      <c r="L230" s="19">
        <v>5080345846</v>
      </c>
      <c r="M230" s="20">
        <v>5113083451</v>
      </c>
      <c r="N230" s="23" t="s">
        <v>63</v>
      </c>
      <c r="O230" s="22" t="s">
        <v>412</v>
      </c>
      <c r="P230" s="23"/>
      <c r="Q230" s="24" t="s">
        <v>82</v>
      </c>
      <c r="R230" s="25">
        <v>44593</v>
      </c>
      <c r="S230" s="34">
        <v>4502263662</v>
      </c>
      <c r="T230" s="27">
        <f>910200*2</f>
        <v>1820400</v>
      </c>
      <c r="U230" s="28" t="s">
        <v>413</v>
      </c>
      <c r="V230" s="29">
        <v>5113087405</v>
      </c>
      <c r="W230" s="35"/>
      <c r="X230" s="29"/>
      <c r="Y230" s="36"/>
      <c r="Z230" s="29"/>
      <c r="AA230" s="31">
        <f t="shared" si="1"/>
        <v>44593</v>
      </c>
      <c r="AB230" s="32" t="str">
        <f t="shared" si="5"/>
        <v>febrero</v>
      </c>
    </row>
    <row r="231" spans="1:28" ht="12.75">
      <c r="A231" s="9" t="s">
        <v>80</v>
      </c>
      <c r="B231" s="10">
        <v>44593</v>
      </c>
      <c r="C231" s="11">
        <v>44595</v>
      </c>
      <c r="D231" s="42">
        <v>5</v>
      </c>
      <c r="E231" s="13" t="s">
        <v>414</v>
      </c>
      <c r="F231" s="13">
        <v>3025457</v>
      </c>
      <c r="G231" s="14">
        <v>40060</v>
      </c>
      <c r="H231" s="33">
        <v>7500</v>
      </c>
      <c r="I231" s="16">
        <f t="shared" si="38"/>
        <v>300450000</v>
      </c>
      <c r="J231" s="17">
        <v>84</v>
      </c>
      <c r="K231" s="34">
        <v>4502264813</v>
      </c>
      <c r="L231" s="19">
        <v>5080367449</v>
      </c>
      <c r="M231" s="20">
        <v>5113088998</v>
      </c>
      <c r="N231" s="23"/>
      <c r="O231" s="23" t="s">
        <v>37</v>
      </c>
      <c r="P231" s="23"/>
      <c r="Q231" s="24" t="s">
        <v>82</v>
      </c>
      <c r="R231" s="25">
        <v>44593</v>
      </c>
      <c r="S231" s="28"/>
      <c r="T231" s="35"/>
      <c r="U231" s="35"/>
      <c r="V231" s="29"/>
      <c r="W231" s="35"/>
      <c r="X231" s="29"/>
      <c r="Y231" s="36"/>
      <c r="Z231" s="29"/>
      <c r="AA231" s="31">
        <f t="shared" si="1"/>
        <v>44593</v>
      </c>
      <c r="AB231" s="32" t="str">
        <f t="shared" si="5"/>
        <v>febrero</v>
      </c>
    </row>
    <row r="232" spans="1:28" ht="12.75">
      <c r="A232" s="9" t="s">
        <v>111</v>
      </c>
      <c r="B232" s="10">
        <v>44595</v>
      </c>
      <c r="C232" s="11">
        <v>44600</v>
      </c>
      <c r="D232" s="49">
        <v>6</v>
      </c>
      <c r="E232" s="13" t="s">
        <v>415</v>
      </c>
      <c r="F232" s="13">
        <v>3025457</v>
      </c>
      <c r="G232" s="37">
        <v>6200.5</v>
      </c>
      <c r="H232" s="33">
        <v>7500</v>
      </c>
      <c r="I232" s="16">
        <f t="shared" si="38"/>
        <v>46503750</v>
      </c>
      <c r="J232" s="17">
        <v>14</v>
      </c>
      <c r="K232" s="34">
        <v>4502264042</v>
      </c>
      <c r="L232" s="19">
        <v>5080382031</v>
      </c>
      <c r="M232" s="20">
        <v>5113093646</v>
      </c>
      <c r="N232" s="23"/>
      <c r="O232" s="9" t="s">
        <v>37</v>
      </c>
      <c r="P232" s="23"/>
      <c r="Q232" s="24" t="s">
        <v>31</v>
      </c>
      <c r="R232" s="25">
        <v>44595</v>
      </c>
      <c r="S232" s="28"/>
      <c r="T232" s="35"/>
      <c r="U232" s="35"/>
      <c r="V232" s="29"/>
      <c r="W232" s="35"/>
      <c r="X232" s="29"/>
      <c r="Y232" s="36"/>
      <c r="Z232" s="29"/>
      <c r="AA232" s="31">
        <f t="shared" si="1"/>
        <v>44595</v>
      </c>
      <c r="AB232" s="32" t="str">
        <f t="shared" si="5"/>
        <v>febrero</v>
      </c>
    </row>
    <row r="233" spans="1:28" ht="12.75">
      <c r="A233" s="9" t="s">
        <v>416</v>
      </c>
      <c r="B233" s="10">
        <v>44595</v>
      </c>
      <c r="C233" s="11">
        <v>44600</v>
      </c>
      <c r="D233" s="49">
        <v>6</v>
      </c>
      <c r="E233" s="13" t="s">
        <v>417</v>
      </c>
      <c r="F233" s="13">
        <v>3025457</v>
      </c>
      <c r="G233" s="14">
        <v>16798</v>
      </c>
      <c r="H233" s="33">
        <v>7750</v>
      </c>
      <c r="I233" s="16">
        <f t="shared" si="38"/>
        <v>130184500</v>
      </c>
      <c r="J233" s="17">
        <v>42</v>
      </c>
      <c r="K233" s="34">
        <v>4502264044</v>
      </c>
      <c r="L233" s="19">
        <v>5080382034</v>
      </c>
      <c r="M233" s="20">
        <v>5113093727</v>
      </c>
      <c r="N233" s="23"/>
      <c r="O233" s="9" t="s">
        <v>37</v>
      </c>
      <c r="P233" s="23"/>
      <c r="Q233" s="24" t="s">
        <v>31</v>
      </c>
      <c r="R233" s="25">
        <v>44595</v>
      </c>
      <c r="S233" s="28"/>
      <c r="T233" s="35"/>
      <c r="U233" s="35"/>
      <c r="V233" s="29"/>
      <c r="W233" s="35"/>
      <c r="X233" s="29"/>
      <c r="Y233" s="36"/>
      <c r="Z233" s="29"/>
      <c r="AA233" s="31">
        <f t="shared" si="1"/>
        <v>44595</v>
      </c>
      <c r="AB233" s="32" t="str">
        <f t="shared" si="5"/>
        <v>febrero</v>
      </c>
    </row>
    <row r="234" spans="1:28" ht="12.75">
      <c r="A234" s="9" t="s">
        <v>416</v>
      </c>
      <c r="B234" s="10">
        <v>44595</v>
      </c>
      <c r="C234" s="11">
        <v>44600</v>
      </c>
      <c r="D234" s="49">
        <v>6</v>
      </c>
      <c r="E234" s="13" t="s">
        <v>418</v>
      </c>
      <c r="F234" s="13">
        <v>3025457</v>
      </c>
      <c r="G234" s="14">
        <v>16798</v>
      </c>
      <c r="H234" s="33">
        <f>7750-7653.25</f>
        <v>96.75</v>
      </c>
      <c r="I234" s="16">
        <f>-H234*G234</f>
        <v>-1625206.5</v>
      </c>
      <c r="J234" s="17">
        <v>0</v>
      </c>
      <c r="K234" s="34">
        <v>4502264044</v>
      </c>
      <c r="L234" s="19">
        <v>5080382034</v>
      </c>
      <c r="M234" s="20">
        <v>5113093729</v>
      </c>
      <c r="N234" s="21"/>
      <c r="O234" s="9"/>
      <c r="P234" s="23"/>
      <c r="Q234" s="24" t="s">
        <v>31</v>
      </c>
      <c r="R234" s="25">
        <v>44595</v>
      </c>
      <c r="S234" s="28"/>
      <c r="T234" s="35"/>
      <c r="U234" s="35"/>
      <c r="V234" s="29"/>
      <c r="W234" s="35"/>
      <c r="X234" s="29"/>
      <c r="Y234" s="36"/>
      <c r="Z234" s="29"/>
      <c r="AA234" s="31">
        <f t="shared" si="1"/>
        <v>44595</v>
      </c>
      <c r="AB234" s="32" t="str">
        <f t="shared" si="5"/>
        <v>febrero</v>
      </c>
    </row>
    <row r="235" spans="1:28" ht="12.75">
      <c r="A235" s="9" t="s">
        <v>73</v>
      </c>
      <c r="B235" s="10">
        <v>44600</v>
      </c>
      <c r="C235" s="11">
        <v>44600</v>
      </c>
      <c r="D235" s="49">
        <v>6</v>
      </c>
      <c r="E235" s="13" t="s">
        <v>419</v>
      </c>
      <c r="F235" s="13">
        <v>3025457</v>
      </c>
      <c r="G235" s="37">
        <v>6536</v>
      </c>
      <c r="H235" s="33">
        <v>7750</v>
      </c>
      <c r="I235" s="16">
        <f t="shared" ref="I235:I239" si="39">H235*G235</f>
        <v>50654000</v>
      </c>
      <c r="J235" s="17">
        <v>14</v>
      </c>
      <c r="K235" s="34">
        <v>4502264046</v>
      </c>
      <c r="L235" s="19">
        <v>5080382036</v>
      </c>
      <c r="M235" s="20">
        <v>5113093807</v>
      </c>
      <c r="N235" s="21"/>
      <c r="O235" s="9" t="s">
        <v>63</v>
      </c>
      <c r="P235" s="23"/>
      <c r="Q235" s="24" t="s">
        <v>31</v>
      </c>
      <c r="R235" s="25">
        <v>44595</v>
      </c>
      <c r="S235" s="28"/>
      <c r="T235" s="35"/>
      <c r="U235" s="35"/>
      <c r="V235" s="29"/>
      <c r="W235" s="35"/>
      <c r="X235" s="29"/>
      <c r="Y235" s="36"/>
      <c r="Z235" s="29"/>
      <c r="AA235" s="31">
        <f t="shared" si="1"/>
        <v>44595</v>
      </c>
      <c r="AB235" s="32" t="str">
        <f t="shared" si="5"/>
        <v>febrero</v>
      </c>
    </row>
    <row r="236" spans="1:28" ht="12.75">
      <c r="A236" s="9" t="s">
        <v>73</v>
      </c>
      <c r="B236" s="10">
        <v>44600</v>
      </c>
      <c r="C236" s="11">
        <v>44600</v>
      </c>
      <c r="D236" s="49">
        <v>6</v>
      </c>
      <c r="E236" s="13" t="s">
        <v>420</v>
      </c>
      <c r="F236" s="13">
        <v>3025457</v>
      </c>
      <c r="G236" s="37">
        <v>6536</v>
      </c>
      <c r="H236" s="33">
        <v>50</v>
      </c>
      <c r="I236" s="16">
        <f t="shared" si="39"/>
        <v>326800</v>
      </c>
      <c r="J236" s="17">
        <v>0</v>
      </c>
      <c r="K236" s="34">
        <v>4502264046</v>
      </c>
      <c r="L236" s="19">
        <v>5080382036</v>
      </c>
      <c r="M236" s="20">
        <v>5113093808</v>
      </c>
      <c r="N236" s="21"/>
      <c r="O236" s="9"/>
      <c r="P236" s="23"/>
      <c r="Q236" s="24" t="s">
        <v>31</v>
      </c>
      <c r="R236" s="25">
        <v>44595</v>
      </c>
      <c r="S236" s="28"/>
      <c r="T236" s="35"/>
      <c r="U236" s="35"/>
      <c r="V236" s="29"/>
      <c r="W236" s="35"/>
      <c r="X236" s="29"/>
      <c r="Y236" s="36"/>
      <c r="Z236" s="29"/>
      <c r="AA236" s="31">
        <f t="shared" si="1"/>
        <v>44595</v>
      </c>
      <c r="AB236" s="32" t="str">
        <f t="shared" si="5"/>
        <v>febrero</v>
      </c>
    </row>
    <row r="237" spans="1:28" ht="12.75">
      <c r="A237" s="9" t="s">
        <v>46</v>
      </c>
      <c r="B237" s="10">
        <v>44596</v>
      </c>
      <c r="C237" s="11">
        <v>44600</v>
      </c>
      <c r="D237" s="49">
        <v>6</v>
      </c>
      <c r="E237" s="13" t="s">
        <v>421</v>
      </c>
      <c r="F237" s="13">
        <v>3025457</v>
      </c>
      <c r="G237" s="14">
        <v>7897</v>
      </c>
      <c r="H237" s="33">
        <v>7600</v>
      </c>
      <c r="I237" s="16">
        <f t="shared" si="39"/>
        <v>60017200</v>
      </c>
      <c r="J237" s="17">
        <v>15</v>
      </c>
      <c r="K237" s="34">
        <v>4502264047</v>
      </c>
      <c r="L237" s="19">
        <v>5080385902</v>
      </c>
      <c r="M237" s="20">
        <v>5113091775</v>
      </c>
      <c r="N237" s="23"/>
      <c r="O237" s="9" t="s">
        <v>37</v>
      </c>
      <c r="P237" s="23"/>
      <c r="Q237" s="24" t="s">
        <v>31</v>
      </c>
      <c r="R237" s="25">
        <v>44595</v>
      </c>
      <c r="S237" s="28"/>
      <c r="T237" s="35"/>
      <c r="U237" s="35"/>
      <c r="V237" s="29"/>
      <c r="W237" s="35"/>
      <c r="X237" s="29"/>
      <c r="Y237" s="36"/>
      <c r="Z237" s="29"/>
      <c r="AA237" s="31">
        <f t="shared" si="1"/>
        <v>44595</v>
      </c>
      <c r="AB237" s="32" t="str">
        <f t="shared" si="5"/>
        <v>febrero</v>
      </c>
    </row>
    <row r="238" spans="1:28" ht="12.75">
      <c r="A238" s="9" t="s">
        <v>46</v>
      </c>
      <c r="B238" s="10">
        <v>44596</v>
      </c>
      <c r="C238" s="11">
        <v>44600</v>
      </c>
      <c r="D238" s="49">
        <v>6</v>
      </c>
      <c r="E238" s="13" t="s">
        <v>422</v>
      </c>
      <c r="F238" s="13">
        <v>3025457</v>
      </c>
      <c r="G238" s="14">
        <v>7897</v>
      </c>
      <c r="H238" s="33">
        <v>100</v>
      </c>
      <c r="I238" s="16">
        <f t="shared" si="39"/>
        <v>789700</v>
      </c>
      <c r="J238" s="17">
        <v>0</v>
      </c>
      <c r="K238" s="34">
        <v>4502264047</v>
      </c>
      <c r="L238" s="19">
        <v>5080385902</v>
      </c>
      <c r="M238" s="20">
        <v>5113091788</v>
      </c>
      <c r="N238" s="23"/>
      <c r="O238" s="9"/>
      <c r="P238" s="23"/>
      <c r="Q238" s="24" t="s">
        <v>31</v>
      </c>
      <c r="R238" s="25">
        <v>44595</v>
      </c>
      <c r="S238" s="28"/>
      <c r="T238" s="35"/>
      <c r="U238" s="35"/>
      <c r="V238" s="29"/>
      <c r="W238" s="35"/>
      <c r="X238" s="29"/>
      <c r="Y238" s="36"/>
      <c r="Z238" s="29"/>
      <c r="AA238" s="31">
        <f t="shared" si="1"/>
        <v>44595</v>
      </c>
      <c r="AB238" s="32" t="str">
        <f t="shared" si="5"/>
        <v>febrero</v>
      </c>
    </row>
    <row r="239" spans="1:28" ht="12.75">
      <c r="A239" s="9" t="s">
        <v>58</v>
      </c>
      <c r="B239" s="10">
        <v>44600</v>
      </c>
      <c r="C239" s="11">
        <v>44600</v>
      </c>
      <c r="D239" s="49">
        <v>6</v>
      </c>
      <c r="E239" s="13" t="s">
        <v>423</v>
      </c>
      <c r="F239" s="13">
        <v>3025457</v>
      </c>
      <c r="G239" s="37">
        <v>50705.5</v>
      </c>
      <c r="H239" s="33">
        <v>7850</v>
      </c>
      <c r="I239" s="16">
        <f t="shared" si="39"/>
        <v>398038175</v>
      </c>
      <c r="J239" s="17">
        <v>105</v>
      </c>
      <c r="K239" s="34">
        <v>4502264049</v>
      </c>
      <c r="L239" s="19">
        <v>5080382068</v>
      </c>
      <c r="M239" s="20">
        <v>5113098709</v>
      </c>
      <c r="N239" s="23"/>
      <c r="O239" s="9" t="s">
        <v>37</v>
      </c>
      <c r="P239" s="23"/>
      <c r="Q239" s="24" t="s">
        <v>31</v>
      </c>
      <c r="R239" s="25">
        <v>44595</v>
      </c>
      <c r="S239" s="28"/>
      <c r="T239" s="35"/>
      <c r="U239" s="35"/>
      <c r="V239" s="29"/>
      <c r="W239" s="35"/>
      <c r="X239" s="29"/>
      <c r="Y239" s="36"/>
      <c r="Z239" s="29"/>
      <c r="AA239" s="31">
        <f t="shared" si="1"/>
        <v>44595</v>
      </c>
      <c r="AB239" s="32" t="str">
        <f t="shared" si="5"/>
        <v>febrero</v>
      </c>
    </row>
    <row r="240" spans="1:28" ht="12.75">
      <c r="A240" s="9" t="s">
        <v>58</v>
      </c>
      <c r="B240" s="10">
        <v>44600</v>
      </c>
      <c r="C240" s="11">
        <v>44600</v>
      </c>
      <c r="D240" s="49">
        <v>6</v>
      </c>
      <c r="E240" s="13" t="s">
        <v>424</v>
      </c>
      <c r="F240" s="13">
        <v>3025457</v>
      </c>
      <c r="G240" s="37">
        <v>50705.5</v>
      </c>
      <c r="H240" s="33">
        <f>7850-7847.67</f>
        <v>2.3299999999999272</v>
      </c>
      <c r="I240" s="16">
        <f>-H240*G240</f>
        <v>-118143.81499999631</v>
      </c>
      <c r="J240" s="17">
        <v>0</v>
      </c>
      <c r="K240" s="34">
        <v>4502264049</v>
      </c>
      <c r="L240" s="19">
        <v>5080382068</v>
      </c>
      <c r="M240" s="20">
        <v>5113098711</v>
      </c>
      <c r="N240" s="23"/>
      <c r="O240" s="9"/>
      <c r="P240" s="23"/>
      <c r="Q240" s="24" t="s">
        <v>31</v>
      </c>
      <c r="R240" s="25">
        <v>44595</v>
      </c>
      <c r="S240" s="28"/>
      <c r="T240" s="35"/>
      <c r="U240" s="35"/>
      <c r="V240" s="29"/>
      <c r="W240" s="35"/>
      <c r="X240" s="29"/>
      <c r="Y240" s="36"/>
      <c r="Z240" s="29"/>
      <c r="AA240" s="31">
        <f t="shared" si="1"/>
        <v>44595</v>
      </c>
      <c r="AB240" s="32" t="str">
        <f t="shared" si="5"/>
        <v>febrero</v>
      </c>
    </row>
    <row r="241" spans="1:28" ht="12.75">
      <c r="A241" s="45" t="s">
        <v>145</v>
      </c>
      <c r="B241" s="10">
        <v>44601</v>
      </c>
      <c r="C241" s="11">
        <v>44601</v>
      </c>
      <c r="D241" s="49">
        <v>6</v>
      </c>
      <c r="E241" s="13" t="s">
        <v>425</v>
      </c>
      <c r="F241" s="13">
        <v>3025459</v>
      </c>
      <c r="G241" s="37">
        <v>6714.5</v>
      </c>
      <c r="H241" s="33">
        <v>7500</v>
      </c>
      <c r="I241" s="16">
        <f t="shared" ref="I241:I242" si="40">H241*G241</f>
        <v>50358750</v>
      </c>
      <c r="J241" s="17">
        <v>14</v>
      </c>
      <c r="K241" s="34">
        <v>4502264051</v>
      </c>
      <c r="L241" s="19">
        <v>5080382069</v>
      </c>
      <c r="M241" s="20">
        <v>5113094479</v>
      </c>
      <c r="N241" s="23"/>
      <c r="O241" s="9" t="s">
        <v>37</v>
      </c>
      <c r="P241" s="23"/>
      <c r="Q241" s="24" t="s">
        <v>31</v>
      </c>
      <c r="R241" s="25">
        <v>44595</v>
      </c>
      <c r="S241" s="28"/>
      <c r="T241" s="35"/>
      <c r="U241" s="35"/>
      <c r="V241" s="29"/>
      <c r="W241" s="35"/>
      <c r="X241" s="29"/>
      <c r="Y241" s="36"/>
      <c r="Z241" s="29"/>
      <c r="AA241" s="31">
        <f t="shared" si="1"/>
        <v>44595</v>
      </c>
      <c r="AB241" s="32" t="str">
        <f t="shared" si="5"/>
        <v>febrero</v>
      </c>
    </row>
    <row r="242" spans="1:28" ht="12.75">
      <c r="A242" s="9" t="s">
        <v>213</v>
      </c>
      <c r="B242" s="10">
        <v>44596</v>
      </c>
      <c r="C242" s="11">
        <v>44602</v>
      </c>
      <c r="D242" s="49">
        <v>6</v>
      </c>
      <c r="E242" s="13" t="s">
        <v>426</v>
      </c>
      <c r="F242" s="13">
        <v>3025457</v>
      </c>
      <c r="G242" s="14">
        <v>19664</v>
      </c>
      <c r="H242" s="33">
        <v>7450</v>
      </c>
      <c r="I242" s="16">
        <f t="shared" si="40"/>
        <v>146496800</v>
      </c>
      <c r="J242" s="17">
        <v>44</v>
      </c>
      <c r="K242" s="34">
        <v>4502264053</v>
      </c>
      <c r="L242" s="19">
        <v>5080403963</v>
      </c>
      <c r="M242" s="20">
        <v>5113096544</v>
      </c>
      <c r="N242" s="23"/>
      <c r="O242" s="9" t="s">
        <v>37</v>
      </c>
      <c r="P242" s="23"/>
      <c r="Q242" s="24" t="s">
        <v>31</v>
      </c>
      <c r="R242" s="25">
        <v>44596</v>
      </c>
      <c r="S242" s="28"/>
      <c r="T242" s="35"/>
      <c r="U242" s="35"/>
      <c r="V242" s="29"/>
      <c r="W242" s="35"/>
      <c r="X242" s="29"/>
      <c r="Y242" s="36"/>
      <c r="Z242" s="29"/>
      <c r="AA242" s="31">
        <f t="shared" si="1"/>
        <v>44596</v>
      </c>
      <c r="AB242" s="32" t="str">
        <f t="shared" si="5"/>
        <v>febrero</v>
      </c>
    </row>
    <row r="243" spans="1:28" ht="12.75">
      <c r="A243" s="9" t="s">
        <v>213</v>
      </c>
      <c r="B243" s="10">
        <v>44596</v>
      </c>
      <c r="C243" s="11">
        <v>44602</v>
      </c>
      <c r="D243" s="49">
        <v>6</v>
      </c>
      <c r="E243" s="13" t="s">
        <v>427</v>
      </c>
      <c r="F243" s="13">
        <v>3025457</v>
      </c>
      <c r="G243" s="14">
        <v>19664</v>
      </c>
      <c r="H243" s="33">
        <f>7450-7420.94</f>
        <v>29.0600000000004</v>
      </c>
      <c r="I243" s="16">
        <f>-H243*G243</f>
        <v>-571435.84000000788</v>
      </c>
      <c r="J243" s="17">
        <v>0</v>
      </c>
      <c r="K243" s="34">
        <v>4502264053</v>
      </c>
      <c r="L243" s="19">
        <v>5080403963</v>
      </c>
      <c r="M243" s="20">
        <v>5113096546</v>
      </c>
      <c r="N243" s="23"/>
      <c r="O243" s="9"/>
      <c r="P243" s="23"/>
      <c r="Q243" s="24" t="s">
        <v>31</v>
      </c>
      <c r="R243" s="25">
        <v>44596</v>
      </c>
      <c r="S243" s="28"/>
      <c r="T243" s="35"/>
      <c r="U243" s="35"/>
      <c r="V243" s="29"/>
      <c r="W243" s="35"/>
      <c r="X243" s="29"/>
      <c r="Y243" s="36"/>
      <c r="Z243" s="29"/>
      <c r="AA243" s="31">
        <f t="shared" si="1"/>
        <v>44596</v>
      </c>
      <c r="AB243" s="32" t="str">
        <f t="shared" si="5"/>
        <v>febrero</v>
      </c>
    </row>
    <row r="244" spans="1:28" ht="12.75">
      <c r="A244" s="9" t="s">
        <v>428</v>
      </c>
      <c r="B244" s="10">
        <v>44596</v>
      </c>
      <c r="C244" s="11">
        <v>44600</v>
      </c>
      <c r="D244" s="49">
        <v>6</v>
      </c>
      <c r="E244" s="13" t="s">
        <v>429</v>
      </c>
      <c r="F244" s="13">
        <v>3025457</v>
      </c>
      <c r="G244" s="37">
        <v>14860.5</v>
      </c>
      <c r="H244" s="33">
        <v>8100</v>
      </c>
      <c r="I244" s="16">
        <f t="shared" ref="I244:I248" si="41">H244*G244</f>
        <v>120370050</v>
      </c>
      <c r="J244" s="17">
        <v>28</v>
      </c>
      <c r="K244" s="34">
        <v>4502264054</v>
      </c>
      <c r="L244" s="19">
        <v>5080403817</v>
      </c>
      <c r="M244" s="20">
        <v>5113094313</v>
      </c>
      <c r="N244" s="23"/>
      <c r="O244" s="9" t="s">
        <v>37</v>
      </c>
      <c r="P244" s="23"/>
      <c r="Q244" s="24" t="s">
        <v>31</v>
      </c>
      <c r="R244" s="25">
        <v>44596</v>
      </c>
      <c r="S244" s="28"/>
      <c r="T244" s="35"/>
      <c r="U244" s="35"/>
      <c r="V244" s="29"/>
      <c r="W244" s="35"/>
      <c r="X244" s="29"/>
      <c r="Y244" s="36"/>
      <c r="Z244" s="29"/>
      <c r="AA244" s="31">
        <f t="shared" si="1"/>
        <v>44596</v>
      </c>
      <c r="AB244" s="32" t="str">
        <f t="shared" si="5"/>
        <v>febrero</v>
      </c>
    </row>
    <row r="245" spans="1:28" ht="12.75">
      <c r="A245" s="9" t="s">
        <v>233</v>
      </c>
      <c r="B245" s="10">
        <v>44596</v>
      </c>
      <c r="C245" s="11">
        <v>44600</v>
      </c>
      <c r="D245" s="49">
        <v>6</v>
      </c>
      <c r="E245" s="13" t="s">
        <v>430</v>
      </c>
      <c r="F245" s="13">
        <v>3025457</v>
      </c>
      <c r="G245" s="37">
        <v>73751.5</v>
      </c>
      <c r="H245" s="33">
        <v>7600</v>
      </c>
      <c r="I245" s="16">
        <f t="shared" si="41"/>
        <v>560511400</v>
      </c>
      <c r="J245" s="17">
        <v>150</v>
      </c>
      <c r="K245" s="34">
        <v>4502264056</v>
      </c>
      <c r="L245" s="19">
        <v>5080386944</v>
      </c>
      <c r="M245" s="20">
        <v>5113096821</v>
      </c>
      <c r="N245" s="23"/>
      <c r="O245" s="9" t="s">
        <v>313</v>
      </c>
      <c r="P245" s="23"/>
      <c r="Q245" s="24" t="s">
        <v>31</v>
      </c>
      <c r="R245" s="25">
        <v>44596</v>
      </c>
      <c r="S245" s="28"/>
      <c r="T245" s="35"/>
      <c r="U245" s="35"/>
      <c r="V245" s="29"/>
      <c r="W245" s="35"/>
      <c r="X245" s="29"/>
      <c r="Y245" s="36"/>
      <c r="Z245" s="29"/>
      <c r="AA245" s="31">
        <f t="shared" si="1"/>
        <v>44596</v>
      </c>
      <c r="AB245" s="32" t="str">
        <f t="shared" si="5"/>
        <v>febrero</v>
      </c>
    </row>
    <row r="246" spans="1:28" ht="12.75">
      <c r="A246" s="9" t="s">
        <v>233</v>
      </c>
      <c r="B246" s="10">
        <v>44596</v>
      </c>
      <c r="C246" s="11">
        <v>44600</v>
      </c>
      <c r="D246" s="49">
        <v>6</v>
      </c>
      <c r="E246" s="13" t="s">
        <v>431</v>
      </c>
      <c r="F246" s="13">
        <v>3025457</v>
      </c>
      <c r="G246" s="37">
        <v>73751.5</v>
      </c>
      <c r="H246" s="33">
        <v>50</v>
      </c>
      <c r="I246" s="16">
        <f t="shared" si="41"/>
        <v>3687575</v>
      </c>
      <c r="J246" s="17">
        <v>0</v>
      </c>
      <c r="K246" s="34">
        <v>4502264056</v>
      </c>
      <c r="L246" s="19">
        <v>5080386944</v>
      </c>
      <c r="M246" s="20">
        <v>5113096822</v>
      </c>
      <c r="N246" s="23"/>
      <c r="O246" s="9"/>
      <c r="P246" s="23"/>
      <c r="Q246" s="24" t="s">
        <v>31</v>
      </c>
      <c r="R246" s="25">
        <v>44596</v>
      </c>
      <c r="S246" s="28"/>
      <c r="T246" s="35"/>
      <c r="U246" s="35"/>
      <c r="V246" s="29"/>
      <c r="W246" s="35"/>
      <c r="X246" s="29"/>
      <c r="Y246" s="36"/>
      <c r="Z246" s="29"/>
      <c r="AA246" s="31">
        <f t="shared" si="1"/>
        <v>44596</v>
      </c>
      <c r="AB246" s="32" t="str">
        <f t="shared" si="5"/>
        <v>febrero</v>
      </c>
    </row>
    <row r="247" spans="1:28" ht="12.75">
      <c r="A247" s="9" t="s">
        <v>348</v>
      </c>
      <c r="B247" s="10">
        <v>44600</v>
      </c>
      <c r="C247" s="11">
        <v>44606</v>
      </c>
      <c r="D247" s="49">
        <v>6</v>
      </c>
      <c r="E247" s="13" t="s">
        <v>432</v>
      </c>
      <c r="F247" s="13">
        <v>3025457</v>
      </c>
      <c r="G247" s="37">
        <v>14665.5</v>
      </c>
      <c r="H247" s="33">
        <v>7500</v>
      </c>
      <c r="I247" s="16">
        <f t="shared" si="41"/>
        <v>109991250</v>
      </c>
      <c r="J247" s="17">
        <v>30</v>
      </c>
      <c r="K247" s="34">
        <v>4502264061</v>
      </c>
      <c r="L247" s="19">
        <v>5080403888</v>
      </c>
      <c r="M247" s="20">
        <v>5113093735</v>
      </c>
      <c r="N247" s="23"/>
      <c r="O247" s="9" t="s">
        <v>63</v>
      </c>
      <c r="P247" s="23"/>
      <c r="Q247" s="24" t="s">
        <v>31</v>
      </c>
      <c r="R247" s="25">
        <v>44596</v>
      </c>
      <c r="S247" s="28"/>
      <c r="T247" s="35"/>
      <c r="U247" s="35"/>
      <c r="V247" s="29"/>
      <c r="W247" s="35"/>
      <c r="X247" s="29"/>
      <c r="Y247" s="36"/>
      <c r="Z247" s="29"/>
      <c r="AA247" s="31">
        <f t="shared" si="1"/>
        <v>44596</v>
      </c>
      <c r="AB247" s="32" t="str">
        <f t="shared" si="5"/>
        <v>febrero</v>
      </c>
    </row>
    <row r="248" spans="1:28" ht="12.75">
      <c r="A248" s="9" t="s">
        <v>58</v>
      </c>
      <c r="B248" s="10">
        <v>44600</v>
      </c>
      <c r="C248" s="11">
        <v>44600</v>
      </c>
      <c r="D248" s="49">
        <v>6</v>
      </c>
      <c r="E248" s="13" t="s">
        <v>433</v>
      </c>
      <c r="F248" s="13">
        <v>3025457</v>
      </c>
      <c r="G248" s="14">
        <v>34704</v>
      </c>
      <c r="H248" s="33">
        <v>7850</v>
      </c>
      <c r="I248" s="16">
        <f t="shared" si="41"/>
        <v>272426400</v>
      </c>
      <c r="J248" s="17">
        <v>74</v>
      </c>
      <c r="K248" s="34">
        <v>4502264062</v>
      </c>
      <c r="L248" s="19">
        <v>5080403918</v>
      </c>
      <c r="M248" s="20">
        <v>5113098712</v>
      </c>
      <c r="N248" s="23"/>
      <c r="O248" s="9" t="s">
        <v>37</v>
      </c>
      <c r="P248" s="23"/>
      <c r="Q248" s="24" t="s">
        <v>31</v>
      </c>
      <c r="R248" s="25">
        <v>44596</v>
      </c>
      <c r="S248" s="28"/>
      <c r="T248" s="35"/>
      <c r="U248" s="35"/>
      <c r="V248" s="29"/>
      <c r="W248" s="35"/>
      <c r="X248" s="29"/>
      <c r="Y248" s="36"/>
      <c r="Z248" s="29"/>
      <c r="AA248" s="31">
        <f t="shared" si="1"/>
        <v>44596</v>
      </c>
      <c r="AB248" s="32" t="str">
        <f t="shared" si="5"/>
        <v>febrero</v>
      </c>
    </row>
    <row r="249" spans="1:28" ht="12.75">
      <c r="A249" s="9" t="s">
        <v>58</v>
      </c>
      <c r="B249" s="10">
        <v>44600</v>
      </c>
      <c r="C249" s="11">
        <v>44600</v>
      </c>
      <c r="D249" s="49">
        <v>6</v>
      </c>
      <c r="E249" s="13" t="s">
        <v>434</v>
      </c>
      <c r="F249" s="13">
        <v>3025457</v>
      </c>
      <c r="G249" s="14">
        <v>34704</v>
      </c>
      <c r="H249" s="33">
        <f>7850-7839.99</f>
        <v>10.010000000000218</v>
      </c>
      <c r="I249" s="16">
        <f>-H249*G249</f>
        <v>-347387.0400000076</v>
      </c>
      <c r="J249" s="17">
        <v>0</v>
      </c>
      <c r="K249" s="34">
        <v>4502264062</v>
      </c>
      <c r="L249" s="19">
        <v>5080403918</v>
      </c>
      <c r="M249" s="20">
        <v>5113098713</v>
      </c>
      <c r="N249" s="23"/>
      <c r="O249" s="9"/>
      <c r="P249" s="23"/>
      <c r="Q249" s="24" t="s">
        <v>31</v>
      </c>
      <c r="R249" s="25">
        <v>44596</v>
      </c>
      <c r="S249" s="28"/>
      <c r="T249" s="35"/>
      <c r="U249" s="35"/>
      <c r="V249" s="29"/>
      <c r="W249" s="35"/>
      <c r="X249" s="29"/>
      <c r="Y249" s="36"/>
      <c r="Z249" s="29"/>
      <c r="AA249" s="31">
        <f t="shared" si="1"/>
        <v>44596</v>
      </c>
      <c r="AB249" s="32" t="str">
        <f t="shared" si="5"/>
        <v>febrero</v>
      </c>
    </row>
    <row r="250" spans="1:28" ht="12.75">
      <c r="A250" s="45" t="s">
        <v>145</v>
      </c>
      <c r="B250" s="10">
        <v>44601</v>
      </c>
      <c r="C250" s="11">
        <v>44601</v>
      </c>
      <c r="D250" s="49">
        <v>6</v>
      </c>
      <c r="E250" s="13" t="s">
        <v>435</v>
      </c>
      <c r="F250" s="13">
        <v>3025457</v>
      </c>
      <c r="G250" s="37">
        <v>6722</v>
      </c>
      <c r="H250" s="33">
        <v>7500</v>
      </c>
      <c r="I250" s="16">
        <f t="shared" ref="I250:I259" si="42">H250*G250</f>
        <v>50415000</v>
      </c>
      <c r="J250" s="17">
        <v>14</v>
      </c>
      <c r="K250" s="34">
        <v>4502264063</v>
      </c>
      <c r="L250" s="19">
        <v>5080403919</v>
      </c>
      <c r="M250" s="20">
        <v>5113094482</v>
      </c>
      <c r="N250" s="23"/>
      <c r="O250" s="9" t="s">
        <v>37</v>
      </c>
      <c r="P250" s="23"/>
      <c r="Q250" s="24" t="s">
        <v>31</v>
      </c>
      <c r="R250" s="25">
        <v>44596</v>
      </c>
      <c r="S250" s="28"/>
      <c r="T250" s="35"/>
      <c r="U250" s="35"/>
      <c r="V250" s="29"/>
      <c r="W250" s="35"/>
      <c r="X250" s="29"/>
      <c r="Y250" s="36"/>
      <c r="Z250" s="29"/>
      <c r="AA250" s="31">
        <f t="shared" si="1"/>
        <v>44596</v>
      </c>
      <c r="AB250" s="32" t="str">
        <f t="shared" si="5"/>
        <v>febrero</v>
      </c>
    </row>
    <row r="251" spans="1:28" ht="12.75">
      <c r="A251" s="45" t="s">
        <v>145</v>
      </c>
      <c r="B251" s="10">
        <v>44601</v>
      </c>
      <c r="C251" s="11">
        <v>44601</v>
      </c>
      <c r="D251" s="49">
        <v>6</v>
      </c>
      <c r="E251" s="13" t="s">
        <v>436</v>
      </c>
      <c r="F251" s="13">
        <v>3025457</v>
      </c>
      <c r="G251" s="37">
        <v>6722</v>
      </c>
      <c r="H251" s="33">
        <v>50</v>
      </c>
      <c r="I251" s="16">
        <f t="shared" si="42"/>
        <v>336100</v>
      </c>
      <c r="J251" s="17">
        <v>0</v>
      </c>
      <c r="K251" s="34">
        <v>4502264063</v>
      </c>
      <c r="L251" s="19">
        <v>5080403919</v>
      </c>
      <c r="M251" s="20">
        <v>5113095246</v>
      </c>
      <c r="N251" s="23"/>
      <c r="O251" s="9"/>
      <c r="P251" s="23"/>
      <c r="Q251" s="24" t="s">
        <v>31</v>
      </c>
      <c r="R251" s="25">
        <v>44596</v>
      </c>
      <c r="S251" s="28"/>
      <c r="T251" s="35"/>
      <c r="U251" s="35"/>
      <c r="V251" s="29"/>
      <c r="W251" s="35"/>
      <c r="X251" s="29"/>
      <c r="Y251" s="36"/>
      <c r="Z251" s="29"/>
      <c r="AA251" s="31">
        <f t="shared" si="1"/>
        <v>44596</v>
      </c>
      <c r="AB251" s="32" t="str">
        <f t="shared" si="5"/>
        <v>febrero</v>
      </c>
    </row>
    <row r="252" spans="1:28" ht="12.75">
      <c r="A252" s="9" t="s">
        <v>80</v>
      </c>
      <c r="B252" s="10">
        <v>44596</v>
      </c>
      <c r="C252" s="11">
        <v>44599</v>
      </c>
      <c r="D252" s="49">
        <v>6</v>
      </c>
      <c r="E252" s="13" t="s">
        <v>437</v>
      </c>
      <c r="F252" s="13">
        <v>3025460</v>
      </c>
      <c r="G252" s="14">
        <v>38637</v>
      </c>
      <c r="H252" s="40">
        <v>7600</v>
      </c>
      <c r="I252" s="16">
        <f t="shared" si="42"/>
        <v>293641200</v>
      </c>
      <c r="J252" s="17">
        <v>84</v>
      </c>
      <c r="K252" s="18">
        <v>4502264066</v>
      </c>
      <c r="L252" s="19">
        <v>5080411420</v>
      </c>
      <c r="M252" s="20">
        <v>5113096825</v>
      </c>
      <c r="N252" s="23"/>
      <c r="O252" s="23" t="s">
        <v>37</v>
      </c>
      <c r="P252" s="23" t="s">
        <v>438</v>
      </c>
      <c r="Q252" s="24" t="s">
        <v>82</v>
      </c>
      <c r="R252" s="25">
        <v>44596</v>
      </c>
      <c r="S252" s="28"/>
      <c r="T252" s="35"/>
      <c r="U252" s="35"/>
      <c r="V252" s="29"/>
      <c r="W252" s="35"/>
      <c r="X252" s="29"/>
      <c r="Y252" s="36"/>
      <c r="Z252" s="29"/>
      <c r="AA252" s="31">
        <f t="shared" si="1"/>
        <v>44596</v>
      </c>
      <c r="AB252" s="32" t="str">
        <f t="shared" si="5"/>
        <v>febrero</v>
      </c>
    </row>
    <row r="253" spans="1:28" ht="12.75">
      <c r="A253" s="9" t="s">
        <v>83</v>
      </c>
      <c r="B253" s="10">
        <v>44596</v>
      </c>
      <c r="C253" s="11">
        <v>44599</v>
      </c>
      <c r="D253" s="49">
        <v>6</v>
      </c>
      <c r="E253" s="13" t="s">
        <v>439</v>
      </c>
      <c r="F253" s="13">
        <v>3025460</v>
      </c>
      <c r="G253" s="14">
        <v>25445</v>
      </c>
      <c r="H253" s="40">
        <v>7700</v>
      </c>
      <c r="I253" s="16">
        <f t="shared" si="42"/>
        <v>195926500</v>
      </c>
      <c r="J253" s="17">
        <v>56</v>
      </c>
      <c r="K253" s="18">
        <v>4502264067</v>
      </c>
      <c r="L253" s="19">
        <v>5080411811</v>
      </c>
      <c r="M253" s="20">
        <v>5113092098</v>
      </c>
      <c r="N253" s="23"/>
      <c r="O253" s="9" t="s">
        <v>382</v>
      </c>
      <c r="P253" s="23"/>
      <c r="Q253" s="24" t="s">
        <v>82</v>
      </c>
      <c r="R253" s="25">
        <v>44596</v>
      </c>
      <c r="S253" s="28"/>
      <c r="T253" s="35"/>
      <c r="U253" s="35"/>
      <c r="V253" s="29"/>
      <c r="W253" s="35"/>
      <c r="X253" s="29"/>
      <c r="Y253" s="36"/>
      <c r="Z253" s="29"/>
      <c r="AA253" s="31">
        <f t="shared" si="1"/>
        <v>44596</v>
      </c>
      <c r="AB253" s="32" t="str">
        <f t="shared" si="5"/>
        <v>febrero</v>
      </c>
    </row>
    <row r="254" spans="1:28" ht="12.75">
      <c r="A254" s="9" t="s">
        <v>196</v>
      </c>
      <c r="B254" s="10">
        <v>44596</v>
      </c>
      <c r="C254" s="11"/>
      <c r="D254" s="49">
        <v>6</v>
      </c>
      <c r="E254" s="13" t="s">
        <v>440</v>
      </c>
      <c r="F254" s="13">
        <v>3025460</v>
      </c>
      <c r="G254" s="14">
        <v>26217</v>
      </c>
      <c r="H254" s="40">
        <v>7600</v>
      </c>
      <c r="I254" s="16">
        <f t="shared" si="42"/>
        <v>199249200</v>
      </c>
      <c r="J254" s="17">
        <v>56</v>
      </c>
      <c r="K254" s="18">
        <v>4502264068</v>
      </c>
      <c r="L254" s="19">
        <v>5080411424</v>
      </c>
      <c r="M254" s="20">
        <v>5113090248</v>
      </c>
      <c r="N254" s="23"/>
      <c r="O254" s="9"/>
      <c r="P254" s="23" t="s">
        <v>313</v>
      </c>
      <c r="Q254" s="24" t="s">
        <v>82</v>
      </c>
      <c r="R254" s="25">
        <v>44596</v>
      </c>
      <c r="S254" s="28"/>
      <c r="T254" s="35"/>
      <c r="U254" s="35"/>
      <c r="V254" s="29"/>
      <c r="W254" s="35"/>
      <c r="X254" s="29"/>
      <c r="Y254" s="36"/>
      <c r="Z254" s="29"/>
      <c r="AA254" s="31">
        <f t="shared" si="1"/>
        <v>44596</v>
      </c>
      <c r="AB254" s="32" t="str">
        <f t="shared" si="5"/>
        <v>febrero</v>
      </c>
    </row>
    <row r="255" spans="1:28" ht="12.75">
      <c r="A255" s="9" t="s">
        <v>85</v>
      </c>
      <c r="B255" s="10">
        <v>44596</v>
      </c>
      <c r="C255" s="11">
        <v>44599</v>
      </c>
      <c r="D255" s="49">
        <v>6</v>
      </c>
      <c r="E255" s="13" t="s">
        <v>441</v>
      </c>
      <c r="F255" s="13">
        <v>3025460</v>
      </c>
      <c r="G255" s="14">
        <v>19644</v>
      </c>
      <c r="H255" s="40">
        <v>7600</v>
      </c>
      <c r="I255" s="16">
        <f t="shared" si="42"/>
        <v>149294400</v>
      </c>
      <c r="J255" s="17">
        <v>42</v>
      </c>
      <c r="K255" s="18">
        <v>4502264070</v>
      </c>
      <c r="L255" s="19">
        <v>5080411521</v>
      </c>
      <c r="M255" s="20">
        <v>5113091386</v>
      </c>
      <c r="N255" s="23"/>
      <c r="O255" s="9" t="s">
        <v>63</v>
      </c>
      <c r="P255" s="23"/>
      <c r="Q255" s="24" t="s">
        <v>82</v>
      </c>
      <c r="R255" s="25">
        <v>44596</v>
      </c>
      <c r="S255" s="28"/>
      <c r="T255" s="35"/>
      <c r="U255" s="35"/>
      <c r="V255" s="29"/>
      <c r="W255" s="35"/>
      <c r="X255" s="29"/>
      <c r="Y255" s="36"/>
      <c r="Z255" s="29"/>
      <c r="AA255" s="31">
        <f t="shared" si="1"/>
        <v>44596</v>
      </c>
      <c r="AB255" s="32" t="str">
        <f t="shared" si="5"/>
        <v>febrero</v>
      </c>
    </row>
    <row r="256" spans="1:28" ht="12.75">
      <c r="A256" s="9" t="s">
        <v>199</v>
      </c>
      <c r="B256" s="10">
        <v>44596</v>
      </c>
      <c r="C256" s="11">
        <v>44599</v>
      </c>
      <c r="D256" s="49">
        <v>6</v>
      </c>
      <c r="E256" s="13" t="s">
        <v>442</v>
      </c>
      <c r="F256" s="13">
        <v>3025460</v>
      </c>
      <c r="G256" s="14">
        <v>15159</v>
      </c>
      <c r="H256" s="55">
        <v>7596.02</v>
      </c>
      <c r="I256" s="16">
        <f t="shared" si="42"/>
        <v>115148067.18000001</v>
      </c>
      <c r="J256" s="17">
        <v>30</v>
      </c>
      <c r="K256" s="18">
        <v>4502264071</v>
      </c>
      <c r="L256" s="19">
        <v>5080411703</v>
      </c>
      <c r="M256" s="20">
        <v>5113089666</v>
      </c>
      <c r="N256" s="23"/>
      <c r="O256" s="9" t="s">
        <v>63</v>
      </c>
      <c r="P256" s="23"/>
      <c r="Q256" s="24" t="s">
        <v>82</v>
      </c>
      <c r="R256" s="25">
        <v>44596</v>
      </c>
      <c r="S256" s="28"/>
      <c r="T256" s="35"/>
      <c r="U256" s="35"/>
      <c r="V256" s="29"/>
      <c r="W256" s="35"/>
      <c r="X256" s="29"/>
      <c r="Y256" s="36"/>
      <c r="Z256" s="29"/>
      <c r="AA256" s="31">
        <f t="shared" si="1"/>
        <v>44596</v>
      </c>
      <c r="AB256" s="32" t="str">
        <f t="shared" si="5"/>
        <v>febrero</v>
      </c>
    </row>
    <row r="257" spans="1:28" ht="12.75">
      <c r="A257" s="9" t="s">
        <v>443</v>
      </c>
      <c r="B257" s="10">
        <v>44596</v>
      </c>
      <c r="C257" s="11">
        <v>44601</v>
      </c>
      <c r="D257" s="49">
        <v>6</v>
      </c>
      <c r="E257" s="13" t="s">
        <v>444</v>
      </c>
      <c r="F257" s="13">
        <v>3025460</v>
      </c>
      <c r="G257" s="14">
        <v>37050</v>
      </c>
      <c r="H257" s="40">
        <v>7698.36</v>
      </c>
      <c r="I257" s="16">
        <f t="shared" si="42"/>
        <v>285224238</v>
      </c>
      <c r="J257" s="17">
        <v>70</v>
      </c>
      <c r="K257" s="18">
        <v>4502264072</v>
      </c>
      <c r="L257" s="19">
        <v>5080411707</v>
      </c>
      <c r="M257" s="20">
        <v>5113096345</v>
      </c>
      <c r="N257" s="23"/>
      <c r="O257" s="9" t="s">
        <v>63</v>
      </c>
      <c r="P257" s="23"/>
      <c r="Q257" s="24" t="s">
        <v>82</v>
      </c>
      <c r="R257" s="25">
        <v>44596</v>
      </c>
      <c r="S257" s="28"/>
      <c r="T257" s="35"/>
      <c r="U257" s="35"/>
      <c r="V257" s="29"/>
      <c r="W257" s="35"/>
      <c r="X257" s="29"/>
      <c r="Y257" s="36"/>
      <c r="Z257" s="29"/>
      <c r="AA257" s="31">
        <f t="shared" si="1"/>
        <v>44596</v>
      </c>
      <c r="AB257" s="32" t="str">
        <f t="shared" si="5"/>
        <v>febrero</v>
      </c>
    </row>
    <row r="258" spans="1:28" ht="12.75">
      <c r="A258" s="9" t="s">
        <v>94</v>
      </c>
      <c r="B258" s="10">
        <v>44599</v>
      </c>
      <c r="C258" s="11">
        <v>44600</v>
      </c>
      <c r="D258" s="49">
        <v>6</v>
      </c>
      <c r="E258" s="13" t="s">
        <v>445</v>
      </c>
      <c r="F258" s="13">
        <v>3025460</v>
      </c>
      <c r="G258" s="14">
        <v>13272</v>
      </c>
      <c r="H258" s="40">
        <v>7500</v>
      </c>
      <c r="I258" s="16">
        <f t="shared" si="42"/>
        <v>99540000</v>
      </c>
      <c r="J258" s="17">
        <v>30</v>
      </c>
      <c r="K258" s="18">
        <v>4502264074</v>
      </c>
      <c r="L258" s="19">
        <v>5080411607</v>
      </c>
      <c r="M258" s="20">
        <v>5113091249</v>
      </c>
      <c r="N258" s="23"/>
      <c r="O258" s="9" t="s">
        <v>63</v>
      </c>
      <c r="P258" s="23"/>
      <c r="Q258" s="24" t="s">
        <v>82</v>
      </c>
      <c r="R258" s="25">
        <v>44596</v>
      </c>
      <c r="S258" s="28"/>
      <c r="T258" s="35"/>
      <c r="U258" s="35"/>
      <c r="V258" s="29"/>
      <c r="W258" s="35"/>
      <c r="X258" s="29"/>
      <c r="Y258" s="36"/>
      <c r="Z258" s="29"/>
      <c r="AA258" s="31">
        <f t="shared" si="1"/>
        <v>44596</v>
      </c>
      <c r="AB258" s="32" t="str">
        <f t="shared" si="5"/>
        <v>febrero</v>
      </c>
    </row>
    <row r="259" spans="1:28" ht="12.75">
      <c r="A259" s="9" t="s">
        <v>58</v>
      </c>
      <c r="B259" s="10">
        <v>44600</v>
      </c>
      <c r="C259" s="11">
        <v>44600</v>
      </c>
      <c r="D259" s="49">
        <v>6</v>
      </c>
      <c r="E259" s="13" t="s">
        <v>446</v>
      </c>
      <c r="F259" s="13">
        <v>3025457</v>
      </c>
      <c r="G259" s="14">
        <v>58611</v>
      </c>
      <c r="H259" s="33">
        <v>7850</v>
      </c>
      <c r="I259" s="16">
        <f t="shared" si="42"/>
        <v>460096350</v>
      </c>
      <c r="J259" s="17">
        <v>116</v>
      </c>
      <c r="K259" s="34">
        <v>4502264076</v>
      </c>
      <c r="L259" s="19">
        <v>5080403920</v>
      </c>
      <c r="M259" s="20">
        <v>5113098716</v>
      </c>
      <c r="N259" s="23"/>
      <c r="O259" s="9" t="s">
        <v>37</v>
      </c>
      <c r="P259" s="23"/>
      <c r="Q259" s="24" t="s">
        <v>31</v>
      </c>
      <c r="R259" s="25">
        <v>44597</v>
      </c>
      <c r="S259" s="28"/>
      <c r="T259" s="35"/>
      <c r="U259" s="35"/>
      <c r="V259" s="29"/>
      <c r="W259" s="35"/>
      <c r="X259" s="29"/>
      <c r="Y259" s="36"/>
      <c r="Z259" s="29"/>
      <c r="AA259" s="31">
        <f t="shared" si="1"/>
        <v>44597</v>
      </c>
      <c r="AB259" s="32" t="str">
        <f t="shared" si="5"/>
        <v>febrero</v>
      </c>
    </row>
    <row r="260" spans="1:28" ht="12.75">
      <c r="A260" s="9" t="s">
        <v>58</v>
      </c>
      <c r="B260" s="10">
        <v>44600</v>
      </c>
      <c r="C260" s="11">
        <v>44600</v>
      </c>
      <c r="D260" s="49">
        <v>6</v>
      </c>
      <c r="E260" s="13" t="s">
        <v>447</v>
      </c>
      <c r="F260" s="13">
        <v>3025457</v>
      </c>
      <c r="G260" s="14">
        <v>58611</v>
      </c>
      <c r="H260" s="33">
        <f>7850-7835.81</f>
        <v>14.1899999999996</v>
      </c>
      <c r="I260" s="16">
        <f>-H260*G260</f>
        <v>-831690.08999997657</v>
      </c>
      <c r="J260" s="17">
        <v>0</v>
      </c>
      <c r="K260" s="34">
        <v>4502264076</v>
      </c>
      <c r="L260" s="19">
        <v>5080403920</v>
      </c>
      <c r="M260" s="20">
        <v>5113098747</v>
      </c>
      <c r="N260" s="23"/>
      <c r="O260" s="9"/>
      <c r="P260" s="23"/>
      <c r="Q260" s="24" t="s">
        <v>31</v>
      </c>
      <c r="R260" s="25">
        <v>44597</v>
      </c>
      <c r="S260" s="28"/>
      <c r="T260" s="35"/>
      <c r="U260" s="35"/>
      <c r="V260" s="29"/>
      <c r="W260" s="35"/>
      <c r="X260" s="29"/>
      <c r="Y260" s="36"/>
      <c r="Z260" s="29"/>
      <c r="AA260" s="31">
        <f t="shared" si="1"/>
        <v>44597</v>
      </c>
      <c r="AB260" s="32" t="str">
        <f t="shared" si="5"/>
        <v>febrero</v>
      </c>
    </row>
    <row r="261" spans="1:28" ht="12.75">
      <c r="A261" s="9" t="s">
        <v>233</v>
      </c>
      <c r="B261" s="10">
        <v>44597</v>
      </c>
      <c r="C261" s="11">
        <v>44600</v>
      </c>
      <c r="D261" s="49">
        <v>6</v>
      </c>
      <c r="E261" s="13" t="s">
        <v>448</v>
      </c>
      <c r="F261" s="13">
        <v>3025457</v>
      </c>
      <c r="G261" s="14">
        <v>21688</v>
      </c>
      <c r="H261" s="33">
        <v>7600</v>
      </c>
      <c r="I261" s="16">
        <f t="shared" ref="I261:I263" si="43">H261*G261</f>
        <v>164828800</v>
      </c>
      <c r="J261" s="17">
        <v>45</v>
      </c>
      <c r="K261" s="34">
        <v>4502264079</v>
      </c>
      <c r="L261" s="19">
        <v>5080403921</v>
      </c>
      <c r="M261" s="20">
        <v>5113093730</v>
      </c>
      <c r="N261" s="23"/>
      <c r="O261" s="9" t="s">
        <v>63</v>
      </c>
      <c r="P261" s="23"/>
      <c r="Q261" s="24" t="s">
        <v>31</v>
      </c>
      <c r="R261" s="25">
        <v>44597</v>
      </c>
      <c r="S261" s="28"/>
      <c r="T261" s="35"/>
      <c r="U261" s="35"/>
      <c r="V261" s="29"/>
      <c r="W261" s="35"/>
      <c r="X261" s="29"/>
      <c r="Y261" s="36"/>
      <c r="Z261" s="29"/>
      <c r="AA261" s="31">
        <f t="shared" si="1"/>
        <v>44597</v>
      </c>
      <c r="AB261" s="32" t="str">
        <f t="shared" si="5"/>
        <v>febrero</v>
      </c>
    </row>
    <row r="262" spans="1:28" ht="12.75">
      <c r="A262" s="9" t="s">
        <v>233</v>
      </c>
      <c r="B262" s="10">
        <v>44597</v>
      </c>
      <c r="C262" s="11">
        <v>44600</v>
      </c>
      <c r="D262" s="49">
        <v>6</v>
      </c>
      <c r="E262" s="13" t="s">
        <v>449</v>
      </c>
      <c r="F262" s="13">
        <v>3025457</v>
      </c>
      <c r="G262" s="14">
        <v>21688</v>
      </c>
      <c r="H262" s="33">
        <f>7698.19-7600</f>
        <v>98.1899999999996</v>
      </c>
      <c r="I262" s="16">
        <f t="shared" si="43"/>
        <v>2129544.7199999914</v>
      </c>
      <c r="J262" s="17">
        <v>0</v>
      </c>
      <c r="K262" s="34">
        <v>4502264079</v>
      </c>
      <c r="L262" s="19">
        <v>5080403921</v>
      </c>
      <c r="M262" s="20">
        <v>5113093731</v>
      </c>
      <c r="N262" s="21"/>
      <c r="O262" s="9"/>
      <c r="P262" s="23"/>
      <c r="Q262" s="24" t="s">
        <v>31</v>
      </c>
      <c r="R262" s="25">
        <v>44597</v>
      </c>
      <c r="S262" s="28"/>
      <c r="T262" s="35"/>
      <c r="U262" s="35"/>
      <c r="V262" s="29"/>
      <c r="W262" s="35"/>
      <c r="X262" s="29"/>
      <c r="Y262" s="36"/>
      <c r="Z262" s="29"/>
      <c r="AA262" s="31">
        <f t="shared" si="1"/>
        <v>44597</v>
      </c>
      <c r="AB262" s="32" t="str">
        <f t="shared" si="5"/>
        <v>febrero</v>
      </c>
    </row>
    <row r="263" spans="1:28" ht="12.75">
      <c r="A263" s="9" t="s">
        <v>39</v>
      </c>
      <c r="B263" s="10">
        <v>44599</v>
      </c>
      <c r="C263" s="11">
        <v>44601</v>
      </c>
      <c r="D263" s="49">
        <v>6</v>
      </c>
      <c r="E263" s="13" t="s">
        <v>450</v>
      </c>
      <c r="F263" s="13">
        <v>3025457</v>
      </c>
      <c r="G263" s="37">
        <v>26782.5</v>
      </c>
      <c r="H263" s="33">
        <v>7750</v>
      </c>
      <c r="I263" s="16">
        <f t="shared" si="43"/>
        <v>207564375</v>
      </c>
      <c r="J263" s="17">
        <v>59</v>
      </c>
      <c r="K263" s="34">
        <v>4502264083</v>
      </c>
      <c r="L263" s="19">
        <v>5080403964</v>
      </c>
      <c r="M263" s="20">
        <v>5113095473</v>
      </c>
      <c r="N263" s="23"/>
      <c r="O263" s="9" t="s">
        <v>37</v>
      </c>
      <c r="P263" s="23"/>
      <c r="Q263" s="24" t="s">
        <v>31</v>
      </c>
      <c r="R263" s="25">
        <v>44597</v>
      </c>
      <c r="S263" s="28"/>
      <c r="T263" s="35"/>
      <c r="U263" s="35"/>
      <c r="V263" s="29"/>
      <c r="W263" s="35"/>
      <c r="X263" s="29"/>
      <c r="Y263" s="36"/>
      <c r="Z263" s="29"/>
      <c r="AA263" s="31">
        <f t="shared" si="1"/>
        <v>44597</v>
      </c>
      <c r="AB263" s="32" t="str">
        <f t="shared" si="5"/>
        <v>febrero</v>
      </c>
    </row>
    <row r="264" spans="1:28" ht="12.75">
      <c r="A264" s="9" t="s">
        <v>39</v>
      </c>
      <c r="B264" s="10">
        <v>44601</v>
      </c>
      <c r="C264" s="11">
        <v>44601</v>
      </c>
      <c r="D264" s="49">
        <v>6</v>
      </c>
      <c r="E264" s="13" t="s">
        <v>72</v>
      </c>
      <c r="F264" s="13">
        <v>3025457</v>
      </c>
      <c r="G264" s="37">
        <v>26782.5</v>
      </c>
      <c r="H264" s="33">
        <f>7750-7693.03</f>
        <v>56.970000000000255</v>
      </c>
      <c r="I264" s="16">
        <f>-H264*G264</f>
        <v>-1525799.0250000069</v>
      </c>
      <c r="J264" s="17">
        <v>0</v>
      </c>
      <c r="K264" s="34">
        <v>4502264083</v>
      </c>
      <c r="L264" s="19">
        <v>5080403964</v>
      </c>
      <c r="M264" s="20">
        <v>5113095475</v>
      </c>
      <c r="N264" s="21"/>
      <c r="O264" s="9"/>
      <c r="P264" s="23"/>
      <c r="Q264" s="24" t="s">
        <v>31</v>
      </c>
      <c r="R264" s="25">
        <v>44597</v>
      </c>
      <c r="S264" s="28"/>
      <c r="T264" s="35"/>
      <c r="U264" s="35"/>
      <c r="V264" s="29"/>
      <c r="W264" s="35"/>
      <c r="X264" s="29"/>
      <c r="Y264" s="36"/>
      <c r="Z264" s="29"/>
      <c r="AA264" s="31">
        <f t="shared" si="1"/>
        <v>44597</v>
      </c>
      <c r="AB264" s="32" t="str">
        <f t="shared" si="5"/>
        <v>febrero</v>
      </c>
    </row>
    <row r="265" spans="1:28" ht="12.75">
      <c r="A265" s="9" t="s">
        <v>245</v>
      </c>
      <c r="B265" s="10">
        <v>44598</v>
      </c>
      <c r="C265" s="11">
        <v>44601</v>
      </c>
      <c r="D265" s="49">
        <v>6</v>
      </c>
      <c r="E265" s="13" t="s">
        <v>451</v>
      </c>
      <c r="F265" s="13">
        <v>3025457</v>
      </c>
      <c r="G265" s="37">
        <v>7142.5</v>
      </c>
      <c r="H265" s="33">
        <v>7450</v>
      </c>
      <c r="I265" s="16">
        <f t="shared" ref="I265:I270" si="44">H265*G265</f>
        <v>53211625</v>
      </c>
      <c r="J265" s="17">
        <v>14</v>
      </c>
      <c r="K265" s="34">
        <v>4502264085</v>
      </c>
      <c r="L265" s="19">
        <v>5080411790</v>
      </c>
      <c r="M265" s="20">
        <v>5113095426</v>
      </c>
      <c r="N265" s="23"/>
      <c r="O265" s="9" t="s">
        <v>37</v>
      </c>
      <c r="P265" s="23"/>
      <c r="Q265" s="24" t="s">
        <v>31</v>
      </c>
      <c r="R265" s="25">
        <v>44598</v>
      </c>
      <c r="S265" s="28"/>
      <c r="T265" s="35"/>
      <c r="U265" s="35"/>
      <c r="V265" s="29"/>
      <c r="W265" s="35"/>
      <c r="X265" s="29"/>
      <c r="Y265" s="36"/>
      <c r="Z265" s="29"/>
      <c r="AA265" s="31">
        <f t="shared" si="1"/>
        <v>44598</v>
      </c>
      <c r="AB265" s="32" t="str">
        <f t="shared" si="5"/>
        <v>febrero</v>
      </c>
    </row>
    <row r="266" spans="1:28" ht="12.75">
      <c r="A266" s="9" t="s">
        <v>245</v>
      </c>
      <c r="B266" s="10">
        <v>44598</v>
      </c>
      <c r="C266" s="11"/>
      <c r="D266" s="49">
        <v>6</v>
      </c>
      <c r="E266" s="13">
        <v>6</v>
      </c>
      <c r="F266" s="13">
        <v>3025457</v>
      </c>
      <c r="G266" s="37">
        <v>7142.5</v>
      </c>
      <c r="H266" s="33">
        <v>100</v>
      </c>
      <c r="I266" s="16">
        <f t="shared" si="44"/>
        <v>714250</v>
      </c>
      <c r="J266" s="17">
        <v>0</v>
      </c>
      <c r="K266" s="34">
        <v>4502264085</v>
      </c>
      <c r="L266" s="19">
        <v>5080411790</v>
      </c>
      <c r="M266" s="20">
        <v>5113095468</v>
      </c>
      <c r="N266" s="23"/>
      <c r="O266" s="9"/>
      <c r="P266" s="23"/>
      <c r="Q266" s="24" t="s">
        <v>31</v>
      </c>
      <c r="R266" s="25">
        <v>44598</v>
      </c>
      <c r="S266" s="28"/>
      <c r="T266" s="35"/>
      <c r="U266" s="35"/>
      <c r="V266" s="29"/>
      <c r="W266" s="35"/>
      <c r="X266" s="29"/>
      <c r="Y266" s="36"/>
      <c r="Z266" s="29"/>
      <c r="AA266" s="31">
        <f t="shared" si="1"/>
        <v>44598</v>
      </c>
      <c r="AB266" s="32" t="str">
        <f t="shared" si="5"/>
        <v>febrero</v>
      </c>
    </row>
    <row r="267" spans="1:28" ht="12.75">
      <c r="A267" s="9" t="s">
        <v>452</v>
      </c>
      <c r="B267" s="10">
        <v>44598</v>
      </c>
      <c r="C267" s="11"/>
      <c r="D267" s="49">
        <v>6</v>
      </c>
      <c r="E267" s="13" t="s">
        <v>453</v>
      </c>
      <c r="F267" s="13">
        <v>3025457</v>
      </c>
      <c r="G267" s="14">
        <v>7032</v>
      </c>
      <c r="H267" s="33">
        <v>7500</v>
      </c>
      <c r="I267" s="16">
        <f t="shared" si="44"/>
        <v>52740000</v>
      </c>
      <c r="J267" s="17">
        <v>14</v>
      </c>
      <c r="K267" s="34">
        <v>4502264087</v>
      </c>
      <c r="L267" s="19">
        <v>5080411793</v>
      </c>
      <c r="M267" s="20">
        <v>5113097985</v>
      </c>
      <c r="N267" s="23"/>
      <c r="O267" s="9" t="s">
        <v>37</v>
      </c>
      <c r="P267" s="23" t="s">
        <v>454</v>
      </c>
      <c r="Q267" s="24" t="s">
        <v>31</v>
      </c>
      <c r="R267" s="25">
        <v>44598</v>
      </c>
      <c r="S267" s="28"/>
      <c r="T267" s="35"/>
      <c r="U267" s="35"/>
      <c r="V267" s="29"/>
      <c r="W267" s="35"/>
      <c r="X267" s="29"/>
      <c r="Y267" s="36"/>
      <c r="Z267" s="29"/>
      <c r="AA267" s="31">
        <f t="shared" si="1"/>
        <v>44598</v>
      </c>
      <c r="AB267" s="32" t="str">
        <f t="shared" si="5"/>
        <v>febrero</v>
      </c>
    </row>
    <row r="268" spans="1:28" ht="12.75">
      <c r="A268" s="9" t="s">
        <v>455</v>
      </c>
      <c r="B268" s="10">
        <v>44602</v>
      </c>
      <c r="C268" s="11">
        <v>44602</v>
      </c>
      <c r="D268" s="49">
        <v>6</v>
      </c>
      <c r="E268" s="13" t="s">
        <v>456</v>
      </c>
      <c r="F268" s="13">
        <v>3025457</v>
      </c>
      <c r="G268" s="37">
        <v>6472.5</v>
      </c>
      <c r="H268" s="33">
        <v>7450</v>
      </c>
      <c r="I268" s="16">
        <f t="shared" si="44"/>
        <v>48220125</v>
      </c>
      <c r="J268" s="17">
        <v>14</v>
      </c>
      <c r="K268" s="34">
        <v>4502264088</v>
      </c>
      <c r="L268" s="19">
        <v>5080411795</v>
      </c>
      <c r="M268" s="20">
        <v>5113097340</v>
      </c>
      <c r="N268" s="23"/>
      <c r="O268" s="9" t="s">
        <v>63</v>
      </c>
      <c r="P268" s="23" t="s">
        <v>457</v>
      </c>
      <c r="Q268" s="24" t="s">
        <v>31</v>
      </c>
      <c r="R268" s="25">
        <v>44598</v>
      </c>
      <c r="S268" s="28"/>
      <c r="T268" s="35"/>
      <c r="U268" s="35"/>
      <c r="V268" s="29"/>
      <c r="W268" s="35"/>
      <c r="X268" s="29"/>
      <c r="Y268" s="36"/>
      <c r="Z268" s="29"/>
      <c r="AA268" s="31">
        <f t="shared" si="1"/>
        <v>44598</v>
      </c>
      <c r="AB268" s="32" t="str">
        <f t="shared" si="5"/>
        <v>febrero</v>
      </c>
    </row>
    <row r="269" spans="1:28" ht="12.75">
      <c r="A269" s="9" t="s">
        <v>28</v>
      </c>
      <c r="B269" s="10">
        <v>44599</v>
      </c>
      <c r="C269" s="11">
        <v>44599</v>
      </c>
      <c r="D269" s="49">
        <v>6</v>
      </c>
      <c r="E269" s="13" t="s">
        <v>458</v>
      </c>
      <c r="F269" s="13">
        <v>3025457</v>
      </c>
      <c r="G269" s="14">
        <v>40134</v>
      </c>
      <c r="H269" s="15">
        <v>6900</v>
      </c>
      <c r="I269" s="16">
        <f t="shared" si="44"/>
        <v>276924600</v>
      </c>
      <c r="J269" s="17">
        <v>84</v>
      </c>
      <c r="K269" s="34">
        <v>4502266786</v>
      </c>
      <c r="L269" s="19">
        <v>5080412266</v>
      </c>
      <c r="M269" s="20">
        <v>5113090601</v>
      </c>
      <c r="N269" s="23" t="s">
        <v>63</v>
      </c>
      <c r="O269" s="22" t="s">
        <v>459</v>
      </c>
      <c r="P269" s="23"/>
      <c r="Q269" s="24" t="s">
        <v>31</v>
      </c>
      <c r="R269" s="25">
        <v>44598</v>
      </c>
      <c r="S269" s="28" t="s">
        <v>460</v>
      </c>
      <c r="T269" s="27">
        <v>18214800</v>
      </c>
      <c r="U269" s="28" t="s">
        <v>461</v>
      </c>
      <c r="V269" s="29">
        <v>5113090199</v>
      </c>
      <c r="W269" s="28" t="s">
        <v>462</v>
      </c>
      <c r="X269" s="29">
        <v>5113090201</v>
      </c>
      <c r="Y269" s="30" t="s">
        <v>463</v>
      </c>
      <c r="Z269" s="29">
        <v>511309020</v>
      </c>
      <c r="AA269" s="31">
        <f t="shared" si="1"/>
        <v>44598</v>
      </c>
      <c r="AB269" s="32" t="str">
        <f t="shared" si="5"/>
        <v>febrero</v>
      </c>
    </row>
    <row r="270" spans="1:28" ht="12.75">
      <c r="A270" s="9" t="s">
        <v>203</v>
      </c>
      <c r="B270" s="10">
        <v>44598</v>
      </c>
      <c r="C270" s="11">
        <v>44601</v>
      </c>
      <c r="D270" s="49">
        <v>6</v>
      </c>
      <c r="E270" s="13" t="s">
        <v>464</v>
      </c>
      <c r="F270" s="13">
        <v>3025459</v>
      </c>
      <c r="G270" s="37">
        <v>7639.5</v>
      </c>
      <c r="H270" s="33">
        <v>7800</v>
      </c>
      <c r="I270" s="16">
        <f t="shared" si="44"/>
        <v>59588100</v>
      </c>
      <c r="J270" s="17">
        <v>15</v>
      </c>
      <c r="K270" s="34">
        <v>4502264091</v>
      </c>
      <c r="L270" s="19">
        <v>5080412341</v>
      </c>
      <c r="M270" s="20">
        <v>5113095537</v>
      </c>
      <c r="N270" s="23"/>
      <c r="O270" s="9" t="s">
        <v>37</v>
      </c>
      <c r="P270" s="23"/>
      <c r="Q270" s="24" t="s">
        <v>31</v>
      </c>
      <c r="R270" s="25">
        <v>44598</v>
      </c>
      <c r="S270" s="28"/>
      <c r="T270" s="35"/>
      <c r="U270" s="35"/>
      <c r="V270" s="29"/>
      <c r="W270" s="35"/>
      <c r="X270" s="29"/>
      <c r="Y270" s="36"/>
      <c r="Z270" s="29"/>
      <c r="AA270" s="31">
        <f t="shared" si="1"/>
        <v>44598</v>
      </c>
      <c r="AB270" s="32" t="str">
        <f t="shared" si="5"/>
        <v>febrero</v>
      </c>
    </row>
    <row r="271" spans="1:28" ht="12.75">
      <c r="A271" s="9" t="s">
        <v>203</v>
      </c>
      <c r="B271" s="10">
        <v>44598</v>
      </c>
      <c r="C271" s="11">
        <v>44601</v>
      </c>
      <c r="D271" s="49">
        <v>6</v>
      </c>
      <c r="E271" s="13" t="s">
        <v>465</v>
      </c>
      <c r="F271" s="13">
        <v>3025459</v>
      </c>
      <c r="G271" s="37">
        <v>7639.5</v>
      </c>
      <c r="H271" s="33">
        <v>100</v>
      </c>
      <c r="I271" s="16">
        <f>-H271*G271</f>
        <v>-763950</v>
      </c>
      <c r="J271" s="17">
        <v>0</v>
      </c>
      <c r="K271" s="34">
        <v>4502264091</v>
      </c>
      <c r="L271" s="19">
        <v>5080412341</v>
      </c>
      <c r="M271" s="20">
        <v>5113095538</v>
      </c>
      <c r="N271" s="23"/>
      <c r="O271" s="9"/>
      <c r="P271" s="23"/>
      <c r="Q271" s="24" t="s">
        <v>31</v>
      </c>
      <c r="R271" s="25">
        <v>44598</v>
      </c>
      <c r="S271" s="28"/>
      <c r="T271" s="35"/>
      <c r="U271" s="35"/>
      <c r="V271" s="29"/>
      <c r="W271" s="35"/>
      <c r="X271" s="29"/>
      <c r="Y271" s="36"/>
      <c r="Z271" s="29"/>
      <c r="AA271" s="31">
        <f t="shared" si="1"/>
        <v>44598</v>
      </c>
      <c r="AB271" s="32" t="str">
        <f t="shared" si="5"/>
        <v>febrero</v>
      </c>
    </row>
    <row r="272" spans="1:28" ht="12.75">
      <c r="A272" s="9" t="s">
        <v>289</v>
      </c>
      <c r="B272" s="10">
        <v>44600</v>
      </c>
      <c r="C272" s="11">
        <v>44603</v>
      </c>
      <c r="D272" s="49">
        <v>6</v>
      </c>
      <c r="E272" s="13" t="s">
        <v>466</v>
      </c>
      <c r="F272" s="13">
        <v>3025459</v>
      </c>
      <c r="G272" s="37">
        <v>15621.5</v>
      </c>
      <c r="H272" s="33">
        <v>7800</v>
      </c>
      <c r="I272" s="16">
        <f>H272*G272</f>
        <v>121847700</v>
      </c>
      <c r="J272" s="17">
        <v>30</v>
      </c>
      <c r="K272" s="34">
        <v>4502264092</v>
      </c>
      <c r="L272" s="19">
        <v>5080445286</v>
      </c>
      <c r="M272" s="20">
        <v>5113100109</v>
      </c>
      <c r="N272" s="23"/>
      <c r="O272" s="9" t="s">
        <v>37</v>
      </c>
      <c r="P272" s="23" t="s">
        <v>467</v>
      </c>
      <c r="Q272" s="24" t="s">
        <v>31</v>
      </c>
      <c r="R272" s="25">
        <v>44598</v>
      </c>
      <c r="S272" s="28"/>
      <c r="T272" s="35"/>
      <c r="U272" s="35"/>
      <c r="V272" s="29"/>
      <c r="W272" s="35"/>
      <c r="X272" s="29"/>
      <c r="Y272" s="36"/>
      <c r="Z272" s="29"/>
      <c r="AA272" s="31">
        <f t="shared" si="1"/>
        <v>44598</v>
      </c>
      <c r="AB272" s="32" t="str">
        <f t="shared" si="5"/>
        <v>febrero</v>
      </c>
    </row>
    <row r="273" spans="1:28" ht="12.75">
      <c r="A273" s="9" t="s">
        <v>289</v>
      </c>
      <c r="B273" s="10">
        <v>44600</v>
      </c>
      <c r="C273" s="11">
        <v>44603</v>
      </c>
      <c r="D273" s="49">
        <v>6</v>
      </c>
      <c r="E273" s="13" t="s">
        <v>468</v>
      </c>
      <c r="F273" s="13">
        <v>3025459</v>
      </c>
      <c r="G273" s="37">
        <v>15621.5</v>
      </c>
      <c r="H273" s="33">
        <f>7800-7743.55</f>
        <v>56.449999999999818</v>
      </c>
      <c r="I273" s="16">
        <f>-H273*G273</f>
        <v>-881833.67499999714</v>
      </c>
      <c r="J273" s="17">
        <v>0</v>
      </c>
      <c r="K273" s="34">
        <v>4502264092</v>
      </c>
      <c r="L273" s="19">
        <v>5080445286</v>
      </c>
      <c r="M273" s="20">
        <v>5113100110</v>
      </c>
      <c r="N273" s="23"/>
      <c r="O273" s="9"/>
      <c r="P273" s="23"/>
      <c r="Q273" s="24" t="s">
        <v>31</v>
      </c>
      <c r="R273" s="25">
        <v>44598</v>
      </c>
      <c r="S273" s="28"/>
      <c r="T273" s="35"/>
      <c r="U273" s="35"/>
      <c r="V273" s="29"/>
      <c r="W273" s="35"/>
      <c r="X273" s="29"/>
      <c r="Y273" s="36"/>
      <c r="Z273" s="29"/>
      <c r="AA273" s="31">
        <f t="shared" si="1"/>
        <v>44598</v>
      </c>
      <c r="AB273" s="32" t="str">
        <f t="shared" si="5"/>
        <v>febrero</v>
      </c>
    </row>
    <row r="274" spans="1:28" ht="12.75">
      <c r="A274" s="9" t="s">
        <v>469</v>
      </c>
      <c r="B274" s="10">
        <v>44601</v>
      </c>
      <c r="C274" s="11"/>
      <c r="D274" s="49">
        <v>6</v>
      </c>
      <c r="E274" s="13" t="s">
        <v>470</v>
      </c>
      <c r="F274" s="13">
        <v>3025459</v>
      </c>
      <c r="G274" s="37">
        <v>6049.5</v>
      </c>
      <c r="H274" s="33">
        <v>7400</v>
      </c>
      <c r="I274" s="16">
        <f>H274*G274</f>
        <v>44766300</v>
      </c>
      <c r="J274" s="17">
        <v>14</v>
      </c>
      <c r="K274" s="34">
        <v>4502269170</v>
      </c>
      <c r="L274" s="19">
        <v>5080451280</v>
      </c>
      <c r="M274" s="20">
        <v>5113095419</v>
      </c>
      <c r="N274" s="23"/>
      <c r="O274" s="9" t="s">
        <v>63</v>
      </c>
      <c r="P274" s="23"/>
      <c r="Q274" s="24" t="s">
        <v>31</v>
      </c>
      <c r="R274" s="25">
        <v>44599</v>
      </c>
      <c r="S274" s="28"/>
      <c r="T274" s="35"/>
      <c r="U274" s="35"/>
      <c r="V274" s="29"/>
      <c r="W274" s="35"/>
      <c r="X274" s="29"/>
      <c r="Y274" s="36"/>
      <c r="Z274" s="29"/>
      <c r="AA274" s="31">
        <f t="shared" si="1"/>
        <v>44599</v>
      </c>
      <c r="AB274" s="32" t="str">
        <f t="shared" si="5"/>
        <v>febrero</v>
      </c>
    </row>
    <row r="275" spans="1:28" ht="12.75">
      <c r="A275" s="9" t="s">
        <v>469</v>
      </c>
      <c r="B275" s="10">
        <v>44601</v>
      </c>
      <c r="C275" s="11"/>
      <c r="D275" s="49">
        <v>6</v>
      </c>
      <c r="E275" s="13" t="s">
        <v>222</v>
      </c>
      <c r="F275" s="13">
        <v>3025459</v>
      </c>
      <c r="G275" s="37">
        <v>6049.5</v>
      </c>
      <c r="H275" s="33">
        <f>7400-7380.29</f>
        <v>19.710000000000036</v>
      </c>
      <c r="I275" s="16">
        <f>-H275*G275</f>
        <v>-119235.64500000022</v>
      </c>
      <c r="J275" s="17">
        <v>0</v>
      </c>
      <c r="K275" s="34">
        <v>4502269170</v>
      </c>
      <c r="L275" s="19">
        <v>5080451280</v>
      </c>
      <c r="M275" s="20">
        <v>5113095421</v>
      </c>
      <c r="N275" s="23"/>
      <c r="O275" s="9"/>
      <c r="P275" s="23"/>
      <c r="Q275" s="24" t="s">
        <v>31</v>
      </c>
      <c r="R275" s="25">
        <v>44599</v>
      </c>
      <c r="S275" s="28"/>
      <c r="T275" s="35"/>
      <c r="U275" s="35"/>
      <c r="V275" s="29"/>
      <c r="W275" s="35"/>
      <c r="X275" s="29"/>
      <c r="Y275" s="36"/>
      <c r="Z275" s="29"/>
      <c r="AA275" s="31">
        <f t="shared" si="1"/>
        <v>44599</v>
      </c>
      <c r="AB275" s="32" t="str">
        <f t="shared" si="5"/>
        <v>febrero</v>
      </c>
    </row>
    <row r="276" spans="1:28" ht="12.75">
      <c r="A276" s="9" t="s">
        <v>471</v>
      </c>
      <c r="B276" s="10">
        <v>44602</v>
      </c>
      <c r="C276" s="11">
        <v>44603</v>
      </c>
      <c r="D276" s="49">
        <v>6</v>
      </c>
      <c r="E276" s="13" t="s">
        <v>472</v>
      </c>
      <c r="F276" s="13">
        <v>3025457</v>
      </c>
      <c r="G276" s="14">
        <v>13653</v>
      </c>
      <c r="H276" s="33">
        <v>7500</v>
      </c>
      <c r="I276" s="16">
        <f t="shared" ref="I276:I280" si="45">H276*G276</f>
        <v>102397500</v>
      </c>
      <c r="J276" s="17">
        <v>28</v>
      </c>
      <c r="K276" s="34">
        <v>4502264094</v>
      </c>
      <c r="L276" s="19">
        <v>5080426935</v>
      </c>
      <c r="M276" s="20">
        <v>5113103768</v>
      </c>
      <c r="N276" s="23"/>
      <c r="O276" s="9" t="s">
        <v>63</v>
      </c>
      <c r="P276" s="23" t="s">
        <v>473</v>
      </c>
      <c r="Q276" s="24" t="s">
        <v>31</v>
      </c>
      <c r="R276" s="25">
        <v>44599</v>
      </c>
      <c r="S276" s="28"/>
      <c r="T276" s="35"/>
      <c r="U276" s="35"/>
      <c r="V276" s="29"/>
      <c r="W276" s="35"/>
      <c r="X276" s="29"/>
      <c r="Y276" s="36"/>
      <c r="Z276" s="29"/>
      <c r="AA276" s="31">
        <f t="shared" si="1"/>
        <v>44599</v>
      </c>
      <c r="AB276" s="32" t="str">
        <f t="shared" si="5"/>
        <v>febrero</v>
      </c>
    </row>
    <row r="277" spans="1:28" ht="12.75">
      <c r="A277" s="9" t="s">
        <v>276</v>
      </c>
      <c r="B277" s="10">
        <v>44601</v>
      </c>
      <c r="C277" s="11"/>
      <c r="D277" s="49">
        <v>6</v>
      </c>
      <c r="E277" s="13" t="s">
        <v>474</v>
      </c>
      <c r="F277" s="13">
        <v>3025457</v>
      </c>
      <c r="G277" s="14">
        <v>14082</v>
      </c>
      <c r="H277" s="33">
        <v>7450</v>
      </c>
      <c r="I277" s="16">
        <f t="shared" si="45"/>
        <v>104910900</v>
      </c>
      <c r="J277" s="17">
        <v>28</v>
      </c>
      <c r="K277" s="34">
        <v>4502264096</v>
      </c>
      <c r="L277" s="19">
        <v>5080426936</v>
      </c>
      <c r="M277" s="20">
        <v>5113103590</v>
      </c>
      <c r="N277" s="23" t="s">
        <v>475</v>
      </c>
      <c r="O277" s="9" t="s">
        <v>63</v>
      </c>
      <c r="P277" s="23"/>
      <c r="Q277" s="24" t="s">
        <v>31</v>
      </c>
      <c r="R277" s="25">
        <v>44599</v>
      </c>
      <c r="S277" s="28"/>
      <c r="T277" s="35"/>
      <c r="U277" s="35"/>
      <c r="V277" s="29"/>
      <c r="W277" s="35"/>
      <c r="X277" s="29"/>
      <c r="Y277" s="36"/>
      <c r="Z277" s="29"/>
      <c r="AA277" s="31">
        <f t="shared" si="1"/>
        <v>44599</v>
      </c>
      <c r="AB277" s="32" t="str">
        <f t="shared" si="5"/>
        <v>febrero</v>
      </c>
    </row>
    <row r="278" spans="1:28" ht="12.75">
      <c r="A278" s="9" t="s">
        <v>276</v>
      </c>
      <c r="B278" s="10">
        <v>44601</v>
      </c>
      <c r="C278" s="11"/>
      <c r="D278" s="49">
        <v>6</v>
      </c>
      <c r="E278" s="13" t="s">
        <v>476</v>
      </c>
      <c r="F278" s="13">
        <v>3025457</v>
      </c>
      <c r="G278" s="14">
        <v>14082</v>
      </c>
      <c r="H278" s="33">
        <v>50</v>
      </c>
      <c r="I278" s="16">
        <f t="shared" si="45"/>
        <v>704100</v>
      </c>
      <c r="J278" s="17">
        <v>0</v>
      </c>
      <c r="K278" s="34">
        <v>4502264096</v>
      </c>
      <c r="L278" s="19">
        <v>5080426936</v>
      </c>
      <c r="M278" s="20">
        <v>5113103591</v>
      </c>
      <c r="N278" s="23"/>
      <c r="O278" s="9"/>
      <c r="P278" s="23"/>
      <c r="Q278" s="24" t="s">
        <v>31</v>
      </c>
      <c r="R278" s="25">
        <v>44599</v>
      </c>
      <c r="S278" s="28"/>
      <c r="T278" s="35"/>
      <c r="U278" s="35"/>
      <c r="V278" s="29"/>
      <c r="W278" s="35"/>
      <c r="X278" s="29"/>
      <c r="Y278" s="36"/>
      <c r="Z278" s="29"/>
      <c r="AA278" s="31">
        <f t="shared" si="1"/>
        <v>44599</v>
      </c>
      <c r="AB278" s="32" t="str">
        <f t="shared" si="5"/>
        <v>febrero</v>
      </c>
    </row>
    <row r="279" spans="1:28" ht="12.75">
      <c r="A279" s="9" t="s">
        <v>477</v>
      </c>
      <c r="B279" s="10">
        <v>44603</v>
      </c>
      <c r="C279" s="11">
        <v>44605</v>
      </c>
      <c r="D279" s="49">
        <v>6</v>
      </c>
      <c r="E279" s="13" t="s">
        <v>478</v>
      </c>
      <c r="F279" s="13">
        <v>3025457</v>
      </c>
      <c r="G279" s="37">
        <v>7300.5</v>
      </c>
      <c r="H279" s="33">
        <v>7500</v>
      </c>
      <c r="I279" s="16">
        <f t="shared" si="45"/>
        <v>54753750</v>
      </c>
      <c r="J279" s="17">
        <v>15</v>
      </c>
      <c r="K279" s="34">
        <v>4502264098</v>
      </c>
      <c r="L279" s="19">
        <v>5080426937</v>
      </c>
      <c r="M279" s="20">
        <v>5113101905</v>
      </c>
      <c r="N279" s="21"/>
      <c r="O279" s="9" t="s">
        <v>37</v>
      </c>
      <c r="P279" s="23" t="s">
        <v>479</v>
      </c>
      <c r="Q279" s="24" t="s">
        <v>31</v>
      </c>
      <c r="R279" s="25">
        <v>44599</v>
      </c>
      <c r="S279" s="28"/>
      <c r="T279" s="35"/>
      <c r="U279" s="35"/>
      <c r="V279" s="29"/>
      <c r="W279" s="35"/>
      <c r="X279" s="29"/>
      <c r="Y279" s="36"/>
      <c r="Z279" s="29"/>
      <c r="AA279" s="31">
        <f t="shared" si="1"/>
        <v>44599</v>
      </c>
      <c r="AB279" s="32" t="str">
        <f t="shared" si="5"/>
        <v>febrero</v>
      </c>
    </row>
    <row r="280" spans="1:28" ht="12.75">
      <c r="A280" s="9" t="s">
        <v>331</v>
      </c>
      <c r="B280" s="10">
        <v>44601</v>
      </c>
      <c r="C280" s="11"/>
      <c r="D280" s="49">
        <v>6</v>
      </c>
      <c r="E280" s="13" t="s">
        <v>480</v>
      </c>
      <c r="F280" s="13">
        <v>3025459</v>
      </c>
      <c r="G280" s="37">
        <v>6362.5</v>
      </c>
      <c r="H280" s="33">
        <v>7450</v>
      </c>
      <c r="I280" s="16">
        <f t="shared" si="45"/>
        <v>47400625</v>
      </c>
      <c r="J280" s="17">
        <v>15</v>
      </c>
      <c r="K280" s="34">
        <v>4502272052</v>
      </c>
      <c r="L280" s="19">
        <v>5080521337</v>
      </c>
      <c r="M280" s="20">
        <v>5113103566</v>
      </c>
      <c r="N280" s="44"/>
      <c r="O280" s="9" t="s">
        <v>63</v>
      </c>
      <c r="P280" s="23"/>
      <c r="Q280" s="24" t="s">
        <v>31</v>
      </c>
      <c r="R280" s="25">
        <v>44599</v>
      </c>
      <c r="S280" s="28"/>
      <c r="T280" s="35"/>
      <c r="U280" s="35"/>
      <c r="V280" s="29"/>
      <c r="W280" s="35"/>
      <c r="X280" s="29"/>
      <c r="Y280" s="36"/>
      <c r="Z280" s="29"/>
      <c r="AA280" s="31">
        <f t="shared" si="1"/>
        <v>44599</v>
      </c>
      <c r="AB280" s="32" t="str">
        <f t="shared" si="5"/>
        <v>febrero</v>
      </c>
    </row>
    <row r="281" spans="1:28" ht="12.75">
      <c r="A281" s="9" t="s">
        <v>331</v>
      </c>
      <c r="B281" s="10">
        <v>44601</v>
      </c>
      <c r="C281" s="11"/>
      <c r="D281" s="49">
        <v>6</v>
      </c>
      <c r="E281" s="13" t="s">
        <v>481</v>
      </c>
      <c r="F281" s="13">
        <v>3025459</v>
      </c>
      <c r="G281" s="37">
        <v>6362.5</v>
      </c>
      <c r="H281" s="33">
        <f>7450-7437.51</f>
        <v>12.489999999999782</v>
      </c>
      <c r="I281" s="16">
        <f>-H281*G281</f>
        <v>-79467.624999998618</v>
      </c>
      <c r="J281" s="17">
        <v>0</v>
      </c>
      <c r="K281" s="34">
        <v>4502272052</v>
      </c>
      <c r="L281" s="19">
        <v>5080521337</v>
      </c>
      <c r="M281" s="20">
        <v>5113103588</v>
      </c>
      <c r="N281" s="23"/>
      <c r="O281" s="9"/>
      <c r="P281" s="23"/>
      <c r="Q281" s="24" t="s">
        <v>31</v>
      </c>
      <c r="R281" s="25">
        <v>44599</v>
      </c>
      <c r="S281" s="28"/>
      <c r="T281" s="35"/>
      <c r="U281" s="35"/>
      <c r="V281" s="29"/>
      <c r="W281" s="35"/>
      <c r="X281" s="29"/>
      <c r="Y281" s="36"/>
      <c r="Z281" s="29"/>
      <c r="AA281" s="31">
        <f t="shared" si="1"/>
        <v>44599</v>
      </c>
      <c r="AB281" s="32" t="str">
        <f t="shared" si="5"/>
        <v>febrero</v>
      </c>
    </row>
    <row r="282" spans="1:28" ht="12.75">
      <c r="A282" s="9" t="s">
        <v>46</v>
      </c>
      <c r="B282" s="10">
        <v>44600</v>
      </c>
      <c r="C282" s="11">
        <v>44602</v>
      </c>
      <c r="D282" s="49">
        <v>6</v>
      </c>
      <c r="E282" s="13" t="s">
        <v>482</v>
      </c>
      <c r="F282" s="13">
        <v>3025457</v>
      </c>
      <c r="G282" s="37">
        <v>13372.5</v>
      </c>
      <c r="H282" s="33">
        <v>7600</v>
      </c>
      <c r="I282" s="16">
        <f>H282*G282</f>
        <v>101631000</v>
      </c>
      <c r="J282" s="17">
        <v>30</v>
      </c>
      <c r="K282" s="34">
        <v>4502264103</v>
      </c>
      <c r="L282" s="19">
        <v>5080427625</v>
      </c>
      <c r="M282" s="20">
        <v>5113096541</v>
      </c>
      <c r="N282" s="23"/>
      <c r="O282" s="9" t="s">
        <v>37</v>
      </c>
      <c r="P282" s="23"/>
      <c r="Q282" s="24" t="s">
        <v>31</v>
      </c>
      <c r="R282" s="25">
        <v>44599</v>
      </c>
      <c r="S282" s="28"/>
      <c r="T282" s="35"/>
      <c r="U282" s="35"/>
      <c r="V282" s="29"/>
      <c r="W282" s="35"/>
      <c r="X282" s="29"/>
      <c r="Y282" s="36"/>
      <c r="Z282" s="29"/>
      <c r="AA282" s="31">
        <f t="shared" si="1"/>
        <v>44599</v>
      </c>
      <c r="AB282" s="32" t="str">
        <f t="shared" si="5"/>
        <v>febrero</v>
      </c>
    </row>
    <row r="283" spans="1:28" ht="12.75">
      <c r="A283" s="9" t="s">
        <v>46</v>
      </c>
      <c r="B283" s="10">
        <v>44600</v>
      </c>
      <c r="C283" s="11">
        <v>44602</v>
      </c>
      <c r="D283" s="49">
        <v>6</v>
      </c>
      <c r="E283" s="13" t="s">
        <v>483</v>
      </c>
      <c r="F283" s="13">
        <v>3025457</v>
      </c>
      <c r="G283" s="37">
        <v>13372.5</v>
      </c>
      <c r="H283" s="33">
        <f>7600-7585.43</f>
        <v>14.569999999999709</v>
      </c>
      <c r="I283" s="16">
        <f>-H283*G283</f>
        <v>-194837.32499999611</v>
      </c>
      <c r="J283" s="17">
        <v>0</v>
      </c>
      <c r="K283" s="34">
        <v>4502264103</v>
      </c>
      <c r="L283" s="19">
        <v>5080427625</v>
      </c>
      <c r="M283" s="20">
        <v>5113096542</v>
      </c>
      <c r="N283" s="23"/>
      <c r="O283" s="9"/>
      <c r="P283" s="23"/>
      <c r="Q283" s="24" t="s">
        <v>31</v>
      </c>
      <c r="R283" s="25">
        <v>44599</v>
      </c>
      <c r="S283" s="28"/>
      <c r="T283" s="35"/>
      <c r="U283" s="35"/>
      <c r="V283" s="29"/>
      <c r="W283" s="35"/>
      <c r="X283" s="29"/>
      <c r="Y283" s="36"/>
      <c r="Z283" s="29"/>
      <c r="AA283" s="31">
        <f t="shared" si="1"/>
        <v>44599</v>
      </c>
      <c r="AB283" s="32" t="str">
        <f t="shared" si="5"/>
        <v>febrero</v>
      </c>
    </row>
    <row r="284" spans="1:28" ht="12.75">
      <c r="A284" s="9" t="s">
        <v>65</v>
      </c>
      <c r="B284" s="10">
        <v>44602</v>
      </c>
      <c r="C284" s="11">
        <v>44602</v>
      </c>
      <c r="D284" s="49">
        <v>6</v>
      </c>
      <c r="E284" s="13" t="s">
        <v>484</v>
      </c>
      <c r="F284" s="13">
        <v>3025459</v>
      </c>
      <c r="G284" s="14">
        <v>12556</v>
      </c>
      <c r="H284" s="33">
        <v>7750</v>
      </c>
      <c r="I284" s="16">
        <f t="shared" ref="I284:I289" si="46">H284*G284</f>
        <v>97309000</v>
      </c>
      <c r="J284" s="17">
        <v>28</v>
      </c>
      <c r="K284" s="34">
        <v>4502264104</v>
      </c>
      <c r="L284" s="19">
        <v>5080426958</v>
      </c>
      <c r="M284" s="20">
        <v>5113096543</v>
      </c>
      <c r="N284" s="23"/>
      <c r="O284" s="9" t="s">
        <v>63</v>
      </c>
      <c r="P284" s="23"/>
      <c r="Q284" s="24" t="s">
        <v>31</v>
      </c>
      <c r="R284" s="25">
        <v>44599</v>
      </c>
      <c r="S284" s="28"/>
      <c r="T284" s="35"/>
      <c r="U284" s="35"/>
      <c r="V284" s="29"/>
      <c r="W284" s="35"/>
      <c r="X284" s="29"/>
      <c r="Y284" s="36"/>
      <c r="Z284" s="29"/>
      <c r="AA284" s="31">
        <f t="shared" si="1"/>
        <v>44599</v>
      </c>
      <c r="AB284" s="32" t="str">
        <f t="shared" si="5"/>
        <v>febrero</v>
      </c>
    </row>
    <row r="285" spans="1:28" ht="12.75">
      <c r="A285" s="9" t="s">
        <v>485</v>
      </c>
      <c r="B285" s="10">
        <v>44599</v>
      </c>
      <c r="C285" s="11">
        <v>44616</v>
      </c>
      <c r="D285" s="49">
        <v>6</v>
      </c>
      <c r="E285" s="13" t="s">
        <v>486</v>
      </c>
      <c r="F285" s="13">
        <v>3025459</v>
      </c>
      <c r="G285" s="37">
        <v>6102.5</v>
      </c>
      <c r="H285" s="33">
        <v>7750</v>
      </c>
      <c r="I285" s="16">
        <f t="shared" si="46"/>
        <v>47294375</v>
      </c>
      <c r="J285" s="17">
        <v>14</v>
      </c>
      <c r="K285" s="34">
        <v>4502264105</v>
      </c>
      <c r="L285" s="19">
        <v>5080426959</v>
      </c>
      <c r="M285" s="20">
        <v>5113097342</v>
      </c>
      <c r="N285" s="23"/>
      <c r="O285" s="9" t="s">
        <v>63</v>
      </c>
      <c r="P285" s="23"/>
      <c r="Q285" s="24" t="s">
        <v>31</v>
      </c>
      <c r="R285" s="25">
        <v>44599</v>
      </c>
      <c r="S285" s="28"/>
      <c r="T285" s="35"/>
      <c r="U285" s="35"/>
      <c r="V285" s="29"/>
      <c r="W285" s="35"/>
      <c r="X285" s="29"/>
      <c r="Y285" s="36"/>
      <c r="Z285" s="29"/>
      <c r="AA285" s="31">
        <f t="shared" si="1"/>
        <v>44599</v>
      </c>
      <c r="AB285" s="32" t="str">
        <f t="shared" si="5"/>
        <v>febrero</v>
      </c>
    </row>
    <row r="286" spans="1:28" ht="12.75">
      <c r="A286" s="9" t="s">
        <v>54</v>
      </c>
      <c r="B286" s="10">
        <v>44602</v>
      </c>
      <c r="C286" s="11"/>
      <c r="D286" s="49">
        <v>6</v>
      </c>
      <c r="E286" s="13" t="s">
        <v>487</v>
      </c>
      <c r="F286" s="13">
        <v>3025457</v>
      </c>
      <c r="G286" s="14">
        <v>27226</v>
      </c>
      <c r="H286" s="15">
        <v>6950</v>
      </c>
      <c r="I286" s="16">
        <f t="shared" si="46"/>
        <v>189220700</v>
      </c>
      <c r="J286" s="17">
        <v>56</v>
      </c>
      <c r="K286" s="34">
        <v>4502268726</v>
      </c>
      <c r="L286" s="19">
        <v>5080445310</v>
      </c>
      <c r="M286" s="20">
        <v>5113097339</v>
      </c>
      <c r="N286" s="21"/>
      <c r="O286" s="22" t="s">
        <v>172</v>
      </c>
      <c r="P286" s="23"/>
      <c r="Q286" s="24" t="s">
        <v>31</v>
      </c>
      <c r="R286" s="25">
        <v>44600</v>
      </c>
      <c r="S286" s="28">
        <v>4902205974</v>
      </c>
      <c r="T286" s="27">
        <f>2979200*4</f>
        <v>11916800</v>
      </c>
      <c r="U286" s="28" t="s">
        <v>488</v>
      </c>
      <c r="V286" s="29">
        <v>5113094372</v>
      </c>
      <c r="W286" s="35"/>
      <c r="X286" s="29"/>
      <c r="Y286" s="36"/>
      <c r="Z286" s="29"/>
      <c r="AA286" s="31">
        <f t="shared" si="1"/>
        <v>44600</v>
      </c>
      <c r="AB286" s="32" t="str">
        <f t="shared" si="5"/>
        <v>febrero</v>
      </c>
    </row>
    <row r="287" spans="1:28" ht="12.75">
      <c r="A287" s="9" t="s">
        <v>489</v>
      </c>
      <c r="B287" s="10">
        <v>44607</v>
      </c>
      <c r="C287" s="11">
        <v>44608</v>
      </c>
      <c r="D287" s="49">
        <v>6</v>
      </c>
      <c r="E287" s="13" t="s">
        <v>490</v>
      </c>
      <c r="F287" s="13">
        <v>3025457</v>
      </c>
      <c r="G287" s="37">
        <v>6018.5</v>
      </c>
      <c r="H287" s="33">
        <v>7750</v>
      </c>
      <c r="I287" s="16">
        <f t="shared" si="46"/>
        <v>46643375</v>
      </c>
      <c r="J287" s="17">
        <v>14</v>
      </c>
      <c r="K287" s="34">
        <v>4502264968</v>
      </c>
      <c r="L287" s="19">
        <v>5080445248</v>
      </c>
      <c r="M287" s="20">
        <v>5113110099</v>
      </c>
      <c r="N287" s="23"/>
      <c r="O287" s="9" t="s">
        <v>37</v>
      </c>
      <c r="P287" s="23"/>
      <c r="Q287" s="24" t="s">
        <v>31</v>
      </c>
      <c r="R287" s="25">
        <v>44600</v>
      </c>
      <c r="S287" s="28"/>
      <c r="T287" s="35"/>
      <c r="U287" s="35"/>
      <c r="V287" s="29"/>
      <c r="W287" s="35"/>
      <c r="X287" s="29"/>
      <c r="Y287" s="36"/>
      <c r="Z287" s="29"/>
      <c r="AA287" s="31">
        <f t="shared" si="1"/>
        <v>44600</v>
      </c>
      <c r="AB287" s="32" t="str">
        <f t="shared" si="5"/>
        <v>febrero</v>
      </c>
    </row>
    <row r="288" spans="1:28" ht="12.75">
      <c r="A288" s="9" t="s">
        <v>489</v>
      </c>
      <c r="B288" s="10">
        <v>44607</v>
      </c>
      <c r="C288" s="11">
        <v>44608</v>
      </c>
      <c r="D288" s="49">
        <v>6</v>
      </c>
      <c r="E288" s="13" t="s">
        <v>123</v>
      </c>
      <c r="F288" s="13">
        <v>3025457</v>
      </c>
      <c r="G288" s="37">
        <v>6018.5</v>
      </c>
      <c r="H288" s="33">
        <f>7788.07-7750</f>
        <v>38.069999999999709</v>
      </c>
      <c r="I288" s="16">
        <f t="shared" si="46"/>
        <v>229124.29499999824</v>
      </c>
      <c r="J288" s="17">
        <v>0</v>
      </c>
      <c r="K288" s="34">
        <v>4502264968</v>
      </c>
      <c r="L288" s="19">
        <v>5080445248</v>
      </c>
      <c r="M288" s="20">
        <v>5113110102</v>
      </c>
      <c r="N288" s="21"/>
      <c r="O288" s="9"/>
      <c r="P288" s="23"/>
      <c r="Q288" s="24" t="s">
        <v>31</v>
      </c>
      <c r="R288" s="25">
        <v>44600</v>
      </c>
      <c r="S288" s="28"/>
      <c r="T288" s="35"/>
      <c r="U288" s="35"/>
      <c r="V288" s="29"/>
      <c r="W288" s="35"/>
      <c r="X288" s="29"/>
      <c r="Y288" s="36"/>
      <c r="Z288" s="29"/>
      <c r="AA288" s="31">
        <f t="shared" si="1"/>
        <v>44600</v>
      </c>
      <c r="AB288" s="32" t="str">
        <f t="shared" si="5"/>
        <v>febrero</v>
      </c>
    </row>
    <row r="289" spans="1:28" ht="12.75">
      <c r="A289" s="9" t="s">
        <v>135</v>
      </c>
      <c r="B289" s="10">
        <v>44607</v>
      </c>
      <c r="C289" s="11"/>
      <c r="D289" s="49">
        <v>6</v>
      </c>
      <c r="E289" s="13" t="s">
        <v>491</v>
      </c>
      <c r="F289" s="13">
        <v>3025457</v>
      </c>
      <c r="G289" s="14">
        <v>6145</v>
      </c>
      <c r="H289" s="33">
        <v>7750</v>
      </c>
      <c r="I289" s="16">
        <f t="shared" si="46"/>
        <v>47623750</v>
      </c>
      <c r="J289" s="17">
        <v>15</v>
      </c>
      <c r="K289" s="34">
        <v>4502264114</v>
      </c>
      <c r="L289" s="19">
        <v>5080445287</v>
      </c>
      <c r="M289" s="20">
        <v>5113110823</v>
      </c>
      <c r="N289" s="23"/>
      <c r="O289" s="9" t="s">
        <v>37</v>
      </c>
      <c r="P289" s="23"/>
      <c r="Q289" s="24" t="s">
        <v>31</v>
      </c>
      <c r="R289" s="25">
        <v>44600</v>
      </c>
      <c r="S289" s="28"/>
      <c r="T289" s="35"/>
      <c r="U289" s="35"/>
      <c r="V289" s="29"/>
      <c r="W289" s="35"/>
      <c r="X289" s="29"/>
      <c r="Y289" s="36"/>
      <c r="Z289" s="29"/>
      <c r="AA289" s="31">
        <f t="shared" si="1"/>
        <v>44600</v>
      </c>
      <c r="AB289" s="32" t="str">
        <f t="shared" si="5"/>
        <v>febrero</v>
      </c>
    </row>
    <row r="290" spans="1:28" ht="12.75">
      <c r="A290" s="9" t="s">
        <v>135</v>
      </c>
      <c r="B290" s="10">
        <v>44607</v>
      </c>
      <c r="C290" s="11"/>
      <c r="D290" s="49">
        <v>6</v>
      </c>
      <c r="E290" s="13" t="s">
        <v>288</v>
      </c>
      <c r="F290" s="13">
        <v>3025457</v>
      </c>
      <c r="G290" s="14">
        <v>6145</v>
      </c>
      <c r="H290" s="33">
        <f>7750-7718.6</f>
        <v>31.399999999999636</v>
      </c>
      <c r="I290" s="16">
        <f>-H290*G290</f>
        <v>-192952.99999999776</v>
      </c>
      <c r="J290" s="17">
        <v>0</v>
      </c>
      <c r="K290" s="34">
        <v>4502264114</v>
      </c>
      <c r="L290" s="19">
        <v>5080445287</v>
      </c>
      <c r="M290" s="20">
        <v>5113110826</v>
      </c>
      <c r="N290" s="23"/>
      <c r="O290" s="9"/>
      <c r="P290" s="23"/>
      <c r="Q290" s="24" t="s">
        <v>31</v>
      </c>
      <c r="R290" s="25">
        <v>44600</v>
      </c>
      <c r="S290" s="28"/>
      <c r="T290" s="35"/>
      <c r="U290" s="35"/>
      <c r="V290" s="29"/>
      <c r="W290" s="35"/>
      <c r="X290" s="29"/>
      <c r="Y290" s="36"/>
      <c r="Z290" s="29"/>
      <c r="AA290" s="31">
        <f t="shared" si="1"/>
        <v>44600</v>
      </c>
      <c r="AB290" s="32" t="str">
        <f t="shared" si="5"/>
        <v>febrero</v>
      </c>
    </row>
    <row r="291" spans="1:28" ht="12.75">
      <c r="A291" s="9" t="s">
        <v>492</v>
      </c>
      <c r="B291" s="10">
        <v>44607</v>
      </c>
      <c r="C291" s="11">
        <v>44608</v>
      </c>
      <c r="D291" s="49">
        <v>6</v>
      </c>
      <c r="E291" s="13" t="s">
        <v>493</v>
      </c>
      <c r="F291" s="13">
        <v>3025457</v>
      </c>
      <c r="G291" s="37">
        <v>6200.5</v>
      </c>
      <c r="H291" s="33">
        <v>7750</v>
      </c>
      <c r="I291" s="16">
        <f t="shared" ref="I291:I296" si="47">H291*G291</f>
        <v>48053875</v>
      </c>
      <c r="J291" s="17">
        <v>15</v>
      </c>
      <c r="K291" s="34">
        <v>4502264115</v>
      </c>
      <c r="L291" s="19">
        <v>5080445308</v>
      </c>
      <c r="M291" s="20">
        <v>5113110046</v>
      </c>
      <c r="N291" s="23"/>
      <c r="O291" s="9" t="s">
        <v>37</v>
      </c>
      <c r="P291" s="23"/>
      <c r="Q291" s="24" t="s">
        <v>31</v>
      </c>
      <c r="R291" s="25">
        <v>44600</v>
      </c>
      <c r="S291" s="28"/>
      <c r="T291" s="35"/>
      <c r="U291" s="35"/>
      <c r="V291" s="29"/>
      <c r="W291" s="35"/>
      <c r="X291" s="29"/>
      <c r="Y291" s="36"/>
      <c r="Z291" s="29"/>
      <c r="AA291" s="31">
        <f t="shared" si="1"/>
        <v>44600</v>
      </c>
      <c r="AB291" s="32" t="str">
        <f t="shared" si="5"/>
        <v>febrero</v>
      </c>
    </row>
    <row r="292" spans="1:28" ht="12.75">
      <c r="A292" s="9" t="s">
        <v>492</v>
      </c>
      <c r="B292" s="10">
        <v>44607</v>
      </c>
      <c r="C292" s="11">
        <v>44608</v>
      </c>
      <c r="D292" s="49">
        <v>6</v>
      </c>
      <c r="E292" s="13" t="s">
        <v>123</v>
      </c>
      <c r="F292" s="13">
        <v>3025457</v>
      </c>
      <c r="G292" s="37">
        <v>6200.5</v>
      </c>
      <c r="H292" s="33">
        <f>7756.15-7750</f>
        <v>6.1499999999996362</v>
      </c>
      <c r="I292" s="16">
        <f t="shared" si="47"/>
        <v>38133.074999997742</v>
      </c>
      <c r="J292" s="17">
        <v>0</v>
      </c>
      <c r="K292" s="34">
        <v>4502264115</v>
      </c>
      <c r="L292" s="19">
        <v>5080445308</v>
      </c>
      <c r="M292" s="20">
        <v>5113110078</v>
      </c>
      <c r="N292" s="23"/>
      <c r="O292" s="9"/>
      <c r="P292" s="23"/>
      <c r="Q292" s="24" t="s">
        <v>31</v>
      </c>
      <c r="R292" s="25">
        <v>44600</v>
      </c>
      <c r="S292" s="28"/>
      <c r="T292" s="35"/>
      <c r="U292" s="35"/>
      <c r="V292" s="29"/>
      <c r="W292" s="35"/>
      <c r="X292" s="29"/>
      <c r="Y292" s="36"/>
      <c r="Z292" s="29"/>
      <c r="AA292" s="31">
        <f t="shared" si="1"/>
        <v>44600</v>
      </c>
      <c r="AB292" s="32" t="str">
        <f t="shared" si="5"/>
        <v>febrero</v>
      </c>
    </row>
    <row r="293" spans="1:28" ht="12.75">
      <c r="A293" s="9" t="s">
        <v>168</v>
      </c>
      <c r="B293" s="10">
        <v>44602</v>
      </c>
      <c r="C293" s="11"/>
      <c r="D293" s="49">
        <v>6</v>
      </c>
      <c r="E293" s="13" t="s">
        <v>494</v>
      </c>
      <c r="F293" s="13">
        <v>3025457</v>
      </c>
      <c r="G293" s="37">
        <v>13734.5</v>
      </c>
      <c r="H293" s="33">
        <v>7750</v>
      </c>
      <c r="I293" s="16">
        <f t="shared" si="47"/>
        <v>106442375</v>
      </c>
      <c r="J293" s="17">
        <v>28</v>
      </c>
      <c r="K293" s="34">
        <v>4502264117</v>
      </c>
      <c r="L293" s="19">
        <v>5080445137</v>
      </c>
      <c r="M293" s="20">
        <v>5113098752</v>
      </c>
      <c r="N293" s="23"/>
      <c r="O293" s="9" t="s">
        <v>63</v>
      </c>
      <c r="P293" s="23"/>
      <c r="Q293" s="24" t="s">
        <v>31</v>
      </c>
      <c r="R293" s="25">
        <v>44600</v>
      </c>
      <c r="S293" s="28"/>
      <c r="T293" s="35"/>
      <c r="U293" s="35"/>
      <c r="V293" s="29"/>
      <c r="W293" s="35"/>
      <c r="X293" s="29"/>
      <c r="Y293" s="36"/>
      <c r="Z293" s="29"/>
      <c r="AA293" s="31">
        <f t="shared" si="1"/>
        <v>44600</v>
      </c>
      <c r="AB293" s="32" t="str">
        <f t="shared" si="5"/>
        <v>febrero</v>
      </c>
    </row>
    <row r="294" spans="1:28" ht="12.75">
      <c r="A294" s="22" t="s">
        <v>495</v>
      </c>
      <c r="B294" s="10">
        <v>44607</v>
      </c>
      <c r="C294" s="11">
        <v>44607</v>
      </c>
      <c r="D294" s="53">
        <v>7</v>
      </c>
      <c r="E294" s="13" t="s">
        <v>496</v>
      </c>
      <c r="F294" s="13">
        <v>3025460</v>
      </c>
      <c r="G294" s="37">
        <v>21940.5</v>
      </c>
      <c r="H294" s="33">
        <v>7600</v>
      </c>
      <c r="I294" s="16">
        <f t="shared" si="47"/>
        <v>166747800</v>
      </c>
      <c r="J294" s="17">
        <v>45</v>
      </c>
      <c r="K294" s="34">
        <v>4502269514</v>
      </c>
      <c r="L294" s="19">
        <v>5080477983</v>
      </c>
      <c r="M294" s="20">
        <v>5113107174</v>
      </c>
      <c r="O294" s="9" t="s">
        <v>37</v>
      </c>
      <c r="P294" s="23"/>
      <c r="Q294" s="24" t="s">
        <v>31</v>
      </c>
      <c r="R294" s="25">
        <v>44602</v>
      </c>
      <c r="S294" s="28"/>
      <c r="T294" s="35"/>
      <c r="U294" s="35"/>
      <c r="V294" s="29"/>
      <c r="W294" s="35"/>
      <c r="X294" s="29"/>
      <c r="Y294" s="36"/>
      <c r="Z294" s="29"/>
      <c r="AA294" s="31">
        <f t="shared" si="1"/>
        <v>44602</v>
      </c>
      <c r="AB294" s="32" t="str">
        <f t="shared" si="5"/>
        <v>febrero</v>
      </c>
    </row>
    <row r="295" spans="1:28" ht="12.75">
      <c r="A295" s="22" t="s">
        <v>495</v>
      </c>
      <c r="B295" s="10">
        <v>44607</v>
      </c>
      <c r="C295" s="11"/>
      <c r="D295" s="53">
        <v>7</v>
      </c>
      <c r="E295" s="13" t="s">
        <v>497</v>
      </c>
      <c r="F295" s="13">
        <v>3025460</v>
      </c>
      <c r="G295" s="37">
        <v>21940.5</v>
      </c>
      <c r="H295" s="33">
        <v>50</v>
      </c>
      <c r="I295" s="16">
        <f t="shared" si="47"/>
        <v>1097025</v>
      </c>
      <c r="J295" s="17">
        <v>0</v>
      </c>
      <c r="K295" s="34">
        <v>4502269514</v>
      </c>
      <c r="L295" s="19">
        <v>5080477983</v>
      </c>
      <c r="M295" s="20">
        <v>5113107186</v>
      </c>
      <c r="N295" s="23"/>
      <c r="O295" s="9"/>
      <c r="P295" s="23"/>
      <c r="Q295" s="24" t="s">
        <v>31</v>
      </c>
      <c r="R295" s="25">
        <v>44602</v>
      </c>
      <c r="S295" s="28"/>
      <c r="T295" s="35"/>
      <c r="U295" s="35"/>
      <c r="V295" s="29"/>
      <c r="W295" s="35"/>
      <c r="X295" s="29"/>
      <c r="Y295" s="36"/>
      <c r="Z295" s="29"/>
      <c r="AA295" s="31">
        <f t="shared" si="1"/>
        <v>44602</v>
      </c>
      <c r="AB295" s="32" t="str">
        <f t="shared" si="5"/>
        <v>febrero</v>
      </c>
    </row>
    <row r="296" spans="1:28" ht="12.75">
      <c r="A296" s="9" t="s">
        <v>233</v>
      </c>
      <c r="B296" s="10">
        <v>44602</v>
      </c>
      <c r="C296" s="11">
        <v>44606</v>
      </c>
      <c r="D296" s="53">
        <v>7</v>
      </c>
      <c r="E296" s="13" t="s">
        <v>498</v>
      </c>
      <c r="F296" s="13">
        <v>3025460</v>
      </c>
      <c r="G296" s="37">
        <v>24633.5</v>
      </c>
      <c r="H296" s="33">
        <v>7650</v>
      </c>
      <c r="I296" s="16">
        <f t="shared" si="47"/>
        <v>188446275</v>
      </c>
      <c r="J296" s="17">
        <v>56</v>
      </c>
      <c r="K296" s="34">
        <v>4502269032</v>
      </c>
      <c r="L296" s="19">
        <v>5080477948</v>
      </c>
      <c r="M296" s="20">
        <v>5113103340</v>
      </c>
      <c r="N296" s="21"/>
      <c r="O296" s="9" t="s">
        <v>37</v>
      </c>
      <c r="P296" s="23"/>
      <c r="Q296" s="24" t="s">
        <v>31</v>
      </c>
      <c r="R296" s="25">
        <v>44602</v>
      </c>
      <c r="S296" s="28"/>
      <c r="T296" s="35"/>
      <c r="U296" s="35"/>
      <c r="V296" s="29"/>
      <c r="W296" s="35"/>
      <c r="X296" s="29"/>
      <c r="Y296" s="36"/>
      <c r="Z296" s="29"/>
      <c r="AA296" s="31">
        <f t="shared" si="1"/>
        <v>44602</v>
      </c>
      <c r="AB296" s="32" t="str">
        <f t="shared" si="5"/>
        <v>febrero</v>
      </c>
    </row>
    <row r="297" spans="1:28" ht="12.75">
      <c r="A297" s="9" t="s">
        <v>233</v>
      </c>
      <c r="B297" s="10">
        <v>44602</v>
      </c>
      <c r="C297" s="11">
        <v>44606</v>
      </c>
      <c r="D297" s="53">
        <v>7</v>
      </c>
      <c r="E297" s="13" t="s">
        <v>499</v>
      </c>
      <c r="F297" s="13">
        <v>3025460</v>
      </c>
      <c r="G297" s="37">
        <v>24633.5</v>
      </c>
      <c r="H297" s="33">
        <f>7650-7646.78</f>
        <v>3.2200000000002547</v>
      </c>
      <c r="I297" s="16">
        <f>-H297*G297</f>
        <v>-79319.870000006267</v>
      </c>
      <c r="J297" s="17">
        <v>0</v>
      </c>
      <c r="K297" s="34">
        <v>4502269032</v>
      </c>
      <c r="L297" s="19">
        <v>5080477948</v>
      </c>
      <c r="M297" s="20">
        <v>5113103386</v>
      </c>
      <c r="N297" s="21"/>
      <c r="O297" s="9"/>
      <c r="P297" s="23"/>
      <c r="Q297" s="24" t="s">
        <v>31</v>
      </c>
      <c r="R297" s="25">
        <v>44602</v>
      </c>
      <c r="S297" s="28"/>
      <c r="T297" s="35"/>
      <c r="U297" s="35"/>
      <c r="V297" s="29"/>
      <c r="W297" s="35"/>
      <c r="X297" s="29"/>
      <c r="Y297" s="36"/>
      <c r="Z297" s="29"/>
      <c r="AA297" s="31">
        <f t="shared" si="1"/>
        <v>44602</v>
      </c>
      <c r="AB297" s="32" t="str">
        <f t="shared" si="5"/>
        <v>febrero</v>
      </c>
    </row>
    <row r="298" spans="1:28" ht="12.75">
      <c r="A298" s="9" t="s">
        <v>213</v>
      </c>
      <c r="B298" s="10">
        <v>44602</v>
      </c>
      <c r="C298" s="11">
        <v>44606</v>
      </c>
      <c r="D298" s="53">
        <v>7</v>
      </c>
      <c r="E298" s="13" t="s">
        <v>500</v>
      </c>
      <c r="F298" s="13">
        <v>3025460</v>
      </c>
      <c r="G298" s="37">
        <v>6579.5</v>
      </c>
      <c r="H298" s="33">
        <v>7500</v>
      </c>
      <c r="I298" s="16">
        <f t="shared" ref="I298:I303" si="48">H298*G298</f>
        <v>49346250</v>
      </c>
      <c r="J298" s="17">
        <v>14</v>
      </c>
      <c r="K298" s="34">
        <v>4502269035</v>
      </c>
      <c r="L298" s="19">
        <v>5080477949</v>
      </c>
      <c r="M298" s="20">
        <v>5113105817</v>
      </c>
      <c r="N298" s="21"/>
      <c r="O298" s="9" t="s">
        <v>37</v>
      </c>
      <c r="P298" s="23"/>
      <c r="Q298" s="24" t="s">
        <v>31</v>
      </c>
      <c r="R298" s="25">
        <v>44602</v>
      </c>
      <c r="S298" s="28"/>
      <c r="T298" s="35"/>
      <c r="U298" s="35"/>
      <c r="V298" s="29"/>
      <c r="W298" s="35"/>
      <c r="X298" s="29"/>
      <c r="Y298" s="36"/>
      <c r="Z298" s="29"/>
      <c r="AA298" s="31">
        <f t="shared" si="1"/>
        <v>44602</v>
      </c>
      <c r="AB298" s="32" t="str">
        <f t="shared" si="5"/>
        <v>febrero</v>
      </c>
    </row>
    <row r="299" spans="1:28" ht="12.75">
      <c r="A299" s="22" t="s">
        <v>501</v>
      </c>
      <c r="B299" s="10">
        <v>44604</v>
      </c>
      <c r="C299" s="11"/>
      <c r="D299" s="53">
        <v>7</v>
      </c>
      <c r="E299" s="13" t="s">
        <v>502</v>
      </c>
      <c r="F299" s="13">
        <v>3025460</v>
      </c>
      <c r="G299" s="14">
        <v>20249</v>
      </c>
      <c r="H299" s="33">
        <v>7600</v>
      </c>
      <c r="I299" s="16">
        <f t="shared" si="48"/>
        <v>153892400</v>
      </c>
      <c r="J299" s="17">
        <v>42</v>
      </c>
      <c r="K299" s="34">
        <v>4502269036</v>
      </c>
      <c r="L299" s="19">
        <v>5080477950</v>
      </c>
      <c r="M299" s="20">
        <v>5113110129</v>
      </c>
      <c r="N299" s="21"/>
      <c r="O299" s="9"/>
      <c r="P299" s="23"/>
      <c r="Q299" s="24" t="s">
        <v>31</v>
      </c>
      <c r="R299" s="25">
        <v>44602</v>
      </c>
      <c r="S299" s="28"/>
      <c r="T299" s="35"/>
      <c r="U299" s="35"/>
      <c r="V299" s="29"/>
      <c r="W299" s="35"/>
      <c r="X299" s="29"/>
      <c r="Y299" s="36"/>
      <c r="Z299" s="29"/>
      <c r="AA299" s="31">
        <f t="shared" si="1"/>
        <v>44602</v>
      </c>
      <c r="AB299" s="32" t="str">
        <f t="shared" si="5"/>
        <v>febrero</v>
      </c>
    </row>
    <row r="300" spans="1:28" ht="12.75">
      <c r="A300" s="22" t="s">
        <v>501</v>
      </c>
      <c r="B300" s="10">
        <v>44604</v>
      </c>
      <c r="C300" s="11"/>
      <c r="D300" s="53">
        <v>7</v>
      </c>
      <c r="E300" s="13" t="s">
        <v>503</v>
      </c>
      <c r="F300" s="13">
        <v>3025460</v>
      </c>
      <c r="G300" s="14">
        <v>20249</v>
      </c>
      <c r="H300" s="33">
        <f>7736.14-7600</f>
        <v>136.14000000000033</v>
      </c>
      <c r="I300" s="16">
        <f t="shared" si="48"/>
        <v>2756698.8600000069</v>
      </c>
      <c r="J300" s="17">
        <v>0</v>
      </c>
      <c r="K300" s="34">
        <v>4502269036</v>
      </c>
      <c r="L300" s="19">
        <v>5080477950</v>
      </c>
      <c r="M300" s="20">
        <v>5113110131</v>
      </c>
      <c r="N300" s="21"/>
      <c r="O300" s="9"/>
      <c r="P300" s="23"/>
      <c r="Q300" s="24" t="s">
        <v>31</v>
      </c>
      <c r="R300" s="25">
        <v>44602</v>
      </c>
      <c r="S300" s="28"/>
      <c r="T300" s="35"/>
      <c r="U300" s="35"/>
      <c r="V300" s="29"/>
      <c r="W300" s="35"/>
      <c r="X300" s="29"/>
      <c r="Y300" s="36"/>
      <c r="Z300" s="29"/>
      <c r="AA300" s="31">
        <f t="shared" si="1"/>
        <v>44602</v>
      </c>
      <c r="AB300" s="32" t="str">
        <f t="shared" si="5"/>
        <v>febrero</v>
      </c>
    </row>
    <row r="301" spans="1:28" ht="12.75">
      <c r="A301" s="22" t="s">
        <v>428</v>
      </c>
      <c r="B301" s="10">
        <v>44602</v>
      </c>
      <c r="C301" s="11">
        <v>44603</v>
      </c>
      <c r="D301" s="53">
        <v>7</v>
      </c>
      <c r="E301" s="13" t="s">
        <v>504</v>
      </c>
      <c r="F301" s="13">
        <v>3025460</v>
      </c>
      <c r="G301" s="14">
        <v>74742</v>
      </c>
      <c r="H301" s="33">
        <v>7750</v>
      </c>
      <c r="I301" s="16">
        <f t="shared" si="48"/>
        <v>579250500</v>
      </c>
      <c r="J301" s="17">
        <v>140</v>
      </c>
      <c r="K301" s="34">
        <v>4502269037</v>
      </c>
      <c r="L301" s="19">
        <v>5080477951</v>
      </c>
      <c r="M301" s="20">
        <v>5113102237</v>
      </c>
      <c r="N301" s="23"/>
      <c r="O301" s="9" t="s">
        <v>37</v>
      </c>
      <c r="P301" s="23"/>
      <c r="Q301" s="24" t="s">
        <v>31</v>
      </c>
      <c r="R301" s="25">
        <v>44602</v>
      </c>
      <c r="S301" s="28"/>
      <c r="T301" s="35"/>
      <c r="U301" s="35"/>
      <c r="V301" s="29"/>
      <c r="W301" s="35"/>
      <c r="X301" s="29"/>
      <c r="Y301" s="36"/>
      <c r="Z301" s="29"/>
      <c r="AA301" s="31">
        <f t="shared" si="1"/>
        <v>44602</v>
      </c>
      <c r="AB301" s="32" t="str">
        <f t="shared" si="5"/>
        <v>febrero</v>
      </c>
    </row>
    <row r="302" spans="1:28" ht="12.75">
      <c r="A302" s="22" t="s">
        <v>428</v>
      </c>
      <c r="B302" s="10">
        <v>44602</v>
      </c>
      <c r="C302" s="11">
        <v>44603</v>
      </c>
      <c r="D302" s="53">
        <v>7</v>
      </c>
      <c r="E302" s="13" t="s">
        <v>505</v>
      </c>
      <c r="F302" s="13">
        <v>3025460</v>
      </c>
      <c r="G302" s="14">
        <v>74742</v>
      </c>
      <c r="H302" s="33">
        <f>7837.87-7750</f>
        <v>87.869999999999891</v>
      </c>
      <c r="I302" s="16">
        <f t="shared" si="48"/>
        <v>6567579.5399999917</v>
      </c>
      <c r="J302" s="17">
        <v>0</v>
      </c>
      <c r="K302" s="34">
        <v>4502269037</v>
      </c>
      <c r="L302" s="19">
        <v>5080477951</v>
      </c>
      <c r="M302" s="20">
        <v>5113103563</v>
      </c>
      <c r="N302" s="23"/>
      <c r="O302" s="9"/>
      <c r="P302" s="23"/>
      <c r="Q302" s="24" t="s">
        <v>31</v>
      </c>
      <c r="R302" s="25">
        <v>44602</v>
      </c>
      <c r="S302" s="28"/>
      <c r="T302" s="35"/>
      <c r="U302" s="35"/>
      <c r="V302" s="29"/>
      <c r="W302" s="35"/>
      <c r="X302" s="29"/>
      <c r="Y302" s="36"/>
      <c r="Z302" s="29"/>
      <c r="AA302" s="31">
        <f t="shared" si="1"/>
        <v>44602</v>
      </c>
      <c r="AB302" s="32" t="str">
        <f t="shared" si="5"/>
        <v>febrero</v>
      </c>
    </row>
    <row r="303" spans="1:28" ht="12.75">
      <c r="A303" s="9" t="s">
        <v>233</v>
      </c>
      <c r="B303" s="10">
        <v>44603</v>
      </c>
      <c r="C303" s="11">
        <v>44607</v>
      </c>
      <c r="D303" s="53">
        <v>7</v>
      </c>
      <c r="E303" s="13" t="s">
        <v>506</v>
      </c>
      <c r="F303" s="13">
        <v>3025460</v>
      </c>
      <c r="G303" s="37">
        <v>27170.5</v>
      </c>
      <c r="H303" s="33">
        <v>7650</v>
      </c>
      <c r="I303" s="16">
        <f t="shared" si="48"/>
        <v>207854325</v>
      </c>
      <c r="J303" s="17">
        <v>60</v>
      </c>
      <c r="K303" s="34">
        <v>4502269038</v>
      </c>
      <c r="L303" s="19">
        <v>5080507254</v>
      </c>
      <c r="M303" s="20">
        <v>5113107171</v>
      </c>
      <c r="N303" s="23"/>
      <c r="O303" s="9" t="s">
        <v>37</v>
      </c>
      <c r="P303" s="23"/>
      <c r="Q303" s="24" t="s">
        <v>31</v>
      </c>
      <c r="R303" s="25">
        <v>44603</v>
      </c>
      <c r="S303" s="28"/>
      <c r="T303" s="35"/>
      <c r="U303" s="35"/>
      <c r="V303" s="29"/>
      <c r="W303" s="35"/>
      <c r="X303" s="29"/>
      <c r="Y303" s="36"/>
      <c r="Z303" s="29"/>
      <c r="AA303" s="31">
        <f t="shared" si="1"/>
        <v>44603</v>
      </c>
      <c r="AB303" s="32" t="str">
        <f t="shared" si="5"/>
        <v>febrero</v>
      </c>
    </row>
    <row r="304" spans="1:28" ht="12.75">
      <c r="A304" s="9" t="s">
        <v>233</v>
      </c>
      <c r="B304" s="10">
        <v>44603</v>
      </c>
      <c r="C304" s="11">
        <v>44607</v>
      </c>
      <c r="D304" s="53">
        <v>7</v>
      </c>
      <c r="E304" s="13" t="s">
        <v>507</v>
      </c>
      <c r="F304" s="13">
        <v>3025460</v>
      </c>
      <c r="G304" s="37">
        <v>27170.5</v>
      </c>
      <c r="H304" s="33">
        <f>7650-7647.11</f>
        <v>2.8900000000003274</v>
      </c>
      <c r="I304" s="16">
        <f>-H304*G304</f>
        <v>-78522.745000008901</v>
      </c>
      <c r="J304" s="17">
        <v>0</v>
      </c>
      <c r="K304" s="34">
        <v>4502269038</v>
      </c>
      <c r="L304" s="19">
        <v>5080507254</v>
      </c>
      <c r="M304" s="20">
        <v>5113107173</v>
      </c>
      <c r="N304" s="21"/>
      <c r="O304" s="9"/>
      <c r="P304" s="23"/>
      <c r="Q304" s="24" t="s">
        <v>31</v>
      </c>
      <c r="R304" s="25">
        <v>44603</v>
      </c>
      <c r="S304" s="28"/>
      <c r="T304" s="35"/>
      <c r="U304" s="35"/>
      <c r="V304" s="29"/>
      <c r="W304" s="35"/>
      <c r="X304" s="29"/>
      <c r="Y304" s="36"/>
      <c r="Z304" s="29"/>
      <c r="AA304" s="31">
        <f t="shared" si="1"/>
        <v>44603</v>
      </c>
      <c r="AB304" s="32" t="str">
        <f t="shared" si="5"/>
        <v>febrero</v>
      </c>
    </row>
    <row r="305" spans="1:28" ht="12.75">
      <c r="A305" s="9" t="s">
        <v>213</v>
      </c>
      <c r="B305" s="10">
        <v>44603</v>
      </c>
      <c r="C305" s="11">
        <v>44607</v>
      </c>
      <c r="D305" s="53">
        <v>7</v>
      </c>
      <c r="E305" s="13" t="s">
        <v>508</v>
      </c>
      <c r="F305" s="13">
        <v>3025460</v>
      </c>
      <c r="G305" s="14">
        <v>14095</v>
      </c>
      <c r="H305" s="33">
        <v>7500</v>
      </c>
      <c r="I305" s="16">
        <f t="shared" ref="I305:I307" si="49">H305*G305</f>
        <v>105712500</v>
      </c>
      <c r="J305" s="17">
        <v>29</v>
      </c>
      <c r="K305" s="34">
        <v>4502269039</v>
      </c>
      <c r="L305" s="19">
        <v>5080507443</v>
      </c>
      <c r="M305" s="20">
        <v>5113107298</v>
      </c>
      <c r="N305" s="23"/>
      <c r="O305" s="9" t="s">
        <v>37</v>
      </c>
      <c r="P305" s="23"/>
      <c r="Q305" s="24" t="s">
        <v>31</v>
      </c>
      <c r="R305" s="25">
        <v>44603</v>
      </c>
      <c r="S305" s="28"/>
      <c r="T305" s="35"/>
      <c r="U305" s="35"/>
      <c r="V305" s="29"/>
      <c r="W305" s="35"/>
      <c r="X305" s="29"/>
      <c r="Y305" s="36"/>
      <c r="Z305" s="29"/>
      <c r="AA305" s="31">
        <f t="shared" si="1"/>
        <v>44603</v>
      </c>
      <c r="AB305" s="32" t="str">
        <f t="shared" si="5"/>
        <v>febrero</v>
      </c>
    </row>
    <row r="306" spans="1:28" ht="12.75">
      <c r="A306" s="9" t="s">
        <v>213</v>
      </c>
      <c r="B306" s="10">
        <v>44603</v>
      </c>
      <c r="C306" s="11">
        <v>44607</v>
      </c>
      <c r="D306" s="53">
        <v>7</v>
      </c>
      <c r="E306" s="13" t="s">
        <v>163</v>
      </c>
      <c r="F306" s="13">
        <v>3025460</v>
      </c>
      <c r="G306" s="14">
        <v>14095</v>
      </c>
      <c r="H306" s="33">
        <v>50</v>
      </c>
      <c r="I306" s="16">
        <f t="shared" si="49"/>
        <v>704750</v>
      </c>
      <c r="J306" s="17">
        <v>0</v>
      </c>
      <c r="K306" s="34">
        <v>4502269039</v>
      </c>
      <c r="L306" s="19">
        <v>5080507443</v>
      </c>
      <c r="M306" s="20">
        <v>5113107299</v>
      </c>
      <c r="N306" s="23"/>
      <c r="O306" s="9"/>
      <c r="P306" s="23"/>
      <c r="Q306" s="24" t="s">
        <v>31</v>
      </c>
      <c r="R306" s="25">
        <v>44603</v>
      </c>
      <c r="S306" s="28"/>
      <c r="T306" s="35"/>
      <c r="U306" s="35"/>
      <c r="V306" s="29"/>
      <c r="W306" s="35"/>
      <c r="X306" s="29"/>
      <c r="Y306" s="36"/>
      <c r="Z306" s="29"/>
      <c r="AA306" s="31">
        <f t="shared" si="1"/>
        <v>44603</v>
      </c>
      <c r="AB306" s="32" t="str">
        <f t="shared" si="5"/>
        <v>febrero</v>
      </c>
    </row>
    <row r="307" spans="1:28" ht="12.75">
      <c r="A307" s="9" t="s">
        <v>58</v>
      </c>
      <c r="B307" s="10">
        <v>44610</v>
      </c>
      <c r="C307" s="11">
        <v>44610</v>
      </c>
      <c r="D307" s="53">
        <v>7</v>
      </c>
      <c r="E307" s="13" t="s">
        <v>509</v>
      </c>
      <c r="F307" s="13">
        <v>3025460</v>
      </c>
      <c r="G307" s="14">
        <v>40329</v>
      </c>
      <c r="H307" s="33">
        <v>7800</v>
      </c>
      <c r="I307" s="16">
        <f t="shared" si="49"/>
        <v>314566200</v>
      </c>
      <c r="J307" s="17">
        <v>70</v>
      </c>
      <c r="K307" s="34">
        <v>4502269040</v>
      </c>
      <c r="L307" s="19">
        <v>5080507255</v>
      </c>
      <c r="M307" s="20">
        <v>5113116018</v>
      </c>
      <c r="N307" s="23"/>
      <c r="O307" s="9" t="s">
        <v>37</v>
      </c>
      <c r="P307" s="23"/>
      <c r="Q307" s="24" t="s">
        <v>31</v>
      </c>
      <c r="R307" s="25">
        <v>44603</v>
      </c>
      <c r="S307" s="28"/>
      <c r="T307" s="35"/>
      <c r="U307" s="35"/>
      <c r="V307" s="29"/>
      <c r="W307" s="35"/>
      <c r="X307" s="29"/>
      <c r="Y307" s="36"/>
      <c r="Z307" s="29"/>
      <c r="AA307" s="31">
        <f t="shared" si="1"/>
        <v>44603</v>
      </c>
      <c r="AB307" s="32" t="str">
        <f t="shared" si="5"/>
        <v>febrero</v>
      </c>
    </row>
    <row r="308" spans="1:28" ht="12.75">
      <c r="A308" s="9" t="s">
        <v>58</v>
      </c>
      <c r="B308" s="10">
        <v>44610</v>
      </c>
      <c r="C308" s="11">
        <v>44610</v>
      </c>
      <c r="D308" s="53">
        <v>7</v>
      </c>
      <c r="E308" s="13" t="s">
        <v>510</v>
      </c>
      <c r="F308" s="13">
        <v>3025460</v>
      </c>
      <c r="G308" s="14">
        <v>40329</v>
      </c>
      <c r="H308" s="33">
        <f>7800-7757.69</f>
        <v>42.3100000000004</v>
      </c>
      <c r="I308" s="16">
        <f>-H308*G308</f>
        <v>-1706319.9900000161</v>
      </c>
      <c r="J308" s="17">
        <v>0</v>
      </c>
      <c r="K308" s="34">
        <v>4502269040</v>
      </c>
      <c r="L308" s="19">
        <v>5080507255</v>
      </c>
      <c r="M308" s="20">
        <v>5113116020</v>
      </c>
      <c r="N308" s="21"/>
      <c r="O308" s="9"/>
      <c r="P308" s="23"/>
      <c r="Q308" s="24" t="s">
        <v>31</v>
      </c>
      <c r="R308" s="25">
        <v>44603</v>
      </c>
      <c r="S308" s="28"/>
      <c r="T308" s="35"/>
      <c r="U308" s="35"/>
      <c r="V308" s="29"/>
      <c r="W308" s="35"/>
      <c r="X308" s="29"/>
      <c r="Y308" s="36"/>
      <c r="Z308" s="29"/>
      <c r="AA308" s="31">
        <f t="shared" si="1"/>
        <v>44603</v>
      </c>
      <c r="AB308" s="32" t="str">
        <f t="shared" si="5"/>
        <v>febrero</v>
      </c>
    </row>
    <row r="309" spans="1:28" ht="12.75">
      <c r="A309" s="9" t="s">
        <v>58</v>
      </c>
      <c r="B309" s="10">
        <v>44610</v>
      </c>
      <c r="C309" s="11">
        <v>44610</v>
      </c>
      <c r="D309" s="53">
        <v>7</v>
      </c>
      <c r="E309" s="13" t="s">
        <v>511</v>
      </c>
      <c r="F309" s="13">
        <v>3025460</v>
      </c>
      <c r="G309" s="14">
        <v>11979</v>
      </c>
      <c r="H309" s="33">
        <v>7800</v>
      </c>
      <c r="I309" s="16">
        <f>H309*G309</f>
        <v>93436200</v>
      </c>
      <c r="J309" s="17">
        <v>29</v>
      </c>
      <c r="K309" s="34">
        <v>4502269040</v>
      </c>
      <c r="L309" s="19">
        <v>5080507255</v>
      </c>
      <c r="M309" s="20">
        <v>5113116025</v>
      </c>
      <c r="N309" s="23"/>
      <c r="O309" s="9" t="s">
        <v>37</v>
      </c>
      <c r="P309" s="23"/>
      <c r="Q309" s="24" t="s">
        <v>31</v>
      </c>
      <c r="R309" s="25">
        <v>44603</v>
      </c>
      <c r="S309" s="28"/>
      <c r="T309" s="35"/>
      <c r="U309" s="35"/>
      <c r="V309" s="29"/>
      <c r="W309" s="35"/>
      <c r="X309" s="29"/>
      <c r="Y309" s="36"/>
      <c r="Z309" s="29"/>
      <c r="AA309" s="31">
        <f t="shared" si="1"/>
        <v>44603</v>
      </c>
      <c r="AB309" s="32" t="str">
        <f t="shared" si="5"/>
        <v>febrero</v>
      </c>
    </row>
    <row r="310" spans="1:28" ht="12.75">
      <c r="A310" s="9" t="s">
        <v>58</v>
      </c>
      <c r="B310" s="10">
        <v>44610</v>
      </c>
      <c r="C310" s="11">
        <v>44610</v>
      </c>
      <c r="D310" s="53">
        <v>7</v>
      </c>
      <c r="E310" s="13" t="s">
        <v>512</v>
      </c>
      <c r="F310" s="13">
        <v>3025460</v>
      </c>
      <c r="G310" s="14">
        <v>11979</v>
      </c>
      <c r="H310" s="33">
        <f>7800-7564.47</f>
        <v>235.52999999999975</v>
      </c>
      <c r="I310" s="16">
        <f>-H310*G310</f>
        <v>-2821413.8699999969</v>
      </c>
      <c r="J310" s="17">
        <v>0</v>
      </c>
      <c r="K310" s="34">
        <v>4502269040</v>
      </c>
      <c r="L310" s="19">
        <v>5080507255</v>
      </c>
      <c r="M310" s="20">
        <v>5113116037</v>
      </c>
      <c r="N310" s="21"/>
      <c r="O310" s="9"/>
      <c r="P310" s="23"/>
      <c r="Q310" s="24" t="s">
        <v>31</v>
      </c>
      <c r="R310" s="25">
        <v>44603</v>
      </c>
      <c r="S310" s="28"/>
      <c r="T310" s="35"/>
      <c r="U310" s="35"/>
      <c r="V310" s="29"/>
      <c r="W310" s="35"/>
      <c r="X310" s="29"/>
      <c r="Y310" s="36"/>
      <c r="Z310" s="29"/>
      <c r="AA310" s="31">
        <f t="shared" si="1"/>
        <v>44603</v>
      </c>
      <c r="AB310" s="32" t="str">
        <f t="shared" si="5"/>
        <v>febrero</v>
      </c>
    </row>
    <row r="311" spans="1:28" ht="12.75">
      <c r="A311" s="9" t="s">
        <v>247</v>
      </c>
      <c r="B311" s="10">
        <v>44607</v>
      </c>
      <c r="C311" s="11">
        <v>44607</v>
      </c>
      <c r="D311" s="53">
        <v>7</v>
      </c>
      <c r="E311" s="13" t="s">
        <v>513</v>
      </c>
      <c r="F311" s="13">
        <v>3025457</v>
      </c>
      <c r="G311" s="14">
        <v>13008</v>
      </c>
      <c r="H311" s="33">
        <v>7550</v>
      </c>
      <c r="I311" s="16">
        <f>H311*G311</f>
        <v>98210400</v>
      </c>
      <c r="J311" s="17">
        <v>28</v>
      </c>
      <c r="K311" s="34">
        <v>4502269041</v>
      </c>
      <c r="L311" s="19">
        <v>5080507256</v>
      </c>
      <c r="M311" s="20">
        <v>5113104980</v>
      </c>
      <c r="N311" s="21"/>
      <c r="O311" s="9" t="s">
        <v>63</v>
      </c>
      <c r="P311" s="23"/>
      <c r="Q311" s="24" t="s">
        <v>31</v>
      </c>
      <c r="R311" s="25">
        <v>44603</v>
      </c>
      <c r="S311" s="28"/>
      <c r="T311" s="35"/>
      <c r="U311" s="35"/>
      <c r="V311" s="29"/>
      <c r="W311" s="35"/>
      <c r="X311" s="29"/>
      <c r="Y311" s="36"/>
      <c r="Z311" s="29"/>
      <c r="AA311" s="31">
        <f t="shared" si="1"/>
        <v>44603</v>
      </c>
      <c r="AB311" s="32" t="str">
        <f t="shared" si="5"/>
        <v>febrero</v>
      </c>
    </row>
    <row r="312" spans="1:28" ht="12.75">
      <c r="A312" s="9" t="s">
        <v>247</v>
      </c>
      <c r="B312" s="10">
        <v>44607</v>
      </c>
      <c r="C312" s="11"/>
      <c r="D312" s="53">
        <v>7</v>
      </c>
      <c r="E312" s="13" t="s">
        <v>514</v>
      </c>
      <c r="F312" s="13">
        <v>3025457</v>
      </c>
      <c r="G312" s="14">
        <v>13008</v>
      </c>
      <c r="H312" s="33">
        <f>7550-7546.95</f>
        <v>3.0500000000001819</v>
      </c>
      <c r="I312" s="16">
        <f>-H312*G312</f>
        <v>-39674.400000002366</v>
      </c>
      <c r="J312" s="17">
        <v>0</v>
      </c>
      <c r="K312" s="34">
        <v>4502269041</v>
      </c>
      <c r="L312" s="19">
        <v>5080507256</v>
      </c>
      <c r="M312" s="20">
        <v>5113104982</v>
      </c>
      <c r="N312" s="21"/>
      <c r="O312" s="9"/>
      <c r="P312" s="23"/>
      <c r="Q312" s="24" t="s">
        <v>31</v>
      </c>
      <c r="R312" s="25">
        <v>44603</v>
      </c>
      <c r="S312" s="28"/>
      <c r="T312" s="35"/>
      <c r="U312" s="35"/>
      <c r="V312" s="29"/>
      <c r="W312" s="35"/>
      <c r="X312" s="29"/>
      <c r="Y312" s="36"/>
      <c r="Z312" s="29"/>
      <c r="AA312" s="31">
        <f t="shared" si="1"/>
        <v>44603</v>
      </c>
      <c r="AB312" s="32" t="str">
        <f t="shared" si="5"/>
        <v>febrero</v>
      </c>
    </row>
    <row r="313" spans="1:28" ht="12.75">
      <c r="A313" s="9" t="s">
        <v>39</v>
      </c>
      <c r="B313" s="10">
        <v>44604</v>
      </c>
      <c r="C313" s="11">
        <v>44607</v>
      </c>
      <c r="D313" s="53">
        <v>7</v>
      </c>
      <c r="E313" s="13" t="s">
        <v>515</v>
      </c>
      <c r="F313" s="13">
        <v>3025457</v>
      </c>
      <c r="G313" s="14">
        <v>13561</v>
      </c>
      <c r="H313" s="33">
        <v>7750</v>
      </c>
      <c r="I313" s="16">
        <f>H313*G313</f>
        <v>105097750</v>
      </c>
      <c r="J313" s="17">
        <v>31</v>
      </c>
      <c r="K313" s="34">
        <v>4502269042</v>
      </c>
      <c r="L313" s="19">
        <v>5080507444</v>
      </c>
      <c r="M313" s="20">
        <v>5113110629</v>
      </c>
      <c r="N313" s="23"/>
      <c r="O313" s="9" t="s">
        <v>37</v>
      </c>
      <c r="P313" s="23"/>
      <c r="Q313" s="24" t="s">
        <v>31</v>
      </c>
      <c r="R313" s="25">
        <v>44603</v>
      </c>
      <c r="S313" s="28"/>
      <c r="T313" s="35"/>
      <c r="U313" s="35"/>
      <c r="V313" s="29"/>
      <c r="W313" s="35"/>
      <c r="X313" s="29"/>
      <c r="Y313" s="36"/>
      <c r="Z313" s="29"/>
      <c r="AA313" s="31">
        <f t="shared" si="1"/>
        <v>44603</v>
      </c>
      <c r="AB313" s="32" t="str">
        <f t="shared" si="5"/>
        <v>febrero</v>
      </c>
    </row>
    <row r="314" spans="1:28" ht="12.75">
      <c r="A314" s="9" t="s">
        <v>39</v>
      </c>
      <c r="B314" s="10">
        <v>44604</v>
      </c>
      <c r="C314" s="11">
        <v>44607</v>
      </c>
      <c r="D314" s="53">
        <v>7</v>
      </c>
      <c r="E314" s="13" t="s">
        <v>115</v>
      </c>
      <c r="F314" s="13">
        <v>3025457</v>
      </c>
      <c r="G314" s="14">
        <v>13561</v>
      </c>
      <c r="H314" s="33">
        <f>7750-7641.54</f>
        <v>108.46000000000004</v>
      </c>
      <c r="I314" s="16">
        <f>-H314*G314</f>
        <v>-1470826.0600000005</v>
      </c>
      <c r="J314" s="17">
        <v>0</v>
      </c>
      <c r="K314" s="34">
        <v>4502269042</v>
      </c>
      <c r="L314" s="19">
        <v>5080507444</v>
      </c>
      <c r="M314" s="20">
        <v>5113110632</v>
      </c>
      <c r="N314" s="21"/>
      <c r="O314" s="9"/>
      <c r="P314" s="23"/>
      <c r="Q314" s="24" t="s">
        <v>31</v>
      </c>
      <c r="R314" s="25">
        <v>44603</v>
      </c>
      <c r="S314" s="28"/>
      <c r="T314" s="35"/>
      <c r="U314" s="35"/>
      <c r="V314" s="29"/>
      <c r="W314" s="35"/>
      <c r="X314" s="29"/>
      <c r="Y314" s="36"/>
      <c r="Z314" s="29"/>
      <c r="AA314" s="31">
        <f t="shared" si="1"/>
        <v>44603</v>
      </c>
      <c r="AB314" s="32" t="str">
        <f t="shared" si="5"/>
        <v>febrero</v>
      </c>
    </row>
    <row r="315" spans="1:28" ht="12.75">
      <c r="A315" s="9" t="s">
        <v>73</v>
      </c>
      <c r="B315" s="10">
        <v>44607</v>
      </c>
      <c r="C315" s="11">
        <v>44607</v>
      </c>
      <c r="D315" s="53">
        <v>7</v>
      </c>
      <c r="E315" s="13" t="s">
        <v>516</v>
      </c>
      <c r="F315" s="13">
        <v>3025457</v>
      </c>
      <c r="G315" s="37">
        <v>6773.5</v>
      </c>
      <c r="H315" s="33">
        <v>7750</v>
      </c>
      <c r="I315" s="16">
        <f t="shared" ref="I315:I316" si="50">H315*G315</f>
        <v>52494625</v>
      </c>
      <c r="J315" s="17">
        <v>14</v>
      </c>
      <c r="K315" s="34">
        <v>4502269043</v>
      </c>
      <c r="L315" s="19">
        <v>5080507257</v>
      </c>
      <c r="M315" s="20">
        <v>5113110283</v>
      </c>
      <c r="N315" s="21"/>
      <c r="O315" s="9" t="s">
        <v>63</v>
      </c>
      <c r="P315" s="23" t="s">
        <v>517</v>
      </c>
      <c r="Q315" s="24" t="s">
        <v>31</v>
      </c>
      <c r="R315" s="25">
        <v>44603</v>
      </c>
      <c r="S315" s="28"/>
      <c r="T315" s="35"/>
      <c r="U315" s="35"/>
      <c r="V315" s="29"/>
      <c r="W315" s="35"/>
      <c r="X315" s="29"/>
      <c r="Y315" s="36"/>
      <c r="Z315" s="29"/>
      <c r="AA315" s="31">
        <f t="shared" si="1"/>
        <v>44603</v>
      </c>
      <c r="AB315" s="32" t="str">
        <f t="shared" si="5"/>
        <v>febrero</v>
      </c>
    </row>
    <row r="316" spans="1:28" ht="12.75">
      <c r="A316" s="9" t="s">
        <v>338</v>
      </c>
      <c r="B316" s="10">
        <v>44607</v>
      </c>
      <c r="C316" s="11"/>
      <c r="D316" s="53">
        <v>7</v>
      </c>
      <c r="E316" s="13" t="s">
        <v>518</v>
      </c>
      <c r="F316" s="13">
        <v>3025457</v>
      </c>
      <c r="G316" s="37">
        <v>6905.5</v>
      </c>
      <c r="H316" s="33">
        <v>7550</v>
      </c>
      <c r="I316" s="16">
        <f t="shared" si="50"/>
        <v>52136525</v>
      </c>
      <c r="J316" s="17">
        <v>16</v>
      </c>
      <c r="K316" s="34">
        <v>4502269044</v>
      </c>
      <c r="L316" s="19">
        <v>5080507445</v>
      </c>
      <c r="M316" s="20">
        <v>5113109991</v>
      </c>
      <c r="N316" s="56" t="s">
        <v>227</v>
      </c>
      <c r="O316" s="9" t="s">
        <v>63</v>
      </c>
      <c r="P316" s="23" t="s">
        <v>517</v>
      </c>
      <c r="Q316" s="24" t="s">
        <v>31</v>
      </c>
      <c r="R316" s="25">
        <v>44603</v>
      </c>
      <c r="S316" s="28"/>
      <c r="T316" s="35"/>
      <c r="U316" s="35"/>
      <c r="V316" s="29"/>
      <c r="W316" s="35"/>
      <c r="X316" s="29"/>
      <c r="Y316" s="36"/>
      <c r="Z316" s="29"/>
      <c r="AA316" s="31">
        <f t="shared" si="1"/>
        <v>44603</v>
      </c>
      <c r="AB316" s="32" t="str">
        <f t="shared" si="5"/>
        <v>febrero</v>
      </c>
    </row>
    <row r="317" spans="1:28" ht="12.75">
      <c r="A317" s="9" t="s">
        <v>338</v>
      </c>
      <c r="B317" s="10">
        <v>44607</v>
      </c>
      <c r="C317" s="11"/>
      <c r="D317" s="53">
        <v>7</v>
      </c>
      <c r="E317" s="13" t="s">
        <v>519</v>
      </c>
      <c r="F317" s="13">
        <v>3025457</v>
      </c>
      <c r="G317" s="37">
        <v>6905.5</v>
      </c>
      <c r="H317" s="33">
        <f>7550-7488.52</f>
        <v>61.479999999999563</v>
      </c>
      <c r="I317" s="16">
        <f>-H317*G317</f>
        <v>-424550.13999999699</v>
      </c>
      <c r="J317" s="17">
        <v>0</v>
      </c>
      <c r="K317" s="34">
        <v>4502269044</v>
      </c>
      <c r="L317" s="19">
        <v>5080507445</v>
      </c>
      <c r="M317" s="20">
        <v>5113109992</v>
      </c>
      <c r="N317" s="56" t="s">
        <v>227</v>
      </c>
      <c r="O317" s="9"/>
      <c r="P317" s="23" t="s">
        <v>517</v>
      </c>
      <c r="Q317" s="24" t="s">
        <v>31</v>
      </c>
      <c r="R317" s="25">
        <v>44603</v>
      </c>
      <c r="S317" s="28"/>
      <c r="T317" s="35"/>
      <c r="U317" s="35"/>
      <c r="V317" s="29"/>
      <c r="W317" s="35"/>
      <c r="X317" s="29"/>
      <c r="Y317" s="36"/>
      <c r="Z317" s="29"/>
      <c r="AA317" s="31">
        <f t="shared" si="1"/>
        <v>44603</v>
      </c>
      <c r="AB317" s="32" t="str">
        <f t="shared" si="5"/>
        <v>febrero</v>
      </c>
    </row>
    <row r="318" spans="1:28" ht="12.75">
      <c r="A318" s="9" t="s">
        <v>80</v>
      </c>
      <c r="B318" s="10">
        <v>44603</v>
      </c>
      <c r="C318" s="11">
        <v>44607</v>
      </c>
      <c r="D318" s="53">
        <v>7</v>
      </c>
      <c r="E318" s="13" t="s">
        <v>520</v>
      </c>
      <c r="F318" s="13">
        <v>3025461</v>
      </c>
      <c r="G318" s="14">
        <v>40725</v>
      </c>
      <c r="H318" s="15">
        <v>7400</v>
      </c>
      <c r="I318" s="16">
        <f t="shared" ref="I318:I322" si="51">H318*G318</f>
        <v>301365000</v>
      </c>
      <c r="J318" s="17">
        <v>84</v>
      </c>
      <c r="K318" s="34">
        <v>4502271668</v>
      </c>
      <c r="L318" s="19">
        <v>5080515003</v>
      </c>
      <c r="M318" s="20">
        <v>5113110254</v>
      </c>
      <c r="N318" s="23" t="s">
        <v>37</v>
      </c>
      <c r="O318" s="22" t="s">
        <v>521</v>
      </c>
      <c r="P318" s="23"/>
      <c r="Q318" s="24" t="s">
        <v>522</v>
      </c>
      <c r="R318" s="25">
        <v>44603</v>
      </c>
      <c r="S318" s="34">
        <v>4502271668</v>
      </c>
      <c r="T318" s="28" t="s">
        <v>523</v>
      </c>
      <c r="U318" s="28" t="s">
        <v>524</v>
      </c>
      <c r="V318" s="29">
        <v>5113103951</v>
      </c>
      <c r="W318" s="28" t="s">
        <v>525</v>
      </c>
      <c r="X318" s="29">
        <v>5113107371</v>
      </c>
      <c r="Y318" s="36"/>
      <c r="Z318" s="29"/>
      <c r="AA318" s="31">
        <f t="shared" si="1"/>
        <v>44603</v>
      </c>
      <c r="AB318" s="32" t="str">
        <f t="shared" si="5"/>
        <v>febrero</v>
      </c>
    </row>
    <row r="319" spans="1:28" ht="12.75">
      <c r="A319" s="9" t="s">
        <v>83</v>
      </c>
      <c r="B319" s="10">
        <v>44603</v>
      </c>
      <c r="C319" s="11">
        <v>44607</v>
      </c>
      <c r="D319" s="53">
        <v>7</v>
      </c>
      <c r="E319" s="13" t="s">
        <v>526</v>
      </c>
      <c r="F319" s="13">
        <v>3025461</v>
      </c>
      <c r="G319" s="14">
        <v>19811</v>
      </c>
      <c r="H319" s="15">
        <v>7450</v>
      </c>
      <c r="I319" s="16">
        <f t="shared" si="51"/>
        <v>147591950</v>
      </c>
      <c r="J319" s="17">
        <v>42</v>
      </c>
      <c r="K319" s="34">
        <v>4502271607</v>
      </c>
      <c r="L319" s="19">
        <v>5080514036</v>
      </c>
      <c r="M319" s="20">
        <v>5113105194</v>
      </c>
      <c r="N319" s="23" t="s">
        <v>37</v>
      </c>
      <c r="O319" s="22" t="s">
        <v>527</v>
      </c>
      <c r="P319" s="23"/>
      <c r="Q319" s="24" t="s">
        <v>522</v>
      </c>
      <c r="R319" s="25">
        <v>44603</v>
      </c>
      <c r="S319" s="28">
        <v>4502271607</v>
      </c>
      <c r="T319" s="27">
        <v>3574200</v>
      </c>
      <c r="U319" s="28" t="s">
        <v>528</v>
      </c>
      <c r="V319" s="29">
        <v>5113103896</v>
      </c>
      <c r="W319" s="35"/>
      <c r="X319" s="29"/>
      <c r="Y319" s="36"/>
      <c r="Z319" s="29"/>
      <c r="AA319" s="31">
        <f t="shared" si="1"/>
        <v>44603</v>
      </c>
      <c r="AB319" s="32" t="str">
        <f t="shared" si="5"/>
        <v>febrero</v>
      </c>
    </row>
    <row r="320" spans="1:28" ht="12.75">
      <c r="A320" s="9" t="s">
        <v>196</v>
      </c>
      <c r="B320" s="10">
        <v>44603</v>
      </c>
      <c r="C320" s="11"/>
      <c r="D320" s="53">
        <v>7</v>
      </c>
      <c r="E320" s="13" t="s">
        <v>529</v>
      </c>
      <c r="F320" s="13">
        <v>3025461</v>
      </c>
      <c r="G320" s="14">
        <v>27182</v>
      </c>
      <c r="H320" s="15">
        <v>7400</v>
      </c>
      <c r="I320" s="16">
        <f t="shared" si="51"/>
        <v>201146800</v>
      </c>
      <c r="J320" s="17">
        <v>56</v>
      </c>
      <c r="K320" s="34">
        <v>4502271611</v>
      </c>
      <c r="L320" s="19">
        <v>5080514268</v>
      </c>
      <c r="M320" s="20">
        <v>5113103593</v>
      </c>
      <c r="N320" s="21"/>
      <c r="O320" s="22" t="s">
        <v>530</v>
      </c>
      <c r="P320" s="23" t="s">
        <v>313</v>
      </c>
      <c r="Q320" s="24" t="s">
        <v>522</v>
      </c>
      <c r="R320" s="25">
        <v>44603</v>
      </c>
      <c r="S320" s="28">
        <v>4502271611</v>
      </c>
      <c r="T320" s="27">
        <f>1266900*4</f>
        <v>5067600</v>
      </c>
      <c r="U320" s="28" t="s">
        <v>531</v>
      </c>
      <c r="V320" s="29">
        <v>5113103889</v>
      </c>
      <c r="W320" s="35"/>
      <c r="X320" s="29"/>
      <c r="Y320" s="36"/>
      <c r="Z320" s="29"/>
      <c r="AA320" s="31">
        <f t="shared" si="1"/>
        <v>44603</v>
      </c>
      <c r="AB320" s="32" t="str">
        <f t="shared" si="5"/>
        <v>febrero</v>
      </c>
    </row>
    <row r="321" spans="1:28" ht="12.75">
      <c r="A321" s="9" t="s">
        <v>85</v>
      </c>
      <c r="B321" s="10">
        <v>44603</v>
      </c>
      <c r="C321" s="11">
        <v>44607</v>
      </c>
      <c r="D321" s="53">
        <v>7</v>
      </c>
      <c r="E321" s="13" t="s">
        <v>532</v>
      </c>
      <c r="F321" s="13">
        <v>3025461</v>
      </c>
      <c r="G321" s="14">
        <v>19985</v>
      </c>
      <c r="H321" s="15">
        <v>7400</v>
      </c>
      <c r="I321" s="16">
        <f t="shared" si="51"/>
        <v>147889000</v>
      </c>
      <c r="J321" s="17">
        <v>42</v>
      </c>
      <c r="K321" s="34">
        <v>4502271615</v>
      </c>
      <c r="L321" s="19">
        <v>5080514275</v>
      </c>
      <c r="M321" s="20">
        <v>5113106040</v>
      </c>
      <c r="N321" s="23" t="s">
        <v>63</v>
      </c>
      <c r="O321" s="22" t="s">
        <v>533</v>
      </c>
      <c r="P321" s="23"/>
      <c r="Q321" s="24" t="s">
        <v>522</v>
      </c>
      <c r="R321" s="25">
        <v>44603</v>
      </c>
      <c r="S321" s="28">
        <v>4502271615</v>
      </c>
      <c r="T321" s="27">
        <f>1371100*3</f>
        <v>4113300</v>
      </c>
      <c r="U321" s="28" t="s">
        <v>534</v>
      </c>
      <c r="V321" s="29">
        <v>5113103876</v>
      </c>
      <c r="W321" s="35"/>
      <c r="X321" s="29"/>
      <c r="Y321" s="36"/>
      <c r="Z321" s="29"/>
      <c r="AA321" s="31">
        <f t="shared" si="1"/>
        <v>44603</v>
      </c>
      <c r="AB321" s="32" t="str">
        <f t="shared" si="5"/>
        <v>febrero</v>
      </c>
    </row>
    <row r="322" spans="1:28" ht="12.75">
      <c r="A322" s="9" t="s">
        <v>39</v>
      </c>
      <c r="B322" s="10">
        <v>44604</v>
      </c>
      <c r="C322" s="11">
        <v>44607</v>
      </c>
      <c r="D322" s="53">
        <v>7</v>
      </c>
      <c r="E322" s="13" t="s">
        <v>535</v>
      </c>
      <c r="F322" s="13">
        <v>3025460</v>
      </c>
      <c r="G322" s="37">
        <v>11616.5</v>
      </c>
      <c r="H322" s="33">
        <v>7750</v>
      </c>
      <c r="I322" s="16">
        <f t="shared" si="51"/>
        <v>90027875</v>
      </c>
      <c r="J322" s="17">
        <v>27</v>
      </c>
      <c r="K322" s="34">
        <v>4502269045</v>
      </c>
      <c r="L322" s="19">
        <v>5080507094</v>
      </c>
      <c r="M322" s="20">
        <v>5113110647</v>
      </c>
      <c r="N322" s="21"/>
      <c r="O322" s="9" t="s">
        <v>37</v>
      </c>
      <c r="P322" s="23"/>
      <c r="Q322" s="24" t="s">
        <v>31</v>
      </c>
      <c r="R322" s="25">
        <v>44604</v>
      </c>
      <c r="S322" s="28"/>
      <c r="T322" s="35"/>
      <c r="U322" s="35"/>
      <c r="V322" s="29"/>
      <c r="W322" s="35"/>
      <c r="X322" s="29"/>
      <c r="Y322" s="36"/>
      <c r="Z322" s="29"/>
      <c r="AA322" s="31">
        <f t="shared" si="1"/>
        <v>44604</v>
      </c>
      <c r="AB322" s="32" t="str">
        <f t="shared" si="5"/>
        <v>febrero</v>
      </c>
    </row>
    <row r="323" spans="1:28" ht="12.75">
      <c r="A323" s="9" t="s">
        <v>39</v>
      </c>
      <c r="B323" s="10">
        <v>44607</v>
      </c>
      <c r="C323" s="11">
        <v>44607</v>
      </c>
      <c r="D323" s="53">
        <v>7</v>
      </c>
      <c r="E323" s="13" t="s">
        <v>142</v>
      </c>
      <c r="F323" s="13">
        <v>3025460</v>
      </c>
      <c r="G323" s="37">
        <v>11616.5</v>
      </c>
      <c r="H323" s="33">
        <f>7750-7740.05</f>
        <v>9.9499999999998181</v>
      </c>
      <c r="I323" s="16">
        <f>-H323*G323</f>
        <v>-115584.17499999789</v>
      </c>
      <c r="J323" s="17">
        <v>0</v>
      </c>
      <c r="K323" s="34">
        <v>4502269045</v>
      </c>
      <c r="L323" s="19">
        <v>5080507094</v>
      </c>
      <c r="M323" s="20">
        <v>5113110654</v>
      </c>
      <c r="N323" s="21"/>
      <c r="O323" s="9"/>
      <c r="P323" s="23"/>
      <c r="Q323" s="24" t="s">
        <v>31</v>
      </c>
      <c r="R323" s="25">
        <v>44604</v>
      </c>
      <c r="S323" s="28"/>
      <c r="T323" s="35"/>
      <c r="U323" s="35"/>
      <c r="V323" s="29"/>
      <c r="W323" s="35"/>
      <c r="X323" s="29"/>
      <c r="Y323" s="36"/>
      <c r="Z323" s="29"/>
      <c r="AA323" s="31">
        <f t="shared" si="1"/>
        <v>44604</v>
      </c>
      <c r="AB323" s="32" t="str">
        <f t="shared" si="5"/>
        <v>febrero</v>
      </c>
    </row>
    <row r="324" spans="1:28" ht="12.75">
      <c r="A324" s="9" t="s">
        <v>404</v>
      </c>
      <c r="B324" s="10">
        <v>44604</v>
      </c>
      <c r="C324" s="11">
        <v>44607</v>
      </c>
      <c r="D324" s="53">
        <v>7</v>
      </c>
      <c r="E324" s="13" t="s">
        <v>536</v>
      </c>
      <c r="F324" s="13">
        <v>3025460</v>
      </c>
      <c r="G324" s="14">
        <v>5994</v>
      </c>
      <c r="H324" s="33">
        <v>7750</v>
      </c>
      <c r="I324" s="16">
        <f>H324*G324</f>
        <v>46453500</v>
      </c>
      <c r="J324" s="17">
        <v>14</v>
      </c>
      <c r="K324" s="34">
        <v>4502269046</v>
      </c>
      <c r="L324" s="19">
        <v>5080507095</v>
      </c>
      <c r="M324" s="20">
        <v>5113110608</v>
      </c>
      <c r="N324" s="23"/>
      <c r="O324" s="9" t="s">
        <v>37</v>
      </c>
      <c r="P324" s="23"/>
      <c r="Q324" s="24" t="s">
        <v>31</v>
      </c>
      <c r="R324" s="25">
        <v>44604</v>
      </c>
      <c r="S324" s="28"/>
      <c r="T324" s="35"/>
      <c r="U324" s="35"/>
      <c r="V324" s="29"/>
      <c r="W324" s="35"/>
      <c r="X324" s="29"/>
      <c r="Y324" s="36"/>
      <c r="Z324" s="29"/>
      <c r="AA324" s="31">
        <f t="shared" si="1"/>
        <v>44604</v>
      </c>
      <c r="AB324" s="32" t="str">
        <f t="shared" si="5"/>
        <v>febrero</v>
      </c>
    </row>
    <row r="325" spans="1:28" ht="12.75">
      <c r="A325" s="9" t="s">
        <v>404</v>
      </c>
      <c r="B325" s="10">
        <v>44607</v>
      </c>
      <c r="C325" s="11">
        <v>44607</v>
      </c>
      <c r="D325" s="53">
        <v>7</v>
      </c>
      <c r="E325" s="13" t="s">
        <v>537</v>
      </c>
      <c r="F325" s="13">
        <v>3025460</v>
      </c>
      <c r="G325" s="14">
        <v>5994</v>
      </c>
      <c r="H325" s="33">
        <f>7750-7737.3</f>
        <v>12.699999999999818</v>
      </c>
      <c r="I325" s="16">
        <f>-H325*G325</f>
        <v>-76123.799999998912</v>
      </c>
      <c r="J325" s="17">
        <v>0</v>
      </c>
      <c r="K325" s="34">
        <v>4502269046</v>
      </c>
      <c r="L325" s="19">
        <v>5080507095</v>
      </c>
      <c r="M325" s="20">
        <v>5113110613</v>
      </c>
      <c r="N325" s="21"/>
      <c r="O325" s="9"/>
      <c r="P325" s="23"/>
      <c r="Q325" s="24" t="s">
        <v>31</v>
      </c>
      <c r="R325" s="25">
        <v>44604</v>
      </c>
      <c r="S325" s="28"/>
      <c r="T325" s="35"/>
      <c r="U325" s="35"/>
      <c r="V325" s="29"/>
      <c r="W325" s="35"/>
      <c r="X325" s="29"/>
      <c r="Y325" s="36"/>
      <c r="Z325" s="29"/>
      <c r="AA325" s="31">
        <f t="shared" si="1"/>
        <v>44604</v>
      </c>
      <c r="AB325" s="32" t="str">
        <f t="shared" si="5"/>
        <v>febrero</v>
      </c>
    </row>
    <row r="326" spans="1:28" ht="12.75">
      <c r="A326" s="9" t="s">
        <v>58</v>
      </c>
      <c r="B326" s="10">
        <v>44610</v>
      </c>
      <c r="C326" s="11">
        <v>44610</v>
      </c>
      <c r="D326" s="53">
        <v>7</v>
      </c>
      <c r="E326" s="13" t="s">
        <v>538</v>
      </c>
      <c r="F326" s="13">
        <v>3025460</v>
      </c>
      <c r="G326" s="14">
        <v>48483</v>
      </c>
      <c r="H326" s="33">
        <v>7800</v>
      </c>
      <c r="I326" s="16">
        <f>H326*G326</f>
        <v>378167400</v>
      </c>
      <c r="J326" s="17">
        <v>105</v>
      </c>
      <c r="K326" s="34">
        <v>4502269047</v>
      </c>
      <c r="L326" s="19">
        <v>5080507096</v>
      </c>
      <c r="M326" s="20">
        <v>5113116241</v>
      </c>
      <c r="N326" s="23"/>
      <c r="O326" s="9" t="s">
        <v>37</v>
      </c>
      <c r="P326" s="23"/>
      <c r="Q326" s="24" t="s">
        <v>31</v>
      </c>
      <c r="R326" s="25">
        <v>44604</v>
      </c>
      <c r="S326" s="28"/>
      <c r="T326" s="35"/>
      <c r="U326" s="35"/>
      <c r="V326" s="29"/>
      <c r="W326" s="35"/>
      <c r="X326" s="29"/>
      <c r="Y326" s="36"/>
      <c r="Z326" s="29"/>
      <c r="AA326" s="31">
        <f t="shared" si="1"/>
        <v>44604</v>
      </c>
      <c r="AB326" s="32" t="str">
        <f t="shared" si="5"/>
        <v>febrero</v>
      </c>
    </row>
    <row r="327" spans="1:28" ht="12.75">
      <c r="A327" s="9" t="s">
        <v>58</v>
      </c>
      <c r="B327" s="10">
        <v>44610</v>
      </c>
      <c r="C327" s="11">
        <v>44610</v>
      </c>
      <c r="D327" s="53">
        <v>7</v>
      </c>
      <c r="E327" s="13" t="s">
        <v>539</v>
      </c>
      <c r="F327" s="13">
        <v>3025460</v>
      </c>
      <c r="G327" s="14">
        <v>48483</v>
      </c>
      <c r="H327" s="33">
        <f>7800-7788.28</f>
        <v>11.720000000000255</v>
      </c>
      <c r="I327" s="16">
        <f>-H327*G327</f>
        <v>-568220.76000001235</v>
      </c>
      <c r="J327" s="17">
        <v>0</v>
      </c>
      <c r="K327" s="34">
        <v>4502269047</v>
      </c>
      <c r="L327" s="19">
        <v>5080507096</v>
      </c>
      <c r="M327" s="20">
        <v>5113116327</v>
      </c>
      <c r="N327" s="23"/>
      <c r="O327" s="9"/>
      <c r="P327" s="23"/>
      <c r="Q327" s="24" t="s">
        <v>31</v>
      </c>
      <c r="R327" s="25">
        <v>44604</v>
      </c>
      <c r="S327" s="28"/>
      <c r="T327" s="35"/>
      <c r="U327" s="35"/>
      <c r="V327" s="29"/>
      <c r="W327" s="35"/>
      <c r="X327" s="29"/>
      <c r="Y327" s="36"/>
      <c r="Z327" s="29"/>
      <c r="AA327" s="31">
        <f t="shared" si="1"/>
        <v>44604</v>
      </c>
      <c r="AB327" s="32" t="str">
        <f t="shared" si="5"/>
        <v>febrero</v>
      </c>
    </row>
    <row r="328" spans="1:28" ht="12.75">
      <c r="A328" s="9" t="s">
        <v>28</v>
      </c>
      <c r="B328" s="10">
        <v>44606</v>
      </c>
      <c r="C328" s="11">
        <v>44606</v>
      </c>
      <c r="D328" s="53">
        <v>7</v>
      </c>
      <c r="E328" s="13" t="s">
        <v>540</v>
      </c>
      <c r="F328" s="13">
        <v>3025460</v>
      </c>
      <c r="G328" s="14">
        <v>29750</v>
      </c>
      <c r="H328" s="15">
        <v>7000</v>
      </c>
      <c r="I328" s="16">
        <f t="shared" ref="I328:I329" si="52">H328*G328</f>
        <v>208250000</v>
      </c>
      <c r="J328" s="17">
        <v>56</v>
      </c>
      <c r="K328" s="34">
        <v>4502271568</v>
      </c>
      <c r="L328" s="19">
        <v>5080507440</v>
      </c>
      <c r="M328" s="20">
        <v>5113103772</v>
      </c>
      <c r="N328" s="21" t="s">
        <v>37</v>
      </c>
      <c r="O328" s="22" t="s">
        <v>541</v>
      </c>
      <c r="P328" s="23"/>
      <c r="Q328" s="24" t="s">
        <v>31</v>
      </c>
      <c r="R328" s="25">
        <v>44604</v>
      </c>
      <c r="S328" s="28">
        <v>4902209970</v>
      </c>
      <c r="T328" s="27">
        <f>3132800*4</f>
        <v>12531200</v>
      </c>
      <c r="U328" s="28" t="s">
        <v>542</v>
      </c>
      <c r="V328" s="29">
        <v>5113103867</v>
      </c>
      <c r="W328" s="35"/>
      <c r="X328" s="29"/>
      <c r="Y328" s="36"/>
      <c r="Z328" s="29"/>
      <c r="AA328" s="31">
        <f t="shared" si="1"/>
        <v>44604</v>
      </c>
      <c r="AB328" s="32" t="str">
        <f t="shared" si="5"/>
        <v>febrero</v>
      </c>
    </row>
    <row r="329" spans="1:28" ht="12.75">
      <c r="A329" s="9" t="s">
        <v>99</v>
      </c>
      <c r="B329" s="10">
        <v>44608</v>
      </c>
      <c r="C329" s="11">
        <v>44609</v>
      </c>
      <c r="D329" s="53">
        <v>7</v>
      </c>
      <c r="E329" s="13" t="s">
        <v>543</v>
      </c>
      <c r="F329" s="13">
        <v>3025460</v>
      </c>
      <c r="G329" s="14">
        <v>18489</v>
      </c>
      <c r="H329" s="33">
        <v>7550</v>
      </c>
      <c r="I329" s="16">
        <f t="shared" si="52"/>
        <v>139591950</v>
      </c>
      <c r="J329" s="17">
        <v>45</v>
      </c>
      <c r="K329" s="34">
        <v>4502269048</v>
      </c>
      <c r="L329" s="19">
        <v>5080519476</v>
      </c>
      <c r="M329" s="20">
        <v>5113112674</v>
      </c>
      <c r="N329" s="23"/>
      <c r="O329" s="9" t="s">
        <v>37</v>
      </c>
      <c r="P329" s="23"/>
      <c r="Q329" s="24" t="s">
        <v>31</v>
      </c>
      <c r="R329" s="25">
        <v>44605</v>
      </c>
      <c r="S329" s="28"/>
      <c r="T329" s="35"/>
      <c r="U329" s="35"/>
      <c r="V329" s="29"/>
      <c r="W329" s="35"/>
      <c r="X329" s="29"/>
      <c r="Y329" s="36"/>
      <c r="Z329" s="29"/>
      <c r="AA329" s="31">
        <f t="shared" si="1"/>
        <v>44605</v>
      </c>
      <c r="AB329" s="32" t="str">
        <f t="shared" si="5"/>
        <v>febrero</v>
      </c>
    </row>
    <row r="330" spans="1:28" ht="12.75">
      <c r="A330" s="9" t="s">
        <v>99</v>
      </c>
      <c r="B330" s="10">
        <v>44609</v>
      </c>
      <c r="C330" s="11">
        <v>44609</v>
      </c>
      <c r="D330" s="53">
        <v>7</v>
      </c>
      <c r="E330" s="13" t="s">
        <v>544</v>
      </c>
      <c r="F330" s="13">
        <v>3025460</v>
      </c>
      <c r="G330" s="14">
        <v>18489</v>
      </c>
      <c r="H330" s="33">
        <f>7550-7459.01</f>
        <v>90.989999999999782</v>
      </c>
      <c r="I330" s="16">
        <f>-H330*G330</f>
        <v>-1682314.1099999959</v>
      </c>
      <c r="J330" s="17">
        <v>0</v>
      </c>
      <c r="K330" s="34">
        <v>4502269048</v>
      </c>
      <c r="L330" s="19">
        <v>5080519476</v>
      </c>
      <c r="M330" s="20">
        <v>5113112675</v>
      </c>
      <c r="N330" s="23"/>
      <c r="O330" s="9"/>
      <c r="P330" s="23"/>
      <c r="Q330" s="24" t="s">
        <v>31</v>
      </c>
      <c r="R330" s="25">
        <v>44605</v>
      </c>
      <c r="S330" s="28"/>
      <c r="T330" s="35"/>
      <c r="U330" s="35"/>
      <c r="V330" s="29"/>
      <c r="W330" s="35"/>
      <c r="X330" s="29"/>
      <c r="Y330" s="36"/>
      <c r="Z330" s="29"/>
      <c r="AA330" s="31">
        <f t="shared" si="1"/>
        <v>44605</v>
      </c>
      <c r="AB330" s="32" t="str">
        <f t="shared" si="5"/>
        <v>febrero</v>
      </c>
    </row>
    <row r="331" spans="1:28" ht="12.75">
      <c r="A331" s="9" t="s">
        <v>58</v>
      </c>
      <c r="B331" s="10">
        <v>44610</v>
      </c>
      <c r="C331" s="11">
        <v>44610</v>
      </c>
      <c r="D331" s="53">
        <v>7</v>
      </c>
      <c r="E331" s="13" t="s">
        <v>545</v>
      </c>
      <c r="F331" s="13">
        <v>3025460</v>
      </c>
      <c r="G331" s="37">
        <v>56460.5</v>
      </c>
      <c r="H331" s="33">
        <v>7800</v>
      </c>
      <c r="I331" s="16">
        <f>H331*G331</f>
        <v>440391900</v>
      </c>
      <c r="J331" s="17">
        <v>119</v>
      </c>
      <c r="K331" s="34">
        <v>4502269049</v>
      </c>
      <c r="L331" s="19">
        <v>5080507096</v>
      </c>
      <c r="M331" s="20">
        <v>5113116300</v>
      </c>
      <c r="N331" s="23"/>
      <c r="O331" s="9" t="s">
        <v>37</v>
      </c>
      <c r="P331" s="23"/>
      <c r="Q331" s="24" t="s">
        <v>31</v>
      </c>
      <c r="R331" s="25">
        <v>44605</v>
      </c>
      <c r="S331" s="28"/>
      <c r="T331" s="35"/>
      <c r="U331" s="35"/>
      <c r="V331" s="29"/>
      <c r="W331" s="35"/>
      <c r="X331" s="29"/>
      <c r="Y331" s="36"/>
      <c r="Z331" s="29"/>
      <c r="AA331" s="31">
        <f t="shared" si="1"/>
        <v>44605</v>
      </c>
      <c r="AB331" s="32" t="str">
        <f t="shared" si="5"/>
        <v>febrero</v>
      </c>
    </row>
    <row r="332" spans="1:28" ht="12.75">
      <c r="A332" s="9" t="s">
        <v>58</v>
      </c>
      <c r="B332" s="10">
        <v>44610</v>
      </c>
      <c r="C332" s="11">
        <v>44610</v>
      </c>
      <c r="D332" s="53">
        <v>7</v>
      </c>
      <c r="E332" s="13" t="s">
        <v>546</v>
      </c>
      <c r="F332" s="13">
        <v>3025460</v>
      </c>
      <c r="G332" s="37">
        <v>56460.5</v>
      </c>
      <c r="H332" s="33">
        <f>7887.66-7800</f>
        <v>87.659999999999854</v>
      </c>
      <c r="I332" s="39">
        <v>0</v>
      </c>
      <c r="J332" s="17">
        <v>0</v>
      </c>
      <c r="K332" s="34">
        <v>4502269049</v>
      </c>
      <c r="L332" s="19">
        <v>5080507096</v>
      </c>
      <c r="M332" s="20">
        <v>5113116306</v>
      </c>
      <c r="N332" s="21"/>
      <c r="O332" s="9"/>
      <c r="P332" s="23"/>
      <c r="Q332" s="24" t="s">
        <v>31</v>
      </c>
      <c r="R332" s="25">
        <v>44605</v>
      </c>
      <c r="S332" s="28"/>
      <c r="T332" s="35"/>
      <c r="U332" s="35"/>
      <c r="V332" s="29"/>
      <c r="W332" s="35"/>
      <c r="X332" s="29"/>
      <c r="Y332" s="36"/>
      <c r="Z332" s="29"/>
      <c r="AA332" s="31">
        <f t="shared" si="1"/>
        <v>44605</v>
      </c>
      <c r="AB332" s="32" t="str">
        <f t="shared" si="5"/>
        <v>febrero</v>
      </c>
    </row>
    <row r="333" spans="1:28" ht="12.75">
      <c r="A333" s="9" t="s">
        <v>348</v>
      </c>
      <c r="B333" s="10">
        <v>44608</v>
      </c>
      <c r="C333" s="11">
        <v>44608</v>
      </c>
      <c r="D333" s="53">
        <v>7</v>
      </c>
      <c r="E333" s="13" t="s">
        <v>547</v>
      </c>
      <c r="F333" s="13">
        <v>3025460</v>
      </c>
      <c r="G333" s="14">
        <v>13290</v>
      </c>
      <c r="H333" s="33">
        <v>7550</v>
      </c>
      <c r="I333" s="16">
        <f>H333*G333</f>
        <v>100339500</v>
      </c>
      <c r="J333" s="17">
        <v>30</v>
      </c>
      <c r="K333" s="34">
        <v>4502269050</v>
      </c>
      <c r="L333" s="19">
        <v>5080519018</v>
      </c>
      <c r="M333" s="20">
        <v>5113108678</v>
      </c>
      <c r="N333" s="21"/>
      <c r="O333" s="9" t="s">
        <v>63</v>
      </c>
      <c r="P333" s="23"/>
      <c r="Q333" s="24" t="s">
        <v>31</v>
      </c>
      <c r="R333" s="25">
        <v>44605</v>
      </c>
      <c r="S333" s="28"/>
      <c r="T333" s="35"/>
      <c r="U333" s="35"/>
      <c r="V333" s="29"/>
      <c r="W333" s="35"/>
      <c r="X333" s="29"/>
      <c r="Y333" s="36"/>
      <c r="Z333" s="29"/>
      <c r="AA333" s="31">
        <f t="shared" si="1"/>
        <v>44605</v>
      </c>
      <c r="AB333" s="32" t="str">
        <f t="shared" si="5"/>
        <v>febrero</v>
      </c>
    </row>
    <row r="334" spans="1:28" ht="12.75">
      <c r="A334" s="9" t="s">
        <v>348</v>
      </c>
      <c r="B334" s="10">
        <v>44608</v>
      </c>
      <c r="C334" s="11">
        <v>44608</v>
      </c>
      <c r="D334" s="53">
        <v>7</v>
      </c>
      <c r="E334" s="13" t="s">
        <v>548</v>
      </c>
      <c r="F334" s="13">
        <v>3025460</v>
      </c>
      <c r="G334" s="14">
        <v>13290</v>
      </c>
      <c r="H334" s="33">
        <f>7550-7544.09</f>
        <v>5.9099999999998545</v>
      </c>
      <c r="I334" s="16">
        <f>-H334*G334</f>
        <v>-78543.899999998073</v>
      </c>
      <c r="J334" s="17">
        <v>0</v>
      </c>
      <c r="K334" s="34">
        <v>4502269050</v>
      </c>
      <c r="L334" s="19">
        <v>5080519018</v>
      </c>
      <c r="M334" s="20">
        <v>5113108680</v>
      </c>
      <c r="N334" s="21"/>
      <c r="O334" s="9"/>
      <c r="P334" s="23"/>
      <c r="Q334" s="24" t="s">
        <v>31</v>
      </c>
      <c r="R334" s="25">
        <v>44605</v>
      </c>
      <c r="S334" s="28"/>
      <c r="T334" s="35"/>
      <c r="U334" s="35"/>
      <c r="V334" s="29"/>
      <c r="W334" s="35"/>
      <c r="X334" s="29"/>
      <c r="Y334" s="36"/>
      <c r="Z334" s="29"/>
      <c r="AA334" s="31">
        <f t="shared" si="1"/>
        <v>44605</v>
      </c>
      <c r="AB334" s="32" t="str">
        <f t="shared" si="5"/>
        <v>febrero</v>
      </c>
    </row>
    <row r="335" spans="1:28" ht="12.75">
      <c r="A335" s="9" t="s">
        <v>111</v>
      </c>
      <c r="B335" s="10">
        <v>44605</v>
      </c>
      <c r="C335" s="11">
        <v>44609</v>
      </c>
      <c r="D335" s="53">
        <v>7</v>
      </c>
      <c r="E335" s="13" t="s">
        <v>549</v>
      </c>
      <c r="F335" s="13">
        <v>3025460</v>
      </c>
      <c r="G335" s="14">
        <v>6623</v>
      </c>
      <c r="H335" s="33">
        <v>7500</v>
      </c>
      <c r="I335" s="16">
        <f t="shared" ref="I335:I340" si="53">H335*G335</f>
        <v>49672500</v>
      </c>
      <c r="J335" s="17">
        <v>14</v>
      </c>
      <c r="K335" s="34">
        <v>4502269051</v>
      </c>
      <c r="L335" s="19">
        <v>5080519020</v>
      </c>
      <c r="M335" s="20">
        <v>5113110820</v>
      </c>
      <c r="N335" s="23"/>
      <c r="O335" s="9" t="s">
        <v>37</v>
      </c>
      <c r="P335" s="23"/>
      <c r="Q335" s="24" t="s">
        <v>31</v>
      </c>
      <c r="R335" s="25">
        <v>44605</v>
      </c>
      <c r="S335" s="28"/>
      <c r="T335" s="35"/>
      <c r="U335" s="35"/>
      <c r="V335" s="29"/>
      <c r="W335" s="35"/>
      <c r="X335" s="29"/>
      <c r="Y335" s="36"/>
      <c r="Z335" s="29"/>
      <c r="AA335" s="31">
        <f t="shared" si="1"/>
        <v>44605</v>
      </c>
      <c r="AB335" s="32" t="str">
        <f t="shared" si="5"/>
        <v>febrero</v>
      </c>
    </row>
    <row r="336" spans="1:28" ht="12.75">
      <c r="A336" s="9" t="s">
        <v>276</v>
      </c>
      <c r="B336" s="10">
        <v>44608</v>
      </c>
      <c r="C336" s="11"/>
      <c r="D336" s="53">
        <v>7</v>
      </c>
      <c r="E336" s="13" t="s">
        <v>550</v>
      </c>
      <c r="F336" s="13">
        <v>3025457</v>
      </c>
      <c r="G336" s="14">
        <v>13521</v>
      </c>
      <c r="H336" s="33">
        <v>7450</v>
      </c>
      <c r="I336" s="16">
        <f t="shared" si="53"/>
        <v>100731450</v>
      </c>
      <c r="J336" s="17">
        <v>28</v>
      </c>
      <c r="K336" s="34">
        <v>4502269052</v>
      </c>
      <c r="L336" s="19">
        <v>5080519021</v>
      </c>
      <c r="M336" s="20">
        <v>5113109072</v>
      </c>
      <c r="N336" s="23"/>
      <c r="O336" s="9"/>
      <c r="P336" s="23"/>
      <c r="Q336" s="24" t="s">
        <v>31</v>
      </c>
      <c r="R336" s="25">
        <v>44605</v>
      </c>
      <c r="S336" s="28"/>
      <c r="T336" s="35"/>
      <c r="U336" s="35"/>
      <c r="V336" s="29"/>
      <c r="W336" s="35"/>
      <c r="X336" s="29"/>
      <c r="Y336" s="36"/>
      <c r="Z336" s="29"/>
      <c r="AA336" s="31">
        <f t="shared" si="1"/>
        <v>44605</v>
      </c>
      <c r="AB336" s="32" t="str">
        <f t="shared" si="5"/>
        <v>febrero</v>
      </c>
    </row>
    <row r="337" spans="1:28" ht="12.75">
      <c r="A337" s="9" t="s">
        <v>276</v>
      </c>
      <c r="B337" s="10">
        <v>44608</v>
      </c>
      <c r="C337" s="11"/>
      <c r="D337" s="53">
        <v>7</v>
      </c>
      <c r="E337" s="13" t="s">
        <v>551</v>
      </c>
      <c r="F337" s="13">
        <v>3025457</v>
      </c>
      <c r="G337" s="14">
        <v>13521</v>
      </c>
      <c r="H337" s="33">
        <v>50</v>
      </c>
      <c r="I337" s="16">
        <f t="shared" si="53"/>
        <v>676050</v>
      </c>
      <c r="J337" s="17">
        <v>0</v>
      </c>
      <c r="K337" s="34">
        <v>4502269052</v>
      </c>
      <c r="L337" s="19">
        <v>5080519021</v>
      </c>
      <c r="M337" s="20">
        <v>5113109073</v>
      </c>
      <c r="N337" s="23"/>
      <c r="O337" s="9"/>
      <c r="P337" s="23"/>
      <c r="Q337" s="24" t="s">
        <v>31</v>
      </c>
      <c r="R337" s="25">
        <v>44605</v>
      </c>
      <c r="S337" s="28"/>
      <c r="T337" s="35"/>
      <c r="U337" s="35"/>
      <c r="V337" s="29"/>
      <c r="W337" s="35"/>
      <c r="X337" s="29"/>
      <c r="Y337" s="36"/>
      <c r="Z337" s="29"/>
      <c r="AA337" s="31">
        <f t="shared" si="1"/>
        <v>44605</v>
      </c>
      <c r="AB337" s="32" t="str">
        <f t="shared" si="5"/>
        <v>febrero</v>
      </c>
    </row>
    <row r="338" spans="1:28" ht="12.75">
      <c r="A338" s="9" t="s">
        <v>242</v>
      </c>
      <c r="B338" s="10">
        <v>44605</v>
      </c>
      <c r="C338" s="11">
        <v>44609</v>
      </c>
      <c r="D338" s="53">
        <v>7</v>
      </c>
      <c r="E338" s="13" t="s">
        <v>130</v>
      </c>
      <c r="F338" s="13">
        <v>3025457</v>
      </c>
      <c r="G338" s="14">
        <v>6407</v>
      </c>
      <c r="H338" s="33">
        <v>7500</v>
      </c>
      <c r="I338" s="16">
        <f t="shared" si="53"/>
        <v>48052500</v>
      </c>
      <c r="J338" s="17">
        <v>14</v>
      </c>
      <c r="K338" s="34">
        <v>4502269053</v>
      </c>
      <c r="L338" s="19">
        <v>5080519022</v>
      </c>
      <c r="M338" s="20">
        <v>5113110703</v>
      </c>
      <c r="N338" s="23"/>
      <c r="O338" s="9" t="s">
        <v>37</v>
      </c>
      <c r="P338" s="23"/>
      <c r="Q338" s="24" t="s">
        <v>31</v>
      </c>
      <c r="R338" s="25">
        <v>44605</v>
      </c>
      <c r="S338" s="28"/>
      <c r="T338" s="35"/>
      <c r="U338" s="35"/>
      <c r="V338" s="29"/>
      <c r="W338" s="35"/>
      <c r="X338" s="29"/>
      <c r="Y338" s="36"/>
      <c r="Z338" s="29"/>
      <c r="AA338" s="31">
        <f t="shared" si="1"/>
        <v>44605</v>
      </c>
      <c r="AB338" s="32" t="str">
        <f t="shared" si="5"/>
        <v>febrero</v>
      </c>
    </row>
    <row r="339" spans="1:28" ht="12.75">
      <c r="A339" s="9" t="s">
        <v>65</v>
      </c>
      <c r="B339" s="10">
        <v>44608</v>
      </c>
      <c r="C339" s="11">
        <v>44608</v>
      </c>
      <c r="D339" s="53">
        <v>7</v>
      </c>
      <c r="E339" s="13" t="s">
        <v>552</v>
      </c>
      <c r="F339" s="13">
        <v>3025459</v>
      </c>
      <c r="G339" s="14">
        <v>13777</v>
      </c>
      <c r="H339" s="33">
        <v>7750</v>
      </c>
      <c r="I339" s="16">
        <f t="shared" si="53"/>
        <v>106771750</v>
      </c>
      <c r="J339" s="17">
        <v>28</v>
      </c>
      <c r="K339" s="34">
        <v>4502269054</v>
      </c>
      <c r="L339" s="19">
        <v>5080519408</v>
      </c>
      <c r="M339" s="20">
        <v>5113107357</v>
      </c>
      <c r="N339" s="21"/>
      <c r="O339" s="9" t="s">
        <v>63</v>
      </c>
      <c r="P339" s="23"/>
      <c r="Q339" s="24" t="s">
        <v>31</v>
      </c>
      <c r="R339" s="25">
        <v>44605</v>
      </c>
      <c r="S339" s="28"/>
      <c r="T339" s="35"/>
      <c r="U339" s="35"/>
      <c r="V339" s="29"/>
      <c r="W339" s="35"/>
      <c r="X339" s="29"/>
      <c r="Y339" s="36"/>
      <c r="Z339" s="29"/>
      <c r="AA339" s="31">
        <f t="shared" si="1"/>
        <v>44605</v>
      </c>
      <c r="AB339" s="32" t="str">
        <f t="shared" si="5"/>
        <v>febrero</v>
      </c>
    </row>
    <row r="340" spans="1:28" ht="12.75">
      <c r="A340" s="9" t="s">
        <v>416</v>
      </c>
      <c r="B340" s="10">
        <v>44609</v>
      </c>
      <c r="C340" s="11">
        <v>44610</v>
      </c>
      <c r="D340" s="53">
        <v>7</v>
      </c>
      <c r="E340" s="13" t="s">
        <v>553</v>
      </c>
      <c r="F340" s="13">
        <v>3025459</v>
      </c>
      <c r="G340" s="14">
        <v>5326</v>
      </c>
      <c r="H340" s="33">
        <v>7750</v>
      </c>
      <c r="I340" s="16">
        <f t="shared" si="53"/>
        <v>41276500</v>
      </c>
      <c r="J340" s="17">
        <v>13</v>
      </c>
      <c r="K340" s="34">
        <v>4502269055</v>
      </c>
      <c r="L340" s="19">
        <v>5080519410</v>
      </c>
      <c r="M340" s="20">
        <v>5113112672</v>
      </c>
      <c r="N340" s="21"/>
      <c r="O340" s="9" t="s">
        <v>37</v>
      </c>
      <c r="P340" s="23"/>
      <c r="Q340" s="24" t="s">
        <v>31</v>
      </c>
      <c r="R340" s="25">
        <v>44605</v>
      </c>
      <c r="S340" s="28"/>
      <c r="T340" s="35"/>
      <c r="U340" s="35"/>
      <c r="V340" s="29"/>
      <c r="W340" s="35"/>
      <c r="X340" s="29"/>
      <c r="Y340" s="36"/>
      <c r="Z340" s="29"/>
      <c r="AA340" s="31">
        <f t="shared" si="1"/>
        <v>44605</v>
      </c>
      <c r="AB340" s="32" t="str">
        <f t="shared" si="5"/>
        <v>febrero</v>
      </c>
    </row>
    <row r="341" spans="1:28" ht="12.75">
      <c r="A341" s="9" t="s">
        <v>416</v>
      </c>
      <c r="B341" s="10">
        <v>44609</v>
      </c>
      <c r="C341" s="11">
        <v>44610</v>
      </c>
      <c r="D341" s="53">
        <v>7</v>
      </c>
      <c r="E341" s="13" t="s">
        <v>554</v>
      </c>
      <c r="F341" s="13">
        <v>3025459</v>
      </c>
      <c r="G341" s="14">
        <v>5326</v>
      </c>
      <c r="H341" s="33">
        <f>7750-7570.84</f>
        <v>179.15999999999985</v>
      </c>
      <c r="I341" s="16">
        <f>-H341*G341</f>
        <v>-954206.15999999922</v>
      </c>
      <c r="J341" s="17">
        <v>0</v>
      </c>
      <c r="K341" s="34">
        <v>4502269055</v>
      </c>
      <c r="L341" s="19">
        <v>5080519410</v>
      </c>
      <c r="M341" s="20">
        <v>5113112673</v>
      </c>
      <c r="N341" s="21"/>
      <c r="O341" s="9"/>
      <c r="P341" s="23" t="s">
        <v>555</v>
      </c>
      <c r="Q341" s="24" t="s">
        <v>31</v>
      </c>
      <c r="R341" s="25">
        <v>44605</v>
      </c>
      <c r="S341" s="28"/>
      <c r="T341" s="35"/>
      <c r="U341" s="35"/>
      <c r="V341" s="29"/>
      <c r="W341" s="35"/>
      <c r="X341" s="29"/>
      <c r="Y341" s="36"/>
      <c r="Z341" s="29"/>
      <c r="AA341" s="31">
        <f t="shared" si="1"/>
        <v>44605</v>
      </c>
      <c r="AB341" s="32" t="str">
        <f t="shared" si="5"/>
        <v>febrero</v>
      </c>
    </row>
    <row r="342" spans="1:28" ht="12.75">
      <c r="A342" s="9" t="s">
        <v>253</v>
      </c>
      <c r="B342" s="10">
        <v>44608</v>
      </c>
      <c r="C342" s="11">
        <v>44608</v>
      </c>
      <c r="D342" s="53">
        <v>7</v>
      </c>
      <c r="E342" s="13" t="s">
        <v>556</v>
      </c>
      <c r="F342" s="13">
        <v>3025460</v>
      </c>
      <c r="G342" s="14">
        <v>8149</v>
      </c>
      <c r="H342" s="33">
        <v>7500</v>
      </c>
      <c r="I342" s="16">
        <f>H342*G342</f>
        <v>61117500</v>
      </c>
      <c r="J342" s="17">
        <v>16</v>
      </c>
      <c r="K342" s="34">
        <v>4502269056</v>
      </c>
      <c r="L342" s="19">
        <v>5080537472</v>
      </c>
      <c r="M342" s="20">
        <v>5113109994</v>
      </c>
      <c r="N342" s="21"/>
      <c r="O342" s="9" t="s">
        <v>63</v>
      </c>
      <c r="P342" s="23"/>
      <c r="Q342" s="24" t="s">
        <v>31</v>
      </c>
      <c r="R342" s="25">
        <v>44606</v>
      </c>
      <c r="S342" s="28"/>
      <c r="T342" s="35"/>
      <c r="U342" s="35"/>
      <c r="V342" s="29"/>
      <c r="W342" s="35"/>
      <c r="X342" s="29"/>
      <c r="Y342" s="36"/>
      <c r="Z342" s="29"/>
      <c r="AA342" s="31">
        <f t="shared" si="1"/>
        <v>44606</v>
      </c>
      <c r="AB342" s="32" t="str">
        <f t="shared" si="5"/>
        <v>febrero</v>
      </c>
    </row>
    <row r="343" spans="1:28" ht="12.75">
      <c r="A343" s="9" t="s">
        <v>253</v>
      </c>
      <c r="B343" s="10">
        <v>44608</v>
      </c>
      <c r="C343" s="11">
        <v>44608</v>
      </c>
      <c r="D343" s="53">
        <v>7</v>
      </c>
      <c r="E343" s="13" t="s">
        <v>557</v>
      </c>
      <c r="F343" s="13">
        <v>3025460</v>
      </c>
      <c r="G343" s="14">
        <v>8149</v>
      </c>
      <c r="H343" s="33">
        <f>7500-7461.34</f>
        <v>38.659999999999854</v>
      </c>
      <c r="I343" s="16">
        <f>-H343*G343</f>
        <v>-315040.3399999988</v>
      </c>
      <c r="J343" s="17">
        <v>0</v>
      </c>
      <c r="K343" s="34">
        <v>4502269056</v>
      </c>
      <c r="L343" s="19">
        <v>5080537472</v>
      </c>
      <c r="M343" s="20">
        <v>5113110042</v>
      </c>
      <c r="N343" s="21"/>
      <c r="O343" s="9"/>
      <c r="P343" s="23"/>
      <c r="Q343" s="24" t="s">
        <v>31</v>
      </c>
      <c r="R343" s="25">
        <v>44606</v>
      </c>
      <c r="S343" s="28"/>
      <c r="T343" s="35"/>
      <c r="U343" s="35"/>
      <c r="V343" s="29"/>
      <c r="W343" s="35"/>
      <c r="X343" s="29"/>
      <c r="Y343" s="36"/>
      <c r="Z343" s="29"/>
      <c r="AA343" s="31">
        <f t="shared" si="1"/>
        <v>44606</v>
      </c>
      <c r="AB343" s="32" t="str">
        <f t="shared" si="5"/>
        <v>febrero</v>
      </c>
    </row>
    <row r="344" spans="1:28" ht="12.75">
      <c r="A344" s="9" t="s">
        <v>58</v>
      </c>
      <c r="B344" s="10">
        <v>44610</v>
      </c>
      <c r="C344" s="11">
        <v>44610</v>
      </c>
      <c r="D344" s="53">
        <v>7</v>
      </c>
      <c r="E344" s="13" t="s">
        <v>558</v>
      </c>
      <c r="F344" s="13">
        <v>3025460</v>
      </c>
      <c r="G344" s="37">
        <v>21312.5</v>
      </c>
      <c r="H344" s="33">
        <v>7800</v>
      </c>
      <c r="I344" s="16">
        <f t="shared" ref="I344:I358" si="54">H344*G344</f>
        <v>166237500</v>
      </c>
      <c r="J344" s="17">
        <v>44</v>
      </c>
      <c r="K344" s="34">
        <v>4502269938</v>
      </c>
      <c r="L344" s="19">
        <v>5080537474</v>
      </c>
      <c r="M344" s="20">
        <v>5113116039</v>
      </c>
      <c r="N344" s="23"/>
      <c r="O344" s="9" t="s">
        <v>37</v>
      </c>
      <c r="P344" s="23"/>
      <c r="Q344" s="24" t="s">
        <v>31</v>
      </c>
      <c r="R344" s="25">
        <v>44606</v>
      </c>
      <c r="S344" s="28"/>
      <c r="T344" s="35"/>
      <c r="U344" s="35"/>
      <c r="V344" s="29"/>
      <c r="W344" s="35"/>
      <c r="X344" s="29"/>
      <c r="Y344" s="36"/>
      <c r="Z344" s="29"/>
      <c r="AA344" s="31">
        <f t="shared" si="1"/>
        <v>44606</v>
      </c>
      <c r="AB344" s="32" t="str">
        <f t="shared" si="5"/>
        <v>febrero</v>
      </c>
    </row>
    <row r="345" spans="1:28" ht="12.75">
      <c r="A345" s="9" t="s">
        <v>58</v>
      </c>
      <c r="B345" s="10">
        <v>44610</v>
      </c>
      <c r="C345" s="11">
        <v>44610</v>
      </c>
      <c r="D345" s="53">
        <v>7</v>
      </c>
      <c r="E345" s="13" t="s">
        <v>559</v>
      </c>
      <c r="F345" s="13">
        <v>3025460</v>
      </c>
      <c r="G345" s="37">
        <v>21312.5</v>
      </c>
      <c r="H345" s="33">
        <v>50</v>
      </c>
      <c r="I345" s="16">
        <f t="shared" si="54"/>
        <v>1065625</v>
      </c>
      <c r="J345" s="17">
        <v>0</v>
      </c>
      <c r="K345" s="34">
        <v>4502269938</v>
      </c>
      <c r="L345" s="19">
        <v>5080537474</v>
      </c>
      <c r="M345" s="20">
        <v>5113116041</v>
      </c>
      <c r="N345" s="23"/>
      <c r="O345" s="9"/>
      <c r="P345" s="23"/>
      <c r="Q345" s="24" t="s">
        <v>31</v>
      </c>
      <c r="R345" s="25">
        <v>44606</v>
      </c>
      <c r="S345" s="28"/>
      <c r="T345" s="35"/>
      <c r="U345" s="35"/>
      <c r="V345" s="29"/>
      <c r="W345" s="35"/>
      <c r="X345" s="29"/>
      <c r="Y345" s="36"/>
      <c r="Z345" s="29"/>
      <c r="AA345" s="31">
        <f t="shared" si="1"/>
        <v>44606</v>
      </c>
      <c r="AB345" s="32" t="str">
        <f t="shared" si="5"/>
        <v>febrero</v>
      </c>
    </row>
    <row r="346" spans="1:28" ht="12.75">
      <c r="A346" s="9" t="s">
        <v>28</v>
      </c>
      <c r="B346" s="10">
        <v>44609</v>
      </c>
      <c r="C346" s="11">
        <v>44610</v>
      </c>
      <c r="D346" s="53">
        <v>7</v>
      </c>
      <c r="E346" s="13" t="s">
        <v>560</v>
      </c>
      <c r="F346" s="13">
        <v>3025460</v>
      </c>
      <c r="G346" s="14">
        <v>13161</v>
      </c>
      <c r="H346" s="15">
        <v>7000</v>
      </c>
      <c r="I346" s="16">
        <f t="shared" si="54"/>
        <v>92127000</v>
      </c>
      <c r="J346" s="17">
        <v>28</v>
      </c>
      <c r="K346" s="34">
        <v>4502271568</v>
      </c>
      <c r="L346" s="19">
        <v>5080519146</v>
      </c>
      <c r="M346" s="20">
        <v>5113113232</v>
      </c>
      <c r="N346" s="21" t="s">
        <v>37</v>
      </c>
      <c r="O346" s="22" t="s">
        <v>561</v>
      </c>
      <c r="P346" s="23"/>
      <c r="Q346" s="24" t="s">
        <v>31</v>
      </c>
      <c r="R346" s="25">
        <v>44607</v>
      </c>
      <c r="S346" s="28">
        <v>4902209972</v>
      </c>
      <c r="T346" s="27">
        <f>3132800*2</f>
        <v>6265600</v>
      </c>
      <c r="U346" s="28" t="s">
        <v>562</v>
      </c>
      <c r="V346" s="29">
        <v>5113110753</v>
      </c>
      <c r="W346" s="35"/>
      <c r="X346" s="29"/>
      <c r="Y346" s="36"/>
      <c r="Z346" s="29"/>
      <c r="AA346" s="31">
        <f t="shared" si="1"/>
        <v>44607</v>
      </c>
      <c r="AB346" s="32" t="str">
        <f t="shared" si="5"/>
        <v>febrero</v>
      </c>
    </row>
    <row r="347" spans="1:28" ht="12.75">
      <c r="A347" s="9" t="s">
        <v>250</v>
      </c>
      <c r="B347" s="10">
        <v>44607</v>
      </c>
      <c r="C347" s="11">
        <v>44610</v>
      </c>
      <c r="D347" s="53">
        <v>7</v>
      </c>
      <c r="E347" s="13" t="s">
        <v>563</v>
      </c>
      <c r="F347" s="13">
        <v>3025457</v>
      </c>
      <c r="G347" s="37">
        <v>7330.5</v>
      </c>
      <c r="H347" s="33">
        <v>7450</v>
      </c>
      <c r="I347" s="16">
        <f t="shared" si="54"/>
        <v>54612225</v>
      </c>
      <c r="J347" s="17">
        <v>14</v>
      </c>
      <c r="K347" s="34">
        <v>4502269058</v>
      </c>
      <c r="L347" s="19">
        <v>5080553068</v>
      </c>
      <c r="M347" s="20">
        <v>5113116045</v>
      </c>
      <c r="N347" s="21"/>
      <c r="O347" s="9" t="s">
        <v>63</v>
      </c>
      <c r="P347" s="23"/>
      <c r="Q347" s="24" t="s">
        <v>31</v>
      </c>
      <c r="R347" s="25">
        <v>44607</v>
      </c>
      <c r="S347" s="28"/>
      <c r="T347" s="35"/>
      <c r="U347" s="35"/>
      <c r="V347" s="29"/>
      <c r="W347" s="35"/>
      <c r="X347" s="29"/>
      <c r="Y347" s="36"/>
      <c r="Z347" s="29"/>
      <c r="AA347" s="31">
        <f t="shared" si="1"/>
        <v>44607</v>
      </c>
      <c r="AB347" s="32" t="str">
        <f t="shared" si="5"/>
        <v>febrero</v>
      </c>
    </row>
    <row r="348" spans="1:28" ht="12.75">
      <c r="A348" s="9" t="s">
        <v>65</v>
      </c>
      <c r="B348" s="10">
        <v>44609</v>
      </c>
      <c r="C348" s="11">
        <v>44609</v>
      </c>
      <c r="D348" s="53">
        <v>7</v>
      </c>
      <c r="E348" s="13" t="s">
        <v>564</v>
      </c>
      <c r="F348" s="13">
        <v>3025459</v>
      </c>
      <c r="G348" s="14">
        <v>13626</v>
      </c>
      <c r="H348" s="33">
        <v>7750</v>
      </c>
      <c r="I348" s="16">
        <f t="shared" si="54"/>
        <v>105601500</v>
      </c>
      <c r="J348" s="17">
        <v>28</v>
      </c>
      <c r="K348" s="34">
        <v>4502269059</v>
      </c>
      <c r="L348" s="19">
        <v>5080553069</v>
      </c>
      <c r="M348" s="20">
        <v>5113112676</v>
      </c>
      <c r="N348" s="21"/>
      <c r="O348" s="9" t="s">
        <v>63</v>
      </c>
      <c r="P348" s="23"/>
      <c r="Q348" s="24" t="s">
        <v>31</v>
      </c>
      <c r="R348" s="25">
        <v>44607</v>
      </c>
      <c r="S348" s="28"/>
      <c r="T348" s="35"/>
      <c r="U348" s="35"/>
      <c r="V348" s="29"/>
      <c r="W348" s="35"/>
      <c r="X348" s="29"/>
      <c r="Y348" s="36"/>
      <c r="Z348" s="29"/>
      <c r="AA348" s="31">
        <f t="shared" si="1"/>
        <v>44607</v>
      </c>
      <c r="AB348" s="32" t="str">
        <f t="shared" si="5"/>
        <v>febrero</v>
      </c>
    </row>
    <row r="349" spans="1:28" ht="12.75">
      <c r="A349" s="9" t="s">
        <v>67</v>
      </c>
      <c r="B349" s="10">
        <v>44609</v>
      </c>
      <c r="C349" s="11"/>
      <c r="D349" s="53">
        <v>7</v>
      </c>
      <c r="E349" s="13" t="s">
        <v>565</v>
      </c>
      <c r="F349" s="13">
        <v>3025459</v>
      </c>
      <c r="G349" s="37">
        <v>6140.5</v>
      </c>
      <c r="H349" s="33">
        <v>7450</v>
      </c>
      <c r="I349" s="16">
        <f t="shared" si="54"/>
        <v>45746725</v>
      </c>
      <c r="J349" s="17">
        <v>15</v>
      </c>
      <c r="K349" s="34">
        <v>4502269060</v>
      </c>
      <c r="L349" s="19">
        <v>5080553070</v>
      </c>
      <c r="M349" s="20">
        <v>5113112758</v>
      </c>
      <c r="N349" s="21"/>
      <c r="O349" s="9"/>
      <c r="P349" s="23"/>
      <c r="Q349" s="24" t="s">
        <v>31</v>
      </c>
      <c r="R349" s="25">
        <v>44607</v>
      </c>
      <c r="S349" s="28"/>
      <c r="T349" s="35"/>
      <c r="U349" s="35"/>
      <c r="V349" s="29"/>
      <c r="W349" s="35"/>
      <c r="X349" s="29"/>
      <c r="Y349" s="36"/>
      <c r="Z349" s="29"/>
      <c r="AA349" s="31">
        <f t="shared" si="1"/>
        <v>44607</v>
      </c>
      <c r="AB349" s="32" t="str">
        <f t="shared" si="5"/>
        <v>febrero</v>
      </c>
    </row>
    <row r="350" spans="1:28" ht="12.75">
      <c r="A350" s="9" t="s">
        <v>58</v>
      </c>
      <c r="B350" s="10">
        <v>44610</v>
      </c>
      <c r="C350" s="11">
        <v>44610</v>
      </c>
      <c r="D350" s="53">
        <v>7</v>
      </c>
      <c r="E350" s="13" t="s">
        <v>566</v>
      </c>
      <c r="F350" s="13">
        <v>3025462</v>
      </c>
      <c r="G350" s="14">
        <v>10857</v>
      </c>
      <c r="H350" s="40">
        <v>7500</v>
      </c>
      <c r="I350" s="16">
        <f t="shared" si="54"/>
        <v>81427500</v>
      </c>
      <c r="J350" s="17">
        <v>40</v>
      </c>
      <c r="K350" s="34">
        <v>4502274289</v>
      </c>
      <c r="L350" s="19">
        <v>5080571632</v>
      </c>
      <c r="M350" s="20">
        <v>5113116046</v>
      </c>
      <c r="N350" s="23"/>
      <c r="O350" s="9" t="s">
        <v>37</v>
      </c>
      <c r="P350" s="23"/>
      <c r="Q350" s="24" t="s">
        <v>357</v>
      </c>
      <c r="R350" s="25">
        <v>44608</v>
      </c>
      <c r="S350" s="28"/>
      <c r="T350" s="35"/>
      <c r="U350" s="35"/>
      <c r="V350" s="29"/>
      <c r="W350" s="35"/>
      <c r="X350" s="29"/>
      <c r="Y350" s="36"/>
      <c r="Z350" s="29"/>
      <c r="AA350" s="31">
        <f t="shared" si="1"/>
        <v>44608</v>
      </c>
      <c r="AB350" s="32" t="str">
        <f t="shared" si="5"/>
        <v>febrero</v>
      </c>
    </row>
    <row r="351" spans="1:28" ht="12.75">
      <c r="A351" s="9" t="s">
        <v>567</v>
      </c>
      <c r="B351" s="10">
        <v>44609</v>
      </c>
      <c r="C351" s="11"/>
      <c r="D351" s="42">
        <v>8</v>
      </c>
      <c r="E351" s="13" t="s">
        <v>568</v>
      </c>
      <c r="F351" s="13">
        <v>3025460</v>
      </c>
      <c r="G351" s="14">
        <v>36449</v>
      </c>
      <c r="H351" s="33">
        <v>7650</v>
      </c>
      <c r="I351" s="16">
        <f t="shared" si="54"/>
        <v>278834850</v>
      </c>
      <c r="J351" s="17">
        <v>75</v>
      </c>
      <c r="K351" s="34">
        <v>4502273566</v>
      </c>
      <c r="L351" s="19">
        <v>5080590810</v>
      </c>
      <c r="M351" s="20">
        <v>5113122851</v>
      </c>
      <c r="N351" s="23"/>
      <c r="O351" s="9" t="s">
        <v>63</v>
      </c>
      <c r="P351" s="23"/>
      <c r="Q351" s="24" t="s">
        <v>31</v>
      </c>
      <c r="R351" s="25">
        <v>44609</v>
      </c>
      <c r="S351" s="28"/>
      <c r="T351" s="35"/>
      <c r="U351" s="35"/>
      <c r="V351" s="29"/>
      <c r="W351" s="35"/>
      <c r="X351" s="29"/>
      <c r="Y351" s="36"/>
      <c r="Z351" s="29"/>
      <c r="AA351" s="31">
        <f t="shared" si="1"/>
        <v>44609</v>
      </c>
      <c r="AB351" s="32" t="str">
        <f t="shared" si="5"/>
        <v>febrero</v>
      </c>
    </row>
    <row r="352" spans="1:28" ht="12.75">
      <c r="A352" s="9" t="s">
        <v>567</v>
      </c>
      <c r="B352" s="10">
        <v>44609</v>
      </c>
      <c r="C352" s="11"/>
      <c r="D352" s="42">
        <v>8</v>
      </c>
      <c r="E352" s="13" t="s">
        <v>569</v>
      </c>
      <c r="F352" s="13">
        <v>3025460</v>
      </c>
      <c r="G352" s="14">
        <v>36449</v>
      </c>
      <c r="H352" s="33">
        <f>7742.59-7650</f>
        <v>92.590000000000146</v>
      </c>
      <c r="I352" s="16">
        <f t="shared" si="54"/>
        <v>3374812.9100000053</v>
      </c>
      <c r="J352" s="17">
        <v>0</v>
      </c>
      <c r="K352" s="34">
        <v>4502273566</v>
      </c>
      <c r="L352" s="19">
        <v>5080590810</v>
      </c>
      <c r="M352" s="20">
        <v>5113122852</v>
      </c>
      <c r="N352" s="23"/>
      <c r="O352" s="9"/>
      <c r="P352" s="23"/>
      <c r="Q352" s="24" t="s">
        <v>31</v>
      </c>
      <c r="R352" s="25">
        <v>44609</v>
      </c>
      <c r="S352" s="28"/>
      <c r="T352" s="35"/>
      <c r="U352" s="35"/>
      <c r="V352" s="29"/>
      <c r="W352" s="35"/>
      <c r="X352" s="29"/>
      <c r="Y352" s="36"/>
      <c r="Z352" s="29"/>
      <c r="AA352" s="31">
        <f t="shared" si="1"/>
        <v>44609</v>
      </c>
      <c r="AB352" s="32" t="str">
        <f t="shared" si="5"/>
        <v>febrero</v>
      </c>
    </row>
    <row r="353" spans="1:28" ht="12.75">
      <c r="A353" s="22" t="s">
        <v>428</v>
      </c>
      <c r="B353" s="10">
        <v>44610</v>
      </c>
      <c r="C353" s="11"/>
      <c r="D353" s="42">
        <v>8</v>
      </c>
      <c r="E353" s="13" t="s">
        <v>570</v>
      </c>
      <c r="F353" s="13">
        <v>3025460</v>
      </c>
      <c r="G353" s="14">
        <v>29162</v>
      </c>
      <c r="H353" s="33">
        <v>7750</v>
      </c>
      <c r="I353" s="16">
        <f t="shared" si="54"/>
        <v>226005500</v>
      </c>
      <c r="J353" s="17">
        <v>56</v>
      </c>
      <c r="K353" s="34">
        <v>4502273567</v>
      </c>
      <c r="L353" s="19">
        <v>5080589458</v>
      </c>
      <c r="M353" s="20">
        <v>5113118871</v>
      </c>
      <c r="N353" s="21"/>
      <c r="O353" s="9" t="s">
        <v>63</v>
      </c>
      <c r="P353" s="23"/>
      <c r="Q353" s="24" t="s">
        <v>31</v>
      </c>
      <c r="R353" s="25">
        <v>44609</v>
      </c>
      <c r="S353" s="28"/>
      <c r="T353" s="35"/>
      <c r="U353" s="35"/>
      <c r="V353" s="29"/>
      <c r="W353" s="35"/>
      <c r="X353" s="29"/>
      <c r="Y353" s="36"/>
      <c r="Z353" s="29"/>
      <c r="AA353" s="31">
        <f t="shared" si="1"/>
        <v>44609</v>
      </c>
      <c r="AB353" s="32" t="str">
        <f t="shared" si="5"/>
        <v>febrero</v>
      </c>
    </row>
    <row r="354" spans="1:28" ht="12.75">
      <c r="A354" s="22" t="s">
        <v>428</v>
      </c>
      <c r="B354" s="10">
        <v>44610</v>
      </c>
      <c r="C354" s="11">
        <v>44614</v>
      </c>
      <c r="D354" s="42">
        <v>8</v>
      </c>
      <c r="E354" s="13" t="s">
        <v>571</v>
      </c>
      <c r="F354" s="13">
        <v>3025460</v>
      </c>
      <c r="G354" s="14">
        <v>29162</v>
      </c>
      <c r="H354" s="33">
        <f>7797.89-7750</f>
        <v>47.890000000000327</v>
      </c>
      <c r="I354" s="16">
        <f t="shared" si="54"/>
        <v>1396568.1800000095</v>
      </c>
      <c r="J354" s="17">
        <v>0</v>
      </c>
      <c r="K354" s="34">
        <v>4502273567</v>
      </c>
      <c r="L354" s="19">
        <v>5080589458</v>
      </c>
      <c r="M354" s="20">
        <v>5113120623</v>
      </c>
      <c r="N354" s="23"/>
      <c r="O354" s="9"/>
      <c r="P354" s="23"/>
      <c r="Q354" s="24" t="s">
        <v>31</v>
      </c>
      <c r="R354" s="25">
        <v>44609</v>
      </c>
      <c r="S354" s="28"/>
      <c r="T354" s="35"/>
      <c r="U354" s="35"/>
      <c r="V354" s="29"/>
      <c r="W354" s="35"/>
      <c r="X354" s="29"/>
      <c r="Y354" s="36"/>
      <c r="Z354" s="29"/>
      <c r="AA354" s="31">
        <f t="shared" si="1"/>
        <v>44609</v>
      </c>
      <c r="AB354" s="32" t="str">
        <f t="shared" si="5"/>
        <v>febrero</v>
      </c>
    </row>
    <row r="355" spans="1:28" ht="12.75">
      <c r="A355" s="22" t="s">
        <v>428</v>
      </c>
      <c r="B355" s="10">
        <v>44610</v>
      </c>
      <c r="C355" s="11"/>
      <c r="D355" s="42">
        <v>8</v>
      </c>
      <c r="E355" s="13" t="s">
        <v>572</v>
      </c>
      <c r="F355" s="13">
        <v>3025460</v>
      </c>
      <c r="G355" s="37">
        <v>7324.5</v>
      </c>
      <c r="H355" s="33">
        <v>8100</v>
      </c>
      <c r="I355" s="16">
        <f t="shared" si="54"/>
        <v>59328450</v>
      </c>
      <c r="J355" s="17">
        <v>15</v>
      </c>
      <c r="K355" s="34">
        <v>4502273568</v>
      </c>
      <c r="L355" s="19">
        <v>5080589459</v>
      </c>
      <c r="M355" s="20">
        <v>5113118872</v>
      </c>
      <c r="N355" s="21"/>
      <c r="O355" s="9" t="s">
        <v>63</v>
      </c>
      <c r="P355" s="23"/>
      <c r="Q355" s="24" t="s">
        <v>31</v>
      </c>
      <c r="R355" s="25">
        <v>44609</v>
      </c>
      <c r="S355" s="28"/>
      <c r="T355" s="35"/>
      <c r="U355" s="35"/>
      <c r="V355" s="29"/>
      <c r="W355" s="35"/>
      <c r="X355" s="29"/>
      <c r="Y355" s="36"/>
      <c r="Z355" s="29"/>
      <c r="AA355" s="31">
        <f t="shared" si="1"/>
        <v>44609</v>
      </c>
      <c r="AB355" s="32" t="str">
        <f t="shared" si="5"/>
        <v>febrero</v>
      </c>
    </row>
    <row r="356" spans="1:28" ht="12.75">
      <c r="A356" s="22" t="s">
        <v>428</v>
      </c>
      <c r="B356" s="10">
        <v>44610</v>
      </c>
      <c r="C356" s="11"/>
      <c r="D356" s="42">
        <v>8</v>
      </c>
      <c r="E356" s="13" t="s">
        <v>572</v>
      </c>
      <c r="F356" s="13">
        <v>3025460</v>
      </c>
      <c r="G356" s="14">
        <v>14649</v>
      </c>
      <c r="H356" s="33">
        <v>8100</v>
      </c>
      <c r="I356" s="16">
        <f t="shared" si="54"/>
        <v>118656900</v>
      </c>
      <c r="J356" s="17">
        <v>30</v>
      </c>
      <c r="K356" s="34">
        <v>4502274870</v>
      </c>
      <c r="L356" s="19">
        <v>5080589459</v>
      </c>
      <c r="M356" s="20">
        <v>5113118872</v>
      </c>
      <c r="N356" s="21"/>
      <c r="O356" s="9" t="s">
        <v>63</v>
      </c>
      <c r="P356" s="23"/>
      <c r="Q356" s="24" t="s">
        <v>31</v>
      </c>
      <c r="R356" s="25">
        <v>44610</v>
      </c>
      <c r="S356" s="28"/>
      <c r="T356" s="35"/>
      <c r="U356" s="35"/>
      <c r="V356" s="29"/>
      <c r="W356" s="35"/>
      <c r="X356" s="29"/>
      <c r="Y356" s="36"/>
      <c r="Z356" s="29"/>
      <c r="AA356" s="31">
        <f t="shared" si="1"/>
        <v>44610</v>
      </c>
      <c r="AB356" s="32" t="str">
        <f t="shared" si="5"/>
        <v>febrero</v>
      </c>
    </row>
    <row r="357" spans="1:28" ht="12.75">
      <c r="A357" s="22" t="s">
        <v>428</v>
      </c>
      <c r="B357" s="10">
        <v>44610</v>
      </c>
      <c r="C357" s="11">
        <v>44614</v>
      </c>
      <c r="D357" s="42">
        <v>8</v>
      </c>
      <c r="E357" s="13" t="s">
        <v>573</v>
      </c>
      <c r="F357" s="13">
        <v>3025460</v>
      </c>
      <c r="G357" s="14">
        <v>21973.5</v>
      </c>
      <c r="H357" s="33">
        <f>8147.23-8100</f>
        <v>47.229999999999563</v>
      </c>
      <c r="I357" s="16">
        <f t="shared" si="54"/>
        <v>1037808.4049999904</v>
      </c>
      <c r="J357" s="17">
        <v>0</v>
      </c>
      <c r="K357" s="34">
        <v>4502274870</v>
      </c>
      <c r="L357" s="19">
        <v>5080590811</v>
      </c>
      <c r="M357" s="20">
        <v>5113120625</v>
      </c>
      <c r="N357" s="23"/>
      <c r="O357" s="9"/>
      <c r="P357" s="23"/>
      <c r="Q357" s="24" t="s">
        <v>31</v>
      </c>
      <c r="R357" s="25">
        <v>44610</v>
      </c>
      <c r="S357" s="28"/>
      <c r="T357" s="35"/>
      <c r="U357" s="35"/>
      <c r="V357" s="29"/>
      <c r="W357" s="35"/>
      <c r="X357" s="29"/>
      <c r="Y357" s="36"/>
      <c r="Z357" s="29"/>
      <c r="AA357" s="31">
        <f t="shared" si="1"/>
        <v>44610</v>
      </c>
      <c r="AB357" s="32" t="str">
        <f t="shared" si="5"/>
        <v>febrero</v>
      </c>
    </row>
    <row r="358" spans="1:28" ht="12.75">
      <c r="A358" s="9" t="s">
        <v>213</v>
      </c>
      <c r="B358" s="10">
        <v>44610</v>
      </c>
      <c r="C358" s="11">
        <v>44615</v>
      </c>
      <c r="D358" s="42">
        <v>8</v>
      </c>
      <c r="E358" s="13" t="s">
        <v>574</v>
      </c>
      <c r="F358" s="13">
        <v>3025460</v>
      </c>
      <c r="G358" s="14">
        <v>6437</v>
      </c>
      <c r="H358" s="33">
        <v>7550</v>
      </c>
      <c r="I358" s="16">
        <f t="shared" si="54"/>
        <v>48599350</v>
      </c>
      <c r="J358" s="17">
        <v>14</v>
      </c>
      <c r="K358" s="34">
        <v>4502273569</v>
      </c>
      <c r="L358" s="19">
        <v>5080596754</v>
      </c>
      <c r="M358" s="20">
        <v>5113125917</v>
      </c>
      <c r="N358" s="23"/>
      <c r="O358" s="9" t="s">
        <v>37</v>
      </c>
      <c r="P358" s="23"/>
      <c r="Q358" s="24" t="s">
        <v>31</v>
      </c>
      <c r="R358" s="25">
        <v>44610</v>
      </c>
      <c r="S358" s="28"/>
      <c r="T358" s="35"/>
      <c r="U358" s="35"/>
      <c r="V358" s="29"/>
      <c r="W358" s="35"/>
      <c r="X358" s="29"/>
      <c r="Y358" s="36"/>
      <c r="Z358" s="29"/>
      <c r="AA358" s="31">
        <f t="shared" si="1"/>
        <v>44610</v>
      </c>
      <c r="AB358" s="32" t="str">
        <f t="shared" si="5"/>
        <v>febrero</v>
      </c>
    </row>
    <row r="359" spans="1:28" ht="12.75">
      <c r="A359" s="9" t="s">
        <v>213</v>
      </c>
      <c r="B359" s="10">
        <v>44610</v>
      </c>
      <c r="C359" s="11">
        <v>44615</v>
      </c>
      <c r="D359" s="42">
        <v>8</v>
      </c>
      <c r="E359" s="13" t="s">
        <v>575</v>
      </c>
      <c r="F359" s="13">
        <v>3025460</v>
      </c>
      <c r="G359" s="14">
        <v>6437</v>
      </c>
      <c r="H359" s="33">
        <f>7550-7544.06</f>
        <v>5.9399999999995998</v>
      </c>
      <c r="I359" s="16">
        <f>-H359*G359</f>
        <v>-38235.779999997423</v>
      </c>
      <c r="J359" s="17">
        <v>0</v>
      </c>
      <c r="K359" s="34">
        <v>4502273569</v>
      </c>
      <c r="L359" s="19">
        <v>5080596754</v>
      </c>
      <c r="M359" s="20">
        <v>5113125919</v>
      </c>
      <c r="N359" s="23"/>
      <c r="O359" s="9"/>
      <c r="P359" s="23"/>
      <c r="Q359" s="24" t="s">
        <v>31</v>
      </c>
      <c r="R359" s="25">
        <v>44610</v>
      </c>
      <c r="S359" s="28"/>
      <c r="T359" s="35"/>
      <c r="U359" s="35"/>
      <c r="V359" s="29"/>
      <c r="W359" s="35"/>
      <c r="X359" s="29"/>
      <c r="Y359" s="36"/>
      <c r="Z359" s="29"/>
      <c r="AA359" s="31">
        <f t="shared" si="1"/>
        <v>44610</v>
      </c>
      <c r="AB359" s="32" t="str">
        <f t="shared" si="5"/>
        <v>febrero</v>
      </c>
    </row>
    <row r="360" spans="1:28" ht="12.75">
      <c r="A360" s="9" t="s">
        <v>233</v>
      </c>
      <c r="B360" s="10">
        <v>44610</v>
      </c>
      <c r="C360" s="11">
        <v>44614</v>
      </c>
      <c r="D360" s="42">
        <v>8</v>
      </c>
      <c r="E360" s="13" t="s">
        <v>576</v>
      </c>
      <c r="F360" s="13">
        <v>3025460</v>
      </c>
      <c r="G360" s="14">
        <v>14344</v>
      </c>
      <c r="H360" s="33">
        <v>7650</v>
      </c>
      <c r="I360" s="16">
        <f t="shared" ref="I360:I376" si="55">H360*G360</f>
        <v>109731600</v>
      </c>
      <c r="J360" s="17">
        <v>31</v>
      </c>
      <c r="K360" s="34">
        <v>4502273570</v>
      </c>
      <c r="L360" s="19">
        <v>5080622148</v>
      </c>
      <c r="M360" s="20">
        <v>5113124060</v>
      </c>
      <c r="N360" s="23"/>
      <c r="O360" s="9" t="s">
        <v>37</v>
      </c>
      <c r="P360" s="23"/>
      <c r="Q360" s="24" t="s">
        <v>31</v>
      </c>
      <c r="R360" s="25">
        <v>44610</v>
      </c>
      <c r="S360" s="28"/>
      <c r="T360" s="35"/>
      <c r="U360" s="35"/>
      <c r="V360" s="29"/>
      <c r="W360" s="35"/>
      <c r="X360" s="29"/>
      <c r="Y360" s="36"/>
      <c r="Z360" s="29"/>
      <c r="AA360" s="31">
        <f t="shared" si="1"/>
        <v>44610</v>
      </c>
      <c r="AB360" s="32" t="str">
        <f t="shared" si="5"/>
        <v>febrero</v>
      </c>
    </row>
    <row r="361" spans="1:28" ht="12.75">
      <c r="A361" s="9" t="s">
        <v>233</v>
      </c>
      <c r="B361" s="10">
        <v>44610</v>
      </c>
      <c r="C361" s="11">
        <v>44614</v>
      </c>
      <c r="D361" s="42">
        <v>8</v>
      </c>
      <c r="E361" s="13" t="s">
        <v>577</v>
      </c>
      <c r="F361" s="13">
        <v>3025460</v>
      </c>
      <c r="G361" s="14">
        <v>14344</v>
      </c>
      <c r="H361" s="33">
        <v>100</v>
      </c>
      <c r="I361" s="16">
        <f t="shared" si="55"/>
        <v>1434400</v>
      </c>
      <c r="J361" s="17">
        <v>0</v>
      </c>
      <c r="K361" s="34">
        <v>4502273570</v>
      </c>
      <c r="L361" s="19">
        <v>5080622148</v>
      </c>
      <c r="M361" s="20">
        <v>5113124062</v>
      </c>
      <c r="N361" s="23"/>
      <c r="O361" s="9"/>
      <c r="P361" s="23"/>
      <c r="Q361" s="24" t="s">
        <v>31</v>
      </c>
      <c r="R361" s="25">
        <v>44610</v>
      </c>
      <c r="S361" s="28"/>
      <c r="T361" s="35"/>
      <c r="U361" s="35"/>
      <c r="V361" s="29"/>
      <c r="W361" s="35"/>
      <c r="X361" s="29"/>
      <c r="Y361" s="36"/>
      <c r="Z361" s="29"/>
      <c r="AA361" s="31">
        <f t="shared" si="1"/>
        <v>44610</v>
      </c>
      <c r="AB361" s="32" t="str">
        <f t="shared" si="5"/>
        <v>febrero</v>
      </c>
    </row>
    <row r="362" spans="1:28" ht="12.75">
      <c r="A362" s="9" t="s">
        <v>58</v>
      </c>
      <c r="B362" s="10">
        <v>44615</v>
      </c>
      <c r="C362" s="11">
        <v>44615</v>
      </c>
      <c r="D362" s="42">
        <v>8</v>
      </c>
      <c r="E362" s="13" t="s">
        <v>578</v>
      </c>
      <c r="F362" s="13">
        <v>3025460</v>
      </c>
      <c r="G362" s="37">
        <v>35597.5</v>
      </c>
      <c r="H362" s="33">
        <v>7900</v>
      </c>
      <c r="I362" s="16">
        <f t="shared" si="55"/>
        <v>281220250</v>
      </c>
      <c r="J362" s="17">
        <v>75</v>
      </c>
      <c r="K362" s="34">
        <v>4502273571</v>
      </c>
      <c r="L362" s="19">
        <v>5080615927</v>
      </c>
      <c r="M362" s="20">
        <v>5113127937</v>
      </c>
      <c r="N362" s="23"/>
      <c r="O362" s="9" t="s">
        <v>37</v>
      </c>
      <c r="P362" s="23"/>
      <c r="Q362" s="24" t="s">
        <v>31</v>
      </c>
      <c r="R362" s="25">
        <v>44610</v>
      </c>
      <c r="S362" s="28"/>
      <c r="T362" s="35"/>
      <c r="U362" s="35"/>
      <c r="V362" s="29"/>
      <c r="W362" s="35"/>
      <c r="X362" s="29"/>
      <c r="Y362" s="36"/>
      <c r="Z362" s="29"/>
      <c r="AA362" s="31">
        <f t="shared" si="1"/>
        <v>44610</v>
      </c>
      <c r="AB362" s="32" t="str">
        <f t="shared" si="5"/>
        <v>febrero</v>
      </c>
    </row>
    <row r="363" spans="1:28" ht="12.75">
      <c r="A363" s="9" t="s">
        <v>58</v>
      </c>
      <c r="B363" s="10">
        <v>44615</v>
      </c>
      <c r="C363" s="11">
        <v>44615</v>
      </c>
      <c r="D363" s="42">
        <v>8</v>
      </c>
      <c r="E363" s="13" t="s">
        <v>579</v>
      </c>
      <c r="F363" s="13">
        <v>3025460</v>
      </c>
      <c r="G363" s="37">
        <v>35597.5</v>
      </c>
      <c r="H363" s="33">
        <f>8053.89-7900</f>
        <v>153.89000000000033</v>
      </c>
      <c r="I363" s="16">
        <f t="shared" si="55"/>
        <v>5478099.2750000115</v>
      </c>
      <c r="J363" s="17">
        <v>0</v>
      </c>
      <c r="K363" s="34">
        <v>4502273571</v>
      </c>
      <c r="L363" s="19">
        <v>5080615927</v>
      </c>
      <c r="M363" s="20">
        <v>5113127938</v>
      </c>
      <c r="N363" s="23"/>
      <c r="O363" s="9"/>
      <c r="P363" s="23"/>
      <c r="Q363" s="24" t="s">
        <v>31</v>
      </c>
      <c r="R363" s="25">
        <v>44610</v>
      </c>
      <c r="S363" s="28"/>
      <c r="T363" s="35"/>
      <c r="U363" s="35"/>
      <c r="V363" s="29"/>
      <c r="W363" s="35"/>
      <c r="X363" s="29"/>
      <c r="Y363" s="36"/>
      <c r="Z363" s="29"/>
      <c r="AA363" s="31">
        <f t="shared" si="1"/>
        <v>44610</v>
      </c>
      <c r="AB363" s="32" t="str">
        <f t="shared" si="5"/>
        <v>febrero</v>
      </c>
    </row>
    <row r="364" spans="1:28" ht="12.75">
      <c r="A364" s="9" t="s">
        <v>580</v>
      </c>
      <c r="B364" s="10">
        <v>44617</v>
      </c>
      <c r="C364" s="11"/>
      <c r="D364" s="42">
        <v>8</v>
      </c>
      <c r="E364" s="13" t="s">
        <v>581</v>
      </c>
      <c r="F364" s="13">
        <v>3025457</v>
      </c>
      <c r="G364" s="37">
        <v>18662.625</v>
      </c>
      <c r="H364" s="33">
        <v>7650</v>
      </c>
      <c r="I364" s="16">
        <f t="shared" si="55"/>
        <v>142769081.25</v>
      </c>
      <c r="J364" s="17">
        <v>42</v>
      </c>
      <c r="K364" s="34">
        <v>4502280201</v>
      </c>
      <c r="L364" s="19">
        <v>5080701488</v>
      </c>
      <c r="M364" s="20">
        <v>5113132737</v>
      </c>
      <c r="N364" s="23"/>
      <c r="O364" s="9" t="s">
        <v>63</v>
      </c>
      <c r="P364" s="23"/>
      <c r="Q364" s="24" t="s">
        <v>31</v>
      </c>
      <c r="R364" s="25">
        <v>44610</v>
      </c>
      <c r="S364" s="28"/>
      <c r="T364" s="35"/>
      <c r="U364" s="35"/>
      <c r="V364" s="29"/>
      <c r="W364" s="35"/>
      <c r="X364" s="29"/>
      <c r="Y364" s="36"/>
      <c r="Z364" s="29"/>
      <c r="AA364" s="31">
        <f t="shared" si="1"/>
        <v>44610</v>
      </c>
      <c r="AB364" s="32" t="str">
        <f t="shared" si="5"/>
        <v>febrero</v>
      </c>
    </row>
    <row r="365" spans="1:28" ht="12.75">
      <c r="A365" s="9" t="s">
        <v>580</v>
      </c>
      <c r="B365" s="10">
        <v>44617</v>
      </c>
      <c r="C365" s="11"/>
      <c r="D365" s="42">
        <v>8</v>
      </c>
      <c r="E365" s="13" t="s">
        <v>581</v>
      </c>
      <c r="F365" s="13">
        <v>3025457</v>
      </c>
      <c r="G365" s="37">
        <v>6220.875</v>
      </c>
      <c r="H365" s="33">
        <v>7650</v>
      </c>
      <c r="I365" s="16">
        <f t="shared" si="55"/>
        <v>47589693.75</v>
      </c>
      <c r="J365" s="17">
        <v>14</v>
      </c>
      <c r="K365" s="34">
        <v>4502280216</v>
      </c>
      <c r="L365" s="19">
        <v>5080701488</v>
      </c>
      <c r="M365" s="20">
        <v>5113132737</v>
      </c>
      <c r="N365" s="23"/>
      <c r="O365" s="9" t="s">
        <v>63</v>
      </c>
      <c r="P365" s="23"/>
      <c r="Q365" s="24" t="s">
        <v>31</v>
      </c>
      <c r="R365" s="25">
        <v>44610</v>
      </c>
      <c r="S365" s="28"/>
      <c r="T365" s="35"/>
      <c r="U365" s="35"/>
      <c r="V365" s="29"/>
      <c r="W365" s="35"/>
      <c r="X365" s="29"/>
      <c r="Y365" s="36"/>
      <c r="Z365" s="29"/>
      <c r="AA365" s="31">
        <f t="shared" si="1"/>
        <v>44610</v>
      </c>
      <c r="AB365" s="32" t="str">
        <f t="shared" si="5"/>
        <v>febrero</v>
      </c>
    </row>
    <row r="366" spans="1:28" ht="12.75">
      <c r="A366" s="9" t="s">
        <v>580</v>
      </c>
      <c r="B366" s="10">
        <v>44617</v>
      </c>
      <c r="C366" s="11"/>
      <c r="D366" s="42">
        <v>8</v>
      </c>
      <c r="E366" s="13" t="s">
        <v>582</v>
      </c>
      <c r="F366" s="13">
        <v>3025457</v>
      </c>
      <c r="G366" s="37">
        <v>24883.5</v>
      </c>
      <c r="H366" s="33">
        <f>7692.19-7650</f>
        <v>42.1899999999996</v>
      </c>
      <c r="I366" s="16">
        <f t="shared" si="55"/>
        <v>1049834.86499999</v>
      </c>
      <c r="J366" s="17">
        <v>0</v>
      </c>
      <c r="K366" s="34">
        <v>4502280201</v>
      </c>
      <c r="L366" s="19">
        <v>5080701488</v>
      </c>
      <c r="M366" s="20">
        <v>5113139763</v>
      </c>
      <c r="N366" s="23"/>
      <c r="O366" s="9"/>
      <c r="P366" s="23"/>
      <c r="Q366" s="24" t="s">
        <v>31</v>
      </c>
      <c r="R366" s="25">
        <v>44610</v>
      </c>
      <c r="S366" s="28"/>
      <c r="T366" s="35"/>
      <c r="U366" s="35"/>
      <c r="V366" s="29"/>
      <c r="W366" s="35"/>
      <c r="X366" s="29"/>
      <c r="Y366" s="36"/>
      <c r="Z366" s="29"/>
      <c r="AA366" s="31">
        <f t="shared" si="1"/>
        <v>44610</v>
      </c>
      <c r="AB366" s="32" t="str">
        <f t="shared" si="5"/>
        <v>febrero</v>
      </c>
    </row>
    <row r="367" spans="1:28" ht="12.75">
      <c r="A367" s="9" t="s">
        <v>65</v>
      </c>
      <c r="B367" s="10">
        <v>44614</v>
      </c>
      <c r="C367" s="11">
        <v>44614</v>
      </c>
      <c r="D367" s="42">
        <v>8</v>
      </c>
      <c r="E367" s="13" t="s">
        <v>583</v>
      </c>
      <c r="F367" s="13">
        <v>3025459</v>
      </c>
      <c r="G367" s="37">
        <v>19667.5</v>
      </c>
      <c r="H367" s="33">
        <v>7800</v>
      </c>
      <c r="I367" s="16">
        <f t="shared" si="55"/>
        <v>153406500</v>
      </c>
      <c r="J367" s="17">
        <v>42</v>
      </c>
      <c r="K367" s="34">
        <v>4502273573</v>
      </c>
      <c r="L367" s="19">
        <v>5080616128</v>
      </c>
      <c r="M367" s="20">
        <v>5113119850</v>
      </c>
      <c r="N367" s="23"/>
      <c r="O367" s="9" t="s">
        <v>63</v>
      </c>
      <c r="P367" s="23"/>
      <c r="Q367" s="24" t="s">
        <v>31</v>
      </c>
      <c r="R367" s="25">
        <v>44610</v>
      </c>
      <c r="S367" s="28"/>
      <c r="T367" s="35"/>
      <c r="U367" s="35"/>
      <c r="V367" s="29"/>
      <c r="W367" s="35"/>
      <c r="X367" s="29"/>
      <c r="Y367" s="36"/>
      <c r="Z367" s="29"/>
      <c r="AA367" s="31">
        <f t="shared" si="1"/>
        <v>44610</v>
      </c>
      <c r="AB367" s="32" t="str">
        <f t="shared" si="5"/>
        <v>febrero</v>
      </c>
    </row>
    <row r="368" spans="1:28" ht="12.75">
      <c r="A368" s="9" t="s">
        <v>580</v>
      </c>
      <c r="B368" s="10">
        <v>44617</v>
      </c>
      <c r="C368" s="11"/>
      <c r="D368" s="42">
        <v>8</v>
      </c>
      <c r="E368" s="13" t="s">
        <v>584</v>
      </c>
      <c r="F368" s="13">
        <v>3025457</v>
      </c>
      <c r="G368" s="37">
        <v>31957.5</v>
      </c>
      <c r="H368" s="33">
        <v>7650</v>
      </c>
      <c r="I368" s="16">
        <f t="shared" si="55"/>
        <v>244474875</v>
      </c>
      <c r="J368" s="17">
        <v>70</v>
      </c>
      <c r="K368" s="34">
        <v>4502280216</v>
      </c>
      <c r="L368" s="19">
        <v>5080701679</v>
      </c>
      <c r="M368" s="20">
        <v>5113132713</v>
      </c>
      <c r="N368" s="23"/>
      <c r="O368" s="9" t="s">
        <v>63</v>
      </c>
      <c r="P368" s="23"/>
      <c r="Q368" s="24" t="s">
        <v>31</v>
      </c>
      <c r="R368" s="25">
        <v>44610</v>
      </c>
      <c r="S368" s="28"/>
      <c r="T368" s="35"/>
      <c r="U368" s="35"/>
      <c r="V368" s="29"/>
      <c r="W368" s="35"/>
      <c r="X368" s="29"/>
      <c r="Y368" s="36"/>
      <c r="Z368" s="29"/>
      <c r="AA368" s="31">
        <f t="shared" si="1"/>
        <v>44610</v>
      </c>
      <c r="AB368" s="32" t="str">
        <f t="shared" si="5"/>
        <v>febrero</v>
      </c>
    </row>
    <row r="369" spans="1:28" ht="12.75">
      <c r="A369" s="9" t="s">
        <v>580</v>
      </c>
      <c r="B369" s="10">
        <v>44617</v>
      </c>
      <c r="C369" s="11">
        <v>44622</v>
      </c>
      <c r="D369" s="42">
        <v>8</v>
      </c>
      <c r="E369" s="13" t="s">
        <v>219</v>
      </c>
      <c r="F369" s="13">
        <v>3025457</v>
      </c>
      <c r="G369" s="37">
        <v>31957.5</v>
      </c>
      <c r="H369" s="33">
        <f>7695.13-7650</f>
        <v>45.130000000000109</v>
      </c>
      <c r="I369" s="16">
        <f t="shared" si="55"/>
        <v>1442241.9750000036</v>
      </c>
      <c r="J369" s="17">
        <v>0</v>
      </c>
      <c r="K369" s="34">
        <v>4502280216</v>
      </c>
      <c r="L369" s="19">
        <v>5080701679</v>
      </c>
      <c r="M369" s="20">
        <v>5113146225</v>
      </c>
      <c r="N369" s="23"/>
      <c r="O369" s="9"/>
      <c r="P369" s="23"/>
      <c r="Q369" s="24" t="s">
        <v>31</v>
      </c>
      <c r="R369" s="25">
        <v>44610</v>
      </c>
      <c r="S369" s="28"/>
      <c r="T369" s="35"/>
      <c r="U369" s="35"/>
      <c r="V369" s="29"/>
      <c r="W369" s="35"/>
      <c r="X369" s="29"/>
      <c r="Y369" s="36"/>
      <c r="Z369" s="29"/>
      <c r="AA369" s="31">
        <f t="shared" si="1"/>
        <v>44610</v>
      </c>
      <c r="AB369" s="32" t="str">
        <f t="shared" si="5"/>
        <v>febrero</v>
      </c>
    </row>
    <row r="370" spans="1:28" ht="12.75">
      <c r="A370" s="9" t="s">
        <v>58</v>
      </c>
      <c r="B370" s="10">
        <v>44613</v>
      </c>
      <c r="C370" s="11">
        <v>44613</v>
      </c>
      <c r="D370" s="42">
        <v>8</v>
      </c>
      <c r="E370" s="13" t="s">
        <v>585</v>
      </c>
      <c r="F370" s="13">
        <v>3025461</v>
      </c>
      <c r="G370" s="14">
        <v>23020</v>
      </c>
      <c r="H370" s="57">
        <v>8000</v>
      </c>
      <c r="I370" s="16">
        <f t="shared" si="55"/>
        <v>184160000</v>
      </c>
      <c r="J370" s="17">
        <v>42</v>
      </c>
      <c r="K370" s="34">
        <v>4502276256</v>
      </c>
      <c r="L370" s="19">
        <v>5080622579</v>
      </c>
      <c r="M370" s="20">
        <v>5113120695</v>
      </c>
      <c r="N370" s="23"/>
      <c r="O370" s="9" t="s">
        <v>37</v>
      </c>
      <c r="P370" s="23"/>
      <c r="Q370" s="24" t="s">
        <v>522</v>
      </c>
      <c r="R370" s="25">
        <v>44610</v>
      </c>
      <c r="S370" s="28"/>
      <c r="T370" s="35"/>
      <c r="U370" s="35"/>
      <c r="V370" s="29"/>
      <c r="W370" s="35"/>
      <c r="X370" s="29"/>
      <c r="Y370" s="36"/>
      <c r="Z370" s="29"/>
      <c r="AA370" s="31">
        <f t="shared" si="1"/>
        <v>44610</v>
      </c>
      <c r="AB370" s="32" t="str">
        <f t="shared" si="5"/>
        <v>febrero</v>
      </c>
    </row>
    <row r="371" spans="1:28" ht="12.75">
      <c r="A371" s="22" t="s">
        <v>116</v>
      </c>
      <c r="B371" s="10">
        <v>44610</v>
      </c>
      <c r="C371" s="11"/>
      <c r="D371" s="42">
        <v>8</v>
      </c>
      <c r="E371" s="13" t="s">
        <v>586</v>
      </c>
      <c r="F371" s="13">
        <v>3025461</v>
      </c>
      <c r="G371" s="14">
        <v>108881</v>
      </c>
      <c r="H371" s="15">
        <v>8186.69</v>
      </c>
      <c r="I371" s="16">
        <f t="shared" si="55"/>
        <v>891374993.88999999</v>
      </c>
      <c r="J371" s="17">
        <v>210</v>
      </c>
      <c r="K371" s="34">
        <v>4502274573</v>
      </c>
      <c r="L371" s="19">
        <v>5080589933</v>
      </c>
      <c r="M371" s="20">
        <v>5113116240</v>
      </c>
      <c r="N371" s="23" t="s">
        <v>37</v>
      </c>
      <c r="O371" s="22" t="s">
        <v>587</v>
      </c>
      <c r="P371" s="23"/>
      <c r="Q371" s="24" t="s">
        <v>522</v>
      </c>
      <c r="R371" s="25">
        <v>44610</v>
      </c>
      <c r="S371" s="34">
        <v>4502274573</v>
      </c>
      <c r="T371" s="28">
        <f>920000*15</f>
        <v>13800000</v>
      </c>
      <c r="U371" s="28" t="s">
        <v>588</v>
      </c>
      <c r="V371" s="29" t="s">
        <v>589</v>
      </c>
      <c r="W371" s="28" t="s">
        <v>590</v>
      </c>
      <c r="X371" s="29">
        <v>5113118933</v>
      </c>
      <c r="Y371" s="30" t="s">
        <v>591</v>
      </c>
      <c r="Z371" s="29">
        <v>5113118934</v>
      </c>
      <c r="AA371" s="31">
        <f t="shared" si="1"/>
        <v>44610</v>
      </c>
      <c r="AB371" s="32" t="str">
        <f t="shared" si="5"/>
        <v>febrero</v>
      </c>
    </row>
    <row r="372" spans="1:28" ht="12.75">
      <c r="A372" s="9" t="s">
        <v>318</v>
      </c>
      <c r="B372" s="10">
        <v>44613</v>
      </c>
      <c r="C372" s="11"/>
      <c r="D372" s="42">
        <v>8</v>
      </c>
      <c r="E372" s="13" t="s">
        <v>592</v>
      </c>
      <c r="F372" s="13">
        <v>3025460</v>
      </c>
      <c r="G372" s="14">
        <v>12858</v>
      </c>
      <c r="H372" s="40">
        <v>7550</v>
      </c>
      <c r="I372" s="16">
        <f t="shared" si="55"/>
        <v>97077900</v>
      </c>
      <c r="J372" s="17">
        <v>28</v>
      </c>
      <c r="K372" s="34">
        <v>4502276636</v>
      </c>
      <c r="L372" s="19">
        <v>5080627442</v>
      </c>
      <c r="M372" s="20">
        <v>5113144556</v>
      </c>
      <c r="N372" s="23"/>
      <c r="O372" s="9" t="s">
        <v>382</v>
      </c>
      <c r="P372" s="23"/>
      <c r="Q372" s="24" t="s">
        <v>82</v>
      </c>
      <c r="R372" s="25">
        <v>44610</v>
      </c>
      <c r="S372" s="28"/>
      <c r="T372" s="35"/>
      <c r="U372" s="35"/>
      <c r="V372" s="29"/>
      <c r="W372" s="35"/>
      <c r="X372" s="29"/>
      <c r="Y372" s="36"/>
      <c r="Z372" s="29"/>
      <c r="AA372" s="31">
        <f t="shared" si="1"/>
        <v>44610</v>
      </c>
      <c r="AB372" s="32" t="str">
        <f t="shared" si="5"/>
        <v>febrero</v>
      </c>
    </row>
    <row r="373" spans="1:28" ht="12.75">
      <c r="A373" s="9" t="s">
        <v>83</v>
      </c>
      <c r="B373" s="10">
        <v>44610</v>
      </c>
      <c r="C373" s="11">
        <v>44610</v>
      </c>
      <c r="D373" s="42">
        <v>8</v>
      </c>
      <c r="E373" s="13" t="s">
        <v>593</v>
      </c>
      <c r="F373" s="13">
        <v>3025460</v>
      </c>
      <c r="G373" s="14">
        <v>19555</v>
      </c>
      <c r="H373" s="15">
        <v>7450</v>
      </c>
      <c r="I373" s="16">
        <f t="shared" si="55"/>
        <v>145684750</v>
      </c>
      <c r="J373" s="17">
        <v>42</v>
      </c>
      <c r="K373" s="34">
        <v>4502276646</v>
      </c>
      <c r="L373" s="19">
        <v>5080627591</v>
      </c>
      <c r="M373" s="20">
        <v>5113117813</v>
      </c>
      <c r="N373" s="23" t="s">
        <v>37</v>
      </c>
      <c r="O373" s="22" t="s">
        <v>594</v>
      </c>
      <c r="P373" s="23"/>
      <c r="Q373" s="24" t="s">
        <v>82</v>
      </c>
      <c r="R373" s="25">
        <v>44610</v>
      </c>
      <c r="S373" s="58" t="s">
        <v>595</v>
      </c>
      <c r="T373" s="28">
        <v>318600</v>
      </c>
      <c r="U373" s="28" t="s">
        <v>596</v>
      </c>
      <c r="V373" s="29">
        <v>5113118931</v>
      </c>
      <c r="W373" s="35"/>
      <c r="X373" s="29"/>
      <c r="Y373" s="36"/>
      <c r="Z373" s="29"/>
      <c r="AA373" s="31">
        <f t="shared" si="1"/>
        <v>44610</v>
      </c>
      <c r="AB373" s="32" t="str">
        <f t="shared" si="5"/>
        <v>febrero</v>
      </c>
    </row>
    <row r="374" spans="1:28" ht="12.75">
      <c r="A374" s="9" t="s">
        <v>85</v>
      </c>
      <c r="B374" s="10">
        <v>44610</v>
      </c>
      <c r="C374" s="11">
        <v>44613</v>
      </c>
      <c r="D374" s="42">
        <v>8</v>
      </c>
      <c r="E374" s="13" t="s">
        <v>597</v>
      </c>
      <c r="F374" s="13">
        <v>3025460</v>
      </c>
      <c r="G374" s="14">
        <v>19761</v>
      </c>
      <c r="H374" s="40">
        <v>7650</v>
      </c>
      <c r="I374" s="16">
        <f t="shared" si="55"/>
        <v>151171650</v>
      </c>
      <c r="J374" s="17">
        <v>42</v>
      </c>
      <c r="K374" s="34">
        <v>4502276640</v>
      </c>
      <c r="L374" s="19">
        <v>5080627445</v>
      </c>
      <c r="M374" s="20">
        <v>5113127089</v>
      </c>
      <c r="N374" s="23"/>
      <c r="O374" s="9" t="s">
        <v>63</v>
      </c>
      <c r="P374" s="23"/>
      <c r="Q374" s="24" t="s">
        <v>82</v>
      </c>
      <c r="R374" s="25">
        <v>44610</v>
      </c>
      <c r="S374" s="28"/>
      <c r="T374" s="35"/>
      <c r="U374" s="35"/>
      <c r="V374" s="29"/>
      <c r="W374" s="35"/>
      <c r="X374" s="29"/>
      <c r="Y374" s="36"/>
      <c r="Z374" s="29"/>
      <c r="AA374" s="31">
        <f t="shared" si="1"/>
        <v>44610</v>
      </c>
      <c r="AB374" s="32" t="str">
        <f t="shared" si="5"/>
        <v>febrero</v>
      </c>
    </row>
    <row r="375" spans="1:28" ht="12.75">
      <c r="A375" s="9" t="s">
        <v>580</v>
      </c>
      <c r="B375" s="10">
        <v>44617</v>
      </c>
      <c r="C375" s="11"/>
      <c r="D375" s="42">
        <v>8</v>
      </c>
      <c r="E375" s="13" t="s">
        <v>598</v>
      </c>
      <c r="F375" s="13">
        <v>3025460</v>
      </c>
      <c r="G375" s="37">
        <v>19831.5</v>
      </c>
      <c r="H375" s="33">
        <v>7650</v>
      </c>
      <c r="I375" s="16">
        <f t="shared" si="55"/>
        <v>151710975</v>
      </c>
      <c r="J375" s="17">
        <v>42</v>
      </c>
      <c r="K375" s="34">
        <v>4502273575</v>
      </c>
      <c r="L375" s="19">
        <v>5080616130</v>
      </c>
      <c r="M375" s="20">
        <v>5113132739</v>
      </c>
      <c r="N375" s="23"/>
      <c r="O375" s="9" t="s">
        <v>63</v>
      </c>
      <c r="P375" s="23"/>
      <c r="Q375" s="24" t="s">
        <v>31</v>
      </c>
      <c r="R375" s="25">
        <v>44611</v>
      </c>
      <c r="S375" s="28"/>
      <c r="T375" s="35"/>
      <c r="U375" s="35"/>
      <c r="V375" s="29"/>
      <c r="W375" s="35"/>
      <c r="X375" s="29"/>
      <c r="Y375" s="36"/>
      <c r="Z375" s="29"/>
      <c r="AA375" s="31">
        <f t="shared" si="1"/>
        <v>44611</v>
      </c>
      <c r="AB375" s="32" t="str">
        <f t="shared" si="5"/>
        <v>febrero</v>
      </c>
    </row>
    <row r="376" spans="1:28" ht="12.75">
      <c r="A376" s="9" t="s">
        <v>580</v>
      </c>
      <c r="B376" s="10">
        <v>44617</v>
      </c>
      <c r="C376" s="11"/>
      <c r="D376" s="42">
        <v>8</v>
      </c>
      <c r="E376" s="13" t="s">
        <v>599</v>
      </c>
      <c r="F376" s="13">
        <v>3025460</v>
      </c>
      <c r="G376" s="37">
        <v>32593.5</v>
      </c>
      <c r="H376" s="33">
        <v>7650</v>
      </c>
      <c r="I376" s="16">
        <f t="shared" si="55"/>
        <v>249340275</v>
      </c>
      <c r="J376" s="17">
        <v>70</v>
      </c>
      <c r="K376" s="34">
        <v>4502273575</v>
      </c>
      <c r="L376" s="19">
        <v>5080616130</v>
      </c>
      <c r="M376" s="20">
        <v>5113144980</v>
      </c>
      <c r="N376" s="23"/>
      <c r="O376" s="9" t="s">
        <v>63</v>
      </c>
      <c r="P376" s="23"/>
      <c r="Q376" s="24" t="s">
        <v>31</v>
      </c>
      <c r="R376" s="25">
        <v>44611</v>
      </c>
      <c r="S376" s="28"/>
      <c r="T376" s="35"/>
      <c r="U376" s="35"/>
      <c r="V376" s="29"/>
      <c r="W376" s="35"/>
      <c r="X376" s="29"/>
      <c r="Y376" s="36"/>
      <c r="Z376" s="29"/>
      <c r="AA376" s="31">
        <f t="shared" si="1"/>
        <v>44611</v>
      </c>
      <c r="AB376" s="32" t="str">
        <f t="shared" si="5"/>
        <v>febrero</v>
      </c>
    </row>
    <row r="377" spans="1:28" ht="12.75">
      <c r="A377" s="9" t="s">
        <v>580</v>
      </c>
      <c r="B377" s="10">
        <v>44617</v>
      </c>
      <c r="C377" s="11">
        <v>44622</v>
      </c>
      <c r="D377" s="42">
        <v>8</v>
      </c>
      <c r="E377" s="13" t="s">
        <v>600</v>
      </c>
      <c r="F377" s="13">
        <v>3025460</v>
      </c>
      <c r="G377" s="37">
        <v>32593.5</v>
      </c>
      <c r="H377" s="33">
        <f>7650-7646.4</f>
        <v>3.6000000000003638</v>
      </c>
      <c r="I377" s="16">
        <f>-H377*G377</f>
        <v>-117336.60000001185</v>
      </c>
      <c r="J377" s="17">
        <v>0</v>
      </c>
      <c r="K377" s="34">
        <v>4502273575</v>
      </c>
      <c r="L377" s="19">
        <v>5080616130</v>
      </c>
      <c r="M377" s="20">
        <v>5113144981</v>
      </c>
      <c r="N377" s="23"/>
      <c r="O377" s="9"/>
      <c r="P377" s="23"/>
      <c r="Q377" s="24" t="s">
        <v>31</v>
      </c>
      <c r="R377" s="25">
        <v>44611</v>
      </c>
      <c r="S377" s="28"/>
      <c r="T377" s="35"/>
      <c r="U377" s="35"/>
      <c r="V377" s="29"/>
      <c r="W377" s="35"/>
      <c r="X377" s="29"/>
      <c r="Y377" s="36"/>
      <c r="Z377" s="29"/>
      <c r="AA377" s="31">
        <f t="shared" si="1"/>
        <v>44611</v>
      </c>
      <c r="AB377" s="32" t="str">
        <f t="shared" si="5"/>
        <v>febrero</v>
      </c>
    </row>
    <row r="378" spans="1:28" ht="12.75">
      <c r="A378" s="22" t="s">
        <v>428</v>
      </c>
      <c r="B378" s="10">
        <v>44612</v>
      </c>
      <c r="C378" s="11">
        <v>44614</v>
      </c>
      <c r="D378" s="42">
        <v>8</v>
      </c>
      <c r="E378" s="13" t="s">
        <v>601</v>
      </c>
      <c r="F378" s="13">
        <v>3025460</v>
      </c>
      <c r="G378" s="14">
        <v>29158</v>
      </c>
      <c r="H378" s="33">
        <v>7750</v>
      </c>
      <c r="I378" s="16">
        <f t="shared" ref="I378:I381" si="56">H378*G378</f>
        <v>225974500</v>
      </c>
      <c r="J378" s="17">
        <v>58</v>
      </c>
      <c r="K378" s="34">
        <v>4502273576</v>
      </c>
      <c r="L378" s="19">
        <v>5080616554</v>
      </c>
      <c r="M378" s="20">
        <v>5113121963</v>
      </c>
      <c r="N378" s="21"/>
      <c r="O378" s="9" t="s">
        <v>63</v>
      </c>
      <c r="P378" s="23"/>
      <c r="Q378" s="24" t="s">
        <v>31</v>
      </c>
      <c r="R378" s="25">
        <v>44611</v>
      </c>
      <c r="S378" s="28"/>
      <c r="T378" s="35"/>
      <c r="U378" s="35"/>
      <c r="V378" s="29"/>
      <c r="W378" s="35"/>
      <c r="X378" s="29"/>
      <c r="Y378" s="36"/>
      <c r="Z378" s="29"/>
      <c r="AA378" s="31">
        <f t="shared" si="1"/>
        <v>44611</v>
      </c>
      <c r="AB378" s="32" t="str">
        <f t="shared" si="5"/>
        <v>febrero</v>
      </c>
    </row>
    <row r="379" spans="1:28" ht="12.75">
      <c r="A379" s="22" t="s">
        <v>428</v>
      </c>
      <c r="B379" s="10">
        <v>44612</v>
      </c>
      <c r="C379" s="11">
        <v>44614</v>
      </c>
      <c r="D379" s="42">
        <v>8</v>
      </c>
      <c r="E379" s="13" t="s">
        <v>602</v>
      </c>
      <c r="F379" s="13">
        <v>3025460</v>
      </c>
      <c r="G379" s="14">
        <v>29158</v>
      </c>
      <c r="H379" s="33">
        <v>50</v>
      </c>
      <c r="I379" s="16">
        <f t="shared" si="56"/>
        <v>1457900</v>
      </c>
      <c r="J379" s="17">
        <v>0</v>
      </c>
      <c r="K379" s="34">
        <v>4502273576</v>
      </c>
      <c r="L379" s="19">
        <v>5080616554</v>
      </c>
      <c r="M379" s="20">
        <v>5113121964</v>
      </c>
      <c r="N379" s="21"/>
      <c r="O379" s="9"/>
      <c r="P379" s="23"/>
      <c r="Q379" s="24" t="s">
        <v>31</v>
      </c>
      <c r="R379" s="25">
        <v>44611</v>
      </c>
      <c r="S379" s="28"/>
      <c r="T379" s="35"/>
      <c r="U379" s="35"/>
      <c r="V379" s="29"/>
      <c r="W379" s="35"/>
      <c r="X379" s="29"/>
      <c r="Y379" s="36"/>
      <c r="Z379" s="29"/>
      <c r="AA379" s="31">
        <f t="shared" si="1"/>
        <v>44611</v>
      </c>
      <c r="AB379" s="32" t="str">
        <f t="shared" si="5"/>
        <v>febrero</v>
      </c>
    </row>
    <row r="380" spans="1:28" ht="12.75">
      <c r="A380" s="9" t="s">
        <v>39</v>
      </c>
      <c r="B380" s="10">
        <v>44613</v>
      </c>
      <c r="C380" s="11">
        <v>44615</v>
      </c>
      <c r="D380" s="42">
        <v>8</v>
      </c>
      <c r="E380" s="13" t="s">
        <v>603</v>
      </c>
      <c r="F380" s="13">
        <v>3025457</v>
      </c>
      <c r="G380" s="37">
        <v>6665.125</v>
      </c>
      <c r="H380" s="33">
        <v>7800</v>
      </c>
      <c r="I380" s="16">
        <f t="shared" si="56"/>
        <v>51987975</v>
      </c>
      <c r="J380" s="17">
        <v>15</v>
      </c>
      <c r="K380" s="34">
        <v>4502273577</v>
      </c>
      <c r="L380" s="19">
        <v>5080616555</v>
      </c>
      <c r="M380" s="20">
        <v>5113126756</v>
      </c>
      <c r="N380" s="23"/>
      <c r="O380" s="9" t="s">
        <v>37</v>
      </c>
      <c r="P380" s="23"/>
      <c r="Q380" s="24" t="s">
        <v>31</v>
      </c>
      <c r="R380" s="25">
        <v>44611</v>
      </c>
      <c r="S380" s="28"/>
      <c r="T380" s="35"/>
      <c r="U380" s="35"/>
      <c r="V380" s="29"/>
      <c r="W380" s="35"/>
      <c r="X380" s="29"/>
      <c r="Y380" s="36"/>
      <c r="Z380" s="29"/>
      <c r="AA380" s="31">
        <f t="shared" si="1"/>
        <v>44611</v>
      </c>
      <c r="AB380" s="32" t="str">
        <f t="shared" si="5"/>
        <v>febrero</v>
      </c>
    </row>
    <row r="381" spans="1:28" ht="12.75">
      <c r="A381" s="9" t="s">
        <v>39</v>
      </c>
      <c r="B381" s="10">
        <v>44613</v>
      </c>
      <c r="C381" s="11">
        <v>44615</v>
      </c>
      <c r="D381" s="42">
        <v>8</v>
      </c>
      <c r="E381" s="13" t="s">
        <v>603</v>
      </c>
      <c r="F381" s="13">
        <v>3025459</v>
      </c>
      <c r="G381" s="14">
        <v>19995.375</v>
      </c>
      <c r="H381" s="33">
        <v>7800</v>
      </c>
      <c r="I381" s="16">
        <f t="shared" si="56"/>
        <v>155963925</v>
      </c>
      <c r="J381" s="17">
        <v>45</v>
      </c>
      <c r="K381" s="34">
        <v>4502273580</v>
      </c>
      <c r="L381" s="19">
        <v>5080616555</v>
      </c>
      <c r="M381" s="20">
        <v>5113126756</v>
      </c>
      <c r="N381" s="23"/>
      <c r="O381" s="9" t="s">
        <v>37</v>
      </c>
      <c r="P381" s="23"/>
      <c r="Q381" s="24" t="s">
        <v>31</v>
      </c>
      <c r="R381" s="25">
        <v>44611</v>
      </c>
      <c r="S381" s="28"/>
      <c r="T381" s="35"/>
      <c r="U381" s="35"/>
      <c r="V381" s="29"/>
      <c r="W381" s="35"/>
      <c r="X381" s="29"/>
      <c r="Y381" s="36"/>
      <c r="Z381" s="29"/>
      <c r="AA381" s="31">
        <f t="shared" si="1"/>
        <v>44611</v>
      </c>
      <c r="AB381" s="32" t="str">
        <f t="shared" si="5"/>
        <v>febrero</v>
      </c>
    </row>
    <row r="382" spans="1:28" ht="12.75">
      <c r="A382" s="9" t="s">
        <v>39</v>
      </c>
      <c r="B382" s="10">
        <v>44615</v>
      </c>
      <c r="C382" s="11">
        <v>44615</v>
      </c>
      <c r="D382" s="42">
        <v>8</v>
      </c>
      <c r="E382" s="13" t="s">
        <v>144</v>
      </c>
      <c r="F382" s="13">
        <v>3025459</v>
      </c>
      <c r="G382" s="37">
        <v>26660.5</v>
      </c>
      <c r="H382" s="33">
        <f>7800-7725.87</f>
        <v>74.130000000000109</v>
      </c>
      <c r="I382" s="16">
        <f>-H382*G382</f>
        <v>-1976342.865000003</v>
      </c>
      <c r="J382" s="17">
        <v>0</v>
      </c>
      <c r="K382" s="34">
        <v>4502273580</v>
      </c>
      <c r="L382" s="19">
        <v>5080616555</v>
      </c>
      <c r="M382" s="20">
        <v>5113127074</v>
      </c>
      <c r="N382" s="23"/>
      <c r="O382" s="9"/>
      <c r="P382" s="23"/>
      <c r="Q382" s="24" t="s">
        <v>31</v>
      </c>
      <c r="R382" s="25">
        <v>44611</v>
      </c>
      <c r="S382" s="28"/>
      <c r="T382" s="35"/>
      <c r="U382" s="35"/>
      <c r="V382" s="29"/>
      <c r="W382" s="35"/>
      <c r="X382" s="29"/>
      <c r="Y382" s="36"/>
      <c r="Z382" s="29"/>
      <c r="AA382" s="31">
        <f t="shared" si="1"/>
        <v>44611</v>
      </c>
      <c r="AB382" s="32" t="str">
        <f t="shared" si="5"/>
        <v>febrero</v>
      </c>
    </row>
    <row r="383" spans="1:28" ht="12.75">
      <c r="A383" s="9" t="s">
        <v>58</v>
      </c>
      <c r="B383" s="10">
        <v>44615</v>
      </c>
      <c r="C383" s="11">
        <v>44615</v>
      </c>
      <c r="D383" s="42">
        <v>8</v>
      </c>
      <c r="E383" s="13" t="s">
        <v>604</v>
      </c>
      <c r="F383" s="13">
        <v>3025457</v>
      </c>
      <c r="G383" s="37">
        <v>13732.5</v>
      </c>
      <c r="H383" s="33">
        <v>7900</v>
      </c>
      <c r="I383" s="16">
        <f>H383*G383</f>
        <v>108486750</v>
      </c>
      <c r="J383" s="17">
        <v>30</v>
      </c>
      <c r="K383" s="34">
        <v>4502273579</v>
      </c>
      <c r="L383" s="19">
        <v>5080616131</v>
      </c>
      <c r="M383" s="20">
        <v>5113127940</v>
      </c>
      <c r="N383" s="23"/>
      <c r="O383" s="9" t="s">
        <v>37</v>
      </c>
      <c r="P383" s="23"/>
      <c r="Q383" s="24" t="s">
        <v>31</v>
      </c>
      <c r="R383" s="25">
        <v>44611</v>
      </c>
      <c r="S383" s="28"/>
      <c r="T383" s="35"/>
      <c r="U383" s="35"/>
      <c r="V383" s="29"/>
      <c r="W383" s="35"/>
      <c r="X383" s="29"/>
      <c r="Y383" s="36"/>
      <c r="Z383" s="29"/>
      <c r="AA383" s="31">
        <f t="shared" si="1"/>
        <v>44611</v>
      </c>
      <c r="AB383" s="32" t="str">
        <f t="shared" si="5"/>
        <v>febrero</v>
      </c>
    </row>
    <row r="384" spans="1:28" ht="12.75">
      <c r="A384" s="9" t="s">
        <v>58</v>
      </c>
      <c r="B384" s="10">
        <v>44615</v>
      </c>
      <c r="C384" s="11">
        <v>44615</v>
      </c>
      <c r="D384" s="42">
        <v>8</v>
      </c>
      <c r="E384" s="13" t="s">
        <v>605</v>
      </c>
      <c r="F384" s="13">
        <v>3025457</v>
      </c>
      <c r="G384" s="37">
        <v>13732.5</v>
      </c>
      <c r="H384" s="33">
        <f>7900-7894.37</f>
        <v>5.6300000000001091</v>
      </c>
      <c r="I384" s="16">
        <f>-H384*G384</f>
        <v>-77313.975000001505</v>
      </c>
      <c r="J384" s="17">
        <v>0</v>
      </c>
      <c r="K384" s="34">
        <v>4502273579</v>
      </c>
      <c r="L384" s="19">
        <v>5080616131</v>
      </c>
      <c r="M384" s="20">
        <v>5113127942</v>
      </c>
      <c r="N384" s="21"/>
      <c r="O384" s="9"/>
      <c r="P384" s="23"/>
      <c r="Q384" s="24" t="s">
        <v>31</v>
      </c>
      <c r="R384" s="25">
        <v>44611</v>
      </c>
      <c r="S384" s="28"/>
      <c r="T384" s="35"/>
      <c r="U384" s="35"/>
      <c r="V384" s="29"/>
      <c r="W384" s="35"/>
      <c r="X384" s="29"/>
      <c r="Y384" s="36"/>
      <c r="Z384" s="29"/>
      <c r="AA384" s="31">
        <f t="shared" si="1"/>
        <v>44611</v>
      </c>
      <c r="AB384" s="32" t="str">
        <f t="shared" si="5"/>
        <v>febrero</v>
      </c>
    </row>
    <row r="385" spans="1:28" ht="12.75">
      <c r="A385" s="9" t="s">
        <v>606</v>
      </c>
      <c r="B385" s="10">
        <v>44616</v>
      </c>
      <c r="C385" s="11">
        <v>44616</v>
      </c>
      <c r="D385" s="42">
        <v>8</v>
      </c>
      <c r="E385" s="13" t="s">
        <v>607</v>
      </c>
      <c r="F385" s="13">
        <v>3025457</v>
      </c>
      <c r="G385" s="14">
        <v>7471</v>
      </c>
      <c r="H385" s="33">
        <v>7650</v>
      </c>
      <c r="I385" s="16">
        <f t="shared" ref="I385:I389" si="57">H385*G385</f>
        <v>57153150</v>
      </c>
      <c r="J385" s="17">
        <v>15</v>
      </c>
      <c r="K385" s="34">
        <v>4502273581</v>
      </c>
      <c r="L385" s="19">
        <v>5080622713</v>
      </c>
      <c r="M385" s="20">
        <v>5113127822</v>
      </c>
      <c r="N385" s="23"/>
      <c r="O385" s="9" t="s">
        <v>63</v>
      </c>
      <c r="P385" s="23"/>
      <c r="Q385" s="24" t="s">
        <v>31</v>
      </c>
      <c r="R385" s="25">
        <v>44612</v>
      </c>
      <c r="S385" s="28"/>
      <c r="T385" s="35"/>
      <c r="U385" s="35"/>
      <c r="V385" s="29"/>
      <c r="W385" s="35"/>
      <c r="X385" s="29"/>
      <c r="Y385" s="36"/>
      <c r="Z385" s="29"/>
      <c r="AA385" s="31">
        <f t="shared" si="1"/>
        <v>44612</v>
      </c>
      <c r="AB385" s="32" t="str">
        <f t="shared" si="5"/>
        <v>febrero</v>
      </c>
    </row>
    <row r="386" spans="1:28" ht="12.75">
      <c r="A386" s="9" t="s">
        <v>606</v>
      </c>
      <c r="B386" s="10">
        <v>44616</v>
      </c>
      <c r="C386" s="11">
        <v>44616</v>
      </c>
      <c r="D386" s="42">
        <v>8</v>
      </c>
      <c r="E386" s="13" t="s">
        <v>123</v>
      </c>
      <c r="F386" s="13">
        <v>3025457</v>
      </c>
      <c r="G386" s="14">
        <v>7471</v>
      </c>
      <c r="H386" s="33">
        <v>50</v>
      </c>
      <c r="I386" s="16">
        <f t="shared" si="57"/>
        <v>373550</v>
      </c>
      <c r="J386" s="17">
        <v>0</v>
      </c>
      <c r="K386" s="34">
        <v>4502273581</v>
      </c>
      <c r="L386" s="19">
        <v>5080622713</v>
      </c>
      <c r="M386" s="20">
        <v>5113127824</v>
      </c>
      <c r="N386" s="23"/>
      <c r="O386" s="9"/>
      <c r="P386" s="23"/>
      <c r="Q386" s="24" t="s">
        <v>31</v>
      </c>
      <c r="R386" s="25">
        <v>44612</v>
      </c>
      <c r="S386" s="28"/>
      <c r="T386" s="35"/>
      <c r="U386" s="35"/>
      <c r="V386" s="29"/>
      <c r="W386" s="35"/>
      <c r="X386" s="29"/>
      <c r="Y386" s="36"/>
      <c r="Z386" s="29"/>
      <c r="AA386" s="31">
        <f t="shared" si="1"/>
        <v>44612</v>
      </c>
      <c r="AB386" s="32" t="str">
        <f t="shared" si="5"/>
        <v>febrero</v>
      </c>
    </row>
    <row r="387" spans="1:28" ht="12.75">
      <c r="A387" s="9" t="s">
        <v>58</v>
      </c>
      <c r="B387" s="10">
        <v>44616</v>
      </c>
      <c r="C387" s="11">
        <v>44616</v>
      </c>
      <c r="D387" s="42">
        <v>8</v>
      </c>
      <c r="E387" s="13" t="s">
        <v>608</v>
      </c>
      <c r="F387" s="13">
        <v>3025460</v>
      </c>
      <c r="G387" s="37">
        <v>38402.5</v>
      </c>
      <c r="H387" s="33">
        <v>7900</v>
      </c>
      <c r="I387" s="16">
        <f t="shared" si="57"/>
        <v>303379750</v>
      </c>
      <c r="J387" s="17">
        <v>70</v>
      </c>
      <c r="K387" s="34">
        <v>4502273582</v>
      </c>
      <c r="L387" s="19">
        <v>5080622714</v>
      </c>
      <c r="M387" s="20">
        <v>5113138194</v>
      </c>
      <c r="N387" s="23"/>
      <c r="O387" s="9" t="s">
        <v>37</v>
      </c>
      <c r="P387" s="23"/>
      <c r="Q387" s="24" t="s">
        <v>31</v>
      </c>
      <c r="R387" s="25">
        <v>44612</v>
      </c>
      <c r="S387" s="28"/>
      <c r="T387" s="35"/>
      <c r="U387" s="35"/>
      <c r="V387" s="29"/>
      <c r="W387" s="35"/>
      <c r="X387" s="29"/>
      <c r="Y387" s="36"/>
      <c r="Z387" s="29"/>
      <c r="AA387" s="31">
        <f t="shared" si="1"/>
        <v>44612</v>
      </c>
      <c r="AB387" s="32" t="str">
        <f t="shared" si="5"/>
        <v>febrero</v>
      </c>
    </row>
    <row r="388" spans="1:28" ht="12.75">
      <c r="A388" s="9" t="s">
        <v>58</v>
      </c>
      <c r="B388" s="10">
        <v>44616</v>
      </c>
      <c r="C388" s="11">
        <v>44616</v>
      </c>
      <c r="D388" s="42">
        <v>8</v>
      </c>
      <c r="E388" s="13" t="s">
        <v>609</v>
      </c>
      <c r="F388" s="13">
        <v>3025460</v>
      </c>
      <c r="G388" s="14">
        <v>6557</v>
      </c>
      <c r="H388" s="33">
        <v>7900</v>
      </c>
      <c r="I388" s="16">
        <f t="shared" si="57"/>
        <v>51800300</v>
      </c>
      <c r="J388" s="17">
        <v>15</v>
      </c>
      <c r="K388" s="34">
        <v>4502273582</v>
      </c>
      <c r="L388" s="19">
        <v>5080622714</v>
      </c>
      <c r="M388" s="20">
        <v>5113141082</v>
      </c>
      <c r="N388" s="23"/>
      <c r="O388" s="9" t="s">
        <v>37</v>
      </c>
      <c r="P388" s="23"/>
      <c r="Q388" s="24" t="s">
        <v>31</v>
      </c>
      <c r="R388" s="25">
        <v>44612</v>
      </c>
      <c r="S388" s="28"/>
      <c r="T388" s="35"/>
      <c r="U388" s="35"/>
      <c r="V388" s="29"/>
      <c r="W388" s="35"/>
      <c r="X388" s="29"/>
      <c r="Y388" s="36"/>
      <c r="Z388" s="29"/>
      <c r="AA388" s="31">
        <f t="shared" si="1"/>
        <v>44612</v>
      </c>
      <c r="AB388" s="32" t="str">
        <f t="shared" si="5"/>
        <v>febrero</v>
      </c>
    </row>
    <row r="389" spans="1:28" ht="12.75">
      <c r="A389" s="9" t="s">
        <v>58</v>
      </c>
      <c r="B389" s="10">
        <v>44616</v>
      </c>
      <c r="C389" s="11">
        <v>44616</v>
      </c>
      <c r="D389" s="42">
        <v>8</v>
      </c>
      <c r="E389" s="13" t="s">
        <v>610</v>
      </c>
      <c r="F389" s="13">
        <v>3025460</v>
      </c>
      <c r="G389" s="37">
        <v>7037.5</v>
      </c>
      <c r="H389" s="33">
        <v>7900</v>
      </c>
      <c r="I389" s="16">
        <f t="shared" si="57"/>
        <v>55596250</v>
      </c>
      <c r="J389" s="17">
        <v>16</v>
      </c>
      <c r="K389" s="34">
        <v>4502273582</v>
      </c>
      <c r="L389" s="19">
        <v>5080622714</v>
      </c>
      <c r="M389" s="20">
        <v>5113138217</v>
      </c>
      <c r="N389" s="23"/>
      <c r="O389" s="9" t="s">
        <v>37</v>
      </c>
      <c r="P389" s="23"/>
      <c r="Q389" s="24" t="s">
        <v>31</v>
      </c>
      <c r="R389" s="25">
        <v>44612</v>
      </c>
      <c r="S389" s="28"/>
      <c r="T389" s="35"/>
      <c r="U389" s="35"/>
      <c r="V389" s="29"/>
      <c r="W389" s="35"/>
      <c r="X389" s="29"/>
      <c r="Y389" s="36"/>
      <c r="Z389" s="29"/>
      <c r="AA389" s="31">
        <f t="shared" si="1"/>
        <v>44612</v>
      </c>
      <c r="AB389" s="32" t="str">
        <f t="shared" si="5"/>
        <v>febrero</v>
      </c>
    </row>
    <row r="390" spans="1:28" ht="12.75">
      <c r="A390" s="9" t="s">
        <v>80</v>
      </c>
      <c r="B390" s="10">
        <v>44612</v>
      </c>
      <c r="C390" s="11">
        <v>44614</v>
      </c>
      <c r="D390" s="42">
        <v>8</v>
      </c>
      <c r="E390" s="13" t="s">
        <v>611</v>
      </c>
      <c r="F390" s="13">
        <v>3025460</v>
      </c>
      <c r="G390" s="14">
        <v>37789</v>
      </c>
      <c r="H390" s="59">
        <f>I390/G390</f>
        <v>7648.3354944560588</v>
      </c>
      <c r="I390" s="39">
        <v>289022950</v>
      </c>
      <c r="J390" s="17">
        <v>84</v>
      </c>
      <c r="K390" s="34">
        <v>4502277847</v>
      </c>
      <c r="L390" s="19">
        <v>5080654429</v>
      </c>
      <c r="M390" s="20">
        <v>5113126548</v>
      </c>
      <c r="N390" s="21"/>
      <c r="O390" s="9"/>
      <c r="P390" s="23"/>
      <c r="Q390" s="24" t="s">
        <v>82</v>
      </c>
      <c r="R390" s="25">
        <v>44612</v>
      </c>
      <c r="S390" s="28"/>
      <c r="T390" s="35"/>
      <c r="U390" s="35"/>
      <c r="V390" s="29"/>
      <c r="W390" s="35"/>
      <c r="X390" s="29"/>
      <c r="Y390" s="36"/>
      <c r="Z390" s="29"/>
      <c r="AA390" s="31">
        <f t="shared" si="1"/>
        <v>44612</v>
      </c>
      <c r="AB390" s="32" t="str">
        <f t="shared" si="5"/>
        <v>febrero</v>
      </c>
    </row>
    <row r="391" spans="1:28" ht="12.75">
      <c r="A391" s="9" t="s">
        <v>196</v>
      </c>
      <c r="B391" s="10">
        <v>44612</v>
      </c>
      <c r="C391" s="11"/>
      <c r="D391" s="42">
        <v>8</v>
      </c>
      <c r="E391" s="13" t="s">
        <v>612</v>
      </c>
      <c r="F391" s="13">
        <v>3025460</v>
      </c>
      <c r="G391" s="14">
        <v>25754</v>
      </c>
      <c r="H391" s="57">
        <v>7650</v>
      </c>
      <c r="I391" s="16">
        <f t="shared" ref="I391:I393" si="58">H391*G391</f>
        <v>197018100</v>
      </c>
      <c r="J391" s="17">
        <v>56</v>
      </c>
      <c r="K391" s="34">
        <v>4502277840</v>
      </c>
      <c r="L391" s="19">
        <v>5080654012</v>
      </c>
      <c r="M391" s="20">
        <v>5113125613</v>
      </c>
      <c r="N391" s="21"/>
      <c r="O391" s="9" t="s">
        <v>63</v>
      </c>
      <c r="P391" s="23" t="s">
        <v>313</v>
      </c>
      <c r="Q391" s="24" t="s">
        <v>82</v>
      </c>
      <c r="R391" s="25">
        <v>44612</v>
      </c>
      <c r="S391" s="28"/>
      <c r="T391" s="35"/>
      <c r="U391" s="35"/>
      <c r="V391" s="29"/>
      <c r="W391" s="35"/>
      <c r="X391" s="29"/>
      <c r="Y391" s="36"/>
      <c r="Z391" s="29"/>
      <c r="AA391" s="31">
        <f t="shared" si="1"/>
        <v>44612</v>
      </c>
      <c r="AB391" s="32" t="str">
        <f t="shared" si="5"/>
        <v>febrero</v>
      </c>
    </row>
    <row r="392" spans="1:28" ht="12.75">
      <c r="A392" s="9" t="s">
        <v>199</v>
      </c>
      <c r="B392" s="10">
        <v>44612</v>
      </c>
      <c r="C392" s="11">
        <v>44615</v>
      </c>
      <c r="D392" s="42">
        <v>8</v>
      </c>
      <c r="E392" s="13" t="s">
        <v>613</v>
      </c>
      <c r="F392" s="13">
        <v>3025460</v>
      </c>
      <c r="G392" s="14">
        <v>15267</v>
      </c>
      <c r="H392" s="57">
        <v>7650</v>
      </c>
      <c r="I392" s="16">
        <f t="shared" si="58"/>
        <v>116792550</v>
      </c>
      <c r="J392" s="17">
        <v>30</v>
      </c>
      <c r="K392" s="34">
        <v>4502277842</v>
      </c>
      <c r="L392" s="19">
        <v>5080654141</v>
      </c>
      <c r="M392" s="20">
        <v>5113125609</v>
      </c>
      <c r="N392" s="21"/>
      <c r="O392" s="9" t="s">
        <v>63</v>
      </c>
      <c r="P392" s="23"/>
      <c r="Q392" s="24" t="s">
        <v>82</v>
      </c>
      <c r="R392" s="25">
        <v>44612</v>
      </c>
      <c r="S392" s="28"/>
      <c r="T392" s="35"/>
      <c r="U392" s="35"/>
      <c r="V392" s="29"/>
      <c r="W392" s="35"/>
      <c r="X392" s="29"/>
      <c r="Y392" s="36"/>
      <c r="Z392" s="29"/>
      <c r="AA392" s="31">
        <f t="shared" si="1"/>
        <v>44612</v>
      </c>
      <c r="AB392" s="32" t="str">
        <f t="shared" si="5"/>
        <v>febrero</v>
      </c>
    </row>
    <row r="393" spans="1:28" ht="12.75">
      <c r="A393" s="9" t="s">
        <v>58</v>
      </c>
      <c r="B393" s="10">
        <v>44616</v>
      </c>
      <c r="C393" s="11">
        <v>44616</v>
      </c>
      <c r="D393" s="42">
        <v>8</v>
      </c>
      <c r="E393" s="13" t="s">
        <v>614</v>
      </c>
      <c r="F393" s="13">
        <v>3025460</v>
      </c>
      <c r="G393" s="14">
        <v>30084</v>
      </c>
      <c r="H393" s="33">
        <v>7900</v>
      </c>
      <c r="I393" s="16">
        <f t="shared" si="58"/>
        <v>237663600</v>
      </c>
      <c r="J393" s="17">
        <v>57</v>
      </c>
      <c r="K393" s="34">
        <v>4502273583</v>
      </c>
      <c r="L393" s="19">
        <v>5080629048</v>
      </c>
      <c r="M393" s="20">
        <v>5113136422</v>
      </c>
      <c r="N393" s="23"/>
      <c r="O393" s="9" t="s">
        <v>37</v>
      </c>
      <c r="P393" s="23"/>
      <c r="Q393" s="24" t="s">
        <v>31</v>
      </c>
      <c r="R393" s="25">
        <v>44613</v>
      </c>
      <c r="S393" s="28"/>
      <c r="T393" s="35"/>
      <c r="U393" s="35"/>
      <c r="V393" s="29"/>
      <c r="W393" s="35"/>
      <c r="X393" s="29"/>
      <c r="Y393" s="36"/>
      <c r="Z393" s="29"/>
      <c r="AA393" s="31">
        <f t="shared" si="1"/>
        <v>44613</v>
      </c>
      <c r="AB393" s="32" t="str">
        <f t="shared" si="5"/>
        <v>febrero</v>
      </c>
    </row>
    <row r="394" spans="1:28" ht="12.75">
      <c r="A394" s="9" t="s">
        <v>58</v>
      </c>
      <c r="B394" s="10">
        <v>44616</v>
      </c>
      <c r="C394" s="11">
        <v>44616</v>
      </c>
      <c r="D394" s="42">
        <v>8</v>
      </c>
      <c r="E394" s="13" t="s">
        <v>554</v>
      </c>
      <c r="F394" s="13">
        <v>3025460</v>
      </c>
      <c r="G394" s="14">
        <v>30084</v>
      </c>
      <c r="H394" s="33">
        <f>7900-7890.13</f>
        <v>9.8699999999998909</v>
      </c>
      <c r="I394" s="16">
        <f>-H394*G394</f>
        <v>-296929.0799999967</v>
      </c>
      <c r="J394" s="17">
        <v>0</v>
      </c>
      <c r="K394" s="34">
        <v>4502273583</v>
      </c>
      <c r="L394" s="19">
        <v>5080629048</v>
      </c>
      <c r="M394" s="20">
        <v>5113136424</v>
      </c>
      <c r="N394" s="23"/>
      <c r="O394" s="9"/>
      <c r="P394" s="23"/>
      <c r="Q394" s="24" t="s">
        <v>31</v>
      </c>
      <c r="R394" s="25">
        <v>44613</v>
      </c>
      <c r="S394" s="28"/>
      <c r="T394" s="35"/>
      <c r="U394" s="35"/>
      <c r="V394" s="29"/>
      <c r="W394" s="35"/>
      <c r="X394" s="29"/>
      <c r="Y394" s="36"/>
      <c r="Z394" s="29"/>
      <c r="AA394" s="31">
        <f t="shared" si="1"/>
        <v>44613</v>
      </c>
      <c r="AB394" s="32" t="str">
        <f t="shared" si="5"/>
        <v>febrero</v>
      </c>
    </row>
    <row r="395" spans="1:28" ht="12.75">
      <c r="A395" s="9" t="s">
        <v>58</v>
      </c>
      <c r="B395" s="10">
        <v>44616</v>
      </c>
      <c r="C395" s="11">
        <v>44616</v>
      </c>
      <c r="D395" s="42">
        <v>8</v>
      </c>
      <c r="E395" s="13" t="s">
        <v>615</v>
      </c>
      <c r="F395" s="13">
        <v>3025460</v>
      </c>
      <c r="G395" s="14">
        <v>7367</v>
      </c>
      <c r="H395" s="33">
        <v>7900</v>
      </c>
      <c r="I395" s="16">
        <f t="shared" ref="I395:I396" si="59">H395*G395</f>
        <v>58199300</v>
      </c>
      <c r="J395" s="17">
        <v>15</v>
      </c>
      <c r="K395" s="34">
        <v>4502273583</v>
      </c>
      <c r="L395" s="19">
        <v>5080629048</v>
      </c>
      <c r="M395" s="20">
        <v>5113136447</v>
      </c>
      <c r="N395" s="23"/>
      <c r="O395" s="9" t="s">
        <v>37</v>
      </c>
      <c r="P395" s="23"/>
      <c r="Q395" s="24" t="s">
        <v>31</v>
      </c>
      <c r="R395" s="25">
        <v>44613</v>
      </c>
      <c r="S395" s="28"/>
      <c r="T395" s="35"/>
      <c r="U395" s="35"/>
      <c r="V395" s="29"/>
      <c r="W395" s="35"/>
      <c r="X395" s="29"/>
      <c r="Y395" s="36"/>
      <c r="Z395" s="29"/>
      <c r="AA395" s="31">
        <f t="shared" si="1"/>
        <v>44613</v>
      </c>
      <c r="AB395" s="32" t="str">
        <f t="shared" si="5"/>
        <v>febrero</v>
      </c>
    </row>
    <row r="396" spans="1:28" ht="12.75">
      <c r="A396" s="9" t="s">
        <v>58</v>
      </c>
      <c r="B396" s="10">
        <v>44616</v>
      </c>
      <c r="C396" s="11">
        <v>44616</v>
      </c>
      <c r="D396" s="42">
        <v>8</v>
      </c>
      <c r="E396" s="13" t="s">
        <v>616</v>
      </c>
      <c r="F396" s="13">
        <v>3025460</v>
      </c>
      <c r="G396" s="14">
        <v>14014</v>
      </c>
      <c r="H396" s="33">
        <v>7900</v>
      </c>
      <c r="I396" s="16">
        <f t="shared" si="59"/>
        <v>110710600</v>
      </c>
      <c r="J396" s="17">
        <v>30</v>
      </c>
      <c r="K396" s="34">
        <v>4502273583</v>
      </c>
      <c r="L396" s="19">
        <v>5080629048</v>
      </c>
      <c r="M396" s="20">
        <v>5113140569</v>
      </c>
      <c r="N396" s="23"/>
      <c r="O396" s="9" t="s">
        <v>37</v>
      </c>
      <c r="P396" s="23"/>
      <c r="Q396" s="24" t="s">
        <v>31</v>
      </c>
      <c r="R396" s="25">
        <v>44613</v>
      </c>
      <c r="S396" s="28"/>
      <c r="T396" s="35"/>
      <c r="U396" s="35"/>
      <c r="V396" s="29"/>
      <c r="W396" s="35"/>
      <c r="X396" s="29"/>
      <c r="Y396" s="36"/>
      <c r="Z396" s="29"/>
      <c r="AA396" s="31">
        <f t="shared" si="1"/>
        <v>44613</v>
      </c>
      <c r="AB396" s="32" t="str">
        <f t="shared" si="5"/>
        <v>febrero</v>
      </c>
    </row>
    <row r="397" spans="1:28" ht="12.75">
      <c r="A397" s="9" t="s">
        <v>58</v>
      </c>
      <c r="B397" s="10">
        <v>44616</v>
      </c>
      <c r="C397" s="11">
        <v>44616</v>
      </c>
      <c r="D397" s="42">
        <v>8</v>
      </c>
      <c r="E397" s="13" t="s">
        <v>617</v>
      </c>
      <c r="F397" s="13">
        <v>3025460</v>
      </c>
      <c r="G397" s="14">
        <v>14014</v>
      </c>
      <c r="H397" s="33">
        <v>200</v>
      </c>
      <c r="I397" s="16">
        <f>-H397*G397</f>
        <v>-2802800</v>
      </c>
      <c r="J397" s="17">
        <v>0</v>
      </c>
      <c r="K397" s="34">
        <v>4502273583</v>
      </c>
      <c r="L397" s="19">
        <v>5080629048</v>
      </c>
      <c r="M397" s="20">
        <v>5113140576</v>
      </c>
      <c r="N397" s="23"/>
      <c r="O397" s="9"/>
      <c r="P397" s="23"/>
      <c r="Q397" s="24" t="s">
        <v>31</v>
      </c>
      <c r="R397" s="25">
        <v>44613</v>
      </c>
      <c r="S397" s="28"/>
      <c r="T397" s="35"/>
      <c r="U397" s="35"/>
      <c r="V397" s="29"/>
      <c r="W397" s="35"/>
      <c r="X397" s="29"/>
      <c r="Y397" s="36"/>
      <c r="Z397" s="29"/>
      <c r="AA397" s="31">
        <f t="shared" si="1"/>
        <v>44613</v>
      </c>
      <c r="AB397" s="32" t="str">
        <f t="shared" si="5"/>
        <v>febrero</v>
      </c>
    </row>
    <row r="398" spans="1:28" ht="12.75">
      <c r="A398" s="9" t="s">
        <v>404</v>
      </c>
      <c r="B398" s="10">
        <v>44613</v>
      </c>
      <c r="C398" s="11">
        <v>44616</v>
      </c>
      <c r="D398" s="42">
        <v>8</v>
      </c>
      <c r="E398" s="13" t="s">
        <v>618</v>
      </c>
      <c r="F398" s="13">
        <v>3025457</v>
      </c>
      <c r="G398" s="14">
        <v>7489</v>
      </c>
      <c r="H398" s="33">
        <v>7800</v>
      </c>
      <c r="I398" s="16">
        <f t="shared" ref="I398:I399" si="60">H398*G398</f>
        <v>58414200</v>
      </c>
      <c r="J398" s="17">
        <v>14</v>
      </c>
      <c r="K398" s="34">
        <v>4502273584</v>
      </c>
      <c r="L398" s="19">
        <v>5080643851</v>
      </c>
      <c r="M398" s="20">
        <v>5113129770</v>
      </c>
      <c r="N398" s="23"/>
      <c r="O398" s="9" t="s">
        <v>37</v>
      </c>
      <c r="P398" s="23"/>
      <c r="Q398" s="24" t="s">
        <v>31</v>
      </c>
      <c r="R398" s="25">
        <v>44613</v>
      </c>
      <c r="S398" s="28"/>
      <c r="T398" s="35"/>
      <c r="U398" s="35"/>
      <c r="V398" s="29"/>
      <c r="W398" s="35"/>
      <c r="X398" s="29"/>
      <c r="Y398" s="36"/>
      <c r="Z398" s="29"/>
      <c r="AA398" s="31">
        <f t="shared" si="1"/>
        <v>44613</v>
      </c>
      <c r="AB398" s="32" t="str">
        <f t="shared" si="5"/>
        <v>febrero</v>
      </c>
    </row>
    <row r="399" spans="1:28" ht="12.75">
      <c r="A399" s="9" t="s">
        <v>348</v>
      </c>
      <c r="B399" s="10">
        <v>44620</v>
      </c>
      <c r="C399" s="11">
        <v>44621</v>
      </c>
      <c r="D399" s="42">
        <v>8</v>
      </c>
      <c r="E399" s="13" t="s">
        <v>619</v>
      </c>
      <c r="F399" s="13">
        <v>3025457</v>
      </c>
      <c r="G399" s="37">
        <v>14731.5</v>
      </c>
      <c r="H399" s="33">
        <v>7550</v>
      </c>
      <c r="I399" s="16">
        <f t="shared" si="60"/>
        <v>111222825</v>
      </c>
      <c r="J399" s="17">
        <v>30</v>
      </c>
      <c r="K399" s="34">
        <v>4502273585</v>
      </c>
      <c r="L399" s="19">
        <v>5080629049</v>
      </c>
      <c r="M399" s="20">
        <v>5113143447</v>
      </c>
      <c r="N399" s="21"/>
      <c r="O399" s="9" t="s">
        <v>63</v>
      </c>
      <c r="P399" s="23"/>
      <c r="Q399" s="24" t="s">
        <v>31</v>
      </c>
      <c r="R399" s="25">
        <v>44613</v>
      </c>
      <c r="S399" s="28"/>
      <c r="T399" s="35"/>
      <c r="U399" s="35"/>
      <c r="V399" s="29"/>
      <c r="W399" s="35"/>
      <c r="X399" s="29"/>
      <c r="Y399" s="36"/>
      <c r="Z399" s="29"/>
      <c r="AA399" s="31">
        <f t="shared" si="1"/>
        <v>44613</v>
      </c>
      <c r="AB399" s="32" t="str">
        <f t="shared" si="5"/>
        <v>febrero</v>
      </c>
    </row>
    <row r="400" spans="1:28" ht="12.75">
      <c r="A400" s="9" t="s">
        <v>348</v>
      </c>
      <c r="B400" s="10">
        <v>44620</v>
      </c>
      <c r="C400" s="11">
        <v>44621</v>
      </c>
      <c r="D400" s="42">
        <v>8</v>
      </c>
      <c r="E400" s="13" t="s">
        <v>620</v>
      </c>
      <c r="F400" s="13">
        <v>3025457</v>
      </c>
      <c r="G400" s="37">
        <v>14731.5</v>
      </c>
      <c r="H400" s="33">
        <f>7550-7531.96</f>
        <v>18.039999999999964</v>
      </c>
      <c r="I400" s="16">
        <f>-H400*G400</f>
        <v>-265756.25999999949</v>
      </c>
      <c r="J400" s="17">
        <v>0</v>
      </c>
      <c r="K400" s="34">
        <v>4502273585</v>
      </c>
      <c r="L400" s="19">
        <v>5080629049</v>
      </c>
      <c r="M400" s="20">
        <v>5113143448</v>
      </c>
      <c r="N400" s="21"/>
      <c r="O400" s="9"/>
      <c r="P400" s="23"/>
      <c r="Q400" s="24" t="s">
        <v>31</v>
      </c>
      <c r="R400" s="25">
        <v>44613</v>
      </c>
      <c r="S400" s="28"/>
      <c r="T400" s="35"/>
      <c r="U400" s="35"/>
      <c r="V400" s="29"/>
      <c r="W400" s="35"/>
      <c r="X400" s="29"/>
      <c r="Y400" s="36"/>
      <c r="Z400" s="29"/>
      <c r="AA400" s="31">
        <f t="shared" si="1"/>
        <v>44613</v>
      </c>
      <c r="AB400" s="32" t="str">
        <f t="shared" si="5"/>
        <v>febrero</v>
      </c>
    </row>
    <row r="401" spans="1:28" ht="12.75">
      <c r="A401" s="9" t="s">
        <v>621</v>
      </c>
      <c r="B401" s="10">
        <v>44616</v>
      </c>
      <c r="C401" s="11">
        <v>44616</v>
      </c>
      <c r="D401" s="42">
        <v>8</v>
      </c>
      <c r="E401" s="13" t="s">
        <v>622</v>
      </c>
      <c r="F401" s="13">
        <v>3025459</v>
      </c>
      <c r="G401" s="37">
        <v>6059.5</v>
      </c>
      <c r="H401" s="33">
        <v>7550</v>
      </c>
      <c r="I401" s="16">
        <f>H401*G401</f>
        <v>45749225</v>
      </c>
      <c r="J401" s="17">
        <v>14</v>
      </c>
      <c r="K401" s="34">
        <v>4502273586</v>
      </c>
      <c r="L401" s="19">
        <v>5080629050</v>
      </c>
      <c r="M401" s="20">
        <v>5113128068</v>
      </c>
      <c r="N401" s="23"/>
      <c r="O401" s="9" t="s">
        <v>63</v>
      </c>
      <c r="P401" s="23"/>
      <c r="Q401" s="24" t="s">
        <v>31</v>
      </c>
      <c r="R401" s="25">
        <v>44613</v>
      </c>
      <c r="S401" s="28"/>
      <c r="T401" s="35"/>
      <c r="U401" s="35"/>
      <c r="V401" s="29"/>
      <c r="W401" s="35"/>
      <c r="X401" s="29"/>
      <c r="Y401" s="36"/>
      <c r="Z401" s="29"/>
      <c r="AA401" s="31">
        <f t="shared" si="1"/>
        <v>44613</v>
      </c>
      <c r="AB401" s="32" t="str">
        <f t="shared" si="5"/>
        <v>febrero</v>
      </c>
    </row>
    <row r="402" spans="1:28" ht="12.75">
      <c r="A402" s="9" t="s">
        <v>621</v>
      </c>
      <c r="B402" s="10">
        <v>44616</v>
      </c>
      <c r="C402" s="11">
        <v>44616</v>
      </c>
      <c r="D402" s="42">
        <v>8</v>
      </c>
      <c r="E402" s="13" t="s">
        <v>623</v>
      </c>
      <c r="F402" s="13">
        <v>3025459</v>
      </c>
      <c r="G402" s="37">
        <v>6059.5</v>
      </c>
      <c r="H402" s="33">
        <v>50</v>
      </c>
      <c r="I402" s="16">
        <f>-H402*G402</f>
        <v>-302975</v>
      </c>
      <c r="J402" s="17">
        <v>0</v>
      </c>
      <c r="K402" s="34">
        <v>4502273586</v>
      </c>
      <c r="L402" s="19">
        <v>5080629050</v>
      </c>
      <c r="M402" s="20">
        <v>5113128069</v>
      </c>
      <c r="N402" s="23"/>
      <c r="O402" s="9"/>
      <c r="P402" s="23"/>
      <c r="Q402" s="24" t="s">
        <v>31</v>
      </c>
      <c r="R402" s="25">
        <v>44613</v>
      </c>
      <c r="S402" s="28"/>
      <c r="T402" s="35"/>
      <c r="U402" s="35"/>
      <c r="V402" s="29"/>
      <c r="W402" s="35"/>
      <c r="X402" s="29"/>
      <c r="Y402" s="36"/>
      <c r="Z402" s="29"/>
      <c r="AA402" s="31">
        <f t="shared" si="1"/>
        <v>44613</v>
      </c>
      <c r="AB402" s="32" t="str">
        <f t="shared" si="5"/>
        <v>febrero</v>
      </c>
    </row>
    <row r="403" spans="1:28" ht="12.75">
      <c r="A403" s="9" t="s">
        <v>73</v>
      </c>
      <c r="B403" s="10">
        <v>44617</v>
      </c>
      <c r="C403" s="11">
        <v>44617</v>
      </c>
      <c r="D403" s="42">
        <v>8</v>
      </c>
      <c r="E403" s="13" t="s">
        <v>624</v>
      </c>
      <c r="F403" s="13">
        <v>3025459</v>
      </c>
      <c r="G403" s="14">
        <v>6837</v>
      </c>
      <c r="H403" s="33">
        <v>7800</v>
      </c>
      <c r="I403" s="16">
        <f>H403*G403</f>
        <v>53328600</v>
      </c>
      <c r="J403" s="17">
        <v>14</v>
      </c>
      <c r="K403" s="34">
        <v>4502273588</v>
      </c>
      <c r="L403" s="19">
        <v>5080629051</v>
      </c>
      <c r="M403" s="20">
        <v>5113130536</v>
      </c>
      <c r="N403" s="23"/>
      <c r="O403" s="9" t="s">
        <v>63</v>
      </c>
      <c r="P403" s="23"/>
      <c r="Q403" s="24" t="s">
        <v>31</v>
      </c>
      <c r="R403" s="25">
        <v>44613</v>
      </c>
      <c r="S403" s="28"/>
      <c r="T403" s="35"/>
      <c r="U403" s="35"/>
      <c r="V403" s="29"/>
      <c r="W403" s="35"/>
      <c r="X403" s="29"/>
      <c r="Y403" s="36"/>
      <c r="Z403" s="29"/>
      <c r="AA403" s="31">
        <f t="shared" si="1"/>
        <v>44613</v>
      </c>
      <c r="AB403" s="32" t="str">
        <f t="shared" si="5"/>
        <v>febrero</v>
      </c>
    </row>
    <row r="404" spans="1:28" ht="12.75">
      <c r="A404" s="9" t="s">
        <v>73</v>
      </c>
      <c r="B404" s="10">
        <v>44617</v>
      </c>
      <c r="C404" s="11">
        <v>44617</v>
      </c>
      <c r="D404" s="42">
        <v>8</v>
      </c>
      <c r="E404" s="13" t="s">
        <v>625</v>
      </c>
      <c r="F404" s="13">
        <v>3025459</v>
      </c>
      <c r="G404" s="14">
        <v>6837</v>
      </c>
      <c r="H404" s="33">
        <v>50</v>
      </c>
      <c r="I404" s="16">
        <f>-H404*G404</f>
        <v>-341850</v>
      </c>
      <c r="J404" s="17">
        <v>0</v>
      </c>
      <c r="K404" s="34">
        <v>4502273588</v>
      </c>
      <c r="L404" s="19">
        <v>5080629051</v>
      </c>
      <c r="M404" s="20">
        <v>5113130568</v>
      </c>
      <c r="N404" s="23"/>
      <c r="O404" s="9"/>
      <c r="P404" s="23"/>
      <c r="Q404" s="24" t="s">
        <v>31</v>
      </c>
      <c r="R404" s="25">
        <v>44613</v>
      </c>
      <c r="S404" s="28"/>
      <c r="T404" s="35"/>
      <c r="U404" s="35"/>
      <c r="V404" s="29"/>
      <c r="W404" s="35"/>
      <c r="X404" s="29"/>
      <c r="Y404" s="36"/>
      <c r="Z404" s="29"/>
      <c r="AA404" s="31">
        <f t="shared" si="1"/>
        <v>44613</v>
      </c>
      <c r="AB404" s="32" t="str">
        <f t="shared" si="5"/>
        <v>febrero</v>
      </c>
    </row>
    <row r="405" spans="1:28" ht="12.75">
      <c r="A405" s="9" t="s">
        <v>180</v>
      </c>
      <c r="B405" s="10">
        <v>44617</v>
      </c>
      <c r="C405" s="11">
        <v>44617</v>
      </c>
      <c r="D405" s="42">
        <v>8</v>
      </c>
      <c r="E405" s="13" t="s">
        <v>105</v>
      </c>
      <c r="F405" s="13">
        <v>3025459</v>
      </c>
      <c r="G405" s="37">
        <v>5812.5</v>
      </c>
      <c r="H405" s="33">
        <v>7550</v>
      </c>
      <c r="I405" s="16">
        <f>H405*G405</f>
        <v>43884375</v>
      </c>
      <c r="J405" s="17">
        <v>14</v>
      </c>
      <c r="K405" s="34">
        <v>4502273589</v>
      </c>
      <c r="L405" s="19">
        <v>5080629052</v>
      </c>
      <c r="M405" s="20">
        <v>5113130811</v>
      </c>
      <c r="N405" s="21"/>
      <c r="O405" s="9" t="s">
        <v>63</v>
      </c>
      <c r="P405" s="23"/>
      <c r="Q405" s="24" t="s">
        <v>31</v>
      </c>
      <c r="R405" s="25">
        <v>44613</v>
      </c>
      <c r="S405" s="28"/>
      <c r="T405" s="35"/>
      <c r="U405" s="35"/>
      <c r="V405" s="29"/>
      <c r="W405" s="35"/>
      <c r="X405" s="29"/>
      <c r="Y405" s="36"/>
      <c r="Z405" s="29"/>
      <c r="AA405" s="31">
        <f t="shared" si="1"/>
        <v>44613</v>
      </c>
      <c r="AB405" s="32" t="str">
        <f t="shared" si="5"/>
        <v>febrero</v>
      </c>
    </row>
    <row r="406" spans="1:28" ht="12.75">
      <c r="A406" s="9" t="s">
        <v>180</v>
      </c>
      <c r="B406" s="10">
        <v>44617</v>
      </c>
      <c r="C406" s="11">
        <v>44617</v>
      </c>
      <c r="D406" s="42">
        <v>8</v>
      </c>
      <c r="E406" s="13" t="s">
        <v>626</v>
      </c>
      <c r="F406" s="13">
        <v>3025459</v>
      </c>
      <c r="G406" s="37">
        <v>5812.5</v>
      </c>
      <c r="H406" s="33">
        <f>7550-7479.67</f>
        <v>70.329999999999927</v>
      </c>
      <c r="I406" s="16">
        <f>-H406*G406</f>
        <v>-408793.12499999959</v>
      </c>
      <c r="J406" s="17">
        <v>0</v>
      </c>
      <c r="K406" s="34">
        <v>4502273589</v>
      </c>
      <c r="L406" s="19">
        <v>5080629052</v>
      </c>
      <c r="M406" s="20">
        <v>5113130814</v>
      </c>
      <c r="N406" s="21"/>
      <c r="O406" s="9"/>
      <c r="P406" s="23"/>
      <c r="Q406" s="24" t="s">
        <v>31</v>
      </c>
      <c r="R406" s="25">
        <v>44613</v>
      </c>
      <c r="S406" s="28"/>
      <c r="T406" s="35"/>
      <c r="U406" s="35"/>
      <c r="V406" s="29"/>
      <c r="W406" s="35"/>
      <c r="X406" s="29"/>
      <c r="Y406" s="36"/>
      <c r="Z406" s="29"/>
      <c r="AA406" s="31">
        <f t="shared" si="1"/>
        <v>44613</v>
      </c>
      <c r="AB406" s="32" t="str">
        <f t="shared" si="5"/>
        <v>febrero</v>
      </c>
    </row>
    <row r="407" spans="1:28" ht="12.75">
      <c r="A407" s="9" t="s">
        <v>627</v>
      </c>
      <c r="B407" s="10">
        <v>44616</v>
      </c>
      <c r="C407" s="11"/>
      <c r="D407" s="42">
        <v>8</v>
      </c>
      <c r="E407" s="13" t="s">
        <v>628</v>
      </c>
      <c r="F407" s="13">
        <v>3025460</v>
      </c>
      <c r="G407" s="14">
        <v>7248</v>
      </c>
      <c r="H407" s="33">
        <v>7450</v>
      </c>
      <c r="I407" s="16">
        <f>H407*G407</f>
        <v>53997600</v>
      </c>
      <c r="J407" s="17">
        <v>14</v>
      </c>
      <c r="K407" s="34">
        <v>4502273590</v>
      </c>
      <c r="L407" s="19">
        <v>5080646062</v>
      </c>
      <c r="M407" s="20">
        <v>5113139700</v>
      </c>
      <c r="N407" s="21"/>
      <c r="O407" s="9" t="s">
        <v>63</v>
      </c>
      <c r="P407" s="23"/>
      <c r="Q407" s="24" t="s">
        <v>31</v>
      </c>
      <c r="R407" s="25">
        <v>44614</v>
      </c>
      <c r="S407" s="28"/>
      <c r="T407" s="35"/>
      <c r="U407" s="35"/>
      <c r="V407" s="29"/>
      <c r="W407" s="35"/>
      <c r="X407" s="29"/>
      <c r="Y407" s="36"/>
      <c r="Z407" s="29"/>
      <c r="AA407" s="31">
        <f t="shared" si="1"/>
        <v>44614</v>
      </c>
      <c r="AB407" s="32" t="str">
        <f t="shared" si="5"/>
        <v>febrero</v>
      </c>
    </row>
    <row r="408" spans="1:28" ht="12.75">
      <c r="A408" s="9" t="s">
        <v>627</v>
      </c>
      <c r="B408" s="10">
        <v>44616</v>
      </c>
      <c r="C408" s="11"/>
      <c r="D408" s="42">
        <v>8</v>
      </c>
      <c r="E408" s="13" t="s">
        <v>629</v>
      </c>
      <c r="F408" s="13">
        <v>3025460</v>
      </c>
      <c r="G408" s="14">
        <v>7248</v>
      </c>
      <c r="H408" s="33">
        <f>7450-7341.6</f>
        <v>108.39999999999964</v>
      </c>
      <c r="I408" s="16">
        <f>-H408*G408</f>
        <v>-785683.19999999739</v>
      </c>
      <c r="J408" s="17">
        <v>0</v>
      </c>
      <c r="K408" s="34">
        <v>4502273590</v>
      </c>
      <c r="L408" s="19">
        <v>5080646062</v>
      </c>
      <c r="M408" s="20">
        <v>5113139706</v>
      </c>
      <c r="N408" s="21"/>
      <c r="O408" s="9"/>
      <c r="P408" s="23"/>
      <c r="Q408" s="24" t="s">
        <v>31</v>
      </c>
      <c r="R408" s="25">
        <v>44614</v>
      </c>
      <c r="S408" s="28"/>
      <c r="T408" s="35"/>
      <c r="U408" s="35"/>
      <c r="V408" s="29"/>
      <c r="W408" s="35"/>
      <c r="X408" s="29"/>
      <c r="Y408" s="36"/>
      <c r="Z408" s="29"/>
      <c r="AA408" s="31">
        <f t="shared" si="1"/>
        <v>44614</v>
      </c>
      <c r="AB408" s="32" t="str">
        <f t="shared" si="5"/>
        <v>febrero</v>
      </c>
    </row>
    <row r="409" spans="1:28" ht="12.75">
      <c r="A409" s="9" t="s">
        <v>111</v>
      </c>
      <c r="B409" s="10">
        <v>44614</v>
      </c>
      <c r="C409" s="11">
        <v>44617</v>
      </c>
      <c r="D409" s="42">
        <v>8</v>
      </c>
      <c r="E409" s="13" t="s">
        <v>630</v>
      </c>
      <c r="F409" s="13">
        <v>3025460</v>
      </c>
      <c r="G409" s="14">
        <v>6720</v>
      </c>
      <c r="H409" s="33">
        <v>7550</v>
      </c>
      <c r="I409" s="16">
        <f t="shared" ref="I409:I410" si="61">H409*G409</f>
        <v>50736000</v>
      </c>
      <c r="J409" s="17">
        <v>14</v>
      </c>
      <c r="K409" s="34">
        <v>4502273591</v>
      </c>
      <c r="L409" s="19">
        <v>5080646064</v>
      </c>
      <c r="M409" s="20">
        <v>5113132840</v>
      </c>
      <c r="N409" s="21"/>
      <c r="O409" s="9" t="s">
        <v>37</v>
      </c>
      <c r="P409" s="23"/>
      <c r="Q409" s="24" t="s">
        <v>31</v>
      </c>
      <c r="R409" s="25">
        <v>44614</v>
      </c>
      <c r="S409" s="28"/>
      <c r="T409" s="35"/>
      <c r="U409" s="35"/>
      <c r="V409" s="29"/>
      <c r="W409" s="35"/>
      <c r="X409" s="29"/>
      <c r="Y409" s="36"/>
      <c r="Z409" s="29"/>
      <c r="AA409" s="31">
        <f t="shared" si="1"/>
        <v>44614</v>
      </c>
      <c r="AB409" s="32" t="str">
        <f t="shared" si="5"/>
        <v>febrero</v>
      </c>
    </row>
    <row r="410" spans="1:28" ht="12.75">
      <c r="A410" s="9" t="s">
        <v>260</v>
      </c>
      <c r="B410" s="10">
        <v>44616</v>
      </c>
      <c r="C410" s="11"/>
      <c r="D410" s="42">
        <v>8</v>
      </c>
      <c r="E410" s="13" t="s">
        <v>631</v>
      </c>
      <c r="F410" s="13">
        <v>3025460</v>
      </c>
      <c r="G410" s="14">
        <v>6316</v>
      </c>
      <c r="H410" s="33">
        <v>7450</v>
      </c>
      <c r="I410" s="16">
        <f t="shared" si="61"/>
        <v>47054200</v>
      </c>
      <c r="J410" s="17">
        <v>14</v>
      </c>
      <c r="K410" s="34">
        <v>4502273592</v>
      </c>
      <c r="L410" s="19">
        <v>5080646065</v>
      </c>
      <c r="M410" s="20">
        <v>5113130888</v>
      </c>
      <c r="N410" s="21"/>
      <c r="O410" s="9" t="s">
        <v>63</v>
      </c>
      <c r="P410" s="23"/>
      <c r="Q410" s="24" t="s">
        <v>31</v>
      </c>
      <c r="R410" s="25">
        <v>44614</v>
      </c>
      <c r="S410" s="28"/>
      <c r="T410" s="35"/>
      <c r="U410" s="35"/>
      <c r="V410" s="29"/>
      <c r="W410" s="35"/>
      <c r="X410" s="29"/>
      <c r="Y410" s="36"/>
      <c r="Z410" s="29"/>
      <c r="AA410" s="31">
        <f t="shared" si="1"/>
        <v>44614</v>
      </c>
      <c r="AB410" s="32" t="str">
        <f t="shared" si="5"/>
        <v>febrero</v>
      </c>
    </row>
    <row r="411" spans="1:28" ht="12.75">
      <c r="A411" s="9" t="s">
        <v>260</v>
      </c>
      <c r="B411" s="10">
        <v>44616</v>
      </c>
      <c r="C411" s="11"/>
      <c r="D411" s="42">
        <v>8</v>
      </c>
      <c r="E411" s="13" t="s">
        <v>632</v>
      </c>
      <c r="F411" s="13">
        <v>3025460</v>
      </c>
      <c r="G411" s="14">
        <v>6316</v>
      </c>
      <c r="H411" s="33">
        <v>150</v>
      </c>
      <c r="I411" s="16">
        <f>-H411*G411</f>
        <v>-947400</v>
      </c>
      <c r="J411" s="17">
        <v>0</v>
      </c>
      <c r="K411" s="34">
        <v>4502273592</v>
      </c>
      <c r="L411" s="19">
        <v>5080646065</v>
      </c>
      <c r="M411" s="20">
        <v>5113130890</v>
      </c>
      <c r="N411" s="21"/>
      <c r="O411" s="9"/>
      <c r="P411" s="23"/>
      <c r="Q411" s="24" t="s">
        <v>31</v>
      </c>
      <c r="R411" s="25">
        <v>44614</v>
      </c>
      <c r="S411" s="28"/>
      <c r="T411" s="35"/>
      <c r="U411" s="35"/>
      <c r="V411" s="29"/>
      <c r="W411" s="35"/>
      <c r="X411" s="29"/>
      <c r="Y411" s="36"/>
      <c r="Z411" s="29"/>
      <c r="AA411" s="31">
        <f t="shared" si="1"/>
        <v>44614</v>
      </c>
      <c r="AB411" s="32" t="str">
        <f t="shared" si="5"/>
        <v>febrero</v>
      </c>
    </row>
    <row r="412" spans="1:28" ht="12.75">
      <c r="A412" s="9" t="s">
        <v>633</v>
      </c>
      <c r="B412" s="10">
        <v>44620</v>
      </c>
      <c r="C412" s="11">
        <v>44622</v>
      </c>
      <c r="D412" s="42">
        <v>8</v>
      </c>
      <c r="E412" s="13" t="s">
        <v>634</v>
      </c>
      <c r="F412" s="13">
        <v>3025460</v>
      </c>
      <c r="G412" s="37">
        <v>7661.5</v>
      </c>
      <c r="H412" s="33">
        <v>7550</v>
      </c>
      <c r="I412" s="16">
        <f t="shared" ref="I412:I413" si="62">H412*G412</f>
        <v>57844325</v>
      </c>
      <c r="J412" s="17">
        <v>14</v>
      </c>
      <c r="K412" s="34">
        <v>4502273593</v>
      </c>
      <c r="L412" s="19">
        <v>5080646066</v>
      </c>
      <c r="M412" s="20">
        <v>5113144945</v>
      </c>
      <c r="N412" s="44"/>
      <c r="O412" s="9" t="s">
        <v>37</v>
      </c>
      <c r="P412" s="23" t="s">
        <v>635</v>
      </c>
      <c r="Q412" s="24" t="s">
        <v>31</v>
      </c>
      <c r="R412" s="25">
        <v>44614</v>
      </c>
      <c r="S412" s="28"/>
      <c r="T412" s="35"/>
      <c r="U412" s="35"/>
      <c r="V412" s="29"/>
      <c r="W412" s="35"/>
      <c r="X412" s="29"/>
      <c r="Y412" s="36"/>
      <c r="Z412" s="29"/>
      <c r="AA412" s="31">
        <f t="shared" si="1"/>
        <v>44614</v>
      </c>
      <c r="AB412" s="32" t="str">
        <f t="shared" si="5"/>
        <v>febrero</v>
      </c>
    </row>
    <row r="413" spans="1:28" ht="12.75">
      <c r="A413" s="9" t="s">
        <v>96</v>
      </c>
      <c r="B413" s="10">
        <v>44621</v>
      </c>
      <c r="C413" s="11">
        <v>44621</v>
      </c>
      <c r="D413" s="42">
        <v>8</v>
      </c>
      <c r="E413" s="13" t="s">
        <v>636</v>
      </c>
      <c r="F413" s="13">
        <v>3025460</v>
      </c>
      <c r="G413" s="14">
        <v>25807</v>
      </c>
      <c r="H413" s="33">
        <v>7550</v>
      </c>
      <c r="I413" s="16">
        <f t="shared" si="62"/>
        <v>194842850</v>
      </c>
      <c r="J413" s="17">
        <v>56</v>
      </c>
      <c r="K413" s="34">
        <v>4502273594</v>
      </c>
      <c r="L413" s="19">
        <v>5080646067</v>
      </c>
      <c r="M413" s="20">
        <v>5113144627</v>
      </c>
      <c r="N413" s="21"/>
      <c r="O413" s="9" t="s">
        <v>63</v>
      </c>
      <c r="P413" s="23"/>
      <c r="Q413" s="24" t="s">
        <v>31</v>
      </c>
      <c r="R413" s="25">
        <v>44614</v>
      </c>
      <c r="S413" s="28"/>
      <c r="T413" s="35"/>
      <c r="U413" s="35"/>
      <c r="V413" s="29"/>
      <c r="W413" s="35"/>
      <c r="X413" s="29"/>
      <c r="Y413" s="36"/>
      <c r="Z413" s="29"/>
      <c r="AA413" s="31">
        <f t="shared" si="1"/>
        <v>44614</v>
      </c>
      <c r="AB413" s="32" t="str">
        <f t="shared" si="5"/>
        <v>febrero</v>
      </c>
    </row>
    <row r="414" spans="1:28" ht="12.75">
      <c r="A414" s="9" t="s">
        <v>96</v>
      </c>
      <c r="B414" s="10">
        <v>44621</v>
      </c>
      <c r="C414" s="11">
        <v>44621</v>
      </c>
      <c r="D414" s="42">
        <v>8</v>
      </c>
      <c r="E414" s="13" t="s">
        <v>637</v>
      </c>
      <c r="F414" s="13">
        <v>3025460</v>
      </c>
      <c r="G414" s="14">
        <v>25807</v>
      </c>
      <c r="H414" s="33">
        <f>7550-7493.96</f>
        <v>56.039999999999964</v>
      </c>
      <c r="I414" s="16">
        <f>-H414*G414</f>
        <v>-1446224.2799999991</v>
      </c>
      <c r="J414" s="17">
        <v>0</v>
      </c>
      <c r="K414" s="34">
        <v>4502273594</v>
      </c>
      <c r="L414" s="19">
        <v>5080646067</v>
      </c>
      <c r="M414" s="20">
        <v>5113144628</v>
      </c>
      <c r="N414" s="21"/>
      <c r="O414" s="9"/>
      <c r="P414" s="23"/>
      <c r="Q414" s="24" t="s">
        <v>31</v>
      </c>
      <c r="R414" s="25">
        <v>44614</v>
      </c>
      <c r="S414" s="28"/>
      <c r="T414" s="35"/>
      <c r="U414" s="35"/>
      <c r="V414" s="29"/>
      <c r="W414" s="35"/>
      <c r="X414" s="29"/>
      <c r="Y414" s="36"/>
      <c r="Z414" s="29"/>
      <c r="AA414" s="31">
        <f t="shared" si="1"/>
        <v>44614</v>
      </c>
      <c r="AB414" s="32" t="str">
        <f t="shared" si="5"/>
        <v>febrero</v>
      </c>
    </row>
    <row r="415" spans="1:28" ht="12.75">
      <c r="A415" s="9" t="s">
        <v>46</v>
      </c>
      <c r="B415" s="10">
        <v>44614</v>
      </c>
      <c r="C415" s="11">
        <v>44617</v>
      </c>
      <c r="D415" s="42">
        <v>8</v>
      </c>
      <c r="E415" s="13" t="s">
        <v>638</v>
      </c>
      <c r="F415" s="13">
        <v>3025460</v>
      </c>
      <c r="G415" s="14">
        <v>21566</v>
      </c>
      <c r="H415" s="33">
        <v>7650</v>
      </c>
      <c r="I415" s="16">
        <f>H415*G415</f>
        <v>164979900</v>
      </c>
      <c r="J415" s="17">
        <v>42</v>
      </c>
      <c r="K415" s="34">
        <v>4502273595</v>
      </c>
      <c r="L415" s="19">
        <v>5080646078</v>
      </c>
      <c r="M415" s="20">
        <v>5113146647</v>
      </c>
      <c r="N415" s="21"/>
      <c r="O415" s="9"/>
      <c r="P415" s="23"/>
      <c r="Q415" s="24" t="s">
        <v>31</v>
      </c>
      <c r="R415" s="25">
        <v>44614</v>
      </c>
      <c r="S415" s="28"/>
      <c r="T415" s="35"/>
      <c r="U415" s="35"/>
      <c r="V415" s="29"/>
      <c r="W415" s="35"/>
      <c r="X415" s="29"/>
      <c r="Y415" s="36"/>
      <c r="Z415" s="29"/>
      <c r="AA415" s="31">
        <f t="shared" si="1"/>
        <v>44614</v>
      </c>
      <c r="AB415" s="32" t="str">
        <f t="shared" si="5"/>
        <v>febrero</v>
      </c>
    </row>
    <row r="416" spans="1:28" ht="12.75">
      <c r="A416" s="9" t="s">
        <v>46</v>
      </c>
      <c r="B416" s="10">
        <v>44614</v>
      </c>
      <c r="C416" s="11">
        <v>44617</v>
      </c>
      <c r="D416" s="42">
        <v>8</v>
      </c>
      <c r="E416" s="13" t="s">
        <v>639</v>
      </c>
      <c r="F416" s="13">
        <v>3025460</v>
      </c>
      <c r="G416" s="14">
        <v>21566</v>
      </c>
      <c r="H416" s="33">
        <f>7650-7631.87</f>
        <v>18.130000000000109</v>
      </c>
      <c r="I416" s="16">
        <f>-H416*G416</f>
        <v>-390991.58000000234</v>
      </c>
      <c r="J416" s="17">
        <v>0</v>
      </c>
      <c r="K416" s="34">
        <v>4502273595</v>
      </c>
      <c r="L416" s="19">
        <v>5080646078</v>
      </c>
      <c r="M416" s="20">
        <v>5113146648</v>
      </c>
      <c r="N416" s="21"/>
      <c r="O416" s="9"/>
      <c r="P416" s="23"/>
      <c r="Q416" s="24" t="s">
        <v>31</v>
      </c>
      <c r="R416" s="25">
        <v>44614</v>
      </c>
      <c r="S416" s="28"/>
      <c r="T416" s="35"/>
      <c r="U416" s="35"/>
      <c r="V416" s="29"/>
      <c r="W416" s="35"/>
      <c r="X416" s="29"/>
      <c r="Y416" s="36"/>
      <c r="Z416" s="29"/>
      <c r="AA416" s="31">
        <f t="shared" si="1"/>
        <v>44614</v>
      </c>
      <c r="AB416" s="32" t="str">
        <f t="shared" si="5"/>
        <v>febrero</v>
      </c>
    </row>
    <row r="417" spans="1:28" ht="12.75">
      <c r="A417" s="9" t="s">
        <v>122</v>
      </c>
      <c r="B417" s="10">
        <v>44620</v>
      </c>
      <c r="C417" s="11">
        <v>44620</v>
      </c>
      <c r="D417" s="42">
        <v>8</v>
      </c>
      <c r="E417" s="13">
        <v>100</v>
      </c>
      <c r="F417" s="13">
        <v>3025460</v>
      </c>
      <c r="G417" s="14">
        <v>7834</v>
      </c>
      <c r="H417" s="33">
        <v>7500</v>
      </c>
      <c r="I417" s="16">
        <f t="shared" ref="I417:I418" si="63">H417*G417</f>
        <v>58755000</v>
      </c>
      <c r="J417" s="17">
        <v>15</v>
      </c>
      <c r="K417" s="34">
        <v>4502273596</v>
      </c>
      <c r="L417" s="19">
        <v>5080657399</v>
      </c>
      <c r="M417" s="20">
        <v>5113138938</v>
      </c>
      <c r="N417" s="23"/>
      <c r="O417" s="9"/>
      <c r="P417" s="23"/>
      <c r="Q417" s="24" t="s">
        <v>31</v>
      </c>
      <c r="R417" s="25">
        <v>44614</v>
      </c>
      <c r="S417" s="28"/>
      <c r="T417" s="35"/>
      <c r="U417" s="35"/>
      <c r="V417" s="29"/>
      <c r="W417" s="35"/>
      <c r="X417" s="29"/>
      <c r="Y417" s="36"/>
      <c r="Z417" s="29"/>
      <c r="AA417" s="31">
        <f t="shared" si="1"/>
        <v>44614</v>
      </c>
      <c r="AB417" s="32" t="str">
        <f t="shared" si="5"/>
        <v>febrero</v>
      </c>
    </row>
    <row r="418" spans="1:28" ht="12.75">
      <c r="A418" s="9" t="s">
        <v>61</v>
      </c>
      <c r="B418" s="10">
        <v>44617</v>
      </c>
      <c r="C418" s="11"/>
      <c r="D418" s="42">
        <v>8</v>
      </c>
      <c r="E418" s="13" t="s">
        <v>640</v>
      </c>
      <c r="F418" s="13">
        <v>3025457</v>
      </c>
      <c r="G418" s="37">
        <v>7573.5</v>
      </c>
      <c r="H418" s="33">
        <v>7500</v>
      </c>
      <c r="I418" s="16">
        <f t="shared" si="63"/>
        <v>56801250</v>
      </c>
      <c r="J418" s="17">
        <v>15</v>
      </c>
      <c r="K418" s="34">
        <v>4502273597</v>
      </c>
      <c r="L418" s="19">
        <v>5080657487</v>
      </c>
      <c r="M418" s="20">
        <v>5113130850</v>
      </c>
      <c r="N418" s="21"/>
      <c r="O418" s="9" t="s">
        <v>63</v>
      </c>
      <c r="P418" s="23"/>
      <c r="Q418" s="24" t="s">
        <v>31</v>
      </c>
      <c r="R418" s="25">
        <v>44614</v>
      </c>
      <c r="S418" s="28"/>
      <c r="T418" s="35"/>
      <c r="U418" s="35"/>
      <c r="V418" s="29"/>
      <c r="W418" s="35"/>
      <c r="X418" s="29"/>
      <c r="Y418" s="36"/>
      <c r="Z418" s="29"/>
      <c r="AA418" s="31">
        <f t="shared" si="1"/>
        <v>44614</v>
      </c>
      <c r="AB418" s="32" t="str">
        <f t="shared" si="5"/>
        <v>febrero</v>
      </c>
    </row>
    <row r="419" spans="1:28" ht="12.75">
      <c r="A419" s="9" t="s">
        <v>61</v>
      </c>
      <c r="B419" s="10">
        <v>44617</v>
      </c>
      <c r="C419" s="11"/>
      <c r="D419" s="42">
        <v>8</v>
      </c>
      <c r="E419" s="13" t="s">
        <v>641</v>
      </c>
      <c r="F419" s="13">
        <v>3025457</v>
      </c>
      <c r="G419" s="37">
        <v>7573.5</v>
      </c>
      <c r="H419" s="33">
        <v>100</v>
      </c>
      <c r="I419" s="16">
        <f>-H419*G419</f>
        <v>-757350</v>
      </c>
      <c r="J419" s="17">
        <v>0</v>
      </c>
      <c r="K419" s="34">
        <v>4502273597</v>
      </c>
      <c r="L419" s="19">
        <v>5080657487</v>
      </c>
      <c r="M419" s="20">
        <v>5113130853</v>
      </c>
      <c r="N419" s="21"/>
      <c r="O419" s="9"/>
      <c r="P419" s="23"/>
      <c r="Q419" s="24" t="s">
        <v>31</v>
      </c>
      <c r="R419" s="25">
        <v>44614</v>
      </c>
      <c r="S419" s="28"/>
      <c r="T419" s="35"/>
      <c r="U419" s="35"/>
      <c r="V419" s="29"/>
      <c r="W419" s="35"/>
      <c r="X419" s="29"/>
      <c r="Y419" s="36"/>
      <c r="Z419" s="29"/>
      <c r="AA419" s="31">
        <f t="shared" si="1"/>
        <v>44614</v>
      </c>
      <c r="AB419" s="32" t="str">
        <f t="shared" si="5"/>
        <v>febrero</v>
      </c>
    </row>
    <row r="420" spans="1:28" ht="12.75">
      <c r="A420" s="9" t="s">
        <v>642</v>
      </c>
      <c r="B420" s="10">
        <v>44614</v>
      </c>
      <c r="C420" s="11"/>
      <c r="D420" s="42">
        <v>8</v>
      </c>
      <c r="E420" s="13" t="s">
        <v>643</v>
      </c>
      <c r="F420" s="13">
        <v>3025457</v>
      </c>
      <c r="G420" s="37">
        <v>7089.5</v>
      </c>
      <c r="H420" s="33">
        <v>7550</v>
      </c>
      <c r="I420" s="16">
        <f t="shared" ref="I420:I424" si="64">H420*G420</f>
        <v>53525725</v>
      </c>
      <c r="J420" s="17">
        <v>14</v>
      </c>
      <c r="K420" s="34">
        <v>4502273598</v>
      </c>
      <c r="L420" s="19">
        <v>5080657482</v>
      </c>
      <c r="M420" s="20">
        <v>5113144632</v>
      </c>
      <c r="N420" s="23"/>
      <c r="O420" s="9" t="s">
        <v>37</v>
      </c>
      <c r="P420" s="23"/>
      <c r="Q420" s="24" t="s">
        <v>31</v>
      </c>
      <c r="R420" s="25">
        <v>44614</v>
      </c>
      <c r="S420" s="28"/>
      <c r="T420" s="35"/>
      <c r="U420" s="35"/>
      <c r="V420" s="29"/>
      <c r="W420" s="35"/>
      <c r="X420" s="29"/>
      <c r="Y420" s="36"/>
      <c r="Z420" s="29"/>
      <c r="AA420" s="31">
        <f t="shared" si="1"/>
        <v>44614</v>
      </c>
      <c r="AB420" s="32" t="str">
        <f t="shared" si="5"/>
        <v>febrero</v>
      </c>
    </row>
    <row r="421" spans="1:28" ht="12.75">
      <c r="A421" s="9" t="s">
        <v>58</v>
      </c>
      <c r="B421" s="10">
        <v>44617</v>
      </c>
      <c r="C421" s="11">
        <v>44617</v>
      </c>
      <c r="D421" s="42">
        <v>8</v>
      </c>
      <c r="E421" s="13" t="s">
        <v>644</v>
      </c>
      <c r="F421" s="13">
        <v>3025462</v>
      </c>
      <c r="G421" s="14">
        <v>9523</v>
      </c>
      <c r="H421" s="57">
        <v>7500</v>
      </c>
      <c r="I421" s="16">
        <f t="shared" si="64"/>
        <v>71422500</v>
      </c>
      <c r="J421" s="17">
        <v>36</v>
      </c>
      <c r="K421" s="34">
        <v>4502279937</v>
      </c>
      <c r="L421" s="19">
        <v>5080696108</v>
      </c>
      <c r="M421" s="20">
        <v>5113141062</v>
      </c>
      <c r="N421" s="23"/>
      <c r="O421" s="9" t="s">
        <v>37</v>
      </c>
      <c r="P421" s="23"/>
      <c r="Q421" s="24" t="s">
        <v>357</v>
      </c>
      <c r="R421" s="25">
        <v>44616</v>
      </c>
      <c r="S421" s="28"/>
      <c r="T421" s="35"/>
      <c r="U421" s="35"/>
      <c r="V421" s="29"/>
      <c r="W421" s="35"/>
      <c r="X421" s="29"/>
      <c r="Y421" s="36"/>
      <c r="Z421" s="29"/>
      <c r="AA421" s="31">
        <f t="shared" si="1"/>
        <v>44616</v>
      </c>
      <c r="AB421" s="32" t="str">
        <f t="shared" si="5"/>
        <v>febrero</v>
      </c>
    </row>
    <row r="422" spans="1:28" ht="12.75">
      <c r="A422" s="22" t="s">
        <v>428</v>
      </c>
      <c r="B422" s="10">
        <v>44616</v>
      </c>
      <c r="C422" s="11">
        <v>44620</v>
      </c>
      <c r="D422" s="49">
        <v>9</v>
      </c>
      <c r="E422" s="13" t="s">
        <v>645</v>
      </c>
      <c r="F422" s="13">
        <v>3025460</v>
      </c>
      <c r="G422" s="37">
        <v>27817.5</v>
      </c>
      <c r="H422" s="33">
        <v>8100</v>
      </c>
      <c r="I422" s="16">
        <f t="shared" si="64"/>
        <v>225321750</v>
      </c>
      <c r="J422" s="17">
        <v>60</v>
      </c>
      <c r="K422" s="34">
        <v>4502278428</v>
      </c>
      <c r="L422" s="19">
        <v>5080704566</v>
      </c>
      <c r="M422" s="20">
        <v>5113142791</v>
      </c>
      <c r="N422" s="23"/>
      <c r="O422" s="9" t="s">
        <v>63</v>
      </c>
      <c r="P422" s="23"/>
      <c r="Q422" s="24" t="s">
        <v>31</v>
      </c>
      <c r="R422" s="25">
        <v>44616</v>
      </c>
      <c r="S422" s="28"/>
      <c r="T422" s="35"/>
      <c r="U422" s="35"/>
      <c r="V422" s="29"/>
      <c r="W422" s="35"/>
      <c r="X422" s="29"/>
      <c r="Y422" s="36"/>
      <c r="Z422" s="29"/>
      <c r="AA422" s="31">
        <f t="shared" si="1"/>
        <v>44616</v>
      </c>
      <c r="AB422" s="32" t="str">
        <f t="shared" si="5"/>
        <v>febrero</v>
      </c>
    </row>
    <row r="423" spans="1:28" ht="12.75">
      <c r="A423" s="22" t="s">
        <v>428</v>
      </c>
      <c r="B423" s="10">
        <v>44622</v>
      </c>
      <c r="C423" s="11">
        <v>44622</v>
      </c>
      <c r="D423" s="49">
        <v>9</v>
      </c>
      <c r="E423" s="13" t="s">
        <v>219</v>
      </c>
      <c r="F423" s="13">
        <v>3025460</v>
      </c>
      <c r="G423" s="37">
        <v>27817.5</v>
      </c>
      <c r="H423" s="33">
        <f>8198.57-8100</f>
        <v>98.569999999999709</v>
      </c>
      <c r="I423" s="16">
        <f t="shared" si="64"/>
        <v>2741970.9749999917</v>
      </c>
      <c r="J423" s="17">
        <v>0</v>
      </c>
      <c r="K423" s="34">
        <v>4502278428</v>
      </c>
      <c r="L423" s="19">
        <v>5080704566</v>
      </c>
      <c r="M423" s="20">
        <v>5113146218</v>
      </c>
      <c r="N423" s="23"/>
      <c r="O423" s="9"/>
      <c r="P423" s="23" t="s">
        <v>646</v>
      </c>
      <c r="Q423" s="24" t="s">
        <v>31</v>
      </c>
      <c r="R423" s="25">
        <v>44616</v>
      </c>
      <c r="S423" s="28"/>
      <c r="T423" s="35"/>
      <c r="U423" s="35"/>
      <c r="V423" s="29"/>
      <c r="W423" s="35"/>
      <c r="X423" s="29"/>
      <c r="Y423" s="36"/>
      <c r="Z423" s="29"/>
      <c r="AA423" s="31">
        <f t="shared" si="1"/>
        <v>44616</v>
      </c>
      <c r="AB423" s="32" t="str">
        <f t="shared" si="5"/>
        <v>febrero</v>
      </c>
    </row>
    <row r="424" spans="1:28" ht="12.75">
      <c r="A424" s="9" t="s">
        <v>58</v>
      </c>
      <c r="B424" s="10">
        <v>44621</v>
      </c>
      <c r="C424" s="11">
        <v>44621</v>
      </c>
      <c r="D424" s="49">
        <v>9</v>
      </c>
      <c r="E424" s="13" t="s">
        <v>647</v>
      </c>
      <c r="F424" s="13">
        <v>3025460</v>
      </c>
      <c r="G424" s="14">
        <v>43779</v>
      </c>
      <c r="H424" s="40">
        <v>8000</v>
      </c>
      <c r="I424" s="16">
        <f t="shared" si="64"/>
        <v>350232000</v>
      </c>
      <c r="J424" s="17">
        <v>91</v>
      </c>
      <c r="K424" s="34">
        <v>4502278429</v>
      </c>
      <c r="L424" s="19">
        <v>5080704412</v>
      </c>
      <c r="M424" s="20">
        <v>5113144483</v>
      </c>
      <c r="N424" s="23"/>
      <c r="O424" s="9" t="s">
        <v>37</v>
      </c>
      <c r="P424" s="23"/>
      <c r="Q424" s="24" t="s">
        <v>31</v>
      </c>
      <c r="R424" s="25">
        <v>44616</v>
      </c>
      <c r="S424" s="28"/>
      <c r="T424" s="35"/>
      <c r="U424" s="35"/>
      <c r="V424" s="29"/>
      <c r="W424" s="35"/>
      <c r="X424" s="29"/>
      <c r="Y424" s="36"/>
      <c r="Z424" s="29"/>
      <c r="AA424" s="31">
        <f t="shared" si="1"/>
        <v>44616</v>
      </c>
      <c r="AB424" s="32" t="str">
        <f t="shared" si="5"/>
        <v>febrero</v>
      </c>
    </row>
    <row r="425" spans="1:28" ht="12.75">
      <c r="A425" s="9" t="s">
        <v>58</v>
      </c>
      <c r="B425" s="10">
        <v>44621</v>
      </c>
      <c r="C425" s="11">
        <v>44621</v>
      </c>
      <c r="D425" s="49">
        <v>9</v>
      </c>
      <c r="E425" s="13" t="s">
        <v>648</v>
      </c>
      <c r="F425" s="13">
        <v>3025460</v>
      </c>
      <c r="G425" s="14">
        <v>43779</v>
      </c>
      <c r="H425" s="40">
        <f>8000-7997.35</f>
        <v>2.6499999999996362</v>
      </c>
      <c r="I425" s="16">
        <f>-H425*G425</f>
        <v>-116014.34999998407</v>
      </c>
      <c r="J425" s="17">
        <v>0</v>
      </c>
      <c r="K425" s="34">
        <v>4502278429</v>
      </c>
      <c r="L425" s="19">
        <v>5080704412</v>
      </c>
      <c r="M425" s="20">
        <v>5113144485</v>
      </c>
      <c r="N425" s="23"/>
      <c r="O425" s="9"/>
      <c r="P425" s="23"/>
      <c r="Q425" s="24" t="s">
        <v>31</v>
      </c>
      <c r="R425" s="25">
        <v>44616</v>
      </c>
      <c r="S425" s="28"/>
      <c r="T425" s="35"/>
      <c r="U425" s="35"/>
      <c r="V425" s="29"/>
      <c r="W425" s="35"/>
      <c r="X425" s="29"/>
      <c r="Y425" s="36"/>
      <c r="Z425" s="29"/>
      <c r="AA425" s="31">
        <f t="shared" si="1"/>
        <v>44616</v>
      </c>
      <c r="AB425" s="32" t="str">
        <f t="shared" si="5"/>
        <v>febrero</v>
      </c>
    </row>
    <row r="426" spans="1:28" ht="12.75">
      <c r="A426" s="9" t="s">
        <v>168</v>
      </c>
      <c r="B426" s="10">
        <v>44620</v>
      </c>
      <c r="C426" s="11">
        <v>44621</v>
      </c>
      <c r="D426" s="49">
        <v>9</v>
      </c>
      <c r="E426" s="13" t="s">
        <v>649</v>
      </c>
      <c r="F426" s="13">
        <v>3025460</v>
      </c>
      <c r="G426" s="14">
        <v>13262</v>
      </c>
      <c r="H426" s="33">
        <v>7900</v>
      </c>
      <c r="I426" s="16">
        <f t="shared" ref="I426:I427" si="65">H426*G426</f>
        <v>104769800</v>
      </c>
      <c r="J426" s="17">
        <v>28</v>
      </c>
      <c r="K426" s="34">
        <v>4502278430</v>
      </c>
      <c r="L426" s="19">
        <v>5080704413</v>
      </c>
      <c r="M426" s="20">
        <v>5113142971</v>
      </c>
      <c r="N426" s="23"/>
      <c r="O426" s="9" t="s">
        <v>63</v>
      </c>
      <c r="P426" s="23"/>
      <c r="Q426" s="24" t="s">
        <v>31</v>
      </c>
      <c r="R426" s="25">
        <v>44616</v>
      </c>
      <c r="S426" s="28"/>
      <c r="T426" s="35"/>
      <c r="U426" s="35"/>
      <c r="V426" s="29"/>
      <c r="W426" s="35"/>
      <c r="X426" s="29"/>
      <c r="Y426" s="36"/>
      <c r="Z426" s="29"/>
      <c r="AA426" s="31">
        <f t="shared" si="1"/>
        <v>44616</v>
      </c>
      <c r="AB426" s="32" t="str">
        <f t="shared" si="5"/>
        <v>febrero</v>
      </c>
    </row>
    <row r="427" spans="1:28" ht="12.75">
      <c r="A427" s="9" t="s">
        <v>348</v>
      </c>
      <c r="B427" s="10">
        <v>44621</v>
      </c>
      <c r="C427" s="11">
        <v>44621</v>
      </c>
      <c r="D427" s="49">
        <v>9</v>
      </c>
      <c r="E427" s="13" t="s">
        <v>650</v>
      </c>
      <c r="F427" s="13">
        <v>3025460</v>
      </c>
      <c r="G427" s="37">
        <v>20621.5</v>
      </c>
      <c r="H427" s="33">
        <v>7600</v>
      </c>
      <c r="I427" s="16">
        <f t="shared" si="65"/>
        <v>156723400</v>
      </c>
      <c r="J427" s="17">
        <v>45</v>
      </c>
      <c r="K427" s="34">
        <v>4502278432</v>
      </c>
      <c r="L427" s="19">
        <v>5080704414</v>
      </c>
      <c r="M427" s="20">
        <v>5113143449</v>
      </c>
      <c r="N427" s="21"/>
      <c r="O427" s="9" t="s">
        <v>63</v>
      </c>
      <c r="P427" s="23"/>
      <c r="Q427" s="24" t="s">
        <v>31</v>
      </c>
      <c r="R427" s="25">
        <v>44616</v>
      </c>
      <c r="S427" s="28"/>
      <c r="T427" s="35"/>
      <c r="U427" s="35"/>
      <c r="V427" s="29"/>
      <c r="W427" s="35"/>
      <c r="X427" s="29"/>
      <c r="Y427" s="36"/>
      <c r="Z427" s="29"/>
      <c r="AA427" s="31">
        <f t="shared" si="1"/>
        <v>44616</v>
      </c>
      <c r="AB427" s="32" t="str">
        <f t="shared" si="5"/>
        <v>febrero</v>
      </c>
    </row>
    <row r="428" spans="1:28" ht="12.75">
      <c r="A428" s="9" t="s">
        <v>348</v>
      </c>
      <c r="B428" s="10">
        <v>44621</v>
      </c>
      <c r="C428" s="11">
        <v>44621</v>
      </c>
      <c r="D428" s="49">
        <v>9</v>
      </c>
      <c r="E428" s="13" t="s">
        <v>651</v>
      </c>
      <c r="F428" s="13">
        <v>3025460</v>
      </c>
      <c r="G428" s="37">
        <v>20621.5</v>
      </c>
      <c r="H428" s="33">
        <f>7600-7548.13</f>
        <v>51.869999999999891</v>
      </c>
      <c r="I428" s="16">
        <f>-H428*G428</f>
        <v>-1069637.2049999977</v>
      </c>
      <c r="J428" s="17">
        <v>0</v>
      </c>
      <c r="K428" s="34">
        <v>4502278432</v>
      </c>
      <c r="L428" s="19">
        <v>5080704414</v>
      </c>
      <c r="M428" s="20">
        <v>5113143450</v>
      </c>
      <c r="N428" s="21"/>
      <c r="O428" s="9"/>
      <c r="P428" s="23"/>
      <c r="Q428" s="24" t="s">
        <v>31</v>
      </c>
      <c r="R428" s="25">
        <v>44616</v>
      </c>
      <c r="S428" s="28"/>
      <c r="T428" s="35"/>
      <c r="U428" s="35"/>
      <c r="V428" s="29"/>
      <c r="W428" s="35"/>
      <c r="X428" s="29"/>
      <c r="Y428" s="36"/>
      <c r="Z428" s="29"/>
      <c r="AA428" s="31">
        <f t="shared" si="1"/>
        <v>44616</v>
      </c>
      <c r="AB428" s="32" t="str">
        <f t="shared" si="5"/>
        <v>febrero</v>
      </c>
    </row>
    <row r="429" spans="1:28" ht="12.75">
      <c r="A429" s="9" t="s">
        <v>250</v>
      </c>
      <c r="B429" s="10">
        <v>44621</v>
      </c>
      <c r="C429" s="11">
        <v>44621</v>
      </c>
      <c r="D429" s="49">
        <v>9</v>
      </c>
      <c r="E429" s="13" t="s">
        <v>652</v>
      </c>
      <c r="F429" s="13">
        <v>3025460</v>
      </c>
      <c r="G429" s="37">
        <v>7007.5</v>
      </c>
      <c r="H429" s="33">
        <v>7500</v>
      </c>
      <c r="I429" s="16">
        <f>H429*G429</f>
        <v>52556250</v>
      </c>
      <c r="J429" s="17">
        <v>15</v>
      </c>
      <c r="K429" s="34">
        <v>4502278433</v>
      </c>
      <c r="L429" s="19">
        <v>5080704416</v>
      </c>
      <c r="M429" s="20">
        <v>5113144300</v>
      </c>
      <c r="N429" s="21"/>
      <c r="O429" s="9" t="s">
        <v>37</v>
      </c>
      <c r="P429" s="23"/>
      <c r="Q429" s="24" t="s">
        <v>31</v>
      </c>
      <c r="R429" s="25">
        <v>44616</v>
      </c>
      <c r="S429" s="28"/>
      <c r="T429" s="35"/>
      <c r="U429" s="35"/>
      <c r="V429" s="29"/>
      <c r="W429" s="35"/>
      <c r="X429" s="29"/>
      <c r="Y429" s="36"/>
      <c r="Z429" s="29"/>
      <c r="AA429" s="31">
        <f t="shared" si="1"/>
        <v>44616</v>
      </c>
      <c r="AB429" s="32" t="str">
        <f t="shared" si="5"/>
        <v>febrero</v>
      </c>
    </row>
    <row r="430" spans="1:28" ht="12.75">
      <c r="A430" s="9" t="s">
        <v>250</v>
      </c>
      <c r="B430" s="10">
        <v>44621</v>
      </c>
      <c r="C430" s="11">
        <v>44621</v>
      </c>
      <c r="D430" s="49">
        <v>9</v>
      </c>
      <c r="E430" s="13" t="s">
        <v>653</v>
      </c>
      <c r="F430" s="13">
        <v>3025460</v>
      </c>
      <c r="G430" s="37">
        <v>7007.5</v>
      </c>
      <c r="H430" s="33">
        <v>50</v>
      </c>
      <c r="I430" s="16">
        <f>-H430*G430</f>
        <v>-350375</v>
      </c>
      <c r="J430" s="17">
        <v>0</v>
      </c>
      <c r="K430" s="34">
        <v>4502278433</v>
      </c>
      <c r="L430" s="19">
        <v>5080704416</v>
      </c>
      <c r="M430" s="20">
        <v>5113144301</v>
      </c>
      <c r="N430" s="21"/>
      <c r="O430" s="9"/>
      <c r="P430" s="23"/>
      <c r="Q430" s="24" t="s">
        <v>31</v>
      </c>
      <c r="R430" s="25">
        <v>44616</v>
      </c>
      <c r="S430" s="28"/>
      <c r="T430" s="35"/>
      <c r="U430" s="35"/>
      <c r="V430" s="29"/>
      <c r="W430" s="35"/>
      <c r="X430" s="29"/>
      <c r="Y430" s="36"/>
      <c r="Z430" s="29"/>
      <c r="AA430" s="31">
        <f t="shared" si="1"/>
        <v>44616</v>
      </c>
      <c r="AB430" s="32" t="str">
        <f t="shared" si="5"/>
        <v>febrero</v>
      </c>
    </row>
    <row r="431" spans="1:28" ht="12.75">
      <c r="A431" s="9" t="s">
        <v>65</v>
      </c>
      <c r="B431" s="10">
        <v>44621</v>
      </c>
      <c r="C431" s="11">
        <v>44621</v>
      </c>
      <c r="D431" s="49">
        <v>9</v>
      </c>
      <c r="E431" s="13" t="s">
        <v>654</v>
      </c>
      <c r="F431" s="13">
        <v>3025457</v>
      </c>
      <c r="G431" s="37">
        <v>12888.5</v>
      </c>
      <c r="H431" s="33">
        <v>7850</v>
      </c>
      <c r="I431" s="16">
        <f t="shared" ref="I431:I433" si="66">H431*G431</f>
        <v>101174725</v>
      </c>
      <c r="J431" s="17">
        <v>28</v>
      </c>
      <c r="K431" s="34">
        <v>4502278434</v>
      </c>
      <c r="L431" s="19">
        <v>5080704448</v>
      </c>
      <c r="M431" s="20">
        <v>5113142890</v>
      </c>
      <c r="N431" s="23"/>
      <c r="O431" s="9" t="s">
        <v>63</v>
      </c>
      <c r="P431" s="23"/>
      <c r="Q431" s="24" t="s">
        <v>31</v>
      </c>
      <c r="R431" s="25">
        <v>44616</v>
      </c>
      <c r="S431" s="28"/>
      <c r="T431" s="35"/>
      <c r="U431" s="35"/>
      <c r="V431" s="29"/>
      <c r="W431" s="35"/>
      <c r="X431" s="29"/>
      <c r="Y431" s="36"/>
      <c r="Z431" s="29"/>
      <c r="AA431" s="31">
        <f t="shared" si="1"/>
        <v>44616</v>
      </c>
      <c r="AB431" s="32" t="str">
        <f t="shared" si="5"/>
        <v>febrero</v>
      </c>
    </row>
    <row r="432" spans="1:28" ht="12.75">
      <c r="A432" s="9" t="s">
        <v>83</v>
      </c>
      <c r="B432" s="10">
        <v>44616</v>
      </c>
      <c r="C432" s="11">
        <v>44616</v>
      </c>
      <c r="D432" s="49">
        <v>9</v>
      </c>
      <c r="E432" s="13" t="s">
        <v>655</v>
      </c>
      <c r="F432" s="13">
        <v>3025459</v>
      </c>
      <c r="G432" s="14">
        <v>19362</v>
      </c>
      <c r="H432" s="15">
        <v>7500</v>
      </c>
      <c r="I432" s="16">
        <f t="shared" si="66"/>
        <v>145215000</v>
      </c>
      <c r="J432" s="17">
        <v>42</v>
      </c>
      <c r="K432" s="34">
        <v>4502278939</v>
      </c>
      <c r="L432" s="19">
        <v>5080676129</v>
      </c>
      <c r="M432" s="20">
        <v>5113130076</v>
      </c>
      <c r="N432" s="23" t="s">
        <v>37</v>
      </c>
      <c r="O432" s="22" t="s">
        <v>656</v>
      </c>
      <c r="P432" s="23"/>
      <c r="Q432" s="24" t="s">
        <v>31</v>
      </c>
      <c r="R432" s="25">
        <v>44616</v>
      </c>
      <c r="S432" s="28">
        <v>4902219010</v>
      </c>
      <c r="T432" s="27">
        <f>3726400+1816100</f>
        <v>5542500</v>
      </c>
      <c r="U432" s="28" t="s">
        <v>657</v>
      </c>
      <c r="V432" s="29">
        <v>5113136496</v>
      </c>
      <c r="W432" s="28" t="s">
        <v>658</v>
      </c>
      <c r="X432" s="29">
        <v>5113136549</v>
      </c>
      <c r="Y432" s="36"/>
      <c r="Z432" s="29"/>
      <c r="AA432" s="31">
        <f t="shared" si="1"/>
        <v>44616</v>
      </c>
      <c r="AB432" s="32" t="str">
        <f t="shared" si="5"/>
        <v>febrero</v>
      </c>
    </row>
    <row r="433" spans="1:28" ht="12.75">
      <c r="A433" s="9" t="s">
        <v>58</v>
      </c>
      <c r="B433" s="10">
        <v>44621</v>
      </c>
      <c r="C433" s="11">
        <v>44633</v>
      </c>
      <c r="D433" s="49">
        <v>9</v>
      </c>
      <c r="E433" s="13" t="s">
        <v>659</v>
      </c>
      <c r="F433" s="13">
        <v>3025460</v>
      </c>
      <c r="G433" s="37">
        <v>40558.5</v>
      </c>
      <c r="H433" s="40">
        <v>8000</v>
      </c>
      <c r="I433" s="16">
        <f t="shared" si="66"/>
        <v>324468000</v>
      </c>
      <c r="J433" s="17">
        <v>90</v>
      </c>
      <c r="K433" s="34">
        <v>4502278435</v>
      </c>
      <c r="L433" s="19">
        <v>5080708658</v>
      </c>
      <c r="M433" s="20">
        <v>5113144537</v>
      </c>
      <c r="N433" s="23"/>
      <c r="O433" s="9" t="s">
        <v>37</v>
      </c>
      <c r="P433" s="23"/>
      <c r="Q433" s="24" t="s">
        <v>31</v>
      </c>
      <c r="R433" s="25">
        <v>44617</v>
      </c>
      <c r="S433" s="28"/>
      <c r="T433" s="35"/>
      <c r="U433" s="35"/>
      <c r="V433" s="29"/>
      <c r="W433" s="35"/>
      <c r="X433" s="29"/>
      <c r="Y433" s="36"/>
      <c r="Z433" s="29"/>
      <c r="AA433" s="31">
        <f t="shared" si="1"/>
        <v>44617</v>
      </c>
      <c r="AB433" s="32" t="str">
        <f t="shared" si="5"/>
        <v>febrero</v>
      </c>
    </row>
    <row r="434" spans="1:28" ht="12.75">
      <c r="A434" s="9" t="s">
        <v>58</v>
      </c>
      <c r="B434" s="10">
        <v>44621</v>
      </c>
      <c r="C434" s="11">
        <v>44633</v>
      </c>
      <c r="D434" s="49">
        <v>9</v>
      </c>
      <c r="E434" s="13" t="s">
        <v>660</v>
      </c>
      <c r="F434" s="13">
        <v>3025460</v>
      </c>
      <c r="G434" s="37">
        <v>40558.5</v>
      </c>
      <c r="H434" s="40">
        <f>8000-7991.47</f>
        <v>8.5299999999997453</v>
      </c>
      <c r="I434" s="16">
        <f>-H434*G434</f>
        <v>-345964.00499998964</v>
      </c>
      <c r="J434" s="17">
        <v>0</v>
      </c>
      <c r="K434" s="34">
        <v>4502278435</v>
      </c>
      <c r="L434" s="19">
        <v>5080708658</v>
      </c>
      <c r="M434" s="20">
        <v>5113144539</v>
      </c>
      <c r="N434" s="23"/>
      <c r="O434" s="9"/>
      <c r="P434" s="23"/>
      <c r="Q434" s="24" t="s">
        <v>31</v>
      </c>
      <c r="R434" s="25">
        <v>44617</v>
      </c>
      <c r="S434" s="28"/>
      <c r="T434" s="35"/>
      <c r="U434" s="35"/>
      <c r="V434" s="29"/>
      <c r="W434" s="35"/>
      <c r="X434" s="29"/>
      <c r="Y434" s="36"/>
      <c r="Z434" s="29"/>
      <c r="AA434" s="31">
        <f t="shared" si="1"/>
        <v>44617</v>
      </c>
      <c r="AB434" s="32" t="str">
        <f t="shared" si="5"/>
        <v>febrero</v>
      </c>
    </row>
    <row r="435" spans="1:28" ht="12.75">
      <c r="A435" s="9" t="s">
        <v>233</v>
      </c>
      <c r="B435" s="10">
        <v>44617</v>
      </c>
      <c r="C435" s="11"/>
      <c r="D435" s="49">
        <v>9</v>
      </c>
      <c r="E435" s="13" t="s">
        <v>661</v>
      </c>
      <c r="F435" s="13">
        <v>3025460</v>
      </c>
      <c r="G435" s="14">
        <v>14040</v>
      </c>
      <c r="H435" s="33">
        <v>7700</v>
      </c>
      <c r="I435" s="16">
        <f t="shared" ref="I435:I436" si="67">H435*G435</f>
        <v>108108000</v>
      </c>
      <c r="J435" s="17">
        <v>30</v>
      </c>
      <c r="K435" s="34">
        <v>4502278436</v>
      </c>
      <c r="L435" s="19">
        <v>5080701222</v>
      </c>
      <c r="M435" s="20">
        <v>5113144119</v>
      </c>
      <c r="N435" s="23"/>
      <c r="O435" s="9" t="s">
        <v>37</v>
      </c>
      <c r="P435" s="23"/>
      <c r="Q435" s="24" t="s">
        <v>31</v>
      </c>
      <c r="R435" s="25">
        <v>44617</v>
      </c>
      <c r="S435" s="28"/>
      <c r="T435" s="35"/>
      <c r="U435" s="35"/>
      <c r="V435" s="29"/>
      <c r="W435" s="35"/>
      <c r="X435" s="29"/>
      <c r="Y435" s="36"/>
      <c r="Z435" s="29"/>
      <c r="AA435" s="31">
        <f t="shared" si="1"/>
        <v>44617</v>
      </c>
      <c r="AB435" s="32" t="str">
        <f t="shared" si="5"/>
        <v>febrero</v>
      </c>
    </row>
    <row r="436" spans="1:28" ht="12.75">
      <c r="A436" s="9" t="s">
        <v>233</v>
      </c>
      <c r="B436" s="10">
        <v>44617</v>
      </c>
      <c r="C436" s="11">
        <v>44622</v>
      </c>
      <c r="D436" s="49">
        <v>9</v>
      </c>
      <c r="E436" s="13" t="s">
        <v>662</v>
      </c>
      <c r="F436" s="13">
        <v>3025460</v>
      </c>
      <c r="G436" s="14">
        <v>4865</v>
      </c>
      <c r="H436" s="33">
        <v>7700</v>
      </c>
      <c r="I436" s="16">
        <f t="shared" si="67"/>
        <v>37460500</v>
      </c>
      <c r="J436" s="17">
        <v>11</v>
      </c>
      <c r="K436" s="34">
        <v>4502280186</v>
      </c>
      <c r="L436" s="19">
        <v>5080708660</v>
      </c>
      <c r="M436" s="20">
        <v>5113145700</v>
      </c>
      <c r="N436" s="23"/>
      <c r="O436" s="9" t="s">
        <v>37</v>
      </c>
      <c r="P436" s="23"/>
      <c r="Q436" s="24" t="s">
        <v>31</v>
      </c>
      <c r="R436" s="25">
        <v>44617</v>
      </c>
      <c r="S436" s="28"/>
      <c r="T436" s="35"/>
      <c r="U436" s="35"/>
      <c r="V436" s="29"/>
      <c r="W436" s="35"/>
      <c r="X436" s="29"/>
      <c r="Y436" s="36"/>
      <c r="Z436" s="29"/>
      <c r="AA436" s="31">
        <f t="shared" si="1"/>
        <v>44617</v>
      </c>
      <c r="AB436" s="32" t="str">
        <f t="shared" si="5"/>
        <v>febrero</v>
      </c>
    </row>
    <row r="437" spans="1:28" ht="12.75">
      <c r="A437" s="9" t="s">
        <v>233</v>
      </c>
      <c r="B437" s="10">
        <v>44617</v>
      </c>
      <c r="C437" s="11">
        <v>44622</v>
      </c>
      <c r="D437" s="49">
        <v>9</v>
      </c>
      <c r="E437" s="13" t="s">
        <v>663</v>
      </c>
      <c r="F437" s="13">
        <v>3025460</v>
      </c>
      <c r="G437" s="14">
        <v>18905</v>
      </c>
      <c r="H437" s="33">
        <f>7700-7691.84</f>
        <v>8.1599999999998545</v>
      </c>
      <c r="I437" s="16">
        <f>-H437*G437</f>
        <v>-154264.79999999725</v>
      </c>
      <c r="J437" s="17">
        <v>0</v>
      </c>
      <c r="K437" s="34">
        <v>4502278436</v>
      </c>
      <c r="L437" s="19">
        <v>5080708660</v>
      </c>
      <c r="M437" s="20">
        <v>5113145701</v>
      </c>
      <c r="N437" s="23"/>
      <c r="O437" s="9"/>
      <c r="P437" s="23"/>
      <c r="Q437" s="24" t="s">
        <v>31</v>
      </c>
      <c r="R437" s="25">
        <v>44617</v>
      </c>
      <c r="S437" s="28"/>
      <c r="T437" s="35"/>
      <c r="U437" s="35"/>
      <c r="V437" s="29"/>
      <c r="W437" s="35"/>
      <c r="X437" s="29"/>
      <c r="Y437" s="36"/>
      <c r="Z437" s="29"/>
      <c r="AA437" s="31">
        <f t="shared" si="1"/>
        <v>44617</v>
      </c>
      <c r="AB437" s="32" t="str">
        <f t="shared" si="5"/>
        <v>febrero</v>
      </c>
    </row>
    <row r="438" spans="1:28" ht="12.75">
      <c r="A438" s="9" t="s">
        <v>111</v>
      </c>
      <c r="B438" s="10">
        <v>44620</v>
      </c>
      <c r="C438" s="11">
        <v>44622</v>
      </c>
      <c r="D438" s="49">
        <v>9</v>
      </c>
      <c r="E438" s="13" t="s">
        <v>664</v>
      </c>
      <c r="F438" s="13">
        <v>3025460</v>
      </c>
      <c r="G438" s="37">
        <v>6477.5</v>
      </c>
      <c r="H438" s="33">
        <v>7600</v>
      </c>
      <c r="I438" s="16">
        <f t="shared" ref="I438:I440" si="68">H438*G438</f>
        <v>49229000</v>
      </c>
      <c r="J438" s="17">
        <v>14</v>
      </c>
      <c r="K438" s="34">
        <v>4502278437</v>
      </c>
      <c r="L438" s="19">
        <v>5080733787</v>
      </c>
      <c r="M438" s="20">
        <v>5113145702</v>
      </c>
      <c r="N438" s="23"/>
      <c r="O438" s="9" t="s">
        <v>37</v>
      </c>
      <c r="P438" s="23"/>
      <c r="Q438" s="24" t="s">
        <v>31</v>
      </c>
      <c r="R438" s="25">
        <v>44617</v>
      </c>
      <c r="S438" s="28"/>
      <c r="T438" s="35"/>
      <c r="U438" s="35"/>
      <c r="V438" s="29"/>
      <c r="W438" s="35"/>
      <c r="X438" s="29"/>
      <c r="Y438" s="36"/>
      <c r="Z438" s="29"/>
      <c r="AA438" s="31">
        <f t="shared" si="1"/>
        <v>44617</v>
      </c>
      <c r="AB438" s="32" t="str">
        <f t="shared" si="5"/>
        <v>febrero</v>
      </c>
    </row>
    <row r="439" spans="1:28" ht="12.75">
      <c r="A439" s="9" t="s">
        <v>274</v>
      </c>
      <c r="B439" s="10">
        <v>44622</v>
      </c>
      <c r="C439" s="11">
        <v>44622</v>
      </c>
      <c r="D439" s="49">
        <v>9</v>
      </c>
      <c r="E439" s="13" t="s">
        <v>665</v>
      </c>
      <c r="F439" s="13">
        <v>3025457</v>
      </c>
      <c r="G439" s="14">
        <v>13254</v>
      </c>
      <c r="H439" s="33">
        <v>7850</v>
      </c>
      <c r="I439" s="16">
        <f t="shared" si="68"/>
        <v>104043900</v>
      </c>
      <c r="J439" s="17">
        <v>30</v>
      </c>
      <c r="K439" s="34">
        <v>4502278439</v>
      </c>
      <c r="L439" s="19">
        <v>5080714924</v>
      </c>
      <c r="M439" s="20">
        <v>5113145001</v>
      </c>
      <c r="N439" s="23"/>
      <c r="O439" s="9" t="s">
        <v>63</v>
      </c>
      <c r="P439" s="23"/>
      <c r="Q439" s="24" t="s">
        <v>31</v>
      </c>
      <c r="R439" s="25">
        <v>44617</v>
      </c>
      <c r="S439" s="28"/>
      <c r="T439" s="35"/>
      <c r="U439" s="35"/>
      <c r="V439" s="29"/>
      <c r="W439" s="35"/>
      <c r="X439" s="29"/>
      <c r="Y439" s="36"/>
      <c r="Z439" s="29"/>
      <c r="AA439" s="31">
        <f t="shared" si="1"/>
        <v>44617</v>
      </c>
      <c r="AB439" s="32" t="str">
        <f t="shared" si="5"/>
        <v>febrero</v>
      </c>
    </row>
    <row r="440" spans="1:28" ht="12.75">
      <c r="A440" s="9" t="s">
        <v>404</v>
      </c>
      <c r="B440" s="10">
        <v>44620</v>
      </c>
      <c r="C440" s="11">
        <v>44621</v>
      </c>
      <c r="D440" s="49">
        <v>9</v>
      </c>
      <c r="E440" s="13" t="s">
        <v>666</v>
      </c>
      <c r="F440" s="13">
        <v>3025459</v>
      </c>
      <c r="G440" s="14">
        <v>21743</v>
      </c>
      <c r="H440" s="33">
        <v>7900</v>
      </c>
      <c r="I440" s="16">
        <f t="shared" si="68"/>
        <v>171769700</v>
      </c>
      <c r="J440" s="17">
        <v>42</v>
      </c>
      <c r="K440" s="34">
        <v>4502278440</v>
      </c>
      <c r="L440" s="19">
        <v>5080708659</v>
      </c>
      <c r="M440" s="20">
        <v>5113144016</v>
      </c>
      <c r="N440" s="23"/>
      <c r="O440" s="9" t="s">
        <v>37</v>
      </c>
      <c r="P440" s="23"/>
      <c r="Q440" s="24" t="s">
        <v>31</v>
      </c>
      <c r="R440" s="25">
        <v>44617</v>
      </c>
      <c r="S440" s="28"/>
      <c r="T440" s="35"/>
      <c r="U440" s="35"/>
      <c r="V440" s="29"/>
      <c r="W440" s="35"/>
      <c r="X440" s="29"/>
      <c r="Y440" s="36"/>
      <c r="Z440" s="29"/>
      <c r="AA440" s="31">
        <f t="shared" si="1"/>
        <v>44617</v>
      </c>
      <c r="AB440" s="32" t="str">
        <f t="shared" si="5"/>
        <v>febrero</v>
      </c>
    </row>
    <row r="441" spans="1:28" ht="12.75">
      <c r="A441" s="9" t="s">
        <v>404</v>
      </c>
      <c r="B441" s="10">
        <v>44621</v>
      </c>
      <c r="C441" s="11">
        <v>44621</v>
      </c>
      <c r="D441" s="60">
        <v>9</v>
      </c>
      <c r="E441" s="61" t="s">
        <v>667</v>
      </c>
      <c r="F441" s="13">
        <v>3025459</v>
      </c>
      <c r="G441" s="62">
        <v>21743</v>
      </c>
      <c r="H441" s="63">
        <f>7900-7844.37</f>
        <v>55.630000000000109</v>
      </c>
      <c r="I441" s="64">
        <f>-H441*G441</f>
        <v>-1209563.0900000024</v>
      </c>
      <c r="J441" s="65">
        <v>0</v>
      </c>
      <c r="K441" s="66">
        <v>4502278440</v>
      </c>
      <c r="L441" s="61">
        <v>5080708659</v>
      </c>
      <c r="M441" s="20">
        <v>5113144117</v>
      </c>
      <c r="N441" s="23"/>
      <c r="O441" s="67"/>
      <c r="P441" s="68"/>
      <c r="Q441" s="24" t="s">
        <v>31</v>
      </c>
      <c r="R441" s="25">
        <v>44617</v>
      </c>
      <c r="S441" s="28"/>
      <c r="T441" s="69"/>
      <c r="U441" s="70"/>
      <c r="V441" s="68"/>
      <c r="W441" s="70"/>
      <c r="X441" s="68"/>
      <c r="Y441" s="71"/>
      <c r="Z441" s="68"/>
      <c r="AA441" s="72">
        <f t="shared" si="1"/>
        <v>44617</v>
      </c>
      <c r="AB441" s="32" t="str">
        <f t="shared" si="5"/>
        <v>febrero</v>
      </c>
    </row>
    <row r="442" spans="1:28" ht="12.75">
      <c r="A442" s="22" t="s">
        <v>428</v>
      </c>
      <c r="B442" s="10">
        <v>44617</v>
      </c>
      <c r="C442" s="11">
        <v>44621</v>
      </c>
      <c r="D442" s="49">
        <v>9</v>
      </c>
      <c r="E442" s="13" t="s">
        <v>668</v>
      </c>
      <c r="F442" s="13">
        <v>3025457</v>
      </c>
      <c r="G442" s="14">
        <v>25079</v>
      </c>
      <c r="H442" s="33">
        <v>7750</v>
      </c>
      <c r="I442" s="16">
        <f>H442*G442</f>
        <v>194362250</v>
      </c>
      <c r="J442" s="17">
        <v>52</v>
      </c>
      <c r="K442" s="34">
        <v>4502278441</v>
      </c>
      <c r="L442" s="19">
        <v>5080714925</v>
      </c>
      <c r="M442" s="20">
        <v>5113144187</v>
      </c>
      <c r="N442" s="23"/>
      <c r="O442" s="9" t="s">
        <v>63</v>
      </c>
      <c r="P442" s="23"/>
      <c r="Q442" s="24" t="s">
        <v>31</v>
      </c>
      <c r="R442" s="25">
        <v>44617</v>
      </c>
      <c r="S442" s="28"/>
      <c r="T442" s="35"/>
      <c r="U442" s="35"/>
      <c r="V442" s="29"/>
      <c r="W442" s="35"/>
      <c r="X442" s="29"/>
      <c r="Y442" s="36"/>
      <c r="Z442" s="29"/>
      <c r="AA442" s="31">
        <f t="shared" si="1"/>
        <v>44617</v>
      </c>
      <c r="AB442" s="32" t="str">
        <f t="shared" si="5"/>
        <v>febrero</v>
      </c>
    </row>
    <row r="443" spans="1:28" ht="12.75">
      <c r="A443" s="22" t="s">
        <v>428</v>
      </c>
      <c r="B443" s="10">
        <v>44617</v>
      </c>
      <c r="C443" s="11">
        <v>44621</v>
      </c>
      <c r="D443" s="49">
        <v>9</v>
      </c>
      <c r="E443" s="13" t="s">
        <v>249</v>
      </c>
      <c r="F443" s="13">
        <v>3025457</v>
      </c>
      <c r="G443" s="14">
        <v>25079</v>
      </c>
      <c r="H443" s="33">
        <f>7750-7748.47</f>
        <v>1.5299999999997453</v>
      </c>
      <c r="I443" s="16">
        <f>-+H443*G443</f>
        <v>-38370.869999993614</v>
      </c>
      <c r="J443" s="17">
        <v>0</v>
      </c>
      <c r="K443" s="34">
        <v>4502278441</v>
      </c>
      <c r="L443" s="19">
        <v>5080714925</v>
      </c>
      <c r="M443" s="20">
        <v>5113144188</v>
      </c>
      <c r="N443" s="23"/>
      <c r="O443" s="9"/>
      <c r="P443" s="23"/>
      <c r="Q443" s="24" t="s">
        <v>31</v>
      </c>
      <c r="R443" s="25">
        <v>44617</v>
      </c>
      <c r="S443" s="28"/>
      <c r="T443" s="35"/>
      <c r="U443" s="35"/>
      <c r="V443" s="29"/>
      <c r="W443" s="35"/>
      <c r="X443" s="29"/>
      <c r="Y443" s="36"/>
      <c r="Z443" s="29"/>
      <c r="AA443" s="31">
        <f t="shared" si="1"/>
        <v>44617</v>
      </c>
      <c r="AB443" s="32" t="str">
        <f t="shared" si="5"/>
        <v>febrero</v>
      </c>
    </row>
    <row r="444" spans="1:28" ht="12.75">
      <c r="A444" s="9" t="s">
        <v>276</v>
      </c>
      <c r="B444" s="10">
        <v>44624</v>
      </c>
      <c r="C444" s="11"/>
      <c r="D444" s="49">
        <v>9</v>
      </c>
      <c r="E444" s="13" t="s">
        <v>62</v>
      </c>
      <c r="F444" s="13">
        <v>3025457</v>
      </c>
      <c r="G444" s="37">
        <v>13651.5</v>
      </c>
      <c r="H444" s="33">
        <v>7500</v>
      </c>
      <c r="I444" s="16">
        <f>H444*G444</f>
        <v>102386250</v>
      </c>
      <c r="J444" s="17">
        <v>28</v>
      </c>
      <c r="K444" s="34">
        <v>4502278442</v>
      </c>
      <c r="L444" s="19">
        <v>5080771583</v>
      </c>
      <c r="M444" s="20">
        <v>5113148591</v>
      </c>
      <c r="N444" s="23"/>
      <c r="O444" s="9"/>
      <c r="P444" s="23"/>
      <c r="Q444" s="24" t="s">
        <v>31</v>
      </c>
      <c r="R444" s="25">
        <v>44617</v>
      </c>
      <c r="S444" s="28"/>
      <c r="T444" s="35"/>
      <c r="U444" s="35"/>
      <c r="V444" s="29"/>
      <c r="W444" s="35"/>
      <c r="X444" s="29"/>
      <c r="Y444" s="36"/>
      <c r="Z444" s="29"/>
      <c r="AA444" s="31">
        <f t="shared" si="1"/>
        <v>44617</v>
      </c>
      <c r="AB444" s="32" t="str">
        <f t="shared" si="5"/>
        <v>febrero</v>
      </c>
    </row>
    <row r="445" spans="1:28" ht="12.75">
      <c r="A445" s="9" t="s">
        <v>276</v>
      </c>
      <c r="B445" s="10">
        <v>44624</v>
      </c>
      <c r="C445" s="11"/>
      <c r="D445" s="49">
        <v>9</v>
      </c>
      <c r="E445" s="13" t="s">
        <v>669</v>
      </c>
      <c r="F445" s="13">
        <v>3025457</v>
      </c>
      <c r="G445" s="37">
        <v>13651.5</v>
      </c>
      <c r="H445" s="33">
        <v>100</v>
      </c>
      <c r="I445" s="16">
        <f>-H445*G445</f>
        <v>-1365150</v>
      </c>
      <c r="J445" s="17">
        <v>0</v>
      </c>
      <c r="K445" s="34">
        <v>4502278442</v>
      </c>
      <c r="L445" s="19">
        <v>5080771583</v>
      </c>
      <c r="M445" s="20">
        <v>5113148593</v>
      </c>
      <c r="N445" s="23"/>
      <c r="O445" s="9"/>
      <c r="P445" s="23"/>
      <c r="Q445" s="24" t="s">
        <v>31</v>
      </c>
      <c r="R445" s="25">
        <v>44617</v>
      </c>
      <c r="S445" s="28"/>
      <c r="T445" s="35"/>
      <c r="U445" s="35"/>
      <c r="V445" s="29"/>
      <c r="W445" s="35"/>
      <c r="X445" s="29"/>
      <c r="Y445" s="36"/>
      <c r="Z445" s="29"/>
      <c r="AA445" s="31">
        <f t="shared" si="1"/>
        <v>44617</v>
      </c>
      <c r="AB445" s="32" t="str">
        <f t="shared" si="5"/>
        <v>febrero</v>
      </c>
    </row>
    <row r="446" spans="1:28" ht="12.75">
      <c r="A446" s="9" t="s">
        <v>28</v>
      </c>
      <c r="B446" s="10">
        <v>44620</v>
      </c>
      <c r="C446" s="11"/>
      <c r="D446" s="49">
        <v>9</v>
      </c>
      <c r="E446" s="13" t="s">
        <v>670</v>
      </c>
      <c r="F446" s="13">
        <v>3025461</v>
      </c>
      <c r="G446" s="14">
        <v>32335</v>
      </c>
      <c r="H446" s="33">
        <v>7495.18</v>
      </c>
      <c r="I446" s="16">
        <f t="shared" ref="I446:I449" si="69">H446*G446</f>
        <v>242356645.30000001</v>
      </c>
      <c r="J446" s="17">
        <v>70</v>
      </c>
      <c r="K446" s="34">
        <v>4502281845</v>
      </c>
      <c r="L446" s="19">
        <v>5080752554</v>
      </c>
      <c r="M446" s="20">
        <v>5113142746</v>
      </c>
      <c r="N446" s="23"/>
      <c r="O446" s="9" t="s">
        <v>63</v>
      </c>
      <c r="P446" s="23"/>
      <c r="Q446" s="24" t="s">
        <v>671</v>
      </c>
      <c r="R446" s="25">
        <v>44617</v>
      </c>
      <c r="S446" s="28"/>
      <c r="T446" s="35"/>
      <c r="U446" s="35"/>
      <c r="V446" s="29"/>
      <c r="W446" s="35"/>
      <c r="X446" s="29"/>
      <c r="Y446" s="36"/>
      <c r="Z446" s="29"/>
      <c r="AA446" s="31">
        <f t="shared" si="1"/>
        <v>44617</v>
      </c>
      <c r="AB446" s="32" t="str">
        <f t="shared" si="5"/>
        <v>febrero</v>
      </c>
    </row>
    <row r="447" spans="1:28" ht="12.75">
      <c r="A447" s="9" t="s">
        <v>672</v>
      </c>
      <c r="B447" s="10">
        <v>44622</v>
      </c>
      <c r="C447" s="11"/>
      <c r="D447" s="49">
        <v>9</v>
      </c>
      <c r="E447" s="13" t="s">
        <v>673</v>
      </c>
      <c r="F447" s="13">
        <v>3025461</v>
      </c>
      <c r="G447" s="14">
        <v>6765</v>
      </c>
      <c r="H447" s="33">
        <v>7550</v>
      </c>
      <c r="I447" s="16">
        <f t="shared" si="69"/>
        <v>51075750</v>
      </c>
      <c r="J447" s="17">
        <v>14</v>
      </c>
      <c r="K447" s="34">
        <v>4502281846</v>
      </c>
      <c r="L447" s="19">
        <v>5080752663</v>
      </c>
      <c r="M447" s="20">
        <v>5113145000</v>
      </c>
      <c r="N447" s="23"/>
      <c r="O447" s="9" t="s">
        <v>63</v>
      </c>
      <c r="P447" s="23"/>
      <c r="Q447" s="24" t="s">
        <v>671</v>
      </c>
      <c r="R447" s="25">
        <v>44617</v>
      </c>
      <c r="S447" s="28"/>
      <c r="T447" s="35"/>
      <c r="U447" s="35"/>
      <c r="V447" s="29"/>
      <c r="W447" s="35"/>
      <c r="X447" s="29"/>
      <c r="Y447" s="36"/>
      <c r="Z447" s="29"/>
      <c r="AA447" s="31">
        <f t="shared" si="1"/>
        <v>44617</v>
      </c>
      <c r="AB447" s="32" t="str">
        <f t="shared" si="5"/>
        <v>febrero</v>
      </c>
    </row>
    <row r="448" spans="1:28" ht="12.75">
      <c r="A448" s="22" t="s">
        <v>428</v>
      </c>
      <c r="B448" s="10">
        <v>44618</v>
      </c>
      <c r="C448" s="11">
        <v>44621</v>
      </c>
      <c r="D448" s="49">
        <v>9</v>
      </c>
      <c r="E448" s="13" t="s">
        <v>674</v>
      </c>
      <c r="F448" s="13">
        <v>3025460</v>
      </c>
      <c r="G448" s="37">
        <v>28961.911800000002</v>
      </c>
      <c r="H448" s="33">
        <v>7750</v>
      </c>
      <c r="I448" s="16">
        <f t="shared" si="69"/>
        <v>224454816.45000002</v>
      </c>
      <c r="J448" s="17">
        <v>60</v>
      </c>
      <c r="K448" s="34">
        <v>4502278443</v>
      </c>
      <c r="L448" s="19">
        <v>5080714925</v>
      </c>
      <c r="M448" s="20">
        <v>5113146219</v>
      </c>
      <c r="N448" s="23"/>
      <c r="O448" s="9" t="s">
        <v>63</v>
      </c>
      <c r="P448" s="23"/>
      <c r="Q448" s="24" t="s">
        <v>31</v>
      </c>
      <c r="R448" s="25">
        <v>44618</v>
      </c>
      <c r="S448" s="28"/>
      <c r="T448" s="35"/>
      <c r="U448" s="35"/>
      <c r="V448" s="29"/>
      <c r="W448" s="35"/>
      <c r="X448" s="29"/>
      <c r="Y448" s="36"/>
      <c r="Z448" s="29"/>
      <c r="AA448" s="31">
        <f t="shared" si="1"/>
        <v>44618</v>
      </c>
      <c r="AB448" s="32" t="str">
        <f t="shared" si="5"/>
        <v>febrero</v>
      </c>
    </row>
    <row r="449" spans="1:28" ht="12.75">
      <c r="A449" s="22" t="s">
        <v>428</v>
      </c>
      <c r="B449" s="10">
        <v>44618</v>
      </c>
      <c r="C449" s="11">
        <v>44621</v>
      </c>
      <c r="D449" s="60">
        <v>9</v>
      </c>
      <c r="E449" s="61" t="s">
        <v>674</v>
      </c>
      <c r="F449" s="13">
        <v>3025460</v>
      </c>
      <c r="G449" s="37">
        <v>3861.58824</v>
      </c>
      <c r="H449" s="63">
        <v>7750</v>
      </c>
      <c r="I449" s="16">
        <f t="shared" si="69"/>
        <v>29927308.859999999</v>
      </c>
      <c r="J449" s="73">
        <v>8</v>
      </c>
      <c r="K449" s="34">
        <v>4502278441</v>
      </c>
      <c r="L449" s="61">
        <v>5080714925</v>
      </c>
      <c r="M449" s="20">
        <v>5113146219</v>
      </c>
      <c r="N449" s="23"/>
      <c r="O449" s="9" t="s">
        <v>63</v>
      </c>
      <c r="P449" s="68"/>
      <c r="Q449" s="24" t="s">
        <v>31</v>
      </c>
      <c r="R449" s="74">
        <v>44618</v>
      </c>
      <c r="S449" s="75"/>
      <c r="T449" s="69"/>
      <c r="U449" s="70"/>
      <c r="V449" s="68"/>
      <c r="W449" s="70"/>
      <c r="X449" s="68"/>
      <c r="Y449" s="71"/>
      <c r="Z449" s="68"/>
      <c r="AA449" s="72">
        <f t="shared" si="1"/>
        <v>44618</v>
      </c>
      <c r="AB449" s="32" t="str">
        <f t="shared" si="5"/>
        <v>febrero</v>
      </c>
    </row>
    <row r="450" spans="1:28" ht="12.75">
      <c r="A450" s="22" t="s">
        <v>428</v>
      </c>
      <c r="B450" s="10">
        <v>44618</v>
      </c>
      <c r="C450" s="11">
        <v>44621</v>
      </c>
      <c r="D450" s="60">
        <v>9</v>
      </c>
      <c r="E450" s="61" t="s">
        <v>514</v>
      </c>
      <c r="F450" s="13">
        <v>3025460</v>
      </c>
      <c r="G450" s="37">
        <v>32823.5</v>
      </c>
      <c r="H450" s="63">
        <f>7750-7687.64</f>
        <v>62.359999999999673</v>
      </c>
      <c r="I450" s="16">
        <f>-H450*G450</f>
        <v>-2046873.4599999893</v>
      </c>
      <c r="J450" s="73">
        <v>0</v>
      </c>
      <c r="K450" s="34">
        <v>4502278443</v>
      </c>
      <c r="L450" s="61">
        <v>5080714925</v>
      </c>
      <c r="M450" s="20">
        <v>5113146221</v>
      </c>
      <c r="N450" s="23"/>
      <c r="O450" s="67"/>
      <c r="P450" s="68"/>
      <c r="Q450" s="24" t="s">
        <v>31</v>
      </c>
      <c r="R450" s="74">
        <v>44618</v>
      </c>
      <c r="S450" s="75"/>
      <c r="T450" s="69"/>
      <c r="U450" s="70"/>
      <c r="V450" s="68"/>
      <c r="W450" s="70"/>
      <c r="X450" s="68"/>
      <c r="Y450" s="71"/>
      <c r="Z450" s="68"/>
      <c r="AA450" s="72">
        <f t="shared" si="1"/>
        <v>44618</v>
      </c>
      <c r="AB450" s="32" t="str">
        <f t="shared" si="5"/>
        <v>febrero</v>
      </c>
    </row>
    <row r="451" spans="1:28" ht="12.75">
      <c r="A451" s="22" t="s">
        <v>428</v>
      </c>
      <c r="B451" s="10">
        <v>44617</v>
      </c>
      <c r="C451" s="11">
        <v>44621</v>
      </c>
      <c r="D451" s="49">
        <v>9</v>
      </c>
      <c r="E451" s="13" t="s">
        <v>675</v>
      </c>
      <c r="F451" s="13">
        <v>3025460</v>
      </c>
      <c r="G451" s="37">
        <v>13577.5</v>
      </c>
      <c r="H451" s="33">
        <v>7750</v>
      </c>
      <c r="I451" s="16">
        <f t="shared" ref="I451:I453" si="70">H451*G451</f>
        <v>105225625</v>
      </c>
      <c r="J451" s="17">
        <v>30</v>
      </c>
      <c r="K451" s="34">
        <v>4502280259</v>
      </c>
      <c r="L451" s="19">
        <v>5080714927</v>
      </c>
      <c r="M451" s="20">
        <v>5113146222</v>
      </c>
      <c r="N451" s="23"/>
      <c r="O451" s="9" t="s">
        <v>63</v>
      </c>
      <c r="P451" s="23"/>
      <c r="Q451" s="24" t="s">
        <v>31</v>
      </c>
      <c r="R451" s="25">
        <v>44618</v>
      </c>
      <c r="S451" s="28"/>
      <c r="T451" s="35"/>
      <c r="U451" s="35"/>
      <c r="V451" s="29"/>
      <c r="W451" s="35"/>
      <c r="X451" s="29"/>
      <c r="Y451" s="36"/>
      <c r="Z451" s="29"/>
      <c r="AA451" s="31">
        <f t="shared" si="1"/>
        <v>44618</v>
      </c>
      <c r="AB451" s="32" t="str">
        <f t="shared" si="5"/>
        <v>febrero</v>
      </c>
    </row>
    <row r="452" spans="1:28" ht="12.75">
      <c r="A452" s="22" t="s">
        <v>428</v>
      </c>
      <c r="B452" s="10">
        <v>44617</v>
      </c>
      <c r="C452" s="11">
        <v>44621</v>
      </c>
      <c r="D452" s="49">
        <v>9</v>
      </c>
      <c r="E452" s="13" t="s">
        <v>582</v>
      </c>
      <c r="F452" s="13">
        <v>3025460</v>
      </c>
      <c r="G452" s="37">
        <v>13577.5</v>
      </c>
      <c r="H452" s="33">
        <f>7794.27-7750</f>
        <v>44.270000000000437</v>
      </c>
      <c r="I452" s="16">
        <f t="shared" si="70"/>
        <v>601075.92500000598</v>
      </c>
      <c r="J452" s="17">
        <v>0</v>
      </c>
      <c r="K452" s="34">
        <v>4502280259</v>
      </c>
      <c r="L452" s="19">
        <v>5080714927</v>
      </c>
      <c r="M452" s="20">
        <v>5113146224</v>
      </c>
      <c r="N452" s="23"/>
      <c r="O452" s="9"/>
      <c r="P452" s="23"/>
      <c r="Q452" s="24" t="s">
        <v>31</v>
      </c>
      <c r="R452" s="25">
        <v>44618</v>
      </c>
      <c r="S452" s="28"/>
      <c r="T452" s="35"/>
      <c r="U452" s="35"/>
      <c r="V452" s="29"/>
      <c r="W452" s="35"/>
      <c r="X452" s="29"/>
      <c r="Y452" s="36"/>
      <c r="Z452" s="29"/>
      <c r="AA452" s="31">
        <f t="shared" si="1"/>
        <v>44618</v>
      </c>
      <c r="AB452" s="32" t="str">
        <f t="shared" si="5"/>
        <v>febrero</v>
      </c>
    </row>
    <row r="453" spans="1:28" ht="12.75">
      <c r="A453" s="9" t="s">
        <v>39</v>
      </c>
      <c r="B453" s="10">
        <v>44622</v>
      </c>
      <c r="C453" s="11">
        <v>44622</v>
      </c>
      <c r="D453" s="49">
        <v>9</v>
      </c>
      <c r="E453" s="13" t="s">
        <v>676</v>
      </c>
      <c r="F453" s="13">
        <v>3025460</v>
      </c>
      <c r="G453" s="14">
        <v>13932</v>
      </c>
      <c r="H453" s="33">
        <v>7900</v>
      </c>
      <c r="I453" s="16">
        <f t="shared" si="70"/>
        <v>110062800</v>
      </c>
      <c r="J453" s="17">
        <v>29</v>
      </c>
      <c r="K453" s="34">
        <v>4502278445</v>
      </c>
      <c r="L453" s="19">
        <v>5080724942</v>
      </c>
      <c r="M453" s="20">
        <v>5113148015</v>
      </c>
      <c r="N453" s="23"/>
      <c r="O453" s="9" t="s">
        <v>37</v>
      </c>
      <c r="P453" s="23"/>
      <c r="Q453" s="24" t="s">
        <v>31</v>
      </c>
      <c r="R453" s="25">
        <v>44618</v>
      </c>
      <c r="S453" s="28"/>
      <c r="T453" s="35"/>
      <c r="U453" s="35"/>
      <c r="V453" s="29"/>
      <c r="W453" s="35"/>
      <c r="X453" s="29"/>
      <c r="Y453" s="36"/>
      <c r="Z453" s="29"/>
      <c r="AA453" s="31">
        <f t="shared" si="1"/>
        <v>44618</v>
      </c>
      <c r="AB453" s="32" t="str">
        <f t="shared" si="5"/>
        <v>febrero</v>
      </c>
    </row>
    <row r="454" spans="1:28" ht="12.75">
      <c r="A454" s="9" t="s">
        <v>39</v>
      </c>
      <c r="B454" s="10">
        <v>44622</v>
      </c>
      <c r="C454" s="11">
        <v>44622</v>
      </c>
      <c r="D454" s="49">
        <v>9</v>
      </c>
      <c r="E454" s="13" t="s">
        <v>167</v>
      </c>
      <c r="F454" s="13">
        <v>3025460</v>
      </c>
      <c r="G454" s="14">
        <v>13932</v>
      </c>
      <c r="H454" s="33">
        <v>100</v>
      </c>
      <c r="I454" s="16">
        <f>-H454*G454</f>
        <v>-1393200</v>
      </c>
      <c r="J454" s="17">
        <v>0</v>
      </c>
      <c r="K454" s="34">
        <v>4502278445</v>
      </c>
      <c r="L454" s="19">
        <v>5080724942</v>
      </c>
      <c r="M454" s="20">
        <v>5113148087</v>
      </c>
      <c r="N454" s="23"/>
      <c r="O454" s="9"/>
      <c r="P454" s="23"/>
      <c r="Q454" s="24" t="s">
        <v>31</v>
      </c>
      <c r="R454" s="25">
        <v>44618</v>
      </c>
      <c r="S454" s="28"/>
      <c r="T454" s="35"/>
      <c r="U454" s="35"/>
      <c r="V454" s="29"/>
      <c r="W454" s="35"/>
      <c r="X454" s="29"/>
      <c r="Y454" s="36"/>
      <c r="Z454" s="29"/>
      <c r="AA454" s="31">
        <f t="shared" si="1"/>
        <v>44618</v>
      </c>
      <c r="AB454" s="32" t="str">
        <f t="shared" si="5"/>
        <v>febrero</v>
      </c>
    </row>
    <row r="455" spans="1:28" ht="12.75">
      <c r="A455" s="9" t="s">
        <v>94</v>
      </c>
      <c r="B455" s="10">
        <v>44620</v>
      </c>
      <c r="C455" s="11">
        <v>44620</v>
      </c>
      <c r="D455" s="49">
        <v>9</v>
      </c>
      <c r="E455" s="13" t="s">
        <v>677</v>
      </c>
      <c r="F455" s="13">
        <v>3025460</v>
      </c>
      <c r="G455" s="14">
        <v>18149</v>
      </c>
      <c r="H455" s="15">
        <v>7350</v>
      </c>
      <c r="I455" s="16">
        <f t="shared" ref="I455:I456" si="71">H455*G455</f>
        <v>133395150</v>
      </c>
      <c r="J455" s="17">
        <v>42</v>
      </c>
      <c r="K455" s="34">
        <v>4502280834</v>
      </c>
      <c r="L455" s="19">
        <v>5080734505</v>
      </c>
      <c r="M455" s="20">
        <v>5113142888</v>
      </c>
      <c r="N455" s="23"/>
      <c r="O455" s="22" t="s">
        <v>678</v>
      </c>
      <c r="P455" s="23"/>
      <c r="Q455" s="24" t="s">
        <v>31</v>
      </c>
      <c r="R455" s="25">
        <v>44618</v>
      </c>
      <c r="S455" s="28">
        <v>4902219295</v>
      </c>
      <c r="T455" s="27">
        <f>1623900*3</f>
        <v>4871700</v>
      </c>
      <c r="U455" s="28" t="s">
        <v>679</v>
      </c>
      <c r="V455" s="29">
        <v>5113138704</v>
      </c>
      <c r="W455" s="35"/>
      <c r="X455" s="29"/>
      <c r="Y455" s="36"/>
      <c r="Z455" s="29"/>
      <c r="AA455" s="31">
        <f t="shared" si="1"/>
        <v>44618</v>
      </c>
      <c r="AB455" s="32" t="str">
        <f t="shared" si="5"/>
        <v>febrero</v>
      </c>
    </row>
    <row r="456" spans="1:28" ht="12.75">
      <c r="A456" s="9" t="s">
        <v>58</v>
      </c>
      <c r="B456" s="10">
        <v>44621</v>
      </c>
      <c r="C456" s="11">
        <v>44633</v>
      </c>
      <c r="D456" s="49">
        <v>9</v>
      </c>
      <c r="E456" s="13" t="s">
        <v>680</v>
      </c>
      <c r="F456" s="13">
        <v>3025460</v>
      </c>
      <c r="G456" s="37">
        <v>41154.5</v>
      </c>
      <c r="H456" s="40">
        <v>8000</v>
      </c>
      <c r="I456" s="16">
        <f t="shared" si="71"/>
        <v>329236000</v>
      </c>
      <c r="J456" s="17">
        <v>89</v>
      </c>
      <c r="K456" s="34">
        <v>4502278446</v>
      </c>
      <c r="L456" s="19">
        <v>5080724375</v>
      </c>
      <c r="M456" s="20">
        <v>5113144540</v>
      </c>
      <c r="N456" s="23"/>
      <c r="O456" s="9" t="s">
        <v>37</v>
      </c>
      <c r="P456" s="23"/>
      <c r="Q456" s="24" t="s">
        <v>31</v>
      </c>
      <c r="R456" s="25">
        <v>44618</v>
      </c>
      <c r="S456" s="28"/>
      <c r="T456" s="35"/>
      <c r="U456" s="35"/>
      <c r="V456" s="29"/>
      <c r="W456" s="35"/>
      <c r="X456" s="29"/>
      <c r="Y456" s="36"/>
      <c r="Z456" s="29"/>
      <c r="AA456" s="31">
        <f t="shared" si="1"/>
        <v>44618</v>
      </c>
      <c r="AB456" s="32" t="str">
        <f t="shared" si="5"/>
        <v>febrero</v>
      </c>
    </row>
    <row r="457" spans="1:28" ht="12.75">
      <c r="A457" s="9" t="s">
        <v>58</v>
      </c>
      <c r="B457" s="10">
        <v>44621</v>
      </c>
      <c r="C457" s="11">
        <v>44633</v>
      </c>
      <c r="D457" s="49">
        <v>9</v>
      </c>
      <c r="E457" s="13" t="s">
        <v>681</v>
      </c>
      <c r="F457" s="13">
        <v>3025460</v>
      </c>
      <c r="G457" s="37">
        <v>41154.5</v>
      </c>
      <c r="H457" s="40">
        <f>8000-7995.26</f>
        <v>4.7399999999997817</v>
      </c>
      <c r="I457" s="16">
        <f>-H457*G457</f>
        <v>-195072.32999999102</v>
      </c>
      <c r="J457" s="17">
        <v>0</v>
      </c>
      <c r="K457" s="34">
        <v>4502278435</v>
      </c>
      <c r="L457" s="19">
        <v>5080724375</v>
      </c>
      <c r="M457" s="20">
        <v>5113144542</v>
      </c>
      <c r="N457" s="23"/>
      <c r="O457" s="9"/>
      <c r="P457" s="23"/>
      <c r="Q457" s="24" t="s">
        <v>31</v>
      </c>
      <c r="R457" s="25">
        <v>44617</v>
      </c>
      <c r="S457" s="28"/>
      <c r="T457" s="35"/>
      <c r="U457" s="35"/>
      <c r="V457" s="29"/>
      <c r="W457" s="35"/>
      <c r="X457" s="29"/>
      <c r="Y457" s="36"/>
      <c r="Z457" s="29"/>
      <c r="AA457" s="31">
        <f t="shared" si="1"/>
        <v>44617</v>
      </c>
      <c r="AB457" s="32" t="str">
        <f t="shared" si="5"/>
        <v>febrero</v>
      </c>
    </row>
    <row r="458" spans="1:28" ht="12.75">
      <c r="A458" s="9" t="s">
        <v>58</v>
      </c>
      <c r="B458" s="10">
        <v>44621</v>
      </c>
      <c r="C458" s="11">
        <v>44621</v>
      </c>
      <c r="D458" s="49">
        <v>9</v>
      </c>
      <c r="E458" s="13" t="s">
        <v>682</v>
      </c>
      <c r="F458" s="13">
        <v>3025457</v>
      </c>
      <c r="G458" s="37">
        <v>6996.5</v>
      </c>
      <c r="H458" s="40">
        <v>8000</v>
      </c>
      <c r="I458" s="16">
        <f>H458*G458</f>
        <v>55972000</v>
      </c>
      <c r="J458" s="17">
        <v>16</v>
      </c>
      <c r="K458" s="34">
        <v>4502280645</v>
      </c>
      <c r="L458" s="19">
        <v>5080724377</v>
      </c>
      <c r="M458" s="20">
        <v>5113144543</v>
      </c>
      <c r="N458" s="23"/>
      <c r="O458" s="9" t="s">
        <v>37</v>
      </c>
      <c r="P458" s="23"/>
      <c r="Q458" s="24" t="s">
        <v>31</v>
      </c>
      <c r="R458" s="25">
        <v>44618</v>
      </c>
      <c r="S458" s="28"/>
      <c r="T458" s="35"/>
      <c r="U458" s="35"/>
      <c r="V458" s="29"/>
      <c r="W458" s="35"/>
      <c r="X458" s="29"/>
      <c r="Y458" s="36"/>
      <c r="Z458" s="29"/>
      <c r="AA458" s="31">
        <f t="shared" si="1"/>
        <v>44618</v>
      </c>
      <c r="AB458" s="32" t="str">
        <f t="shared" si="5"/>
        <v>febrero</v>
      </c>
    </row>
    <row r="459" spans="1:28" ht="12.75">
      <c r="A459" s="9" t="s">
        <v>58</v>
      </c>
      <c r="B459" s="10">
        <v>44621</v>
      </c>
      <c r="C459" s="11">
        <v>44621</v>
      </c>
      <c r="D459" s="49">
        <v>9</v>
      </c>
      <c r="E459" s="13" t="s">
        <v>683</v>
      </c>
      <c r="F459" s="13">
        <v>3025457</v>
      </c>
      <c r="G459" s="37">
        <v>6996.5</v>
      </c>
      <c r="H459" s="40">
        <f>8000-7722.14</f>
        <v>277.85999999999967</v>
      </c>
      <c r="I459" s="16">
        <f>-H459*G459</f>
        <v>-1944047.4899999977</v>
      </c>
      <c r="J459" s="17">
        <v>0</v>
      </c>
      <c r="K459" s="34">
        <v>4502280645</v>
      </c>
      <c r="L459" s="19">
        <v>5080724377</v>
      </c>
      <c r="M459" s="20">
        <v>5113144544</v>
      </c>
      <c r="N459" s="23"/>
      <c r="O459" s="9"/>
      <c r="P459" s="23"/>
      <c r="Q459" s="24" t="s">
        <v>31</v>
      </c>
      <c r="R459" s="25">
        <v>44618</v>
      </c>
      <c r="S459" s="28"/>
      <c r="T459" s="35"/>
      <c r="U459" s="35"/>
      <c r="V459" s="29"/>
      <c r="W459" s="35"/>
      <c r="X459" s="29"/>
      <c r="Y459" s="36"/>
      <c r="Z459" s="29"/>
      <c r="AA459" s="31">
        <f t="shared" si="1"/>
        <v>44618</v>
      </c>
      <c r="AB459" s="32" t="str">
        <f t="shared" si="5"/>
        <v>febrero</v>
      </c>
    </row>
    <row r="460" spans="1:28" ht="12.75">
      <c r="A460" s="9" t="s">
        <v>684</v>
      </c>
      <c r="B460" s="10">
        <v>44622</v>
      </c>
      <c r="C460" s="11">
        <v>44624</v>
      </c>
      <c r="D460" s="49">
        <v>9</v>
      </c>
      <c r="E460" s="13" t="s">
        <v>685</v>
      </c>
      <c r="F460" s="13">
        <v>3025460</v>
      </c>
      <c r="G460" s="37">
        <v>6572.5</v>
      </c>
      <c r="H460" s="33">
        <v>7600</v>
      </c>
      <c r="I460" s="16">
        <f t="shared" ref="I460:I462" si="72">H460*G460</f>
        <v>49951000</v>
      </c>
      <c r="J460" s="17">
        <v>14</v>
      </c>
      <c r="K460" s="34">
        <v>4502278447</v>
      </c>
      <c r="L460" s="19">
        <v>5080724376</v>
      </c>
      <c r="M460" s="20">
        <v>5113150307</v>
      </c>
      <c r="N460" s="23"/>
      <c r="O460" s="9" t="s">
        <v>37</v>
      </c>
      <c r="P460" s="23"/>
      <c r="Q460" s="24" t="s">
        <v>31</v>
      </c>
      <c r="R460" s="25">
        <v>44618</v>
      </c>
      <c r="S460" s="28"/>
      <c r="T460" s="35"/>
      <c r="U460" s="35"/>
      <c r="V460" s="29"/>
      <c r="W460" s="35"/>
      <c r="X460" s="29"/>
      <c r="Y460" s="36"/>
      <c r="Z460" s="29"/>
      <c r="AA460" s="31">
        <f t="shared" si="1"/>
        <v>44618</v>
      </c>
      <c r="AB460" s="32" t="str">
        <f t="shared" si="5"/>
        <v>febrero</v>
      </c>
    </row>
    <row r="461" spans="1:28" ht="12.75">
      <c r="A461" s="9" t="s">
        <v>684</v>
      </c>
      <c r="B461" s="10">
        <v>44625</v>
      </c>
      <c r="C461" s="11"/>
      <c r="D461" s="49">
        <v>9</v>
      </c>
      <c r="E461" s="13" t="s">
        <v>686</v>
      </c>
      <c r="F461" s="13">
        <v>3025460</v>
      </c>
      <c r="G461" s="37">
        <v>6572.5</v>
      </c>
      <c r="H461" s="33">
        <v>50</v>
      </c>
      <c r="I461" s="16">
        <f t="shared" si="72"/>
        <v>328625</v>
      </c>
      <c r="J461" s="17">
        <v>0</v>
      </c>
      <c r="K461" s="34">
        <v>4502278447</v>
      </c>
      <c r="L461" s="19">
        <v>5080724376</v>
      </c>
      <c r="M461" s="20">
        <v>5113150878</v>
      </c>
      <c r="N461" s="23"/>
      <c r="O461" s="9"/>
      <c r="P461" s="23"/>
      <c r="Q461" s="24" t="s">
        <v>31</v>
      </c>
      <c r="R461" s="25">
        <v>44618</v>
      </c>
      <c r="S461" s="28"/>
      <c r="T461" s="35"/>
      <c r="U461" s="35"/>
      <c r="V461" s="29"/>
      <c r="W461" s="35"/>
      <c r="X461" s="29"/>
      <c r="Y461" s="36"/>
      <c r="Z461" s="29"/>
      <c r="AA461" s="31">
        <f t="shared" si="1"/>
        <v>44618</v>
      </c>
      <c r="AB461" s="32" t="str">
        <f t="shared" si="5"/>
        <v>febrero</v>
      </c>
    </row>
    <row r="462" spans="1:28" ht="12.75">
      <c r="A462" s="9" t="s">
        <v>58</v>
      </c>
      <c r="B462" s="10">
        <v>44621</v>
      </c>
      <c r="C462" s="11">
        <v>44621</v>
      </c>
      <c r="D462" s="49">
        <v>9</v>
      </c>
      <c r="E462" s="13" t="s">
        <v>687</v>
      </c>
      <c r="F462" s="13">
        <v>3025460</v>
      </c>
      <c r="G462" s="37">
        <v>28635.5</v>
      </c>
      <c r="H462" s="40">
        <v>8000</v>
      </c>
      <c r="I462" s="16">
        <f t="shared" si="72"/>
        <v>229084000</v>
      </c>
      <c r="J462" s="17">
        <v>60</v>
      </c>
      <c r="K462" s="34">
        <v>4502278449</v>
      </c>
      <c r="L462" s="19">
        <v>5080734119</v>
      </c>
      <c r="M462" s="20">
        <v>5113144545</v>
      </c>
      <c r="N462" s="23"/>
      <c r="O462" s="9" t="s">
        <v>37</v>
      </c>
      <c r="P462" s="23"/>
      <c r="Q462" s="24" t="s">
        <v>31</v>
      </c>
      <c r="R462" s="25">
        <v>44619</v>
      </c>
      <c r="S462" s="28"/>
      <c r="T462" s="35"/>
      <c r="U462" s="35"/>
      <c r="V462" s="29"/>
      <c r="W462" s="35"/>
      <c r="X462" s="29"/>
      <c r="Y462" s="36"/>
      <c r="Z462" s="29"/>
      <c r="AA462" s="31">
        <f t="shared" si="1"/>
        <v>44619</v>
      </c>
      <c r="AB462" s="32" t="str">
        <f t="shared" si="5"/>
        <v>febrero</v>
      </c>
    </row>
    <row r="463" spans="1:28" ht="12.75">
      <c r="A463" s="9" t="s">
        <v>58</v>
      </c>
      <c r="B463" s="10">
        <v>44621</v>
      </c>
      <c r="C463" s="11">
        <v>44621</v>
      </c>
      <c r="D463" s="49">
        <v>9</v>
      </c>
      <c r="E463" s="13" t="s">
        <v>688</v>
      </c>
      <c r="F463" s="13">
        <v>3025460</v>
      </c>
      <c r="G463" s="37">
        <v>28635.5</v>
      </c>
      <c r="H463" s="40">
        <f>8000-7998.65</f>
        <v>1.3500000000003638</v>
      </c>
      <c r="I463" s="16">
        <f>-H463*G463</f>
        <v>-38657.925000010415</v>
      </c>
      <c r="J463" s="17">
        <v>0</v>
      </c>
      <c r="K463" s="34">
        <v>4502278449</v>
      </c>
      <c r="L463" s="19">
        <v>5080734119</v>
      </c>
      <c r="M463" s="20">
        <v>5113144547</v>
      </c>
      <c r="N463" s="23"/>
      <c r="O463" s="9"/>
      <c r="P463" s="23"/>
      <c r="Q463" s="24" t="s">
        <v>31</v>
      </c>
      <c r="R463" s="25">
        <v>44619</v>
      </c>
      <c r="S463" s="28"/>
      <c r="T463" s="35"/>
      <c r="U463" s="35"/>
      <c r="V463" s="29"/>
      <c r="W463" s="35"/>
      <c r="X463" s="29"/>
      <c r="Y463" s="36"/>
      <c r="Z463" s="29"/>
      <c r="AA463" s="31">
        <f t="shared" si="1"/>
        <v>44619</v>
      </c>
      <c r="AB463" s="32" t="str">
        <f t="shared" si="5"/>
        <v>febrero</v>
      </c>
    </row>
    <row r="464" spans="1:28" ht="12.75">
      <c r="A464" s="9" t="s">
        <v>242</v>
      </c>
      <c r="B464" s="10">
        <v>44622</v>
      </c>
      <c r="C464" s="11">
        <v>44622</v>
      </c>
      <c r="D464" s="49">
        <v>9</v>
      </c>
      <c r="E464" s="13" t="s">
        <v>550</v>
      </c>
      <c r="F464" s="13">
        <v>3025460</v>
      </c>
      <c r="G464" s="37">
        <v>4363.5</v>
      </c>
      <c r="H464" s="33">
        <v>7600</v>
      </c>
      <c r="I464" s="16">
        <f t="shared" ref="I464:I472" si="73">H464*G464</f>
        <v>33162600</v>
      </c>
      <c r="J464" s="17">
        <v>9</v>
      </c>
      <c r="K464" s="34">
        <v>4502278450</v>
      </c>
      <c r="L464" s="19">
        <v>5080734120</v>
      </c>
      <c r="M464" s="20">
        <v>5113158074</v>
      </c>
      <c r="N464" s="23"/>
      <c r="O464" s="9" t="s">
        <v>63</v>
      </c>
      <c r="P464" s="23" t="s">
        <v>689</v>
      </c>
      <c r="Q464" s="24" t="s">
        <v>31</v>
      </c>
      <c r="R464" s="25">
        <v>44619</v>
      </c>
      <c r="S464" s="28"/>
      <c r="T464" s="35"/>
      <c r="U464" s="35"/>
      <c r="V464" s="29"/>
      <c r="W464" s="35"/>
      <c r="X464" s="29"/>
      <c r="Y464" s="36"/>
      <c r="Z464" s="29"/>
      <c r="AA464" s="31">
        <f t="shared" si="1"/>
        <v>44619</v>
      </c>
      <c r="AB464" s="32" t="str">
        <f t="shared" si="5"/>
        <v>febrero</v>
      </c>
    </row>
    <row r="465" spans="1:28" ht="12.75">
      <c r="A465" s="9" t="s">
        <v>233</v>
      </c>
      <c r="B465" s="10">
        <v>44619</v>
      </c>
      <c r="C465" s="11">
        <v>44622</v>
      </c>
      <c r="D465" s="49">
        <v>9</v>
      </c>
      <c r="E465" s="13" t="s">
        <v>690</v>
      </c>
      <c r="F465" s="13">
        <v>3025460</v>
      </c>
      <c r="G465" s="14">
        <v>21313</v>
      </c>
      <c r="H465" s="33">
        <v>7700</v>
      </c>
      <c r="I465" s="16">
        <f t="shared" si="73"/>
        <v>164110100</v>
      </c>
      <c r="J465" s="17">
        <v>45</v>
      </c>
      <c r="K465" s="34">
        <v>4502278451</v>
      </c>
      <c r="L465" s="19">
        <v>5080735008</v>
      </c>
      <c r="M465" s="20">
        <v>5113145767</v>
      </c>
      <c r="N465" s="23"/>
      <c r="O465" s="9" t="s">
        <v>37</v>
      </c>
      <c r="P465" s="23"/>
      <c r="Q465" s="24" t="s">
        <v>31</v>
      </c>
      <c r="R465" s="25">
        <v>44619</v>
      </c>
      <c r="S465" s="28"/>
      <c r="T465" s="35"/>
      <c r="U465" s="35"/>
      <c r="V465" s="29"/>
      <c r="W465" s="35"/>
      <c r="X465" s="29"/>
      <c r="Y465" s="36"/>
      <c r="Z465" s="29"/>
      <c r="AA465" s="31">
        <f t="shared" si="1"/>
        <v>44619</v>
      </c>
      <c r="AB465" s="32" t="str">
        <f t="shared" si="5"/>
        <v>febrero</v>
      </c>
    </row>
    <row r="466" spans="1:28" ht="12.75">
      <c r="A466" s="9" t="s">
        <v>233</v>
      </c>
      <c r="B466" s="10">
        <v>44619</v>
      </c>
      <c r="C466" s="11">
        <v>44622</v>
      </c>
      <c r="D466" s="49">
        <v>9</v>
      </c>
      <c r="E466" s="13" t="s">
        <v>691</v>
      </c>
      <c r="F466" s="13">
        <v>3025460</v>
      </c>
      <c r="G466" s="14">
        <v>21313</v>
      </c>
      <c r="H466" s="33">
        <v>50</v>
      </c>
      <c r="I466" s="16">
        <f t="shared" si="73"/>
        <v>1065650</v>
      </c>
      <c r="J466" s="17">
        <v>0</v>
      </c>
      <c r="K466" s="34">
        <v>4502278451</v>
      </c>
      <c r="L466" s="19">
        <v>5080735008</v>
      </c>
      <c r="M466" s="20">
        <v>5113145768</v>
      </c>
      <c r="N466" s="23"/>
      <c r="O466" s="9"/>
      <c r="P466" s="23"/>
      <c r="Q466" s="24" t="s">
        <v>31</v>
      </c>
      <c r="R466" s="25">
        <v>44619</v>
      </c>
      <c r="S466" s="28"/>
      <c r="T466" s="35"/>
      <c r="U466" s="35"/>
      <c r="V466" s="29"/>
      <c r="W466" s="35"/>
      <c r="X466" s="29"/>
      <c r="Y466" s="36"/>
      <c r="Z466" s="29"/>
      <c r="AA466" s="31">
        <f t="shared" si="1"/>
        <v>44619</v>
      </c>
      <c r="AB466" s="32" t="str">
        <f t="shared" si="5"/>
        <v>febrero</v>
      </c>
    </row>
    <row r="467" spans="1:28" ht="12.75">
      <c r="A467" s="9" t="s">
        <v>43</v>
      </c>
      <c r="B467" s="10">
        <v>44619</v>
      </c>
      <c r="C467" s="11">
        <v>44621</v>
      </c>
      <c r="D467" s="49">
        <v>9</v>
      </c>
      <c r="E467" s="13" t="s">
        <v>692</v>
      </c>
      <c r="F467" s="13">
        <v>3025457</v>
      </c>
      <c r="G467" s="37">
        <v>14645.5</v>
      </c>
      <c r="H467" s="33">
        <v>7800</v>
      </c>
      <c r="I467" s="16">
        <f t="shared" si="73"/>
        <v>114234900</v>
      </c>
      <c r="J467" s="17">
        <v>28</v>
      </c>
      <c r="K467" s="34">
        <v>4502278454</v>
      </c>
      <c r="L467" s="19">
        <v>5080734121</v>
      </c>
      <c r="M467" s="20">
        <v>5113151199</v>
      </c>
      <c r="N467" s="23"/>
      <c r="O467" s="47" t="s">
        <v>37</v>
      </c>
      <c r="P467" s="23"/>
      <c r="Q467" s="24" t="s">
        <v>31</v>
      </c>
      <c r="R467" s="25">
        <v>44619</v>
      </c>
      <c r="S467" s="28"/>
      <c r="T467" s="35"/>
      <c r="U467" s="35"/>
      <c r="V467" s="29"/>
      <c r="W467" s="35"/>
      <c r="X467" s="29"/>
      <c r="Y467" s="36"/>
      <c r="Z467" s="29"/>
      <c r="AA467" s="31">
        <f t="shared" si="1"/>
        <v>44619</v>
      </c>
      <c r="AB467" s="32" t="str">
        <f t="shared" si="5"/>
        <v>febrero</v>
      </c>
    </row>
    <row r="468" spans="1:28" ht="12.75">
      <c r="A468" s="9" t="s">
        <v>43</v>
      </c>
      <c r="B468" s="10">
        <v>44619</v>
      </c>
      <c r="C468" s="11">
        <v>44621</v>
      </c>
      <c r="D468" s="49">
        <v>9</v>
      </c>
      <c r="E468" s="13" t="s">
        <v>693</v>
      </c>
      <c r="F468" s="13">
        <v>3025457</v>
      </c>
      <c r="G468" s="37">
        <v>14645.5</v>
      </c>
      <c r="H468" s="33">
        <v>50</v>
      </c>
      <c r="I468" s="16">
        <f t="shared" si="73"/>
        <v>732275</v>
      </c>
      <c r="J468" s="17">
        <v>0</v>
      </c>
      <c r="K468" s="34">
        <v>4502278454</v>
      </c>
      <c r="L468" s="19">
        <v>5080734121</v>
      </c>
      <c r="M468" s="20">
        <v>5113151396</v>
      </c>
      <c r="N468" s="23"/>
      <c r="O468" s="9"/>
      <c r="P468" s="23"/>
      <c r="Q468" s="24" t="s">
        <v>31</v>
      </c>
      <c r="R468" s="25">
        <v>44619</v>
      </c>
      <c r="S468" s="28"/>
      <c r="T468" s="35"/>
      <c r="U468" s="35"/>
      <c r="V468" s="29"/>
      <c r="W468" s="35"/>
      <c r="X468" s="29"/>
      <c r="Y468" s="36"/>
      <c r="Z468" s="29"/>
      <c r="AA468" s="31">
        <f t="shared" si="1"/>
        <v>44619</v>
      </c>
      <c r="AB468" s="32" t="str">
        <f t="shared" si="5"/>
        <v>febrero</v>
      </c>
    </row>
    <row r="469" spans="1:28" ht="12.75">
      <c r="A469" s="9" t="s">
        <v>196</v>
      </c>
      <c r="B469" s="10">
        <v>44619</v>
      </c>
      <c r="C469" s="11"/>
      <c r="D469" s="49">
        <v>9</v>
      </c>
      <c r="E469" s="13" t="s">
        <v>694</v>
      </c>
      <c r="F469" s="13">
        <v>3025459</v>
      </c>
      <c r="G469" s="14">
        <v>26717</v>
      </c>
      <c r="H469" s="15">
        <v>7500</v>
      </c>
      <c r="I469" s="16">
        <f t="shared" si="73"/>
        <v>200377500</v>
      </c>
      <c r="J469" s="17">
        <v>56</v>
      </c>
      <c r="K469" s="34">
        <v>4502280836</v>
      </c>
      <c r="L469" s="20">
        <v>5080724922</v>
      </c>
      <c r="M469" s="19">
        <v>5113139671</v>
      </c>
      <c r="N469" s="23"/>
      <c r="O469" s="22" t="s">
        <v>256</v>
      </c>
      <c r="P469" s="23" t="s">
        <v>313</v>
      </c>
      <c r="Q469" s="24" t="s">
        <v>31</v>
      </c>
      <c r="R469" s="25">
        <v>44619</v>
      </c>
      <c r="S469" s="28">
        <v>4902219298</v>
      </c>
      <c r="T469" s="27">
        <f>1638223*4</f>
        <v>6552892</v>
      </c>
      <c r="U469" s="28" t="s">
        <v>695</v>
      </c>
      <c r="V469" s="29">
        <v>5113139546</v>
      </c>
      <c r="W469" s="35"/>
      <c r="X469" s="29"/>
      <c r="Y469" s="36"/>
      <c r="Z469" s="29"/>
      <c r="AA469" s="31">
        <f t="shared" si="1"/>
        <v>44619</v>
      </c>
      <c r="AB469" s="32" t="str">
        <f t="shared" si="5"/>
        <v>febrero</v>
      </c>
    </row>
    <row r="470" spans="1:28" ht="12.75">
      <c r="A470" s="9" t="s">
        <v>58</v>
      </c>
      <c r="B470" s="10">
        <v>44624</v>
      </c>
      <c r="C470" s="11">
        <v>44624</v>
      </c>
      <c r="D470" s="49">
        <v>9</v>
      </c>
      <c r="E470" s="13" t="s">
        <v>696</v>
      </c>
      <c r="F470" s="13">
        <v>3025460</v>
      </c>
      <c r="G470" s="14">
        <v>14288</v>
      </c>
      <c r="H470" s="40">
        <v>8000</v>
      </c>
      <c r="I470" s="16">
        <f t="shared" si="73"/>
        <v>114304000</v>
      </c>
      <c r="J470" s="17">
        <v>28</v>
      </c>
      <c r="K470" s="34">
        <v>4502280918</v>
      </c>
      <c r="L470" s="19">
        <v>5080756409</v>
      </c>
      <c r="M470" s="20">
        <v>5113152293</v>
      </c>
      <c r="N470" s="23"/>
      <c r="O470" s="9" t="s">
        <v>37</v>
      </c>
      <c r="P470" s="23"/>
      <c r="Q470" s="24" t="s">
        <v>31</v>
      </c>
      <c r="R470" s="25">
        <v>44620</v>
      </c>
      <c r="S470" s="28"/>
      <c r="T470" s="35"/>
      <c r="U470" s="35"/>
      <c r="V470" s="29"/>
      <c r="W470" s="35"/>
      <c r="X470" s="29"/>
      <c r="Y470" s="36"/>
      <c r="Z470" s="29"/>
      <c r="AA470" s="31">
        <f t="shared" si="1"/>
        <v>44620</v>
      </c>
      <c r="AB470" s="32" t="str">
        <f t="shared" si="5"/>
        <v>febrero</v>
      </c>
    </row>
    <row r="471" spans="1:28" ht="12.75">
      <c r="A471" s="9" t="s">
        <v>80</v>
      </c>
      <c r="B471" s="10">
        <v>44620</v>
      </c>
      <c r="C471" s="11"/>
      <c r="D471" s="49">
        <v>9</v>
      </c>
      <c r="E471" s="13" t="s">
        <v>697</v>
      </c>
      <c r="F471" s="13">
        <v>3025460</v>
      </c>
      <c r="G471" s="14">
        <v>39414</v>
      </c>
      <c r="H471" s="15">
        <v>7500</v>
      </c>
      <c r="I471" s="16">
        <f t="shared" si="73"/>
        <v>295605000</v>
      </c>
      <c r="J471" s="17">
        <v>84</v>
      </c>
      <c r="K471" s="34">
        <v>4502281173</v>
      </c>
      <c r="L471" s="19">
        <v>5080735397</v>
      </c>
      <c r="M471" s="20">
        <v>5113154530</v>
      </c>
      <c r="N471" s="44"/>
      <c r="O471" s="22" t="s">
        <v>698</v>
      </c>
      <c r="P471" s="23"/>
      <c r="Q471" s="24" t="s">
        <v>31</v>
      </c>
      <c r="R471" s="25">
        <v>44620</v>
      </c>
      <c r="S471" s="28" t="s">
        <v>699</v>
      </c>
      <c r="T471" s="28" t="s">
        <v>700</v>
      </c>
      <c r="U471" s="28" t="s">
        <v>701</v>
      </c>
      <c r="V471" s="29">
        <v>5113143074</v>
      </c>
      <c r="W471" s="28" t="s">
        <v>702</v>
      </c>
      <c r="X471" s="29">
        <v>5113147506</v>
      </c>
      <c r="Y471" s="36"/>
      <c r="Z471" s="29"/>
      <c r="AA471" s="31">
        <f t="shared" si="1"/>
        <v>44620</v>
      </c>
      <c r="AB471" s="32" t="str">
        <f t="shared" si="5"/>
        <v>febrero</v>
      </c>
    </row>
    <row r="472" spans="1:28" ht="12.75">
      <c r="A472" s="9" t="s">
        <v>39</v>
      </c>
      <c r="B472" s="10">
        <v>44622</v>
      </c>
      <c r="C472" s="11">
        <v>44622</v>
      </c>
      <c r="D472" s="49">
        <v>9</v>
      </c>
      <c r="E472" s="13" t="s">
        <v>703</v>
      </c>
      <c r="F472" s="13">
        <v>3025459</v>
      </c>
      <c r="G472" s="37">
        <v>20063.5</v>
      </c>
      <c r="H472" s="33">
        <v>7900</v>
      </c>
      <c r="I472" s="16">
        <f t="shared" si="73"/>
        <v>158501650</v>
      </c>
      <c r="J472" s="17">
        <v>45</v>
      </c>
      <c r="K472" s="34">
        <v>4502278455</v>
      </c>
      <c r="L472" s="19">
        <v>5080757146</v>
      </c>
      <c r="M472" s="20">
        <v>5113148088</v>
      </c>
      <c r="N472" s="23"/>
      <c r="O472" s="9" t="s">
        <v>37</v>
      </c>
      <c r="P472" s="23"/>
      <c r="Q472" s="24" t="s">
        <v>31</v>
      </c>
      <c r="R472" s="25">
        <v>44620</v>
      </c>
      <c r="S472" s="28"/>
      <c r="T472" s="35"/>
      <c r="U472" s="35"/>
      <c r="V472" s="29"/>
      <c r="W472" s="35"/>
      <c r="X472" s="29"/>
      <c r="Y472" s="36"/>
      <c r="Z472" s="29"/>
      <c r="AA472" s="31">
        <f t="shared" si="1"/>
        <v>44620</v>
      </c>
      <c r="AB472" s="32" t="str">
        <f t="shared" si="5"/>
        <v>febrero</v>
      </c>
    </row>
    <row r="473" spans="1:28" ht="12.75">
      <c r="A473" s="9" t="s">
        <v>39</v>
      </c>
      <c r="B473" s="10">
        <v>44622</v>
      </c>
      <c r="C473" s="11">
        <v>44622</v>
      </c>
      <c r="D473" s="49">
        <v>9</v>
      </c>
      <c r="E473" s="13" t="s">
        <v>190</v>
      </c>
      <c r="F473" s="13">
        <v>3025459</v>
      </c>
      <c r="G473" s="37">
        <v>20063.5</v>
      </c>
      <c r="H473" s="33">
        <f>7900-7840.73</f>
        <v>59.270000000000437</v>
      </c>
      <c r="I473" s="16">
        <f>-H473*G473</f>
        <v>-1189163.6450000089</v>
      </c>
      <c r="J473" s="17">
        <v>0</v>
      </c>
      <c r="K473" s="34">
        <v>4502278455</v>
      </c>
      <c r="L473" s="19">
        <v>5080757146</v>
      </c>
      <c r="M473" s="20">
        <v>5113148090</v>
      </c>
      <c r="N473" s="23"/>
      <c r="O473" s="9"/>
      <c r="P473" s="23"/>
      <c r="Q473" s="24" t="s">
        <v>31</v>
      </c>
      <c r="R473" s="25">
        <v>44620</v>
      </c>
      <c r="S473" s="28"/>
      <c r="T473" s="35"/>
      <c r="U473" s="35"/>
      <c r="V473" s="29"/>
      <c r="W473" s="35"/>
      <c r="X473" s="29"/>
      <c r="Y473" s="36"/>
      <c r="Z473" s="29"/>
      <c r="AA473" s="31">
        <f t="shared" si="1"/>
        <v>44620</v>
      </c>
      <c r="AB473" s="32" t="str">
        <f t="shared" si="5"/>
        <v>febrero</v>
      </c>
    </row>
    <row r="474" spans="1:28" ht="12.75">
      <c r="A474" s="9" t="s">
        <v>704</v>
      </c>
      <c r="B474" s="10">
        <v>44622</v>
      </c>
      <c r="C474" s="11">
        <v>44623</v>
      </c>
      <c r="D474" s="49">
        <v>9</v>
      </c>
      <c r="E474" s="13" t="s">
        <v>705</v>
      </c>
      <c r="F474" s="13">
        <v>3025459</v>
      </c>
      <c r="G474" s="37">
        <v>6438.5</v>
      </c>
      <c r="H474" s="33">
        <v>7450</v>
      </c>
      <c r="I474" s="16">
        <f>H474*G474</f>
        <v>47966825</v>
      </c>
      <c r="J474" s="17">
        <v>14</v>
      </c>
      <c r="K474" s="34">
        <v>4502278456</v>
      </c>
      <c r="L474" s="19">
        <v>5080756127</v>
      </c>
      <c r="M474" s="20">
        <v>5113147453</v>
      </c>
      <c r="N474" s="23"/>
      <c r="O474" s="9" t="s">
        <v>37</v>
      </c>
      <c r="P474" s="23"/>
      <c r="Q474" s="24" t="s">
        <v>31</v>
      </c>
      <c r="R474" s="25">
        <v>44620</v>
      </c>
      <c r="S474" s="28"/>
      <c r="T474" s="35"/>
      <c r="U474" s="35"/>
      <c r="V474" s="29"/>
      <c r="W474" s="35"/>
      <c r="X474" s="29"/>
      <c r="Y474" s="36"/>
      <c r="Z474" s="29"/>
      <c r="AA474" s="31">
        <f t="shared" si="1"/>
        <v>44620</v>
      </c>
      <c r="AB474" s="32" t="str">
        <f t="shared" si="5"/>
        <v>febrero</v>
      </c>
    </row>
    <row r="475" spans="1:28" ht="12.75">
      <c r="A475" s="9" t="s">
        <v>704</v>
      </c>
      <c r="B475" s="10">
        <v>44622</v>
      </c>
      <c r="C475" s="11">
        <v>44623</v>
      </c>
      <c r="D475" s="49">
        <v>9</v>
      </c>
      <c r="E475" s="13" t="s">
        <v>706</v>
      </c>
      <c r="F475" s="13">
        <v>3025459</v>
      </c>
      <c r="G475" s="37">
        <v>6438.5</v>
      </c>
      <c r="H475" s="33">
        <f>7450-7288.3</f>
        <v>161.69999999999982</v>
      </c>
      <c r="I475" s="16">
        <f>-H475*G475</f>
        <v>-1041105.4499999988</v>
      </c>
      <c r="J475" s="17">
        <v>0</v>
      </c>
      <c r="K475" s="34">
        <v>4502278456</v>
      </c>
      <c r="L475" s="19">
        <v>5080756127</v>
      </c>
      <c r="M475" s="20">
        <v>5113147454</v>
      </c>
      <c r="N475" s="23"/>
      <c r="O475" s="9"/>
      <c r="P475" s="23"/>
      <c r="Q475" s="24" t="s">
        <v>31</v>
      </c>
      <c r="R475" s="25">
        <v>44620</v>
      </c>
      <c r="S475" s="28"/>
      <c r="T475" s="35"/>
      <c r="U475" s="35"/>
      <c r="V475" s="29"/>
      <c r="W475" s="35"/>
      <c r="X475" s="29"/>
      <c r="Y475" s="36"/>
      <c r="Z475" s="29"/>
      <c r="AA475" s="31">
        <f t="shared" si="1"/>
        <v>44620</v>
      </c>
      <c r="AB475" s="32" t="str">
        <f t="shared" si="5"/>
        <v>febrero</v>
      </c>
    </row>
    <row r="476" spans="1:28" ht="12.75">
      <c r="A476" s="9" t="s">
        <v>191</v>
      </c>
      <c r="B476" s="10">
        <v>44621</v>
      </c>
      <c r="C476" s="11"/>
      <c r="D476" s="49">
        <v>9</v>
      </c>
      <c r="E476" s="13" t="s">
        <v>707</v>
      </c>
      <c r="F476" s="13">
        <v>3025460</v>
      </c>
      <c r="G476" s="14">
        <v>6855</v>
      </c>
      <c r="H476" s="33">
        <v>7600</v>
      </c>
      <c r="I476" s="16">
        <f t="shared" ref="I476:I482" si="74">H476*G476</f>
        <v>52098000</v>
      </c>
      <c r="J476" s="17">
        <v>14</v>
      </c>
      <c r="K476" s="34">
        <v>4502278457</v>
      </c>
      <c r="L476" s="19">
        <v>5080760750</v>
      </c>
      <c r="M476" s="20">
        <v>5113147455</v>
      </c>
      <c r="N476" s="23"/>
      <c r="O476" s="9" t="s">
        <v>193</v>
      </c>
      <c r="P476" s="23"/>
      <c r="Q476" s="24" t="s">
        <v>31</v>
      </c>
      <c r="R476" s="25">
        <v>44621</v>
      </c>
      <c r="S476" s="28"/>
      <c r="T476" s="35"/>
      <c r="U476" s="35"/>
      <c r="V476" s="29"/>
      <c r="W476" s="35"/>
      <c r="X476" s="29"/>
      <c r="Y476" s="36"/>
      <c r="Z476" s="29"/>
      <c r="AA476" s="31">
        <f t="shared" si="1"/>
        <v>44621</v>
      </c>
      <c r="AB476" s="32" t="str">
        <f t="shared" si="5"/>
        <v>marzo</v>
      </c>
    </row>
    <row r="477" spans="1:28" ht="12.75">
      <c r="A477" s="9" t="s">
        <v>404</v>
      </c>
      <c r="B477" s="10">
        <v>44622</v>
      </c>
      <c r="C477" s="11">
        <v>44624</v>
      </c>
      <c r="D477" s="49">
        <v>9</v>
      </c>
      <c r="E477" s="13" t="s">
        <v>708</v>
      </c>
      <c r="F477" s="13">
        <v>3025460</v>
      </c>
      <c r="G477" s="37">
        <v>13918.5</v>
      </c>
      <c r="H477" s="33">
        <v>7900</v>
      </c>
      <c r="I477" s="16">
        <f t="shared" si="74"/>
        <v>109956150</v>
      </c>
      <c r="J477" s="17">
        <v>28</v>
      </c>
      <c r="K477" s="34">
        <v>4502278458</v>
      </c>
      <c r="L477" s="19">
        <v>5080771584</v>
      </c>
      <c r="M477" s="20">
        <v>5113149045</v>
      </c>
      <c r="N477" s="23"/>
      <c r="O477" s="9"/>
      <c r="P477" s="23"/>
      <c r="Q477" s="24" t="s">
        <v>31</v>
      </c>
      <c r="R477" s="25">
        <v>44621</v>
      </c>
      <c r="S477" s="28"/>
      <c r="T477" s="35"/>
      <c r="U477" s="35"/>
      <c r="V477" s="29"/>
      <c r="W477" s="35"/>
      <c r="X477" s="29"/>
      <c r="Y477" s="36"/>
      <c r="Z477" s="29"/>
      <c r="AA477" s="31">
        <f t="shared" si="1"/>
        <v>44621</v>
      </c>
      <c r="AB477" s="32" t="str">
        <f t="shared" si="5"/>
        <v>marzo</v>
      </c>
    </row>
    <row r="478" spans="1:28" ht="12.75">
      <c r="A478" s="9" t="s">
        <v>85</v>
      </c>
      <c r="B478" s="10">
        <v>44621</v>
      </c>
      <c r="C478" s="11">
        <v>44623</v>
      </c>
      <c r="D478" s="49">
        <v>9</v>
      </c>
      <c r="E478" s="13" t="s">
        <v>709</v>
      </c>
      <c r="F478" s="13">
        <v>3025460</v>
      </c>
      <c r="G478" s="14">
        <v>20125</v>
      </c>
      <c r="H478" s="15">
        <v>7500</v>
      </c>
      <c r="I478" s="16">
        <f t="shared" si="74"/>
        <v>150937500</v>
      </c>
      <c r="J478" s="17">
        <v>42</v>
      </c>
      <c r="K478" s="34">
        <v>4502282425</v>
      </c>
      <c r="L478" s="19">
        <v>5080761233</v>
      </c>
      <c r="M478" s="20">
        <v>5113147547</v>
      </c>
      <c r="N478" s="44"/>
      <c r="O478" s="22" t="s">
        <v>272</v>
      </c>
      <c r="P478" s="23"/>
      <c r="Q478" s="24" t="s">
        <v>31</v>
      </c>
      <c r="R478" s="25">
        <v>44621</v>
      </c>
      <c r="S478" s="28">
        <v>4902219305</v>
      </c>
      <c r="T478" s="27">
        <f>1793900*3</f>
        <v>5381700</v>
      </c>
      <c r="U478" s="28" t="s">
        <v>710</v>
      </c>
      <c r="V478" s="29">
        <v>5113144941</v>
      </c>
      <c r="W478" s="35"/>
      <c r="X478" s="29"/>
      <c r="Y478" s="36"/>
      <c r="Z478" s="29"/>
      <c r="AA478" s="31">
        <f t="shared" si="1"/>
        <v>44621</v>
      </c>
      <c r="AB478" s="32" t="str">
        <f t="shared" si="5"/>
        <v>marzo</v>
      </c>
    </row>
    <row r="479" spans="1:28" ht="12.75">
      <c r="A479" s="9" t="s">
        <v>314</v>
      </c>
      <c r="B479" s="10">
        <v>44621</v>
      </c>
      <c r="C479" s="11">
        <v>44621</v>
      </c>
      <c r="D479" s="49">
        <v>9</v>
      </c>
      <c r="E479" s="13" t="s">
        <v>711</v>
      </c>
      <c r="F479" s="13">
        <v>3025460</v>
      </c>
      <c r="G479" s="14">
        <v>6892</v>
      </c>
      <c r="H479" s="15">
        <v>7350</v>
      </c>
      <c r="I479" s="16">
        <f t="shared" si="74"/>
        <v>50656200</v>
      </c>
      <c r="J479" s="17">
        <v>14</v>
      </c>
      <c r="K479" s="34">
        <v>4502282429</v>
      </c>
      <c r="L479" s="19">
        <v>5080761237</v>
      </c>
      <c r="M479" s="20">
        <v>5113145133</v>
      </c>
      <c r="N479" s="44"/>
      <c r="O479" s="22" t="s">
        <v>712</v>
      </c>
      <c r="P479" s="23"/>
      <c r="Q479" s="24" t="s">
        <v>31</v>
      </c>
      <c r="R479" s="25">
        <v>44621</v>
      </c>
      <c r="S479" s="28">
        <v>4902219307</v>
      </c>
      <c r="T479" s="27">
        <v>1771100</v>
      </c>
      <c r="U479" s="28" t="s">
        <v>713</v>
      </c>
      <c r="V479" s="29">
        <v>5113144942</v>
      </c>
      <c r="W479" s="35"/>
      <c r="X479" s="29"/>
      <c r="Y479" s="36"/>
      <c r="Z479" s="29"/>
      <c r="AA479" s="31">
        <f t="shared" si="1"/>
        <v>44621</v>
      </c>
      <c r="AB479" s="32" t="str">
        <f t="shared" si="5"/>
        <v>marzo</v>
      </c>
    </row>
    <row r="480" spans="1:28" ht="12.75">
      <c r="A480" s="9" t="s">
        <v>338</v>
      </c>
      <c r="B480" s="10">
        <v>44624</v>
      </c>
      <c r="C480" s="11"/>
      <c r="D480" s="49">
        <v>9</v>
      </c>
      <c r="E480" s="13" t="s">
        <v>714</v>
      </c>
      <c r="F480" s="13">
        <v>3025460</v>
      </c>
      <c r="G480" s="14">
        <v>6049</v>
      </c>
      <c r="H480" s="33">
        <v>7600</v>
      </c>
      <c r="I480" s="16">
        <f t="shared" si="74"/>
        <v>45972400</v>
      </c>
      <c r="J480" s="17">
        <v>13</v>
      </c>
      <c r="K480" s="34">
        <v>4502285408</v>
      </c>
      <c r="L480" s="19">
        <v>5080832418</v>
      </c>
      <c r="M480" s="20">
        <v>5113150557</v>
      </c>
      <c r="N480" s="44"/>
      <c r="O480" s="9" t="s">
        <v>63</v>
      </c>
      <c r="P480" s="23"/>
      <c r="Q480" s="24" t="s">
        <v>31</v>
      </c>
      <c r="R480" s="25">
        <v>44621</v>
      </c>
      <c r="S480" s="28"/>
      <c r="T480" s="35"/>
      <c r="U480" s="35"/>
      <c r="V480" s="29"/>
      <c r="W480" s="35"/>
      <c r="X480" s="29"/>
      <c r="Y480" s="36"/>
      <c r="Z480" s="29"/>
      <c r="AA480" s="31">
        <f t="shared" si="1"/>
        <v>44621</v>
      </c>
      <c r="AB480" s="32" t="str">
        <f t="shared" si="5"/>
        <v>marzo</v>
      </c>
    </row>
    <row r="481" spans="1:28" ht="12.75">
      <c r="A481" s="9" t="s">
        <v>99</v>
      </c>
      <c r="B481" s="10">
        <v>44624</v>
      </c>
      <c r="C481" s="11">
        <v>44628</v>
      </c>
      <c r="D481" s="49">
        <v>9</v>
      </c>
      <c r="E481" s="13" t="s">
        <v>715</v>
      </c>
      <c r="F481" s="13">
        <v>3025460</v>
      </c>
      <c r="G481" s="37">
        <v>12418.5</v>
      </c>
      <c r="H481" s="33">
        <v>7650</v>
      </c>
      <c r="I481" s="16">
        <f t="shared" si="74"/>
        <v>95001525</v>
      </c>
      <c r="J481" s="17">
        <v>28</v>
      </c>
      <c r="K481" s="34">
        <v>4502286882</v>
      </c>
      <c r="L481" s="19">
        <v>5080856852</v>
      </c>
      <c r="M481" s="20">
        <v>5113153767</v>
      </c>
      <c r="N481" s="44"/>
      <c r="O481" s="9" t="s">
        <v>37</v>
      </c>
      <c r="P481" s="23" t="s">
        <v>716</v>
      </c>
      <c r="Q481" s="24" t="s">
        <v>31</v>
      </c>
      <c r="R481" s="25">
        <v>44621</v>
      </c>
      <c r="S481" s="28"/>
      <c r="T481" s="35"/>
      <c r="U481" s="35"/>
      <c r="V481" s="29"/>
      <c r="W481" s="35"/>
      <c r="X481" s="29"/>
      <c r="Y481" s="36"/>
      <c r="Z481" s="29"/>
      <c r="AA481" s="31">
        <f t="shared" si="1"/>
        <v>44621</v>
      </c>
      <c r="AB481" s="32" t="str">
        <f t="shared" si="5"/>
        <v>marzo</v>
      </c>
    </row>
    <row r="482" spans="1:28" ht="12.75">
      <c r="A482" s="9" t="s">
        <v>58</v>
      </c>
      <c r="B482" s="10">
        <v>44628</v>
      </c>
      <c r="C482" s="11">
        <v>44628</v>
      </c>
      <c r="D482" s="53">
        <v>10</v>
      </c>
      <c r="E482" s="13" t="s">
        <v>717</v>
      </c>
      <c r="F482" s="13">
        <v>3025457</v>
      </c>
      <c r="G482" s="37">
        <v>43220.5</v>
      </c>
      <c r="H482" s="33">
        <v>8050</v>
      </c>
      <c r="I482" s="16">
        <f t="shared" si="74"/>
        <v>347925025</v>
      </c>
      <c r="J482" s="17">
        <v>90</v>
      </c>
      <c r="K482" s="34">
        <v>4502283025</v>
      </c>
      <c r="L482" s="19">
        <v>5080792661</v>
      </c>
      <c r="M482" s="20">
        <v>5113157325</v>
      </c>
      <c r="N482" s="23"/>
      <c r="O482" s="9" t="s">
        <v>37</v>
      </c>
      <c r="P482" s="23"/>
      <c r="Q482" s="24" t="s">
        <v>31</v>
      </c>
      <c r="R482" s="25">
        <v>44623</v>
      </c>
      <c r="S482" s="28"/>
      <c r="T482" s="35"/>
      <c r="U482" s="35"/>
      <c r="V482" s="29"/>
      <c r="W482" s="35"/>
      <c r="X482" s="29"/>
      <c r="Y482" s="36"/>
      <c r="Z482" s="29"/>
      <c r="AA482" s="31">
        <f t="shared" si="1"/>
        <v>44623</v>
      </c>
      <c r="AB482" s="32" t="str">
        <f t="shared" si="5"/>
        <v>marzo</v>
      </c>
    </row>
    <row r="483" spans="1:28" ht="12.75">
      <c r="A483" s="9" t="s">
        <v>58</v>
      </c>
      <c r="B483" s="10">
        <v>44628</v>
      </c>
      <c r="C483" s="11">
        <v>44628</v>
      </c>
      <c r="D483" s="53">
        <v>10</v>
      </c>
      <c r="E483" s="13" t="s">
        <v>718</v>
      </c>
      <c r="F483" s="13">
        <v>3025457</v>
      </c>
      <c r="G483" s="37">
        <v>43220.5</v>
      </c>
      <c r="H483" s="33">
        <f>8050-8045.58</f>
        <v>4.4200000000000728</v>
      </c>
      <c r="I483" s="16">
        <f>-H483*G483</f>
        <v>-191034.61000000316</v>
      </c>
      <c r="J483" s="17">
        <v>0</v>
      </c>
      <c r="K483" s="34">
        <v>4502283025</v>
      </c>
      <c r="L483" s="19">
        <v>5080792661</v>
      </c>
      <c r="M483" s="20">
        <v>5113157326</v>
      </c>
      <c r="N483" s="23"/>
      <c r="O483" s="9"/>
      <c r="P483" s="23"/>
      <c r="Q483" s="24" t="s">
        <v>31</v>
      </c>
      <c r="R483" s="25">
        <v>44623</v>
      </c>
      <c r="S483" s="28"/>
      <c r="T483" s="35"/>
      <c r="U483" s="35"/>
      <c r="V483" s="29"/>
      <c r="W483" s="35"/>
      <c r="X483" s="29"/>
      <c r="Y483" s="36"/>
      <c r="Z483" s="29"/>
      <c r="AA483" s="31">
        <f t="shared" si="1"/>
        <v>44623</v>
      </c>
      <c r="AB483" s="32" t="str">
        <f t="shared" si="5"/>
        <v>marzo</v>
      </c>
    </row>
    <row r="484" spans="1:28" ht="12.75">
      <c r="A484" s="22" t="s">
        <v>719</v>
      </c>
      <c r="B484" s="10">
        <v>44630</v>
      </c>
      <c r="C484" s="11">
        <v>44631</v>
      </c>
      <c r="D484" s="53">
        <v>10</v>
      </c>
      <c r="E484" s="13" t="s">
        <v>720</v>
      </c>
      <c r="F484" s="13">
        <v>3025457</v>
      </c>
      <c r="G484" s="14">
        <v>6640</v>
      </c>
      <c r="H484" s="33">
        <v>7650</v>
      </c>
      <c r="I484" s="16">
        <f>H484*G484</f>
        <v>50796000</v>
      </c>
      <c r="J484" s="17">
        <v>15</v>
      </c>
      <c r="K484" s="34">
        <v>4502283026</v>
      </c>
      <c r="L484" s="19">
        <v>5080792662</v>
      </c>
      <c r="M484" s="20">
        <v>5113163069</v>
      </c>
      <c r="N484" s="44"/>
      <c r="O484" s="9" t="s">
        <v>37</v>
      </c>
      <c r="P484" s="23" t="s">
        <v>721</v>
      </c>
      <c r="Q484" s="24" t="s">
        <v>31</v>
      </c>
      <c r="R484" s="25">
        <v>44623</v>
      </c>
      <c r="S484" s="28"/>
      <c r="T484" s="35"/>
      <c r="U484" s="35"/>
      <c r="V484" s="29"/>
      <c r="W484" s="35"/>
      <c r="X484" s="29"/>
      <c r="Y484" s="36"/>
      <c r="Z484" s="29"/>
      <c r="AA484" s="31">
        <f t="shared" si="1"/>
        <v>44623</v>
      </c>
      <c r="AB484" s="32" t="str">
        <f t="shared" si="5"/>
        <v>marzo</v>
      </c>
    </row>
    <row r="485" spans="1:28" ht="12.75">
      <c r="A485" s="22" t="s">
        <v>719</v>
      </c>
      <c r="B485" s="10">
        <v>44630</v>
      </c>
      <c r="C485" s="11">
        <v>44631</v>
      </c>
      <c r="D485" s="53">
        <v>10</v>
      </c>
      <c r="E485" s="13" t="s">
        <v>722</v>
      </c>
      <c r="F485" s="13">
        <v>3025457</v>
      </c>
      <c r="G485" s="14">
        <v>6640</v>
      </c>
      <c r="H485" s="33">
        <v>50</v>
      </c>
      <c r="I485" s="16">
        <f>-H485*G485</f>
        <v>-332000</v>
      </c>
      <c r="J485" s="17">
        <v>0</v>
      </c>
      <c r="K485" s="34">
        <v>4502283026</v>
      </c>
      <c r="L485" s="19">
        <v>5080792662</v>
      </c>
      <c r="M485" s="20">
        <v>5113163070</v>
      </c>
      <c r="N485" s="23"/>
      <c r="O485" s="9"/>
      <c r="P485" s="23" t="s">
        <v>723</v>
      </c>
      <c r="Q485" s="24" t="s">
        <v>31</v>
      </c>
      <c r="R485" s="25">
        <v>44623</v>
      </c>
      <c r="S485" s="28"/>
      <c r="T485" s="35"/>
      <c r="U485" s="35"/>
      <c r="V485" s="29"/>
      <c r="W485" s="35"/>
      <c r="X485" s="29"/>
      <c r="Y485" s="36"/>
      <c r="Z485" s="29"/>
      <c r="AA485" s="31">
        <f t="shared" si="1"/>
        <v>44623</v>
      </c>
      <c r="AB485" s="32" t="str">
        <f t="shared" si="5"/>
        <v>marzo</v>
      </c>
    </row>
    <row r="486" spans="1:28" ht="12.75">
      <c r="A486" s="9" t="s">
        <v>196</v>
      </c>
      <c r="B486" s="10">
        <v>44623</v>
      </c>
      <c r="C486" s="11"/>
      <c r="D486" s="53">
        <v>10</v>
      </c>
      <c r="E486" s="13" t="s">
        <v>724</v>
      </c>
      <c r="F486" s="13">
        <v>3025457</v>
      </c>
      <c r="G486" s="14">
        <v>26834</v>
      </c>
      <c r="H486" s="15">
        <v>7500</v>
      </c>
      <c r="I486" s="16">
        <f t="shared" ref="I486:I489" si="75">H486*G486</f>
        <v>201255000</v>
      </c>
      <c r="J486" s="17">
        <v>56</v>
      </c>
      <c r="K486" s="34">
        <v>4502284054</v>
      </c>
      <c r="L486" s="19">
        <v>5080791876</v>
      </c>
      <c r="M486" s="20">
        <v>5113157033</v>
      </c>
      <c r="N486" s="23"/>
      <c r="O486" s="22" t="s">
        <v>256</v>
      </c>
      <c r="P486" s="23" t="s">
        <v>313</v>
      </c>
      <c r="Q486" s="24" t="s">
        <v>31</v>
      </c>
      <c r="R486" s="25">
        <v>44623</v>
      </c>
      <c r="S486" s="28">
        <v>4902223393</v>
      </c>
      <c r="T486" s="35">
        <f>1638223*4</f>
        <v>6552892</v>
      </c>
      <c r="U486" s="28" t="s">
        <v>725</v>
      </c>
      <c r="V486" s="29">
        <v>5113157074</v>
      </c>
      <c r="W486" s="28" t="s">
        <v>726</v>
      </c>
      <c r="X486" s="29">
        <v>5113157572</v>
      </c>
      <c r="Y486" s="36"/>
      <c r="Z486" s="29"/>
      <c r="AA486" s="31">
        <f t="shared" si="1"/>
        <v>44623</v>
      </c>
      <c r="AB486" s="32" t="str">
        <f t="shared" si="5"/>
        <v>marzo</v>
      </c>
    </row>
    <row r="487" spans="1:28" ht="12.75">
      <c r="A487" s="9" t="s">
        <v>83</v>
      </c>
      <c r="B487" s="10">
        <v>44624</v>
      </c>
      <c r="C487" s="11">
        <v>44627</v>
      </c>
      <c r="D487" s="53">
        <v>10</v>
      </c>
      <c r="E487" s="13" t="s">
        <v>727</v>
      </c>
      <c r="F487" s="13">
        <v>3025457</v>
      </c>
      <c r="G487" s="14">
        <v>13046</v>
      </c>
      <c r="H487" s="15">
        <v>7500</v>
      </c>
      <c r="I487" s="16">
        <f t="shared" si="75"/>
        <v>97845000</v>
      </c>
      <c r="J487" s="17">
        <v>28</v>
      </c>
      <c r="K487" s="34">
        <v>4502284056</v>
      </c>
      <c r="L487" s="19">
        <v>5080791939</v>
      </c>
      <c r="M487" s="20">
        <v>5113152294</v>
      </c>
      <c r="N487" s="23" t="s">
        <v>37</v>
      </c>
      <c r="O487" s="22" t="s">
        <v>728</v>
      </c>
      <c r="P487" s="23"/>
      <c r="Q487" s="24" t="s">
        <v>31</v>
      </c>
      <c r="R487" s="25">
        <v>44624</v>
      </c>
      <c r="S487" s="28">
        <v>4902223857</v>
      </c>
      <c r="T487" s="28">
        <f>1633100+1816100</f>
        <v>3449200</v>
      </c>
      <c r="U487" s="28" t="s">
        <v>729</v>
      </c>
      <c r="V487" s="28">
        <v>5113150801</v>
      </c>
      <c r="W487" s="35"/>
      <c r="X487" s="29"/>
      <c r="Y487" s="36"/>
      <c r="Z487" s="29"/>
      <c r="AA487" s="31">
        <f t="shared" si="1"/>
        <v>44624</v>
      </c>
      <c r="AB487" s="32" t="str">
        <f t="shared" si="5"/>
        <v>marzo</v>
      </c>
    </row>
    <row r="488" spans="1:28" ht="12.75">
      <c r="A488" s="9" t="s">
        <v>46</v>
      </c>
      <c r="B488" s="10">
        <v>44624</v>
      </c>
      <c r="C488" s="11">
        <v>44628</v>
      </c>
      <c r="D488" s="53">
        <v>10</v>
      </c>
      <c r="E488" s="13" t="s">
        <v>730</v>
      </c>
      <c r="F488" s="13">
        <v>3025457</v>
      </c>
      <c r="G488" s="14">
        <v>7459</v>
      </c>
      <c r="H488" s="33">
        <v>7800</v>
      </c>
      <c r="I488" s="16">
        <f t="shared" si="75"/>
        <v>58180200</v>
      </c>
      <c r="J488" s="17">
        <v>15</v>
      </c>
      <c r="K488" s="34">
        <v>4502283027</v>
      </c>
      <c r="L488" s="19">
        <v>5080826828</v>
      </c>
      <c r="M488" s="20">
        <v>5113152383</v>
      </c>
      <c r="N488" s="21"/>
      <c r="O488" s="9" t="s">
        <v>37</v>
      </c>
      <c r="P488" s="23"/>
      <c r="Q488" s="24" t="s">
        <v>31</v>
      </c>
      <c r="R488" s="25">
        <v>44624</v>
      </c>
      <c r="S488" s="28"/>
      <c r="T488" s="35"/>
      <c r="U488" s="35"/>
      <c r="V488" s="29"/>
      <c r="W488" s="35"/>
      <c r="X488" s="29"/>
      <c r="Y488" s="36"/>
      <c r="Z488" s="29"/>
      <c r="AA488" s="31">
        <f t="shared" si="1"/>
        <v>44624</v>
      </c>
      <c r="AB488" s="32" t="str">
        <f t="shared" si="5"/>
        <v>marzo</v>
      </c>
    </row>
    <row r="489" spans="1:28" ht="12.75">
      <c r="A489" s="9" t="s">
        <v>348</v>
      </c>
      <c r="B489" s="10">
        <v>44627</v>
      </c>
      <c r="C489" s="11">
        <v>44627</v>
      </c>
      <c r="D489" s="53">
        <v>10</v>
      </c>
      <c r="E489" s="13" t="s">
        <v>731</v>
      </c>
      <c r="F489" s="13">
        <v>3025457</v>
      </c>
      <c r="G489" s="37">
        <v>13426.5</v>
      </c>
      <c r="H489" s="33">
        <v>7650</v>
      </c>
      <c r="I489" s="16">
        <f t="shared" si="75"/>
        <v>102712725</v>
      </c>
      <c r="J489" s="17">
        <v>30</v>
      </c>
      <c r="K489" s="34">
        <v>4502283029</v>
      </c>
      <c r="L489" s="19">
        <v>5080826613</v>
      </c>
      <c r="M489" s="20">
        <v>5113152289</v>
      </c>
      <c r="N489" s="9"/>
      <c r="O489" s="9"/>
      <c r="P489" s="23"/>
      <c r="Q489" s="24" t="s">
        <v>31</v>
      </c>
      <c r="R489" s="25">
        <v>44624</v>
      </c>
      <c r="S489" s="28"/>
      <c r="T489" s="35"/>
      <c r="U489" s="35"/>
      <c r="V489" s="29"/>
      <c r="W489" s="35"/>
      <c r="X489" s="29"/>
      <c r="Y489" s="36"/>
      <c r="Z489" s="29"/>
      <c r="AA489" s="31">
        <f t="shared" si="1"/>
        <v>44624</v>
      </c>
      <c r="AB489" s="32" t="str">
        <f t="shared" si="5"/>
        <v>marzo</v>
      </c>
    </row>
    <row r="490" spans="1:28" ht="12.75">
      <c r="A490" s="9" t="s">
        <v>348</v>
      </c>
      <c r="B490" s="10">
        <v>44627</v>
      </c>
      <c r="C490" s="11">
        <v>44627</v>
      </c>
      <c r="D490" s="53">
        <v>10</v>
      </c>
      <c r="E490" s="13" t="s">
        <v>732</v>
      </c>
      <c r="F490" s="13">
        <v>3025457</v>
      </c>
      <c r="G490" s="37">
        <v>13426.5</v>
      </c>
      <c r="H490" s="33">
        <v>100</v>
      </c>
      <c r="I490" s="16">
        <f>-H490*G490</f>
        <v>-1342650</v>
      </c>
      <c r="J490" s="17">
        <v>0</v>
      </c>
      <c r="K490" s="34">
        <v>4502283029</v>
      </c>
      <c r="L490" s="19">
        <v>5080826613</v>
      </c>
      <c r="M490" s="20">
        <v>5113152291</v>
      </c>
      <c r="N490" s="9"/>
      <c r="O490" s="9"/>
      <c r="P490" s="23"/>
      <c r="Q490" s="24" t="s">
        <v>31</v>
      </c>
      <c r="R490" s="25">
        <v>44624</v>
      </c>
      <c r="S490" s="28"/>
      <c r="T490" s="35"/>
      <c r="U490" s="35"/>
      <c r="V490" s="29"/>
      <c r="W490" s="35"/>
      <c r="X490" s="29"/>
      <c r="Y490" s="36"/>
      <c r="Z490" s="29"/>
      <c r="AA490" s="31">
        <f t="shared" si="1"/>
        <v>44624</v>
      </c>
      <c r="AB490" s="32" t="str">
        <f t="shared" si="5"/>
        <v>marzo</v>
      </c>
    </row>
    <row r="491" spans="1:28" ht="12.75">
      <c r="A491" s="9" t="s">
        <v>125</v>
      </c>
      <c r="B491" s="10">
        <v>44624</v>
      </c>
      <c r="C491" s="11"/>
      <c r="D491" s="53">
        <v>10</v>
      </c>
      <c r="E491" s="13" t="s">
        <v>733</v>
      </c>
      <c r="F491" s="13">
        <v>3025460</v>
      </c>
      <c r="G491" s="37">
        <v>41091.5</v>
      </c>
      <c r="H491" s="33">
        <v>7850</v>
      </c>
      <c r="I491" s="16">
        <f t="shared" ref="I491:I493" si="76">H491*G491</f>
        <v>322568275</v>
      </c>
      <c r="J491" s="17">
        <v>89</v>
      </c>
      <c r="K491" s="34">
        <v>4502283030</v>
      </c>
      <c r="L491" s="19">
        <v>5080826617</v>
      </c>
      <c r="M491" s="20">
        <v>5113157591</v>
      </c>
      <c r="N491" s="21"/>
      <c r="O491" s="9" t="s">
        <v>63</v>
      </c>
      <c r="P491" s="23"/>
      <c r="Q491" s="24" t="s">
        <v>31</v>
      </c>
      <c r="R491" s="25">
        <v>44624</v>
      </c>
      <c r="S491" s="28"/>
      <c r="T491" s="35"/>
      <c r="U491" s="35"/>
      <c r="V491" s="29"/>
      <c r="W491" s="35"/>
      <c r="X491" s="29"/>
      <c r="Y491" s="36"/>
      <c r="Z491" s="29"/>
      <c r="AA491" s="31">
        <f t="shared" si="1"/>
        <v>44624</v>
      </c>
      <c r="AB491" s="32" t="str">
        <f t="shared" si="5"/>
        <v>marzo</v>
      </c>
    </row>
    <row r="492" spans="1:28" ht="12.75">
      <c r="A492" s="9" t="s">
        <v>125</v>
      </c>
      <c r="B492" s="10">
        <v>44624</v>
      </c>
      <c r="C492" s="11">
        <v>44630</v>
      </c>
      <c r="D492" s="53">
        <v>10</v>
      </c>
      <c r="E492" s="13" t="s">
        <v>497</v>
      </c>
      <c r="F492" s="13">
        <v>3025460</v>
      </c>
      <c r="G492" s="37">
        <v>41091.5</v>
      </c>
      <c r="H492" s="33">
        <f>7898.14-7850</f>
        <v>48.140000000000327</v>
      </c>
      <c r="I492" s="16">
        <f t="shared" si="76"/>
        <v>1978144.8100000136</v>
      </c>
      <c r="J492" s="17">
        <v>0</v>
      </c>
      <c r="K492" s="34">
        <v>4502283030</v>
      </c>
      <c r="L492" s="19">
        <v>5080826617</v>
      </c>
      <c r="M492" s="20">
        <v>5113157594</v>
      </c>
      <c r="N492" s="21"/>
      <c r="O492" s="9"/>
      <c r="P492" s="23" t="s">
        <v>734</v>
      </c>
      <c r="Q492" s="24" t="s">
        <v>31</v>
      </c>
      <c r="R492" s="25">
        <v>44624</v>
      </c>
      <c r="S492" s="28"/>
      <c r="T492" s="35"/>
      <c r="U492" s="35"/>
      <c r="V492" s="29"/>
      <c r="W492" s="35"/>
      <c r="X492" s="29"/>
      <c r="Y492" s="36"/>
      <c r="Z492" s="29"/>
      <c r="AA492" s="31">
        <f t="shared" si="1"/>
        <v>44624</v>
      </c>
      <c r="AB492" s="32" t="str">
        <f t="shared" si="5"/>
        <v>marzo</v>
      </c>
    </row>
    <row r="493" spans="1:28" ht="12.75">
      <c r="A493" s="9" t="s">
        <v>58</v>
      </c>
      <c r="B493" s="10">
        <v>44628</v>
      </c>
      <c r="C493" s="11">
        <v>44628</v>
      </c>
      <c r="D493" s="53">
        <v>10</v>
      </c>
      <c r="E493" s="13" t="s">
        <v>735</v>
      </c>
      <c r="F493" s="13">
        <v>3025460</v>
      </c>
      <c r="G493" s="14">
        <v>34741</v>
      </c>
      <c r="H493" s="33">
        <v>8050</v>
      </c>
      <c r="I493" s="16">
        <f t="shared" si="76"/>
        <v>279665050</v>
      </c>
      <c r="J493" s="17">
        <v>75</v>
      </c>
      <c r="K493" s="34">
        <v>4502283031</v>
      </c>
      <c r="L493" s="19">
        <v>5080826614</v>
      </c>
      <c r="M493" s="20">
        <v>5113157358</v>
      </c>
      <c r="N493" s="23"/>
      <c r="O493" s="9" t="s">
        <v>37</v>
      </c>
      <c r="P493" s="23"/>
      <c r="Q493" s="24" t="s">
        <v>31</v>
      </c>
      <c r="R493" s="25">
        <v>44624</v>
      </c>
      <c r="S493" s="28"/>
      <c r="T493" s="35"/>
      <c r="U493" s="35"/>
      <c r="V493" s="29"/>
      <c r="W493" s="35"/>
      <c r="X493" s="29"/>
      <c r="Y493" s="36"/>
      <c r="Z493" s="29"/>
      <c r="AA493" s="31">
        <f t="shared" si="1"/>
        <v>44624</v>
      </c>
      <c r="AB493" s="32" t="str">
        <f t="shared" si="5"/>
        <v>marzo</v>
      </c>
    </row>
    <row r="494" spans="1:28" ht="12.75">
      <c r="A494" s="9" t="s">
        <v>58</v>
      </c>
      <c r="B494" s="10">
        <v>44628</v>
      </c>
      <c r="C494" s="11">
        <v>44628</v>
      </c>
      <c r="D494" s="53">
        <v>10</v>
      </c>
      <c r="E494" s="13" t="s">
        <v>736</v>
      </c>
      <c r="F494" s="13">
        <v>3025460</v>
      </c>
      <c r="G494" s="14">
        <v>34741</v>
      </c>
      <c r="H494" s="33">
        <f>8050-8048.85</f>
        <v>1.1499999999996362</v>
      </c>
      <c r="I494" s="16">
        <f>-H494*G494</f>
        <v>-39952.149999987363</v>
      </c>
      <c r="J494" s="17">
        <v>0</v>
      </c>
      <c r="K494" s="34">
        <v>4502283031</v>
      </c>
      <c r="L494" s="19">
        <v>5080826614</v>
      </c>
      <c r="M494" s="20">
        <v>5113157359</v>
      </c>
      <c r="N494" s="23"/>
      <c r="O494" s="9"/>
      <c r="P494" s="23"/>
      <c r="Q494" s="24" t="s">
        <v>31</v>
      </c>
      <c r="R494" s="25">
        <v>44624</v>
      </c>
      <c r="S494" s="28"/>
      <c r="T494" s="35"/>
      <c r="U494" s="35"/>
      <c r="V494" s="29"/>
      <c r="W494" s="35"/>
      <c r="X494" s="29"/>
      <c r="Y494" s="36"/>
      <c r="Z494" s="29"/>
      <c r="AA494" s="31">
        <f t="shared" si="1"/>
        <v>44624</v>
      </c>
      <c r="AB494" s="32" t="str">
        <f t="shared" si="5"/>
        <v>marzo</v>
      </c>
    </row>
    <row r="495" spans="1:28" ht="12.75">
      <c r="A495" s="9" t="s">
        <v>39</v>
      </c>
      <c r="B495" s="10">
        <v>44624</v>
      </c>
      <c r="C495" s="11">
        <v>44627</v>
      </c>
      <c r="D495" s="53">
        <v>10</v>
      </c>
      <c r="E495" s="13" t="s">
        <v>737</v>
      </c>
      <c r="F495" s="13">
        <v>3025459</v>
      </c>
      <c r="G495" s="37">
        <v>6695</v>
      </c>
      <c r="H495" s="33">
        <v>7950</v>
      </c>
      <c r="I495" s="16">
        <f t="shared" ref="I495:I496" si="77">H495*G495</f>
        <v>53225250</v>
      </c>
      <c r="J495" s="17">
        <v>14</v>
      </c>
      <c r="K495" s="34">
        <v>4502283032</v>
      </c>
      <c r="L495" s="19">
        <v>5080826615</v>
      </c>
      <c r="M495" s="20">
        <v>5113157360</v>
      </c>
      <c r="N495" s="23"/>
      <c r="O495" s="9" t="s">
        <v>37</v>
      </c>
      <c r="P495" s="23"/>
      <c r="Q495" s="24" t="s">
        <v>31</v>
      </c>
      <c r="R495" s="25">
        <v>44624</v>
      </c>
      <c r="S495" s="28"/>
      <c r="T495" s="35"/>
      <c r="U495" s="35"/>
      <c r="V495" s="29"/>
      <c r="W495" s="35"/>
      <c r="X495" s="29"/>
      <c r="Y495" s="36"/>
      <c r="Z495" s="29"/>
      <c r="AA495" s="31">
        <f t="shared" si="1"/>
        <v>44624</v>
      </c>
      <c r="AB495" s="32" t="str">
        <f t="shared" si="5"/>
        <v>marzo</v>
      </c>
    </row>
    <row r="496" spans="1:28" ht="12.75">
      <c r="A496" s="9" t="s">
        <v>39</v>
      </c>
      <c r="B496" s="10">
        <v>44624</v>
      </c>
      <c r="C496" s="11">
        <v>44627</v>
      </c>
      <c r="D496" s="53">
        <v>10</v>
      </c>
      <c r="E496" s="13" t="s">
        <v>737</v>
      </c>
      <c r="F496" s="13">
        <v>3025459</v>
      </c>
      <c r="G496" s="37">
        <v>18102.5</v>
      </c>
      <c r="H496" s="33">
        <v>7950</v>
      </c>
      <c r="I496" s="16">
        <f t="shared" si="77"/>
        <v>143914875</v>
      </c>
      <c r="J496" s="17">
        <v>42</v>
      </c>
      <c r="K496" s="34">
        <v>4502284784</v>
      </c>
      <c r="L496" s="19">
        <v>5080826615</v>
      </c>
      <c r="M496" s="20">
        <v>5113157360</v>
      </c>
      <c r="N496" s="23"/>
      <c r="O496" s="9" t="s">
        <v>37</v>
      </c>
      <c r="P496" s="23"/>
      <c r="Q496" s="24" t="s">
        <v>31</v>
      </c>
      <c r="R496" s="25">
        <v>44625</v>
      </c>
      <c r="S496" s="28"/>
      <c r="T496" s="35"/>
      <c r="U496" s="35"/>
      <c r="V496" s="29"/>
      <c r="W496" s="35"/>
      <c r="X496" s="29"/>
      <c r="Y496" s="36"/>
      <c r="Z496" s="29"/>
      <c r="AA496" s="31">
        <f t="shared" si="1"/>
        <v>44625</v>
      </c>
      <c r="AB496" s="32" t="str">
        <f t="shared" si="5"/>
        <v>marzo</v>
      </c>
    </row>
    <row r="497" spans="1:28" ht="12.75">
      <c r="A497" s="9" t="s">
        <v>39</v>
      </c>
      <c r="B497" s="10">
        <v>44627</v>
      </c>
      <c r="C497" s="11">
        <v>44627</v>
      </c>
      <c r="D497" s="53">
        <v>10</v>
      </c>
      <c r="E497" s="13" t="s">
        <v>212</v>
      </c>
      <c r="F497" s="13">
        <v>3025459</v>
      </c>
      <c r="G497" s="37">
        <v>24797.5</v>
      </c>
      <c r="H497" s="33">
        <f>7950-7946.87</f>
        <v>3.1300000000001091</v>
      </c>
      <c r="I497" s="16">
        <f>-H497*G497</f>
        <v>-77616.17500000271</v>
      </c>
      <c r="J497" s="17">
        <v>0</v>
      </c>
      <c r="K497" s="34">
        <v>4502284784</v>
      </c>
      <c r="L497" s="19">
        <v>5080826615</v>
      </c>
      <c r="M497" s="20">
        <v>5113157363</v>
      </c>
      <c r="N497" s="9"/>
      <c r="O497" s="9"/>
      <c r="P497" s="23"/>
      <c r="Q497" s="24" t="s">
        <v>31</v>
      </c>
      <c r="R497" s="25">
        <v>44625</v>
      </c>
      <c r="S497" s="28"/>
      <c r="T497" s="35"/>
      <c r="U497" s="35"/>
      <c r="V497" s="29"/>
      <c r="W497" s="35"/>
      <c r="X497" s="29"/>
      <c r="Y497" s="36"/>
      <c r="Z497" s="29"/>
      <c r="AA497" s="31">
        <f t="shared" si="1"/>
        <v>44625</v>
      </c>
      <c r="AB497" s="32" t="str">
        <f t="shared" si="5"/>
        <v>marzo</v>
      </c>
    </row>
    <row r="498" spans="1:28" ht="12.75">
      <c r="A498" s="9" t="s">
        <v>116</v>
      </c>
      <c r="B498" s="10">
        <v>44610</v>
      </c>
      <c r="C498" s="11"/>
      <c r="D498" s="53">
        <v>10</v>
      </c>
      <c r="E498" s="13" t="s">
        <v>586</v>
      </c>
      <c r="F498" s="13">
        <v>3025461</v>
      </c>
      <c r="G498" s="14">
        <v>108881</v>
      </c>
      <c r="H498" s="15">
        <v>8186.69</v>
      </c>
      <c r="I498" s="16">
        <f t="shared" ref="I498:I501" si="78">H498*G498</f>
        <v>891374993.88999999</v>
      </c>
      <c r="J498" s="17">
        <v>210</v>
      </c>
      <c r="K498" s="34">
        <v>4502274573</v>
      </c>
      <c r="L498" s="19">
        <v>5080589933</v>
      </c>
      <c r="M498" s="20">
        <v>5113116240</v>
      </c>
      <c r="N498" s="23" t="s">
        <v>37</v>
      </c>
      <c r="O498" s="22" t="s">
        <v>738</v>
      </c>
      <c r="P498" s="23"/>
      <c r="Q498" s="24" t="s">
        <v>522</v>
      </c>
      <c r="R498" s="25">
        <v>44624</v>
      </c>
      <c r="S498" s="34">
        <v>4502274573</v>
      </c>
      <c r="T498" s="28">
        <v>15120000</v>
      </c>
      <c r="U498" s="28" t="s">
        <v>739</v>
      </c>
      <c r="V498" s="29" t="s">
        <v>740</v>
      </c>
      <c r="W498" s="28" t="s">
        <v>741</v>
      </c>
      <c r="X498" s="29">
        <v>5113152551</v>
      </c>
      <c r="Y498" s="30" t="s">
        <v>742</v>
      </c>
      <c r="Z498" s="29">
        <v>5113152554</v>
      </c>
      <c r="AA498" s="31">
        <f t="shared" si="1"/>
        <v>44624</v>
      </c>
      <c r="AB498" s="32" t="str">
        <f t="shared" si="5"/>
        <v>marzo</v>
      </c>
    </row>
    <row r="499" spans="1:28" ht="12.75">
      <c r="A499" s="9" t="s">
        <v>58</v>
      </c>
      <c r="B499" s="10">
        <v>44628</v>
      </c>
      <c r="C499" s="11">
        <v>44628</v>
      </c>
      <c r="D499" s="53">
        <v>10</v>
      </c>
      <c r="E499" s="13" t="s">
        <v>743</v>
      </c>
      <c r="F499" s="13">
        <v>3025461</v>
      </c>
      <c r="G499" s="14">
        <v>28900</v>
      </c>
      <c r="H499" s="57">
        <v>8150</v>
      </c>
      <c r="I499" s="16">
        <f t="shared" si="78"/>
        <v>235535000</v>
      </c>
      <c r="J499" s="17">
        <v>56</v>
      </c>
      <c r="K499" s="34">
        <v>4502285541</v>
      </c>
      <c r="L499" s="19">
        <v>5080834104</v>
      </c>
      <c r="M499" s="20">
        <v>5113157364</v>
      </c>
      <c r="N499" s="23"/>
      <c r="O499" s="9" t="s">
        <v>37</v>
      </c>
      <c r="P499" s="23"/>
      <c r="Q499" s="24" t="s">
        <v>522</v>
      </c>
      <c r="R499" s="25">
        <v>44624</v>
      </c>
      <c r="S499" s="28"/>
      <c r="T499" s="35"/>
      <c r="U499" s="35"/>
      <c r="V499" s="29"/>
      <c r="W499" s="35"/>
      <c r="X499" s="29"/>
      <c r="Y499" s="36"/>
      <c r="Z499" s="29"/>
      <c r="AA499" s="31">
        <f t="shared" si="1"/>
        <v>44624</v>
      </c>
      <c r="AB499" s="32" t="str">
        <f t="shared" si="5"/>
        <v>marzo</v>
      </c>
    </row>
    <row r="500" spans="1:28" ht="12.75">
      <c r="A500" s="9" t="s">
        <v>58</v>
      </c>
      <c r="B500" s="10">
        <v>44629</v>
      </c>
      <c r="C500" s="11">
        <v>44629</v>
      </c>
      <c r="D500" s="53">
        <v>10</v>
      </c>
      <c r="E500" s="13" t="s">
        <v>744</v>
      </c>
      <c r="F500" s="13">
        <v>3025457</v>
      </c>
      <c r="G500" s="14">
        <v>27716</v>
      </c>
      <c r="H500" s="33">
        <v>8050</v>
      </c>
      <c r="I500" s="16">
        <f t="shared" si="78"/>
        <v>223113800</v>
      </c>
      <c r="J500" s="17">
        <v>56</v>
      </c>
      <c r="K500" s="34">
        <v>4502283033</v>
      </c>
      <c r="L500" s="19">
        <v>5080826616</v>
      </c>
      <c r="M500" s="20">
        <v>5113157441</v>
      </c>
      <c r="N500" s="23"/>
      <c r="O500" s="9" t="s">
        <v>37</v>
      </c>
      <c r="P500" s="23"/>
      <c r="Q500" s="24" t="s">
        <v>31</v>
      </c>
      <c r="R500" s="25">
        <v>44625</v>
      </c>
      <c r="S500" s="28"/>
      <c r="T500" s="35"/>
      <c r="U500" s="35"/>
      <c r="V500" s="29"/>
      <c r="W500" s="35"/>
      <c r="X500" s="29"/>
      <c r="Y500" s="36"/>
      <c r="Z500" s="29"/>
      <c r="AA500" s="31">
        <f t="shared" si="1"/>
        <v>44625</v>
      </c>
      <c r="AB500" s="32" t="str">
        <f t="shared" si="5"/>
        <v>marzo</v>
      </c>
    </row>
    <row r="501" spans="1:28" ht="12.75">
      <c r="A501" s="9" t="s">
        <v>58</v>
      </c>
      <c r="B501" s="10">
        <v>44629</v>
      </c>
      <c r="C501" s="11">
        <v>44629</v>
      </c>
      <c r="D501" s="53">
        <v>10</v>
      </c>
      <c r="E501" s="13" t="s">
        <v>745</v>
      </c>
      <c r="F501" s="13">
        <v>3025457</v>
      </c>
      <c r="G501" s="14">
        <v>13303</v>
      </c>
      <c r="H501" s="33">
        <v>8050</v>
      </c>
      <c r="I501" s="16">
        <f t="shared" si="78"/>
        <v>107089150</v>
      </c>
      <c r="J501" s="17">
        <v>29</v>
      </c>
      <c r="K501" s="34">
        <v>4502283033</v>
      </c>
      <c r="L501" s="19">
        <v>5080826616</v>
      </c>
      <c r="M501" s="20">
        <v>5113157443</v>
      </c>
      <c r="N501" s="23"/>
      <c r="O501" s="9" t="s">
        <v>37</v>
      </c>
      <c r="P501" s="23"/>
      <c r="Q501" s="24" t="s">
        <v>31</v>
      </c>
      <c r="R501" s="25">
        <v>44625</v>
      </c>
      <c r="S501" s="28"/>
      <c r="T501" s="35"/>
      <c r="U501" s="35"/>
      <c r="V501" s="29"/>
      <c r="W501" s="35"/>
      <c r="X501" s="29"/>
      <c r="Y501" s="36"/>
      <c r="Z501" s="29"/>
      <c r="AA501" s="31">
        <f t="shared" si="1"/>
        <v>44625</v>
      </c>
      <c r="AB501" s="32" t="str">
        <f t="shared" si="5"/>
        <v>marzo</v>
      </c>
    </row>
    <row r="502" spans="1:28" ht="12.75">
      <c r="A502" s="9" t="s">
        <v>58</v>
      </c>
      <c r="B502" s="10">
        <v>44629</v>
      </c>
      <c r="C502" s="11">
        <v>44629</v>
      </c>
      <c r="D502" s="53">
        <v>10</v>
      </c>
      <c r="E502" s="13" t="s">
        <v>746</v>
      </c>
      <c r="F502" s="13">
        <v>3025457</v>
      </c>
      <c r="G502" s="14">
        <v>13303</v>
      </c>
      <c r="H502" s="33">
        <v>100</v>
      </c>
      <c r="I502" s="16">
        <f>-H502*G502</f>
        <v>-1330300</v>
      </c>
      <c r="J502" s="17">
        <v>0</v>
      </c>
      <c r="K502" s="34">
        <v>4502283033</v>
      </c>
      <c r="L502" s="19">
        <v>5080826616</v>
      </c>
      <c r="M502" s="20">
        <v>5113157477</v>
      </c>
      <c r="N502" s="23"/>
      <c r="O502" s="9"/>
      <c r="P502" s="23"/>
      <c r="Q502" s="24" t="s">
        <v>31</v>
      </c>
      <c r="R502" s="25">
        <v>44625</v>
      </c>
      <c r="S502" s="28"/>
      <c r="T502" s="35"/>
      <c r="U502" s="35"/>
      <c r="V502" s="29"/>
      <c r="W502" s="35"/>
      <c r="X502" s="29"/>
      <c r="Y502" s="36"/>
      <c r="Z502" s="29"/>
      <c r="AA502" s="31">
        <f t="shared" si="1"/>
        <v>44625</v>
      </c>
      <c r="AB502" s="32" t="str">
        <f t="shared" si="5"/>
        <v>marzo</v>
      </c>
    </row>
    <row r="503" spans="1:28" ht="12.75">
      <c r="A503" s="9" t="s">
        <v>125</v>
      </c>
      <c r="B503" s="10">
        <v>44624</v>
      </c>
      <c r="C503" s="11"/>
      <c r="D503" s="53">
        <v>10</v>
      </c>
      <c r="E503" s="13" t="s">
        <v>733</v>
      </c>
      <c r="F503" s="13">
        <v>3025460</v>
      </c>
      <c r="G503" s="14">
        <v>7213</v>
      </c>
      <c r="H503" s="33">
        <v>7850</v>
      </c>
      <c r="I503" s="16">
        <f>H503*G503</f>
        <v>56622050</v>
      </c>
      <c r="J503" s="17">
        <v>14</v>
      </c>
      <c r="K503" s="34">
        <v>4502283034</v>
      </c>
      <c r="L503" s="19">
        <v>5080826617</v>
      </c>
      <c r="M503" s="20">
        <v>5113157591</v>
      </c>
      <c r="N503" s="21"/>
      <c r="O503" s="9" t="s">
        <v>63</v>
      </c>
      <c r="P503" s="23"/>
      <c r="Q503" s="24" t="s">
        <v>31</v>
      </c>
      <c r="R503" s="25">
        <v>44625</v>
      </c>
      <c r="S503" s="28"/>
      <c r="T503" s="35"/>
      <c r="U503" s="35"/>
      <c r="V503" s="29"/>
      <c r="W503" s="35"/>
      <c r="X503" s="29"/>
      <c r="Y503" s="36"/>
      <c r="Z503" s="29"/>
      <c r="AA503" s="31">
        <f t="shared" si="1"/>
        <v>44625</v>
      </c>
      <c r="AB503" s="32" t="str">
        <f t="shared" si="5"/>
        <v>marzo</v>
      </c>
    </row>
    <row r="504" spans="1:28" ht="12.75">
      <c r="A504" s="9" t="s">
        <v>125</v>
      </c>
      <c r="B504" s="10">
        <v>44628</v>
      </c>
      <c r="C504" s="11">
        <v>44630</v>
      </c>
      <c r="D504" s="53">
        <v>10</v>
      </c>
      <c r="E504" s="13" t="s">
        <v>295</v>
      </c>
      <c r="F504" s="13">
        <v>3025460</v>
      </c>
      <c r="G504" s="14">
        <v>7213</v>
      </c>
      <c r="H504" s="33">
        <f>7850-7841.65</f>
        <v>8.3500000000003638</v>
      </c>
      <c r="I504" s="16">
        <f>-H504*G504</f>
        <v>-60228.550000002622</v>
      </c>
      <c r="J504" s="17">
        <v>0</v>
      </c>
      <c r="K504" s="34">
        <v>4502283034</v>
      </c>
      <c r="L504" s="19">
        <v>5080826617</v>
      </c>
      <c r="M504" s="20">
        <v>5113157595</v>
      </c>
      <c r="N504" s="21"/>
      <c r="O504" s="9"/>
      <c r="P504" s="23" t="s">
        <v>734</v>
      </c>
      <c r="Q504" s="24" t="s">
        <v>31</v>
      </c>
      <c r="R504" s="25">
        <v>44625</v>
      </c>
      <c r="S504" s="28"/>
      <c r="T504" s="35"/>
      <c r="U504" s="35"/>
      <c r="V504" s="29"/>
      <c r="W504" s="35"/>
      <c r="X504" s="29"/>
      <c r="Y504" s="36"/>
      <c r="Z504" s="29"/>
      <c r="AA504" s="31">
        <f t="shared" si="1"/>
        <v>44625</v>
      </c>
      <c r="AB504" s="32" t="str">
        <f t="shared" si="5"/>
        <v>marzo</v>
      </c>
    </row>
    <row r="505" spans="1:28" ht="12.75">
      <c r="A505" s="9" t="s">
        <v>58</v>
      </c>
      <c r="B505" s="10">
        <v>44629</v>
      </c>
      <c r="C505" s="11">
        <v>44629</v>
      </c>
      <c r="D505" s="53">
        <v>10</v>
      </c>
      <c r="E505" s="13" t="s">
        <v>747</v>
      </c>
      <c r="F505" s="13">
        <v>3025460</v>
      </c>
      <c r="G505" s="14">
        <v>25427</v>
      </c>
      <c r="H505" s="33">
        <v>8050</v>
      </c>
      <c r="I505" s="16">
        <f>H505*G505</f>
        <v>204687350</v>
      </c>
      <c r="J505" s="17">
        <v>59</v>
      </c>
      <c r="K505" s="34">
        <v>4502283035</v>
      </c>
      <c r="L505" s="19">
        <v>5080826808</v>
      </c>
      <c r="M505" s="20">
        <v>5113157480</v>
      </c>
      <c r="N505" s="23"/>
      <c r="O505" s="9" t="s">
        <v>37</v>
      </c>
      <c r="P505" s="23"/>
      <c r="Q505" s="24" t="s">
        <v>31</v>
      </c>
      <c r="R505" s="25">
        <v>44625</v>
      </c>
      <c r="S505" s="28"/>
      <c r="T505" s="35"/>
      <c r="U505" s="35"/>
      <c r="V505" s="29"/>
      <c r="W505" s="35"/>
      <c r="X505" s="29"/>
      <c r="Y505" s="36"/>
      <c r="Z505" s="29"/>
      <c r="AA505" s="31">
        <f t="shared" si="1"/>
        <v>44625</v>
      </c>
      <c r="AB505" s="32" t="str">
        <f t="shared" si="5"/>
        <v>marzo</v>
      </c>
    </row>
    <row r="506" spans="1:28" ht="12.75">
      <c r="A506" s="9" t="s">
        <v>58</v>
      </c>
      <c r="B506" s="10">
        <v>44629</v>
      </c>
      <c r="C506" s="11">
        <v>44629</v>
      </c>
      <c r="D506" s="76">
        <v>10</v>
      </c>
      <c r="E506" s="61" t="s">
        <v>748</v>
      </c>
      <c r="F506" s="13">
        <v>3025460</v>
      </c>
      <c r="G506" s="14">
        <v>25427</v>
      </c>
      <c r="H506" s="63">
        <f>8050-8036.39</f>
        <v>13.609999999999673</v>
      </c>
      <c r="I506" s="77">
        <f>-H506*G506</f>
        <v>-346061.46999999165</v>
      </c>
      <c r="J506" s="78">
        <v>0</v>
      </c>
      <c r="K506" s="66">
        <v>4502283035</v>
      </c>
      <c r="L506" s="61">
        <v>5080826808</v>
      </c>
      <c r="M506" s="20">
        <v>5113157481</v>
      </c>
      <c r="N506" s="23"/>
      <c r="O506" s="68"/>
      <c r="P506" s="68"/>
      <c r="Q506" s="24" t="s">
        <v>31</v>
      </c>
      <c r="R506" s="25">
        <v>44625</v>
      </c>
      <c r="S506" s="75"/>
      <c r="T506" s="69"/>
      <c r="U506" s="70"/>
      <c r="V506" s="68"/>
      <c r="W506" s="70"/>
      <c r="X506" s="68"/>
      <c r="Y506" s="71"/>
      <c r="Z506" s="68"/>
      <c r="AA506" s="72">
        <f t="shared" si="1"/>
        <v>44625</v>
      </c>
      <c r="AB506" s="32" t="str">
        <f t="shared" si="5"/>
        <v>marzo</v>
      </c>
    </row>
    <row r="507" spans="1:28" ht="12.75">
      <c r="A507" s="9" t="s">
        <v>58</v>
      </c>
      <c r="B507" s="10">
        <v>44629</v>
      </c>
      <c r="C507" s="11">
        <v>44629</v>
      </c>
      <c r="D507" s="53">
        <v>10</v>
      </c>
      <c r="E507" s="13" t="s">
        <v>749</v>
      </c>
      <c r="F507" s="13">
        <v>3025460</v>
      </c>
      <c r="G507" s="14">
        <v>19987</v>
      </c>
      <c r="H507" s="33">
        <v>8050</v>
      </c>
      <c r="I507" s="16">
        <f>H507*G507</f>
        <v>160895350</v>
      </c>
      <c r="J507" s="17">
        <v>44</v>
      </c>
      <c r="K507" s="34">
        <v>4502283035</v>
      </c>
      <c r="L507" s="19">
        <v>5080826808</v>
      </c>
      <c r="M507" s="20">
        <v>5113157483</v>
      </c>
      <c r="N507" s="23"/>
      <c r="O507" s="9" t="s">
        <v>37</v>
      </c>
      <c r="P507" s="23"/>
      <c r="Q507" s="24" t="s">
        <v>31</v>
      </c>
      <c r="R507" s="25">
        <v>44625</v>
      </c>
      <c r="S507" s="28"/>
      <c r="T507" s="35"/>
      <c r="U507" s="35"/>
      <c r="V507" s="29"/>
      <c r="W507" s="35"/>
      <c r="X507" s="29"/>
      <c r="Y507" s="36"/>
      <c r="Z507" s="29"/>
      <c r="AA507" s="31">
        <f t="shared" si="1"/>
        <v>44625</v>
      </c>
      <c r="AB507" s="32" t="str">
        <f t="shared" si="5"/>
        <v>marzo</v>
      </c>
    </row>
    <row r="508" spans="1:28" ht="12.75">
      <c r="A508" s="9" t="s">
        <v>58</v>
      </c>
      <c r="B508" s="10">
        <v>44629</v>
      </c>
      <c r="C508" s="11">
        <v>44629</v>
      </c>
      <c r="D508" s="53">
        <v>10</v>
      </c>
      <c r="E508" s="13" t="s">
        <v>750</v>
      </c>
      <c r="F508" s="13">
        <v>3025460</v>
      </c>
      <c r="G508" s="14">
        <v>19987</v>
      </c>
      <c r="H508" s="33">
        <f>8050-7948.08</f>
        <v>101.92000000000007</v>
      </c>
      <c r="I508" s="16">
        <f>-H508*G508</f>
        <v>-2037075.0400000014</v>
      </c>
      <c r="J508" s="17">
        <v>0</v>
      </c>
      <c r="K508" s="34">
        <v>4502283035</v>
      </c>
      <c r="L508" s="19">
        <v>5080826808</v>
      </c>
      <c r="M508" s="20">
        <v>5113157485</v>
      </c>
      <c r="N508" s="23"/>
      <c r="O508" s="9"/>
      <c r="P508" s="23"/>
      <c r="Q508" s="24" t="s">
        <v>31</v>
      </c>
      <c r="R508" s="25">
        <v>44625</v>
      </c>
      <c r="S508" s="28"/>
      <c r="T508" s="35"/>
      <c r="U508" s="35"/>
      <c r="V508" s="29"/>
      <c r="W508" s="35"/>
      <c r="X508" s="29"/>
      <c r="Y508" s="36"/>
      <c r="Z508" s="29"/>
      <c r="AA508" s="31">
        <f t="shared" si="1"/>
        <v>44625</v>
      </c>
      <c r="AB508" s="32" t="str">
        <f t="shared" si="5"/>
        <v>marzo</v>
      </c>
    </row>
    <row r="509" spans="1:28" ht="12.75">
      <c r="A509" s="9" t="s">
        <v>58</v>
      </c>
      <c r="B509" s="10">
        <v>44629</v>
      </c>
      <c r="C509" s="11">
        <v>44629</v>
      </c>
      <c r="D509" s="53">
        <v>10</v>
      </c>
      <c r="E509" s="13" t="s">
        <v>751</v>
      </c>
      <c r="F509" s="13">
        <v>3025460</v>
      </c>
      <c r="G509" s="37">
        <v>6914.5</v>
      </c>
      <c r="H509" s="33">
        <v>8050</v>
      </c>
      <c r="I509" s="16">
        <f t="shared" ref="I509:I511" si="79">H509*G509</f>
        <v>55661725</v>
      </c>
      <c r="J509" s="17">
        <v>15</v>
      </c>
      <c r="K509" s="34">
        <v>4502283035</v>
      </c>
      <c r="L509" s="19">
        <v>5080826808</v>
      </c>
      <c r="M509" s="20">
        <v>5113157517</v>
      </c>
      <c r="N509" s="23"/>
      <c r="O509" s="9" t="s">
        <v>37</v>
      </c>
      <c r="P509" s="23"/>
      <c r="Q509" s="24" t="s">
        <v>31</v>
      </c>
      <c r="R509" s="25">
        <v>44625</v>
      </c>
      <c r="S509" s="28"/>
      <c r="T509" s="35"/>
      <c r="U509" s="35"/>
      <c r="V509" s="29"/>
      <c r="W509" s="35"/>
      <c r="X509" s="29"/>
      <c r="Y509" s="36"/>
      <c r="Z509" s="29"/>
      <c r="AA509" s="31">
        <f t="shared" si="1"/>
        <v>44625</v>
      </c>
      <c r="AB509" s="32" t="str">
        <f t="shared" si="5"/>
        <v>marzo</v>
      </c>
    </row>
    <row r="510" spans="1:28" ht="12.75">
      <c r="A510" s="9" t="s">
        <v>111</v>
      </c>
      <c r="B510" s="10">
        <v>44625</v>
      </c>
      <c r="C510" s="11">
        <v>44628</v>
      </c>
      <c r="D510" s="53">
        <v>10</v>
      </c>
      <c r="E510" s="79" t="s">
        <v>752</v>
      </c>
      <c r="F510" s="13">
        <v>3025460</v>
      </c>
      <c r="G510" s="37">
        <v>13414.5</v>
      </c>
      <c r="H510" s="33">
        <v>7650</v>
      </c>
      <c r="I510" s="16">
        <f t="shared" si="79"/>
        <v>102620925</v>
      </c>
      <c r="J510" s="17">
        <v>28</v>
      </c>
      <c r="K510" s="34">
        <v>4502283036</v>
      </c>
      <c r="L510" s="19">
        <v>5080826809</v>
      </c>
      <c r="M510" s="20">
        <v>5113154529</v>
      </c>
      <c r="N510" s="23"/>
      <c r="O510" s="9" t="s">
        <v>37</v>
      </c>
      <c r="P510" s="23"/>
      <c r="Q510" s="24" t="s">
        <v>31</v>
      </c>
      <c r="R510" s="25">
        <v>44625</v>
      </c>
      <c r="S510" s="28"/>
      <c r="T510" s="35"/>
      <c r="U510" s="35"/>
      <c r="V510" s="29"/>
      <c r="W510" s="35"/>
      <c r="X510" s="29"/>
      <c r="Y510" s="36"/>
      <c r="Z510" s="29"/>
      <c r="AA510" s="31">
        <f t="shared" si="1"/>
        <v>44625</v>
      </c>
      <c r="AB510" s="32" t="str">
        <f t="shared" si="5"/>
        <v>marzo</v>
      </c>
    </row>
    <row r="511" spans="1:28" ht="12.75">
      <c r="A511" s="22" t="s">
        <v>428</v>
      </c>
      <c r="B511" s="10">
        <v>44626</v>
      </c>
      <c r="C511" s="11">
        <v>44628</v>
      </c>
      <c r="D511" s="53">
        <v>10</v>
      </c>
      <c r="E511" s="80" t="s">
        <v>753</v>
      </c>
      <c r="F511" s="13">
        <v>3025457</v>
      </c>
      <c r="G511" s="14">
        <v>69874</v>
      </c>
      <c r="H511" s="33">
        <v>7900</v>
      </c>
      <c r="I511" s="16">
        <f t="shared" si="79"/>
        <v>552004600</v>
      </c>
      <c r="J511" s="17">
        <v>135</v>
      </c>
      <c r="K511" s="34">
        <v>4502283038</v>
      </c>
      <c r="L511" s="19">
        <v>5080835332</v>
      </c>
      <c r="M511" s="20">
        <v>5113153689</v>
      </c>
      <c r="N511" s="9"/>
      <c r="O511" s="9" t="s">
        <v>63</v>
      </c>
      <c r="P511" s="23"/>
      <c r="Q511" s="24" t="s">
        <v>31</v>
      </c>
      <c r="R511" s="25">
        <v>44626</v>
      </c>
      <c r="S511" s="28"/>
      <c r="T511" s="35"/>
      <c r="U511" s="35"/>
      <c r="V511" s="29"/>
      <c r="W511" s="35"/>
      <c r="X511" s="29"/>
      <c r="Y511" s="36"/>
      <c r="Z511" s="29"/>
      <c r="AA511" s="31">
        <f t="shared" si="1"/>
        <v>44626</v>
      </c>
      <c r="AB511" s="32" t="str">
        <f t="shared" si="5"/>
        <v>marzo</v>
      </c>
    </row>
    <row r="512" spans="1:28" ht="12.75">
      <c r="A512" s="22" t="s">
        <v>428</v>
      </c>
      <c r="B512" s="10">
        <v>44626</v>
      </c>
      <c r="C512" s="11">
        <v>44628</v>
      </c>
      <c r="D512" s="53">
        <v>10</v>
      </c>
      <c r="E512" s="13" t="s">
        <v>300</v>
      </c>
      <c r="F512" s="13">
        <v>3025457</v>
      </c>
      <c r="G512" s="14">
        <v>69874</v>
      </c>
      <c r="H512" s="33">
        <f>7900-7887.85</f>
        <v>12.149999999999636</v>
      </c>
      <c r="I512" s="16">
        <f>-H512*G512</f>
        <v>-848969.0999999746</v>
      </c>
      <c r="J512" s="17">
        <v>0</v>
      </c>
      <c r="K512" s="34">
        <v>4502283038</v>
      </c>
      <c r="L512" s="19">
        <v>5080835332</v>
      </c>
      <c r="M512" s="20">
        <v>5113153692</v>
      </c>
      <c r="N512" s="9"/>
      <c r="O512" s="9"/>
      <c r="P512" s="23"/>
      <c r="Q512" s="24" t="s">
        <v>31</v>
      </c>
      <c r="R512" s="25">
        <v>44626</v>
      </c>
      <c r="S512" s="28"/>
      <c r="T512" s="35"/>
      <c r="U512" s="35"/>
      <c r="V512" s="29"/>
      <c r="W512" s="35"/>
      <c r="X512" s="29"/>
      <c r="Y512" s="36"/>
      <c r="Z512" s="29"/>
      <c r="AA512" s="31">
        <f t="shared" si="1"/>
        <v>44626</v>
      </c>
      <c r="AB512" s="32" t="str">
        <f t="shared" si="5"/>
        <v>marzo</v>
      </c>
    </row>
    <row r="513" spans="1:28" ht="12.75">
      <c r="A513" s="9" t="s">
        <v>404</v>
      </c>
      <c r="B513" s="10">
        <v>44628</v>
      </c>
      <c r="C513" s="11">
        <v>44628</v>
      </c>
      <c r="D513" s="53">
        <v>10</v>
      </c>
      <c r="E513" s="13" t="s">
        <v>754</v>
      </c>
      <c r="F513" s="13">
        <v>3025459</v>
      </c>
      <c r="G513" s="14">
        <v>6661</v>
      </c>
      <c r="H513" s="33">
        <v>7950</v>
      </c>
      <c r="I513" s="16">
        <f>H513*G513</f>
        <v>52954950</v>
      </c>
      <c r="J513" s="17">
        <v>15</v>
      </c>
      <c r="K513" s="34">
        <v>4502283039</v>
      </c>
      <c r="L513" s="19">
        <v>5080834698</v>
      </c>
      <c r="M513" s="20">
        <v>5113157368</v>
      </c>
      <c r="N513" s="9"/>
      <c r="O513" s="9" t="s">
        <v>37</v>
      </c>
      <c r="P513" s="23" t="s">
        <v>755</v>
      </c>
      <c r="Q513" s="24" t="s">
        <v>31</v>
      </c>
      <c r="R513" s="25">
        <v>44626</v>
      </c>
      <c r="S513" s="28"/>
      <c r="T513" s="35"/>
      <c r="U513" s="35"/>
      <c r="V513" s="29"/>
      <c r="W513" s="35"/>
      <c r="X513" s="29"/>
      <c r="Y513" s="36"/>
      <c r="Z513" s="29"/>
      <c r="AA513" s="31">
        <f t="shared" si="1"/>
        <v>44626</v>
      </c>
      <c r="AB513" s="32" t="str">
        <f t="shared" si="5"/>
        <v>marzo</v>
      </c>
    </row>
    <row r="514" spans="1:28" ht="12.75">
      <c r="A514" s="9" t="s">
        <v>404</v>
      </c>
      <c r="B514" s="10">
        <v>44628</v>
      </c>
      <c r="C514" s="11">
        <v>44628</v>
      </c>
      <c r="D514" s="53">
        <v>10</v>
      </c>
      <c r="E514" s="13" t="s">
        <v>756</v>
      </c>
      <c r="F514" s="13">
        <v>3025459</v>
      </c>
      <c r="G514" s="14">
        <v>6661</v>
      </c>
      <c r="H514" s="33">
        <v>100</v>
      </c>
      <c r="I514" s="16">
        <f>-H514*G514</f>
        <v>-666100</v>
      </c>
      <c r="J514" s="17">
        <v>0</v>
      </c>
      <c r="K514" s="34">
        <v>4502283039</v>
      </c>
      <c r="L514" s="19">
        <v>5080834698</v>
      </c>
      <c r="M514" s="20">
        <v>5113157370</v>
      </c>
      <c r="N514" s="9"/>
      <c r="O514" s="9"/>
      <c r="P514" s="23"/>
      <c r="Q514" s="24" t="s">
        <v>31</v>
      </c>
      <c r="R514" s="25">
        <v>44626</v>
      </c>
      <c r="S514" s="28"/>
      <c r="T514" s="35"/>
      <c r="U514" s="35"/>
      <c r="V514" s="29"/>
      <c r="W514" s="35"/>
      <c r="X514" s="29"/>
      <c r="Y514" s="36"/>
      <c r="Z514" s="29"/>
      <c r="AA514" s="31">
        <f t="shared" si="1"/>
        <v>44626</v>
      </c>
      <c r="AB514" s="32" t="str">
        <f t="shared" si="5"/>
        <v>marzo</v>
      </c>
    </row>
    <row r="515" spans="1:28" ht="12.75">
      <c r="A515" s="9" t="s">
        <v>274</v>
      </c>
      <c r="B515" s="10">
        <v>44629</v>
      </c>
      <c r="C515" s="11">
        <v>44629</v>
      </c>
      <c r="D515" s="53">
        <v>10</v>
      </c>
      <c r="E515" s="13" t="s">
        <v>757</v>
      </c>
      <c r="F515" s="13">
        <v>3025459</v>
      </c>
      <c r="G515" s="14">
        <v>7048</v>
      </c>
      <c r="H515" s="33">
        <v>7900</v>
      </c>
      <c r="I515" s="16">
        <f>H515*G515</f>
        <v>55679200</v>
      </c>
      <c r="J515" s="17">
        <v>15</v>
      </c>
      <c r="K515" s="34">
        <v>4502283040</v>
      </c>
      <c r="L515" s="19">
        <v>5080835335</v>
      </c>
      <c r="M515" s="20">
        <v>5113155749</v>
      </c>
      <c r="N515" s="23"/>
      <c r="O515" s="9" t="s">
        <v>63</v>
      </c>
      <c r="P515" s="23"/>
      <c r="Q515" s="24" t="s">
        <v>31</v>
      </c>
      <c r="R515" s="25">
        <v>44626</v>
      </c>
      <c r="S515" s="28"/>
      <c r="T515" s="35"/>
      <c r="U515" s="35"/>
      <c r="V515" s="29"/>
      <c r="W515" s="35"/>
      <c r="X515" s="29"/>
      <c r="Y515" s="36"/>
      <c r="Z515" s="29"/>
      <c r="AA515" s="31">
        <f t="shared" si="1"/>
        <v>44626</v>
      </c>
      <c r="AB515" s="32" t="str">
        <f t="shared" si="5"/>
        <v>marzo</v>
      </c>
    </row>
    <row r="516" spans="1:28" ht="12.75">
      <c r="A516" s="9" t="s">
        <v>274</v>
      </c>
      <c r="B516" s="10">
        <v>44629</v>
      </c>
      <c r="C516" s="11">
        <v>44629</v>
      </c>
      <c r="D516" s="53">
        <v>10</v>
      </c>
      <c r="E516" s="13" t="s">
        <v>244</v>
      </c>
      <c r="F516" s="13">
        <v>3025459</v>
      </c>
      <c r="G516" s="14">
        <v>7048</v>
      </c>
      <c r="H516" s="33">
        <f>7900-7894.49</f>
        <v>5.5100000000002183</v>
      </c>
      <c r="I516" s="16">
        <f>-H516*G516</f>
        <v>-38834.480000001538</v>
      </c>
      <c r="J516" s="17">
        <v>0</v>
      </c>
      <c r="K516" s="34">
        <v>4502283040</v>
      </c>
      <c r="L516" s="19">
        <v>5080835335</v>
      </c>
      <c r="M516" s="20">
        <v>5113155751</v>
      </c>
      <c r="N516" s="23"/>
      <c r="O516" s="9"/>
      <c r="P516" s="23"/>
      <c r="Q516" s="24" t="s">
        <v>31</v>
      </c>
      <c r="R516" s="25">
        <v>44626</v>
      </c>
      <c r="S516" s="28"/>
      <c r="T516" s="35"/>
      <c r="U516" s="35"/>
      <c r="V516" s="29"/>
      <c r="W516" s="35"/>
      <c r="X516" s="29"/>
      <c r="Y516" s="36"/>
      <c r="Z516" s="29"/>
      <c r="AA516" s="31">
        <f t="shared" si="1"/>
        <v>44626</v>
      </c>
      <c r="AB516" s="32" t="str">
        <f t="shared" si="5"/>
        <v>marzo</v>
      </c>
    </row>
    <row r="517" spans="1:28" ht="12.75">
      <c r="A517" s="22" t="s">
        <v>758</v>
      </c>
      <c r="B517" s="10">
        <v>44629</v>
      </c>
      <c r="C517" s="11">
        <v>44629</v>
      </c>
      <c r="D517" s="53">
        <v>10</v>
      </c>
      <c r="E517" s="13" t="s">
        <v>759</v>
      </c>
      <c r="F517" s="13">
        <v>3025459</v>
      </c>
      <c r="G517" s="37">
        <v>12574.5</v>
      </c>
      <c r="H517" s="33">
        <v>8000</v>
      </c>
      <c r="I517" s="16">
        <f t="shared" ref="I517:I522" si="80">H517*G517</f>
        <v>100596000</v>
      </c>
      <c r="J517" s="17">
        <v>28</v>
      </c>
      <c r="K517" s="34">
        <v>4502283041</v>
      </c>
      <c r="L517" s="19">
        <v>5080834699</v>
      </c>
      <c r="M517" s="20">
        <v>5113157035</v>
      </c>
      <c r="N517" s="23"/>
      <c r="O517" s="9"/>
      <c r="P517" s="23"/>
      <c r="Q517" s="24" t="s">
        <v>31</v>
      </c>
      <c r="R517" s="25">
        <v>44626</v>
      </c>
      <c r="S517" s="28"/>
      <c r="T517" s="35"/>
      <c r="U517" s="35"/>
      <c r="V517" s="29"/>
      <c r="W517" s="35"/>
      <c r="X517" s="29"/>
      <c r="Y517" s="36"/>
      <c r="Z517" s="29"/>
      <c r="AA517" s="31">
        <f t="shared" si="1"/>
        <v>44626</v>
      </c>
      <c r="AB517" s="32" t="str">
        <f t="shared" si="5"/>
        <v>marzo</v>
      </c>
    </row>
    <row r="518" spans="1:28" ht="12.75">
      <c r="A518" s="9" t="s">
        <v>80</v>
      </c>
      <c r="B518" s="10">
        <v>44627</v>
      </c>
      <c r="C518" s="11">
        <v>44627</v>
      </c>
      <c r="D518" s="53">
        <v>10</v>
      </c>
      <c r="E518" s="13" t="s">
        <v>760</v>
      </c>
      <c r="F518" s="13">
        <v>3025457</v>
      </c>
      <c r="G518" s="37">
        <v>19176.5</v>
      </c>
      <c r="H518" s="15">
        <v>7500</v>
      </c>
      <c r="I518" s="16">
        <f t="shared" si="80"/>
        <v>143823750</v>
      </c>
      <c r="J518" s="17">
        <v>42</v>
      </c>
      <c r="K518" s="34">
        <v>4502286035</v>
      </c>
      <c r="L518" s="19">
        <v>5080840143</v>
      </c>
      <c r="M518" s="20">
        <v>5113161228</v>
      </c>
      <c r="N518" s="23" t="s">
        <v>37</v>
      </c>
      <c r="O518" s="22" t="s">
        <v>272</v>
      </c>
      <c r="P518" s="23" t="s">
        <v>761</v>
      </c>
      <c r="Q518" s="24" t="s">
        <v>31</v>
      </c>
      <c r="R518" s="25">
        <v>44627</v>
      </c>
      <c r="S518" s="28">
        <v>4902223860</v>
      </c>
      <c r="T518" s="35">
        <f>1793900*3</f>
        <v>5381700</v>
      </c>
      <c r="U518" s="28" t="s">
        <v>762</v>
      </c>
      <c r="V518" s="29">
        <v>5113154541</v>
      </c>
      <c r="W518" s="35"/>
      <c r="X518" s="29"/>
      <c r="Y518" s="36"/>
      <c r="Z518" s="29"/>
      <c r="AA518" s="31">
        <f t="shared" si="1"/>
        <v>44627</v>
      </c>
      <c r="AB518" s="32" t="str">
        <f t="shared" si="5"/>
        <v>marzo</v>
      </c>
    </row>
    <row r="519" spans="1:28" ht="12.75">
      <c r="A519" s="9" t="s">
        <v>80</v>
      </c>
      <c r="B519" s="10">
        <v>44627</v>
      </c>
      <c r="C519" s="11">
        <v>44627</v>
      </c>
      <c r="D519" s="53">
        <v>10</v>
      </c>
      <c r="E519" s="13" t="s">
        <v>760</v>
      </c>
      <c r="F519" s="13">
        <v>3025459</v>
      </c>
      <c r="G519" s="37">
        <v>19176.5</v>
      </c>
      <c r="H519" s="15">
        <v>7500</v>
      </c>
      <c r="I519" s="16">
        <f t="shared" si="80"/>
        <v>143823750</v>
      </c>
      <c r="J519" s="17">
        <v>42</v>
      </c>
      <c r="K519" s="34">
        <v>4502286035</v>
      </c>
      <c r="L519" s="19">
        <v>5080840143</v>
      </c>
      <c r="M519" s="20">
        <v>5113161228</v>
      </c>
      <c r="N519" s="44"/>
      <c r="O519" s="22" t="s">
        <v>763</v>
      </c>
      <c r="P519" s="23"/>
      <c r="Q519" s="24" t="s">
        <v>31</v>
      </c>
      <c r="R519" s="25">
        <v>44627</v>
      </c>
      <c r="S519" s="28">
        <v>4902223863</v>
      </c>
      <c r="T519" s="28">
        <v>4200000</v>
      </c>
      <c r="U519" s="28" t="s">
        <v>764</v>
      </c>
      <c r="V519" s="29">
        <v>5113159646</v>
      </c>
      <c r="W519" s="35"/>
      <c r="X519" s="29"/>
      <c r="Y519" s="36"/>
      <c r="Z519" s="29"/>
      <c r="AA519" s="31">
        <f t="shared" si="1"/>
        <v>44627</v>
      </c>
      <c r="AB519" s="32" t="str">
        <f t="shared" si="5"/>
        <v>marzo</v>
      </c>
    </row>
    <row r="520" spans="1:28" ht="12.75">
      <c r="A520" s="9" t="s">
        <v>567</v>
      </c>
      <c r="B520" s="10">
        <v>44627</v>
      </c>
      <c r="C520" s="11"/>
      <c r="D520" s="53">
        <v>10</v>
      </c>
      <c r="E520" s="13" t="s">
        <v>765</v>
      </c>
      <c r="F520" s="13">
        <v>3025457</v>
      </c>
      <c r="G520" s="37">
        <v>42673.5</v>
      </c>
      <c r="H520" s="33">
        <v>7700</v>
      </c>
      <c r="I520" s="16">
        <f t="shared" si="80"/>
        <v>328585950</v>
      </c>
      <c r="J520" s="17">
        <v>90</v>
      </c>
      <c r="K520" s="34">
        <v>4502283042</v>
      </c>
      <c r="L520" s="19">
        <v>5080841130</v>
      </c>
      <c r="M520" s="20">
        <v>5113161175</v>
      </c>
      <c r="N520" s="23"/>
      <c r="O520" s="9" t="s">
        <v>63</v>
      </c>
      <c r="P520" s="23" t="s">
        <v>766</v>
      </c>
      <c r="Q520" s="24" t="s">
        <v>31</v>
      </c>
      <c r="R520" s="25">
        <v>44627</v>
      </c>
      <c r="S520" s="28"/>
      <c r="T520" s="35"/>
      <c r="U520" s="35"/>
      <c r="V520" s="29"/>
      <c r="W520" s="35"/>
      <c r="X520" s="29"/>
      <c r="Y520" s="36"/>
      <c r="Z520" s="29"/>
      <c r="AA520" s="31">
        <f t="shared" si="1"/>
        <v>44627</v>
      </c>
      <c r="AB520" s="32" t="str">
        <f t="shared" si="5"/>
        <v>marzo</v>
      </c>
    </row>
    <row r="521" spans="1:28" ht="12.75">
      <c r="A521" s="9" t="s">
        <v>567</v>
      </c>
      <c r="B521" s="10">
        <v>44627</v>
      </c>
      <c r="C521" s="11"/>
      <c r="D521" s="53">
        <v>10</v>
      </c>
      <c r="E521" s="13" t="s">
        <v>767</v>
      </c>
      <c r="F521" s="13">
        <v>3025457</v>
      </c>
      <c r="G521" s="37">
        <v>42673.5</v>
      </c>
      <c r="H521" s="33">
        <v>50</v>
      </c>
      <c r="I521" s="16">
        <f t="shared" si="80"/>
        <v>2133675</v>
      </c>
      <c r="J521" s="17">
        <v>0</v>
      </c>
      <c r="K521" s="34">
        <v>4502283042</v>
      </c>
      <c r="L521" s="19">
        <v>5080841130</v>
      </c>
      <c r="M521" s="20">
        <v>5113161176</v>
      </c>
      <c r="N521" s="23"/>
      <c r="O521" s="9"/>
      <c r="P521" s="23"/>
      <c r="Q521" s="24" t="s">
        <v>31</v>
      </c>
      <c r="R521" s="25">
        <v>44627</v>
      </c>
      <c r="S521" s="28"/>
      <c r="T521" s="35"/>
      <c r="U521" s="35"/>
      <c r="V521" s="29"/>
      <c r="W521" s="35"/>
      <c r="X521" s="29"/>
      <c r="Y521" s="36"/>
      <c r="Z521" s="29"/>
      <c r="AA521" s="31">
        <f t="shared" si="1"/>
        <v>44627</v>
      </c>
      <c r="AB521" s="32" t="str">
        <f t="shared" si="5"/>
        <v>marzo</v>
      </c>
    </row>
    <row r="522" spans="1:28" ht="12.75">
      <c r="A522" s="9" t="s">
        <v>331</v>
      </c>
      <c r="B522" s="10">
        <v>44635</v>
      </c>
      <c r="C522" s="11"/>
      <c r="D522" s="53">
        <v>10</v>
      </c>
      <c r="E522" s="13" t="s">
        <v>768</v>
      </c>
      <c r="F522" s="13">
        <v>3025457</v>
      </c>
      <c r="G522" s="37">
        <v>6776.5</v>
      </c>
      <c r="H522" s="33">
        <v>7550</v>
      </c>
      <c r="I522" s="16">
        <f t="shared" si="80"/>
        <v>51162575</v>
      </c>
      <c r="J522" s="17">
        <v>15</v>
      </c>
      <c r="K522" s="34">
        <v>4502283043</v>
      </c>
      <c r="L522" s="19">
        <v>5080840608</v>
      </c>
      <c r="M522" s="20">
        <v>5113173276</v>
      </c>
      <c r="N522" s="23"/>
      <c r="O522" s="9" t="s">
        <v>63</v>
      </c>
      <c r="P522" s="23" t="s">
        <v>769</v>
      </c>
      <c r="Q522" s="24" t="s">
        <v>31</v>
      </c>
      <c r="R522" s="25">
        <v>44627</v>
      </c>
      <c r="S522" s="28"/>
      <c r="T522" s="35"/>
      <c r="U522" s="35"/>
      <c r="V522" s="29"/>
      <c r="W522" s="35"/>
      <c r="X522" s="29"/>
      <c r="Y522" s="36"/>
      <c r="Z522" s="29"/>
      <c r="AA522" s="31">
        <f t="shared" si="1"/>
        <v>44627</v>
      </c>
      <c r="AB522" s="32" t="str">
        <f t="shared" si="5"/>
        <v>marzo</v>
      </c>
    </row>
    <row r="523" spans="1:28" ht="12.75">
      <c r="A523" s="9" t="s">
        <v>331</v>
      </c>
      <c r="B523" s="10">
        <v>44635</v>
      </c>
      <c r="C523" s="11">
        <v>44637</v>
      </c>
      <c r="D523" s="53">
        <v>10</v>
      </c>
      <c r="E523" s="13" t="s">
        <v>770</v>
      </c>
      <c r="F523" s="13">
        <v>3025457</v>
      </c>
      <c r="G523" s="37">
        <v>6776.5</v>
      </c>
      <c r="H523" s="33">
        <v>100</v>
      </c>
      <c r="I523" s="16">
        <f>-H523*G523</f>
        <v>-677650</v>
      </c>
      <c r="J523" s="17">
        <v>0</v>
      </c>
      <c r="K523" s="34">
        <v>4502283043</v>
      </c>
      <c r="L523" s="19">
        <v>5080840608</v>
      </c>
      <c r="M523" s="20">
        <v>5113173289</v>
      </c>
      <c r="N523" s="23"/>
      <c r="O523" s="9"/>
      <c r="P523" s="23"/>
      <c r="Q523" s="24" t="s">
        <v>31</v>
      </c>
      <c r="R523" s="25">
        <v>44627</v>
      </c>
      <c r="S523" s="28"/>
      <c r="T523" s="35"/>
      <c r="U523" s="35"/>
      <c r="V523" s="29"/>
      <c r="W523" s="35"/>
      <c r="X523" s="29"/>
      <c r="Y523" s="36"/>
      <c r="Z523" s="29"/>
      <c r="AA523" s="31">
        <f t="shared" si="1"/>
        <v>44627</v>
      </c>
      <c r="AB523" s="32" t="str">
        <f t="shared" si="5"/>
        <v>marzo</v>
      </c>
    </row>
    <row r="524" spans="1:28" ht="12.75">
      <c r="A524" s="9" t="s">
        <v>213</v>
      </c>
      <c r="B524" s="10">
        <v>44627</v>
      </c>
      <c r="C524" s="11"/>
      <c r="D524" s="53">
        <v>10</v>
      </c>
      <c r="E524" s="13" t="s">
        <v>771</v>
      </c>
      <c r="F524" s="13">
        <v>3025457</v>
      </c>
      <c r="G524" s="14">
        <v>6872</v>
      </c>
      <c r="H524" s="40">
        <v>7750</v>
      </c>
      <c r="I524" s="16">
        <f t="shared" ref="I524:I527" si="81">H524*G524</f>
        <v>53258000</v>
      </c>
      <c r="J524" s="17">
        <v>14</v>
      </c>
      <c r="K524" s="34">
        <v>4502284629</v>
      </c>
      <c r="L524" s="19">
        <v>5080840610</v>
      </c>
      <c r="M524" s="20">
        <v>5113162998</v>
      </c>
      <c r="N524" s="23"/>
      <c r="O524" s="9" t="s">
        <v>37</v>
      </c>
      <c r="P524" s="23" t="s">
        <v>148</v>
      </c>
      <c r="Q524" s="24" t="s">
        <v>31</v>
      </c>
      <c r="R524" s="25">
        <v>44627</v>
      </c>
      <c r="S524" s="28"/>
      <c r="T524" s="35"/>
      <c r="U524" s="35"/>
      <c r="V524" s="29"/>
      <c r="W524" s="35"/>
      <c r="X524" s="29"/>
      <c r="Y524" s="36"/>
      <c r="Z524" s="29"/>
      <c r="AA524" s="31">
        <f t="shared" si="1"/>
        <v>44627</v>
      </c>
      <c r="AB524" s="32" t="str">
        <f t="shared" si="5"/>
        <v>marzo</v>
      </c>
    </row>
    <row r="525" spans="1:28" ht="12.75">
      <c r="A525" s="9" t="s">
        <v>213</v>
      </c>
      <c r="B525" s="10">
        <v>44627</v>
      </c>
      <c r="C525" s="11"/>
      <c r="D525" s="53">
        <v>10</v>
      </c>
      <c r="E525" s="13" t="s">
        <v>772</v>
      </c>
      <c r="F525" s="13">
        <v>3025457</v>
      </c>
      <c r="G525" s="14">
        <v>6872</v>
      </c>
      <c r="H525" s="40">
        <v>100</v>
      </c>
      <c r="I525" s="16">
        <f t="shared" si="81"/>
        <v>687200</v>
      </c>
      <c r="J525" s="17">
        <v>0</v>
      </c>
      <c r="K525" s="34">
        <v>4502284629</v>
      </c>
      <c r="L525" s="19">
        <v>5080840610</v>
      </c>
      <c r="M525" s="20">
        <v>5113163001</v>
      </c>
      <c r="N525" s="23"/>
      <c r="O525" s="9"/>
      <c r="P525" s="23"/>
      <c r="Q525" s="24" t="s">
        <v>31</v>
      </c>
      <c r="R525" s="25">
        <v>44627</v>
      </c>
      <c r="S525" s="28"/>
      <c r="T525" s="35"/>
      <c r="U525" s="35"/>
      <c r="V525" s="29"/>
      <c r="W525" s="35"/>
      <c r="X525" s="29"/>
      <c r="Y525" s="36"/>
      <c r="Z525" s="29"/>
      <c r="AA525" s="31">
        <f t="shared" si="1"/>
        <v>44627</v>
      </c>
      <c r="AB525" s="32" t="str">
        <f t="shared" si="5"/>
        <v>marzo</v>
      </c>
    </row>
    <row r="526" spans="1:28" ht="12.75">
      <c r="A526" s="45" t="s">
        <v>145</v>
      </c>
      <c r="B526" s="10">
        <v>44630</v>
      </c>
      <c r="C526" s="11">
        <v>44631</v>
      </c>
      <c r="D526" s="53">
        <v>10</v>
      </c>
      <c r="E526" s="13" t="s">
        <v>773</v>
      </c>
      <c r="F526" s="13">
        <v>3025459</v>
      </c>
      <c r="G526" s="37">
        <v>6582.5</v>
      </c>
      <c r="H526" s="33">
        <v>7600</v>
      </c>
      <c r="I526" s="16">
        <f t="shared" si="81"/>
        <v>50027000</v>
      </c>
      <c r="J526" s="17">
        <v>14</v>
      </c>
      <c r="K526" s="34">
        <v>4502283045</v>
      </c>
      <c r="L526" s="19">
        <v>5080840609</v>
      </c>
      <c r="M526" s="20">
        <v>5113159832</v>
      </c>
      <c r="N526" s="23"/>
      <c r="O526" s="9" t="s">
        <v>37</v>
      </c>
      <c r="P526" s="23"/>
      <c r="Q526" s="24" t="s">
        <v>31</v>
      </c>
      <c r="R526" s="25">
        <v>44627</v>
      </c>
      <c r="S526" s="28"/>
      <c r="T526" s="35"/>
      <c r="U526" s="35"/>
      <c r="V526" s="29"/>
      <c r="W526" s="35"/>
      <c r="X526" s="29"/>
      <c r="Y526" s="36"/>
      <c r="Z526" s="29"/>
      <c r="AA526" s="31">
        <f t="shared" si="1"/>
        <v>44627</v>
      </c>
      <c r="AB526" s="32" t="str">
        <f t="shared" si="5"/>
        <v>marzo</v>
      </c>
    </row>
    <row r="527" spans="1:28" ht="12.75">
      <c r="A527" s="22" t="s">
        <v>774</v>
      </c>
      <c r="B527" s="10">
        <v>44635</v>
      </c>
      <c r="C527" s="11">
        <v>44635</v>
      </c>
      <c r="D527" s="53">
        <v>10</v>
      </c>
      <c r="E527" s="13" t="s">
        <v>491</v>
      </c>
      <c r="F527" s="13">
        <v>3025457</v>
      </c>
      <c r="G527" s="14">
        <v>25306</v>
      </c>
      <c r="H527" s="33">
        <v>7750</v>
      </c>
      <c r="I527" s="16">
        <f t="shared" si="81"/>
        <v>196121500</v>
      </c>
      <c r="J527" s="17">
        <v>60</v>
      </c>
      <c r="K527" s="34">
        <v>4502283046</v>
      </c>
      <c r="L527" s="19">
        <v>5080868989</v>
      </c>
      <c r="M527" s="20">
        <v>5113168711</v>
      </c>
      <c r="N527" s="23"/>
      <c r="O527" s="9" t="s">
        <v>63</v>
      </c>
      <c r="P527" s="23" t="s">
        <v>775</v>
      </c>
      <c r="Q527" s="24" t="s">
        <v>31</v>
      </c>
      <c r="R527" s="25">
        <v>44628</v>
      </c>
      <c r="S527" s="28"/>
      <c r="T527" s="35"/>
      <c r="U527" s="35"/>
      <c r="V527" s="29"/>
      <c r="W527" s="35"/>
      <c r="X527" s="29"/>
      <c r="Y527" s="36"/>
      <c r="Z527" s="29"/>
      <c r="AA527" s="31">
        <f t="shared" si="1"/>
        <v>44628</v>
      </c>
      <c r="AB527" s="32" t="str">
        <f t="shared" si="5"/>
        <v>marzo</v>
      </c>
    </row>
    <row r="528" spans="1:28" ht="12.75">
      <c r="A528" s="22" t="s">
        <v>774</v>
      </c>
      <c r="B528" s="10">
        <v>44635</v>
      </c>
      <c r="C528" s="11">
        <v>44635</v>
      </c>
      <c r="D528" s="53">
        <v>10</v>
      </c>
      <c r="E528" s="13" t="s">
        <v>776</v>
      </c>
      <c r="F528" s="13">
        <v>3025457</v>
      </c>
      <c r="G528" s="14">
        <v>25306</v>
      </c>
      <c r="H528" s="33">
        <f>7750-7736.48</f>
        <v>13.520000000000437</v>
      </c>
      <c r="I528" s="16">
        <f>-H528*G528</f>
        <v>-342137.12000001105</v>
      </c>
      <c r="J528" s="17">
        <v>0</v>
      </c>
      <c r="K528" s="34">
        <v>4502283046</v>
      </c>
      <c r="L528" s="19">
        <v>5080868989</v>
      </c>
      <c r="M528" s="20">
        <v>5113168712</v>
      </c>
      <c r="N528" s="23"/>
      <c r="O528" s="9"/>
      <c r="P528" s="23" t="s">
        <v>777</v>
      </c>
      <c r="Q528" s="24" t="s">
        <v>31</v>
      </c>
      <c r="R528" s="25">
        <v>44628</v>
      </c>
      <c r="S528" s="28"/>
      <c r="T528" s="35"/>
      <c r="U528" s="35"/>
      <c r="V528" s="29"/>
      <c r="W528" s="35"/>
      <c r="X528" s="29"/>
      <c r="Y528" s="36"/>
      <c r="Z528" s="29"/>
      <c r="AA528" s="31">
        <f t="shared" si="1"/>
        <v>44628</v>
      </c>
      <c r="AB528" s="32" t="str">
        <f t="shared" si="5"/>
        <v>marzo</v>
      </c>
    </row>
    <row r="529" spans="1:28" ht="12.75">
      <c r="A529" s="9" t="s">
        <v>28</v>
      </c>
      <c r="B529" s="10">
        <v>44629</v>
      </c>
      <c r="C529" s="11">
        <v>44629</v>
      </c>
      <c r="D529" s="53">
        <v>10</v>
      </c>
      <c r="E529" s="13" t="s">
        <v>778</v>
      </c>
      <c r="F529" s="13">
        <v>3025457</v>
      </c>
      <c r="G529" s="14">
        <v>46730</v>
      </c>
      <c r="H529" s="15">
        <v>7500</v>
      </c>
      <c r="I529" s="16">
        <f t="shared" ref="I529:I530" si="82">H529*G529</f>
        <v>350475000</v>
      </c>
      <c r="J529" s="17">
        <v>98</v>
      </c>
      <c r="K529" s="34">
        <v>4502286057</v>
      </c>
      <c r="L529" s="19">
        <v>5080868813</v>
      </c>
      <c r="M529" s="20">
        <v>5113155179</v>
      </c>
      <c r="N529" s="23" t="s">
        <v>63</v>
      </c>
      <c r="O529" s="22" t="s">
        <v>779</v>
      </c>
      <c r="P529" s="23"/>
      <c r="Q529" s="24" t="s">
        <v>31</v>
      </c>
      <c r="R529" s="25">
        <v>44628</v>
      </c>
      <c r="S529" s="28">
        <v>4902223864</v>
      </c>
      <c r="T529" s="27">
        <f>3062400*7</f>
        <v>21436800</v>
      </c>
      <c r="U529" s="28" t="s">
        <v>780</v>
      </c>
      <c r="V529" s="29">
        <v>5113157023</v>
      </c>
      <c r="W529" s="35"/>
      <c r="X529" s="29"/>
      <c r="Y529" s="36"/>
      <c r="Z529" s="29"/>
      <c r="AA529" s="31">
        <f t="shared" si="1"/>
        <v>44628</v>
      </c>
      <c r="AB529" s="32" t="str">
        <f t="shared" si="5"/>
        <v>marzo</v>
      </c>
    </row>
    <row r="530" spans="1:28" ht="12.75">
      <c r="A530" s="9" t="s">
        <v>289</v>
      </c>
      <c r="B530" s="10">
        <v>44600</v>
      </c>
      <c r="C530" s="11">
        <v>44631</v>
      </c>
      <c r="D530" s="53">
        <v>10</v>
      </c>
      <c r="E530" s="13" t="s">
        <v>781</v>
      </c>
      <c r="F530" s="13">
        <v>3025457</v>
      </c>
      <c r="G530" s="14">
        <v>7337</v>
      </c>
      <c r="H530" s="33">
        <v>7950</v>
      </c>
      <c r="I530" s="16">
        <f t="shared" si="82"/>
        <v>58329150</v>
      </c>
      <c r="J530" s="17">
        <v>14</v>
      </c>
      <c r="K530" s="34">
        <v>4502283047</v>
      </c>
      <c r="L530" s="19">
        <v>5080869063</v>
      </c>
      <c r="M530" s="20">
        <v>5113160886</v>
      </c>
      <c r="N530" s="23"/>
      <c r="O530" s="9" t="s">
        <v>37</v>
      </c>
      <c r="P530" s="23"/>
      <c r="Q530" s="24" t="s">
        <v>31</v>
      </c>
      <c r="R530" s="25">
        <v>44628</v>
      </c>
      <c r="S530" s="28"/>
      <c r="T530" s="35"/>
      <c r="U530" s="35"/>
      <c r="V530" s="29"/>
      <c r="W530" s="35"/>
      <c r="X530" s="29"/>
      <c r="Y530" s="36"/>
      <c r="Z530" s="29"/>
      <c r="AA530" s="31">
        <f t="shared" si="1"/>
        <v>44628</v>
      </c>
      <c r="AB530" s="32" t="str">
        <f t="shared" si="5"/>
        <v>marzo</v>
      </c>
    </row>
    <row r="531" spans="1:28" ht="12.75">
      <c r="A531" s="9" t="s">
        <v>289</v>
      </c>
      <c r="B531" s="10">
        <v>44631</v>
      </c>
      <c r="C531" s="11">
        <v>44631</v>
      </c>
      <c r="D531" s="53">
        <v>10</v>
      </c>
      <c r="E531" s="13" t="s">
        <v>782</v>
      </c>
      <c r="F531" s="13">
        <v>3025457</v>
      </c>
      <c r="G531" s="14">
        <v>7337</v>
      </c>
      <c r="H531" s="33">
        <v>50</v>
      </c>
      <c r="I531" s="16">
        <f>-H531*G531</f>
        <v>-366850</v>
      </c>
      <c r="J531" s="17">
        <v>0</v>
      </c>
      <c r="K531" s="34">
        <v>4502283047</v>
      </c>
      <c r="L531" s="19">
        <v>5080869063</v>
      </c>
      <c r="M531" s="20">
        <v>5113161078</v>
      </c>
      <c r="N531" s="23"/>
      <c r="O531" s="9"/>
      <c r="P531" s="23"/>
      <c r="Q531" s="24" t="s">
        <v>31</v>
      </c>
      <c r="R531" s="25">
        <v>44628</v>
      </c>
      <c r="S531" s="28"/>
      <c r="T531" s="35"/>
      <c r="U531" s="35"/>
      <c r="V531" s="29"/>
      <c r="W531" s="35"/>
      <c r="X531" s="29"/>
      <c r="Y531" s="36"/>
      <c r="Z531" s="29"/>
      <c r="AA531" s="31">
        <f t="shared" si="1"/>
        <v>44628</v>
      </c>
      <c r="AB531" s="32" t="str">
        <f t="shared" si="5"/>
        <v>marzo</v>
      </c>
    </row>
    <row r="532" spans="1:28" ht="12.75">
      <c r="A532" s="9" t="s">
        <v>253</v>
      </c>
      <c r="B532" s="10">
        <v>44631</v>
      </c>
      <c r="C532" s="11">
        <v>44631</v>
      </c>
      <c r="D532" s="53">
        <v>10</v>
      </c>
      <c r="E532" s="13" t="s">
        <v>783</v>
      </c>
      <c r="F532" s="13">
        <v>3025457</v>
      </c>
      <c r="G532" s="14">
        <v>6687</v>
      </c>
      <c r="H532" s="33">
        <v>7650</v>
      </c>
      <c r="I532" s="16">
        <f t="shared" ref="I532:I538" si="83">H532*G532</f>
        <v>51155550</v>
      </c>
      <c r="J532" s="17">
        <v>15</v>
      </c>
      <c r="K532" s="34">
        <v>4502283048</v>
      </c>
      <c r="L532" s="19">
        <v>5080868992</v>
      </c>
      <c r="M532" s="20">
        <v>5113160074</v>
      </c>
      <c r="N532" s="44"/>
      <c r="O532" s="9" t="s">
        <v>63</v>
      </c>
      <c r="P532" s="23"/>
      <c r="Q532" s="24" t="s">
        <v>31</v>
      </c>
      <c r="R532" s="25">
        <v>44628</v>
      </c>
      <c r="S532" s="28"/>
      <c r="T532" s="35"/>
      <c r="U532" s="35"/>
      <c r="V532" s="29"/>
      <c r="W532" s="35"/>
      <c r="X532" s="29"/>
      <c r="Y532" s="36"/>
      <c r="Z532" s="29"/>
      <c r="AA532" s="31">
        <f t="shared" si="1"/>
        <v>44628</v>
      </c>
      <c r="AB532" s="32" t="str">
        <f t="shared" si="5"/>
        <v>marzo</v>
      </c>
    </row>
    <row r="533" spans="1:28" ht="12.75">
      <c r="A533" s="9" t="s">
        <v>85</v>
      </c>
      <c r="B533" s="10">
        <v>44629</v>
      </c>
      <c r="C533" s="11">
        <v>44629</v>
      </c>
      <c r="D533" s="53">
        <v>10</v>
      </c>
      <c r="E533" s="13" t="s">
        <v>784</v>
      </c>
      <c r="F533" s="13">
        <v>3025459</v>
      </c>
      <c r="G533" s="14">
        <v>19421</v>
      </c>
      <c r="H533" s="15">
        <v>7500</v>
      </c>
      <c r="I533" s="16">
        <f t="shared" si="83"/>
        <v>145657500</v>
      </c>
      <c r="J533" s="17">
        <v>42</v>
      </c>
      <c r="K533" s="34">
        <v>4502286066</v>
      </c>
      <c r="L533" s="19">
        <v>5080840351</v>
      </c>
      <c r="M533" s="20">
        <v>5113157048</v>
      </c>
      <c r="N533" s="44"/>
      <c r="O533" s="22" t="s">
        <v>272</v>
      </c>
      <c r="P533" s="23"/>
      <c r="Q533" s="24" t="s">
        <v>31</v>
      </c>
      <c r="R533" s="25">
        <v>44628</v>
      </c>
      <c r="S533" s="28">
        <v>4902223865</v>
      </c>
      <c r="T533" s="35">
        <f>1793900*3</f>
        <v>5381700</v>
      </c>
      <c r="U533" s="28" t="s">
        <v>785</v>
      </c>
      <c r="V533" s="29">
        <v>5113157255</v>
      </c>
      <c r="W533" s="35"/>
      <c r="X533" s="29"/>
      <c r="Y533" s="36"/>
      <c r="Z533" s="29"/>
      <c r="AA533" s="31">
        <f t="shared" si="1"/>
        <v>44628</v>
      </c>
      <c r="AB533" s="32" t="str">
        <f t="shared" si="5"/>
        <v>marzo</v>
      </c>
    </row>
    <row r="534" spans="1:28" ht="12.75">
      <c r="A534" s="45" t="s">
        <v>145</v>
      </c>
      <c r="B534" s="10">
        <v>44630</v>
      </c>
      <c r="C534" s="11">
        <v>44631</v>
      </c>
      <c r="D534" s="53">
        <v>10</v>
      </c>
      <c r="E534" s="13" t="s">
        <v>786</v>
      </c>
      <c r="F534" s="13">
        <v>3025459</v>
      </c>
      <c r="G534" s="14">
        <v>6718</v>
      </c>
      <c r="H534" s="33">
        <v>7600</v>
      </c>
      <c r="I534" s="16">
        <f t="shared" si="83"/>
        <v>51056800</v>
      </c>
      <c r="J534" s="17">
        <v>14</v>
      </c>
      <c r="K534" s="34">
        <v>4502283049</v>
      </c>
      <c r="L534" s="19">
        <v>5080840609</v>
      </c>
      <c r="M534" s="20">
        <v>5113159833</v>
      </c>
      <c r="N534" s="23"/>
      <c r="O534" s="9" t="s">
        <v>37</v>
      </c>
      <c r="P534" s="23"/>
      <c r="Q534" s="24" t="s">
        <v>31</v>
      </c>
      <c r="R534" s="25">
        <v>44628</v>
      </c>
      <c r="S534" s="28"/>
      <c r="T534" s="35"/>
      <c r="U534" s="35"/>
      <c r="V534" s="29"/>
      <c r="W534" s="35"/>
      <c r="X534" s="29"/>
      <c r="Y534" s="36"/>
      <c r="Z534" s="29"/>
      <c r="AA534" s="31">
        <f t="shared" si="1"/>
        <v>44628</v>
      </c>
      <c r="AB534" s="32" t="str">
        <f t="shared" si="5"/>
        <v>marzo</v>
      </c>
    </row>
    <row r="535" spans="1:28" ht="12.75">
      <c r="A535" s="9" t="s">
        <v>89</v>
      </c>
      <c r="B535" s="10">
        <v>44628</v>
      </c>
      <c r="C535" s="11"/>
      <c r="D535" s="53">
        <v>10</v>
      </c>
      <c r="E535" s="13" t="s">
        <v>787</v>
      </c>
      <c r="F535" s="13">
        <v>3025457</v>
      </c>
      <c r="G535" s="14">
        <v>7210</v>
      </c>
      <c r="H535" s="57">
        <v>7550</v>
      </c>
      <c r="I535" s="16">
        <f t="shared" si="83"/>
        <v>54435500</v>
      </c>
      <c r="J535" s="17">
        <v>15</v>
      </c>
      <c r="K535" s="34">
        <v>4502288885</v>
      </c>
      <c r="L535" s="19">
        <v>5080902565</v>
      </c>
      <c r="M535" s="20">
        <v>5113175133</v>
      </c>
      <c r="N535" s="23"/>
      <c r="O535" s="9" t="s">
        <v>63</v>
      </c>
      <c r="P535" s="23" t="s">
        <v>788</v>
      </c>
      <c r="Q535" s="24" t="s">
        <v>82</v>
      </c>
      <c r="R535" s="25">
        <v>44628</v>
      </c>
      <c r="S535" s="28"/>
      <c r="T535" s="35"/>
      <c r="U535" s="35"/>
      <c r="V535" s="29"/>
      <c r="W535" s="35"/>
      <c r="X535" s="29"/>
      <c r="Y535" s="36"/>
      <c r="Z535" s="29"/>
      <c r="AA535" s="31">
        <f t="shared" si="1"/>
        <v>44628</v>
      </c>
      <c r="AB535" s="32" t="str">
        <f t="shared" si="5"/>
        <v>marzo</v>
      </c>
    </row>
    <row r="536" spans="1:28" ht="12.75">
      <c r="A536" s="9" t="s">
        <v>314</v>
      </c>
      <c r="B536" s="10">
        <v>44628</v>
      </c>
      <c r="C536" s="11">
        <v>44631</v>
      </c>
      <c r="D536" s="53">
        <v>10</v>
      </c>
      <c r="E536" s="13" t="s">
        <v>789</v>
      </c>
      <c r="F536" s="13">
        <v>3025457</v>
      </c>
      <c r="G536" s="14">
        <v>6747</v>
      </c>
      <c r="H536" s="57">
        <v>7700</v>
      </c>
      <c r="I536" s="16">
        <f t="shared" si="83"/>
        <v>51951900</v>
      </c>
      <c r="J536" s="17">
        <v>14</v>
      </c>
      <c r="K536" s="34">
        <v>4502288887</v>
      </c>
      <c r="L536" s="19">
        <v>5080902634</v>
      </c>
      <c r="M536" s="20">
        <v>5113160878</v>
      </c>
      <c r="N536" s="23"/>
      <c r="O536" s="9" t="s">
        <v>63</v>
      </c>
      <c r="P536" s="23"/>
      <c r="Q536" s="24" t="s">
        <v>82</v>
      </c>
      <c r="R536" s="25">
        <v>44628</v>
      </c>
      <c r="S536" s="28"/>
      <c r="T536" s="35"/>
      <c r="U536" s="35"/>
      <c r="V536" s="29"/>
      <c r="W536" s="35"/>
      <c r="X536" s="29"/>
      <c r="Y536" s="36"/>
      <c r="Z536" s="29"/>
      <c r="AA536" s="31">
        <f t="shared" si="1"/>
        <v>44628</v>
      </c>
      <c r="AB536" s="32" t="str">
        <f t="shared" si="5"/>
        <v>marzo</v>
      </c>
    </row>
    <row r="537" spans="1:28" ht="12.75">
      <c r="A537" s="9" t="s">
        <v>94</v>
      </c>
      <c r="B537" s="10">
        <v>44632</v>
      </c>
      <c r="C537" s="11"/>
      <c r="D537" s="53">
        <v>10</v>
      </c>
      <c r="E537" s="13" t="s">
        <v>790</v>
      </c>
      <c r="F537" s="13">
        <v>3025457</v>
      </c>
      <c r="G537" s="14">
        <v>19294</v>
      </c>
      <c r="H537" s="57">
        <v>7693.94</v>
      </c>
      <c r="I537" s="16">
        <f t="shared" si="83"/>
        <v>148446878.35999998</v>
      </c>
      <c r="J537" s="17">
        <v>45</v>
      </c>
      <c r="K537" s="34">
        <v>4502288888</v>
      </c>
      <c r="L537" s="19">
        <v>5080902739</v>
      </c>
      <c r="M537" s="20">
        <v>5113163071</v>
      </c>
      <c r="N537" s="23"/>
      <c r="O537" s="9" t="s">
        <v>63</v>
      </c>
      <c r="P537" s="23"/>
      <c r="Q537" s="24" t="s">
        <v>82</v>
      </c>
      <c r="R537" s="25">
        <v>44628</v>
      </c>
      <c r="S537" s="28"/>
      <c r="T537" s="35"/>
      <c r="U537" s="35"/>
      <c r="V537" s="29"/>
      <c r="W537" s="35"/>
      <c r="X537" s="29"/>
      <c r="Y537" s="36"/>
      <c r="Z537" s="29"/>
      <c r="AA537" s="31">
        <f t="shared" si="1"/>
        <v>44628</v>
      </c>
      <c r="AB537" s="32" t="str">
        <f t="shared" si="5"/>
        <v>marzo</v>
      </c>
    </row>
    <row r="538" spans="1:28" ht="12.75">
      <c r="A538" s="9" t="s">
        <v>58</v>
      </c>
      <c r="B538" s="10">
        <v>44634</v>
      </c>
      <c r="C538" s="11">
        <v>44634</v>
      </c>
      <c r="D538" s="42">
        <v>11</v>
      </c>
      <c r="E538" s="13" t="s">
        <v>791</v>
      </c>
      <c r="F538" s="13">
        <v>3025457</v>
      </c>
      <c r="G538" s="14">
        <v>55082</v>
      </c>
      <c r="H538" s="33">
        <v>8050</v>
      </c>
      <c r="I538" s="16">
        <f t="shared" si="83"/>
        <v>443410100</v>
      </c>
      <c r="J538" s="17">
        <v>120</v>
      </c>
      <c r="K538" s="34">
        <v>4502287534</v>
      </c>
      <c r="L538" s="19">
        <v>5080905315</v>
      </c>
      <c r="M538" s="20">
        <v>5113165972</v>
      </c>
      <c r="N538" s="23"/>
      <c r="O538" s="9" t="s">
        <v>37</v>
      </c>
      <c r="P538" s="23"/>
      <c r="Q538" s="24" t="s">
        <v>31</v>
      </c>
      <c r="R538" s="25">
        <v>44630</v>
      </c>
      <c r="S538" s="28"/>
      <c r="T538" s="35"/>
      <c r="U538" s="35"/>
      <c r="V538" s="29"/>
      <c r="W538" s="35"/>
      <c r="X538" s="29"/>
      <c r="Y538" s="36"/>
      <c r="Z538" s="29"/>
      <c r="AA538" s="31">
        <f t="shared" si="1"/>
        <v>44630</v>
      </c>
      <c r="AB538" s="32" t="str">
        <f t="shared" si="5"/>
        <v>marzo</v>
      </c>
    </row>
    <row r="539" spans="1:28" ht="12.75">
      <c r="A539" s="9" t="s">
        <v>58</v>
      </c>
      <c r="B539" s="10">
        <v>44634</v>
      </c>
      <c r="C539" s="11">
        <v>44634</v>
      </c>
      <c r="D539" s="42">
        <v>11</v>
      </c>
      <c r="E539" s="13" t="s">
        <v>792</v>
      </c>
      <c r="F539" s="13">
        <v>3025457</v>
      </c>
      <c r="G539" s="14">
        <v>55082</v>
      </c>
      <c r="H539" s="33">
        <f>8050-8046.55</f>
        <v>3.4499999999998181</v>
      </c>
      <c r="I539" s="16">
        <f>-H539*G539</f>
        <v>-190032.89999998998</v>
      </c>
      <c r="J539" s="17">
        <v>0</v>
      </c>
      <c r="K539" s="34">
        <v>4502287534</v>
      </c>
      <c r="L539" s="19">
        <v>5080905315</v>
      </c>
      <c r="M539" s="20">
        <v>5113165975</v>
      </c>
      <c r="N539" s="23"/>
      <c r="O539" s="9"/>
      <c r="P539" s="23"/>
      <c r="Q539" s="24" t="s">
        <v>31</v>
      </c>
      <c r="R539" s="25">
        <v>44630</v>
      </c>
      <c r="S539" s="28"/>
      <c r="T539" s="35"/>
      <c r="U539" s="35"/>
      <c r="V539" s="29"/>
      <c r="W539" s="35"/>
      <c r="X539" s="29"/>
      <c r="Y539" s="36"/>
      <c r="Z539" s="29"/>
      <c r="AA539" s="31">
        <f t="shared" si="1"/>
        <v>44630</v>
      </c>
      <c r="AB539" s="32" t="str">
        <f t="shared" si="5"/>
        <v>marzo</v>
      </c>
    </row>
    <row r="540" spans="1:28" ht="12.75">
      <c r="A540" s="9" t="s">
        <v>58</v>
      </c>
      <c r="B540" s="10">
        <v>44634</v>
      </c>
      <c r="C540" s="11">
        <v>44634</v>
      </c>
      <c r="D540" s="42">
        <v>11</v>
      </c>
      <c r="E540" s="13" t="s">
        <v>793</v>
      </c>
      <c r="F540" s="13">
        <v>3025457</v>
      </c>
      <c r="G540" s="14">
        <v>6941</v>
      </c>
      <c r="H540" s="33">
        <v>8050</v>
      </c>
      <c r="I540" s="16">
        <f>H540*G540</f>
        <v>55875050</v>
      </c>
      <c r="J540" s="17">
        <v>15</v>
      </c>
      <c r="K540" s="34">
        <v>4502287534</v>
      </c>
      <c r="L540" s="19">
        <v>5080905315</v>
      </c>
      <c r="M540" s="20">
        <v>5113165987</v>
      </c>
      <c r="N540" s="23"/>
      <c r="O540" s="9" t="s">
        <v>37</v>
      </c>
      <c r="P540" s="23"/>
      <c r="Q540" s="24" t="s">
        <v>31</v>
      </c>
      <c r="R540" s="25">
        <v>44630</v>
      </c>
      <c r="S540" s="28"/>
      <c r="T540" s="35"/>
      <c r="U540" s="35"/>
      <c r="V540" s="29"/>
      <c r="W540" s="35"/>
      <c r="X540" s="29"/>
      <c r="Y540" s="36"/>
      <c r="Z540" s="29"/>
      <c r="AA540" s="31">
        <f t="shared" si="1"/>
        <v>44630</v>
      </c>
      <c r="AB540" s="32" t="str">
        <f t="shared" si="5"/>
        <v>marzo</v>
      </c>
    </row>
    <row r="541" spans="1:28" ht="12.75">
      <c r="A541" s="9" t="s">
        <v>58</v>
      </c>
      <c r="B541" s="10">
        <v>44634</v>
      </c>
      <c r="C541" s="11">
        <v>44634</v>
      </c>
      <c r="D541" s="42">
        <v>11</v>
      </c>
      <c r="E541" s="13" t="s">
        <v>794</v>
      </c>
      <c r="F541" s="13">
        <v>3025457</v>
      </c>
      <c r="G541" s="14">
        <v>6941</v>
      </c>
      <c r="H541" s="33">
        <f>8050-7939.13</f>
        <v>110.86999999999989</v>
      </c>
      <c r="I541" s="16">
        <f>-H541*G541</f>
        <v>-769548.66999999923</v>
      </c>
      <c r="J541" s="17">
        <v>0</v>
      </c>
      <c r="K541" s="34">
        <v>4502287534</v>
      </c>
      <c r="L541" s="19">
        <v>5080905315</v>
      </c>
      <c r="M541" s="20">
        <v>5113165988</v>
      </c>
      <c r="N541" s="23"/>
      <c r="O541" s="9"/>
      <c r="P541" s="23"/>
      <c r="Q541" s="24" t="s">
        <v>31</v>
      </c>
      <c r="R541" s="25">
        <v>44630</v>
      </c>
      <c r="S541" s="28"/>
      <c r="T541" s="35"/>
      <c r="U541" s="35"/>
      <c r="V541" s="29"/>
      <c r="W541" s="35"/>
      <c r="X541" s="29"/>
      <c r="Y541" s="36"/>
      <c r="Z541" s="29"/>
      <c r="AA541" s="31">
        <f t="shared" si="1"/>
        <v>44630</v>
      </c>
      <c r="AB541" s="32" t="str">
        <f t="shared" si="5"/>
        <v>marzo</v>
      </c>
    </row>
    <row r="542" spans="1:28" ht="12.75">
      <c r="A542" s="9" t="s">
        <v>111</v>
      </c>
      <c r="B542" s="10">
        <v>44630</v>
      </c>
      <c r="C542" s="11">
        <v>44637</v>
      </c>
      <c r="D542" s="42">
        <v>11</v>
      </c>
      <c r="E542" s="13" t="s">
        <v>795</v>
      </c>
      <c r="F542" s="13">
        <v>3025457</v>
      </c>
      <c r="G542" s="37">
        <v>6015.5</v>
      </c>
      <c r="H542" s="33">
        <v>7650</v>
      </c>
      <c r="I542" s="16">
        <f t="shared" ref="I542:I545" si="84">H542*G542</f>
        <v>46018575</v>
      </c>
      <c r="J542" s="17">
        <v>14</v>
      </c>
      <c r="K542" s="34">
        <v>4502287535</v>
      </c>
      <c r="L542" s="19">
        <v>5080905316</v>
      </c>
      <c r="M542" s="20">
        <v>5113171678</v>
      </c>
      <c r="N542" s="23"/>
      <c r="O542" s="9" t="s">
        <v>37</v>
      </c>
      <c r="P542" s="23"/>
      <c r="Q542" s="24" t="s">
        <v>31</v>
      </c>
      <c r="R542" s="25">
        <v>44630</v>
      </c>
      <c r="S542" s="28"/>
      <c r="T542" s="35"/>
      <c r="U542" s="35"/>
      <c r="V542" s="29"/>
      <c r="W542" s="35"/>
      <c r="X542" s="29"/>
      <c r="Y542" s="36"/>
      <c r="Z542" s="29"/>
      <c r="AA542" s="31">
        <f t="shared" si="1"/>
        <v>44630</v>
      </c>
      <c r="AB542" s="32" t="str">
        <f t="shared" si="5"/>
        <v>marzo</v>
      </c>
    </row>
    <row r="543" spans="1:28" ht="12.75">
      <c r="A543" s="9" t="s">
        <v>111</v>
      </c>
      <c r="B543" s="10">
        <v>44630</v>
      </c>
      <c r="C543" s="11">
        <v>44637</v>
      </c>
      <c r="D543" s="42">
        <v>11</v>
      </c>
      <c r="E543" s="13" t="s">
        <v>796</v>
      </c>
      <c r="F543" s="13">
        <v>3025457</v>
      </c>
      <c r="G543" s="37">
        <v>6015.5</v>
      </c>
      <c r="H543" s="33">
        <v>250</v>
      </c>
      <c r="I543" s="16">
        <f t="shared" si="84"/>
        <v>1503875</v>
      </c>
      <c r="J543" s="17">
        <v>0</v>
      </c>
      <c r="K543" s="34">
        <v>4502287535</v>
      </c>
      <c r="L543" s="19">
        <v>5080905316</v>
      </c>
      <c r="M543" s="20">
        <v>5113171679</v>
      </c>
      <c r="N543" s="23"/>
      <c r="O543" s="9"/>
      <c r="P543" s="23"/>
      <c r="Q543" s="24" t="s">
        <v>31</v>
      </c>
      <c r="R543" s="25">
        <v>44630</v>
      </c>
      <c r="S543" s="28"/>
      <c r="T543" s="35"/>
      <c r="U543" s="35"/>
      <c r="V543" s="29"/>
      <c r="W543" s="35"/>
      <c r="X543" s="29"/>
      <c r="Y543" s="36"/>
      <c r="Z543" s="29"/>
      <c r="AA543" s="31">
        <f t="shared" si="1"/>
        <v>44630</v>
      </c>
      <c r="AB543" s="32" t="str">
        <f t="shared" si="5"/>
        <v>marzo</v>
      </c>
    </row>
    <row r="544" spans="1:28" ht="12.75">
      <c r="A544" s="9" t="s">
        <v>203</v>
      </c>
      <c r="B544" s="10">
        <v>44630</v>
      </c>
      <c r="C544" s="11">
        <v>44635</v>
      </c>
      <c r="D544" s="42">
        <v>11</v>
      </c>
      <c r="E544" s="13" t="s">
        <v>797</v>
      </c>
      <c r="F544" s="13">
        <v>3025457</v>
      </c>
      <c r="G544" s="14">
        <v>7217</v>
      </c>
      <c r="H544" s="33">
        <v>7950</v>
      </c>
      <c r="I544" s="16">
        <f t="shared" si="84"/>
        <v>57375150</v>
      </c>
      <c r="J544" s="17">
        <v>15</v>
      </c>
      <c r="K544" s="34">
        <v>4502287537</v>
      </c>
      <c r="L544" s="19">
        <v>5080905587</v>
      </c>
      <c r="M544" s="20">
        <v>5113165990</v>
      </c>
      <c r="N544" s="23"/>
      <c r="O544" s="9" t="s">
        <v>37</v>
      </c>
      <c r="P544" s="23"/>
      <c r="Q544" s="24" t="s">
        <v>31</v>
      </c>
      <c r="R544" s="25">
        <v>44630</v>
      </c>
      <c r="S544" s="28"/>
      <c r="T544" s="35"/>
      <c r="U544" s="35"/>
      <c r="V544" s="29"/>
      <c r="W544" s="35"/>
      <c r="X544" s="29"/>
      <c r="Y544" s="36"/>
      <c r="Z544" s="29"/>
      <c r="AA544" s="31">
        <f t="shared" si="1"/>
        <v>44630</v>
      </c>
      <c r="AB544" s="32" t="str">
        <f t="shared" si="5"/>
        <v>marzo</v>
      </c>
    </row>
    <row r="545" spans="1:28" ht="12.75">
      <c r="A545" s="9" t="s">
        <v>289</v>
      </c>
      <c r="B545" s="10">
        <v>44630</v>
      </c>
      <c r="C545" s="11">
        <v>44635</v>
      </c>
      <c r="D545" s="42">
        <v>11</v>
      </c>
      <c r="E545" s="13" t="s">
        <v>798</v>
      </c>
      <c r="F545" s="13">
        <v>3025457</v>
      </c>
      <c r="G545" s="37">
        <v>7083.5</v>
      </c>
      <c r="H545" s="33">
        <v>7950</v>
      </c>
      <c r="I545" s="16">
        <f t="shared" si="84"/>
        <v>56313825</v>
      </c>
      <c r="J545" s="17">
        <v>15</v>
      </c>
      <c r="K545" s="34">
        <v>4502287538</v>
      </c>
      <c r="L545" s="19">
        <v>5080905638</v>
      </c>
      <c r="M545" s="20">
        <v>5113166453</v>
      </c>
      <c r="N545" s="23"/>
      <c r="O545" s="9" t="s">
        <v>37</v>
      </c>
      <c r="P545" s="23"/>
      <c r="Q545" s="24" t="s">
        <v>31</v>
      </c>
      <c r="R545" s="25">
        <v>44630</v>
      </c>
      <c r="S545" s="28"/>
      <c r="T545" s="35"/>
      <c r="U545" s="35"/>
      <c r="V545" s="29"/>
      <c r="W545" s="35"/>
      <c r="X545" s="29"/>
      <c r="Y545" s="36"/>
      <c r="Z545" s="29"/>
      <c r="AA545" s="31">
        <f t="shared" si="1"/>
        <v>44630</v>
      </c>
      <c r="AB545" s="32" t="str">
        <f t="shared" si="5"/>
        <v>marzo</v>
      </c>
    </row>
    <row r="546" spans="1:28" ht="12.75">
      <c r="A546" s="9" t="s">
        <v>289</v>
      </c>
      <c r="B546" s="10">
        <v>44631</v>
      </c>
      <c r="C546" s="11">
        <v>44635</v>
      </c>
      <c r="D546" s="42">
        <v>11</v>
      </c>
      <c r="E546" s="13" t="s">
        <v>799</v>
      </c>
      <c r="F546" s="13">
        <v>3025457</v>
      </c>
      <c r="G546" s="37">
        <v>7083.5</v>
      </c>
      <c r="H546" s="33">
        <v>100</v>
      </c>
      <c r="I546" s="16">
        <f>-H546*G546</f>
        <v>-708350</v>
      </c>
      <c r="J546" s="17">
        <v>0</v>
      </c>
      <c r="K546" s="34">
        <v>4502287538</v>
      </c>
      <c r="L546" s="19">
        <v>5080905638</v>
      </c>
      <c r="M546" s="20">
        <v>5113166454</v>
      </c>
      <c r="N546" s="23"/>
      <c r="O546" s="9"/>
      <c r="P546" s="23"/>
      <c r="Q546" s="24" t="s">
        <v>31</v>
      </c>
      <c r="R546" s="25">
        <v>44630</v>
      </c>
      <c r="S546" s="28"/>
      <c r="T546" s="35"/>
      <c r="U546" s="35"/>
      <c r="V546" s="29"/>
      <c r="W546" s="35"/>
      <c r="X546" s="29"/>
      <c r="Y546" s="36"/>
      <c r="Z546" s="29"/>
      <c r="AA546" s="31">
        <f t="shared" si="1"/>
        <v>44630</v>
      </c>
      <c r="AB546" s="32" t="str">
        <f t="shared" si="5"/>
        <v>marzo</v>
      </c>
    </row>
    <row r="547" spans="1:28" ht="12.75">
      <c r="A547" s="9" t="s">
        <v>274</v>
      </c>
      <c r="B547" s="10">
        <v>44635</v>
      </c>
      <c r="C547" s="11">
        <v>44635</v>
      </c>
      <c r="D547" s="42">
        <v>11</v>
      </c>
      <c r="E547" s="13" t="s">
        <v>800</v>
      </c>
      <c r="F547" s="13">
        <v>3025457</v>
      </c>
      <c r="G547" s="37">
        <v>14031.5</v>
      </c>
      <c r="H547" s="33">
        <v>7900</v>
      </c>
      <c r="I547" s="16">
        <f t="shared" ref="I547:I548" si="85">H547*G547</f>
        <v>110848850</v>
      </c>
      <c r="J547" s="17">
        <v>30</v>
      </c>
      <c r="K547" s="34">
        <v>4502287539</v>
      </c>
      <c r="L547" s="19">
        <v>5080905639</v>
      </c>
      <c r="M547" s="20">
        <v>5113166543</v>
      </c>
      <c r="N547" s="23"/>
      <c r="O547" s="9" t="s">
        <v>63</v>
      </c>
      <c r="P547" s="23" t="s">
        <v>801</v>
      </c>
      <c r="Q547" s="24" t="s">
        <v>31</v>
      </c>
      <c r="R547" s="25">
        <v>44630</v>
      </c>
      <c r="S547" s="28"/>
      <c r="T547" s="35"/>
      <c r="U547" s="35"/>
      <c r="V547" s="29"/>
      <c r="W547" s="35"/>
      <c r="X547" s="29"/>
      <c r="Y547" s="36"/>
      <c r="Z547" s="29"/>
      <c r="AA547" s="31">
        <f t="shared" si="1"/>
        <v>44630</v>
      </c>
      <c r="AB547" s="32" t="str">
        <f t="shared" si="5"/>
        <v>marzo</v>
      </c>
    </row>
    <row r="548" spans="1:28" ht="12.75">
      <c r="A548" s="9" t="s">
        <v>348</v>
      </c>
      <c r="B548" s="10">
        <v>44636</v>
      </c>
      <c r="C548" s="11">
        <v>44636</v>
      </c>
      <c r="D548" s="42">
        <v>11</v>
      </c>
      <c r="E548" s="13" t="s">
        <v>802</v>
      </c>
      <c r="F548" s="13">
        <v>3025457</v>
      </c>
      <c r="G548" s="14">
        <v>19753</v>
      </c>
      <c r="H548" s="33">
        <v>7600</v>
      </c>
      <c r="I548" s="16">
        <f t="shared" si="85"/>
        <v>150122800</v>
      </c>
      <c r="J548" s="17">
        <v>45</v>
      </c>
      <c r="K548" s="34">
        <v>4502287540</v>
      </c>
      <c r="L548" s="19">
        <v>5080905317</v>
      </c>
      <c r="M548" s="20">
        <v>5113169415</v>
      </c>
      <c r="N548" s="23"/>
      <c r="O548" s="9" t="s">
        <v>63</v>
      </c>
      <c r="P548" s="23"/>
      <c r="Q548" s="24" t="s">
        <v>31</v>
      </c>
      <c r="R548" s="25">
        <v>44630</v>
      </c>
      <c r="S548" s="28"/>
      <c r="T548" s="35"/>
      <c r="U548" s="35"/>
      <c r="V548" s="29"/>
      <c r="W548" s="35"/>
      <c r="X548" s="29"/>
      <c r="Y548" s="36"/>
      <c r="Z548" s="29"/>
      <c r="AA548" s="31">
        <f t="shared" si="1"/>
        <v>44630</v>
      </c>
      <c r="AB548" s="32" t="str">
        <f t="shared" si="5"/>
        <v>marzo</v>
      </c>
    </row>
    <row r="549" spans="1:28" ht="12.75">
      <c r="A549" s="9" t="s">
        <v>348</v>
      </c>
      <c r="B549" s="10">
        <v>44636</v>
      </c>
      <c r="C549" s="11">
        <v>44636</v>
      </c>
      <c r="D549" s="42">
        <v>11</v>
      </c>
      <c r="E549" s="13" t="s">
        <v>803</v>
      </c>
      <c r="F549" s="13">
        <v>3025457</v>
      </c>
      <c r="G549" s="14">
        <v>19753</v>
      </c>
      <c r="H549" s="33">
        <f>7600-7546.07</f>
        <v>53.930000000000291</v>
      </c>
      <c r="I549" s="16">
        <f>-H549*G549</f>
        <v>-1065279.2900000059</v>
      </c>
      <c r="J549" s="17">
        <v>0</v>
      </c>
      <c r="K549" s="34">
        <v>4502287540</v>
      </c>
      <c r="L549" s="19">
        <v>5080905317</v>
      </c>
      <c r="M549" s="20">
        <v>5113169457</v>
      </c>
      <c r="N549" s="23"/>
      <c r="O549" s="9"/>
      <c r="P549" s="23"/>
      <c r="Q549" s="24" t="s">
        <v>31</v>
      </c>
      <c r="R549" s="25">
        <v>44630</v>
      </c>
      <c r="S549" s="28"/>
      <c r="T549" s="35"/>
      <c r="U549" s="35"/>
      <c r="V549" s="29"/>
      <c r="W549" s="35"/>
      <c r="X549" s="29"/>
      <c r="Y549" s="36"/>
      <c r="Z549" s="29"/>
      <c r="AA549" s="31">
        <f t="shared" si="1"/>
        <v>44630</v>
      </c>
      <c r="AB549" s="32" t="str">
        <f t="shared" si="5"/>
        <v>marzo</v>
      </c>
    </row>
    <row r="550" spans="1:28" ht="12.75">
      <c r="A550" s="9" t="s">
        <v>804</v>
      </c>
      <c r="B550" s="10">
        <v>44630</v>
      </c>
      <c r="C550" s="11">
        <v>44636</v>
      </c>
      <c r="D550" s="42">
        <v>11</v>
      </c>
      <c r="E550" s="13" t="s">
        <v>805</v>
      </c>
      <c r="F550" s="13">
        <v>3025457</v>
      </c>
      <c r="G550" s="14">
        <v>11979</v>
      </c>
      <c r="H550" s="33">
        <v>7950</v>
      </c>
      <c r="I550" s="16">
        <f t="shared" ref="I550:I552" si="86">H550*G550</f>
        <v>95233050</v>
      </c>
      <c r="J550" s="17">
        <v>28</v>
      </c>
      <c r="K550" s="34">
        <v>4502291964</v>
      </c>
      <c r="L550" s="19">
        <v>5080977725</v>
      </c>
      <c r="M550" s="20">
        <v>5113169480</v>
      </c>
      <c r="N550" s="23"/>
      <c r="O550" s="9" t="s">
        <v>37</v>
      </c>
      <c r="P550" s="23"/>
      <c r="Q550" s="24" t="s">
        <v>31</v>
      </c>
      <c r="R550" s="25">
        <v>44630</v>
      </c>
      <c r="S550" s="28"/>
      <c r="T550" s="35"/>
      <c r="U550" s="35"/>
      <c r="V550" s="29"/>
      <c r="W550" s="35"/>
      <c r="X550" s="29"/>
      <c r="Y550" s="36"/>
      <c r="Z550" s="29"/>
      <c r="AA550" s="31">
        <f t="shared" si="1"/>
        <v>44630</v>
      </c>
      <c r="AB550" s="32" t="str">
        <f t="shared" si="5"/>
        <v>marzo</v>
      </c>
    </row>
    <row r="551" spans="1:28" ht="12.75">
      <c r="A551" s="9" t="s">
        <v>296</v>
      </c>
      <c r="B551" s="10">
        <v>44630</v>
      </c>
      <c r="C551" s="11">
        <v>44634</v>
      </c>
      <c r="D551" s="42">
        <v>11</v>
      </c>
      <c r="E551" s="13" t="s">
        <v>806</v>
      </c>
      <c r="F551" s="13">
        <v>3025459</v>
      </c>
      <c r="G551" s="14">
        <v>6891</v>
      </c>
      <c r="H551" s="33">
        <v>7850</v>
      </c>
      <c r="I551" s="16">
        <f t="shared" si="86"/>
        <v>54094350</v>
      </c>
      <c r="J551" s="17">
        <v>14</v>
      </c>
      <c r="K551" s="34">
        <v>4502287542</v>
      </c>
      <c r="L551" s="19">
        <v>5080905448</v>
      </c>
      <c r="M551" s="20">
        <v>5113166028</v>
      </c>
      <c r="N551" s="23"/>
      <c r="O551" s="9" t="s">
        <v>63</v>
      </c>
      <c r="P551" s="23"/>
      <c r="Q551" s="24" t="s">
        <v>31</v>
      </c>
      <c r="R551" s="25">
        <v>44630</v>
      </c>
      <c r="S551" s="28"/>
      <c r="T551" s="35"/>
      <c r="U551" s="35"/>
      <c r="V551" s="29"/>
      <c r="W551" s="35"/>
      <c r="X551" s="29"/>
      <c r="Y551" s="36"/>
      <c r="Z551" s="29"/>
      <c r="AA551" s="31">
        <f t="shared" si="1"/>
        <v>44630</v>
      </c>
      <c r="AB551" s="32" t="str">
        <f t="shared" si="5"/>
        <v>marzo</v>
      </c>
    </row>
    <row r="552" spans="1:28" ht="12.75">
      <c r="A552" s="9" t="s">
        <v>58</v>
      </c>
      <c r="B552" s="10">
        <v>44635</v>
      </c>
      <c r="C552" s="11">
        <v>44635</v>
      </c>
      <c r="D552" s="42">
        <v>11</v>
      </c>
      <c r="E552" s="13" t="s">
        <v>807</v>
      </c>
      <c r="F552" s="13">
        <v>3025457</v>
      </c>
      <c r="G552" s="14">
        <v>40885</v>
      </c>
      <c r="H552" s="33">
        <v>8050</v>
      </c>
      <c r="I552" s="16">
        <f t="shared" si="86"/>
        <v>329124250</v>
      </c>
      <c r="J552" s="17">
        <v>89</v>
      </c>
      <c r="K552" s="34">
        <v>4502287544</v>
      </c>
      <c r="L552" s="19">
        <v>5080931411</v>
      </c>
      <c r="M552" s="20">
        <v>5113186276</v>
      </c>
      <c r="N552" s="44"/>
      <c r="O552" s="9" t="s">
        <v>37</v>
      </c>
      <c r="P552" s="23" t="s">
        <v>808</v>
      </c>
      <c r="Q552" s="24" t="s">
        <v>31</v>
      </c>
      <c r="R552" s="25">
        <v>44631</v>
      </c>
      <c r="S552" s="28"/>
      <c r="T552" s="35"/>
      <c r="U552" s="35"/>
      <c r="V552" s="29"/>
      <c r="W552" s="35"/>
      <c r="X552" s="29"/>
      <c r="Y552" s="36"/>
      <c r="Z552" s="29"/>
      <c r="AA552" s="31">
        <f t="shared" si="1"/>
        <v>44631</v>
      </c>
      <c r="AB552" s="32" t="str">
        <f t="shared" si="5"/>
        <v>marzo</v>
      </c>
    </row>
    <row r="553" spans="1:28" ht="12.75">
      <c r="A553" s="9" t="s">
        <v>58</v>
      </c>
      <c r="B553" s="10">
        <v>44635</v>
      </c>
      <c r="C553" s="11">
        <v>44635</v>
      </c>
      <c r="D553" s="42">
        <v>11</v>
      </c>
      <c r="E553" s="13" t="s">
        <v>809</v>
      </c>
      <c r="F553" s="13">
        <v>3025457</v>
      </c>
      <c r="G553" s="14">
        <v>40885</v>
      </c>
      <c r="H553" s="33">
        <f>8050-8035.57</f>
        <v>14.430000000000291</v>
      </c>
      <c r="I553" s="16">
        <f>-H553*G553</f>
        <v>-589970.55000001192</v>
      </c>
      <c r="J553" s="17">
        <v>0</v>
      </c>
      <c r="K553" s="34">
        <v>4502287544</v>
      </c>
      <c r="L553" s="19">
        <v>5080931411</v>
      </c>
      <c r="M553" s="20">
        <v>5113186279</v>
      </c>
      <c r="N553" s="23"/>
      <c r="O553" s="9"/>
      <c r="P553" s="23"/>
      <c r="Q553" s="24" t="s">
        <v>31</v>
      </c>
      <c r="R553" s="25">
        <v>44631</v>
      </c>
      <c r="S553" s="28"/>
      <c r="T553" s="35"/>
      <c r="U553" s="35"/>
      <c r="V553" s="29"/>
      <c r="W553" s="35"/>
      <c r="X553" s="29"/>
      <c r="Y553" s="36"/>
      <c r="Z553" s="29"/>
      <c r="AA553" s="31">
        <f t="shared" si="1"/>
        <v>44631</v>
      </c>
      <c r="AB553" s="32" t="str">
        <f t="shared" si="5"/>
        <v>marzo</v>
      </c>
    </row>
    <row r="554" spans="1:28" ht="12.75">
      <c r="A554" s="9" t="s">
        <v>58</v>
      </c>
      <c r="B554" s="10">
        <v>44635</v>
      </c>
      <c r="C554" s="11">
        <v>44635</v>
      </c>
      <c r="D554" s="42">
        <v>11</v>
      </c>
      <c r="E554" s="13" t="s">
        <v>810</v>
      </c>
      <c r="F554" s="13">
        <v>3025457</v>
      </c>
      <c r="G554" s="37">
        <v>14245.5</v>
      </c>
      <c r="H554" s="33">
        <v>8050</v>
      </c>
      <c r="I554" s="16">
        <f>H554*G554</f>
        <v>114676275</v>
      </c>
      <c r="J554" s="17">
        <v>30</v>
      </c>
      <c r="K554" s="34">
        <v>4502287544</v>
      </c>
      <c r="L554" s="19">
        <v>5080931411</v>
      </c>
      <c r="M554" s="20">
        <v>5113168647</v>
      </c>
      <c r="N554" s="23"/>
      <c r="O554" s="9" t="s">
        <v>37</v>
      </c>
      <c r="P554" s="23"/>
      <c r="Q554" s="24" t="s">
        <v>31</v>
      </c>
      <c r="R554" s="25">
        <v>44631</v>
      </c>
      <c r="S554" s="28"/>
      <c r="T554" s="35"/>
      <c r="U554" s="35"/>
      <c r="V554" s="29"/>
      <c r="W554" s="35"/>
      <c r="X554" s="29"/>
      <c r="Y554" s="36"/>
      <c r="Z554" s="29"/>
      <c r="AA554" s="31">
        <f t="shared" si="1"/>
        <v>44631</v>
      </c>
      <c r="AB554" s="32" t="str">
        <f t="shared" si="5"/>
        <v>marzo</v>
      </c>
    </row>
    <row r="555" spans="1:28" ht="12.75">
      <c r="A555" s="9" t="s">
        <v>58</v>
      </c>
      <c r="B555" s="10">
        <v>44635</v>
      </c>
      <c r="C555" s="11">
        <v>44635</v>
      </c>
      <c r="D555" s="42">
        <v>11</v>
      </c>
      <c r="E555" s="13" t="s">
        <v>811</v>
      </c>
      <c r="F555" s="13">
        <v>3025457</v>
      </c>
      <c r="G555" s="37">
        <v>14245.5</v>
      </c>
      <c r="H555" s="33">
        <v>50</v>
      </c>
      <c r="I555" s="16">
        <f>-H555*G555</f>
        <v>-712275</v>
      </c>
      <c r="J555" s="17">
        <v>0</v>
      </c>
      <c r="K555" s="34">
        <v>4502287544</v>
      </c>
      <c r="L555" s="19">
        <v>5080931411</v>
      </c>
      <c r="M555" s="20">
        <v>5113168650</v>
      </c>
      <c r="N555" s="23"/>
      <c r="O555" s="9"/>
      <c r="P555" s="23"/>
      <c r="Q555" s="24" t="s">
        <v>31</v>
      </c>
      <c r="R555" s="25">
        <v>44631</v>
      </c>
      <c r="S555" s="28"/>
      <c r="T555" s="35"/>
      <c r="U555" s="35"/>
      <c r="V555" s="29"/>
      <c r="W555" s="35"/>
      <c r="X555" s="29"/>
      <c r="Y555" s="36"/>
      <c r="Z555" s="29"/>
      <c r="AA555" s="31">
        <f t="shared" si="1"/>
        <v>44631</v>
      </c>
      <c r="AB555" s="32" t="str">
        <f t="shared" si="5"/>
        <v>marzo</v>
      </c>
    </row>
    <row r="556" spans="1:28" ht="12.75">
      <c r="A556" s="9" t="s">
        <v>338</v>
      </c>
      <c r="B556" s="10">
        <v>44634</v>
      </c>
      <c r="C556" s="11">
        <v>44637</v>
      </c>
      <c r="D556" s="42">
        <v>11</v>
      </c>
      <c r="E556" s="13" t="s">
        <v>812</v>
      </c>
      <c r="F556" s="13">
        <v>3025457</v>
      </c>
      <c r="G556" s="14">
        <v>5960</v>
      </c>
      <c r="H556" s="33">
        <v>7650</v>
      </c>
      <c r="I556" s="16">
        <f t="shared" ref="I556:I560" si="87">H556*G556</f>
        <v>45594000</v>
      </c>
      <c r="J556" s="17">
        <v>14</v>
      </c>
      <c r="K556" s="34">
        <v>4502287545</v>
      </c>
      <c r="L556" s="19">
        <v>5080931412</v>
      </c>
      <c r="M556" s="20">
        <v>5113166544</v>
      </c>
      <c r="N556" s="23"/>
      <c r="O556" s="9" t="s">
        <v>63</v>
      </c>
      <c r="P556" s="23"/>
      <c r="Q556" s="24" t="s">
        <v>31</v>
      </c>
      <c r="R556" s="25">
        <v>44631</v>
      </c>
      <c r="S556" s="28"/>
      <c r="T556" s="35"/>
      <c r="U556" s="35"/>
      <c r="V556" s="29"/>
      <c r="W556" s="35"/>
      <c r="X556" s="29"/>
      <c r="Y556" s="36"/>
      <c r="Z556" s="29"/>
      <c r="AA556" s="31">
        <f t="shared" si="1"/>
        <v>44631</v>
      </c>
      <c r="AB556" s="32" t="str">
        <f t="shared" si="5"/>
        <v>marzo</v>
      </c>
    </row>
    <row r="557" spans="1:28" ht="12.75">
      <c r="A557" s="9" t="s">
        <v>338</v>
      </c>
      <c r="B557" s="10">
        <v>44634</v>
      </c>
      <c r="C557" s="11">
        <v>44637</v>
      </c>
      <c r="D557" s="42">
        <v>11</v>
      </c>
      <c r="E557" s="13" t="s">
        <v>813</v>
      </c>
      <c r="F557" s="13">
        <v>3025457</v>
      </c>
      <c r="G557" s="14">
        <v>5960</v>
      </c>
      <c r="H557" s="33">
        <v>50</v>
      </c>
      <c r="I557" s="16">
        <f t="shared" si="87"/>
        <v>298000</v>
      </c>
      <c r="J557" s="17">
        <v>0</v>
      </c>
      <c r="K557" s="34">
        <v>4502287545</v>
      </c>
      <c r="L557" s="19">
        <v>5080931412</v>
      </c>
      <c r="M557" s="20">
        <v>5113166671</v>
      </c>
      <c r="N557" s="23"/>
      <c r="O557" s="9"/>
      <c r="P557" s="23"/>
      <c r="Q557" s="24" t="s">
        <v>31</v>
      </c>
      <c r="R557" s="25">
        <v>44631</v>
      </c>
      <c r="S557" s="28"/>
      <c r="T557" s="35"/>
      <c r="U557" s="35"/>
      <c r="V557" s="29"/>
      <c r="W557" s="35"/>
      <c r="X557" s="29"/>
      <c r="Y557" s="36"/>
      <c r="Z557" s="29"/>
      <c r="AA557" s="31">
        <f t="shared" si="1"/>
        <v>44631</v>
      </c>
      <c r="AB557" s="32" t="str">
        <f t="shared" si="5"/>
        <v>marzo</v>
      </c>
    </row>
    <row r="558" spans="1:28" ht="12.75">
      <c r="A558" s="9" t="s">
        <v>80</v>
      </c>
      <c r="B558" s="10">
        <v>44631</v>
      </c>
      <c r="C558" s="11">
        <v>44631</v>
      </c>
      <c r="D558" s="42">
        <v>11</v>
      </c>
      <c r="E558" s="13" t="s">
        <v>814</v>
      </c>
      <c r="F558" s="13">
        <v>3025457</v>
      </c>
      <c r="G558" s="14">
        <v>40057</v>
      </c>
      <c r="H558" s="15">
        <v>7500</v>
      </c>
      <c r="I558" s="16">
        <f t="shared" si="87"/>
        <v>300427500</v>
      </c>
      <c r="J558" s="17">
        <v>84</v>
      </c>
      <c r="K558" s="34">
        <v>4502288486</v>
      </c>
      <c r="L558" s="19">
        <v>5080892099</v>
      </c>
      <c r="M558" s="20">
        <v>5113168653</v>
      </c>
      <c r="N558" s="23" t="s">
        <v>37</v>
      </c>
      <c r="O558" s="22" t="s">
        <v>815</v>
      </c>
      <c r="P558" s="23"/>
      <c r="Q558" s="24" t="s">
        <v>31</v>
      </c>
      <c r="R558" s="25">
        <v>44631</v>
      </c>
      <c r="S558" s="28">
        <v>4902227790</v>
      </c>
      <c r="T558" s="27">
        <v>9854700</v>
      </c>
      <c r="U558" s="28" t="s">
        <v>816</v>
      </c>
      <c r="V558" s="29">
        <v>5113163042</v>
      </c>
      <c r="W558" s="28" t="s">
        <v>817</v>
      </c>
      <c r="X558" s="29">
        <v>5113167206</v>
      </c>
      <c r="Y558" s="36"/>
      <c r="Z558" s="29"/>
      <c r="AA558" s="31">
        <f t="shared" si="1"/>
        <v>44631</v>
      </c>
      <c r="AB558" s="32" t="str">
        <f t="shared" si="5"/>
        <v>marzo</v>
      </c>
    </row>
    <row r="559" spans="1:28" ht="12.75">
      <c r="A559" s="9" t="s">
        <v>73</v>
      </c>
      <c r="B559" s="10">
        <v>44634</v>
      </c>
      <c r="C559" s="11">
        <v>44634</v>
      </c>
      <c r="D559" s="42">
        <v>11</v>
      </c>
      <c r="E559" s="13" t="s">
        <v>818</v>
      </c>
      <c r="F559" s="13">
        <v>3025457</v>
      </c>
      <c r="G559" s="37">
        <v>6288.5</v>
      </c>
      <c r="H559" s="33">
        <v>8000</v>
      </c>
      <c r="I559" s="16">
        <f t="shared" si="87"/>
        <v>50308000</v>
      </c>
      <c r="J559" s="17">
        <v>14</v>
      </c>
      <c r="K559" s="34">
        <v>4502287546</v>
      </c>
      <c r="L559" s="19">
        <v>5080931413</v>
      </c>
      <c r="M559" s="20">
        <v>5113165848</v>
      </c>
      <c r="N559" s="23"/>
      <c r="O559" s="9" t="s">
        <v>63</v>
      </c>
      <c r="P559" s="23"/>
      <c r="Q559" s="24" t="s">
        <v>31</v>
      </c>
      <c r="R559" s="25">
        <v>44631</v>
      </c>
      <c r="S559" s="28"/>
      <c r="T559" s="35"/>
      <c r="U559" s="35"/>
      <c r="V559" s="29"/>
      <c r="W559" s="35"/>
      <c r="X559" s="29"/>
      <c r="Y559" s="36"/>
      <c r="Z559" s="29"/>
      <c r="AA559" s="31">
        <f t="shared" si="1"/>
        <v>44631</v>
      </c>
      <c r="AB559" s="32" t="str">
        <f t="shared" si="5"/>
        <v>marzo</v>
      </c>
    </row>
    <row r="560" spans="1:28" ht="12.75">
      <c r="A560" s="9" t="s">
        <v>819</v>
      </c>
      <c r="B560" s="10">
        <v>44631</v>
      </c>
      <c r="C560" s="11">
        <v>44635</v>
      </c>
      <c r="D560" s="42">
        <v>11</v>
      </c>
      <c r="E560" s="13">
        <v>5966</v>
      </c>
      <c r="F560" s="13">
        <v>3025457</v>
      </c>
      <c r="G560" s="14">
        <v>6753</v>
      </c>
      <c r="H560" s="33">
        <v>7700</v>
      </c>
      <c r="I560" s="16">
        <f t="shared" si="87"/>
        <v>51998100</v>
      </c>
      <c r="J560" s="17">
        <v>14</v>
      </c>
      <c r="K560" s="34">
        <v>4502287547</v>
      </c>
      <c r="L560" s="19">
        <v>5080931414</v>
      </c>
      <c r="M560" s="20">
        <v>5113171805</v>
      </c>
      <c r="N560" s="23"/>
      <c r="O560" s="9" t="s">
        <v>37</v>
      </c>
      <c r="P560" s="23"/>
      <c r="Q560" s="24" t="s">
        <v>31</v>
      </c>
      <c r="R560" s="25">
        <v>44631</v>
      </c>
      <c r="S560" s="28"/>
      <c r="T560" s="35"/>
      <c r="U560" s="35"/>
      <c r="V560" s="29"/>
      <c r="W560" s="35"/>
      <c r="X560" s="29"/>
      <c r="Y560" s="36"/>
      <c r="Z560" s="29"/>
      <c r="AA560" s="31">
        <f t="shared" si="1"/>
        <v>44631</v>
      </c>
      <c r="AB560" s="32" t="str">
        <f t="shared" si="5"/>
        <v>marzo</v>
      </c>
    </row>
    <row r="561" spans="1:28" ht="12.75">
      <c r="A561" s="9" t="s">
        <v>28</v>
      </c>
      <c r="B561" s="10">
        <v>44635</v>
      </c>
      <c r="C561" s="11">
        <v>44635</v>
      </c>
      <c r="D561" s="42">
        <v>11</v>
      </c>
      <c r="E561" s="13" t="s">
        <v>820</v>
      </c>
      <c r="F561" s="13">
        <v>3025457</v>
      </c>
      <c r="G561" s="14">
        <v>40503</v>
      </c>
      <c r="H561" s="81">
        <f>I561/G561</f>
        <v>7799.044515221095</v>
      </c>
      <c r="I561" s="39">
        <v>315884700</v>
      </c>
      <c r="J561" s="17">
        <v>84</v>
      </c>
      <c r="K561" s="34">
        <v>4502290920</v>
      </c>
      <c r="L561" s="19">
        <v>5080953684</v>
      </c>
      <c r="M561" s="20">
        <v>5113167095</v>
      </c>
      <c r="N561" s="44"/>
      <c r="O561" s="9" t="s">
        <v>37</v>
      </c>
      <c r="P561" s="23" t="s">
        <v>821</v>
      </c>
      <c r="Q561" s="24" t="s">
        <v>671</v>
      </c>
      <c r="R561" s="25">
        <v>44631</v>
      </c>
      <c r="S561" s="28"/>
      <c r="T561" s="35"/>
      <c r="U561" s="35"/>
      <c r="V561" s="29"/>
      <c r="W561" s="35"/>
      <c r="X561" s="29"/>
      <c r="Y561" s="36"/>
      <c r="Z561" s="29"/>
      <c r="AA561" s="31">
        <f t="shared" si="1"/>
        <v>44631</v>
      </c>
      <c r="AB561" s="32" t="str">
        <f t="shared" si="5"/>
        <v>marzo</v>
      </c>
    </row>
    <row r="562" spans="1:28" ht="12.75">
      <c r="A562" s="9" t="s">
        <v>338</v>
      </c>
      <c r="B562" s="10">
        <v>44636</v>
      </c>
      <c r="C562" s="11"/>
      <c r="D562" s="42">
        <v>11</v>
      </c>
      <c r="E562" s="13" t="s">
        <v>822</v>
      </c>
      <c r="F562" s="13">
        <v>3025457</v>
      </c>
      <c r="G562" s="37">
        <v>6356.5</v>
      </c>
      <c r="H562" s="33">
        <v>7650</v>
      </c>
      <c r="I562" s="16">
        <f t="shared" ref="I562:I565" si="88">H562*G562</f>
        <v>48627225</v>
      </c>
      <c r="J562" s="17">
        <v>14</v>
      </c>
      <c r="K562" s="34">
        <v>4502287549</v>
      </c>
      <c r="L562" s="19">
        <v>5080931384</v>
      </c>
      <c r="M562" s="20">
        <v>5113173036</v>
      </c>
      <c r="N562" s="23"/>
      <c r="O562" s="9" t="s">
        <v>63</v>
      </c>
      <c r="P562" s="23"/>
      <c r="Q562" s="24" t="s">
        <v>31</v>
      </c>
      <c r="R562" s="25">
        <v>44632</v>
      </c>
      <c r="S562" s="28"/>
      <c r="T562" s="35"/>
      <c r="U562" s="35"/>
      <c r="V562" s="29"/>
      <c r="W562" s="35"/>
      <c r="X562" s="29"/>
      <c r="Y562" s="36"/>
      <c r="Z562" s="29"/>
      <c r="AA562" s="31">
        <f t="shared" si="1"/>
        <v>44632</v>
      </c>
      <c r="AB562" s="32" t="str">
        <f t="shared" si="5"/>
        <v>marzo</v>
      </c>
    </row>
    <row r="563" spans="1:28" ht="12.75">
      <c r="A563" s="9" t="s">
        <v>73</v>
      </c>
      <c r="B563" s="10">
        <v>44636</v>
      </c>
      <c r="C563" s="11">
        <v>44636</v>
      </c>
      <c r="D563" s="42">
        <v>11</v>
      </c>
      <c r="E563" s="13" t="s">
        <v>823</v>
      </c>
      <c r="F563" s="13">
        <v>3025459</v>
      </c>
      <c r="G563" s="37">
        <v>6956.5</v>
      </c>
      <c r="H563" s="33">
        <v>8000</v>
      </c>
      <c r="I563" s="16">
        <f t="shared" si="88"/>
        <v>55652000</v>
      </c>
      <c r="J563" s="17">
        <v>14</v>
      </c>
      <c r="K563" s="34">
        <v>4502287550</v>
      </c>
      <c r="L563" s="19">
        <v>5080931385</v>
      </c>
      <c r="M563" s="20">
        <v>5113188679</v>
      </c>
      <c r="N563" s="23"/>
      <c r="O563" s="9" t="s">
        <v>63</v>
      </c>
      <c r="P563" s="23" t="s">
        <v>734</v>
      </c>
      <c r="Q563" s="24" t="s">
        <v>31</v>
      </c>
      <c r="R563" s="25">
        <v>44632</v>
      </c>
      <c r="S563" s="28"/>
      <c r="T563" s="35"/>
      <c r="U563" s="35"/>
      <c r="V563" s="29"/>
      <c r="W563" s="35"/>
      <c r="X563" s="29"/>
      <c r="Y563" s="36"/>
      <c r="Z563" s="29"/>
      <c r="AA563" s="31">
        <f t="shared" si="1"/>
        <v>44632</v>
      </c>
      <c r="AB563" s="32" t="str">
        <f t="shared" si="5"/>
        <v>marzo</v>
      </c>
    </row>
    <row r="564" spans="1:28" ht="12.75">
      <c r="A564" s="9" t="s">
        <v>73</v>
      </c>
      <c r="B564" s="10">
        <v>44636</v>
      </c>
      <c r="C564" s="11">
        <v>44636</v>
      </c>
      <c r="D564" s="42">
        <v>11</v>
      </c>
      <c r="E564" s="13" t="s">
        <v>582</v>
      </c>
      <c r="F564" s="13">
        <v>3025459</v>
      </c>
      <c r="G564" s="37">
        <v>6956.5</v>
      </c>
      <c r="H564" s="33">
        <v>50</v>
      </c>
      <c r="I564" s="16">
        <f t="shared" si="88"/>
        <v>347825</v>
      </c>
      <c r="J564" s="17">
        <v>0</v>
      </c>
      <c r="K564" s="34">
        <v>4502287550</v>
      </c>
      <c r="L564" s="19">
        <v>5080931385</v>
      </c>
      <c r="M564" s="20">
        <v>5113188681</v>
      </c>
      <c r="N564" s="23"/>
      <c r="O564" s="9"/>
      <c r="P564" s="23"/>
      <c r="Q564" s="24" t="s">
        <v>31</v>
      </c>
      <c r="R564" s="25">
        <v>44632</v>
      </c>
      <c r="S564" s="28"/>
      <c r="T564" s="35"/>
      <c r="U564" s="35"/>
      <c r="V564" s="29"/>
      <c r="W564" s="35"/>
      <c r="X564" s="29"/>
      <c r="Y564" s="36"/>
      <c r="Z564" s="29"/>
      <c r="AA564" s="31">
        <f t="shared" si="1"/>
        <v>44632</v>
      </c>
      <c r="AB564" s="32" t="str">
        <f t="shared" si="5"/>
        <v>marzo</v>
      </c>
    </row>
    <row r="565" spans="1:28" ht="12.75">
      <c r="A565" s="9" t="s">
        <v>58</v>
      </c>
      <c r="B565" s="10">
        <v>44636</v>
      </c>
      <c r="C565" s="11">
        <v>44636</v>
      </c>
      <c r="D565" s="42">
        <v>11</v>
      </c>
      <c r="E565" s="13" t="s">
        <v>824</v>
      </c>
      <c r="F565" s="13">
        <v>3025457</v>
      </c>
      <c r="G565" s="14">
        <v>34772</v>
      </c>
      <c r="H565" s="33">
        <v>8050</v>
      </c>
      <c r="I565" s="16">
        <f t="shared" si="88"/>
        <v>279914600</v>
      </c>
      <c r="J565" s="17">
        <v>74</v>
      </c>
      <c r="K565" s="34">
        <v>4502287551</v>
      </c>
      <c r="L565" s="19">
        <v>5080931386</v>
      </c>
      <c r="M565" s="20">
        <v>5113178746</v>
      </c>
      <c r="N565" s="23"/>
      <c r="O565" s="9" t="s">
        <v>37</v>
      </c>
      <c r="P565" s="23"/>
      <c r="Q565" s="24" t="s">
        <v>31</v>
      </c>
      <c r="R565" s="25">
        <v>44632</v>
      </c>
      <c r="S565" s="28"/>
      <c r="T565" s="35"/>
      <c r="U565" s="35"/>
      <c r="V565" s="29"/>
      <c r="W565" s="35"/>
      <c r="X565" s="29"/>
      <c r="Y565" s="36"/>
      <c r="Z565" s="29"/>
      <c r="AA565" s="31">
        <f t="shared" si="1"/>
        <v>44632</v>
      </c>
      <c r="AB565" s="32" t="str">
        <f t="shared" si="5"/>
        <v>marzo</v>
      </c>
    </row>
    <row r="566" spans="1:28" ht="12.75">
      <c r="A566" s="9" t="s">
        <v>58</v>
      </c>
      <c r="B566" s="10">
        <v>44636</v>
      </c>
      <c r="C566" s="11">
        <v>44636</v>
      </c>
      <c r="D566" s="42">
        <v>11</v>
      </c>
      <c r="E566" s="13" t="s">
        <v>825</v>
      </c>
      <c r="F566" s="13">
        <v>3025457</v>
      </c>
      <c r="G566" s="14">
        <v>34772</v>
      </c>
      <c r="H566" s="33">
        <f>8050-8045.6</f>
        <v>4.3999999999996362</v>
      </c>
      <c r="I566" s="16">
        <f>-H566*G566</f>
        <v>-152996.79999998736</v>
      </c>
      <c r="J566" s="17">
        <v>0</v>
      </c>
      <c r="K566" s="34">
        <v>4502287551</v>
      </c>
      <c r="L566" s="19">
        <v>5080931386</v>
      </c>
      <c r="M566" s="20">
        <v>5113178897</v>
      </c>
      <c r="N566" s="23"/>
      <c r="O566" s="9"/>
      <c r="P566" s="23"/>
      <c r="Q566" s="24" t="s">
        <v>31</v>
      </c>
      <c r="R566" s="25">
        <v>44632</v>
      </c>
      <c r="S566" s="28"/>
      <c r="T566" s="35"/>
      <c r="U566" s="35"/>
      <c r="V566" s="29"/>
      <c r="W566" s="35"/>
      <c r="X566" s="29"/>
      <c r="Y566" s="36"/>
      <c r="Z566" s="29"/>
      <c r="AA566" s="31">
        <f t="shared" si="1"/>
        <v>44632</v>
      </c>
      <c r="AB566" s="32" t="str">
        <f t="shared" si="5"/>
        <v>marzo</v>
      </c>
    </row>
    <row r="567" spans="1:28" ht="12.75">
      <c r="A567" s="9" t="s">
        <v>58</v>
      </c>
      <c r="B567" s="10">
        <v>44636</v>
      </c>
      <c r="C567" s="11">
        <v>44636</v>
      </c>
      <c r="D567" s="42">
        <v>11</v>
      </c>
      <c r="E567" s="13" t="s">
        <v>826</v>
      </c>
      <c r="F567" s="13">
        <v>3025457</v>
      </c>
      <c r="G567" s="14">
        <v>19944</v>
      </c>
      <c r="H567" s="33">
        <v>8050</v>
      </c>
      <c r="I567" s="16">
        <f>H567*G567</f>
        <v>160549200</v>
      </c>
      <c r="J567" s="17">
        <v>43</v>
      </c>
      <c r="K567" s="34">
        <v>4502287551</v>
      </c>
      <c r="L567" s="19">
        <v>5080931386</v>
      </c>
      <c r="M567" s="20">
        <v>5113178906</v>
      </c>
      <c r="N567" s="23"/>
      <c r="O567" s="9" t="s">
        <v>37</v>
      </c>
      <c r="P567" s="23"/>
      <c r="Q567" s="24" t="s">
        <v>31</v>
      </c>
      <c r="R567" s="25">
        <v>44632</v>
      </c>
      <c r="S567" s="28"/>
      <c r="T567" s="35"/>
      <c r="U567" s="35"/>
      <c r="V567" s="29"/>
      <c r="W567" s="35"/>
      <c r="X567" s="29"/>
      <c r="Y567" s="36"/>
      <c r="Z567" s="29"/>
      <c r="AA567" s="31">
        <f t="shared" si="1"/>
        <v>44632</v>
      </c>
      <c r="AB567" s="32" t="str">
        <f t="shared" si="5"/>
        <v>marzo</v>
      </c>
    </row>
    <row r="568" spans="1:28" ht="12.75">
      <c r="A568" s="9" t="s">
        <v>58</v>
      </c>
      <c r="B568" s="10">
        <v>44636</v>
      </c>
      <c r="C568" s="11">
        <v>44636</v>
      </c>
      <c r="D568" s="42">
        <v>11</v>
      </c>
      <c r="E568" s="13" t="s">
        <v>827</v>
      </c>
      <c r="F568" s="13">
        <v>3025457</v>
      </c>
      <c r="G568" s="14">
        <v>19944</v>
      </c>
      <c r="H568" s="33">
        <f>8050-7996.03</f>
        <v>53.970000000000255</v>
      </c>
      <c r="I568" s="16">
        <f>-H568*G568</f>
        <v>-1076377.6800000051</v>
      </c>
      <c r="J568" s="17">
        <v>0</v>
      </c>
      <c r="K568" s="34">
        <v>4502287551</v>
      </c>
      <c r="L568" s="19">
        <v>5080931386</v>
      </c>
      <c r="M568" s="20">
        <v>5113178928</v>
      </c>
      <c r="N568" s="23"/>
      <c r="O568" s="9"/>
      <c r="P568" s="23"/>
      <c r="Q568" s="24" t="s">
        <v>31</v>
      </c>
      <c r="R568" s="25">
        <v>44632</v>
      </c>
      <c r="S568" s="28"/>
      <c r="T568" s="35"/>
      <c r="U568" s="35"/>
      <c r="V568" s="29"/>
      <c r="W568" s="35"/>
      <c r="X568" s="29"/>
      <c r="Y568" s="36"/>
      <c r="Z568" s="29"/>
      <c r="AA568" s="31">
        <f t="shared" si="1"/>
        <v>44632</v>
      </c>
      <c r="AB568" s="32" t="str">
        <f t="shared" si="5"/>
        <v>marzo</v>
      </c>
    </row>
    <row r="569" spans="1:28" ht="12.75">
      <c r="A569" s="9" t="s">
        <v>819</v>
      </c>
      <c r="B569" s="10">
        <v>44632</v>
      </c>
      <c r="C569" s="11"/>
      <c r="D569" s="42">
        <v>11</v>
      </c>
      <c r="E569" s="13">
        <v>5975</v>
      </c>
      <c r="F569" s="13">
        <v>3025457</v>
      </c>
      <c r="G569" s="37">
        <v>13845.5</v>
      </c>
      <c r="H569" s="33">
        <v>7700</v>
      </c>
      <c r="I569" s="16">
        <f t="shared" ref="I569:I573" si="89">H569*G569</f>
        <v>106610350</v>
      </c>
      <c r="J569" s="17">
        <v>28</v>
      </c>
      <c r="K569" s="34">
        <v>4502287552</v>
      </c>
      <c r="L569" s="19">
        <v>5080931387</v>
      </c>
      <c r="M569" s="20">
        <v>5113171804</v>
      </c>
      <c r="N569" s="23"/>
      <c r="O569" s="9" t="s">
        <v>37</v>
      </c>
      <c r="P569" s="23"/>
      <c r="Q569" s="24" t="s">
        <v>31</v>
      </c>
      <c r="R569" s="25">
        <v>44632</v>
      </c>
      <c r="S569" s="28"/>
      <c r="T569" s="35"/>
      <c r="U569" s="35"/>
      <c r="V569" s="29"/>
      <c r="W569" s="35"/>
      <c r="X569" s="29"/>
      <c r="Y569" s="36"/>
      <c r="Z569" s="29"/>
      <c r="AA569" s="31">
        <f t="shared" si="1"/>
        <v>44632</v>
      </c>
      <c r="AB569" s="32" t="str">
        <f t="shared" si="5"/>
        <v>marzo</v>
      </c>
    </row>
    <row r="570" spans="1:28" ht="12.75">
      <c r="A570" s="9" t="s">
        <v>196</v>
      </c>
      <c r="B570" s="10">
        <v>44634</v>
      </c>
      <c r="C570" s="11"/>
      <c r="D570" s="42">
        <v>11</v>
      </c>
      <c r="E570" s="13" t="s">
        <v>828</v>
      </c>
      <c r="F570" s="13">
        <v>3025457</v>
      </c>
      <c r="G570" s="37">
        <v>13924.5</v>
      </c>
      <c r="H570" s="15">
        <v>7550</v>
      </c>
      <c r="I570" s="16">
        <f t="shared" si="89"/>
        <v>105129975</v>
      </c>
      <c r="J570" s="17">
        <v>28</v>
      </c>
      <c r="K570" s="34">
        <v>4502288490</v>
      </c>
      <c r="L570" s="19">
        <v>5080909455</v>
      </c>
      <c r="M570" s="20">
        <v>5113170685</v>
      </c>
      <c r="N570" s="23"/>
      <c r="O570" s="22" t="s">
        <v>829</v>
      </c>
      <c r="P570" s="23" t="s">
        <v>313</v>
      </c>
      <c r="Q570" s="24" t="s">
        <v>31</v>
      </c>
      <c r="R570" s="25">
        <v>44632</v>
      </c>
      <c r="S570" s="28">
        <v>4902227793</v>
      </c>
      <c r="T570" s="27">
        <f t="shared" ref="T570:T571" si="90">1771100*2</f>
        <v>3542200</v>
      </c>
      <c r="U570" s="28" t="s">
        <v>830</v>
      </c>
      <c r="V570" s="29">
        <v>5113167291</v>
      </c>
      <c r="W570" s="35"/>
      <c r="X570" s="29"/>
      <c r="Y570" s="36"/>
      <c r="Z570" s="29"/>
      <c r="AA570" s="31">
        <f t="shared" si="1"/>
        <v>44632</v>
      </c>
      <c r="AB570" s="32" t="str">
        <f t="shared" si="5"/>
        <v>marzo</v>
      </c>
    </row>
    <row r="571" spans="1:28" ht="12.75">
      <c r="A571" s="9" t="s">
        <v>196</v>
      </c>
      <c r="B571" s="10">
        <v>44634</v>
      </c>
      <c r="C571" s="11"/>
      <c r="D571" s="42">
        <v>11</v>
      </c>
      <c r="E571" s="13" t="s">
        <v>828</v>
      </c>
      <c r="F571" s="13">
        <v>3025459</v>
      </c>
      <c r="G571" s="37">
        <v>13924.5</v>
      </c>
      <c r="H571" s="15">
        <v>7550</v>
      </c>
      <c r="I571" s="16">
        <f t="shared" si="89"/>
        <v>105129975</v>
      </c>
      <c r="J571" s="17">
        <v>28</v>
      </c>
      <c r="K571" s="34">
        <v>4502288490</v>
      </c>
      <c r="L571" s="19">
        <v>5080909455</v>
      </c>
      <c r="M571" s="20">
        <v>5113170685</v>
      </c>
      <c r="N571" s="23"/>
      <c r="O571" s="22" t="s">
        <v>829</v>
      </c>
      <c r="P571" s="23" t="s">
        <v>313</v>
      </c>
      <c r="Q571" s="24" t="s">
        <v>31</v>
      </c>
      <c r="R571" s="25">
        <v>44632</v>
      </c>
      <c r="S571" s="28">
        <v>4902227795</v>
      </c>
      <c r="T571" s="27">
        <f t="shared" si="90"/>
        <v>3542200</v>
      </c>
      <c r="U571" s="28" t="s">
        <v>830</v>
      </c>
      <c r="V571" s="29">
        <v>5113167291</v>
      </c>
      <c r="W571" s="35"/>
      <c r="X571" s="29"/>
      <c r="Y571" s="36"/>
      <c r="Z571" s="29"/>
      <c r="AA571" s="31">
        <f t="shared" si="1"/>
        <v>44632</v>
      </c>
      <c r="AB571" s="32" t="str">
        <f t="shared" si="5"/>
        <v>marzo</v>
      </c>
    </row>
    <row r="572" spans="1:28" ht="12.75">
      <c r="A572" s="9" t="s">
        <v>39</v>
      </c>
      <c r="B572" s="10">
        <v>44635</v>
      </c>
      <c r="C572" s="11">
        <v>44637</v>
      </c>
      <c r="D572" s="42">
        <v>11</v>
      </c>
      <c r="E572" s="13" t="s">
        <v>831</v>
      </c>
      <c r="F572" s="13">
        <v>3025459</v>
      </c>
      <c r="G572" s="14">
        <v>14156</v>
      </c>
      <c r="H572" s="33">
        <v>8000</v>
      </c>
      <c r="I572" s="16">
        <f t="shared" si="89"/>
        <v>113248000</v>
      </c>
      <c r="J572" s="17">
        <v>28</v>
      </c>
      <c r="K572" s="34">
        <v>4502287553</v>
      </c>
      <c r="L572" s="19">
        <v>5080931488</v>
      </c>
      <c r="M572" s="20">
        <v>5113179323</v>
      </c>
      <c r="N572" s="23"/>
      <c r="O572" s="9" t="s">
        <v>37</v>
      </c>
      <c r="P572" s="23" t="s">
        <v>832</v>
      </c>
      <c r="Q572" s="24" t="s">
        <v>31</v>
      </c>
      <c r="R572" s="25">
        <v>44632</v>
      </c>
      <c r="S572" s="28"/>
      <c r="T572" s="35"/>
      <c r="U572" s="35"/>
      <c r="V572" s="29"/>
      <c r="W572" s="35"/>
      <c r="X572" s="29"/>
      <c r="Y572" s="36"/>
      <c r="Z572" s="29"/>
      <c r="AA572" s="31">
        <f t="shared" si="1"/>
        <v>44632</v>
      </c>
      <c r="AB572" s="32" t="str">
        <f t="shared" si="5"/>
        <v>marzo</v>
      </c>
    </row>
    <row r="573" spans="1:28" ht="12.75">
      <c r="A573" s="9" t="s">
        <v>61</v>
      </c>
      <c r="B573" s="10">
        <v>44635</v>
      </c>
      <c r="C573" s="11"/>
      <c r="D573" s="42">
        <v>11</v>
      </c>
      <c r="E573" s="13" t="s">
        <v>181</v>
      </c>
      <c r="F573" s="13">
        <v>3025459</v>
      </c>
      <c r="G573" s="37">
        <v>6757.5</v>
      </c>
      <c r="H573" s="33">
        <v>7550</v>
      </c>
      <c r="I573" s="16">
        <f t="shared" si="89"/>
        <v>51019125</v>
      </c>
      <c r="J573" s="17">
        <v>15</v>
      </c>
      <c r="K573" s="34">
        <v>4502287554</v>
      </c>
      <c r="L573" s="19">
        <v>5080939100</v>
      </c>
      <c r="M573" s="20">
        <v>5113168682</v>
      </c>
      <c r="N573" s="23"/>
      <c r="O573" s="9" t="s">
        <v>63</v>
      </c>
      <c r="P573" s="23"/>
      <c r="Q573" s="24" t="s">
        <v>31</v>
      </c>
      <c r="R573" s="25">
        <v>44633</v>
      </c>
      <c r="S573" s="28"/>
      <c r="T573" s="35"/>
      <c r="U573" s="35"/>
      <c r="V573" s="29"/>
      <c r="W573" s="35"/>
      <c r="X573" s="29"/>
      <c r="Y573" s="36"/>
      <c r="Z573" s="29"/>
      <c r="AA573" s="31">
        <f t="shared" si="1"/>
        <v>44633</v>
      </c>
      <c r="AB573" s="32" t="str">
        <f t="shared" si="5"/>
        <v>marzo</v>
      </c>
    </row>
    <row r="574" spans="1:28" ht="12.75">
      <c r="A574" s="9" t="s">
        <v>61</v>
      </c>
      <c r="B574" s="10">
        <v>44635</v>
      </c>
      <c r="C574" s="11"/>
      <c r="D574" s="42">
        <v>11</v>
      </c>
      <c r="E574" s="13" t="s">
        <v>833</v>
      </c>
      <c r="F574" s="13">
        <v>3025459</v>
      </c>
      <c r="G574" s="37">
        <v>6757.5</v>
      </c>
      <c r="H574" s="33">
        <v>100</v>
      </c>
      <c r="I574" s="16">
        <f>-H574*G574</f>
        <v>-675750</v>
      </c>
      <c r="J574" s="17">
        <v>0</v>
      </c>
      <c r="K574" s="34">
        <v>4502287554</v>
      </c>
      <c r="L574" s="19">
        <v>5080939100</v>
      </c>
      <c r="M574" s="20">
        <v>5113168686</v>
      </c>
      <c r="N574" s="23"/>
      <c r="O574" s="9"/>
      <c r="P574" s="23"/>
      <c r="Q574" s="24" t="s">
        <v>31</v>
      </c>
      <c r="R574" s="25">
        <v>44633</v>
      </c>
      <c r="S574" s="28"/>
      <c r="T574" s="35"/>
      <c r="U574" s="35"/>
      <c r="V574" s="29"/>
      <c r="W574" s="35"/>
      <c r="X574" s="29"/>
      <c r="Y574" s="36"/>
      <c r="Z574" s="29"/>
      <c r="AA574" s="31">
        <f t="shared" si="1"/>
        <v>44633</v>
      </c>
      <c r="AB574" s="32" t="str">
        <f t="shared" si="5"/>
        <v>marzo</v>
      </c>
    </row>
    <row r="575" spans="1:28" ht="12.75">
      <c r="A575" s="9" t="s">
        <v>233</v>
      </c>
      <c r="B575" s="10">
        <v>44633</v>
      </c>
      <c r="C575" s="11"/>
      <c r="D575" s="42">
        <v>11</v>
      </c>
      <c r="E575" s="13" t="s">
        <v>834</v>
      </c>
      <c r="F575" s="13">
        <v>3025459</v>
      </c>
      <c r="G575" s="37">
        <v>33962.5</v>
      </c>
      <c r="H575" s="33">
        <v>7900</v>
      </c>
      <c r="I575" s="16">
        <f>H575*G575</f>
        <v>268303750</v>
      </c>
      <c r="J575" s="17">
        <v>75</v>
      </c>
      <c r="K575" s="34">
        <v>4502287556</v>
      </c>
      <c r="L575" s="19">
        <v>5080938493</v>
      </c>
      <c r="M575" s="20">
        <v>5113169459</v>
      </c>
      <c r="N575" s="44"/>
      <c r="O575" s="9" t="s">
        <v>37</v>
      </c>
      <c r="P575" s="23" t="s">
        <v>835</v>
      </c>
      <c r="Q575" s="24" t="s">
        <v>31</v>
      </c>
      <c r="R575" s="25">
        <v>44633</v>
      </c>
      <c r="S575" s="28"/>
      <c r="T575" s="35"/>
      <c r="U575" s="35"/>
      <c r="V575" s="29"/>
      <c r="W575" s="35"/>
      <c r="X575" s="29"/>
      <c r="Y575" s="36"/>
      <c r="Z575" s="29"/>
      <c r="AA575" s="31">
        <f t="shared" si="1"/>
        <v>44633</v>
      </c>
      <c r="AB575" s="32" t="str">
        <f t="shared" si="5"/>
        <v>marzo</v>
      </c>
    </row>
    <row r="576" spans="1:28" ht="12.75">
      <c r="A576" s="9" t="s">
        <v>233</v>
      </c>
      <c r="B576" s="10">
        <v>44633</v>
      </c>
      <c r="C576" s="11"/>
      <c r="D576" s="42">
        <v>11</v>
      </c>
      <c r="E576" s="13" t="s">
        <v>836</v>
      </c>
      <c r="F576" s="13">
        <v>3025459</v>
      </c>
      <c r="G576" s="37">
        <v>33962.5</v>
      </c>
      <c r="H576" s="33">
        <f>7900-7845.35</f>
        <v>54.649999999999636</v>
      </c>
      <c r="I576" s="16">
        <f>-H576*G576</f>
        <v>-1856050.6249999877</v>
      </c>
      <c r="J576" s="17">
        <v>0</v>
      </c>
      <c r="K576" s="34">
        <v>4502287556</v>
      </c>
      <c r="L576" s="19">
        <v>5080938493</v>
      </c>
      <c r="M576" s="20">
        <v>5113169460</v>
      </c>
      <c r="N576" s="23"/>
      <c r="O576" s="9"/>
      <c r="P576" s="23"/>
      <c r="Q576" s="24" t="s">
        <v>31</v>
      </c>
      <c r="R576" s="25">
        <v>44633</v>
      </c>
      <c r="S576" s="28"/>
      <c r="T576" s="35"/>
      <c r="U576" s="35"/>
      <c r="V576" s="29"/>
      <c r="W576" s="35"/>
      <c r="X576" s="29"/>
      <c r="Y576" s="36"/>
      <c r="Z576" s="29"/>
      <c r="AA576" s="31">
        <f t="shared" si="1"/>
        <v>44633</v>
      </c>
      <c r="AB576" s="32" t="str">
        <f t="shared" si="5"/>
        <v>marzo</v>
      </c>
    </row>
    <row r="577" spans="1:28" ht="12.75">
      <c r="A577" s="9" t="s">
        <v>837</v>
      </c>
      <c r="B577" s="10">
        <v>44642</v>
      </c>
      <c r="C577" s="11"/>
      <c r="D577" s="42">
        <v>11</v>
      </c>
      <c r="E577" s="13" t="s">
        <v>838</v>
      </c>
      <c r="F577" s="13">
        <v>3025457</v>
      </c>
      <c r="G577" s="14">
        <v>6515</v>
      </c>
      <c r="H577" s="33">
        <v>7950</v>
      </c>
      <c r="I577" s="16">
        <f>H577*G577</f>
        <v>51794250</v>
      </c>
      <c r="J577" s="17">
        <v>14</v>
      </c>
      <c r="K577" s="34">
        <v>4502287557</v>
      </c>
      <c r="L577" s="19">
        <v>5080938496</v>
      </c>
      <c r="M577" s="20">
        <v>5113182405</v>
      </c>
      <c r="N577" s="23"/>
      <c r="O577" s="9"/>
      <c r="P577" s="23" t="s">
        <v>839</v>
      </c>
      <c r="Q577" s="24" t="s">
        <v>31</v>
      </c>
      <c r="R577" s="25">
        <v>44633</v>
      </c>
      <c r="S577" s="28"/>
      <c r="T577" s="35"/>
      <c r="U577" s="35"/>
      <c r="V577" s="29"/>
      <c r="W577" s="35"/>
      <c r="X577" s="29"/>
      <c r="Y577" s="36"/>
      <c r="Z577" s="29"/>
      <c r="AA577" s="31">
        <f t="shared" si="1"/>
        <v>44633</v>
      </c>
      <c r="AB577" s="32" t="str">
        <f t="shared" si="5"/>
        <v>marzo</v>
      </c>
    </row>
    <row r="578" spans="1:28" ht="12.75">
      <c r="A578" s="9" t="s">
        <v>837</v>
      </c>
      <c r="B578" s="10">
        <v>44642</v>
      </c>
      <c r="C578" s="11"/>
      <c r="D578" s="42">
        <v>11</v>
      </c>
      <c r="E578" s="13" t="s">
        <v>840</v>
      </c>
      <c r="F578" s="13">
        <v>3025457</v>
      </c>
      <c r="G578" s="14">
        <v>6515</v>
      </c>
      <c r="H578" s="33">
        <v>200</v>
      </c>
      <c r="I578" s="16">
        <f>-H578*G578</f>
        <v>-1303000</v>
      </c>
      <c r="J578" s="17">
        <v>0</v>
      </c>
      <c r="K578" s="34">
        <v>4502287557</v>
      </c>
      <c r="L578" s="19">
        <v>5080938496</v>
      </c>
      <c r="M578" s="20">
        <v>5113182447</v>
      </c>
      <c r="N578" s="23"/>
      <c r="O578" s="9"/>
      <c r="P578" s="23"/>
      <c r="Q578" s="24" t="s">
        <v>31</v>
      </c>
      <c r="R578" s="25">
        <v>44633</v>
      </c>
      <c r="S578" s="28"/>
      <c r="T578" s="35"/>
      <c r="U578" s="35"/>
      <c r="V578" s="29"/>
      <c r="W578" s="35"/>
      <c r="X578" s="29"/>
      <c r="Y578" s="36"/>
      <c r="Z578" s="29"/>
      <c r="AA578" s="31">
        <f t="shared" si="1"/>
        <v>44633</v>
      </c>
      <c r="AB578" s="32" t="str">
        <f t="shared" si="5"/>
        <v>marzo</v>
      </c>
    </row>
    <row r="579" spans="1:28" ht="12.75">
      <c r="A579" s="9" t="s">
        <v>135</v>
      </c>
      <c r="B579" s="10">
        <v>44642</v>
      </c>
      <c r="C579" s="11">
        <v>44643</v>
      </c>
      <c r="D579" s="42">
        <v>11</v>
      </c>
      <c r="E579" s="13" t="s">
        <v>841</v>
      </c>
      <c r="F579" s="13">
        <v>3025457</v>
      </c>
      <c r="G579" s="37">
        <v>12788.5</v>
      </c>
      <c r="H579" s="33">
        <v>7950</v>
      </c>
      <c r="I579" s="16">
        <f>H579*G579</f>
        <v>101668575</v>
      </c>
      <c r="J579" s="17">
        <v>30</v>
      </c>
      <c r="K579" s="34">
        <v>4502287558</v>
      </c>
      <c r="L579" s="19">
        <v>5080956190</v>
      </c>
      <c r="M579" s="20">
        <v>5113182544</v>
      </c>
      <c r="N579" s="23"/>
      <c r="O579" s="9" t="s">
        <v>37</v>
      </c>
      <c r="P579" s="23"/>
      <c r="Q579" s="24" t="s">
        <v>31</v>
      </c>
      <c r="R579" s="25">
        <v>44634</v>
      </c>
      <c r="S579" s="28"/>
      <c r="T579" s="35"/>
      <c r="U579" s="35"/>
      <c r="V579" s="29"/>
      <c r="W579" s="35"/>
      <c r="X579" s="29"/>
      <c r="Y579" s="36"/>
      <c r="Z579" s="29"/>
      <c r="AA579" s="31">
        <f t="shared" si="1"/>
        <v>44634</v>
      </c>
      <c r="AB579" s="32" t="str">
        <f t="shared" si="5"/>
        <v>marzo</v>
      </c>
    </row>
    <row r="580" spans="1:28" ht="12.75">
      <c r="A580" s="9" t="s">
        <v>135</v>
      </c>
      <c r="B580" s="10">
        <v>44642</v>
      </c>
      <c r="C580" s="11">
        <v>44643</v>
      </c>
      <c r="D580" s="42">
        <v>11</v>
      </c>
      <c r="E580" s="13" t="s">
        <v>77</v>
      </c>
      <c r="F580" s="13">
        <v>3025457</v>
      </c>
      <c r="G580" s="37">
        <v>12788.5</v>
      </c>
      <c r="H580" s="33">
        <f>7950-7940.92</f>
        <v>9.0799999999999272</v>
      </c>
      <c r="I580" s="16">
        <f>-H580*G580</f>
        <v>-116119.57999999907</v>
      </c>
      <c r="J580" s="17">
        <v>0</v>
      </c>
      <c r="K580" s="34">
        <v>4502287558</v>
      </c>
      <c r="L580" s="19">
        <v>5080956190</v>
      </c>
      <c r="M580" s="20">
        <v>5113182545</v>
      </c>
      <c r="N580" s="23"/>
      <c r="O580" s="9"/>
      <c r="P580" s="23"/>
      <c r="Q580" s="24" t="s">
        <v>31</v>
      </c>
      <c r="R580" s="25">
        <v>44634</v>
      </c>
      <c r="S580" s="28"/>
      <c r="T580" s="35"/>
      <c r="U580" s="35"/>
      <c r="V580" s="29"/>
      <c r="W580" s="35"/>
      <c r="X580" s="29"/>
      <c r="Y580" s="36"/>
      <c r="Z580" s="29"/>
      <c r="AA580" s="31">
        <f t="shared" si="1"/>
        <v>44634</v>
      </c>
      <c r="AB580" s="32" t="str">
        <f t="shared" si="5"/>
        <v>marzo</v>
      </c>
    </row>
    <row r="581" spans="1:28" ht="12.75">
      <c r="A581" s="9" t="s">
        <v>233</v>
      </c>
      <c r="B581" s="10">
        <v>44634</v>
      </c>
      <c r="C581" s="11"/>
      <c r="D581" s="42">
        <v>11</v>
      </c>
      <c r="E581" s="13" t="s">
        <v>842</v>
      </c>
      <c r="F581" s="13">
        <v>3025457</v>
      </c>
      <c r="G581" s="14">
        <v>27322</v>
      </c>
      <c r="H581" s="33">
        <v>7900</v>
      </c>
      <c r="I581" s="16">
        <f t="shared" ref="I581:I583" si="91">H581*G581</f>
        <v>215843800</v>
      </c>
      <c r="J581" s="17">
        <v>59</v>
      </c>
      <c r="K581" s="34">
        <v>4502287559</v>
      </c>
      <c r="L581" s="19">
        <v>5080956603</v>
      </c>
      <c r="M581" s="20">
        <v>5113180424</v>
      </c>
      <c r="N581" s="23"/>
      <c r="O581" s="9" t="s">
        <v>63</v>
      </c>
      <c r="P581" s="23" t="s">
        <v>835</v>
      </c>
      <c r="Q581" s="24" t="s">
        <v>31</v>
      </c>
      <c r="R581" s="25">
        <v>44634</v>
      </c>
      <c r="S581" s="28"/>
      <c r="T581" s="35"/>
      <c r="U581" s="35"/>
      <c r="V581" s="29"/>
      <c r="W581" s="35"/>
      <c r="X581" s="29"/>
      <c r="Y581" s="36"/>
      <c r="Z581" s="29"/>
      <c r="AA581" s="31">
        <f t="shared" si="1"/>
        <v>44634</v>
      </c>
      <c r="AB581" s="32" t="str">
        <f t="shared" si="5"/>
        <v>marzo</v>
      </c>
    </row>
    <row r="582" spans="1:28" ht="12.75">
      <c r="A582" s="9" t="s">
        <v>43</v>
      </c>
      <c r="B582" s="10">
        <v>44634</v>
      </c>
      <c r="C582" s="11">
        <v>44636</v>
      </c>
      <c r="D582" s="42">
        <v>11</v>
      </c>
      <c r="E582" s="13" t="s">
        <v>843</v>
      </c>
      <c r="F582" s="13">
        <v>3025457</v>
      </c>
      <c r="G582" s="14">
        <v>21279</v>
      </c>
      <c r="H582" s="33">
        <v>7800</v>
      </c>
      <c r="I582" s="16">
        <f t="shared" si="91"/>
        <v>165976200</v>
      </c>
      <c r="J582" s="17">
        <v>42</v>
      </c>
      <c r="K582" s="34">
        <v>4502287560</v>
      </c>
      <c r="L582" s="19">
        <v>5080956191</v>
      </c>
      <c r="M582" s="20">
        <v>5113169466</v>
      </c>
      <c r="N582" s="23"/>
      <c r="O582" s="47" t="s">
        <v>37</v>
      </c>
      <c r="P582" s="23"/>
      <c r="Q582" s="24" t="s">
        <v>31</v>
      </c>
      <c r="R582" s="25">
        <v>44634</v>
      </c>
      <c r="S582" s="28"/>
      <c r="T582" s="35"/>
      <c r="U582" s="35"/>
      <c r="V582" s="29"/>
      <c r="W582" s="35"/>
      <c r="X582" s="29"/>
      <c r="Y582" s="36"/>
      <c r="Z582" s="29"/>
      <c r="AA582" s="31">
        <f t="shared" si="1"/>
        <v>44634</v>
      </c>
      <c r="AB582" s="32" t="str">
        <f t="shared" si="5"/>
        <v>marzo</v>
      </c>
    </row>
    <row r="583" spans="1:28" ht="12.75">
      <c r="A583" s="9" t="s">
        <v>247</v>
      </c>
      <c r="B583" s="10">
        <v>44638</v>
      </c>
      <c r="C583" s="11">
        <v>44638</v>
      </c>
      <c r="D583" s="42">
        <v>11</v>
      </c>
      <c r="E583" s="13" t="s">
        <v>844</v>
      </c>
      <c r="F583" s="13">
        <v>3025457</v>
      </c>
      <c r="G583" s="37">
        <v>6146.5</v>
      </c>
      <c r="H583" s="33">
        <v>7700</v>
      </c>
      <c r="I583" s="16">
        <f t="shared" si="91"/>
        <v>47328050</v>
      </c>
      <c r="J583" s="17">
        <v>14</v>
      </c>
      <c r="K583" s="34">
        <v>4502287562</v>
      </c>
      <c r="L583" s="19">
        <v>5080956192</v>
      </c>
      <c r="M583" s="20">
        <v>5113174361</v>
      </c>
      <c r="N583" s="23"/>
      <c r="O583" s="9" t="s">
        <v>63</v>
      </c>
      <c r="P583" s="23"/>
      <c r="Q583" s="24" t="s">
        <v>31</v>
      </c>
      <c r="R583" s="25">
        <v>44634</v>
      </c>
      <c r="S583" s="28"/>
      <c r="T583" s="35"/>
      <c r="U583" s="35"/>
      <c r="V583" s="29"/>
      <c r="W583" s="35"/>
      <c r="X583" s="29"/>
      <c r="Y583" s="36"/>
      <c r="Z583" s="29"/>
      <c r="AA583" s="31">
        <f t="shared" si="1"/>
        <v>44634</v>
      </c>
      <c r="AB583" s="32" t="str">
        <f t="shared" si="5"/>
        <v>marzo</v>
      </c>
    </row>
    <row r="584" spans="1:28" ht="12.75">
      <c r="A584" s="9" t="s">
        <v>247</v>
      </c>
      <c r="B584" s="10">
        <v>44638</v>
      </c>
      <c r="C584" s="11">
        <v>44638</v>
      </c>
      <c r="D584" s="42">
        <v>11</v>
      </c>
      <c r="E584" s="13" t="s">
        <v>845</v>
      </c>
      <c r="F584" s="13">
        <v>3025457</v>
      </c>
      <c r="G584" s="37">
        <v>6146.5</v>
      </c>
      <c r="H584" s="33">
        <v>50</v>
      </c>
      <c r="I584" s="16">
        <f>-H584*G584</f>
        <v>-307325</v>
      </c>
      <c r="J584" s="17">
        <v>0</v>
      </c>
      <c r="K584" s="34">
        <v>4502287562</v>
      </c>
      <c r="L584" s="19">
        <v>5080956192</v>
      </c>
      <c r="M584" s="20">
        <v>5113174363</v>
      </c>
      <c r="N584" s="23"/>
      <c r="O584" s="9"/>
      <c r="P584" s="23"/>
      <c r="Q584" s="24" t="s">
        <v>31</v>
      </c>
      <c r="R584" s="25">
        <v>44634</v>
      </c>
      <c r="S584" s="28"/>
      <c r="T584" s="35"/>
      <c r="U584" s="35"/>
      <c r="V584" s="29"/>
      <c r="W584" s="35"/>
      <c r="X584" s="29"/>
      <c r="Y584" s="36"/>
      <c r="Z584" s="29"/>
      <c r="AA584" s="31">
        <f t="shared" si="1"/>
        <v>44634</v>
      </c>
      <c r="AB584" s="32" t="str">
        <f t="shared" si="5"/>
        <v>marzo</v>
      </c>
    </row>
    <row r="585" spans="1:28" ht="12.75">
      <c r="A585" s="9" t="s">
        <v>633</v>
      </c>
      <c r="B585" s="10">
        <v>44636</v>
      </c>
      <c r="C585" s="11">
        <v>44637</v>
      </c>
      <c r="D585" s="42">
        <v>11</v>
      </c>
      <c r="E585" s="13" t="s">
        <v>846</v>
      </c>
      <c r="F585" s="13">
        <v>3025457</v>
      </c>
      <c r="G585" s="14">
        <v>7201</v>
      </c>
      <c r="H585" s="33">
        <v>7750</v>
      </c>
      <c r="I585" s="16">
        <f t="shared" ref="I585:I586" si="92">H585*G585</f>
        <v>55807750</v>
      </c>
      <c r="J585" s="17">
        <v>14</v>
      </c>
      <c r="K585" s="34">
        <v>4502289183</v>
      </c>
      <c r="L585" s="19">
        <v>5080956196</v>
      </c>
      <c r="M585" s="20">
        <v>5113172519</v>
      </c>
      <c r="N585" s="23"/>
      <c r="O585" s="9" t="s">
        <v>37</v>
      </c>
      <c r="P585" s="23"/>
      <c r="Q585" s="24" t="s">
        <v>31</v>
      </c>
      <c r="R585" s="25">
        <v>44634</v>
      </c>
      <c r="S585" s="28"/>
      <c r="T585" s="35"/>
      <c r="U585" s="35"/>
      <c r="V585" s="29"/>
      <c r="W585" s="35"/>
      <c r="X585" s="29"/>
      <c r="Y585" s="36"/>
      <c r="Z585" s="29"/>
      <c r="AA585" s="31">
        <f t="shared" si="1"/>
        <v>44634</v>
      </c>
      <c r="AB585" s="32" t="str">
        <f t="shared" si="5"/>
        <v>marzo</v>
      </c>
    </row>
    <row r="586" spans="1:28" ht="12.75">
      <c r="A586" s="9" t="s">
        <v>58</v>
      </c>
      <c r="B586" s="10">
        <v>44636</v>
      </c>
      <c r="C586" s="11">
        <v>44636</v>
      </c>
      <c r="D586" s="42">
        <v>11</v>
      </c>
      <c r="E586" s="13" t="s">
        <v>847</v>
      </c>
      <c r="F586" s="13">
        <v>3025457</v>
      </c>
      <c r="G586" s="14">
        <v>13646</v>
      </c>
      <c r="H586" s="33">
        <v>8050</v>
      </c>
      <c r="I586" s="16">
        <f t="shared" si="92"/>
        <v>109850300</v>
      </c>
      <c r="J586" s="17">
        <v>30</v>
      </c>
      <c r="K586" s="34">
        <v>4502289275</v>
      </c>
      <c r="L586" s="19">
        <v>5080956604</v>
      </c>
      <c r="M586" s="20">
        <v>5113178934</v>
      </c>
      <c r="N586" s="23"/>
      <c r="O586" s="9" t="s">
        <v>37</v>
      </c>
      <c r="P586" s="23"/>
      <c r="Q586" s="24" t="s">
        <v>31</v>
      </c>
      <c r="R586" s="25">
        <v>44634</v>
      </c>
      <c r="S586" s="28"/>
      <c r="T586" s="35"/>
      <c r="U586" s="35"/>
      <c r="V586" s="29"/>
      <c r="W586" s="35"/>
      <c r="X586" s="29"/>
      <c r="Y586" s="36"/>
      <c r="Z586" s="29"/>
      <c r="AA586" s="31">
        <f t="shared" si="1"/>
        <v>44634</v>
      </c>
      <c r="AB586" s="32" t="str">
        <f t="shared" si="5"/>
        <v>marzo</v>
      </c>
    </row>
    <row r="587" spans="1:28" ht="12.75">
      <c r="A587" s="9" t="s">
        <v>58</v>
      </c>
      <c r="B587" s="10">
        <v>44636</v>
      </c>
      <c r="C587" s="11">
        <v>44636</v>
      </c>
      <c r="D587" s="42">
        <v>11</v>
      </c>
      <c r="E587" s="13" t="s">
        <v>848</v>
      </c>
      <c r="F587" s="13">
        <v>3025457</v>
      </c>
      <c r="G587" s="14">
        <v>13646</v>
      </c>
      <c r="H587" s="33">
        <v>150</v>
      </c>
      <c r="I587" s="16">
        <f>-H587*G587</f>
        <v>-2046900</v>
      </c>
      <c r="J587" s="17">
        <v>0</v>
      </c>
      <c r="K587" s="34">
        <v>4502289275</v>
      </c>
      <c r="L587" s="19">
        <v>5080956604</v>
      </c>
      <c r="M587" s="20">
        <v>5113178957</v>
      </c>
      <c r="N587" s="23"/>
      <c r="O587" s="9"/>
      <c r="P587" s="23"/>
      <c r="Q587" s="24" t="s">
        <v>31</v>
      </c>
      <c r="R587" s="25">
        <v>44634</v>
      </c>
      <c r="S587" s="28"/>
      <c r="T587" s="35"/>
      <c r="U587" s="35"/>
      <c r="V587" s="29"/>
      <c r="W587" s="35"/>
      <c r="X587" s="29"/>
      <c r="Y587" s="36"/>
      <c r="Z587" s="29"/>
      <c r="AA587" s="31">
        <f t="shared" si="1"/>
        <v>44634</v>
      </c>
      <c r="AB587" s="32" t="str">
        <f t="shared" si="5"/>
        <v>marzo</v>
      </c>
    </row>
    <row r="588" spans="1:28" ht="12.75">
      <c r="A588" s="9" t="s">
        <v>58</v>
      </c>
      <c r="B588" s="10">
        <v>44636</v>
      </c>
      <c r="C588" s="11">
        <v>44636</v>
      </c>
      <c r="D588" s="42">
        <v>11</v>
      </c>
      <c r="E588" s="13" t="s">
        <v>849</v>
      </c>
      <c r="F588" s="13">
        <v>3025457</v>
      </c>
      <c r="G588" s="37">
        <v>21642.5</v>
      </c>
      <c r="H588" s="33">
        <v>8050</v>
      </c>
      <c r="I588" s="16">
        <f t="shared" ref="I588:I590" si="93">H588*G588</f>
        <v>174222125</v>
      </c>
      <c r="J588" s="17">
        <v>45</v>
      </c>
      <c r="K588" s="34">
        <v>4502289275</v>
      </c>
      <c r="L588" s="19">
        <v>5080956604</v>
      </c>
      <c r="M588" s="20">
        <v>5113178958</v>
      </c>
      <c r="N588" s="23"/>
      <c r="O588" s="9" t="s">
        <v>37</v>
      </c>
      <c r="P588" s="23"/>
      <c r="Q588" s="24" t="s">
        <v>31</v>
      </c>
      <c r="R588" s="25">
        <v>44634</v>
      </c>
      <c r="S588" s="28"/>
      <c r="T588" s="35"/>
      <c r="U588" s="35"/>
      <c r="V588" s="29"/>
      <c r="W588" s="35"/>
      <c r="X588" s="29"/>
      <c r="Y588" s="36"/>
      <c r="Z588" s="29"/>
      <c r="AA588" s="31">
        <f t="shared" si="1"/>
        <v>44634</v>
      </c>
      <c r="AB588" s="32" t="str">
        <f t="shared" si="5"/>
        <v>marzo</v>
      </c>
    </row>
    <row r="589" spans="1:28" ht="12.75">
      <c r="A589" s="9" t="s">
        <v>404</v>
      </c>
      <c r="B589" s="10">
        <v>44635</v>
      </c>
      <c r="C589" s="11">
        <v>44636</v>
      </c>
      <c r="D589" s="42">
        <v>11</v>
      </c>
      <c r="E589" s="13" t="s">
        <v>850</v>
      </c>
      <c r="F589" s="13">
        <v>3025457</v>
      </c>
      <c r="G589" s="37">
        <v>19481.5</v>
      </c>
      <c r="H589" s="33">
        <v>8000</v>
      </c>
      <c r="I589" s="16">
        <f t="shared" si="93"/>
        <v>155852000</v>
      </c>
      <c r="J589" s="17">
        <v>42</v>
      </c>
      <c r="K589" s="34">
        <v>4502287564</v>
      </c>
      <c r="L589" s="19">
        <v>5080956193</v>
      </c>
      <c r="M589" s="20">
        <v>5113171739</v>
      </c>
      <c r="N589" s="23"/>
      <c r="O589" s="9" t="s">
        <v>37</v>
      </c>
      <c r="P589" s="23" t="s">
        <v>851</v>
      </c>
      <c r="Q589" s="24" t="s">
        <v>31</v>
      </c>
      <c r="R589" s="25">
        <v>44634</v>
      </c>
      <c r="S589" s="28"/>
      <c r="T589" s="35"/>
      <c r="U589" s="35"/>
      <c r="V589" s="29"/>
      <c r="W589" s="35"/>
      <c r="X589" s="29"/>
      <c r="Y589" s="36"/>
      <c r="Z589" s="29"/>
      <c r="AA589" s="31">
        <f t="shared" si="1"/>
        <v>44634</v>
      </c>
      <c r="AB589" s="32" t="str">
        <f t="shared" si="5"/>
        <v>marzo</v>
      </c>
    </row>
    <row r="590" spans="1:28" ht="12.75">
      <c r="A590" s="9" t="s">
        <v>39</v>
      </c>
      <c r="B590" s="10">
        <v>44636</v>
      </c>
      <c r="C590" s="11">
        <v>44636</v>
      </c>
      <c r="D590" s="42">
        <v>11</v>
      </c>
      <c r="E590" s="13" t="s">
        <v>852</v>
      </c>
      <c r="F590" s="13">
        <v>3025457</v>
      </c>
      <c r="G590" s="37">
        <v>13491.5</v>
      </c>
      <c r="H590" s="33">
        <v>8000</v>
      </c>
      <c r="I590" s="16">
        <f t="shared" si="93"/>
        <v>107932000</v>
      </c>
      <c r="J590" s="17">
        <v>28</v>
      </c>
      <c r="K590" s="34">
        <v>4502287565</v>
      </c>
      <c r="L590" s="19">
        <v>5080956194</v>
      </c>
      <c r="M590" s="20">
        <v>5113171740</v>
      </c>
      <c r="N590" s="44"/>
      <c r="O590" s="9" t="s">
        <v>37</v>
      </c>
      <c r="P590" s="23" t="s">
        <v>832</v>
      </c>
      <c r="Q590" s="24" t="s">
        <v>31</v>
      </c>
      <c r="R590" s="25">
        <v>44634</v>
      </c>
      <c r="S590" s="28"/>
      <c r="T590" s="35"/>
      <c r="U590" s="35"/>
      <c r="V590" s="29"/>
      <c r="W590" s="35"/>
      <c r="X590" s="29"/>
      <c r="Y590" s="36"/>
      <c r="Z590" s="29"/>
      <c r="AA590" s="31">
        <f t="shared" si="1"/>
        <v>44634</v>
      </c>
      <c r="AB590" s="32" t="str">
        <f t="shared" si="5"/>
        <v>marzo</v>
      </c>
    </row>
    <row r="591" spans="1:28" ht="12.75">
      <c r="A591" s="9" t="s">
        <v>39</v>
      </c>
      <c r="B591" s="10">
        <v>44636</v>
      </c>
      <c r="C591" s="11">
        <v>44636</v>
      </c>
      <c r="D591" s="42">
        <v>11</v>
      </c>
      <c r="E591" s="13" t="s">
        <v>222</v>
      </c>
      <c r="F591" s="13">
        <v>3025457</v>
      </c>
      <c r="G591" s="37">
        <v>13491.5</v>
      </c>
      <c r="H591" s="33">
        <f>8000-7997.25</f>
        <v>2.75</v>
      </c>
      <c r="I591" s="16">
        <f>-H591*G591</f>
        <v>-37101.625</v>
      </c>
      <c r="J591" s="17">
        <v>0</v>
      </c>
      <c r="K591" s="34">
        <v>4502287565</v>
      </c>
      <c r="L591" s="19">
        <v>5080956194</v>
      </c>
      <c r="M591" s="20">
        <v>5113171741</v>
      </c>
      <c r="N591" s="44"/>
      <c r="O591" s="9"/>
      <c r="P591" s="23"/>
      <c r="Q591" s="24" t="s">
        <v>31</v>
      </c>
      <c r="R591" s="25">
        <v>44634</v>
      </c>
      <c r="S591" s="28"/>
      <c r="T591" s="35"/>
      <c r="U591" s="35"/>
      <c r="V591" s="29"/>
      <c r="W591" s="35"/>
      <c r="X591" s="29"/>
      <c r="Y591" s="36"/>
      <c r="Z591" s="29"/>
      <c r="AA591" s="31">
        <f t="shared" si="1"/>
        <v>44634</v>
      </c>
      <c r="AB591" s="32" t="str">
        <f t="shared" si="5"/>
        <v>marzo</v>
      </c>
    </row>
    <row r="592" spans="1:28" ht="12.75">
      <c r="A592" s="9" t="s">
        <v>253</v>
      </c>
      <c r="B592" s="10">
        <v>44636</v>
      </c>
      <c r="C592" s="11">
        <v>44636</v>
      </c>
      <c r="D592" s="42">
        <v>11</v>
      </c>
      <c r="E592" s="13" t="s">
        <v>853</v>
      </c>
      <c r="F592" s="13">
        <v>3025457</v>
      </c>
      <c r="G592" s="37">
        <v>5807.5</v>
      </c>
      <c r="H592" s="33">
        <v>7650</v>
      </c>
      <c r="I592" s="16">
        <f>H592*G592</f>
        <v>44427375</v>
      </c>
      <c r="J592" s="17">
        <v>14</v>
      </c>
      <c r="K592" s="34">
        <v>4502287566</v>
      </c>
      <c r="L592" s="19">
        <v>5080956195</v>
      </c>
      <c r="M592" s="20">
        <v>5113170681</v>
      </c>
      <c r="N592" s="23"/>
      <c r="O592" s="9" t="s">
        <v>63</v>
      </c>
      <c r="P592" s="23" t="s">
        <v>854</v>
      </c>
      <c r="Q592" s="24" t="s">
        <v>31</v>
      </c>
      <c r="R592" s="25">
        <v>44634</v>
      </c>
      <c r="S592" s="28"/>
      <c r="T592" s="35"/>
      <c r="U592" s="35"/>
      <c r="V592" s="29"/>
      <c r="W592" s="35"/>
      <c r="X592" s="29"/>
      <c r="Y592" s="36"/>
      <c r="Z592" s="29"/>
      <c r="AA592" s="31">
        <f t="shared" si="1"/>
        <v>44634</v>
      </c>
      <c r="AB592" s="32" t="str">
        <f t="shared" si="5"/>
        <v>marzo</v>
      </c>
    </row>
    <row r="593" spans="1:28" ht="12.75">
      <c r="A593" s="9" t="s">
        <v>253</v>
      </c>
      <c r="B593" s="10">
        <v>44636</v>
      </c>
      <c r="C593" s="11">
        <v>44636</v>
      </c>
      <c r="D593" s="42">
        <v>11</v>
      </c>
      <c r="E593" s="13" t="s">
        <v>855</v>
      </c>
      <c r="F593" s="13">
        <v>3025457</v>
      </c>
      <c r="G593" s="37">
        <v>5807.5</v>
      </c>
      <c r="H593" s="33">
        <f>7650-7516.56</f>
        <v>133.4399999999996</v>
      </c>
      <c r="I593" s="16">
        <f>-H593*G593</f>
        <v>-774952.79999999772</v>
      </c>
      <c r="J593" s="17">
        <v>0</v>
      </c>
      <c r="K593" s="34">
        <v>4502287566</v>
      </c>
      <c r="L593" s="19">
        <v>5080956195</v>
      </c>
      <c r="M593" s="20">
        <v>5113170683</v>
      </c>
      <c r="N593" s="23"/>
      <c r="O593" s="9"/>
      <c r="P593" s="23"/>
      <c r="Q593" s="24" t="s">
        <v>31</v>
      </c>
      <c r="R593" s="25">
        <v>44634</v>
      </c>
      <c r="S593" s="28"/>
      <c r="T593" s="35"/>
      <c r="U593" s="35"/>
      <c r="V593" s="29"/>
      <c r="W593" s="35"/>
      <c r="X593" s="29"/>
      <c r="Y593" s="36"/>
      <c r="Z593" s="29"/>
      <c r="AA593" s="31">
        <f t="shared" si="1"/>
        <v>44634</v>
      </c>
      <c r="AB593" s="32" t="str">
        <f t="shared" si="5"/>
        <v>marzo</v>
      </c>
    </row>
    <row r="594" spans="1:28" ht="12.75">
      <c r="A594" s="9" t="s">
        <v>85</v>
      </c>
      <c r="B594" s="10">
        <v>44638</v>
      </c>
      <c r="C594" s="11">
        <v>44638</v>
      </c>
      <c r="D594" s="42">
        <v>11</v>
      </c>
      <c r="E594" s="13" t="s">
        <v>856</v>
      </c>
      <c r="F594" s="13">
        <v>3025457</v>
      </c>
      <c r="G594" s="14">
        <v>19593</v>
      </c>
      <c r="H594" s="57">
        <v>7750</v>
      </c>
      <c r="I594" s="16">
        <f t="shared" ref="I594:I602" si="94">H594*G594</f>
        <v>151845750</v>
      </c>
      <c r="J594" s="17">
        <v>42</v>
      </c>
      <c r="K594" s="34">
        <v>4502294994</v>
      </c>
      <c r="L594" s="19">
        <v>5081056849</v>
      </c>
      <c r="M594" s="20">
        <v>5113179092</v>
      </c>
      <c r="N594" s="44"/>
      <c r="O594" s="23" t="s">
        <v>63</v>
      </c>
      <c r="P594" s="23"/>
      <c r="Q594" s="24" t="s">
        <v>82</v>
      </c>
      <c r="R594" s="25">
        <v>44636</v>
      </c>
      <c r="S594" s="28"/>
      <c r="T594" s="35"/>
      <c r="U594" s="35"/>
      <c r="V594" s="29"/>
      <c r="W594" s="35"/>
      <c r="X594" s="29"/>
      <c r="Y594" s="36"/>
      <c r="Z594" s="29"/>
      <c r="AA594" s="31">
        <f t="shared" si="1"/>
        <v>44636</v>
      </c>
      <c r="AB594" s="32" t="str">
        <f t="shared" si="5"/>
        <v>marzo</v>
      </c>
    </row>
    <row r="595" spans="1:28" ht="12.75">
      <c r="A595" s="9" t="s">
        <v>89</v>
      </c>
      <c r="B595" s="10">
        <v>44638</v>
      </c>
      <c r="C595" s="11"/>
      <c r="D595" s="42">
        <v>11</v>
      </c>
      <c r="E595" s="13" t="s">
        <v>857</v>
      </c>
      <c r="F595" s="13">
        <v>3025457</v>
      </c>
      <c r="G595" s="14">
        <v>7257</v>
      </c>
      <c r="H595" s="57">
        <v>7650</v>
      </c>
      <c r="I595" s="16">
        <f t="shared" si="94"/>
        <v>55516050</v>
      </c>
      <c r="J595" s="17">
        <v>15</v>
      </c>
      <c r="K595" s="34">
        <v>4502295040</v>
      </c>
      <c r="L595" s="19">
        <v>5081057252</v>
      </c>
      <c r="M595" s="20">
        <v>5113188920</v>
      </c>
      <c r="N595" s="44"/>
      <c r="O595" s="23" t="s">
        <v>63</v>
      </c>
      <c r="P595" s="23" t="s">
        <v>858</v>
      </c>
      <c r="Q595" s="24" t="s">
        <v>82</v>
      </c>
      <c r="R595" s="25">
        <v>44636</v>
      </c>
      <c r="S595" s="28"/>
      <c r="T595" s="35"/>
      <c r="U595" s="35"/>
      <c r="V595" s="29"/>
      <c r="W595" s="35"/>
      <c r="X595" s="29"/>
      <c r="Y595" s="36"/>
      <c r="Z595" s="29"/>
      <c r="AA595" s="31">
        <f t="shared" si="1"/>
        <v>44636</v>
      </c>
      <c r="AB595" s="32" t="str">
        <f t="shared" si="5"/>
        <v>marzo</v>
      </c>
    </row>
    <row r="596" spans="1:28" ht="12.75">
      <c r="A596" s="9" t="s">
        <v>94</v>
      </c>
      <c r="B596" s="10">
        <v>44645</v>
      </c>
      <c r="C596" s="11">
        <v>44645</v>
      </c>
      <c r="D596" s="42">
        <v>11</v>
      </c>
      <c r="E596" s="13" t="s">
        <v>859</v>
      </c>
      <c r="F596" s="13">
        <v>3025457</v>
      </c>
      <c r="G596" s="14">
        <v>6446</v>
      </c>
      <c r="H596" s="57">
        <v>7700</v>
      </c>
      <c r="I596" s="16">
        <f t="shared" si="94"/>
        <v>49634200</v>
      </c>
      <c r="J596" s="17">
        <v>15</v>
      </c>
      <c r="K596" s="34">
        <v>4502295156</v>
      </c>
      <c r="L596" s="19">
        <v>5081058894</v>
      </c>
      <c r="M596" s="20">
        <v>5113188918</v>
      </c>
      <c r="N596" s="44"/>
      <c r="O596" s="9"/>
      <c r="P596" s="23" t="s">
        <v>860</v>
      </c>
      <c r="Q596" s="24" t="s">
        <v>82</v>
      </c>
      <c r="R596" s="25">
        <v>44636</v>
      </c>
      <c r="S596" s="28"/>
      <c r="T596" s="35"/>
      <c r="U596" s="35"/>
      <c r="V596" s="29"/>
      <c r="W596" s="35"/>
      <c r="X596" s="29"/>
      <c r="Y596" s="36"/>
      <c r="Z596" s="29"/>
      <c r="AA596" s="31">
        <f t="shared" si="1"/>
        <v>44636</v>
      </c>
      <c r="AB596" s="32" t="str">
        <f t="shared" si="5"/>
        <v>marzo</v>
      </c>
    </row>
    <row r="597" spans="1:28" ht="12.75">
      <c r="A597" s="9" t="s">
        <v>245</v>
      </c>
      <c r="B597" s="10">
        <v>44638</v>
      </c>
      <c r="C597" s="11">
        <v>44642</v>
      </c>
      <c r="D597" s="49">
        <v>12</v>
      </c>
      <c r="E597" s="13" t="s">
        <v>861</v>
      </c>
      <c r="F597" s="13">
        <v>3025457</v>
      </c>
      <c r="G597" s="14">
        <v>6945</v>
      </c>
      <c r="H597" s="33">
        <v>7650</v>
      </c>
      <c r="I597" s="16">
        <f t="shared" si="94"/>
        <v>53129250</v>
      </c>
      <c r="J597" s="17">
        <v>14</v>
      </c>
      <c r="K597" s="34">
        <v>4502292245</v>
      </c>
      <c r="L597" s="19">
        <v>5081058502</v>
      </c>
      <c r="M597" s="20">
        <v>5113184830</v>
      </c>
      <c r="N597" s="23"/>
      <c r="O597" s="9" t="s">
        <v>63</v>
      </c>
      <c r="P597" s="23"/>
      <c r="Q597" s="24" t="s">
        <v>31</v>
      </c>
      <c r="R597" s="25">
        <v>44638</v>
      </c>
      <c r="S597" s="28"/>
      <c r="T597" s="35"/>
      <c r="U597" s="35"/>
      <c r="V597" s="29"/>
      <c r="W597" s="35"/>
      <c r="X597" s="29"/>
      <c r="Y597" s="36"/>
      <c r="Z597" s="29"/>
      <c r="AA597" s="31">
        <f t="shared" si="1"/>
        <v>44638</v>
      </c>
      <c r="AB597" s="32" t="str">
        <f t="shared" si="5"/>
        <v>marzo</v>
      </c>
    </row>
    <row r="598" spans="1:28" ht="12.75">
      <c r="A598" s="9" t="s">
        <v>135</v>
      </c>
      <c r="B598" s="10">
        <v>44642</v>
      </c>
      <c r="C598" s="11">
        <v>44644</v>
      </c>
      <c r="D598" s="49">
        <v>12</v>
      </c>
      <c r="E598" s="13" t="s">
        <v>36</v>
      </c>
      <c r="F598" s="13">
        <v>3025457</v>
      </c>
      <c r="G598" s="37">
        <v>11376.5</v>
      </c>
      <c r="H598" s="33">
        <v>7950</v>
      </c>
      <c r="I598" s="16">
        <f t="shared" si="94"/>
        <v>90443175</v>
      </c>
      <c r="J598" s="17">
        <v>26</v>
      </c>
      <c r="K598" s="34">
        <v>4502292246</v>
      </c>
      <c r="L598" s="19">
        <v>5081058503</v>
      </c>
      <c r="M598" s="20">
        <v>5113186553</v>
      </c>
      <c r="N598" s="23"/>
      <c r="O598" s="9" t="s">
        <v>37</v>
      </c>
      <c r="P598" s="23"/>
      <c r="Q598" s="24" t="s">
        <v>31</v>
      </c>
      <c r="R598" s="25">
        <v>44638</v>
      </c>
      <c r="S598" s="28"/>
      <c r="T598" s="35"/>
      <c r="U598" s="35"/>
      <c r="V598" s="29"/>
      <c r="W598" s="35"/>
      <c r="X598" s="29"/>
      <c r="Y598" s="36"/>
      <c r="Z598" s="29"/>
      <c r="AA598" s="31">
        <f t="shared" si="1"/>
        <v>44638</v>
      </c>
      <c r="AB598" s="32" t="str">
        <f t="shared" si="5"/>
        <v>marzo</v>
      </c>
    </row>
    <row r="599" spans="1:28" ht="12.75">
      <c r="A599" s="9" t="s">
        <v>135</v>
      </c>
      <c r="B599" s="10">
        <v>44642</v>
      </c>
      <c r="C599" s="11">
        <v>44644</v>
      </c>
      <c r="D599" s="49">
        <v>12</v>
      </c>
      <c r="E599" s="13" t="s">
        <v>422</v>
      </c>
      <c r="F599" s="13">
        <v>3025457</v>
      </c>
      <c r="G599" s="37">
        <v>11376.5</v>
      </c>
      <c r="H599" s="33">
        <f>8000-7950</f>
        <v>50</v>
      </c>
      <c r="I599" s="16">
        <f t="shared" si="94"/>
        <v>568825</v>
      </c>
      <c r="J599" s="17">
        <v>0</v>
      </c>
      <c r="K599" s="34">
        <v>4502292246</v>
      </c>
      <c r="L599" s="19">
        <v>5081058503</v>
      </c>
      <c r="M599" s="20">
        <v>5113186555</v>
      </c>
      <c r="N599" s="23"/>
      <c r="O599" s="9"/>
      <c r="P599" s="23"/>
      <c r="Q599" s="24" t="s">
        <v>31</v>
      </c>
      <c r="R599" s="25">
        <v>44638</v>
      </c>
      <c r="S599" s="28"/>
      <c r="T599" s="35"/>
      <c r="U599" s="35"/>
      <c r="V599" s="29"/>
      <c r="W599" s="35"/>
      <c r="X599" s="29"/>
      <c r="Y599" s="36"/>
      <c r="Z599" s="29"/>
      <c r="AA599" s="31">
        <f t="shared" si="1"/>
        <v>44638</v>
      </c>
      <c r="AB599" s="32" t="str">
        <f t="shared" si="5"/>
        <v>marzo</v>
      </c>
    </row>
    <row r="600" spans="1:28" ht="12.75">
      <c r="A600" s="9" t="s">
        <v>492</v>
      </c>
      <c r="B600" s="10">
        <v>44642</v>
      </c>
      <c r="C600" s="11">
        <v>44615</v>
      </c>
      <c r="D600" s="49">
        <v>12</v>
      </c>
      <c r="E600" s="13" t="s">
        <v>862</v>
      </c>
      <c r="F600" s="13">
        <v>3025457</v>
      </c>
      <c r="G600" s="14">
        <v>11180</v>
      </c>
      <c r="H600" s="33">
        <v>7950</v>
      </c>
      <c r="I600" s="16">
        <f t="shared" si="94"/>
        <v>88881000</v>
      </c>
      <c r="J600" s="17">
        <v>26</v>
      </c>
      <c r="K600" s="34">
        <v>4502292247</v>
      </c>
      <c r="L600" s="19">
        <v>5081058504</v>
      </c>
      <c r="M600" s="20">
        <v>5113184776</v>
      </c>
      <c r="N600" s="23"/>
      <c r="O600" s="9" t="s">
        <v>37</v>
      </c>
      <c r="P600" s="23"/>
      <c r="Q600" s="24" t="s">
        <v>31</v>
      </c>
      <c r="R600" s="25">
        <v>44638</v>
      </c>
      <c r="S600" s="28"/>
      <c r="T600" s="35"/>
      <c r="U600" s="35"/>
      <c r="V600" s="29"/>
      <c r="W600" s="35"/>
      <c r="X600" s="29"/>
      <c r="Y600" s="36"/>
      <c r="Z600" s="29"/>
      <c r="AA600" s="31">
        <f t="shared" si="1"/>
        <v>44638</v>
      </c>
      <c r="AB600" s="32" t="str">
        <f t="shared" si="5"/>
        <v>marzo</v>
      </c>
    </row>
    <row r="601" spans="1:28" ht="12.75">
      <c r="A601" s="9" t="s">
        <v>492</v>
      </c>
      <c r="B601" s="10">
        <v>44642</v>
      </c>
      <c r="C601" s="11">
        <v>44643</v>
      </c>
      <c r="D601" s="49">
        <v>12</v>
      </c>
      <c r="E601" s="13" t="s">
        <v>863</v>
      </c>
      <c r="F601" s="13">
        <v>3025457</v>
      </c>
      <c r="G601" s="14">
        <v>11180</v>
      </c>
      <c r="H601" s="33">
        <f>7982.7-7950</f>
        <v>32.699999999999818</v>
      </c>
      <c r="I601" s="16">
        <f t="shared" si="94"/>
        <v>365585.99999999796</v>
      </c>
      <c r="J601" s="17">
        <v>0</v>
      </c>
      <c r="K601" s="34">
        <v>4502292247</v>
      </c>
      <c r="L601" s="19">
        <v>5081058504</v>
      </c>
      <c r="M601" s="20">
        <v>5113184802</v>
      </c>
      <c r="N601" s="23"/>
      <c r="O601" s="9"/>
      <c r="P601" s="23"/>
      <c r="Q601" s="24" t="s">
        <v>31</v>
      </c>
      <c r="R601" s="25">
        <v>44638</v>
      </c>
      <c r="S601" s="28"/>
      <c r="T601" s="35"/>
      <c r="U601" s="35"/>
      <c r="V601" s="29"/>
      <c r="W601" s="35"/>
      <c r="X601" s="29"/>
      <c r="Y601" s="36"/>
      <c r="Z601" s="29"/>
      <c r="AA601" s="31">
        <f t="shared" si="1"/>
        <v>44638</v>
      </c>
      <c r="AB601" s="32" t="str">
        <f t="shared" si="5"/>
        <v>marzo</v>
      </c>
    </row>
    <row r="602" spans="1:28" ht="12.75">
      <c r="A602" s="9" t="s">
        <v>58</v>
      </c>
      <c r="B602" s="10">
        <v>44643</v>
      </c>
      <c r="C602" s="11">
        <v>44643</v>
      </c>
      <c r="D602" s="49">
        <v>12</v>
      </c>
      <c r="E602" s="13" t="s">
        <v>864</v>
      </c>
      <c r="F602" s="13">
        <v>3025457</v>
      </c>
      <c r="G602" s="14">
        <v>6397</v>
      </c>
      <c r="H602" s="33">
        <v>8050</v>
      </c>
      <c r="I602" s="16">
        <f t="shared" si="94"/>
        <v>51495850</v>
      </c>
      <c r="J602" s="17">
        <v>15</v>
      </c>
      <c r="K602" s="34">
        <v>4502292248</v>
      </c>
      <c r="L602" s="19">
        <v>5081058505</v>
      </c>
      <c r="M602" s="20">
        <v>5113188487</v>
      </c>
      <c r="N602" s="23"/>
      <c r="O602" s="9" t="s">
        <v>37</v>
      </c>
      <c r="P602" s="23"/>
      <c r="Q602" s="24" t="s">
        <v>31</v>
      </c>
      <c r="R602" s="25">
        <v>44638</v>
      </c>
      <c r="S602" s="28"/>
      <c r="T602" s="35"/>
      <c r="U602" s="35"/>
      <c r="V602" s="29"/>
      <c r="W602" s="35"/>
      <c r="X602" s="29"/>
      <c r="Y602" s="36"/>
      <c r="Z602" s="29"/>
      <c r="AA602" s="31">
        <f t="shared" si="1"/>
        <v>44638</v>
      </c>
      <c r="AB602" s="32" t="str">
        <f t="shared" si="5"/>
        <v>marzo</v>
      </c>
    </row>
    <row r="603" spans="1:28" ht="12.75">
      <c r="A603" s="9" t="s">
        <v>58</v>
      </c>
      <c r="B603" s="10">
        <v>44643</v>
      </c>
      <c r="C603" s="11">
        <v>44643</v>
      </c>
      <c r="D603" s="49">
        <v>12</v>
      </c>
      <c r="E603" s="13" t="s">
        <v>865</v>
      </c>
      <c r="F603" s="13">
        <v>3025457</v>
      </c>
      <c r="G603" s="14">
        <v>6397</v>
      </c>
      <c r="H603" s="33">
        <f>8050-7919.37</f>
        <v>130.63000000000011</v>
      </c>
      <c r="I603" s="16">
        <f>-H603*G603</f>
        <v>-835640.11000000068</v>
      </c>
      <c r="J603" s="17">
        <v>0</v>
      </c>
      <c r="K603" s="34">
        <v>4502292248</v>
      </c>
      <c r="L603" s="19">
        <v>5081058505</v>
      </c>
      <c r="M603" s="20">
        <v>5113188489</v>
      </c>
      <c r="N603" s="23"/>
      <c r="O603" s="9"/>
      <c r="P603" s="23"/>
      <c r="Q603" s="24" t="s">
        <v>31</v>
      </c>
      <c r="R603" s="25">
        <v>44638</v>
      </c>
      <c r="S603" s="28"/>
      <c r="T603" s="35"/>
      <c r="U603" s="35"/>
      <c r="V603" s="29"/>
      <c r="W603" s="35"/>
      <c r="X603" s="29"/>
      <c r="Y603" s="36"/>
      <c r="Z603" s="29"/>
      <c r="AA603" s="31">
        <f t="shared" si="1"/>
        <v>44638</v>
      </c>
      <c r="AB603" s="32" t="str">
        <f t="shared" si="5"/>
        <v>marzo</v>
      </c>
    </row>
    <row r="604" spans="1:28" ht="12.75">
      <c r="A604" s="9" t="s">
        <v>58</v>
      </c>
      <c r="B604" s="10">
        <v>44643</v>
      </c>
      <c r="C604" s="11">
        <v>44643</v>
      </c>
      <c r="D604" s="49">
        <v>12</v>
      </c>
      <c r="E604" s="13" t="s">
        <v>866</v>
      </c>
      <c r="F604" s="13">
        <v>3025457</v>
      </c>
      <c r="G604" s="14">
        <v>33523</v>
      </c>
      <c r="H604" s="33">
        <v>8050</v>
      </c>
      <c r="I604" s="16">
        <f>H604*G604</f>
        <v>269860150</v>
      </c>
      <c r="J604" s="17">
        <v>73</v>
      </c>
      <c r="K604" s="34">
        <v>4502292248</v>
      </c>
      <c r="L604" s="19">
        <v>5081058505</v>
      </c>
      <c r="M604" s="20">
        <v>5113188490</v>
      </c>
      <c r="N604" s="23"/>
      <c r="O604" s="9" t="s">
        <v>37</v>
      </c>
      <c r="P604" s="23" t="s">
        <v>867</v>
      </c>
      <c r="Q604" s="24" t="s">
        <v>31</v>
      </c>
      <c r="R604" s="25">
        <v>44638</v>
      </c>
      <c r="S604" s="28"/>
      <c r="T604" s="35"/>
      <c r="U604" s="35"/>
      <c r="V604" s="29"/>
      <c r="W604" s="35"/>
      <c r="X604" s="29"/>
      <c r="Y604" s="36"/>
      <c r="Z604" s="29"/>
      <c r="AA604" s="31">
        <f t="shared" si="1"/>
        <v>44638</v>
      </c>
      <c r="AB604" s="32" t="str">
        <f t="shared" si="5"/>
        <v>marzo</v>
      </c>
    </row>
    <row r="605" spans="1:28" ht="12.75">
      <c r="A605" s="9" t="s">
        <v>58</v>
      </c>
      <c r="B605" s="10">
        <v>44643</v>
      </c>
      <c r="C605" s="11">
        <v>44643</v>
      </c>
      <c r="D605" s="49">
        <v>12</v>
      </c>
      <c r="E605" s="13" t="s">
        <v>868</v>
      </c>
      <c r="F605" s="13">
        <v>3025457</v>
      </c>
      <c r="G605" s="14">
        <v>33523</v>
      </c>
      <c r="H605" s="33">
        <f>8050-8045.47</f>
        <v>4.5299999999997453</v>
      </c>
      <c r="I605" s="16">
        <f>-H605*G605</f>
        <v>-151859.18999999147</v>
      </c>
      <c r="J605" s="17">
        <v>0</v>
      </c>
      <c r="K605" s="34">
        <v>4502292248</v>
      </c>
      <c r="L605" s="19">
        <v>5081058505</v>
      </c>
      <c r="M605" s="20">
        <v>5113188491</v>
      </c>
      <c r="N605" s="23"/>
      <c r="O605" s="9"/>
      <c r="P605" s="23"/>
      <c r="Q605" s="24" t="s">
        <v>31</v>
      </c>
      <c r="R605" s="25">
        <v>44638</v>
      </c>
      <c r="S605" s="28"/>
      <c r="T605" s="35"/>
      <c r="U605" s="35"/>
      <c r="V605" s="29"/>
      <c r="W605" s="35"/>
      <c r="X605" s="29"/>
      <c r="Y605" s="36"/>
      <c r="Z605" s="29"/>
      <c r="AA605" s="31">
        <f t="shared" si="1"/>
        <v>44638</v>
      </c>
      <c r="AB605" s="32" t="str">
        <f t="shared" si="5"/>
        <v>marzo</v>
      </c>
    </row>
    <row r="606" spans="1:28" ht="12.75">
      <c r="A606" s="9" t="s">
        <v>253</v>
      </c>
      <c r="B606" s="10">
        <v>44642</v>
      </c>
      <c r="C606" s="11">
        <v>44642</v>
      </c>
      <c r="D606" s="49">
        <v>12</v>
      </c>
      <c r="E606" s="13" t="s">
        <v>869</v>
      </c>
      <c r="F606" s="13">
        <v>3025459</v>
      </c>
      <c r="G606" s="14">
        <v>7087</v>
      </c>
      <c r="H606" s="33">
        <v>7650</v>
      </c>
      <c r="I606" s="16">
        <f>H606*G606</f>
        <v>54215550</v>
      </c>
      <c r="J606" s="17">
        <v>15</v>
      </c>
      <c r="K606" s="34">
        <v>4502292249</v>
      </c>
      <c r="L606" s="19">
        <v>5081058506</v>
      </c>
      <c r="M606" s="20">
        <v>5113182497</v>
      </c>
      <c r="N606" s="23"/>
      <c r="O606" s="9" t="s">
        <v>63</v>
      </c>
      <c r="P606" s="23"/>
      <c r="Q606" s="24" t="s">
        <v>31</v>
      </c>
      <c r="R606" s="25">
        <v>44638</v>
      </c>
      <c r="S606" s="28"/>
      <c r="T606" s="35"/>
      <c r="U606" s="35"/>
      <c r="V606" s="29"/>
      <c r="W606" s="35"/>
      <c r="X606" s="29"/>
      <c r="Y606" s="36"/>
      <c r="Z606" s="29"/>
      <c r="AA606" s="31">
        <f t="shared" si="1"/>
        <v>44638</v>
      </c>
      <c r="AB606" s="32" t="str">
        <f t="shared" si="5"/>
        <v>marzo</v>
      </c>
    </row>
    <row r="607" spans="1:28" ht="12.75">
      <c r="A607" s="82" t="s">
        <v>253</v>
      </c>
      <c r="B607" s="10">
        <v>44642</v>
      </c>
      <c r="C607" s="11">
        <v>44642</v>
      </c>
      <c r="D607" s="49">
        <v>12</v>
      </c>
      <c r="E607" s="13" t="s">
        <v>870</v>
      </c>
      <c r="F607" s="13">
        <v>3025459</v>
      </c>
      <c r="G607" s="14">
        <v>7087</v>
      </c>
      <c r="H607" s="33">
        <v>100</v>
      </c>
      <c r="I607" s="16">
        <f>-H607*G607</f>
        <v>-708700</v>
      </c>
      <c r="J607" s="17">
        <v>0</v>
      </c>
      <c r="K607" s="34">
        <v>4502292249</v>
      </c>
      <c r="L607" s="19">
        <v>5081058506</v>
      </c>
      <c r="M607" s="20">
        <v>5113182501</v>
      </c>
      <c r="N607" s="23"/>
      <c r="O607" s="9"/>
      <c r="P607" s="23"/>
      <c r="Q607" s="24" t="s">
        <v>31</v>
      </c>
      <c r="R607" s="25">
        <v>44638</v>
      </c>
      <c r="S607" s="28"/>
      <c r="T607" s="35"/>
      <c r="U607" s="35"/>
      <c r="V607" s="29"/>
      <c r="W607" s="35"/>
      <c r="X607" s="29"/>
      <c r="Y607" s="36"/>
      <c r="Z607" s="29"/>
      <c r="AA607" s="31">
        <f t="shared" si="1"/>
        <v>44638</v>
      </c>
      <c r="AB607" s="32" t="str">
        <f t="shared" si="5"/>
        <v>marzo</v>
      </c>
    </row>
    <row r="608" spans="1:28" ht="12.75">
      <c r="A608" s="9" t="s">
        <v>46</v>
      </c>
      <c r="B608" s="10">
        <v>44638</v>
      </c>
      <c r="C608" s="11">
        <v>44642</v>
      </c>
      <c r="D608" s="49">
        <v>12</v>
      </c>
      <c r="E608" s="13" t="s">
        <v>871</v>
      </c>
      <c r="F608" s="13">
        <v>3025459</v>
      </c>
      <c r="G608" s="14">
        <v>21886</v>
      </c>
      <c r="H608" s="33">
        <v>8100</v>
      </c>
      <c r="I608" s="16">
        <f t="shared" ref="I608:I611" si="95">H608*G608</f>
        <v>177276600</v>
      </c>
      <c r="J608" s="17">
        <v>45</v>
      </c>
      <c r="K608" s="34">
        <v>4502292250</v>
      </c>
      <c r="L608" s="19">
        <v>5081064991</v>
      </c>
      <c r="M608" s="20">
        <v>5113182451</v>
      </c>
      <c r="N608" s="44"/>
      <c r="O608" s="9" t="s">
        <v>37</v>
      </c>
      <c r="P608" s="23"/>
      <c r="Q608" s="24" t="s">
        <v>31</v>
      </c>
      <c r="R608" s="25">
        <v>44638</v>
      </c>
      <c r="S608" s="28"/>
      <c r="T608" s="35"/>
      <c r="U608" s="35"/>
      <c r="V608" s="29"/>
      <c r="W608" s="35"/>
      <c r="X608" s="29"/>
      <c r="Y608" s="36"/>
      <c r="Z608" s="29"/>
      <c r="AA608" s="31">
        <f t="shared" si="1"/>
        <v>44638</v>
      </c>
      <c r="AB608" s="32" t="str">
        <f t="shared" si="5"/>
        <v>marzo</v>
      </c>
    </row>
    <row r="609" spans="1:28" ht="12.75">
      <c r="A609" s="9" t="s">
        <v>122</v>
      </c>
      <c r="B609" s="10">
        <v>44642</v>
      </c>
      <c r="C609" s="11">
        <v>44642</v>
      </c>
      <c r="D609" s="49">
        <v>12</v>
      </c>
      <c r="E609" s="13">
        <v>101</v>
      </c>
      <c r="F609" s="13">
        <v>3025459</v>
      </c>
      <c r="G609" s="37">
        <v>7538.5</v>
      </c>
      <c r="H609" s="33">
        <v>7700</v>
      </c>
      <c r="I609" s="16">
        <f t="shared" si="95"/>
        <v>58046450</v>
      </c>
      <c r="J609" s="17">
        <v>15</v>
      </c>
      <c r="K609" s="34">
        <v>4502292251</v>
      </c>
      <c r="L609" s="19">
        <v>5081058507</v>
      </c>
      <c r="M609" s="20">
        <v>5113190422</v>
      </c>
      <c r="N609" s="44"/>
      <c r="O609" s="9" t="s">
        <v>63</v>
      </c>
      <c r="P609" s="23" t="s">
        <v>872</v>
      </c>
      <c r="Q609" s="24" t="s">
        <v>31</v>
      </c>
      <c r="R609" s="25">
        <v>44638</v>
      </c>
      <c r="S609" s="28"/>
      <c r="T609" s="35"/>
      <c r="U609" s="35"/>
      <c r="V609" s="29"/>
      <c r="W609" s="35"/>
      <c r="X609" s="29"/>
      <c r="Y609" s="36"/>
      <c r="Z609" s="29"/>
      <c r="AA609" s="31">
        <f t="shared" si="1"/>
        <v>44638</v>
      </c>
      <c r="AB609" s="32" t="str">
        <f t="shared" si="5"/>
        <v>marzo</v>
      </c>
    </row>
    <row r="610" spans="1:28" ht="12.75">
      <c r="A610" s="9" t="s">
        <v>122</v>
      </c>
      <c r="B610" s="10">
        <v>44642</v>
      </c>
      <c r="C610" s="11">
        <v>44643</v>
      </c>
      <c r="D610" s="49">
        <v>12</v>
      </c>
      <c r="E610" s="13" t="s">
        <v>863</v>
      </c>
      <c r="F610" s="13">
        <v>3025459</v>
      </c>
      <c r="G610" s="37">
        <v>7538.5</v>
      </c>
      <c r="H610" s="33">
        <v>50</v>
      </c>
      <c r="I610" s="16">
        <f t="shared" si="95"/>
        <v>376925</v>
      </c>
      <c r="J610" s="17">
        <v>0</v>
      </c>
      <c r="K610" s="34">
        <v>4502292251</v>
      </c>
      <c r="L610" s="19">
        <v>5081058507</v>
      </c>
      <c r="M610" s="20">
        <v>5113190482</v>
      </c>
      <c r="N610" s="44"/>
      <c r="O610" s="9"/>
      <c r="P610" s="23"/>
      <c r="Q610" s="24" t="s">
        <v>31</v>
      </c>
      <c r="R610" s="25">
        <v>44638</v>
      </c>
      <c r="S610" s="28"/>
      <c r="T610" s="35"/>
      <c r="U610" s="35"/>
      <c r="V610" s="29"/>
      <c r="W610" s="35"/>
      <c r="X610" s="29"/>
      <c r="Y610" s="36"/>
      <c r="Z610" s="29"/>
      <c r="AA610" s="31">
        <f t="shared" si="1"/>
        <v>44638</v>
      </c>
      <c r="AB610" s="32" t="str">
        <f t="shared" si="5"/>
        <v>marzo</v>
      </c>
    </row>
    <row r="611" spans="1:28" ht="12.75">
      <c r="A611" s="9" t="s">
        <v>873</v>
      </c>
      <c r="B611" s="10">
        <v>44643</v>
      </c>
      <c r="C611" s="11">
        <v>44643</v>
      </c>
      <c r="D611" s="49">
        <v>12</v>
      </c>
      <c r="E611" s="13" t="s">
        <v>874</v>
      </c>
      <c r="F611" s="13">
        <v>3025459</v>
      </c>
      <c r="G611" s="14">
        <v>6507</v>
      </c>
      <c r="H611" s="33">
        <v>7850</v>
      </c>
      <c r="I611" s="16">
        <f t="shared" si="95"/>
        <v>51079950</v>
      </c>
      <c r="J611" s="17">
        <v>14</v>
      </c>
      <c r="K611" s="34">
        <v>4502300963</v>
      </c>
      <c r="L611" s="19">
        <v>5081195631</v>
      </c>
      <c r="M611" s="20">
        <v>5113202841</v>
      </c>
      <c r="N611" s="44"/>
      <c r="O611" s="9" t="s">
        <v>313</v>
      </c>
      <c r="P611" s="23" t="s">
        <v>875</v>
      </c>
      <c r="Q611" s="24" t="s">
        <v>31</v>
      </c>
      <c r="R611" s="25">
        <v>44638</v>
      </c>
      <c r="S611" s="28"/>
      <c r="T611" s="35"/>
      <c r="U611" s="35"/>
      <c r="V611" s="29"/>
      <c r="W611" s="35"/>
      <c r="X611" s="29"/>
      <c r="Y611" s="36"/>
      <c r="Z611" s="29"/>
      <c r="AA611" s="31">
        <f t="shared" si="1"/>
        <v>44638</v>
      </c>
      <c r="AB611" s="32" t="str">
        <f t="shared" si="5"/>
        <v>marzo</v>
      </c>
    </row>
    <row r="612" spans="1:28" ht="12.75">
      <c r="A612" s="9" t="s">
        <v>873</v>
      </c>
      <c r="B612" s="10">
        <v>44643</v>
      </c>
      <c r="C612" s="11">
        <v>44643</v>
      </c>
      <c r="D612" s="49">
        <v>12</v>
      </c>
      <c r="E612" s="13" t="s">
        <v>876</v>
      </c>
      <c r="F612" s="13">
        <v>3025459</v>
      </c>
      <c r="G612" s="14">
        <v>6507</v>
      </c>
      <c r="H612" s="33">
        <f>7850-7793.9</f>
        <v>56.100000000000364</v>
      </c>
      <c r="I612" s="16">
        <f>-H612*G612</f>
        <v>-365042.70000000234</v>
      </c>
      <c r="J612" s="17">
        <v>0</v>
      </c>
      <c r="K612" s="34">
        <v>4502300963</v>
      </c>
      <c r="L612" s="19">
        <v>5081195631</v>
      </c>
      <c r="M612" s="20">
        <v>5113202842</v>
      </c>
      <c r="N612" s="44"/>
      <c r="O612" s="9" t="s">
        <v>877</v>
      </c>
      <c r="P612" s="23" t="s">
        <v>878</v>
      </c>
      <c r="Q612" s="24" t="s">
        <v>31</v>
      </c>
      <c r="R612" s="25">
        <v>44638</v>
      </c>
      <c r="S612" s="28"/>
      <c r="T612" s="35"/>
      <c r="U612" s="35"/>
      <c r="V612" s="29"/>
      <c r="W612" s="35"/>
      <c r="X612" s="29"/>
      <c r="Y612" s="36"/>
      <c r="Z612" s="29"/>
      <c r="AA612" s="31">
        <f t="shared" si="1"/>
        <v>44638</v>
      </c>
      <c r="AB612" s="32" t="str">
        <f t="shared" si="5"/>
        <v>marzo</v>
      </c>
    </row>
    <row r="613" spans="1:28" ht="12.75">
      <c r="A613" s="9" t="s">
        <v>58</v>
      </c>
      <c r="B613" s="10">
        <v>44643</v>
      </c>
      <c r="C613" s="11">
        <v>44643</v>
      </c>
      <c r="D613" s="49">
        <v>12</v>
      </c>
      <c r="E613" s="13" t="s">
        <v>879</v>
      </c>
      <c r="F613" s="13">
        <v>3025461</v>
      </c>
      <c r="G613" s="14">
        <v>19390</v>
      </c>
      <c r="H613" s="83">
        <v>8200</v>
      </c>
      <c r="I613" s="84">
        <f t="shared" ref="I613:I619" si="96">H613*G613</f>
        <v>158998000</v>
      </c>
      <c r="J613" s="17">
        <v>41</v>
      </c>
      <c r="K613" s="85">
        <v>4502297249</v>
      </c>
      <c r="L613" s="19">
        <v>5081103021</v>
      </c>
      <c r="M613" s="20">
        <v>5113188492</v>
      </c>
      <c r="N613" s="23"/>
      <c r="O613" s="9" t="s">
        <v>37</v>
      </c>
      <c r="P613" s="23" t="s">
        <v>867</v>
      </c>
      <c r="Q613" s="24" t="s">
        <v>522</v>
      </c>
      <c r="R613" s="25">
        <v>44638</v>
      </c>
      <c r="S613" s="28"/>
      <c r="T613" s="35"/>
      <c r="U613" s="35"/>
      <c r="V613" s="29"/>
      <c r="W613" s="35"/>
      <c r="X613" s="29"/>
      <c r="Y613" s="36"/>
      <c r="Z613" s="29"/>
      <c r="AA613" s="31">
        <f t="shared" si="1"/>
        <v>44638</v>
      </c>
      <c r="AB613" s="32" t="str">
        <f t="shared" si="5"/>
        <v>marzo</v>
      </c>
    </row>
    <row r="614" spans="1:28" ht="12.75">
      <c r="A614" s="9" t="s">
        <v>116</v>
      </c>
      <c r="B614" s="10">
        <v>44642</v>
      </c>
      <c r="C614" s="11">
        <v>44642</v>
      </c>
      <c r="D614" s="49">
        <v>12</v>
      </c>
      <c r="E614" s="13" t="s">
        <v>880</v>
      </c>
      <c r="F614" s="13">
        <v>3025461</v>
      </c>
      <c r="G614" s="14">
        <v>106481</v>
      </c>
      <c r="H614" s="57">
        <v>8335</v>
      </c>
      <c r="I614" s="16">
        <f t="shared" si="96"/>
        <v>887519135</v>
      </c>
      <c r="J614" s="17">
        <v>210</v>
      </c>
      <c r="K614" s="34">
        <v>4502294629</v>
      </c>
      <c r="L614" s="19">
        <v>5081039984</v>
      </c>
      <c r="M614" s="20">
        <v>5113181585</v>
      </c>
      <c r="N614" s="23" t="s">
        <v>37</v>
      </c>
      <c r="O614" s="22" t="s">
        <v>881</v>
      </c>
      <c r="P614" s="23"/>
      <c r="Q614" s="24" t="s">
        <v>522</v>
      </c>
      <c r="R614" s="25">
        <v>44638</v>
      </c>
      <c r="S614" s="85">
        <v>4502297249</v>
      </c>
      <c r="T614" s="27">
        <v>15371000</v>
      </c>
      <c r="U614" s="28" t="s">
        <v>882</v>
      </c>
      <c r="V614" s="29" t="s">
        <v>883</v>
      </c>
      <c r="W614" s="28" t="s">
        <v>884</v>
      </c>
      <c r="X614" s="29" t="s">
        <v>885</v>
      </c>
      <c r="Y614" s="30" t="s">
        <v>886</v>
      </c>
      <c r="Z614" s="29" t="s">
        <v>887</v>
      </c>
      <c r="AA614" s="31">
        <f t="shared" si="1"/>
        <v>44638</v>
      </c>
      <c r="AB614" s="32" t="str">
        <f t="shared" si="5"/>
        <v>marzo</v>
      </c>
    </row>
    <row r="615" spans="1:28" ht="12.75">
      <c r="A615" s="9" t="s">
        <v>443</v>
      </c>
      <c r="B615" s="10">
        <v>44638</v>
      </c>
      <c r="C615" s="11">
        <v>44645</v>
      </c>
      <c r="D615" s="49">
        <v>12</v>
      </c>
      <c r="E615" s="13" t="s">
        <v>888</v>
      </c>
      <c r="F615" s="13">
        <v>3025460</v>
      </c>
      <c r="G615" s="14">
        <v>28891</v>
      </c>
      <c r="H615" s="57">
        <v>7800</v>
      </c>
      <c r="I615" s="16">
        <f t="shared" si="96"/>
        <v>225349800</v>
      </c>
      <c r="J615" s="17">
        <v>56</v>
      </c>
      <c r="K615" s="34">
        <v>4502295875</v>
      </c>
      <c r="L615" s="19">
        <v>5081076458</v>
      </c>
      <c r="M615" s="20">
        <v>5113189054</v>
      </c>
      <c r="N615" s="23"/>
      <c r="O615" s="9" t="s">
        <v>63</v>
      </c>
      <c r="P615" s="23"/>
      <c r="Q615" s="24" t="s">
        <v>82</v>
      </c>
      <c r="R615" s="25">
        <v>44638</v>
      </c>
      <c r="S615" s="28"/>
      <c r="T615" s="35"/>
      <c r="U615" s="35"/>
      <c r="V615" s="29"/>
      <c r="W615" s="35"/>
      <c r="X615" s="29"/>
      <c r="Y615" s="36"/>
      <c r="Z615" s="29"/>
      <c r="AA615" s="31">
        <f t="shared" si="1"/>
        <v>44638</v>
      </c>
      <c r="AB615" s="32" t="str">
        <f t="shared" si="5"/>
        <v>marzo</v>
      </c>
    </row>
    <row r="616" spans="1:28" ht="12.75">
      <c r="A616" s="9" t="s">
        <v>80</v>
      </c>
      <c r="B616" s="10">
        <v>44638</v>
      </c>
      <c r="C616" s="11">
        <v>44642</v>
      </c>
      <c r="D616" s="49">
        <v>12</v>
      </c>
      <c r="E616" s="13" t="s">
        <v>889</v>
      </c>
      <c r="F616" s="13">
        <v>3025460</v>
      </c>
      <c r="G616" s="14">
        <v>20560</v>
      </c>
      <c r="H616" s="57">
        <v>7850</v>
      </c>
      <c r="I616" s="16">
        <f t="shared" si="96"/>
        <v>161396000</v>
      </c>
      <c r="J616" s="17">
        <v>42</v>
      </c>
      <c r="K616" s="34">
        <v>4502295880</v>
      </c>
      <c r="L616" s="19">
        <v>5081076588</v>
      </c>
      <c r="M616" s="20">
        <v>5113185338</v>
      </c>
      <c r="N616" s="23" t="s">
        <v>37</v>
      </c>
      <c r="O616" s="9"/>
      <c r="P616" s="23"/>
      <c r="Q616" s="24" t="s">
        <v>82</v>
      </c>
      <c r="R616" s="25">
        <v>44638</v>
      </c>
      <c r="S616" s="28"/>
      <c r="T616" s="35"/>
      <c r="U616" s="35"/>
      <c r="V616" s="29"/>
      <c r="W616" s="35"/>
      <c r="X616" s="29"/>
      <c r="Y616" s="36"/>
      <c r="Z616" s="29"/>
      <c r="AA616" s="31">
        <f t="shared" si="1"/>
        <v>44638</v>
      </c>
      <c r="AB616" s="32" t="str">
        <f t="shared" si="5"/>
        <v>marzo</v>
      </c>
    </row>
    <row r="617" spans="1:28" ht="12.75">
      <c r="A617" s="9" t="s">
        <v>199</v>
      </c>
      <c r="B617" s="10">
        <v>44638</v>
      </c>
      <c r="C617" s="11">
        <v>44643</v>
      </c>
      <c r="D617" s="49">
        <v>12</v>
      </c>
      <c r="E617" s="13" t="s">
        <v>890</v>
      </c>
      <c r="F617" s="13">
        <v>3025460</v>
      </c>
      <c r="G617" s="14">
        <v>7943</v>
      </c>
      <c r="H617" s="57">
        <v>7750</v>
      </c>
      <c r="I617" s="16">
        <f t="shared" si="96"/>
        <v>61558250</v>
      </c>
      <c r="J617" s="17">
        <v>15</v>
      </c>
      <c r="K617" s="34">
        <v>4502295876</v>
      </c>
      <c r="L617" s="19">
        <v>5081076464</v>
      </c>
      <c r="M617" s="20">
        <v>5113181722</v>
      </c>
      <c r="N617" s="21"/>
      <c r="O617" s="9" t="s">
        <v>63</v>
      </c>
      <c r="P617" s="23"/>
      <c r="Q617" s="24" t="s">
        <v>82</v>
      </c>
      <c r="R617" s="25">
        <v>44638</v>
      </c>
      <c r="S617" s="28"/>
      <c r="T617" s="35"/>
      <c r="U617" s="35"/>
      <c r="V617" s="29"/>
      <c r="W617" s="35"/>
      <c r="X617" s="29"/>
      <c r="Y617" s="36"/>
      <c r="Z617" s="29"/>
      <c r="AA617" s="31">
        <f t="shared" si="1"/>
        <v>44638</v>
      </c>
      <c r="AB617" s="32" t="str">
        <f t="shared" si="5"/>
        <v>marzo</v>
      </c>
    </row>
    <row r="618" spans="1:28" ht="12.75">
      <c r="A618" s="9" t="s">
        <v>891</v>
      </c>
      <c r="B618" s="10">
        <v>44644</v>
      </c>
      <c r="C618" s="11">
        <v>44644</v>
      </c>
      <c r="D618" s="49">
        <v>12</v>
      </c>
      <c r="E618" s="13" t="s">
        <v>892</v>
      </c>
      <c r="F618" s="13">
        <v>3025457</v>
      </c>
      <c r="G618" s="14">
        <v>6321</v>
      </c>
      <c r="H618" s="33">
        <v>8000</v>
      </c>
      <c r="I618" s="16">
        <f t="shared" si="96"/>
        <v>50568000</v>
      </c>
      <c r="J618" s="17">
        <v>14</v>
      </c>
      <c r="K618" s="34">
        <v>4502292253</v>
      </c>
      <c r="L618" s="19">
        <v>5081061627</v>
      </c>
      <c r="M618" s="20">
        <v>5113185556</v>
      </c>
      <c r="N618" s="21"/>
      <c r="O618" s="9"/>
      <c r="P618" s="23"/>
      <c r="Q618" s="24" t="s">
        <v>31</v>
      </c>
      <c r="R618" s="25">
        <v>44639</v>
      </c>
      <c r="S618" s="28"/>
      <c r="T618" s="35"/>
      <c r="U618" s="35"/>
      <c r="V618" s="29"/>
      <c r="W618" s="35"/>
      <c r="X618" s="29"/>
      <c r="Y618" s="36"/>
      <c r="Z618" s="29"/>
      <c r="AA618" s="31">
        <f t="shared" si="1"/>
        <v>44639</v>
      </c>
      <c r="AB618" s="32" t="str">
        <f t="shared" si="5"/>
        <v>marzo</v>
      </c>
    </row>
    <row r="619" spans="1:28" ht="12.75">
      <c r="A619" s="9" t="s">
        <v>891</v>
      </c>
      <c r="B619" s="10">
        <v>44644</v>
      </c>
      <c r="C619" s="11">
        <v>44644</v>
      </c>
      <c r="D619" s="49">
        <v>12</v>
      </c>
      <c r="E619" s="13" t="s">
        <v>892</v>
      </c>
      <c r="F619" s="13">
        <v>3025457</v>
      </c>
      <c r="G619" s="14">
        <v>18893</v>
      </c>
      <c r="H619" s="33">
        <v>8000</v>
      </c>
      <c r="I619" s="16">
        <f t="shared" si="96"/>
        <v>151144000</v>
      </c>
      <c r="J619" s="17">
        <v>42</v>
      </c>
      <c r="K619" s="34">
        <v>4502293337</v>
      </c>
      <c r="L619" s="19">
        <v>5081061627</v>
      </c>
      <c r="M619" s="20">
        <v>5113185556</v>
      </c>
      <c r="N619" s="21"/>
      <c r="O619" s="9" t="s">
        <v>63</v>
      </c>
      <c r="P619" s="23"/>
      <c r="Q619" s="24" t="s">
        <v>31</v>
      </c>
      <c r="R619" s="25">
        <v>44639</v>
      </c>
      <c r="S619" s="28"/>
      <c r="T619" s="35"/>
      <c r="U619" s="35"/>
      <c r="V619" s="29"/>
      <c r="W619" s="35"/>
      <c r="X619" s="29"/>
      <c r="Y619" s="36"/>
      <c r="Z619" s="29"/>
      <c r="AA619" s="31">
        <f t="shared" si="1"/>
        <v>44639</v>
      </c>
      <c r="AB619" s="32" t="str">
        <f t="shared" si="5"/>
        <v>marzo</v>
      </c>
    </row>
    <row r="620" spans="1:28" ht="12.75">
      <c r="A620" s="9" t="s">
        <v>891</v>
      </c>
      <c r="B620" s="10">
        <v>44644</v>
      </c>
      <c r="C620" s="11">
        <v>44644</v>
      </c>
      <c r="D620" s="49">
        <v>12</v>
      </c>
      <c r="E620" s="13" t="s">
        <v>893</v>
      </c>
      <c r="F620" s="13">
        <v>3025457</v>
      </c>
      <c r="G620" s="14">
        <v>25214</v>
      </c>
      <c r="H620" s="33">
        <f>8000-7995.94</f>
        <v>4.0600000000004002</v>
      </c>
      <c r="I620" s="16">
        <f>-H620*G620</f>
        <v>-102368.8400000101</v>
      </c>
      <c r="J620" s="17">
        <v>0</v>
      </c>
      <c r="K620" s="34">
        <v>4502292253</v>
      </c>
      <c r="L620" s="19">
        <v>5081061627</v>
      </c>
      <c r="M620" s="20">
        <v>5113185587</v>
      </c>
      <c r="N620" s="21"/>
      <c r="O620" s="9"/>
      <c r="P620" s="23"/>
      <c r="Q620" s="24" t="s">
        <v>31</v>
      </c>
      <c r="R620" s="25">
        <v>44639</v>
      </c>
      <c r="S620" s="28"/>
      <c r="T620" s="35"/>
      <c r="U620" s="35"/>
      <c r="V620" s="29"/>
      <c r="W620" s="35"/>
      <c r="X620" s="29"/>
      <c r="Y620" s="36"/>
      <c r="Z620" s="29"/>
      <c r="AA620" s="31">
        <f t="shared" si="1"/>
        <v>44639</v>
      </c>
      <c r="AB620" s="32" t="str">
        <f t="shared" si="5"/>
        <v>marzo</v>
      </c>
    </row>
    <row r="621" spans="1:28" ht="12.75">
      <c r="A621" s="9" t="s">
        <v>404</v>
      </c>
      <c r="B621" s="10">
        <v>44639</v>
      </c>
      <c r="C621" s="11">
        <v>44642</v>
      </c>
      <c r="D621" s="49">
        <v>12</v>
      </c>
      <c r="E621" s="13" t="s">
        <v>894</v>
      </c>
      <c r="F621" s="13">
        <v>3025457</v>
      </c>
      <c r="G621" s="37">
        <v>7177.5</v>
      </c>
      <c r="H621" s="33">
        <v>8050</v>
      </c>
      <c r="I621" s="16">
        <f>H621*G621</f>
        <v>57778875</v>
      </c>
      <c r="J621" s="17">
        <v>15</v>
      </c>
      <c r="K621" s="34">
        <v>4502292254</v>
      </c>
      <c r="L621" s="19">
        <v>5081064992</v>
      </c>
      <c r="M621" s="20">
        <v>5113182478</v>
      </c>
      <c r="N621" s="23"/>
      <c r="O621" s="9" t="s">
        <v>37</v>
      </c>
      <c r="P621" s="23" t="s">
        <v>755</v>
      </c>
      <c r="Q621" s="24" t="s">
        <v>31</v>
      </c>
      <c r="R621" s="25">
        <v>44639</v>
      </c>
      <c r="S621" s="28"/>
      <c r="T621" s="35"/>
      <c r="U621" s="35"/>
      <c r="V621" s="29"/>
      <c r="W621" s="35"/>
      <c r="X621" s="29"/>
      <c r="Y621" s="36"/>
      <c r="Z621" s="29"/>
      <c r="AA621" s="31">
        <f t="shared" si="1"/>
        <v>44639</v>
      </c>
      <c r="AB621" s="32" t="str">
        <f t="shared" si="5"/>
        <v>marzo</v>
      </c>
    </row>
    <row r="622" spans="1:28" ht="12.75">
      <c r="A622" s="9" t="s">
        <v>404</v>
      </c>
      <c r="B622" s="10">
        <v>44642</v>
      </c>
      <c r="C622" s="11">
        <v>44642</v>
      </c>
      <c r="D622" s="49">
        <v>12</v>
      </c>
      <c r="E622" s="13" t="s">
        <v>895</v>
      </c>
      <c r="F622" s="13">
        <v>3025457</v>
      </c>
      <c r="G622" s="37">
        <v>7177.5</v>
      </c>
      <c r="H622" s="33">
        <f>8050-7950</f>
        <v>100</v>
      </c>
      <c r="I622" s="16">
        <f>-H622*G622</f>
        <v>-717750</v>
      </c>
      <c r="J622" s="17">
        <v>0</v>
      </c>
      <c r="K622" s="34">
        <v>4502292254</v>
      </c>
      <c r="L622" s="19">
        <v>5081064992</v>
      </c>
      <c r="M622" s="20">
        <v>5113182480</v>
      </c>
      <c r="N622" s="23"/>
      <c r="O622" s="9"/>
      <c r="P622" s="23"/>
      <c r="Q622" s="24" t="s">
        <v>31</v>
      </c>
      <c r="R622" s="25">
        <v>44639</v>
      </c>
      <c r="S622" s="28"/>
      <c r="T622" s="35"/>
      <c r="U622" s="35"/>
      <c r="V622" s="29"/>
      <c r="W622" s="35"/>
      <c r="X622" s="29"/>
      <c r="Y622" s="36"/>
      <c r="Z622" s="29"/>
      <c r="AA622" s="31">
        <f t="shared" si="1"/>
        <v>44639</v>
      </c>
      <c r="AB622" s="32" t="str">
        <f t="shared" si="5"/>
        <v>marzo</v>
      </c>
    </row>
    <row r="623" spans="1:28" ht="12.75">
      <c r="A623" s="9" t="s">
        <v>896</v>
      </c>
      <c r="B623" s="10">
        <v>44639</v>
      </c>
      <c r="C623" s="11">
        <v>44643</v>
      </c>
      <c r="D623" s="49">
        <v>12</v>
      </c>
      <c r="E623" s="13" t="s">
        <v>897</v>
      </c>
      <c r="F623" s="13">
        <v>3025457</v>
      </c>
      <c r="G623" s="37">
        <v>7237.5</v>
      </c>
      <c r="H623" s="33">
        <v>7750</v>
      </c>
      <c r="I623" s="16">
        <f t="shared" ref="I623:I624" si="97">H623*G623</f>
        <v>56090625</v>
      </c>
      <c r="J623" s="17">
        <v>15</v>
      </c>
      <c r="K623" s="34">
        <v>4502292255</v>
      </c>
      <c r="L623" s="19">
        <v>5081064993</v>
      </c>
      <c r="M623" s="20">
        <v>5113185285</v>
      </c>
      <c r="N623" s="44"/>
      <c r="O623" s="9" t="s">
        <v>37</v>
      </c>
      <c r="P623" s="86" t="s">
        <v>898</v>
      </c>
      <c r="Q623" s="24" t="s">
        <v>31</v>
      </c>
      <c r="R623" s="25">
        <v>44639</v>
      </c>
      <c r="S623" s="28"/>
      <c r="T623" s="35"/>
      <c r="U623" s="35"/>
      <c r="V623" s="29"/>
      <c r="W623" s="35"/>
      <c r="X623" s="29"/>
      <c r="Y623" s="36"/>
      <c r="Z623" s="29"/>
      <c r="AA623" s="31">
        <f t="shared" si="1"/>
        <v>44639</v>
      </c>
      <c r="AB623" s="32" t="str">
        <f t="shared" si="5"/>
        <v>marzo</v>
      </c>
    </row>
    <row r="624" spans="1:28" ht="12.75">
      <c r="A624" s="9" t="s">
        <v>58</v>
      </c>
      <c r="B624" s="10">
        <v>44644</v>
      </c>
      <c r="C624" s="11">
        <v>44644</v>
      </c>
      <c r="D624" s="49">
        <v>12</v>
      </c>
      <c r="E624" s="13" t="s">
        <v>899</v>
      </c>
      <c r="F624" s="13">
        <v>3025460</v>
      </c>
      <c r="G624" s="14">
        <v>41148</v>
      </c>
      <c r="H624" s="33">
        <v>8050</v>
      </c>
      <c r="I624" s="16">
        <f t="shared" si="97"/>
        <v>331241400</v>
      </c>
      <c r="J624" s="17">
        <v>89</v>
      </c>
      <c r="K624" s="34">
        <v>4502292257</v>
      </c>
      <c r="L624" s="19">
        <v>5081061938</v>
      </c>
      <c r="M624" s="20">
        <v>5113188493</v>
      </c>
      <c r="N624" s="23"/>
      <c r="O624" s="9" t="s">
        <v>37</v>
      </c>
      <c r="P624" s="23" t="s">
        <v>867</v>
      </c>
      <c r="Q624" s="24" t="s">
        <v>31</v>
      </c>
      <c r="R624" s="25">
        <v>44639</v>
      </c>
      <c r="S624" s="28"/>
      <c r="T624" s="35"/>
      <c r="U624" s="35"/>
      <c r="V624" s="29"/>
      <c r="W624" s="35"/>
      <c r="X624" s="29"/>
      <c r="Y624" s="36"/>
      <c r="Z624" s="29"/>
      <c r="AA624" s="31">
        <f t="shared" si="1"/>
        <v>44639</v>
      </c>
      <c r="AB624" s="32" t="str">
        <f t="shared" si="5"/>
        <v>marzo</v>
      </c>
    </row>
    <row r="625" spans="1:28" ht="12.75">
      <c r="A625" s="9" t="s">
        <v>58</v>
      </c>
      <c r="B625" s="10">
        <v>44644</v>
      </c>
      <c r="C625" s="11">
        <v>44644</v>
      </c>
      <c r="D625" s="49">
        <v>12</v>
      </c>
      <c r="E625" s="13" t="s">
        <v>900</v>
      </c>
      <c r="F625" s="13">
        <v>3025460</v>
      </c>
      <c r="G625" s="14">
        <v>41148</v>
      </c>
      <c r="H625" s="33">
        <f>8050-7921.47</f>
        <v>128.52999999999975</v>
      </c>
      <c r="I625" s="16">
        <f>-H625*G625</f>
        <v>-5288752.4399999892</v>
      </c>
      <c r="J625" s="17">
        <v>0</v>
      </c>
      <c r="K625" s="34">
        <v>4502292257</v>
      </c>
      <c r="L625" s="19">
        <v>5081061938</v>
      </c>
      <c r="M625" s="20">
        <v>5113188494</v>
      </c>
      <c r="N625" s="23"/>
      <c r="O625" s="9"/>
      <c r="P625" s="23"/>
      <c r="Q625" s="24" t="s">
        <v>31</v>
      </c>
      <c r="R625" s="25">
        <v>44639</v>
      </c>
      <c r="S625" s="28"/>
      <c r="T625" s="35"/>
      <c r="U625" s="35"/>
      <c r="V625" s="29"/>
      <c r="W625" s="35"/>
      <c r="X625" s="29"/>
      <c r="Y625" s="36"/>
      <c r="Z625" s="29"/>
      <c r="AA625" s="31">
        <f t="shared" si="1"/>
        <v>44639</v>
      </c>
      <c r="AB625" s="32" t="str">
        <f t="shared" si="5"/>
        <v>marzo</v>
      </c>
    </row>
    <row r="626" spans="1:28" ht="12.75">
      <c r="A626" s="9" t="s">
        <v>58</v>
      </c>
      <c r="B626" s="10">
        <v>44644</v>
      </c>
      <c r="C626" s="11">
        <v>44644</v>
      </c>
      <c r="D626" s="49">
        <v>12</v>
      </c>
      <c r="E626" s="13" t="s">
        <v>901</v>
      </c>
      <c r="F626" s="13">
        <v>3025460</v>
      </c>
      <c r="G626" s="37">
        <v>13359.5</v>
      </c>
      <c r="H626" s="33">
        <v>8050</v>
      </c>
      <c r="I626" s="16">
        <f>H626*G626</f>
        <v>107543975</v>
      </c>
      <c r="J626" s="17">
        <v>29</v>
      </c>
      <c r="K626" s="34">
        <v>4502292257</v>
      </c>
      <c r="L626" s="19">
        <v>5081061938</v>
      </c>
      <c r="M626" s="20">
        <v>5113188495</v>
      </c>
      <c r="N626" s="23"/>
      <c r="O626" s="9" t="s">
        <v>37</v>
      </c>
      <c r="P626" s="23"/>
      <c r="Q626" s="24" t="s">
        <v>31</v>
      </c>
      <c r="R626" s="25">
        <v>44639</v>
      </c>
      <c r="S626" s="28"/>
      <c r="T626" s="35"/>
      <c r="U626" s="35"/>
      <c r="V626" s="29"/>
      <c r="W626" s="35"/>
      <c r="X626" s="29"/>
      <c r="Y626" s="36"/>
      <c r="Z626" s="29"/>
      <c r="AA626" s="31">
        <f t="shared" si="1"/>
        <v>44639</v>
      </c>
      <c r="AB626" s="32" t="str">
        <f t="shared" si="5"/>
        <v>marzo</v>
      </c>
    </row>
    <row r="627" spans="1:28" ht="12.75">
      <c r="A627" s="9" t="s">
        <v>58</v>
      </c>
      <c r="B627" s="10">
        <v>44644</v>
      </c>
      <c r="C627" s="11">
        <v>44644</v>
      </c>
      <c r="D627" s="49">
        <v>12</v>
      </c>
      <c r="E627" s="13" t="s">
        <v>902</v>
      </c>
      <c r="F627" s="13">
        <v>3025460</v>
      </c>
      <c r="G627" s="37">
        <v>13359.5</v>
      </c>
      <c r="H627" s="33">
        <f>8050-8044.31</f>
        <v>5.6899999999995998</v>
      </c>
      <c r="I627" s="16">
        <f>-H627*G627</f>
        <v>-76015.554999994652</v>
      </c>
      <c r="J627" s="17">
        <v>0</v>
      </c>
      <c r="K627" s="34">
        <v>4502292257</v>
      </c>
      <c r="L627" s="19">
        <v>5081061938</v>
      </c>
      <c r="M627" s="20">
        <v>5113188571</v>
      </c>
      <c r="N627" s="23"/>
      <c r="O627" s="9"/>
      <c r="P627" s="23"/>
      <c r="Q627" s="24" t="s">
        <v>31</v>
      </c>
      <c r="R627" s="25">
        <v>44639</v>
      </c>
      <c r="S627" s="28"/>
      <c r="T627" s="35"/>
      <c r="U627" s="35"/>
      <c r="V627" s="29"/>
      <c r="W627" s="35"/>
      <c r="X627" s="29"/>
      <c r="Y627" s="36"/>
      <c r="Z627" s="29"/>
      <c r="AA627" s="31">
        <f t="shared" si="1"/>
        <v>44639</v>
      </c>
      <c r="AB627" s="32" t="str">
        <f t="shared" si="5"/>
        <v>marzo</v>
      </c>
    </row>
    <row r="628" spans="1:28" ht="12.75">
      <c r="A628" s="9" t="s">
        <v>348</v>
      </c>
      <c r="B628" s="10">
        <v>44643</v>
      </c>
      <c r="C628" s="11">
        <v>44643</v>
      </c>
      <c r="D628" s="49">
        <v>12</v>
      </c>
      <c r="E628" s="13" t="s">
        <v>903</v>
      </c>
      <c r="F628" s="13">
        <v>3025460</v>
      </c>
      <c r="G628" s="37">
        <v>19217.5</v>
      </c>
      <c r="H628" s="33">
        <v>7650</v>
      </c>
      <c r="I628" s="16">
        <f>H628*G628</f>
        <v>147013875</v>
      </c>
      <c r="J628" s="17">
        <v>45</v>
      </c>
      <c r="K628" s="34">
        <v>4502292258</v>
      </c>
      <c r="L628" s="19">
        <v>5081061939</v>
      </c>
      <c r="M628" s="20">
        <v>5113184902</v>
      </c>
      <c r="N628" s="23"/>
      <c r="O628" s="9"/>
      <c r="P628" s="23" t="s">
        <v>904</v>
      </c>
      <c r="Q628" s="24" t="s">
        <v>31</v>
      </c>
      <c r="R628" s="25">
        <v>44639</v>
      </c>
      <c r="S628" s="28"/>
      <c r="T628" s="35"/>
      <c r="U628" s="35"/>
      <c r="V628" s="29"/>
      <c r="W628" s="35"/>
      <c r="X628" s="29"/>
      <c r="Y628" s="36"/>
      <c r="Z628" s="29"/>
      <c r="AA628" s="31">
        <f t="shared" si="1"/>
        <v>44639</v>
      </c>
      <c r="AB628" s="32" t="str">
        <f t="shared" si="5"/>
        <v>marzo</v>
      </c>
    </row>
    <row r="629" spans="1:28" ht="12.75">
      <c r="A629" s="9" t="s">
        <v>348</v>
      </c>
      <c r="B629" s="10">
        <v>44643</v>
      </c>
      <c r="C629" s="11">
        <v>44643</v>
      </c>
      <c r="D629" s="49">
        <v>12</v>
      </c>
      <c r="E629" s="13" t="s">
        <v>905</v>
      </c>
      <c r="F629" s="13">
        <v>3025460</v>
      </c>
      <c r="G629" s="37">
        <v>19217.5</v>
      </c>
      <c r="H629" s="33">
        <f>7650-7590.02</f>
        <v>59.979999999999563</v>
      </c>
      <c r="I629" s="16">
        <f>-H629*G629</f>
        <v>-1152665.6499999915</v>
      </c>
      <c r="J629" s="17">
        <v>0</v>
      </c>
      <c r="K629" s="34">
        <v>4502292258</v>
      </c>
      <c r="L629" s="19">
        <v>5081061939</v>
      </c>
      <c r="M629" s="20">
        <v>5113184903</v>
      </c>
      <c r="N629" s="23"/>
      <c r="O629" s="9"/>
      <c r="P629" s="23"/>
      <c r="Q629" s="24" t="s">
        <v>31</v>
      </c>
      <c r="R629" s="25">
        <v>44639</v>
      </c>
      <c r="S629" s="28"/>
      <c r="T629" s="35"/>
      <c r="U629" s="35"/>
      <c r="V629" s="29"/>
      <c r="W629" s="35"/>
      <c r="X629" s="29"/>
      <c r="Y629" s="36"/>
      <c r="Z629" s="29"/>
      <c r="AA629" s="31">
        <f t="shared" si="1"/>
        <v>44639</v>
      </c>
      <c r="AB629" s="32" t="str">
        <f t="shared" si="5"/>
        <v>marzo</v>
      </c>
    </row>
    <row r="630" spans="1:28" ht="12.75">
      <c r="A630" s="9" t="s">
        <v>58</v>
      </c>
      <c r="B630" s="10">
        <v>44644</v>
      </c>
      <c r="C630" s="11">
        <v>44644</v>
      </c>
      <c r="D630" s="49">
        <v>12</v>
      </c>
      <c r="E630" s="13" t="s">
        <v>906</v>
      </c>
      <c r="F630" s="13">
        <v>3025460</v>
      </c>
      <c r="G630" s="14">
        <v>27770</v>
      </c>
      <c r="H630" s="33">
        <v>8050</v>
      </c>
      <c r="I630" s="16">
        <f>H630*G630</f>
        <v>223548500</v>
      </c>
      <c r="J630" s="17">
        <v>61</v>
      </c>
      <c r="K630" s="34">
        <v>4502292259</v>
      </c>
      <c r="L630" s="19">
        <v>5081064994</v>
      </c>
      <c r="M630" s="20">
        <v>5113188572</v>
      </c>
      <c r="N630" s="23"/>
      <c r="O630" s="9" t="s">
        <v>37</v>
      </c>
      <c r="P630" s="23" t="s">
        <v>867</v>
      </c>
      <c r="Q630" s="24" t="s">
        <v>31</v>
      </c>
      <c r="R630" s="25">
        <v>44640</v>
      </c>
      <c r="S630" s="28"/>
      <c r="T630" s="35"/>
      <c r="U630" s="35"/>
      <c r="V630" s="29"/>
      <c r="W630" s="35"/>
      <c r="X630" s="29"/>
      <c r="Y630" s="36"/>
      <c r="Z630" s="29"/>
      <c r="AA630" s="31">
        <f t="shared" si="1"/>
        <v>44640</v>
      </c>
      <c r="AB630" s="32" t="str">
        <f t="shared" si="5"/>
        <v>marzo</v>
      </c>
    </row>
    <row r="631" spans="1:28" ht="12.75">
      <c r="A631" s="9" t="s">
        <v>58</v>
      </c>
      <c r="B631" s="10">
        <v>44644</v>
      </c>
      <c r="C631" s="11">
        <v>44644</v>
      </c>
      <c r="D631" s="49">
        <v>12</v>
      </c>
      <c r="E631" s="13" t="s">
        <v>907</v>
      </c>
      <c r="F631" s="13">
        <v>3025460</v>
      </c>
      <c r="G631" s="14">
        <v>27770</v>
      </c>
      <c r="H631" s="33">
        <f>8050-7897.15</f>
        <v>152.85000000000036</v>
      </c>
      <c r="I631" s="16">
        <f>-H631*G631</f>
        <v>-4244644.5000000102</v>
      </c>
      <c r="J631" s="17">
        <v>0</v>
      </c>
      <c r="K631" s="34">
        <v>4502292259</v>
      </c>
      <c r="L631" s="19">
        <v>5081064994</v>
      </c>
      <c r="M631" s="20">
        <v>5113188573</v>
      </c>
      <c r="N631" s="23"/>
      <c r="O631" s="9"/>
      <c r="P631" s="23"/>
      <c r="Q631" s="24" t="s">
        <v>31</v>
      </c>
      <c r="R631" s="25">
        <v>44640</v>
      </c>
      <c r="S631" s="28"/>
      <c r="T631" s="35"/>
      <c r="U631" s="35"/>
      <c r="V631" s="29"/>
      <c r="W631" s="35"/>
      <c r="X631" s="29"/>
      <c r="Y631" s="36"/>
      <c r="Z631" s="29"/>
      <c r="AA631" s="31">
        <f t="shared" si="1"/>
        <v>44640</v>
      </c>
      <c r="AB631" s="32" t="str">
        <f t="shared" si="5"/>
        <v>marzo</v>
      </c>
    </row>
    <row r="632" spans="1:28" ht="12.75">
      <c r="A632" s="9" t="s">
        <v>58</v>
      </c>
      <c r="B632" s="10">
        <v>44644</v>
      </c>
      <c r="C632" s="11">
        <v>44644</v>
      </c>
      <c r="D632" s="49">
        <v>12</v>
      </c>
      <c r="E632" s="13" t="s">
        <v>908</v>
      </c>
      <c r="F632" s="13">
        <v>3025460</v>
      </c>
      <c r="G632" s="37">
        <v>19916.5</v>
      </c>
      <c r="H632" s="33">
        <v>8050</v>
      </c>
      <c r="I632" s="16">
        <f>H632*G632</f>
        <v>160327825</v>
      </c>
      <c r="J632" s="17">
        <v>45</v>
      </c>
      <c r="K632" s="34">
        <v>4502292259</v>
      </c>
      <c r="L632" s="19">
        <v>5081064994</v>
      </c>
      <c r="M632" s="20">
        <v>5113188574</v>
      </c>
      <c r="N632" s="23"/>
      <c r="O632" s="9" t="s">
        <v>37</v>
      </c>
      <c r="P632" s="23" t="s">
        <v>867</v>
      </c>
      <c r="Q632" s="24" t="s">
        <v>31</v>
      </c>
      <c r="R632" s="25">
        <v>44640</v>
      </c>
      <c r="S632" s="28"/>
      <c r="T632" s="35"/>
      <c r="U632" s="35"/>
      <c r="V632" s="29"/>
      <c r="W632" s="35"/>
      <c r="X632" s="29"/>
      <c r="Y632" s="36"/>
      <c r="Z632" s="29"/>
      <c r="AA632" s="31">
        <f t="shared" si="1"/>
        <v>44640</v>
      </c>
      <c r="AB632" s="32" t="str">
        <f t="shared" si="5"/>
        <v>marzo</v>
      </c>
    </row>
    <row r="633" spans="1:28" ht="12.75">
      <c r="A633" s="9" t="s">
        <v>58</v>
      </c>
      <c r="B633" s="10">
        <v>44644</v>
      </c>
      <c r="C633" s="11">
        <v>44644</v>
      </c>
      <c r="D633" s="49">
        <v>12</v>
      </c>
      <c r="E633" s="13" t="s">
        <v>909</v>
      </c>
      <c r="F633" s="13">
        <v>3025460</v>
      </c>
      <c r="G633" s="37">
        <v>19916.5</v>
      </c>
      <c r="H633" s="33">
        <f>8050-8034.47</f>
        <v>15.529999999999745</v>
      </c>
      <c r="I633" s="16">
        <f>-H633*G633</f>
        <v>-309303.24499999493</v>
      </c>
      <c r="J633" s="17">
        <v>0</v>
      </c>
      <c r="K633" s="34">
        <v>4502292259</v>
      </c>
      <c r="L633" s="19">
        <v>5081064994</v>
      </c>
      <c r="M633" s="20">
        <v>5113188575</v>
      </c>
      <c r="N633" s="23"/>
      <c r="O633" s="9"/>
      <c r="P633" s="23"/>
      <c r="Q633" s="24" t="s">
        <v>31</v>
      </c>
      <c r="R633" s="25">
        <v>44640</v>
      </c>
      <c r="S633" s="28"/>
      <c r="T633" s="35"/>
      <c r="U633" s="35"/>
      <c r="V633" s="29"/>
      <c r="W633" s="35"/>
      <c r="X633" s="29"/>
      <c r="Y633" s="36"/>
      <c r="Z633" s="29"/>
      <c r="AA633" s="31">
        <f t="shared" si="1"/>
        <v>44640</v>
      </c>
      <c r="AB633" s="32" t="str">
        <f t="shared" si="5"/>
        <v>marzo</v>
      </c>
    </row>
    <row r="634" spans="1:28" ht="12.75">
      <c r="A634" s="9" t="s">
        <v>28</v>
      </c>
      <c r="B634" s="10">
        <v>44642</v>
      </c>
      <c r="C634" s="11">
        <v>44643</v>
      </c>
      <c r="D634" s="49">
        <v>12</v>
      </c>
      <c r="E634" s="13" t="s">
        <v>910</v>
      </c>
      <c r="F634" s="13">
        <v>3025457</v>
      </c>
      <c r="G634" s="37">
        <v>20156.400000000001</v>
      </c>
      <c r="H634" s="15">
        <v>7500</v>
      </c>
      <c r="I634" s="16">
        <f t="shared" ref="I634:I636" si="98">H634*G634</f>
        <v>151173000</v>
      </c>
      <c r="J634" s="17">
        <v>42</v>
      </c>
      <c r="K634" s="34">
        <v>4502295597</v>
      </c>
      <c r="L634" s="19">
        <v>5081065044</v>
      </c>
      <c r="M634" s="20">
        <v>5113182485</v>
      </c>
      <c r="N634" s="21" t="s">
        <v>37</v>
      </c>
      <c r="O634" s="22" t="s">
        <v>911</v>
      </c>
      <c r="P634" s="23"/>
      <c r="Q634" s="24" t="s">
        <v>31</v>
      </c>
      <c r="R634" s="25">
        <v>44640</v>
      </c>
      <c r="S634" s="28">
        <v>4902233155</v>
      </c>
      <c r="T634" s="27">
        <f>3062400*5</f>
        <v>15312000</v>
      </c>
      <c r="U634" s="28" t="s">
        <v>912</v>
      </c>
      <c r="V634" s="29">
        <v>5113184998</v>
      </c>
      <c r="W634" s="35"/>
      <c r="X634" s="29"/>
      <c r="Y634" s="36"/>
      <c r="Z634" s="29"/>
      <c r="AA634" s="31">
        <f t="shared" si="1"/>
        <v>44640</v>
      </c>
      <c r="AB634" s="32" t="str">
        <f t="shared" si="5"/>
        <v>marzo</v>
      </c>
    </row>
    <row r="635" spans="1:28" ht="12.75">
      <c r="A635" s="9" t="s">
        <v>28</v>
      </c>
      <c r="B635" s="10">
        <v>44642</v>
      </c>
      <c r="C635" s="11">
        <v>44643</v>
      </c>
      <c r="D635" s="49">
        <v>12</v>
      </c>
      <c r="E635" s="13" t="s">
        <v>910</v>
      </c>
      <c r="F635" s="13">
        <v>3025459</v>
      </c>
      <c r="G635" s="37">
        <v>13437.6</v>
      </c>
      <c r="H635" s="15">
        <v>7500</v>
      </c>
      <c r="I635" s="16">
        <f t="shared" si="98"/>
        <v>100782000</v>
      </c>
      <c r="J635" s="17">
        <v>28</v>
      </c>
      <c r="K635" s="34">
        <v>4502295597</v>
      </c>
      <c r="L635" s="19">
        <v>5081065044</v>
      </c>
      <c r="M635" s="20">
        <v>5113182485</v>
      </c>
      <c r="N635" s="21" t="s">
        <v>37</v>
      </c>
      <c r="O635" s="22"/>
      <c r="P635" s="23"/>
      <c r="Q635" s="24" t="s">
        <v>31</v>
      </c>
      <c r="R635" s="25">
        <v>44640</v>
      </c>
      <c r="S635" s="28">
        <v>4902232377</v>
      </c>
      <c r="T635" s="27"/>
      <c r="U635" s="35"/>
      <c r="V635" s="29"/>
      <c r="W635" s="35"/>
      <c r="X635" s="29"/>
      <c r="Y635" s="36"/>
      <c r="Z635" s="29"/>
      <c r="AA635" s="31">
        <f t="shared" si="1"/>
        <v>44640</v>
      </c>
      <c r="AB635" s="32" t="str">
        <f t="shared" si="5"/>
        <v>marzo</v>
      </c>
    </row>
    <row r="636" spans="1:28" ht="12.75">
      <c r="A636" s="9" t="s">
        <v>39</v>
      </c>
      <c r="B636" s="10">
        <v>44641</v>
      </c>
      <c r="C636" s="11">
        <v>44643</v>
      </c>
      <c r="D636" s="49">
        <v>12</v>
      </c>
      <c r="E636" s="13" t="s">
        <v>913</v>
      </c>
      <c r="F636" s="13">
        <v>3025459</v>
      </c>
      <c r="G636" s="37">
        <v>6434.5</v>
      </c>
      <c r="H636" s="33">
        <v>8050</v>
      </c>
      <c r="I636" s="16">
        <f t="shared" si="98"/>
        <v>51797725</v>
      </c>
      <c r="J636" s="17">
        <v>14</v>
      </c>
      <c r="K636" s="34">
        <v>4502292261</v>
      </c>
      <c r="L636" s="19">
        <v>5081061940</v>
      </c>
      <c r="M636" s="20">
        <v>5113189222</v>
      </c>
      <c r="N636" s="44"/>
      <c r="O636" s="9" t="s">
        <v>37</v>
      </c>
      <c r="P636" s="23"/>
      <c r="Q636" s="24" t="s">
        <v>31</v>
      </c>
      <c r="R636" s="25">
        <v>44640</v>
      </c>
      <c r="S636" s="28"/>
      <c r="T636" s="35"/>
      <c r="U636" s="35"/>
      <c r="V636" s="29"/>
      <c r="W636" s="35"/>
      <c r="X636" s="29"/>
      <c r="Y636" s="36"/>
      <c r="Z636" s="29"/>
      <c r="AA636" s="31">
        <f t="shared" si="1"/>
        <v>44640</v>
      </c>
      <c r="AB636" s="32" t="str">
        <f t="shared" si="5"/>
        <v>marzo</v>
      </c>
    </row>
    <row r="637" spans="1:28" ht="12.75">
      <c r="A637" s="9" t="s">
        <v>39</v>
      </c>
      <c r="B637" s="10">
        <v>44641</v>
      </c>
      <c r="C637" s="11">
        <v>44643</v>
      </c>
      <c r="D637" s="49">
        <v>12</v>
      </c>
      <c r="E637" s="13" t="s">
        <v>282</v>
      </c>
      <c r="F637" s="13">
        <v>3025459</v>
      </c>
      <c r="G637" s="37">
        <v>6434.5</v>
      </c>
      <c r="H637" s="33">
        <v>100</v>
      </c>
      <c r="I637" s="16">
        <f>-H637*G637</f>
        <v>-643450</v>
      </c>
      <c r="J637" s="17">
        <v>0</v>
      </c>
      <c r="K637" s="34">
        <v>4502292261</v>
      </c>
      <c r="L637" s="19">
        <v>5081061940</v>
      </c>
      <c r="M637" s="20">
        <v>5113189223</v>
      </c>
      <c r="N637" s="23"/>
      <c r="O637" s="9"/>
      <c r="P637" s="23"/>
      <c r="Q637" s="24" t="s">
        <v>31</v>
      </c>
      <c r="R637" s="25">
        <v>44640</v>
      </c>
      <c r="S637" s="28"/>
      <c r="T637" s="35"/>
      <c r="U637" s="35"/>
      <c r="V637" s="29"/>
      <c r="W637" s="35"/>
      <c r="X637" s="29"/>
      <c r="Y637" s="36"/>
      <c r="Z637" s="29"/>
      <c r="AA637" s="31">
        <f t="shared" si="1"/>
        <v>44640</v>
      </c>
      <c r="AB637" s="32" t="str">
        <f t="shared" si="5"/>
        <v>marzo</v>
      </c>
    </row>
    <row r="638" spans="1:28" ht="12.75">
      <c r="A638" s="9" t="s">
        <v>111</v>
      </c>
      <c r="B638" s="10">
        <v>44644</v>
      </c>
      <c r="C638" s="11">
        <v>44644</v>
      </c>
      <c r="D638" s="49">
        <v>12</v>
      </c>
      <c r="E638" s="13" t="s">
        <v>914</v>
      </c>
      <c r="F638" s="13">
        <v>3025457</v>
      </c>
      <c r="G638" s="37">
        <v>6656.5</v>
      </c>
      <c r="H638" s="33">
        <v>7650</v>
      </c>
      <c r="I638" s="16">
        <f t="shared" ref="I638:I641" si="99">H638*G638</f>
        <v>50922225</v>
      </c>
      <c r="J638" s="17">
        <v>14</v>
      </c>
      <c r="K638" s="34">
        <v>4502292262</v>
      </c>
      <c r="L638" s="19">
        <v>5081061941</v>
      </c>
      <c r="M638" s="20">
        <v>5113188270</v>
      </c>
      <c r="N638" s="23"/>
      <c r="O638" s="9" t="s">
        <v>37</v>
      </c>
      <c r="P638" s="23"/>
      <c r="Q638" s="24" t="s">
        <v>31</v>
      </c>
      <c r="R638" s="25">
        <v>44641</v>
      </c>
      <c r="S638" s="28"/>
      <c r="T638" s="35"/>
      <c r="U638" s="35"/>
      <c r="V638" s="29"/>
      <c r="W638" s="35"/>
      <c r="X638" s="29"/>
      <c r="Y638" s="36"/>
      <c r="Z638" s="29"/>
      <c r="AA638" s="31">
        <f t="shared" si="1"/>
        <v>44641</v>
      </c>
      <c r="AB638" s="32" t="str">
        <f t="shared" si="5"/>
        <v>marzo</v>
      </c>
    </row>
    <row r="639" spans="1:28" ht="12.75">
      <c r="A639" s="9" t="s">
        <v>111</v>
      </c>
      <c r="B639" s="10">
        <v>44644</v>
      </c>
      <c r="C639" s="11">
        <v>44644</v>
      </c>
      <c r="D639" s="49">
        <v>12</v>
      </c>
      <c r="E639" s="13" t="s">
        <v>915</v>
      </c>
      <c r="F639" s="13">
        <v>3025457</v>
      </c>
      <c r="G639" s="37">
        <v>6656.5</v>
      </c>
      <c r="H639" s="33">
        <v>50</v>
      </c>
      <c r="I639" s="16">
        <f t="shared" si="99"/>
        <v>332825</v>
      </c>
      <c r="J639" s="17">
        <v>0</v>
      </c>
      <c r="K639" s="34">
        <v>4502292262</v>
      </c>
      <c r="L639" s="19">
        <v>5081061941</v>
      </c>
      <c r="M639" s="20">
        <v>5113188271</v>
      </c>
      <c r="N639" s="23"/>
      <c r="O639" s="9"/>
      <c r="P639" s="23"/>
      <c r="Q639" s="24" t="s">
        <v>31</v>
      </c>
      <c r="R639" s="25">
        <v>44641</v>
      </c>
      <c r="S639" s="28"/>
      <c r="T639" s="35"/>
      <c r="U639" s="35"/>
      <c r="V639" s="29"/>
      <c r="W639" s="35"/>
      <c r="X639" s="29"/>
      <c r="Y639" s="36"/>
      <c r="Z639" s="29"/>
      <c r="AA639" s="31">
        <f t="shared" si="1"/>
        <v>44641</v>
      </c>
      <c r="AB639" s="32" t="str">
        <f t="shared" si="5"/>
        <v>marzo</v>
      </c>
    </row>
    <row r="640" spans="1:28" ht="12.75">
      <c r="A640" s="9" t="s">
        <v>455</v>
      </c>
      <c r="B640" s="10">
        <v>44641</v>
      </c>
      <c r="C640" s="11">
        <v>44643</v>
      </c>
      <c r="D640" s="49">
        <v>12</v>
      </c>
      <c r="E640" s="13" t="s">
        <v>916</v>
      </c>
      <c r="F640" s="13">
        <v>3025457</v>
      </c>
      <c r="G640" s="37">
        <v>6962.5</v>
      </c>
      <c r="H640" s="33">
        <v>7550</v>
      </c>
      <c r="I640" s="16">
        <f t="shared" si="99"/>
        <v>52566875</v>
      </c>
      <c r="J640" s="17">
        <v>14</v>
      </c>
      <c r="K640" s="34">
        <v>4502292263</v>
      </c>
      <c r="L640" s="19">
        <v>5081061942</v>
      </c>
      <c r="M640" s="20">
        <v>5113184948</v>
      </c>
      <c r="N640" s="23"/>
      <c r="O640" s="9" t="s">
        <v>63</v>
      </c>
      <c r="P640" s="23"/>
      <c r="Q640" s="24" t="s">
        <v>31</v>
      </c>
      <c r="R640" s="25">
        <v>44641</v>
      </c>
      <c r="S640" s="28"/>
      <c r="T640" s="35"/>
      <c r="U640" s="35"/>
      <c r="V640" s="29"/>
      <c r="W640" s="35"/>
      <c r="X640" s="29"/>
      <c r="Y640" s="36"/>
      <c r="Z640" s="29"/>
      <c r="AA640" s="31">
        <f t="shared" si="1"/>
        <v>44641</v>
      </c>
      <c r="AB640" s="32" t="str">
        <f t="shared" si="5"/>
        <v>marzo</v>
      </c>
    </row>
    <row r="641" spans="1:28" ht="12.75">
      <c r="A641" s="9" t="s">
        <v>404</v>
      </c>
      <c r="B641" s="10">
        <v>44641</v>
      </c>
      <c r="C641" s="11">
        <v>44643</v>
      </c>
      <c r="D641" s="49">
        <v>12</v>
      </c>
      <c r="E641" s="13" t="s">
        <v>917</v>
      </c>
      <c r="F641" s="13">
        <v>3025457</v>
      </c>
      <c r="G641" s="14">
        <v>12151</v>
      </c>
      <c r="H641" s="33">
        <v>8050</v>
      </c>
      <c r="I641" s="16">
        <f t="shared" si="99"/>
        <v>97815550</v>
      </c>
      <c r="J641" s="17">
        <v>29</v>
      </c>
      <c r="K641" s="34">
        <v>4502292264</v>
      </c>
      <c r="L641" s="19">
        <v>5081064995</v>
      </c>
      <c r="M641" s="20">
        <v>5113189220</v>
      </c>
      <c r="N641" s="44"/>
      <c r="O641" s="9" t="s">
        <v>37</v>
      </c>
      <c r="P641" s="23"/>
      <c r="Q641" s="24" t="s">
        <v>31</v>
      </c>
      <c r="R641" s="25">
        <v>44641</v>
      </c>
      <c r="S641" s="28"/>
      <c r="T641" s="35"/>
      <c r="U641" s="35"/>
      <c r="V641" s="29"/>
      <c r="W641" s="35"/>
      <c r="X641" s="29"/>
      <c r="Y641" s="36"/>
      <c r="Z641" s="29"/>
      <c r="AA641" s="31">
        <f t="shared" si="1"/>
        <v>44641</v>
      </c>
      <c r="AB641" s="32" t="str">
        <f t="shared" si="5"/>
        <v>marzo</v>
      </c>
    </row>
    <row r="642" spans="1:28" ht="12.75">
      <c r="A642" s="9" t="s">
        <v>404</v>
      </c>
      <c r="B642" s="10">
        <v>44643</v>
      </c>
      <c r="C642" s="11">
        <v>44643</v>
      </c>
      <c r="D642" s="49">
        <v>12</v>
      </c>
      <c r="E642" s="13" t="s">
        <v>918</v>
      </c>
      <c r="F642" s="13">
        <v>3025457</v>
      </c>
      <c r="G642" s="14">
        <v>12151</v>
      </c>
      <c r="H642" s="33">
        <f>8050-8024.7</f>
        <v>25.300000000000182</v>
      </c>
      <c r="I642" s="16">
        <f>-H642*G642</f>
        <v>-307420.3000000022</v>
      </c>
      <c r="J642" s="17">
        <v>0</v>
      </c>
      <c r="K642" s="34">
        <v>4502292264</v>
      </c>
      <c r="L642" s="19">
        <v>5081064995</v>
      </c>
      <c r="M642" s="20">
        <v>5113189221</v>
      </c>
      <c r="N642" s="23"/>
      <c r="O642" s="9"/>
      <c r="P642" s="23"/>
      <c r="Q642" s="24" t="s">
        <v>31</v>
      </c>
      <c r="R642" s="25">
        <v>44641</v>
      </c>
      <c r="S642" s="28"/>
      <c r="T642" s="35"/>
      <c r="U642" s="35"/>
      <c r="V642" s="29"/>
      <c r="W642" s="35"/>
      <c r="X642" s="29"/>
      <c r="Y642" s="36"/>
      <c r="Z642" s="29"/>
      <c r="AA642" s="31">
        <f t="shared" si="1"/>
        <v>44641</v>
      </c>
      <c r="AB642" s="32" t="str">
        <f t="shared" si="5"/>
        <v>marzo</v>
      </c>
    </row>
    <row r="643" spans="1:28" ht="12.75">
      <c r="A643" s="9" t="s">
        <v>99</v>
      </c>
      <c r="B643" s="10">
        <v>44644</v>
      </c>
      <c r="C643" s="11"/>
      <c r="D643" s="49">
        <v>12</v>
      </c>
      <c r="E643" s="13" t="s">
        <v>919</v>
      </c>
      <c r="F643" s="13">
        <v>3025457</v>
      </c>
      <c r="G643" s="37">
        <v>14448.5</v>
      </c>
      <c r="H643" s="33">
        <v>7750</v>
      </c>
      <c r="I643" s="16">
        <f t="shared" ref="I643:I644" si="100">H643*G643</f>
        <v>111975875</v>
      </c>
      <c r="J643" s="17">
        <v>30</v>
      </c>
      <c r="K643" s="34">
        <v>4502292265</v>
      </c>
      <c r="L643" s="19">
        <v>5081064996</v>
      </c>
      <c r="M643" s="20">
        <v>5113195694</v>
      </c>
      <c r="N643" s="23"/>
      <c r="O643" s="9" t="s">
        <v>37</v>
      </c>
      <c r="P643" s="23" t="s">
        <v>151</v>
      </c>
      <c r="Q643" s="24" t="s">
        <v>31</v>
      </c>
      <c r="R643" s="25">
        <v>44641</v>
      </c>
      <c r="S643" s="28"/>
      <c r="T643" s="35"/>
      <c r="U643" s="35"/>
      <c r="V643" s="29"/>
      <c r="W643" s="35"/>
      <c r="X643" s="29"/>
      <c r="Y643" s="36"/>
      <c r="Z643" s="29"/>
      <c r="AA643" s="31">
        <f t="shared" si="1"/>
        <v>44641</v>
      </c>
      <c r="AB643" s="32" t="str">
        <f t="shared" si="5"/>
        <v>marzo</v>
      </c>
    </row>
    <row r="644" spans="1:28" ht="12.75">
      <c r="A644" s="9" t="s">
        <v>58</v>
      </c>
      <c r="B644" s="10">
        <v>44644</v>
      </c>
      <c r="C644" s="11">
        <v>44644</v>
      </c>
      <c r="D644" s="49">
        <v>12</v>
      </c>
      <c r="E644" s="13" t="s">
        <v>920</v>
      </c>
      <c r="F644" s="13">
        <v>3025457</v>
      </c>
      <c r="G644" s="37">
        <v>13078.5</v>
      </c>
      <c r="H644" s="33">
        <v>8050</v>
      </c>
      <c r="I644" s="16">
        <f t="shared" si="100"/>
        <v>105281925</v>
      </c>
      <c r="J644" s="17">
        <v>30</v>
      </c>
      <c r="K644" s="34">
        <v>4502292267</v>
      </c>
      <c r="L644" s="19">
        <v>5081061943</v>
      </c>
      <c r="M644" s="20">
        <v>5113188576</v>
      </c>
      <c r="N644" s="23"/>
      <c r="O644" s="9" t="s">
        <v>37</v>
      </c>
      <c r="P644" s="23"/>
      <c r="Q644" s="24" t="s">
        <v>31</v>
      </c>
      <c r="R644" s="25">
        <v>44641</v>
      </c>
      <c r="S644" s="28"/>
      <c r="T644" s="35"/>
      <c r="U644" s="35"/>
      <c r="V644" s="29"/>
      <c r="W644" s="35"/>
      <c r="X644" s="29"/>
      <c r="Y644" s="36"/>
      <c r="Z644" s="29"/>
      <c r="AA644" s="31">
        <f t="shared" si="1"/>
        <v>44641</v>
      </c>
      <c r="AB644" s="32" t="str">
        <f t="shared" si="5"/>
        <v>marzo</v>
      </c>
    </row>
    <row r="645" spans="1:28" ht="12.75">
      <c r="A645" s="9" t="s">
        <v>58</v>
      </c>
      <c r="B645" s="10">
        <v>44644</v>
      </c>
      <c r="C645" s="11">
        <v>44644</v>
      </c>
      <c r="D645" s="49">
        <v>12</v>
      </c>
      <c r="E645" s="13" t="s">
        <v>921</v>
      </c>
      <c r="F645" s="13">
        <v>3025457</v>
      </c>
      <c r="G645" s="37">
        <v>13078.5</v>
      </c>
      <c r="H645" s="33">
        <f>8050-8047.02</f>
        <v>2.9799999999995634</v>
      </c>
      <c r="I645" s="16">
        <f>-H645*G645</f>
        <v>-38973.929999994289</v>
      </c>
      <c r="J645" s="17">
        <v>0</v>
      </c>
      <c r="K645" s="34">
        <v>4502292267</v>
      </c>
      <c r="L645" s="19">
        <v>5081061943</v>
      </c>
      <c r="M645" s="20">
        <v>5113188677</v>
      </c>
      <c r="N645" s="23"/>
      <c r="O645" s="9"/>
      <c r="P645" s="23"/>
      <c r="Q645" s="24" t="s">
        <v>31</v>
      </c>
      <c r="R645" s="25">
        <v>44641</v>
      </c>
      <c r="S645" s="28"/>
      <c r="T645" s="35"/>
      <c r="U645" s="35"/>
      <c r="V645" s="29"/>
      <c r="W645" s="35"/>
      <c r="X645" s="29"/>
      <c r="Y645" s="36"/>
      <c r="Z645" s="29"/>
      <c r="AA645" s="31">
        <f t="shared" si="1"/>
        <v>44641</v>
      </c>
      <c r="AB645" s="32" t="str">
        <f t="shared" si="5"/>
        <v>marzo</v>
      </c>
    </row>
    <row r="646" spans="1:28" ht="12.75">
      <c r="A646" s="9" t="s">
        <v>80</v>
      </c>
      <c r="B646" s="10">
        <v>44644</v>
      </c>
      <c r="C646" s="11">
        <v>44646</v>
      </c>
      <c r="D646" s="49">
        <v>12</v>
      </c>
      <c r="E646" s="13" t="s">
        <v>922</v>
      </c>
      <c r="F646" s="13">
        <v>3025460</v>
      </c>
      <c r="G646" s="14">
        <v>18032</v>
      </c>
      <c r="H646" s="57">
        <v>7800</v>
      </c>
      <c r="I646" s="16">
        <f t="shared" ref="I646:I652" si="101">H646*G646</f>
        <v>140649600</v>
      </c>
      <c r="J646" s="17">
        <v>42</v>
      </c>
      <c r="K646" s="34">
        <v>4502297868</v>
      </c>
      <c r="L646" s="19">
        <v>5081116376</v>
      </c>
      <c r="M646" s="20">
        <v>5113193582</v>
      </c>
      <c r="N646" s="44"/>
      <c r="O646" s="9" t="s">
        <v>37</v>
      </c>
      <c r="P646" s="23"/>
      <c r="Q646" s="24" t="s">
        <v>82</v>
      </c>
      <c r="R646" s="25">
        <v>44641</v>
      </c>
      <c r="S646" s="28"/>
      <c r="T646" s="35"/>
      <c r="U646" s="35"/>
      <c r="V646" s="29"/>
      <c r="W646" s="35"/>
      <c r="X646" s="29"/>
      <c r="Y646" s="36"/>
      <c r="Z646" s="29"/>
      <c r="AA646" s="31">
        <f t="shared" si="1"/>
        <v>44641</v>
      </c>
      <c r="AB646" s="32" t="str">
        <f t="shared" si="5"/>
        <v>marzo</v>
      </c>
    </row>
    <row r="647" spans="1:28" ht="12.75">
      <c r="A647" s="9" t="s">
        <v>85</v>
      </c>
      <c r="B647" s="10">
        <v>44641</v>
      </c>
      <c r="C647" s="11">
        <v>44645</v>
      </c>
      <c r="D647" s="49">
        <v>12</v>
      </c>
      <c r="E647" s="13" t="s">
        <v>923</v>
      </c>
      <c r="F647" s="13">
        <v>3025460</v>
      </c>
      <c r="G647" s="14">
        <v>18319</v>
      </c>
      <c r="H647" s="57">
        <v>7850</v>
      </c>
      <c r="I647" s="16">
        <f t="shared" si="101"/>
        <v>143804150</v>
      </c>
      <c r="J647" s="17">
        <v>42</v>
      </c>
      <c r="K647" s="34">
        <v>4502297860</v>
      </c>
      <c r="L647" s="19">
        <v>5081116243</v>
      </c>
      <c r="M647" s="20">
        <v>5113190486</v>
      </c>
      <c r="N647" s="44"/>
      <c r="O647" s="23" t="s">
        <v>63</v>
      </c>
      <c r="P647" s="23"/>
      <c r="Q647" s="24" t="s">
        <v>82</v>
      </c>
      <c r="R647" s="25">
        <v>44641</v>
      </c>
      <c r="S647" s="28"/>
      <c r="T647" s="35"/>
      <c r="U647" s="35"/>
      <c r="V647" s="29"/>
      <c r="W647" s="35"/>
      <c r="X647" s="29"/>
      <c r="Y647" s="36"/>
      <c r="Z647" s="29"/>
      <c r="AA647" s="31">
        <f t="shared" si="1"/>
        <v>44641</v>
      </c>
      <c r="AB647" s="32" t="str">
        <f t="shared" si="5"/>
        <v>marzo</v>
      </c>
    </row>
    <row r="648" spans="1:28" ht="12.75">
      <c r="A648" s="9" t="s">
        <v>94</v>
      </c>
      <c r="B648" s="10">
        <v>44645</v>
      </c>
      <c r="C648" s="11">
        <v>44645</v>
      </c>
      <c r="D648" s="49">
        <v>12</v>
      </c>
      <c r="E648" s="13" t="s">
        <v>924</v>
      </c>
      <c r="F648" s="13">
        <v>3025460</v>
      </c>
      <c r="G648" s="14">
        <v>12716</v>
      </c>
      <c r="H648" s="57">
        <v>7696.9</v>
      </c>
      <c r="I648" s="16">
        <f t="shared" si="101"/>
        <v>97873780.399999991</v>
      </c>
      <c r="J648" s="17">
        <v>30</v>
      </c>
      <c r="K648" s="34">
        <v>4502297865</v>
      </c>
      <c r="L648" s="19">
        <v>5081116287</v>
      </c>
      <c r="M648" s="20">
        <v>5113188919</v>
      </c>
      <c r="N648" s="23"/>
      <c r="O648" s="9" t="s">
        <v>63</v>
      </c>
      <c r="P648" s="23"/>
      <c r="Q648" s="24" t="s">
        <v>82</v>
      </c>
      <c r="R648" s="25">
        <v>44641</v>
      </c>
      <c r="S648" s="28"/>
      <c r="T648" s="35"/>
      <c r="U648" s="35"/>
      <c r="V648" s="29"/>
      <c r="W648" s="35"/>
      <c r="X648" s="29"/>
      <c r="Y648" s="36"/>
      <c r="Z648" s="29"/>
      <c r="AA648" s="31">
        <f t="shared" si="1"/>
        <v>44641</v>
      </c>
      <c r="AB648" s="32" t="str">
        <f t="shared" si="5"/>
        <v>marzo</v>
      </c>
    </row>
    <row r="649" spans="1:28" ht="12.75">
      <c r="A649" s="9" t="s">
        <v>58</v>
      </c>
      <c r="B649" s="10">
        <v>44645</v>
      </c>
      <c r="C649" s="11">
        <v>44645</v>
      </c>
      <c r="D649" s="49">
        <v>12</v>
      </c>
      <c r="E649" s="13" t="s">
        <v>925</v>
      </c>
      <c r="F649" s="13">
        <v>3025457</v>
      </c>
      <c r="G649" s="37">
        <v>8083.5</v>
      </c>
      <c r="H649" s="33">
        <v>8150</v>
      </c>
      <c r="I649" s="16">
        <f t="shared" si="101"/>
        <v>65880525</v>
      </c>
      <c r="J649" s="17">
        <v>15</v>
      </c>
      <c r="K649" s="34">
        <v>4502292268</v>
      </c>
      <c r="L649" s="19">
        <v>5081079209</v>
      </c>
      <c r="M649" s="20">
        <v>5113193579</v>
      </c>
      <c r="N649" s="23"/>
      <c r="O649" s="9" t="s">
        <v>37</v>
      </c>
      <c r="P649" s="23"/>
      <c r="Q649" s="24" t="s">
        <v>31</v>
      </c>
      <c r="R649" s="25">
        <v>44642</v>
      </c>
      <c r="S649" s="28"/>
      <c r="T649" s="35"/>
      <c r="U649" s="35"/>
      <c r="V649" s="29"/>
      <c r="W649" s="35"/>
      <c r="X649" s="29"/>
      <c r="Y649" s="36"/>
      <c r="Z649" s="29"/>
      <c r="AA649" s="31">
        <f t="shared" si="1"/>
        <v>44642</v>
      </c>
      <c r="AB649" s="32" t="str">
        <f t="shared" si="5"/>
        <v>marzo</v>
      </c>
    </row>
    <row r="650" spans="1:28" ht="12.75">
      <c r="A650" s="9" t="s">
        <v>891</v>
      </c>
      <c r="B650" s="10">
        <v>44644</v>
      </c>
      <c r="C650" s="11">
        <v>44644</v>
      </c>
      <c r="D650" s="49">
        <v>12</v>
      </c>
      <c r="E650" s="13" t="s">
        <v>926</v>
      </c>
      <c r="F650" s="13">
        <v>3025457</v>
      </c>
      <c r="G650" s="37">
        <v>24656.5</v>
      </c>
      <c r="H650" s="33">
        <v>8000</v>
      </c>
      <c r="I650" s="16">
        <f t="shared" si="101"/>
        <v>197252000</v>
      </c>
      <c r="J650" s="17">
        <v>56</v>
      </c>
      <c r="K650" s="34">
        <v>4502292269</v>
      </c>
      <c r="L650" s="19">
        <v>5081079026</v>
      </c>
      <c r="M650" s="20">
        <v>5113189055</v>
      </c>
      <c r="N650" s="23"/>
      <c r="O650" s="9" t="s">
        <v>63</v>
      </c>
      <c r="P650" s="23"/>
      <c r="Q650" s="24" t="s">
        <v>31</v>
      </c>
      <c r="R650" s="25">
        <v>44642</v>
      </c>
      <c r="S650" s="28"/>
      <c r="T650" s="35"/>
      <c r="U650" s="35"/>
      <c r="V650" s="29"/>
      <c r="W650" s="35"/>
      <c r="X650" s="29"/>
      <c r="Y650" s="36"/>
      <c r="Z650" s="29"/>
      <c r="AA650" s="31">
        <f t="shared" si="1"/>
        <v>44642</v>
      </c>
      <c r="AB650" s="32" t="str">
        <f t="shared" si="5"/>
        <v>marzo</v>
      </c>
    </row>
    <row r="651" spans="1:28" ht="12.75">
      <c r="A651" s="9" t="s">
        <v>891</v>
      </c>
      <c r="B651" s="10">
        <v>44644</v>
      </c>
      <c r="C651" s="11">
        <v>44644</v>
      </c>
      <c r="D651" s="49">
        <v>12</v>
      </c>
      <c r="E651" s="13" t="s">
        <v>163</v>
      </c>
      <c r="F651" s="13">
        <v>3025457</v>
      </c>
      <c r="G651" s="37">
        <v>24656.5</v>
      </c>
      <c r="H651" s="33">
        <f>8146.79-8000</f>
        <v>146.78999999999996</v>
      </c>
      <c r="I651" s="16">
        <f t="shared" si="101"/>
        <v>3619327.6349999993</v>
      </c>
      <c r="J651" s="17">
        <v>0</v>
      </c>
      <c r="K651" s="34">
        <v>4502292269</v>
      </c>
      <c r="L651" s="19">
        <v>5081079026</v>
      </c>
      <c r="M651" s="20">
        <v>5113189056</v>
      </c>
      <c r="N651" s="23"/>
      <c r="O651" s="9"/>
      <c r="P651" s="23"/>
      <c r="Q651" s="24" t="s">
        <v>31</v>
      </c>
      <c r="R651" s="25">
        <v>44642</v>
      </c>
      <c r="S651" s="28"/>
      <c r="T651" s="35"/>
      <c r="U651" s="35"/>
      <c r="V651" s="29"/>
      <c r="W651" s="35"/>
      <c r="X651" s="29"/>
      <c r="Y651" s="36"/>
      <c r="Z651" s="29"/>
      <c r="AA651" s="31">
        <f t="shared" si="1"/>
        <v>44642</v>
      </c>
      <c r="AB651" s="32" t="str">
        <f t="shared" si="5"/>
        <v>marzo</v>
      </c>
    </row>
    <row r="652" spans="1:28" ht="12.75">
      <c r="A652" s="9" t="s">
        <v>39</v>
      </c>
      <c r="B652" s="10">
        <v>44642</v>
      </c>
      <c r="C652" s="11">
        <v>44645</v>
      </c>
      <c r="D652" s="49">
        <v>12</v>
      </c>
      <c r="E652" s="13" t="s">
        <v>927</v>
      </c>
      <c r="F652" s="13">
        <v>3025459</v>
      </c>
      <c r="G652" s="37">
        <v>18218.5</v>
      </c>
      <c r="H652" s="33">
        <v>8050</v>
      </c>
      <c r="I652" s="16">
        <f t="shared" si="101"/>
        <v>146658925</v>
      </c>
      <c r="J652" s="17">
        <v>42</v>
      </c>
      <c r="K652" s="34">
        <v>4502292270</v>
      </c>
      <c r="L652" s="19">
        <v>5081079078</v>
      </c>
      <c r="M652" s="20">
        <v>5113197262</v>
      </c>
      <c r="N652" s="23"/>
      <c r="O652" s="9" t="s">
        <v>37</v>
      </c>
      <c r="P652" s="23" t="s">
        <v>928</v>
      </c>
      <c r="Q652" s="24" t="s">
        <v>31</v>
      </c>
      <c r="R652" s="25">
        <v>44642</v>
      </c>
      <c r="S652" s="28"/>
      <c r="T652" s="35"/>
      <c r="U652" s="35"/>
      <c r="V652" s="29"/>
      <c r="W652" s="35"/>
      <c r="X652" s="29"/>
      <c r="Y652" s="36"/>
      <c r="Z652" s="29"/>
      <c r="AA652" s="31">
        <f t="shared" si="1"/>
        <v>44642</v>
      </c>
      <c r="AB652" s="32" t="str">
        <f t="shared" si="5"/>
        <v>marzo</v>
      </c>
    </row>
    <row r="653" spans="1:28" ht="12.75">
      <c r="A653" s="9" t="s">
        <v>39</v>
      </c>
      <c r="B653" s="10">
        <v>44645</v>
      </c>
      <c r="C653" s="11">
        <v>44645</v>
      </c>
      <c r="D653" s="49">
        <v>12</v>
      </c>
      <c r="E653" s="13" t="s">
        <v>304</v>
      </c>
      <c r="F653" s="13">
        <v>3025459</v>
      </c>
      <c r="G653" s="37">
        <v>18218.5</v>
      </c>
      <c r="H653" s="33">
        <f>8050-8035.2</f>
        <v>14.800000000000182</v>
      </c>
      <c r="I653" s="16">
        <f>-H653*G653</f>
        <v>-269633.80000000331</v>
      </c>
      <c r="J653" s="17">
        <v>0</v>
      </c>
      <c r="K653" s="34">
        <v>4502292270</v>
      </c>
      <c r="L653" s="19">
        <v>5081079078</v>
      </c>
      <c r="M653" s="20">
        <v>5113197264</v>
      </c>
      <c r="N653" s="23"/>
      <c r="O653" s="9"/>
      <c r="P653" s="23"/>
      <c r="Q653" s="24" t="s">
        <v>31</v>
      </c>
      <c r="R653" s="25">
        <v>44642</v>
      </c>
      <c r="S653" s="28"/>
      <c r="T653" s="35"/>
      <c r="U653" s="35"/>
      <c r="V653" s="29"/>
      <c r="W653" s="35"/>
      <c r="X653" s="29"/>
      <c r="Y653" s="36"/>
      <c r="Z653" s="29"/>
      <c r="AA653" s="31">
        <f t="shared" si="1"/>
        <v>44642</v>
      </c>
      <c r="AB653" s="32" t="str">
        <f t="shared" si="5"/>
        <v>marzo</v>
      </c>
    </row>
    <row r="654" spans="1:28" ht="12.75">
      <c r="A654" s="9" t="s">
        <v>73</v>
      </c>
      <c r="B654" s="10">
        <v>44645</v>
      </c>
      <c r="C654" s="11">
        <v>44645</v>
      </c>
      <c r="D654" s="49">
        <v>12</v>
      </c>
      <c r="E654" s="13" t="s">
        <v>929</v>
      </c>
      <c r="F654" s="13">
        <v>3025459</v>
      </c>
      <c r="G654" s="37">
        <v>6754.5</v>
      </c>
      <c r="H654" s="33">
        <v>8000</v>
      </c>
      <c r="I654" s="16">
        <f t="shared" ref="I654:I656" si="102">H654*G654</f>
        <v>54036000</v>
      </c>
      <c r="J654" s="17">
        <v>14</v>
      </c>
      <c r="K654" s="34">
        <v>4502292271</v>
      </c>
      <c r="L654" s="19">
        <v>5081079081</v>
      </c>
      <c r="M654" s="20">
        <v>5113202749</v>
      </c>
      <c r="N654" s="23"/>
      <c r="O654" s="9"/>
      <c r="P654" s="23" t="s">
        <v>928</v>
      </c>
      <c r="Q654" s="24" t="s">
        <v>31</v>
      </c>
      <c r="R654" s="25">
        <v>44642</v>
      </c>
      <c r="S654" s="28"/>
      <c r="T654" s="35"/>
      <c r="U654" s="35"/>
      <c r="V654" s="29"/>
      <c r="W654" s="35"/>
      <c r="X654" s="29"/>
      <c r="Y654" s="36"/>
      <c r="Z654" s="29"/>
      <c r="AA654" s="31">
        <f t="shared" si="1"/>
        <v>44642</v>
      </c>
      <c r="AB654" s="32" t="str">
        <f t="shared" si="5"/>
        <v>marzo</v>
      </c>
    </row>
    <row r="655" spans="1:28" ht="12.75">
      <c r="A655" s="9" t="s">
        <v>58</v>
      </c>
      <c r="B655" s="10">
        <v>44645</v>
      </c>
      <c r="C655" s="11">
        <v>44645</v>
      </c>
      <c r="D655" s="49">
        <v>12</v>
      </c>
      <c r="E655" s="13" t="s">
        <v>930</v>
      </c>
      <c r="F655" s="13">
        <v>3025462</v>
      </c>
      <c r="G655" s="14">
        <v>9960</v>
      </c>
      <c r="H655" s="57">
        <v>7600</v>
      </c>
      <c r="I655" s="16">
        <f t="shared" si="102"/>
        <v>75696000</v>
      </c>
      <c r="J655" s="17">
        <v>38</v>
      </c>
      <c r="K655" s="34">
        <v>4502297135</v>
      </c>
      <c r="L655" s="19">
        <v>5081102663</v>
      </c>
      <c r="M655" s="20">
        <v>5113193580</v>
      </c>
      <c r="N655" s="23"/>
      <c r="O655" s="9" t="s">
        <v>37</v>
      </c>
      <c r="P655" s="23"/>
      <c r="Q655" s="24" t="s">
        <v>357</v>
      </c>
      <c r="R655" s="25">
        <v>44643</v>
      </c>
      <c r="S655" s="28"/>
      <c r="T655" s="35"/>
      <c r="U655" s="35"/>
      <c r="V655" s="29"/>
      <c r="W655" s="35"/>
      <c r="X655" s="29"/>
      <c r="Y655" s="36"/>
      <c r="Z655" s="29"/>
      <c r="AA655" s="31">
        <f t="shared" si="1"/>
        <v>44643</v>
      </c>
      <c r="AB655" s="32" t="str">
        <f t="shared" si="5"/>
        <v>marzo</v>
      </c>
    </row>
    <row r="656" spans="1:28" ht="12.75">
      <c r="A656" s="9" t="s">
        <v>58</v>
      </c>
      <c r="B656" s="10">
        <v>44649</v>
      </c>
      <c r="C656" s="11">
        <v>44649</v>
      </c>
      <c r="D656" s="53">
        <v>13</v>
      </c>
      <c r="E656" s="13" t="s">
        <v>931</v>
      </c>
      <c r="F656" s="13">
        <v>3025457</v>
      </c>
      <c r="G656" s="14">
        <v>56444.5</v>
      </c>
      <c r="H656" s="33">
        <v>8400</v>
      </c>
      <c r="I656" s="16">
        <f t="shared" si="102"/>
        <v>474133800</v>
      </c>
      <c r="J656" s="17">
        <v>120</v>
      </c>
      <c r="K656" s="34">
        <v>4502296376</v>
      </c>
      <c r="L656" s="19">
        <v>5081120161</v>
      </c>
      <c r="M656" s="20">
        <v>5113202845</v>
      </c>
      <c r="N656" s="44"/>
      <c r="O656" s="9" t="s">
        <v>37</v>
      </c>
      <c r="P656" s="23"/>
      <c r="Q656" s="24" t="s">
        <v>31</v>
      </c>
      <c r="R656" s="25">
        <v>44644</v>
      </c>
      <c r="S656" s="28"/>
      <c r="T656" s="35"/>
      <c r="U656" s="35"/>
      <c r="V656" s="29"/>
      <c r="W656" s="35"/>
      <c r="X656" s="29"/>
      <c r="Y656" s="36"/>
      <c r="Z656" s="29"/>
      <c r="AA656" s="31">
        <f t="shared" si="1"/>
        <v>44644</v>
      </c>
      <c r="AB656" s="32" t="str">
        <f t="shared" si="5"/>
        <v>marzo</v>
      </c>
    </row>
    <row r="657" spans="1:28" ht="12.75">
      <c r="A657" s="9" t="s">
        <v>58</v>
      </c>
      <c r="B657" s="10">
        <v>44649</v>
      </c>
      <c r="C657" s="11">
        <v>44649</v>
      </c>
      <c r="D657" s="53">
        <v>13</v>
      </c>
      <c r="E657" s="13" t="s">
        <v>932</v>
      </c>
      <c r="F657" s="13">
        <v>3025457</v>
      </c>
      <c r="G657" s="14">
        <v>56444.5</v>
      </c>
      <c r="H657" s="33">
        <f>8400-8396.61</f>
        <v>3.3899999999994179</v>
      </c>
      <c r="I657" s="16">
        <f>-H657*G657</f>
        <v>-191346.85499996715</v>
      </c>
      <c r="J657" s="17">
        <v>0</v>
      </c>
      <c r="K657" s="34">
        <v>4502296376</v>
      </c>
      <c r="L657" s="19">
        <v>5081120161</v>
      </c>
      <c r="M657" s="20">
        <v>5113202846</v>
      </c>
      <c r="N657" s="23"/>
      <c r="O657" s="9"/>
      <c r="P657" s="23"/>
      <c r="Q657" s="24" t="s">
        <v>31</v>
      </c>
      <c r="R657" s="25">
        <v>44644</v>
      </c>
      <c r="S657" s="28"/>
      <c r="T657" s="35"/>
      <c r="U657" s="35"/>
      <c r="V657" s="29"/>
      <c r="W657" s="35"/>
      <c r="X657" s="29"/>
      <c r="Y657" s="36"/>
      <c r="Z657" s="29"/>
      <c r="AA657" s="31">
        <f t="shared" si="1"/>
        <v>44644</v>
      </c>
      <c r="AB657" s="32" t="str">
        <f t="shared" si="5"/>
        <v>marzo</v>
      </c>
    </row>
    <row r="658" spans="1:28" ht="12.75">
      <c r="A658" s="9" t="s">
        <v>80</v>
      </c>
      <c r="B658" s="10">
        <v>44644</v>
      </c>
      <c r="C658" s="11">
        <v>44650</v>
      </c>
      <c r="D658" s="53">
        <v>13</v>
      </c>
      <c r="E658" s="13" t="s">
        <v>933</v>
      </c>
      <c r="F658" s="13">
        <v>3025457</v>
      </c>
      <c r="G658" s="14">
        <v>39768</v>
      </c>
      <c r="H658" s="15">
        <v>7650</v>
      </c>
      <c r="I658" s="16">
        <f t="shared" ref="I658:I662" si="103">H658*G658</f>
        <v>304225200</v>
      </c>
      <c r="J658" s="17">
        <v>84</v>
      </c>
      <c r="K658" s="34">
        <v>4502297490</v>
      </c>
      <c r="L658" s="19">
        <v>5081106338</v>
      </c>
      <c r="M658" s="20">
        <v>5113204440</v>
      </c>
      <c r="N658" s="23" t="s">
        <v>37</v>
      </c>
      <c r="O658" s="22" t="s">
        <v>934</v>
      </c>
      <c r="P658" s="23" t="s">
        <v>935</v>
      </c>
      <c r="Q658" s="24" t="s">
        <v>31</v>
      </c>
      <c r="R658" s="25">
        <v>44644</v>
      </c>
      <c r="S658" s="28">
        <v>4902236672</v>
      </c>
      <c r="T658" s="87" t="s">
        <v>936</v>
      </c>
      <c r="U658" s="28" t="s">
        <v>937</v>
      </c>
      <c r="V658" s="29">
        <v>5113195733</v>
      </c>
      <c r="W658" s="28" t="s">
        <v>938</v>
      </c>
      <c r="X658" s="29">
        <v>5113196134</v>
      </c>
      <c r="Y658" s="36"/>
      <c r="Z658" s="29"/>
      <c r="AA658" s="31">
        <f t="shared" si="1"/>
        <v>44644</v>
      </c>
      <c r="AB658" s="32" t="str">
        <f t="shared" si="5"/>
        <v>marzo</v>
      </c>
    </row>
    <row r="659" spans="1:28" ht="12.75">
      <c r="A659" s="9" t="s">
        <v>73</v>
      </c>
      <c r="B659" s="10">
        <v>44649</v>
      </c>
      <c r="C659" s="11">
        <v>44649</v>
      </c>
      <c r="D659" s="53">
        <v>13</v>
      </c>
      <c r="E659" s="13" t="s">
        <v>939</v>
      </c>
      <c r="F659" s="13">
        <v>3025459</v>
      </c>
      <c r="G659" s="14">
        <v>13308</v>
      </c>
      <c r="H659" s="33">
        <v>8150</v>
      </c>
      <c r="I659" s="16">
        <f t="shared" si="103"/>
        <v>108460200</v>
      </c>
      <c r="J659" s="17">
        <v>28</v>
      </c>
      <c r="K659" s="34">
        <v>4502296377</v>
      </c>
      <c r="L659" s="19">
        <v>5081120162</v>
      </c>
      <c r="M659" s="20">
        <v>5113198493</v>
      </c>
      <c r="N659" s="23"/>
      <c r="O659" s="9" t="s">
        <v>63</v>
      </c>
      <c r="P659" s="23"/>
      <c r="Q659" s="24" t="s">
        <v>31</v>
      </c>
      <c r="R659" s="25">
        <v>44644</v>
      </c>
      <c r="S659" s="28"/>
      <c r="T659" s="35"/>
      <c r="U659" s="35"/>
      <c r="V659" s="29"/>
      <c r="W659" s="35"/>
      <c r="X659" s="29"/>
      <c r="Y659" s="36"/>
      <c r="Z659" s="29"/>
      <c r="AA659" s="31">
        <f t="shared" si="1"/>
        <v>44644</v>
      </c>
      <c r="AB659" s="32" t="str">
        <f t="shared" si="5"/>
        <v>marzo</v>
      </c>
    </row>
    <row r="660" spans="1:28" ht="12.75">
      <c r="A660" s="9" t="s">
        <v>203</v>
      </c>
      <c r="B660" s="10">
        <v>44649</v>
      </c>
      <c r="C660" s="11">
        <v>44649</v>
      </c>
      <c r="D660" s="53">
        <v>13</v>
      </c>
      <c r="E660" s="13" t="s">
        <v>940</v>
      </c>
      <c r="F660" s="13">
        <v>3025459</v>
      </c>
      <c r="G660" s="37">
        <v>7385.5</v>
      </c>
      <c r="H660" s="33">
        <v>8050</v>
      </c>
      <c r="I660" s="16">
        <f t="shared" si="103"/>
        <v>59453275</v>
      </c>
      <c r="J660" s="17">
        <v>15</v>
      </c>
      <c r="K660" s="34">
        <v>4502296378</v>
      </c>
      <c r="L660" s="19">
        <v>5081120163</v>
      </c>
      <c r="M660" s="20">
        <v>5113202831</v>
      </c>
      <c r="N660" s="44"/>
      <c r="O660" s="9" t="s">
        <v>37</v>
      </c>
      <c r="P660" s="23"/>
      <c r="Q660" s="24" t="s">
        <v>31</v>
      </c>
      <c r="R660" s="25">
        <v>44644</v>
      </c>
      <c r="S660" s="28"/>
      <c r="T660" s="35"/>
      <c r="U660" s="35"/>
      <c r="V660" s="29"/>
      <c r="W660" s="35"/>
      <c r="X660" s="29"/>
      <c r="Y660" s="36"/>
      <c r="Z660" s="29"/>
      <c r="AA660" s="31">
        <f t="shared" si="1"/>
        <v>44644</v>
      </c>
      <c r="AB660" s="32" t="str">
        <f t="shared" si="5"/>
        <v>marzo</v>
      </c>
    </row>
    <row r="661" spans="1:28" ht="12.75">
      <c r="A661" s="9" t="s">
        <v>941</v>
      </c>
      <c r="B661" s="10">
        <v>44648</v>
      </c>
      <c r="C661" s="11"/>
      <c r="D661" s="53">
        <v>13</v>
      </c>
      <c r="E661" s="13" t="s">
        <v>942</v>
      </c>
      <c r="F661" s="13">
        <v>3025459</v>
      </c>
      <c r="G661" s="14">
        <v>6460</v>
      </c>
      <c r="H661" s="33">
        <v>8000</v>
      </c>
      <c r="I661" s="16">
        <f t="shared" si="103"/>
        <v>51680000</v>
      </c>
      <c r="J661" s="17">
        <v>14</v>
      </c>
      <c r="K661" s="34">
        <v>4502296379</v>
      </c>
      <c r="L661" s="19">
        <v>5081120164</v>
      </c>
      <c r="M661" s="20">
        <v>5113202809</v>
      </c>
      <c r="N661" s="23"/>
      <c r="O661" s="9"/>
      <c r="P661" s="23"/>
      <c r="Q661" s="24" t="s">
        <v>31</v>
      </c>
      <c r="R661" s="25">
        <v>44644</v>
      </c>
      <c r="S661" s="28"/>
      <c r="T661" s="35"/>
      <c r="U661" s="35"/>
      <c r="V661" s="29"/>
      <c r="W661" s="35"/>
      <c r="X661" s="29"/>
      <c r="Y661" s="36"/>
      <c r="Z661" s="29"/>
      <c r="AA661" s="31">
        <f t="shared" si="1"/>
        <v>44644</v>
      </c>
      <c r="AB661" s="32" t="str">
        <f t="shared" si="5"/>
        <v>marzo</v>
      </c>
    </row>
    <row r="662" spans="1:28" ht="12.75">
      <c r="A662" s="9" t="s">
        <v>58</v>
      </c>
      <c r="B662" s="10">
        <v>44649</v>
      </c>
      <c r="C662" s="11">
        <v>44649</v>
      </c>
      <c r="D662" s="53">
        <v>13</v>
      </c>
      <c r="E662" s="13" t="s">
        <v>943</v>
      </c>
      <c r="F662" s="13">
        <v>3025457</v>
      </c>
      <c r="G662" s="37">
        <v>48080.5</v>
      </c>
      <c r="H662" s="33">
        <v>8400</v>
      </c>
      <c r="I662" s="16">
        <f t="shared" si="103"/>
        <v>403876200</v>
      </c>
      <c r="J662" s="17">
        <v>104</v>
      </c>
      <c r="K662" s="34">
        <v>4502296380</v>
      </c>
      <c r="L662" s="19">
        <v>5081146816</v>
      </c>
      <c r="M662" s="20">
        <v>5113202877</v>
      </c>
      <c r="N662" s="44"/>
      <c r="O662" s="9" t="s">
        <v>37</v>
      </c>
      <c r="P662" s="23"/>
      <c r="Q662" s="24" t="s">
        <v>31</v>
      </c>
      <c r="R662" s="25">
        <v>44645</v>
      </c>
      <c r="S662" s="28"/>
      <c r="T662" s="35"/>
      <c r="U662" s="35"/>
      <c r="V662" s="29"/>
      <c r="W662" s="35"/>
      <c r="X662" s="29"/>
      <c r="Y662" s="36"/>
      <c r="Z662" s="29"/>
      <c r="AA662" s="31">
        <f t="shared" si="1"/>
        <v>44645</v>
      </c>
      <c r="AB662" s="32" t="str">
        <f t="shared" si="5"/>
        <v>marzo</v>
      </c>
    </row>
    <row r="663" spans="1:28" ht="12.75">
      <c r="A663" s="9" t="s">
        <v>58</v>
      </c>
      <c r="B663" s="10">
        <v>44649</v>
      </c>
      <c r="C663" s="11">
        <v>44649</v>
      </c>
      <c r="D663" s="53">
        <v>13</v>
      </c>
      <c r="E663" s="13" t="s">
        <v>944</v>
      </c>
      <c r="F663" s="13">
        <v>3025457</v>
      </c>
      <c r="G663" s="37">
        <v>48080.5</v>
      </c>
      <c r="H663" s="33">
        <f>8400-8393.55</f>
        <v>6.4500000000007276</v>
      </c>
      <c r="I663" s="16">
        <f>-H663*G663</f>
        <v>-310119.22500003496</v>
      </c>
      <c r="J663" s="17">
        <v>0</v>
      </c>
      <c r="K663" s="34">
        <v>4502296380</v>
      </c>
      <c r="L663" s="19">
        <v>5081146816</v>
      </c>
      <c r="M663" s="20">
        <v>5113202879</v>
      </c>
      <c r="N663" s="23"/>
      <c r="O663" s="9"/>
      <c r="P663" s="23"/>
      <c r="Q663" s="24" t="s">
        <v>31</v>
      </c>
      <c r="R663" s="25">
        <v>44645</v>
      </c>
      <c r="S663" s="28"/>
      <c r="T663" s="35"/>
      <c r="U663" s="35"/>
      <c r="V663" s="29"/>
      <c r="W663" s="35"/>
      <c r="X663" s="29"/>
      <c r="Y663" s="36"/>
      <c r="Z663" s="29"/>
      <c r="AA663" s="31">
        <f t="shared" si="1"/>
        <v>44645</v>
      </c>
      <c r="AB663" s="32" t="str">
        <f t="shared" si="5"/>
        <v>marzo</v>
      </c>
    </row>
    <row r="664" spans="1:28" ht="12.75">
      <c r="A664" s="9" t="s">
        <v>233</v>
      </c>
      <c r="B664" s="10">
        <v>44645</v>
      </c>
      <c r="C664" s="11">
        <v>44648</v>
      </c>
      <c r="D664" s="53">
        <v>13</v>
      </c>
      <c r="E664" s="13" t="s">
        <v>945</v>
      </c>
      <c r="F664" s="13">
        <v>3025457</v>
      </c>
      <c r="G664" s="37">
        <v>13954.5</v>
      </c>
      <c r="H664" s="33">
        <v>8000</v>
      </c>
      <c r="I664" s="16">
        <f t="shared" ref="I664:I665" si="104">H664*G664</f>
        <v>111636000</v>
      </c>
      <c r="J664" s="17">
        <v>30</v>
      </c>
      <c r="K664" s="34">
        <v>4502296381</v>
      </c>
      <c r="L664" s="19">
        <v>5081146660</v>
      </c>
      <c r="M664" s="20">
        <v>5113202882</v>
      </c>
      <c r="N664" s="23"/>
      <c r="O664" s="9" t="s">
        <v>37</v>
      </c>
      <c r="P664" s="23"/>
      <c r="Q664" s="24" t="s">
        <v>31</v>
      </c>
      <c r="R664" s="25">
        <v>44645</v>
      </c>
      <c r="S664" s="28"/>
      <c r="T664" s="35"/>
      <c r="U664" s="35"/>
      <c r="V664" s="29"/>
      <c r="W664" s="35"/>
      <c r="X664" s="29"/>
      <c r="Y664" s="36"/>
      <c r="Z664" s="29"/>
      <c r="AA664" s="31">
        <f t="shared" si="1"/>
        <v>44645</v>
      </c>
      <c r="AB664" s="32" t="str">
        <f t="shared" si="5"/>
        <v>marzo</v>
      </c>
    </row>
    <row r="665" spans="1:28" ht="12.75">
      <c r="A665" s="9" t="s">
        <v>348</v>
      </c>
      <c r="B665" s="10">
        <v>44649</v>
      </c>
      <c r="C665" s="11">
        <v>44649</v>
      </c>
      <c r="D665" s="53">
        <v>13</v>
      </c>
      <c r="E665" s="13" t="s">
        <v>946</v>
      </c>
      <c r="F665" s="13">
        <v>3025457</v>
      </c>
      <c r="G665" s="37">
        <v>6305.5</v>
      </c>
      <c r="H665" s="33">
        <v>7650</v>
      </c>
      <c r="I665" s="16">
        <f t="shared" si="104"/>
        <v>48237075</v>
      </c>
      <c r="J665" s="17">
        <v>15</v>
      </c>
      <c r="K665" s="34">
        <v>4502296382</v>
      </c>
      <c r="L665" s="19">
        <v>5081146661</v>
      </c>
      <c r="M665" s="20">
        <v>5113202770</v>
      </c>
      <c r="N665" s="23"/>
      <c r="O665" s="9" t="s">
        <v>63</v>
      </c>
      <c r="P665" s="23" t="s">
        <v>904</v>
      </c>
      <c r="Q665" s="24" t="s">
        <v>31</v>
      </c>
      <c r="R665" s="25">
        <v>44645</v>
      </c>
      <c r="S665" s="28"/>
      <c r="T665" s="35"/>
      <c r="U665" s="35"/>
      <c r="V665" s="29"/>
      <c r="W665" s="35"/>
      <c r="X665" s="29"/>
      <c r="Y665" s="36"/>
      <c r="Z665" s="29"/>
      <c r="AA665" s="31">
        <f t="shared" si="1"/>
        <v>44645</v>
      </c>
      <c r="AB665" s="32" t="str">
        <f t="shared" si="5"/>
        <v>marzo</v>
      </c>
    </row>
    <row r="666" spans="1:28" ht="12.75">
      <c r="A666" s="9" t="s">
        <v>348</v>
      </c>
      <c r="B666" s="10">
        <v>44649</v>
      </c>
      <c r="C666" s="11">
        <v>44649</v>
      </c>
      <c r="D666" s="53">
        <v>13</v>
      </c>
      <c r="E666" s="13" t="s">
        <v>947</v>
      </c>
      <c r="F666" s="13">
        <v>3025457</v>
      </c>
      <c r="G666" s="37">
        <v>6305.5</v>
      </c>
      <c r="H666" s="33">
        <f>7650-7569.3</f>
        <v>80.699999999999818</v>
      </c>
      <c r="I666" s="16">
        <f>-H666*G666</f>
        <v>-508853.84999999887</v>
      </c>
      <c r="J666" s="17">
        <v>0</v>
      </c>
      <c r="K666" s="34">
        <v>4502296382</v>
      </c>
      <c r="L666" s="19">
        <v>5081146661</v>
      </c>
      <c r="M666" s="20">
        <v>5113202773</v>
      </c>
      <c r="N666" s="23"/>
      <c r="O666" s="9"/>
      <c r="P666" s="23"/>
      <c r="Q666" s="24" t="s">
        <v>31</v>
      </c>
      <c r="R666" s="25">
        <v>44645</v>
      </c>
      <c r="S666" s="28"/>
      <c r="T666" s="35"/>
      <c r="U666" s="35"/>
      <c r="V666" s="29"/>
      <c r="W666" s="35"/>
      <c r="X666" s="29"/>
      <c r="Y666" s="36"/>
      <c r="Z666" s="29"/>
      <c r="AA666" s="31">
        <f t="shared" si="1"/>
        <v>44645</v>
      </c>
      <c r="AB666" s="32" t="str">
        <f t="shared" si="5"/>
        <v>marzo</v>
      </c>
    </row>
    <row r="667" spans="1:28" ht="12.75">
      <c r="A667" s="9" t="s">
        <v>111</v>
      </c>
      <c r="B667" s="10">
        <v>44645</v>
      </c>
      <c r="C667" s="11">
        <v>44645</v>
      </c>
      <c r="D667" s="53">
        <v>13</v>
      </c>
      <c r="E667" s="13" t="s">
        <v>948</v>
      </c>
      <c r="F667" s="13">
        <v>3025457</v>
      </c>
      <c r="G667" s="14">
        <v>6594</v>
      </c>
      <c r="H667" s="33">
        <v>7650</v>
      </c>
      <c r="I667" s="16">
        <f t="shared" ref="I667:I670" si="105">H667*G667</f>
        <v>50444100</v>
      </c>
      <c r="J667" s="17">
        <v>14</v>
      </c>
      <c r="K667" s="34">
        <v>4502296383</v>
      </c>
      <c r="L667" s="19">
        <v>5081146662</v>
      </c>
      <c r="M667" s="20">
        <v>5113202655</v>
      </c>
      <c r="N667" s="44"/>
      <c r="O667" s="9" t="s">
        <v>37</v>
      </c>
      <c r="P667" s="23"/>
      <c r="Q667" s="24" t="s">
        <v>31</v>
      </c>
      <c r="R667" s="25">
        <v>44645</v>
      </c>
      <c r="S667" s="28"/>
      <c r="T667" s="35"/>
      <c r="U667" s="35"/>
      <c r="V667" s="29"/>
      <c r="W667" s="35"/>
      <c r="X667" s="29"/>
      <c r="Y667" s="36"/>
      <c r="Z667" s="29"/>
      <c r="AA667" s="31">
        <f t="shared" si="1"/>
        <v>44645</v>
      </c>
      <c r="AB667" s="32" t="str">
        <f t="shared" si="5"/>
        <v>marzo</v>
      </c>
    </row>
    <row r="668" spans="1:28" ht="12.75">
      <c r="A668" s="9" t="s">
        <v>949</v>
      </c>
      <c r="B668" s="10">
        <v>44645</v>
      </c>
      <c r="C668" s="11">
        <v>44648</v>
      </c>
      <c r="D668" s="53">
        <v>13</v>
      </c>
      <c r="E668" s="13" t="s">
        <v>950</v>
      </c>
      <c r="F668" s="13">
        <v>3025457</v>
      </c>
      <c r="G668" s="37">
        <v>6621.5</v>
      </c>
      <c r="H668" s="33">
        <v>7700</v>
      </c>
      <c r="I668" s="16">
        <f t="shared" si="105"/>
        <v>50985550</v>
      </c>
      <c r="J668" s="17">
        <v>14</v>
      </c>
      <c r="K668" s="34">
        <v>4502299599</v>
      </c>
      <c r="L668" s="19">
        <v>5081160764</v>
      </c>
      <c r="M668" s="20">
        <v>5113210275</v>
      </c>
      <c r="N668" s="44"/>
      <c r="O668" s="9" t="s">
        <v>37</v>
      </c>
      <c r="P668" s="23" t="s">
        <v>951</v>
      </c>
      <c r="Q668" s="24" t="s">
        <v>31</v>
      </c>
      <c r="R668" s="25">
        <v>44645</v>
      </c>
      <c r="S668" s="28"/>
      <c r="T668" s="35"/>
      <c r="U668" s="35"/>
      <c r="V668" s="29"/>
      <c r="W668" s="35"/>
      <c r="X668" s="29"/>
      <c r="Y668" s="36"/>
      <c r="Z668" s="29"/>
      <c r="AA668" s="31">
        <f t="shared" si="1"/>
        <v>44645</v>
      </c>
      <c r="AB668" s="32" t="str">
        <f t="shared" si="5"/>
        <v>marzo</v>
      </c>
    </row>
    <row r="669" spans="1:28" ht="12.75">
      <c r="A669" s="9" t="s">
        <v>949</v>
      </c>
      <c r="B669" s="10">
        <v>44645</v>
      </c>
      <c r="C669" s="11"/>
      <c r="D669" s="53">
        <v>13</v>
      </c>
      <c r="E669" s="13" t="s">
        <v>952</v>
      </c>
      <c r="F669" s="13">
        <v>3025457</v>
      </c>
      <c r="G669" s="37">
        <v>6621.5</v>
      </c>
      <c r="H669" s="33">
        <v>50</v>
      </c>
      <c r="I669" s="16">
        <f t="shared" si="105"/>
        <v>331075</v>
      </c>
      <c r="J669" s="17">
        <v>0</v>
      </c>
      <c r="K669" s="34">
        <v>4502299599</v>
      </c>
      <c r="L669" s="19">
        <v>5081160764</v>
      </c>
      <c r="M669" s="20">
        <v>5113210287</v>
      </c>
      <c r="N669" s="23"/>
      <c r="O669" s="9"/>
      <c r="P669" s="23"/>
      <c r="Q669" s="24" t="s">
        <v>31</v>
      </c>
      <c r="R669" s="25">
        <v>44645</v>
      </c>
      <c r="S669" s="28"/>
      <c r="T669" s="35"/>
      <c r="U669" s="35"/>
      <c r="V669" s="29"/>
      <c r="W669" s="35"/>
      <c r="X669" s="29"/>
      <c r="Y669" s="36"/>
      <c r="Z669" s="29"/>
      <c r="AA669" s="31">
        <f t="shared" si="1"/>
        <v>44645</v>
      </c>
      <c r="AB669" s="32" t="str">
        <f t="shared" si="5"/>
        <v>marzo</v>
      </c>
    </row>
    <row r="670" spans="1:28" ht="12.75">
      <c r="A670" s="9" t="s">
        <v>58</v>
      </c>
      <c r="B670" s="10">
        <v>44649</v>
      </c>
      <c r="C670" s="11">
        <v>44649</v>
      </c>
      <c r="D670" s="53">
        <v>13</v>
      </c>
      <c r="E670" s="13" t="s">
        <v>953</v>
      </c>
      <c r="F670" s="13">
        <v>3025459</v>
      </c>
      <c r="G670" s="14">
        <v>7397</v>
      </c>
      <c r="H670" s="33">
        <v>8400</v>
      </c>
      <c r="I670" s="16">
        <f t="shared" si="105"/>
        <v>62134800</v>
      </c>
      <c r="J670" s="17">
        <v>15</v>
      </c>
      <c r="K670" s="34">
        <v>4502296385</v>
      </c>
      <c r="L670" s="19">
        <v>5081146664</v>
      </c>
      <c r="M670" s="20">
        <v>5113202885</v>
      </c>
      <c r="N670" s="44"/>
      <c r="O670" s="9" t="s">
        <v>37</v>
      </c>
      <c r="P670" s="23"/>
      <c r="Q670" s="24" t="s">
        <v>31</v>
      </c>
      <c r="R670" s="25">
        <v>44645</v>
      </c>
      <c r="S670" s="28"/>
      <c r="T670" s="35"/>
      <c r="U670" s="35"/>
      <c r="V670" s="29"/>
      <c r="W670" s="35"/>
      <c r="X670" s="29"/>
      <c r="Y670" s="36"/>
      <c r="Z670" s="29"/>
      <c r="AA670" s="31">
        <f t="shared" si="1"/>
        <v>44645</v>
      </c>
      <c r="AB670" s="32" t="str">
        <f t="shared" si="5"/>
        <v>marzo</v>
      </c>
    </row>
    <row r="671" spans="1:28" ht="12.75">
      <c r="A671" s="9" t="s">
        <v>58</v>
      </c>
      <c r="B671" s="10">
        <v>44649</v>
      </c>
      <c r="C671" s="11">
        <v>44649</v>
      </c>
      <c r="D671" s="53">
        <v>13</v>
      </c>
      <c r="E671" s="13" t="s">
        <v>954</v>
      </c>
      <c r="F671" s="13">
        <v>3025459</v>
      </c>
      <c r="G671" s="14">
        <v>7397</v>
      </c>
      <c r="H671" s="33">
        <v>50</v>
      </c>
      <c r="I671" s="16">
        <f>-H671*G671</f>
        <v>-369850</v>
      </c>
      <c r="J671" s="17">
        <v>0</v>
      </c>
      <c r="K671" s="34">
        <v>4502296385</v>
      </c>
      <c r="L671" s="19">
        <v>5081146664</v>
      </c>
      <c r="M671" s="20">
        <v>5113202900</v>
      </c>
      <c r="N671" s="23"/>
      <c r="O671" s="9"/>
      <c r="P671" s="23"/>
      <c r="Q671" s="24" t="s">
        <v>31</v>
      </c>
      <c r="R671" s="25">
        <v>44645</v>
      </c>
      <c r="S671" s="28"/>
      <c r="T671" s="35"/>
      <c r="U671" s="35"/>
      <c r="V671" s="29"/>
      <c r="W671" s="35"/>
      <c r="X671" s="29"/>
      <c r="Y671" s="36"/>
      <c r="Z671" s="29"/>
      <c r="AA671" s="31">
        <f t="shared" si="1"/>
        <v>44645</v>
      </c>
      <c r="AB671" s="32" t="str">
        <f t="shared" si="5"/>
        <v>marzo</v>
      </c>
    </row>
    <row r="672" spans="1:28" ht="12.75">
      <c r="A672" s="9" t="s">
        <v>58</v>
      </c>
      <c r="B672" s="10">
        <v>44649</v>
      </c>
      <c r="C672" s="11">
        <v>44649</v>
      </c>
      <c r="D672" s="53">
        <v>13</v>
      </c>
      <c r="E672" s="13" t="s">
        <v>955</v>
      </c>
      <c r="F672" s="13">
        <v>3025459</v>
      </c>
      <c r="G672" s="37">
        <v>13806.5</v>
      </c>
      <c r="H672" s="33">
        <v>8400</v>
      </c>
      <c r="I672" s="16">
        <f>H672*G672</f>
        <v>115974600</v>
      </c>
      <c r="J672" s="17">
        <v>30</v>
      </c>
      <c r="K672" s="34">
        <v>4502296385</v>
      </c>
      <c r="L672" s="19">
        <v>5081146664</v>
      </c>
      <c r="M672" s="20">
        <v>5113202901</v>
      </c>
      <c r="N672" s="44"/>
      <c r="O672" s="9" t="s">
        <v>37</v>
      </c>
      <c r="P672" s="23"/>
      <c r="Q672" s="24" t="s">
        <v>31</v>
      </c>
      <c r="R672" s="25">
        <v>44645</v>
      </c>
      <c r="S672" s="28"/>
      <c r="T672" s="35"/>
      <c r="U672" s="35"/>
      <c r="V672" s="29"/>
      <c r="W672" s="35"/>
      <c r="X672" s="29"/>
      <c r="Y672" s="36"/>
      <c r="Z672" s="29"/>
      <c r="AA672" s="31">
        <f t="shared" si="1"/>
        <v>44645</v>
      </c>
      <c r="AB672" s="32" t="str">
        <f t="shared" si="5"/>
        <v>marzo</v>
      </c>
    </row>
    <row r="673" spans="1:28" ht="12.75">
      <c r="A673" s="9" t="s">
        <v>58</v>
      </c>
      <c r="B673" s="10">
        <v>44649</v>
      </c>
      <c r="C673" s="11">
        <v>44649</v>
      </c>
      <c r="D673" s="53">
        <v>13</v>
      </c>
      <c r="E673" s="13" t="s">
        <v>956</v>
      </c>
      <c r="F673" s="13">
        <v>3025459</v>
      </c>
      <c r="G673" s="37">
        <v>13806.5</v>
      </c>
      <c r="H673" s="33">
        <f>8400-8397.2</f>
        <v>2.7999999999992724</v>
      </c>
      <c r="I673" s="16">
        <f>-H673*G673</f>
        <v>-38658.199999989956</v>
      </c>
      <c r="J673" s="17">
        <v>0</v>
      </c>
      <c r="K673" s="34">
        <v>4502296385</v>
      </c>
      <c r="L673" s="19">
        <v>5081146664</v>
      </c>
      <c r="M673" s="20">
        <v>5113202902</v>
      </c>
      <c r="N673" s="23"/>
      <c r="O673" s="9"/>
      <c r="P673" s="23"/>
      <c r="Q673" s="24" t="s">
        <v>31</v>
      </c>
      <c r="R673" s="25">
        <v>44645</v>
      </c>
      <c r="S673" s="28"/>
      <c r="T673" s="35"/>
      <c r="U673" s="35"/>
      <c r="V673" s="29"/>
      <c r="W673" s="35"/>
      <c r="X673" s="29"/>
      <c r="Y673" s="36"/>
      <c r="Z673" s="29"/>
      <c r="AA673" s="31">
        <f t="shared" si="1"/>
        <v>44645</v>
      </c>
      <c r="AB673" s="32" t="str">
        <f t="shared" si="5"/>
        <v>marzo</v>
      </c>
    </row>
    <row r="674" spans="1:28" ht="12.75">
      <c r="A674" s="9" t="s">
        <v>28</v>
      </c>
      <c r="B674" s="10">
        <v>44648</v>
      </c>
      <c r="C674" s="11">
        <v>44649</v>
      </c>
      <c r="D674" s="53">
        <v>13</v>
      </c>
      <c r="E674" s="13" t="s">
        <v>957</v>
      </c>
      <c r="F674" s="13">
        <v>3025457</v>
      </c>
      <c r="G674" s="14">
        <v>40885</v>
      </c>
      <c r="H674" s="57">
        <v>7898.31</v>
      </c>
      <c r="I674" s="39">
        <v>322922400</v>
      </c>
      <c r="J674" s="17">
        <v>88</v>
      </c>
      <c r="K674" s="34">
        <v>4502299554</v>
      </c>
      <c r="L674" s="19">
        <v>5081160329</v>
      </c>
      <c r="M674" s="20">
        <v>5113197407</v>
      </c>
      <c r="N674" s="21" t="s">
        <v>37</v>
      </c>
      <c r="O674" s="9"/>
      <c r="P674" s="23"/>
      <c r="Q674" s="24" t="s">
        <v>671</v>
      </c>
      <c r="R674" s="25">
        <v>44645</v>
      </c>
      <c r="S674" s="28"/>
      <c r="T674" s="35"/>
      <c r="U674" s="35"/>
      <c r="V674" s="29"/>
      <c r="W674" s="35"/>
      <c r="X674" s="29"/>
      <c r="Y674" s="36"/>
      <c r="Z674" s="29"/>
      <c r="AA674" s="31">
        <f t="shared" si="1"/>
        <v>44645</v>
      </c>
      <c r="AB674" s="32" t="str">
        <f t="shared" si="5"/>
        <v>marzo</v>
      </c>
    </row>
    <row r="675" spans="1:28" ht="12.75">
      <c r="A675" s="9" t="s">
        <v>58</v>
      </c>
      <c r="B675" s="10">
        <v>44652</v>
      </c>
      <c r="C675" s="11">
        <v>44652</v>
      </c>
      <c r="D675" s="53">
        <v>13</v>
      </c>
      <c r="E675" s="13" t="s">
        <v>958</v>
      </c>
      <c r="F675" s="13">
        <v>3025457</v>
      </c>
      <c r="G675" s="14">
        <v>7630.5</v>
      </c>
      <c r="H675" s="33">
        <v>8400</v>
      </c>
      <c r="I675" s="16">
        <f t="shared" ref="I675:I676" si="106">H675*G675</f>
        <v>64096200</v>
      </c>
      <c r="J675" s="17">
        <v>15</v>
      </c>
      <c r="K675" s="34">
        <v>4502296386</v>
      </c>
      <c r="L675" s="19">
        <v>5081146665</v>
      </c>
      <c r="M675" s="20">
        <v>5113214110</v>
      </c>
      <c r="N675" s="23"/>
      <c r="O675" s="9" t="s">
        <v>37</v>
      </c>
      <c r="P675" s="23"/>
      <c r="Q675" s="24" t="s">
        <v>31</v>
      </c>
      <c r="R675" s="25">
        <v>44646</v>
      </c>
      <c r="S675" s="28"/>
      <c r="T675" s="35"/>
      <c r="U675" s="35"/>
      <c r="V675" s="29"/>
      <c r="W675" s="35"/>
      <c r="X675" s="29"/>
      <c r="Y675" s="36"/>
      <c r="Z675" s="29"/>
      <c r="AA675" s="31">
        <f t="shared" si="1"/>
        <v>44646</v>
      </c>
      <c r="AB675" s="32" t="str">
        <f t="shared" si="5"/>
        <v>marzo</v>
      </c>
    </row>
    <row r="676" spans="1:28" ht="12.75">
      <c r="A676" s="9" t="s">
        <v>58</v>
      </c>
      <c r="B676" s="10">
        <v>44652</v>
      </c>
      <c r="C676" s="11">
        <v>44652</v>
      </c>
      <c r="D676" s="53">
        <v>13</v>
      </c>
      <c r="E676" s="13" t="s">
        <v>959</v>
      </c>
      <c r="F676" s="13">
        <v>3025457</v>
      </c>
      <c r="G676" s="37">
        <v>21349.5</v>
      </c>
      <c r="H676" s="33">
        <v>8400</v>
      </c>
      <c r="I676" s="16">
        <f t="shared" si="106"/>
        <v>179335800</v>
      </c>
      <c r="J676" s="17">
        <v>45</v>
      </c>
      <c r="K676" s="34">
        <v>4502296386</v>
      </c>
      <c r="L676" s="19">
        <v>5081146665</v>
      </c>
      <c r="M676" s="20">
        <v>5113218889</v>
      </c>
      <c r="N676" s="23"/>
      <c r="O676" s="23" t="s">
        <v>37</v>
      </c>
      <c r="P676" s="23" t="s">
        <v>960</v>
      </c>
      <c r="Q676" s="24" t="s">
        <v>31</v>
      </c>
      <c r="R676" s="25">
        <v>44646</v>
      </c>
      <c r="S676" s="28"/>
      <c r="T676" s="35"/>
      <c r="U676" s="35"/>
      <c r="V676" s="29"/>
      <c r="W676" s="35"/>
      <c r="X676" s="29"/>
      <c r="Y676" s="36"/>
      <c r="Z676" s="29"/>
      <c r="AA676" s="31">
        <f t="shared" si="1"/>
        <v>44646</v>
      </c>
      <c r="AB676" s="32" t="str">
        <f t="shared" si="5"/>
        <v>marzo</v>
      </c>
    </row>
    <row r="677" spans="1:28" ht="12.75">
      <c r="A677" s="9" t="s">
        <v>58</v>
      </c>
      <c r="B677" s="10">
        <v>44652</v>
      </c>
      <c r="C677" s="11">
        <v>44652</v>
      </c>
      <c r="D677" s="53">
        <v>13</v>
      </c>
      <c r="E677" s="13" t="s">
        <v>961</v>
      </c>
      <c r="F677" s="13">
        <v>3025457</v>
      </c>
      <c r="G677" s="37">
        <v>21349.5</v>
      </c>
      <c r="H677" s="33">
        <v>50</v>
      </c>
      <c r="I677" s="16">
        <f>-H677*G677</f>
        <v>-1067475</v>
      </c>
      <c r="J677" s="17">
        <v>0</v>
      </c>
      <c r="K677" s="34">
        <v>4502296386</v>
      </c>
      <c r="L677" s="19">
        <v>5081146665</v>
      </c>
      <c r="M677" s="20">
        <v>5113218890</v>
      </c>
      <c r="N677" s="23"/>
      <c r="O677" s="9"/>
      <c r="P677" s="23"/>
      <c r="Q677" s="24" t="s">
        <v>31</v>
      </c>
      <c r="R677" s="25">
        <v>44646</v>
      </c>
      <c r="S677" s="28"/>
      <c r="T677" s="35"/>
      <c r="U677" s="35"/>
      <c r="V677" s="29"/>
      <c r="W677" s="35"/>
      <c r="X677" s="29"/>
      <c r="Y677" s="36"/>
      <c r="Z677" s="29"/>
      <c r="AA677" s="31">
        <f t="shared" si="1"/>
        <v>44646</v>
      </c>
      <c r="AB677" s="32" t="str">
        <f t="shared" si="5"/>
        <v>marzo</v>
      </c>
    </row>
    <row r="678" spans="1:28" ht="12.75">
      <c r="A678" s="9" t="s">
        <v>213</v>
      </c>
      <c r="B678" s="10">
        <v>44646</v>
      </c>
      <c r="C678" s="11">
        <v>44649</v>
      </c>
      <c r="D678" s="53">
        <v>13</v>
      </c>
      <c r="E678" s="13" t="s">
        <v>962</v>
      </c>
      <c r="F678" s="13">
        <v>3025457</v>
      </c>
      <c r="G678" s="37">
        <v>6978.5</v>
      </c>
      <c r="H678" s="33">
        <v>7900</v>
      </c>
      <c r="I678" s="16">
        <f t="shared" ref="I678:I680" si="107">H678*G678</f>
        <v>55130150</v>
      </c>
      <c r="J678" s="17">
        <v>15</v>
      </c>
      <c r="K678" s="34">
        <v>4502296387</v>
      </c>
      <c r="L678" s="19">
        <v>5081146817</v>
      </c>
      <c r="M678" s="20">
        <v>5113202958</v>
      </c>
      <c r="N678" s="23"/>
      <c r="P678" s="23"/>
      <c r="Q678" s="24" t="s">
        <v>31</v>
      </c>
      <c r="R678" s="25">
        <v>44646</v>
      </c>
      <c r="S678" s="28"/>
      <c r="T678" s="35"/>
      <c r="U678" s="35"/>
      <c r="V678" s="29"/>
      <c r="W678" s="35"/>
      <c r="X678" s="29"/>
      <c r="Y678" s="36"/>
      <c r="Z678" s="29"/>
      <c r="AA678" s="31">
        <f t="shared" si="1"/>
        <v>44646</v>
      </c>
      <c r="AB678" s="32" t="str">
        <f t="shared" si="5"/>
        <v>marzo</v>
      </c>
    </row>
    <row r="679" spans="1:28" ht="12.75">
      <c r="A679" s="9" t="s">
        <v>213</v>
      </c>
      <c r="B679" s="10">
        <v>44646</v>
      </c>
      <c r="C679" s="11">
        <v>44649</v>
      </c>
      <c r="D679" s="53">
        <v>13</v>
      </c>
      <c r="E679" s="13" t="s">
        <v>422</v>
      </c>
      <c r="F679" s="13">
        <v>3025457</v>
      </c>
      <c r="G679" s="37">
        <v>6978.5</v>
      </c>
      <c r="H679" s="33">
        <v>50</v>
      </c>
      <c r="I679" s="16">
        <f t="shared" si="107"/>
        <v>348925</v>
      </c>
      <c r="J679" s="17">
        <v>0</v>
      </c>
      <c r="K679" s="34">
        <v>4502296387</v>
      </c>
      <c r="L679" s="19">
        <v>5081146817</v>
      </c>
      <c r="M679" s="20">
        <v>5113202959</v>
      </c>
      <c r="N679" s="23"/>
      <c r="O679" s="9"/>
      <c r="P679" s="23"/>
      <c r="Q679" s="24" t="s">
        <v>31</v>
      </c>
      <c r="R679" s="25">
        <v>44646</v>
      </c>
      <c r="S679" s="28"/>
      <c r="T679" s="35"/>
      <c r="U679" s="35"/>
      <c r="V679" s="29"/>
      <c r="W679" s="35"/>
      <c r="X679" s="29"/>
      <c r="Y679" s="36"/>
      <c r="Z679" s="29"/>
      <c r="AA679" s="31">
        <f t="shared" si="1"/>
        <v>44646</v>
      </c>
      <c r="AB679" s="32" t="str">
        <f t="shared" si="5"/>
        <v>marzo</v>
      </c>
    </row>
    <row r="680" spans="1:28" ht="12.75">
      <c r="A680" s="9" t="s">
        <v>233</v>
      </c>
      <c r="B680" s="10">
        <v>44646</v>
      </c>
      <c r="C680" s="11">
        <v>44648</v>
      </c>
      <c r="D680" s="53">
        <v>13</v>
      </c>
      <c r="E680" s="13" t="s">
        <v>963</v>
      </c>
      <c r="F680" s="13">
        <v>3025457</v>
      </c>
      <c r="G680" s="37">
        <v>20482.5</v>
      </c>
      <c r="H680" s="33">
        <v>8000</v>
      </c>
      <c r="I680" s="16">
        <f t="shared" si="107"/>
        <v>163860000</v>
      </c>
      <c r="J680" s="17">
        <v>75</v>
      </c>
      <c r="K680" s="34">
        <v>4502296388</v>
      </c>
      <c r="L680" s="19">
        <v>5081146666</v>
      </c>
      <c r="M680" s="20">
        <v>5113202903</v>
      </c>
      <c r="N680" s="44"/>
      <c r="O680" s="9" t="s">
        <v>37</v>
      </c>
      <c r="P680" s="23" t="s">
        <v>964</v>
      </c>
      <c r="Q680" s="24" t="s">
        <v>31</v>
      </c>
      <c r="R680" s="25">
        <v>44646</v>
      </c>
      <c r="S680" s="28"/>
      <c r="T680" s="35"/>
      <c r="U680" s="35"/>
      <c r="V680" s="29"/>
      <c r="W680" s="35"/>
      <c r="X680" s="29"/>
      <c r="Y680" s="36"/>
      <c r="Z680" s="29"/>
      <c r="AA680" s="31">
        <f t="shared" si="1"/>
        <v>44646</v>
      </c>
      <c r="AB680" s="32" t="str">
        <f t="shared" si="5"/>
        <v>marzo</v>
      </c>
    </row>
    <row r="681" spans="1:28" ht="12.75">
      <c r="A681" s="9" t="s">
        <v>233</v>
      </c>
      <c r="B681" s="10">
        <v>44646</v>
      </c>
      <c r="C681" s="11">
        <v>44648</v>
      </c>
      <c r="D681" s="53">
        <v>13</v>
      </c>
      <c r="E681" s="13" t="s">
        <v>965</v>
      </c>
      <c r="F681" s="13">
        <v>3025457</v>
      </c>
      <c r="G681" s="37">
        <v>20482.5</v>
      </c>
      <c r="H681" s="33">
        <f>8000-7998.06</f>
        <v>1.9399999999995998</v>
      </c>
      <c r="I681" s="16">
        <f>-H681*G681</f>
        <v>-39736.049999991803</v>
      </c>
      <c r="J681" s="17">
        <v>0</v>
      </c>
      <c r="K681" s="34">
        <v>4502296388</v>
      </c>
      <c r="L681" s="19">
        <v>5081146666</v>
      </c>
      <c r="M681" s="20">
        <v>5113202928</v>
      </c>
      <c r="N681" s="23"/>
      <c r="O681" s="9"/>
      <c r="P681" s="23"/>
      <c r="Q681" s="24" t="s">
        <v>31</v>
      </c>
      <c r="R681" s="25">
        <v>44646</v>
      </c>
      <c r="S681" s="28"/>
      <c r="T681" s="35"/>
      <c r="U681" s="35"/>
      <c r="V681" s="29"/>
      <c r="W681" s="35"/>
      <c r="X681" s="29"/>
      <c r="Y681" s="36"/>
      <c r="Z681" s="29"/>
      <c r="AA681" s="31">
        <f t="shared" si="1"/>
        <v>44646</v>
      </c>
      <c r="AB681" s="32" t="str">
        <f t="shared" si="5"/>
        <v>marzo</v>
      </c>
    </row>
    <row r="682" spans="1:28" ht="12.75">
      <c r="A682" s="9" t="s">
        <v>58</v>
      </c>
      <c r="B682" s="10">
        <v>44652</v>
      </c>
      <c r="C682" s="11">
        <v>44652</v>
      </c>
      <c r="D682" s="53">
        <v>13</v>
      </c>
      <c r="E682" s="13" t="s">
        <v>966</v>
      </c>
      <c r="F682" s="13">
        <v>3025459</v>
      </c>
      <c r="G682" s="37">
        <v>21420.5</v>
      </c>
      <c r="H682" s="33">
        <v>8400</v>
      </c>
      <c r="I682" s="16">
        <f>H682*G682</f>
        <v>179932200</v>
      </c>
      <c r="J682" s="17">
        <v>44</v>
      </c>
      <c r="K682" s="34">
        <v>4502296390</v>
      </c>
      <c r="L682" s="19">
        <v>5081146667</v>
      </c>
      <c r="M682" s="20">
        <v>5113214111</v>
      </c>
      <c r="N682" s="23"/>
      <c r="O682" s="9" t="s">
        <v>37</v>
      </c>
      <c r="P682" s="23"/>
      <c r="Q682" s="24" t="s">
        <v>31</v>
      </c>
      <c r="R682" s="25">
        <v>44646</v>
      </c>
      <c r="S682" s="28"/>
      <c r="T682" s="35"/>
      <c r="U682" s="35"/>
      <c r="V682" s="29"/>
      <c r="W682" s="35"/>
      <c r="X682" s="29"/>
      <c r="Y682" s="36"/>
      <c r="Z682" s="29"/>
      <c r="AA682" s="31">
        <f t="shared" si="1"/>
        <v>44646</v>
      </c>
      <c r="AB682" s="32" t="str">
        <f t="shared" si="5"/>
        <v>marzo</v>
      </c>
    </row>
    <row r="683" spans="1:28" ht="12.75">
      <c r="A683" s="9" t="s">
        <v>58</v>
      </c>
      <c r="B683" s="10">
        <v>44652</v>
      </c>
      <c r="C683" s="11">
        <v>44652</v>
      </c>
      <c r="D683" s="53">
        <v>13</v>
      </c>
      <c r="E683" s="13" t="s">
        <v>967</v>
      </c>
      <c r="F683" s="13">
        <v>3025459</v>
      </c>
      <c r="G683" s="37">
        <v>21420.5</v>
      </c>
      <c r="H683" s="33">
        <f>8400-8398.26</f>
        <v>1.7399999999997817</v>
      </c>
      <c r="I683" s="16">
        <f>-H683*G683</f>
        <v>-37271.669999995327</v>
      </c>
      <c r="J683" s="17">
        <v>0</v>
      </c>
      <c r="K683" s="34">
        <v>4502296390</v>
      </c>
      <c r="L683" s="19">
        <v>5081146667</v>
      </c>
      <c r="M683" s="20">
        <v>5113214112</v>
      </c>
      <c r="N683" s="23"/>
      <c r="O683" s="9"/>
      <c r="P683" s="23"/>
      <c r="Q683" s="24" t="s">
        <v>31</v>
      </c>
      <c r="R683" s="25">
        <v>44646</v>
      </c>
      <c r="S683" s="28"/>
      <c r="T683" s="35"/>
      <c r="U683" s="35"/>
      <c r="V683" s="29"/>
      <c r="W683" s="35"/>
      <c r="X683" s="29"/>
      <c r="Y683" s="36"/>
      <c r="Z683" s="29"/>
      <c r="AA683" s="31">
        <f t="shared" si="1"/>
        <v>44646</v>
      </c>
      <c r="AB683" s="32" t="str">
        <f t="shared" si="5"/>
        <v>marzo</v>
      </c>
    </row>
    <row r="684" spans="1:28" ht="12.75">
      <c r="A684" s="9" t="s">
        <v>58</v>
      </c>
      <c r="B684" s="10">
        <v>44652</v>
      </c>
      <c r="C684" s="11">
        <v>44652</v>
      </c>
      <c r="D684" s="53">
        <v>13</v>
      </c>
      <c r="E684" s="13" t="s">
        <v>968</v>
      </c>
      <c r="F684" s="13">
        <v>3025459</v>
      </c>
      <c r="G684" s="37">
        <v>6814.5</v>
      </c>
      <c r="H684" s="33">
        <v>8400</v>
      </c>
      <c r="I684" s="16">
        <f t="shared" ref="I684:I685" si="108">H684*G684</f>
        <v>57241800</v>
      </c>
      <c r="J684" s="17">
        <v>15</v>
      </c>
      <c r="K684" s="34">
        <v>4502296390</v>
      </c>
      <c r="L684" s="19">
        <v>5081146667</v>
      </c>
      <c r="M684" s="20">
        <v>5113214113</v>
      </c>
      <c r="N684" s="23"/>
      <c r="O684" s="9" t="s">
        <v>37</v>
      </c>
      <c r="P684" s="23"/>
      <c r="Q684" s="24" t="s">
        <v>31</v>
      </c>
      <c r="R684" s="25">
        <v>44646</v>
      </c>
      <c r="S684" s="28"/>
      <c r="T684" s="35"/>
      <c r="U684" s="35"/>
      <c r="V684" s="29"/>
      <c r="W684" s="35"/>
      <c r="X684" s="29"/>
      <c r="Y684" s="36"/>
      <c r="Z684" s="29"/>
      <c r="AA684" s="31">
        <f t="shared" si="1"/>
        <v>44646</v>
      </c>
      <c r="AB684" s="32" t="str">
        <f t="shared" si="5"/>
        <v>marzo</v>
      </c>
    </row>
    <row r="685" spans="1:28" ht="12.75">
      <c r="A685" s="9" t="s">
        <v>58</v>
      </c>
      <c r="B685" s="10">
        <v>44652</v>
      </c>
      <c r="C685" s="11">
        <v>44652</v>
      </c>
      <c r="D685" s="53">
        <v>13</v>
      </c>
      <c r="E685" s="13" t="s">
        <v>969</v>
      </c>
      <c r="F685" s="13">
        <v>3025457</v>
      </c>
      <c r="G685" s="37">
        <v>35402.5</v>
      </c>
      <c r="H685" s="33">
        <v>8400</v>
      </c>
      <c r="I685" s="16">
        <f t="shared" si="108"/>
        <v>297381000</v>
      </c>
      <c r="J685" s="17">
        <v>75</v>
      </c>
      <c r="K685" s="34">
        <v>4502296391</v>
      </c>
      <c r="L685" s="19">
        <v>5081156364</v>
      </c>
      <c r="M685" s="20">
        <v>5113214189</v>
      </c>
      <c r="N685" s="23"/>
      <c r="O685" s="9" t="s">
        <v>37</v>
      </c>
      <c r="P685" s="23"/>
      <c r="Q685" s="24" t="s">
        <v>31</v>
      </c>
      <c r="R685" s="25">
        <v>44647</v>
      </c>
      <c r="S685" s="28"/>
      <c r="T685" s="35"/>
      <c r="U685" s="35"/>
      <c r="V685" s="29"/>
      <c r="W685" s="35"/>
      <c r="X685" s="29"/>
      <c r="Y685" s="36"/>
      <c r="Z685" s="29"/>
      <c r="AA685" s="31">
        <f t="shared" si="1"/>
        <v>44647</v>
      </c>
      <c r="AB685" s="32" t="str">
        <f t="shared" si="5"/>
        <v>marzo</v>
      </c>
    </row>
    <row r="686" spans="1:28" ht="12.75">
      <c r="A686" s="9" t="s">
        <v>58</v>
      </c>
      <c r="B686" s="10">
        <v>44652</v>
      </c>
      <c r="C686" s="11">
        <v>44652</v>
      </c>
      <c r="D686" s="53">
        <v>13</v>
      </c>
      <c r="E686" s="13" t="s">
        <v>970</v>
      </c>
      <c r="F686" s="13">
        <v>3025457</v>
      </c>
      <c r="G686" s="37">
        <v>35402.5</v>
      </c>
      <c r="H686" s="33">
        <f>8400-8345.57</f>
        <v>54.430000000000291</v>
      </c>
      <c r="I686" s="16">
        <f>-H686*G686</f>
        <v>-1926958.0750000102</v>
      </c>
      <c r="J686" s="17">
        <v>0</v>
      </c>
      <c r="K686" s="34">
        <v>4502296391</v>
      </c>
      <c r="L686" s="19">
        <v>5081156364</v>
      </c>
      <c r="M686" s="20">
        <v>5113214190</v>
      </c>
      <c r="N686" s="23"/>
      <c r="O686" s="9"/>
      <c r="P686" s="23"/>
      <c r="Q686" s="24" t="s">
        <v>31</v>
      </c>
      <c r="R686" s="25">
        <v>44647</v>
      </c>
      <c r="S686" s="28"/>
      <c r="T686" s="35"/>
      <c r="U686" s="35"/>
      <c r="V686" s="29"/>
      <c r="W686" s="35"/>
      <c r="X686" s="29"/>
      <c r="Y686" s="36"/>
      <c r="Z686" s="29"/>
      <c r="AA686" s="31">
        <f t="shared" si="1"/>
        <v>44647</v>
      </c>
      <c r="AB686" s="32" t="str">
        <f t="shared" si="5"/>
        <v>marzo</v>
      </c>
    </row>
    <row r="687" spans="1:28" ht="12.75">
      <c r="A687" s="9" t="s">
        <v>819</v>
      </c>
      <c r="B687" s="10">
        <v>44647</v>
      </c>
      <c r="C687" s="11"/>
      <c r="D687" s="53">
        <v>13</v>
      </c>
      <c r="E687" s="13">
        <v>5980</v>
      </c>
      <c r="F687" s="13">
        <v>3025457</v>
      </c>
      <c r="G687" s="37">
        <v>48015.5</v>
      </c>
      <c r="H687" s="33">
        <v>8400</v>
      </c>
      <c r="I687" s="16">
        <f>H687*G687</f>
        <v>403330200</v>
      </c>
      <c r="J687" s="17">
        <v>99</v>
      </c>
      <c r="K687" s="34">
        <v>4502296393</v>
      </c>
      <c r="L687" s="19">
        <v>5081156764</v>
      </c>
      <c r="M687" s="20">
        <v>5113211498</v>
      </c>
      <c r="N687" s="23" t="s">
        <v>37</v>
      </c>
      <c r="O687" s="9"/>
      <c r="P687" s="23"/>
      <c r="Q687" s="24" t="s">
        <v>31</v>
      </c>
      <c r="R687" s="25">
        <v>44647</v>
      </c>
      <c r="S687" s="28"/>
      <c r="T687" s="35"/>
      <c r="U687" s="35"/>
      <c r="V687" s="29"/>
      <c r="W687" s="35"/>
      <c r="X687" s="29"/>
      <c r="Y687" s="36"/>
      <c r="Z687" s="29"/>
      <c r="AA687" s="31">
        <f t="shared" si="1"/>
        <v>44647</v>
      </c>
      <c r="AB687" s="32" t="str">
        <f t="shared" si="5"/>
        <v>marzo</v>
      </c>
    </row>
    <row r="688" spans="1:28" ht="12.75">
      <c r="A688" s="9" t="s">
        <v>819</v>
      </c>
      <c r="B688" s="10">
        <v>44650</v>
      </c>
      <c r="C688" s="11"/>
      <c r="D688" s="53">
        <v>13</v>
      </c>
      <c r="E688" s="13" t="s">
        <v>971</v>
      </c>
      <c r="F688" s="13">
        <v>3025457</v>
      </c>
      <c r="G688" s="37">
        <v>48015.5</v>
      </c>
      <c r="H688" s="33">
        <f>8400-8387.07</f>
        <v>12.930000000000291</v>
      </c>
      <c r="I688" s="16">
        <f>-H688*G688</f>
        <v>-620840.41500001401</v>
      </c>
      <c r="J688" s="17">
        <v>0</v>
      </c>
      <c r="K688" s="34">
        <v>4502296393</v>
      </c>
      <c r="L688" s="19">
        <v>5081156764</v>
      </c>
      <c r="M688" s="20">
        <v>5113212731</v>
      </c>
      <c r="N688" s="23"/>
      <c r="O688" s="9"/>
      <c r="P688" s="23"/>
      <c r="Q688" s="24" t="s">
        <v>31</v>
      </c>
      <c r="R688" s="25">
        <v>44647</v>
      </c>
      <c r="S688" s="28"/>
      <c r="T688" s="35"/>
      <c r="U688" s="35"/>
      <c r="V688" s="29"/>
      <c r="W688" s="35"/>
      <c r="X688" s="29"/>
      <c r="Y688" s="36"/>
      <c r="Z688" s="29"/>
      <c r="AA688" s="31">
        <f t="shared" si="1"/>
        <v>44647</v>
      </c>
      <c r="AB688" s="32" t="str">
        <f t="shared" si="5"/>
        <v>marzo</v>
      </c>
    </row>
    <row r="689" spans="1:28" ht="12.75">
      <c r="A689" s="9" t="s">
        <v>39</v>
      </c>
      <c r="B689" s="10">
        <v>44647</v>
      </c>
      <c r="C689" s="11">
        <v>44649</v>
      </c>
      <c r="D689" s="53">
        <v>13</v>
      </c>
      <c r="E689" s="13" t="s">
        <v>972</v>
      </c>
      <c r="F689" s="13">
        <v>3025459</v>
      </c>
      <c r="G689" s="14">
        <v>12848</v>
      </c>
      <c r="H689" s="33">
        <v>8150</v>
      </c>
      <c r="I689" s="16">
        <f>H689*G689</f>
        <v>104711200</v>
      </c>
      <c r="J689" s="17">
        <v>29</v>
      </c>
      <c r="K689" s="34">
        <v>4502296394</v>
      </c>
      <c r="L689" s="19">
        <v>5081156765</v>
      </c>
      <c r="M689" s="20">
        <v>5113202962</v>
      </c>
      <c r="N689" s="44"/>
      <c r="P689" s="23"/>
      <c r="Q689" s="24" t="s">
        <v>31</v>
      </c>
      <c r="R689" s="25">
        <v>44647</v>
      </c>
      <c r="S689" s="28"/>
      <c r="T689" s="35"/>
      <c r="U689" s="35"/>
      <c r="V689" s="29"/>
      <c r="W689" s="35"/>
      <c r="X689" s="29"/>
      <c r="Y689" s="36"/>
      <c r="Z689" s="29"/>
      <c r="AA689" s="31">
        <f t="shared" si="1"/>
        <v>44647</v>
      </c>
      <c r="AB689" s="32" t="str">
        <f t="shared" si="5"/>
        <v>marzo</v>
      </c>
    </row>
    <row r="690" spans="1:28" ht="12.75">
      <c r="A690" s="9" t="s">
        <v>39</v>
      </c>
      <c r="B690" s="10">
        <v>44649</v>
      </c>
      <c r="C690" s="11">
        <v>44649</v>
      </c>
      <c r="D690" s="53">
        <v>13</v>
      </c>
      <c r="E690" s="13" t="s">
        <v>325</v>
      </c>
      <c r="F690" s="13">
        <v>3025459</v>
      </c>
      <c r="G690" s="14">
        <v>12848</v>
      </c>
      <c r="H690" s="33">
        <f>8150-8090.82</f>
        <v>59.180000000000291</v>
      </c>
      <c r="I690" s="16">
        <f>-H690*G690</f>
        <v>-760344.64000000374</v>
      </c>
      <c r="J690" s="17">
        <v>0</v>
      </c>
      <c r="K690" s="34">
        <v>4502296394</v>
      </c>
      <c r="L690" s="19">
        <v>5081156765</v>
      </c>
      <c r="M690" s="20">
        <v>5113202963</v>
      </c>
      <c r="N690" s="23"/>
      <c r="O690" s="9"/>
      <c r="P690" s="23"/>
      <c r="Q690" s="24" t="s">
        <v>31</v>
      </c>
      <c r="R690" s="25">
        <v>44647</v>
      </c>
      <c r="S690" s="28"/>
      <c r="T690" s="35"/>
      <c r="U690" s="35"/>
      <c r="V690" s="29"/>
      <c r="W690" s="35"/>
      <c r="X690" s="29"/>
      <c r="Y690" s="36"/>
      <c r="Z690" s="29"/>
      <c r="AA690" s="31">
        <f t="shared" si="1"/>
        <v>44647</v>
      </c>
      <c r="AB690" s="32" t="str">
        <f t="shared" si="5"/>
        <v>marzo</v>
      </c>
    </row>
    <row r="691" spans="1:28" ht="12.75">
      <c r="A691" s="9" t="s">
        <v>43</v>
      </c>
      <c r="B691" s="10">
        <v>44647</v>
      </c>
      <c r="C691" s="11">
        <v>44649</v>
      </c>
      <c r="D691" s="53">
        <v>13</v>
      </c>
      <c r="E691" s="13" t="s">
        <v>973</v>
      </c>
      <c r="F691" s="13">
        <v>3025459</v>
      </c>
      <c r="G691" s="14">
        <v>20427</v>
      </c>
      <c r="H691" s="33">
        <v>7950</v>
      </c>
      <c r="I691" s="16">
        <f t="shared" ref="I691:I694" si="109">H691*G691</f>
        <v>162394650</v>
      </c>
      <c r="J691" s="17">
        <v>42</v>
      </c>
      <c r="K691" s="34">
        <v>4502296395</v>
      </c>
      <c r="L691" s="19">
        <v>5081156747</v>
      </c>
      <c r="M691" s="20">
        <v>5113202821</v>
      </c>
      <c r="N691" s="23"/>
      <c r="O691" s="47" t="s">
        <v>37</v>
      </c>
      <c r="P691" s="23"/>
      <c r="Q691" s="24" t="s">
        <v>31</v>
      </c>
      <c r="R691" s="25">
        <v>44647</v>
      </c>
      <c r="S691" s="28"/>
      <c r="T691" s="35"/>
      <c r="U691" s="35"/>
      <c r="V691" s="29"/>
      <c r="W691" s="35"/>
      <c r="X691" s="29"/>
      <c r="Y691" s="36"/>
      <c r="Z691" s="29"/>
      <c r="AA691" s="31">
        <f t="shared" si="1"/>
        <v>44647</v>
      </c>
      <c r="AB691" s="32" t="str">
        <f t="shared" si="5"/>
        <v>marzo</v>
      </c>
    </row>
    <row r="692" spans="1:28" ht="12.75">
      <c r="A692" s="9" t="s">
        <v>43</v>
      </c>
      <c r="B692" s="10">
        <v>44647</v>
      </c>
      <c r="C692" s="11">
        <v>44649</v>
      </c>
      <c r="D692" s="53">
        <v>13</v>
      </c>
      <c r="E692" s="13" t="s">
        <v>974</v>
      </c>
      <c r="F692" s="13">
        <v>3025459</v>
      </c>
      <c r="G692" s="14">
        <v>20427</v>
      </c>
      <c r="H692" s="33">
        <f>7998.06-7950</f>
        <v>48.0600000000004</v>
      </c>
      <c r="I692" s="16">
        <f t="shared" si="109"/>
        <v>981721.62000000814</v>
      </c>
      <c r="J692" s="17">
        <v>0</v>
      </c>
      <c r="K692" s="34">
        <v>4502296395</v>
      </c>
      <c r="L692" s="19">
        <v>5081156747</v>
      </c>
      <c r="M692" s="20">
        <v>5113202822</v>
      </c>
      <c r="N692" s="23"/>
      <c r="O692" s="9"/>
      <c r="P692" s="23"/>
      <c r="Q692" s="24" t="s">
        <v>31</v>
      </c>
      <c r="R692" s="25">
        <v>44647</v>
      </c>
      <c r="S692" s="28"/>
      <c r="T692" s="35"/>
      <c r="U692" s="35"/>
      <c r="V692" s="29"/>
      <c r="W692" s="35"/>
      <c r="X692" s="29"/>
      <c r="Y692" s="36"/>
      <c r="Z692" s="29"/>
      <c r="AA692" s="31">
        <f t="shared" si="1"/>
        <v>44647</v>
      </c>
      <c r="AB692" s="32" t="str">
        <f t="shared" si="5"/>
        <v>marzo</v>
      </c>
    </row>
    <row r="693" spans="1:28" ht="12.75">
      <c r="A693" s="9" t="s">
        <v>96</v>
      </c>
      <c r="B693" s="10">
        <v>44650</v>
      </c>
      <c r="C693" s="11">
        <v>44655</v>
      </c>
      <c r="D693" s="53">
        <v>13</v>
      </c>
      <c r="E693" s="13" t="s">
        <v>975</v>
      </c>
      <c r="F693" s="13">
        <v>3025457</v>
      </c>
      <c r="G693" s="14">
        <v>6988</v>
      </c>
      <c r="H693" s="57">
        <v>7850</v>
      </c>
      <c r="I693" s="16">
        <f t="shared" si="109"/>
        <v>54855800</v>
      </c>
      <c r="J693" s="17">
        <v>14</v>
      </c>
      <c r="K693" s="34">
        <v>4502300984</v>
      </c>
      <c r="L693" s="19">
        <v>5081195995</v>
      </c>
      <c r="M693" s="20">
        <v>5113216441</v>
      </c>
      <c r="N693" s="23"/>
      <c r="O693" s="9" t="s">
        <v>63</v>
      </c>
      <c r="P693" s="23"/>
      <c r="Q693" s="24" t="s">
        <v>671</v>
      </c>
      <c r="R693" s="25">
        <v>44647</v>
      </c>
      <c r="S693" s="28"/>
      <c r="T693" s="35"/>
      <c r="U693" s="35"/>
      <c r="V693" s="29"/>
      <c r="W693" s="35"/>
      <c r="X693" s="29"/>
      <c r="Y693" s="36"/>
      <c r="Z693" s="29"/>
      <c r="AA693" s="31">
        <f t="shared" si="1"/>
        <v>44647</v>
      </c>
      <c r="AB693" s="32" t="str">
        <f t="shared" si="5"/>
        <v>marzo</v>
      </c>
    </row>
    <row r="694" spans="1:28" ht="12.75">
      <c r="A694" s="9" t="s">
        <v>976</v>
      </c>
      <c r="B694" s="10">
        <v>44647</v>
      </c>
      <c r="C694" s="11">
        <v>44651</v>
      </c>
      <c r="D694" s="53">
        <v>13</v>
      </c>
      <c r="E694" s="13" t="s">
        <v>977</v>
      </c>
      <c r="F694" s="13">
        <v>3025457</v>
      </c>
      <c r="G694" s="14">
        <v>12166</v>
      </c>
      <c r="H694" s="57">
        <v>7900</v>
      </c>
      <c r="I694" s="16">
        <f t="shared" si="109"/>
        <v>96111400</v>
      </c>
      <c r="J694" s="17">
        <v>24</v>
      </c>
      <c r="K694" s="34">
        <v>4502301015</v>
      </c>
      <c r="L694" s="19">
        <v>5081196401</v>
      </c>
      <c r="M694" s="20">
        <v>5113210633</v>
      </c>
      <c r="N694" s="23"/>
      <c r="O694" s="9" t="s">
        <v>63</v>
      </c>
      <c r="P694" s="23" t="s">
        <v>978</v>
      </c>
      <c r="Q694" s="24" t="s">
        <v>671</v>
      </c>
      <c r="R694" s="25">
        <v>44647</v>
      </c>
      <c r="S694" s="28"/>
      <c r="T694" s="35"/>
      <c r="U694" s="35"/>
      <c r="V694" s="29"/>
      <c r="W694" s="35"/>
      <c r="X694" s="29"/>
      <c r="Y694" s="36"/>
      <c r="Z694" s="29"/>
      <c r="AA694" s="31">
        <f t="shared" si="1"/>
        <v>44647</v>
      </c>
      <c r="AB694" s="32" t="str">
        <f t="shared" si="5"/>
        <v>marzo</v>
      </c>
    </row>
    <row r="695" spans="1:28" ht="12.75">
      <c r="A695" s="9" t="s">
        <v>28</v>
      </c>
      <c r="B695" s="10">
        <v>44650</v>
      </c>
      <c r="C695" s="11">
        <v>44650</v>
      </c>
      <c r="D695" s="53">
        <v>13</v>
      </c>
      <c r="E695" s="13" t="s">
        <v>979</v>
      </c>
      <c r="F695" s="13">
        <v>3025457</v>
      </c>
      <c r="G695" s="14">
        <v>18292</v>
      </c>
      <c r="H695" s="57">
        <v>7895.71</v>
      </c>
      <c r="I695" s="39">
        <v>144428400</v>
      </c>
      <c r="J695" s="17">
        <v>42</v>
      </c>
      <c r="K695" s="34">
        <v>4502300999</v>
      </c>
      <c r="L695" s="19">
        <v>5081196095</v>
      </c>
      <c r="M695" s="20">
        <v>5113206787</v>
      </c>
      <c r="N695" s="23" t="s">
        <v>37</v>
      </c>
      <c r="O695" s="9"/>
      <c r="P695" s="23"/>
      <c r="Q695" s="24" t="s">
        <v>671</v>
      </c>
      <c r="R695" s="25">
        <v>44647</v>
      </c>
      <c r="S695" s="28"/>
      <c r="T695" s="35"/>
      <c r="U695" s="35"/>
      <c r="V695" s="29"/>
      <c r="W695" s="35"/>
      <c r="X695" s="29"/>
      <c r="Y695" s="36"/>
      <c r="Z695" s="29"/>
      <c r="AA695" s="31">
        <f t="shared" si="1"/>
        <v>44647</v>
      </c>
      <c r="AB695" s="32" t="str">
        <f t="shared" si="5"/>
        <v>marzo</v>
      </c>
    </row>
    <row r="696" spans="1:28" ht="12.75">
      <c r="A696" s="9" t="s">
        <v>213</v>
      </c>
      <c r="B696" s="10">
        <v>44648</v>
      </c>
      <c r="C696" s="11"/>
      <c r="D696" s="53">
        <v>13</v>
      </c>
      <c r="E696" s="13" t="s">
        <v>980</v>
      </c>
      <c r="F696" s="13">
        <v>3025457</v>
      </c>
      <c r="G696" s="14">
        <v>6087</v>
      </c>
      <c r="H696" s="33">
        <v>7800</v>
      </c>
      <c r="I696" s="16">
        <f>H696*G696</f>
        <v>47478600</v>
      </c>
      <c r="J696" s="17">
        <v>15</v>
      </c>
      <c r="K696" s="34">
        <v>4502296396</v>
      </c>
      <c r="L696" s="19">
        <v>5081183989</v>
      </c>
      <c r="M696" s="20">
        <v>5113211903</v>
      </c>
      <c r="N696" s="23"/>
      <c r="O696" s="9" t="s">
        <v>37</v>
      </c>
      <c r="P696" s="23"/>
      <c r="Q696" s="24" t="s">
        <v>31</v>
      </c>
      <c r="R696" s="25">
        <v>44648</v>
      </c>
      <c r="S696" s="28"/>
      <c r="T696" s="35"/>
      <c r="U696" s="35"/>
      <c r="V696" s="29"/>
      <c r="W696" s="35"/>
      <c r="X696" s="29"/>
      <c r="Y696" s="36"/>
      <c r="Z696" s="29"/>
      <c r="AA696" s="31">
        <f t="shared" si="1"/>
        <v>44648</v>
      </c>
      <c r="AB696" s="32" t="str">
        <f t="shared" si="5"/>
        <v>marzo</v>
      </c>
    </row>
    <row r="697" spans="1:28" ht="12.75">
      <c r="A697" s="9" t="s">
        <v>213</v>
      </c>
      <c r="B697" s="10">
        <v>44648</v>
      </c>
      <c r="C697" s="11"/>
      <c r="D697" s="53">
        <v>13</v>
      </c>
      <c r="E697" s="13" t="s">
        <v>134</v>
      </c>
      <c r="F697" s="13">
        <v>3025457</v>
      </c>
      <c r="G697" s="14">
        <v>6087</v>
      </c>
      <c r="H697" s="33">
        <f>7800-7750.07</f>
        <v>49.930000000000291</v>
      </c>
      <c r="I697" s="16">
        <f>-H697*G697</f>
        <v>-303923.91000000178</v>
      </c>
      <c r="J697" s="17">
        <v>0</v>
      </c>
      <c r="K697" s="34">
        <v>4502296396</v>
      </c>
      <c r="L697" s="19">
        <v>5081183989</v>
      </c>
      <c r="M697" s="20">
        <v>5113211905</v>
      </c>
      <c r="N697" s="23"/>
      <c r="O697" s="9"/>
      <c r="P697" s="23"/>
      <c r="Q697" s="24" t="s">
        <v>31</v>
      </c>
      <c r="R697" s="25">
        <v>44648</v>
      </c>
      <c r="S697" s="28"/>
      <c r="T697" s="35"/>
      <c r="U697" s="35"/>
      <c r="V697" s="29"/>
      <c r="W697" s="35"/>
      <c r="X697" s="29"/>
      <c r="Y697" s="36"/>
      <c r="Z697" s="29"/>
      <c r="AA697" s="31">
        <f t="shared" si="1"/>
        <v>44648</v>
      </c>
      <c r="AB697" s="32" t="str">
        <f t="shared" si="5"/>
        <v>marzo</v>
      </c>
    </row>
    <row r="698" spans="1:28" ht="12.75">
      <c r="A698" s="9" t="s">
        <v>819</v>
      </c>
      <c r="B698" s="10">
        <v>44648</v>
      </c>
      <c r="C698" s="11"/>
      <c r="D698" s="53">
        <v>13</v>
      </c>
      <c r="E698" s="13">
        <v>5981</v>
      </c>
      <c r="F698" s="13">
        <v>3025457</v>
      </c>
      <c r="G698" s="14">
        <v>18992</v>
      </c>
      <c r="H698" s="33">
        <v>8400</v>
      </c>
      <c r="I698" s="16">
        <f>H698*G698</f>
        <v>159532800</v>
      </c>
      <c r="J698" s="17">
        <v>44</v>
      </c>
      <c r="K698" s="34">
        <v>4502296398</v>
      </c>
      <c r="L698" s="19">
        <v>5081183990</v>
      </c>
      <c r="M698" s="20">
        <v>5113211396</v>
      </c>
      <c r="N698" s="23" t="s">
        <v>37</v>
      </c>
      <c r="O698" s="9"/>
      <c r="P698" s="23"/>
      <c r="Q698" s="24" t="s">
        <v>31</v>
      </c>
      <c r="R698" s="25">
        <v>44648</v>
      </c>
      <c r="S698" s="28"/>
      <c r="T698" s="35"/>
      <c r="U698" s="35"/>
      <c r="V698" s="29"/>
      <c r="W698" s="35"/>
      <c r="X698" s="29"/>
      <c r="Y698" s="36"/>
      <c r="Z698" s="29"/>
      <c r="AA698" s="31">
        <f t="shared" si="1"/>
        <v>44648</v>
      </c>
      <c r="AB698" s="32" t="str">
        <f t="shared" si="5"/>
        <v>marzo</v>
      </c>
    </row>
    <row r="699" spans="1:28" ht="12.75">
      <c r="A699" s="9" t="s">
        <v>819</v>
      </c>
      <c r="B699" s="10">
        <v>44648</v>
      </c>
      <c r="C699" s="11"/>
      <c r="D699" s="53">
        <v>13</v>
      </c>
      <c r="E699" s="13" t="s">
        <v>981</v>
      </c>
      <c r="F699" s="13">
        <v>3025457</v>
      </c>
      <c r="G699" s="14">
        <v>18992</v>
      </c>
      <c r="H699" s="33">
        <f>8400-8374.41</f>
        <v>25.590000000000146</v>
      </c>
      <c r="I699" s="16">
        <f>-H699*G699</f>
        <v>-486005.28000000276</v>
      </c>
      <c r="J699" s="17">
        <v>0</v>
      </c>
      <c r="K699" s="34">
        <v>4502296398</v>
      </c>
      <c r="L699" s="19">
        <v>5081183990</v>
      </c>
      <c r="M699" s="20">
        <v>5113212729</v>
      </c>
      <c r="N699" s="23"/>
      <c r="O699" s="9"/>
      <c r="P699" s="23"/>
      <c r="Q699" s="24" t="s">
        <v>31</v>
      </c>
      <c r="R699" s="25">
        <v>44648</v>
      </c>
      <c r="S699" s="28"/>
      <c r="T699" s="35"/>
      <c r="U699" s="35"/>
      <c r="V699" s="29"/>
      <c r="W699" s="35"/>
      <c r="X699" s="29"/>
      <c r="Y699" s="36"/>
      <c r="Z699" s="29"/>
      <c r="AA699" s="31">
        <f t="shared" si="1"/>
        <v>44648</v>
      </c>
      <c r="AB699" s="32" t="str">
        <f t="shared" si="5"/>
        <v>marzo</v>
      </c>
    </row>
    <row r="700" spans="1:28" ht="12.75">
      <c r="A700" s="22" t="s">
        <v>428</v>
      </c>
      <c r="B700" s="10">
        <v>44648</v>
      </c>
      <c r="C700" s="11">
        <v>44650</v>
      </c>
      <c r="D700" s="53">
        <v>13</v>
      </c>
      <c r="E700" s="13" t="s">
        <v>982</v>
      </c>
      <c r="F700" s="13">
        <v>3025457</v>
      </c>
      <c r="G700" s="14">
        <v>6502</v>
      </c>
      <c r="H700" s="33">
        <v>8050</v>
      </c>
      <c r="I700" s="16">
        <f t="shared" ref="I700:I704" si="110">H700*G700</f>
        <v>52341100</v>
      </c>
      <c r="J700" s="17">
        <v>15</v>
      </c>
      <c r="K700" s="34">
        <v>4502296399</v>
      </c>
      <c r="L700" s="19">
        <v>5081183991</v>
      </c>
      <c r="M700" s="20">
        <v>5113206194</v>
      </c>
      <c r="N700" s="23"/>
      <c r="O700" s="9" t="s">
        <v>63</v>
      </c>
      <c r="P700" s="23"/>
      <c r="Q700" s="24" t="s">
        <v>31</v>
      </c>
      <c r="R700" s="25">
        <v>44648</v>
      </c>
      <c r="S700" s="28"/>
      <c r="T700" s="35"/>
      <c r="U700" s="35"/>
      <c r="V700" s="29"/>
      <c r="W700" s="35"/>
      <c r="X700" s="29"/>
      <c r="Y700" s="36"/>
      <c r="Z700" s="29"/>
      <c r="AA700" s="31">
        <f t="shared" si="1"/>
        <v>44648</v>
      </c>
      <c r="AB700" s="32" t="str">
        <f t="shared" si="5"/>
        <v>marzo</v>
      </c>
    </row>
    <row r="701" spans="1:28" ht="12.75">
      <c r="A701" s="22" t="s">
        <v>428</v>
      </c>
      <c r="B701" s="10">
        <v>44648</v>
      </c>
      <c r="C701" s="11">
        <v>44650</v>
      </c>
      <c r="D701" s="53">
        <v>13</v>
      </c>
      <c r="E701" s="13" t="s">
        <v>497</v>
      </c>
      <c r="F701" s="13">
        <v>3025457</v>
      </c>
      <c r="G701" s="14">
        <v>19945</v>
      </c>
      <c r="H701" s="33">
        <f>8129.47-8050</f>
        <v>79.470000000000255</v>
      </c>
      <c r="I701" s="16">
        <f t="shared" si="110"/>
        <v>1585029.150000005</v>
      </c>
      <c r="J701" s="17">
        <v>0</v>
      </c>
      <c r="K701" s="34">
        <v>4502296399</v>
      </c>
      <c r="L701" s="19">
        <v>5081183991</v>
      </c>
      <c r="M701" s="20">
        <v>5113206196</v>
      </c>
      <c r="N701" s="23"/>
      <c r="O701" s="9"/>
      <c r="P701" s="23"/>
      <c r="Q701" s="24" t="s">
        <v>31</v>
      </c>
      <c r="R701" s="25">
        <v>44648</v>
      </c>
      <c r="S701" s="28"/>
      <c r="T701" s="35"/>
      <c r="U701" s="35"/>
      <c r="V701" s="29"/>
      <c r="W701" s="35"/>
      <c r="X701" s="29"/>
      <c r="Y701" s="36"/>
      <c r="Z701" s="29"/>
      <c r="AA701" s="31">
        <f t="shared" si="1"/>
        <v>44648</v>
      </c>
      <c r="AB701" s="32" t="str">
        <f t="shared" si="5"/>
        <v>marzo</v>
      </c>
    </row>
    <row r="702" spans="1:28" ht="12.75">
      <c r="A702" s="9" t="s">
        <v>983</v>
      </c>
      <c r="B702" s="10">
        <v>44648</v>
      </c>
      <c r="C702" s="11"/>
      <c r="D702" s="53">
        <v>13</v>
      </c>
      <c r="E702" s="13" t="s">
        <v>984</v>
      </c>
      <c r="F702" s="13">
        <v>3025457</v>
      </c>
      <c r="G702" s="14">
        <v>6234</v>
      </c>
      <c r="H702" s="33">
        <v>7850</v>
      </c>
      <c r="I702" s="16">
        <f t="shared" si="110"/>
        <v>48936900</v>
      </c>
      <c r="J702" s="17">
        <v>14</v>
      </c>
      <c r="K702" s="34">
        <v>4502296400</v>
      </c>
      <c r="L702" s="19">
        <v>5081180209</v>
      </c>
      <c r="M702" s="20">
        <v>5113216134</v>
      </c>
      <c r="N702" s="23"/>
      <c r="O702" s="9" t="s">
        <v>63</v>
      </c>
      <c r="P702" s="23"/>
      <c r="Q702" s="24" t="s">
        <v>31</v>
      </c>
      <c r="R702" s="25">
        <v>44648</v>
      </c>
      <c r="S702" s="28"/>
      <c r="T702" s="35"/>
      <c r="U702" s="35"/>
      <c r="V702" s="29"/>
      <c r="W702" s="35"/>
      <c r="X702" s="29"/>
      <c r="Y702" s="36"/>
      <c r="Z702" s="29"/>
      <c r="AA702" s="31">
        <f t="shared" si="1"/>
        <v>44648</v>
      </c>
      <c r="AB702" s="32" t="str">
        <f t="shared" si="5"/>
        <v>marzo</v>
      </c>
    </row>
    <row r="703" spans="1:28" ht="12.75">
      <c r="A703" s="9" t="s">
        <v>983</v>
      </c>
      <c r="B703" s="10">
        <v>44656</v>
      </c>
      <c r="C703" s="11"/>
      <c r="D703" s="53">
        <v>13</v>
      </c>
      <c r="E703" s="13" t="s">
        <v>985</v>
      </c>
      <c r="F703" s="13">
        <v>3025457</v>
      </c>
      <c r="G703" s="14">
        <v>6234</v>
      </c>
      <c r="H703" s="33">
        <v>150</v>
      </c>
      <c r="I703" s="16">
        <f t="shared" si="110"/>
        <v>935100</v>
      </c>
      <c r="J703" s="17">
        <v>0</v>
      </c>
      <c r="K703" s="34">
        <v>4502296400</v>
      </c>
      <c r="L703" s="19">
        <v>5081180209</v>
      </c>
      <c r="M703" s="20">
        <v>5113218340</v>
      </c>
      <c r="N703" s="23"/>
      <c r="O703" s="9"/>
      <c r="P703" s="23" t="s">
        <v>986</v>
      </c>
      <c r="Q703" s="24" t="s">
        <v>31</v>
      </c>
      <c r="R703" s="25">
        <v>44648</v>
      </c>
      <c r="S703" s="28"/>
      <c r="T703" s="35"/>
      <c r="U703" s="35"/>
      <c r="V703" s="29"/>
      <c r="W703" s="35"/>
      <c r="X703" s="29"/>
      <c r="Y703" s="36"/>
      <c r="Z703" s="29"/>
      <c r="AA703" s="31">
        <f t="shared" si="1"/>
        <v>44648</v>
      </c>
      <c r="AB703" s="32" t="str">
        <f t="shared" si="5"/>
        <v>marzo</v>
      </c>
    </row>
    <row r="704" spans="1:28" ht="12.75">
      <c r="A704" s="9" t="s">
        <v>39</v>
      </c>
      <c r="B704" s="10">
        <v>44648</v>
      </c>
      <c r="C704" s="11">
        <v>44650</v>
      </c>
      <c r="D704" s="53">
        <v>13</v>
      </c>
      <c r="E704" s="13" t="s">
        <v>987</v>
      </c>
      <c r="F704" s="13">
        <v>3025459</v>
      </c>
      <c r="G704" s="14">
        <v>13354.5</v>
      </c>
      <c r="H704" s="33">
        <v>8150</v>
      </c>
      <c r="I704" s="16">
        <f t="shared" si="110"/>
        <v>108839175</v>
      </c>
      <c r="J704" s="17">
        <v>29</v>
      </c>
      <c r="K704" s="34">
        <v>4502296401</v>
      </c>
      <c r="L704" s="19">
        <v>5081183992</v>
      </c>
      <c r="M704" s="20">
        <v>5113211990</v>
      </c>
      <c r="N704" s="23"/>
      <c r="O704" s="47" t="s">
        <v>37</v>
      </c>
      <c r="P704" s="23"/>
      <c r="Q704" s="24" t="s">
        <v>31</v>
      </c>
      <c r="R704" s="25">
        <v>44648</v>
      </c>
      <c r="S704" s="28"/>
      <c r="T704" s="35"/>
      <c r="U704" s="35"/>
      <c r="V704" s="29"/>
      <c r="W704" s="35"/>
      <c r="X704" s="29"/>
      <c r="Y704" s="36"/>
      <c r="Z704" s="29"/>
      <c r="AA704" s="31">
        <f t="shared" si="1"/>
        <v>44648</v>
      </c>
      <c r="AB704" s="32" t="str">
        <f t="shared" si="5"/>
        <v>marzo</v>
      </c>
    </row>
    <row r="705" spans="1:28" ht="12.75">
      <c r="A705" s="9" t="s">
        <v>39</v>
      </c>
      <c r="B705" s="10">
        <v>44650</v>
      </c>
      <c r="C705" s="11">
        <v>44650</v>
      </c>
      <c r="D705" s="53">
        <v>13</v>
      </c>
      <c r="E705" s="13" t="s">
        <v>988</v>
      </c>
      <c r="F705" s="13">
        <v>3025459</v>
      </c>
      <c r="G705" s="14">
        <v>13354.5</v>
      </c>
      <c r="H705" s="33">
        <f>8150-8107.13</f>
        <v>42.869999999999891</v>
      </c>
      <c r="I705" s="16">
        <f>-H705*G705</f>
        <v>-572507.41499999852</v>
      </c>
      <c r="J705" s="17">
        <v>0</v>
      </c>
      <c r="K705" s="34">
        <v>4502296401</v>
      </c>
      <c r="L705" s="19">
        <v>5081183992</v>
      </c>
      <c r="M705" s="20">
        <v>5113211991</v>
      </c>
      <c r="N705" s="23"/>
      <c r="O705" s="9"/>
      <c r="P705" s="23"/>
      <c r="Q705" s="24" t="s">
        <v>31</v>
      </c>
      <c r="R705" s="25">
        <v>44648</v>
      </c>
      <c r="S705" s="28"/>
      <c r="T705" s="35"/>
      <c r="U705" s="35"/>
      <c r="V705" s="29"/>
      <c r="W705" s="35"/>
      <c r="X705" s="29"/>
      <c r="Y705" s="36"/>
      <c r="Z705" s="29"/>
      <c r="AA705" s="31">
        <f t="shared" si="1"/>
        <v>44648</v>
      </c>
      <c r="AB705" s="32" t="str">
        <f t="shared" si="5"/>
        <v>marzo</v>
      </c>
    </row>
    <row r="706" spans="1:28" ht="12.75">
      <c r="A706" s="9" t="s">
        <v>404</v>
      </c>
      <c r="B706" s="10">
        <v>44648</v>
      </c>
      <c r="C706" s="11">
        <v>44650</v>
      </c>
      <c r="D706" s="53">
        <v>13</v>
      </c>
      <c r="E706" s="13" t="s">
        <v>989</v>
      </c>
      <c r="F706" s="13">
        <v>3025459</v>
      </c>
      <c r="G706" s="37">
        <v>6199.5</v>
      </c>
      <c r="H706" s="33">
        <v>8150</v>
      </c>
      <c r="I706" s="16">
        <f t="shared" ref="I706:I715" si="111">H706*G706</f>
        <v>50525925</v>
      </c>
      <c r="J706" s="17">
        <v>14</v>
      </c>
      <c r="K706" s="34">
        <v>4502296402</v>
      </c>
      <c r="L706" s="19">
        <v>5081180210</v>
      </c>
      <c r="M706" s="20">
        <v>5113211906</v>
      </c>
      <c r="N706" s="23"/>
      <c r="O706" s="9" t="s">
        <v>37</v>
      </c>
      <c r="P706" s="23"/>
      <c r="Q706" s="24" t="s">
        <v>31</v>
      </c>
      <c r="R706" s="25">
        <v>44648</v>
      </c>
      <c r="S706" s="28"/>
      <c r="T706" s="35"/>
      <c r="U706" s="35"/>
      <c r="V706" s="29"/>
      <c r="W706" s="35"/>
      <c r="X706" s="29"/>
      <c r="Y706" s="36"/>
      <c r="Z706" s="29"/>
      <c r="AA706" s="31">
        <f t="shared" si="1"/>
        <v>44648</v>
      </c>
      <c r="AB706" s="32" t="str">
        <f t="shared" si="5"/>
        <v>marzo</v>
      </c>
    </row>
    <row r="707" spans="1:28" ht="12.75">
      <c r="A707" s="9" t="s">
        <v>404</v>
      </c>
      <c r="B707" s="10">
        <v>44650</v>
      </c>
      <c r="C707" s="11">
        <v>44650</v>
      </c>
      <c r="D707" s="53">
        <v>13</v>
      </c>
      <c r="E707" s="13" t="s">
        <v>123</v>
      </c>
      <c r="F707" s="13">
        <v>3025459</v>
      </c>
      <c r="G707" s="37">
        <v>6199.5</v>
      </c>
      <c r="H707" s="33">
        <f>8187.63-8150</f>
        <v>37.630000000000109</v>
      </c>
      <c r="I707" s="16">
        <f t="shared" si="111"/>
        <v>233287.18500000067</v>
      </c>
      <c r="J707" s="17">
        <v>0</v>
      </c>
      <c r="K707" s="34">
        <v>4502296402</v>
      </c>
      <c r="L707" s="19">
        <v>5081180210</v>
      </c>
      <c r="M707" s="20">
        <v>5113211987</v>
      </c>
      <c r="N707" s="23"/>
      <c r="O707" s="9"/>
      <c r="P707" s="23"/>
      <c r="Q707" s="24" t="s">
        <v>31</v>
      </c>
      <c r="R707" s="25">
        <v>44648</v>
      </c>
      <c r="S707" s="28"/>
      <c r="T707" s="35"/>
      <c r="U707" s="35"/>
      <c r="V707" s="29"/>
      <c r="W707" s="35"/>
      <c r="X707" s="29"/>
      <c r="Y707" s="36"/>
      <c r="Z707" s="29"/>
      <c r="AA707" s="31">
        <f t="shared" si="1"/>
        <v>44648</v>
      </c>
      <c r="AB707" s="32" t="str">
        <f t="shared" si="5"/>
        <v>marzo</v>
      </c>
    </row>
    <row r="708" spans="1:28" ht="12.75">
      <c r="A708" s="22" t="s">
        <v>990</v>
      </c>
      <c r="B708" s="10">
        <v>44646</v>
      </c>
      <c r="C708" s="11">
        <v>44650</v>
      </c>
      <c r="D708" s="53">
        <v>13</v>
      </c>
      <c r="E708" s="13" t="s">
        <v>991</v>
      </c>
      <c r="F708" s="13">
        <v>3025457</v>
      </c>
      <c r="G708" s="14">
        <v>6394</v>
      </c>
      <c r="H708" s="40">
        <v>8250</v>
      </c>
      <c r="I708" s="16">
        <f t="shared" si="111"/>
        <v>52750500</v>
      </c>
      <c r="J708" s="17">
        <v>13</v>
      </c>
      <c r="K708" s="34">
        <v>4502299196</v>
      </c>
      <c r="L708" s="19">
        <v>5081203483</v>
      </c>
      <c r="M708" s="20">
        <v>5113205417</v>
      </c>
      <c r="N708" s="44" t="s">
        <v>37</v>
      </c>
      <c r="O708" s="88" t="s">
        <v>992</v>
      </c>
      <c r="P708" s="23"/>
      <c r="Q708" s="24" t="s">
        <v>31</v>
      </c>
      <c r="R708" s="25">
        <v>44648</v>
      </c>
      <c r="S708" s="34">
        <v>4502299196</v>
      </c>
      <c r="T708" s="28">
        <v>948980</v>
      </c>
      <c r="U708" s="28" t="s">
        <v>993</v>
      </c>
      <c r="V708" s="29">
        <v>5113206850</v>
      </c>
      <c r="W708" s="89" t="s">
        <v>994</v>
      </c>
      <c r="X708" s="29">
        <v>5113213160</v>
      </c>
      <c r="Y708" s="36"/>
      <c r="Z708" s="29"/>
      <c r="AA708" s="31">
        <f t="shared" si="1"/>
        <v>44648</v>
      </c>
      <c r="AB708" s="32" t="str">
        <f t="shared" si="5"/>
        <v>marzo</v>
      </c>
    </row>
    <row r="709" spans="1:28" ht="12.75">
      <c r="A709" s="22" t="s">
        <v>990</v>
      </c>
      <c r="B709" s="10">
        <v>44646</v>
      </c>
      <c r="C709" s="11">
        <v>44650</v>
      </c>
      <c r="D709" s="53">
        <v>13</v>
      </c>
      <c r="E709" s="13" t="s">
        <v>995</v>
      </c>
      <c r="F709" s="13">
        <v>3025457</v>
      </c>
      <c r="G709" s="14">
        <v>6082</v>
      </c>
      <c r="H709" s="40">
        <v>8300</v>
      </c>
      <c r="I709" s="16">
        <f t="shared" si="111"/>
        <v>50480600</v>
      </c>
      <c r="J709" s="17">
        <v>14</v>
      </c>
      <c r="K709" s="34">
        <v>4502299196</v>
      </c>
      <c r="L709" s="19">
        <v>5081203483</v>
      </c>
      <c r="M709" s="20">
        <v>5113205419</v>
      </c>
      <c r="N709" s="44" t="s">
        <v>37</v>
      </c>
      <c r="O709" s="88" t="s">
        <v>992</v>
      </c>
      <c r="P709" s="23"/>
      <c r="Q709" s="24" t="s">
        <v>31</v>
      </c>
      <c r="R709" s="25">
        <v>44648</v>
      </c>
      <c r="S709" s="34">
        <v>4502299196</v>
      </c>
      <c r="T709" s="28">
        <v>948980</v>
      </c>
      <c r="U709" s="28" t="s">
        <v>993</v>
      </c>
      <c r="V709" s="29">
        <v>5113206850</v>
      </c>
      <c r="W709" s="35"/>
      <c r="X709" s="29"/>
      <c r="Y709" s="36"/>
      <c r="Z709" s="29"/>
      <c r="AA709" s="31">
        <f t="shared" si="1"/>
        <v>44648</v>
      </c>
      <c r="AB709" s="32" t="str">
        <f t="shared" si="5"/>
        <v>marzo</v>
      </c>
    </row>
    <row r="710" spans="1:28" ht="12.75">
      <c r="A710" s="22" t="s">
        <v>996</v>
      </c>
      <c r="B710" s="10">
        <v>44656</v>
      </c>
      <c r="C710" s="11">
        <v>44656</v>
      </c>
      <c r="D710" s="53">
        <v>13</v>
      </c>
      <c r="E710" s="13" t="s">
        <v>997</v>
      </c>
      <c r="F710" s="13">
        <v>3025457</v>
      </c>
      <c r="G710" s="14">
        <v>6525</v>
      </c>
      <c r="H710" s="40">
        <v>8300</v>
      </c>
      <c r="I710" s="16">
        <f t="shared" si="111"/>
        <v>54157500</v>
      </c>
      <c r="J710" s="17">
        <v>14</v>
      </c>
      <c r="K710" s="34">
        <v>4502299257</v>
      </c>
      <c r="L710" s="19">
        <v>5081180212</v>
      </c>
      <c r="M710" s="20">
        <v>5113222653</v>
      </c>
      <c r="N710" s="23"/>
      <c r="O710" s="9" t="s">
        <v>37</v>
      </c>
      <c r="P710" s="23" t="s">
        <v>998</v>
      </c>
      <c r="Q710" s="24" t="s">
        <v>31</v>
      </c>
      <c r="R710" s="25">
        <v>44648</v>
      </c>
      <c r="S710" s="28"/>
      <c r="T710" s="35"/>
      <c r="U710" s="35"/>
      <c r="V710" s="29"/>
      <c r="W710" s="35"/>
      <c r="X710" s="29"/>
      <c r="Y710" s="36"/>
      <c r="Z710" s="29"/>
      <c r="AA710" s="31">
        <f t="shared" si="1"/>
        <v>44648</v>
      </c>
      <c r="AB710" s="32" t="str">
        <f t="shared" si="5"/>
        <v>marzo</v>
      </c>
    </row>
    <row r="711" spans="1:28" ht="12.75">
      <c r="A711" s="22" t="s">
        <v>996</v>
      </c>
      <c r="B711" s="10">
        <v>44656</v>
      </c>
      <c r="C711" s="11">
        <v>44656</v>
      </c>
      <c r="D711" s="53">
        <v>13</v>
      </c>
      <c r="E711" s="13" t="s">
        <v>999</v>
      </c>
      <c r="F711" s="13">
        <v>3025457</v>
      </c>
      <c r="G711" s="14">
        <v>6525</v>
      </c>
      <c r="H711" s="40">
        <v>50</v>
      </c>
      <c r="I711" s="16">
        <f t="shared" si="111"/>
        <v>326250</v>
      </c>
      <c r="J711" s="17">
        <v>0</v>
      </c>
      <c r="K711" s="34">
        <v>4502299257</v>
      </c>
      <c r="L711" s="19">
        <v>5081180212</v>
      </c>
      <c r="M711" s="20">
        <v>5113222654</v>
      </c>
      <c r="N711" s="23"/>
      <c r="O711" s="9"/>
      <c r="P711" s="23" t="s">
        <v>1000</v>
      </c>
      <c r="Q711" s="24" t="s">
        <v>31</v>
      </c>
      <c r="R711" s="25">
        <v>44648</v>
      </c>
      <c r="S711" s="28"/>
      <c r="T711" s="35"/>
      <c r="U711" s="35"/>
      <c r="V711" s="29"/>
      <c r="W711" s="35"/>
      <c r="X711" s="29"/>
      <c r="Y711" s="36"/>
      <c r="Z711" s="29"/>
      <c r="AA711" s="31">
        <f t="shared" si="1"/>
        <v>44648</v>
      </c>
      <c r="AB711" s="32" t="str">
        <f t="shared" si="5"/>
        <v>marzo</v>
      </c>
    </row>
    <row r="712" spans="1:28" ht="12.75">
      <c r="A712" s="9" t="s">
        <v>58</v>
      </c>
      <c r="B712" s="10">
        <v>44652</v>
      </c>
      <c r="C712" s="11">
        <v>44652</v>
      </c>
      <c r="D712" s="53">
        <v>13</v>
      </c>
      <c r="E712" s="13" t="s">
        <v>1001</v>
      </c>
      <c r="F712" s="13">
        <v>3025462</v>
      </c>
      <c r="G712" s="14">
        <v>11338</v>
      </c>
      <c r="H712" s="57">
        <v>7600</v>
      </c>
      <c r="I712" s="16">
        <f t="shared" si="111"/>
        <v>86168800</v>
      </c>
      <c r="J712" s="17">
        <v>40</v>
      </c>
      <c r="K712" s="34">
        <v>4502300292</v>
      </c>
      <c r="L712" s="19">
        <v>5081178456</v>
      </c>
      <c r="M712" s="20">
        <v>5113214114</v>
      </c>
      <c r="N712" s="23"/>
      <c r="O712" s="9" t="s">
        <v>37</v>
      </c>
      <c r="P712" s="23"/>
      <c r="Q712" s="24" t="s">
        <v>357</v>
      </c>
      <c r="R712" s="25">
        <v>44648</v>
      </c>
      <c r="S712" s="28"/>
      <c r="T712" s="35"/>
      <c r="U712" s="35"/>
      <c r="V712" s="29"/>
      <c r="W712" s="35"/>
      <c r="X712" s="29"/>
      <c r="Y712" s="36"/>
      <c r="Z712" s="29"/>
      <c r="AA712" s="31">
        <f t="shared" si="1"/>
        <v>44648</v>
      </c>
      <c r="AB712" s="32" t="str">
        <f t="shared" si="5"/>
        <v>marzo</v>
      </c>
    </row>
    <row r="713" spans="1:28" ht="12.75">
      <c r="A713" s="22" t="s">
        <v>428</v>
      </c>
      <c r="B713" s="10">
        <v>44648</v>
      </c>
      <c r="C713" s="11">
        <v>44650</v>
      </c>
      <c r="D713" s="53">
        <v>13</v>
      </c>
      <c r="E713" s="13" t="s">
        <v>982</v>
      </c>
      <c r="F713" s="13">
        <v>3025457</v>
      </c>
      <c r="G713" s="14">
        <v>13443</v>
      </c>
      <c r="H713" s="33">
        <v>8050</v>
      </c>
      <c r="I713" s="16">
        <f t="shared" si="111"/>
        <v>108216150</v>
      </c>
      <c r="J713" s="17">
        <v>30</v>
      </c>
      <c r="K713" s="34">
        <v>4502299978</v>
      </c>
      <c r="L713" s="19">
        <v>5081183991</v>
      </c>
      <c r="M713" s="20">
        <v>5113206194</v>
      </c>
      <c r="N713" s="23"/>
      <c r="O713" s="9"/>
      <c r="P713" s="23"/>
      <c r="Q713" s="24" t="s">
        <v>31</v>
      </c>
      <c r="R713" s="25">
        <v>44648</v>
      </c>
      <c r="S713" s="28"/>
      <c r="T713" s="35"/>
      <c r="U713" s="35"/>
      <c r="V713" s="29"/>
      <c r="W713" s="35"/>
      <c r="X713" s="29"/>
      <c r="Y713" s="36"/>
      <c r="Z713" s="29"/>
      <c r="AA713" s="31">
        <f t="shared" si="1"/>
        <v>44648</v>
      </c>
      <c r="AB713" s="32" t="str">
        <f t="shared" si="5"/>
        <v>marzo</v>
      </c>
    </row>
    <row r="714" spans="1:28" ht="12.75">
      <c r="A714" s="9" t="s">
        <v>87</v>
      </c>
      <c r="B714" s="10">
        <v>44649</v>
      </c>
      <c r="C714" s="11"/>
      <c r="D714" s="53">
        <v>13</v>
      </c>
      <c r="E714" s="13" t="s">
        <v>1002</v>
      </c>
      <c r="F714" s="13">
        <v>3025457</v>
      </c>
      <c r="G714" s="14">
        <v>25781</v>
      </c>
      <c r="H714" s="15">
        <v>7900</v>
      </c>
      <c r="I714" s="16">
        <f t="shared" si="111"/>
        <v>203669900</v>
      </c>
      <c r="J714" s="17">
        <v>56</v>
      </c>
      <c r="K714" s="34">
        <v>4502297493</v>
      </c>
      <c r="L714" s="19">
        <v>5081185889</v>
      </c>
      <c r="M714" s="20">
        <v>5113218501</v>
      </c>
      <c r="N714" s="23" t="s">
        <v>63</v>
      </c>
      <c r="O714" s="22" t="s">
        <v>1003</v>
      </c>
      <c r="P714" s="90" t="s">
        <v>1004</v>
      </c>
      <c r="Q714" s="24" t="s">
        <v>31</v>
      </c>
      <c r="R714" s="25">
        <v>44649</v>
      </c>
      <c r="S714" s="28">
        <v>4902236674</v>
      </c>
      <c r="T714" s="35">
        <f>1771100*4</f>
        <v>7084400</v>
      </c>
      <c r="U714" s="28" t="s">
        <v>1005</v>
      </c>
      <c r="V714" s="29">
        <v>5113204347</v>
      </c>
      <c r="W714" s="29" t="s">
        <v>1006</v>
      </c>
      <c r="X714" s="29">
        <v>5113204302</v>
      </c>
      <c r="Y714" s="36"/>
      <c r="Z714" s="29"/>
      <c r="AA714" s="31">
        <f t="shared" si="1"/>
        <v>44649</v>
      </c>
      <c r="AB714" s="32" t="str">
        <f t="shared" si="5"/>
        <v>marzo</v>
      </c>
    </row>
    <row r="715" spans="1:28" ht="12.75">
      <c r="A715" s="9" t="s">
        <v>404</v>
      </c>
      <c r="B715" s="10">
        <v>44649</v>
      </c>
      <c r="C715" s="11">
        <v>44651</v>
      </c>
      <c r="D715" s="53">
        <v>13</v>
      </c>
      <c r="E715" s="13" t="s">
        <v>1007</v>
      </c>
      <c r="F715" s="13">
        <v>3025457</v>
      </c>
      <c r="G715" s="37">
        <v>25614.5</v>
      </c>
      <c r="H715" s="33">
        <v>8300</v>
      </c>
      <c r="I715" s="16">
        <f t="shared" si="111"/>
        <v>212600350</v>
      </c>
      <c r="J715" s="17">
        <v>57</v>
      </c>
      <c r="K715" s="34">
        <v>4502296403</v>
      </c>
      <c r="L715" s="19">
        <v>5081199569</v>
      </c>
      <c r="M715" s="20">
        <v>5113212893</v>
      </c>
      <c r="N715" s="23"/>
      <c r="O715" s="9" t="s">
        <v>37</v>
      </c>
      <c r="P715" s="91" t="s">
        <v>1008</v>
      </c>
      <c r="Q715" s="24" t="s">
        <v>31</v>
      </c>
      <c r="R715" s="25">
        <v>44649</v>
      </c>
      <c r="S715" s="28"/>
      <c r="T715" s="35"/>
      <c r="U715" s="35"/>
      <c r="V715" s="29"/>
      <c r="W715" s="35"/>
      <c r="X715" s="29"/>
      <c r="Y715" s="36"/>
      <c r="Z715" s="29"/>
      <c r="AA715" s="31">
        <f t="shared" si="1"/>
        <v>44649</v>
      </c>
      <c r="AB715" s="32" t="str">
        <f t="shared" si="5"/>
        <v>marzo</v>
      </c>
    </row>
    <row r="716" spans="1:28" ht="12.75">
      <c r="A716" s="92" t="s">
        <v>404</v>
      </c>
      <c r="B716" s="10">
        <v>44651</v>
      </c>
      <c r="C716" s="11">
        <v>44651</v>
      </c>
      <c r="D716" s="53">
        <v>13</v>
      </c>
      <c r="E716" s="13" t="s">
        <v>397</v>
      </c>
      <c r="F716" s="13">
        <v>3025457</v>
      </c>
      <c r="G716" s="37">
        <v>25614.5</v>
      </c>
      <c r="H716" s="33">
        <f>8300-8297.04</f>
        <v>2.9599999999991269</v>
      </c>
      <c r="I716" s="16">
        <f>-H716*G716</f>
        <v>-75818.919999977632</v>
      </c>
      <c r="J716" s="17">
        <v>0</v>
      </c>
      <c r="K716" s="34">
        <v>4502296403</v>
      </c>
      <c r="L716" s="19">
        <v>5081199569</v>
      </c>
      <c r="M716" s="20">
        <v>5113212896</v>
      </c>
      <c r="N716" s="23"/>
      <c r="O716" s="9"/>
      <c r="P716" s="23"/>
      <c r="Q716" s="24" t="s">
        <v>31</v>
      </c>
      <c r="R716" s="25">
        <v>44649</v>
      </c>
      <c r="S716" s="28"/>
      <c r="T716" s="35"/>
      <c r="U716" s="35"/>
      <c r="V716" s="29"/>
      <c r="W716" s="35"/>
      <c r="X716" s="29"/>
      <c r="Y716" s="36"/>
      <c r="Z716" s="29"/>
      <c r="AA716" s="31">
        <f t="shared" si="1"/>
        <v>44649</v>
      </c>
      <c r="AB716" s="32" t="str">
        <f t="shared" si="5"/>
        <v>marzo</v>
      </c>
    </row>
    <row r="717" spans="1:28" ht="12.75">
      <c r="A717" s="9" t="s">
        <v>404</v>
      </c>
      <c r="B717" s="10">
        <v>44652</v>
      </c>
      <c r="C717" s="11">
        <v>44655</v>
      </c>
      <c r="D717" s="53">
        <v>13</v>
      </c>
      <c r="E717" s="13" t="s">
        <v>1009</v>
      </c>
      <c r="F717" s="13">
        <v>3025459</v>
      </c>
      <c r="G717" s="14">
        <v>6380</v>
      </c>
      <c r="H717" s="33">
        <v>8150</v>
      </c>
      <c r="I717" s="16">
        <f t="shared" ref="I717:I724" si="112">H717*G717</f>
        <v>51997000</v>
      </c>
      <c r="J717" s="17">
        <v>15</v>
      </c>
      <c r="K717" s="34">
        <v>4502296404</v>
      </c>
      <c r="L717" s="19">
        <v>5081199583</v>
      </c>
      <c r="M717" s="20">
        <v>5113215765</v>
      </c>
      <c r="N717" s="23"/>
      <c r="O717" s="9" t="s">
        <v>37</v>
      </c>
      <c r="P717" s="23" t="s">
        <v>1010</v>
      </c>
      <c r="Q717" s="24" t="s">
        <v>31</v>
      </c>
      <c r="R717" s="25">
        <v>44649</v>
      </c>
      <c r="S717" s="28"/>
      <c r="T717" s="35"/>
      <c r="U717" s="35"/>
      <c r="V717" s="29"/>
      <c r="W717" s="35"/>
      <c r="X717" s="29"/>
      <c r="Y717" s="36"/>
      <c r="Z717" s="29"/>
      <c r="AA717" s="31">
        <f t="shared" si="1"/>
        <v>44649</v>
      </c>
      <c r="AB717" s="32" t="str">
        <f t="shared" si="5"/>
        <v>marzo</v>
      </c>
    </row>
    <row r="718" spans="1:28" ht="12.75">
      <c r="A718" s="92" t="s">
        <v>404</v>
      </c>
      <c r="B718" s="10">
        <v>44655</v>
      </c>
      <c r="C718" s="11">
        <v>44655</v>
      </c>
      <c r="D718" s="53">
        <v>13</v>
      </c>
      <c r="E718" s="13" t="s">
        <v>863</v>
      </c>
      <c r="F718" s="13">
        <v>3025459</v>
      </c>
      <c r="G718" s="14">
        <v>5928.5</v>
      </c>
      <c r="H718" s="33">
        <f>8211.24-8150</f>
        <v>61.239999999999782</v>
      </c>
      <c r="I718" s="16">
        <f t="shared" si="112"/>
        <v>363061.33999999869</v>
      </c>
      <c r="J718" s="17">
        <v>0</v>
      </c>
      <c r="K718" s="34">
        <v>4502296404</v>
      </c>
      <c r="L718" s="19">
        <v>5081199583</v>
      </c>
      <c r="M718" s="20">
        <v>5113215766</v>
      </c>
      <c r="N718" s="23"/>
      <c r="O718" s="9"/>
      <c r="P718" s="23"/>
      <c r="Q718" s="24" t="s">
        <v>31</v>
      </c>
      <c r="R718" s="25">
        <v>44649</v>
      </c>
      <c r="S718" s="28"/>
      <c r="T718" s="35"/>
      <c r="U718" s="35"/>
      <c r="V718" s="29"/>
      <c r="W718" s="35"/>
      <c r="X718" s="29"/>
      <c r="Y718" s="36"/>
      <c r="Z718" s="29"/>
      <c r="AA718" s="31">
        <f t="shared" si="1"/>
        <v>44649</v>
      </c>
      <c r="AB718" s="32" t="str">
        <f t="shared" si="5"/>
        <v>marzo</v>
      </c>
    </row>
    <row r="719" spans="1:28" ht="12.75">
      <c r="A719" s="9" t="s">
        <v>191</v>
      </c>
      <c r="B719" s="10">
        <v>44649</v>
      </c>
      <c r="C719" s="11"/>
      <c r="D719" s="53">
        <v>13</v>
      </c>
      <c r="E719" s="13" t="s">
        <v>1011</v>
      </c>
      <c r="F719" s="13">
        <v>3025459</v>
      </c>
      <c r="G719" s="37">
        <v>6256.5</v>
      </c>
      <c r="H719" s="33">
        <v>7650</v>
      </c>
      <c r="I719" s="16">
        <f t="shared" si="112"/>
        <v>47862225</v>
      </c>
      <c r="J719" s="17">
        <v>14</v>
      </c>
      <c r="K719" s="34">
        <v>4502296405</v>
      </c>
      <c r="L719" s="19">
        <v>5081198326</v>
      </c>
      <c r="M719" s="20">
        <v>5113209419</v>
      </c>
      <c r="N719" s="23"/>
      <c r="O719" s="9" t="s">
        <v>63</v>
      </c>
      <c r="P719" s="23"/>
      <c r="Q719" s="24" t="s">
        <v>31</v>
      </c>
      <c r="R719" s="25">
        <v>44649</v>
      </c>
      <c r="S719" s="28"/>
      <c r="T719" s="35"/>
      <c r="U719" s="35"/>
      <c r="V719" s="29"/>
      <c r="W719" s="35"/>
      <c r="X719" s="29"/>
      <c r="Y719" s="36"/>
      <c r="Z719" s="29"/>
      <c r="AA719" s="31">
        <f t="shared" si="1"/>
        <v>44649</v>
      </c>
      <c r="AB719" s="32" t="str">
        <f t="shared" si="5"/>
        <v>marzo</v>
      </c>
    </row>
    <row r="720" spans="1:28" ht="12.75">
      <c r="A720" s="9" t="s">
        <v>46</v>
      </c>
      <c r="B720" s="10">
        <v>44651</v>
      </c>
      <c r="C720" s="11">
        <v>44656</v>
      </c>
      <c r="D720" s="42">
        <v>14</v>
      </c>
      <c r="E720" s="13" t="s">
        <v>1012</v>
      </c>
      <c r="F720" s="13">
        <v>3025457</v>
      </c>
      <c r="G720" s="14">
        <v>25725</v>
      </c>
      <c r="H720" s="33">
        <v>8300</v>
      </c>
      <c r="I720" s="16">
        <f t="shared" si="112"/>
        <v>213517500</v>
      </c>
      <c r="J720" s="17">
        <v>61</v>
      </c>
      <c r="K720" s="34">
        <v>4502301545</v>
      </c>
      <c r="L720" s="19">
        <v>5081241680</v>
      </c>
      <c r="M720" s="20">
        <v>5113216129</v>
      </c>
      <c r="N720" s="23"/>
      <c r="O720" s="9" t="s">
        <v>37</v>
      </c>
      <c r="P720" s="23"/>
      <c r="Q720" s="24" t="s">
        <v>31</v>
      </c>
      <c r="R720" s="25">
        <v>44651</v>
      </c>
      <c r="S720" s="28"/>
      <c r="T720" s="35"/>
      <c r="U720" s="35"/>
      <c r="V720" s="29"/>
      <c r="W720" s="35"/>
      <c r="X720" s="29"/>
      <c r="Y720" s="36"/>
      <c r="Z720" s="29"/>
      <c r="AA720" s="31">
        <f t="shared" si="1"/>
        <v>44651</v>
      </c>
      <c r="AB720" s="32" t="str">
        <f t="shared" si="5"/>
        <v>marzo</v>
      </c>
    </row>
    <row r="721" spans="1:28" ht="12.75">
      <c r="A721" s="9" t="s">
        <v>46</v>
      </c>
      <c r="B721" s="10">
        <v>44651</v>
      </c>
      <c r="C721" s="11">
        <v>44656</v>
      </c>
      <c r="D721" s="42">
        <v>14</v>
      </c>
      <c r="E721" s="13" t="s">
        <v>1013</v>
      </c>
      <c r="F721" s="13">
        <v>3025457</v>
      </c>
      <c r="G721" s="14">
        <v>25725</v>
      </c>
      <c r="H721" s="33">
        <v>30.2</v>
      </c>
      <c r="I721" s="16">
        <f t="shared" si="112"/>
        <v>776895</v>
      </c>
      <c r="J721" s="17">
        <v>0</v>
      </c>
      <c r="K721" s="34">
        <v>4502301545</v>
      </c>
      <c r="L721" s="19">
        <v>5081241680</v>
      </c>
      <c r="M721" s="20">
        <v>5113216131</v>
      </c>
      <c r="N721" s="23"/>
      <c r="O721" s="9"/>
      <c r="P721" s="23"/>
      <c r="Q721" s="24" t="s">
        <v>31</v>
      </c>
      <c r="R721" s="25">
        <v>44651</v>
      </c>
      <c r="S721" s="28"/>
      <c r="T721" s="35"/>
      <c r="U721" s="35"/>
      <c r="V721" s="29"/>
      <c r="W721" s="35"/>
      <c r="X721" s="29"/>
      <c r="Y721" s="36"/>
      <c r="Z721" s="29"/>
      <c r="AA721" s="31">
        <f t="shared" si="1"/>
        <v>44651</v>
      </c>
      <c r="AB721" s="32" t="str">
        <f t="shared" si="5"/>
        <v>marzo</v>
      </c>
    </row>
    <row r="722" spans="1:28" ht="12.75">
      <c r="A722" s="9" t="s">
        <v>46</v>
      </c>
      <c r="B722" s="10">
        <v>44652</v>
      </c>
      <c r="C722" s="11">
        <v>44656</v>
      </c>
      <c r="D722" s="42">
        <v>14</v>
      </c>
      <c r="E722" s="13" t="s">
        <v>1014</v>
      </c>
      <c r="F722" s="13">
        <v>3025457</v>
      </c>
      <c r="G722" s="37">
        <v>6099.5</v>
      </c>
      <c r="H722" s="33">
        <v>8300</v>
      </c>
      <c r="I722" s="16">
        <f t="shared" si="112"/>
        <v>50625850</v>
      </c>
      <c r="J722" s="17">
        <v>14</v>
      </c>
      <c r="K722" s="34">
        <v>4502302746</v>
      </c>
      <c r="L722" s="19">
        <v>5081262765</v>
      </c>
      <c r="M722" s="20">
        <v>5113216132</v>
      </c>
      <c r="N722" s="23"/>
      <c r="O722" s="9"/>
      <c r="P722" s="23"/>
      <c r="Q722" s="24" t="s">
        <v>31</v>
      </c>
      <c r="R722" s="25">
        <v>44651</v>
      </c>
      <c r="S722" s="28"/>
      <c r="T722" s="35"/>
      <c r="U722" s="35"/>
      <c r="V722" s="29"/>
      <c r="W722" s="35"/>
      <c r="X722" s="29"/>
      <c r="Y722" s="36"/>
      <c r="Z722" s="29"/>
      <c r="AA722" s="31">
        <f t="shared" si="1"/>
        <v>44651</v>
      </c>
      <c r="AB722" s="32" t="str">
        <f t="shared" si="5"/>
        <v>marzo</v>
      </c>
    </row>
    <row r="723" spans="1:28" ht="12.75">
      <c r="A723" s="9" t="s">
        <v>46</v>
      </c>
      <c r="B723" s="10">
        <v>44652</v>
      </c>
      <c r="C723" s="11">
        <v>44656</v>
      </c>
      <c r="D723" s="42">
        <v>14</v>
      </c>
      <c r="E723" s="13" t="s">
        <v>569</v>
      </c>
      <c r="F723" s="13">
        <v>3025457</v>
      </c>
      <c r="G723" s="37">
        <v>6099.5</v>
      </c>
      <c r="H723" s="33">
        <v>112.64</v>
      </c>
      <c r="I723" s="16">
        <f t="shared" si="112"/>
        <v>687047.68000000005</v>
      </c>
      <c r="J723" s="17">
        <v>0</v>
      </c>
      <c r="K723" s="34">
        <v>4502302746</v>
      </c>
      <c r="L723" s="19">
        <v>5081262765</v>
      </c>
      <c r="M723" s="20">
        <v>5113216133</v>
      </c>
      <c r="N723" s="23"/>
      <c r="O723" s="9"/>
      <c r="P723" s="23"/>
      <c r="Q723" s="24" t="s">
        <v>31</v>
      </c>
      <c r="R723" s="25">
        <v>44651</v>
      </c>
      <c r="S723" s="28"/>
      <c r="T723" s="35"/>
      <c r="U723" s="35"/>
      <c r="V723" s="29"/>
      <c r="W723" s="35"/>
      <c r="X723" s="29"/>
      <c r="Y723" s="36"/>
      <c r="Z723" s="29"/>
      <c r="AA723" s="31">
        <f t="shared" si="1"/>
        <v>44651</v>
      </c>
      <c r="AB723" s="32" t="str">
        <f t="shared" si="5"/>
        <v>marzo</v>
      </c>
    </row>
    <row r="724" spans="1:28" ht="12.75">
      <c r="A724" s="9" t="s">
        <v>404</v>
      </c>
      <c r="B724" s="10">
        <v>44652</v>
      </c>
      <c r="C724" s="11">
        <v>44652</v>
      </c>
      <c r="D724" s="42">
        <v>14</v>
      </c>
      <c r="E724" s="13" t="s">
        <v>1015</v>
      </c>
      <c r="F724" s="13">
        <v>3025459</v>
      </c>
      <c r="G724" s="37">
        <v>12748.5</v>
      </c>
      <c r="H724" s="33">
        <v>8150</v>
      </c>
      <c r="I724" s="16">
        <f t="shared" si="112"/>
        <v>103900275</v>
      </c>
      <c r="J724" s="17">
        <v>29</v>
      </c>
      <c r="K724" s="34">
        <v>4502300955</v>
      </c>
      <c r="L724" s="19">
        <v>5081206749</v>
      </c>
      <c r="M724" s="20">
        <v>5113217857</v>
      </c>
      <c r="N724" s="44"/>
      <c r="O724" s="9" t="s">
        <v>37</v>
      </c>
      <c r="P724" s="23"/>
      <c r="Q724" s="24" t="s">
        <v>31</v>
      </c>
      <c r="R724" s="25">
        <v>44651</v>
      </c>
      <c r="S724" s="28"/>
      <c r="T724" s="35"/>
      <c r="U724" s="35"/>
      <c r="V724" s="29"/>
      <c r="W724" s="35"/>
      <c r="X724" s="29"/>
      <c r="Y724" s="36"/>
      <c r="Z724" s="29"/>
      <c r="AA724" s="31">
        <f t="shared" si="1"/>
        <v>44651</v>
      </c>
      <c r="AB724" s="32" t="str">
        <f t="shared" si="5"/>
        <v>marzo</v>
      </c>
    </row>
    <row r="725" spans="1:28" ht="12.75">
      <c r="A725" s="9" t="s">
        <v>404</v>
      </c>
      <c r="B725" s="10">
        <v>44652</v>
      </c>
      <c r="C725" s="11">
        <v>44652</v>
      </c>
      <c r="D725" s="42">
        <v>14</v>
      </c>
      <c r="E725" s="13" t="s">
        <v>427</v>
      </c>
      <c r="F725" s="13">
        <v>3025459</v>
      </c>
      <c r="G725" s="14">
        <v>13200</v>
      </c>
      <c r="H725" s="33">
        <f>8150-8138.4</f>
        <v>11.600000000000364</v>
      </c>
      <c r="I725" s="16">
        <f>-H725*G725</f>
        <v>-153120.0000000048</v>
      </c>
      <c r="J725" s="17">
        <v>0</v>
      </c>
      <c r="K725" s="34">
        <v>4502300955</v>
      </c>
      <c r="L725" s="19">
        <v>5081206749</v>
      </c>
      <c r="M725" s="20">
        <v>5113217858</v>
      </c>
      <c r="N725" s="23"/>
      <c r="O725" s="9"/>
      <c r="P725" s="23"/>
      <c r="Q725" s="24" t="s">
        <v>31</v>
      </c>
      <c r="R725" s="25">
        <v>44651</v>
      </c>
      <c r="S725" s="28"/>
      <c r="T725" s="35"/>
      <c r="U725" s="35"/>
      <c r="V725" s="29"/>
      <c r="W725" s="35"/>
      <c r="X725" s="29"/>
      <c r="Y725" s="36"/>
      <c r="Z725" s="29"/>
      <c r="AA725" s="31">
        <f t="shared" si="1"/>
        <v>44651</v>
      </c>
      <c r="AB725" s="32" t="str">
        <f t="shared" si="5"/>
        <v>marzo</v>
      </c>
    </row>
    <row r="726" spans="1:28" ht="12.75">
      <c r="A726" s="9" t="s">
        <v>58</v>
      </c>
      <c r="B726" s="10">
        <v>44655</v>
      </c>
      <c r="C726" s="11">
        <v>44655</v>
      </c>
      <c r="D726" s="42">
        <v>14</v>
      </c>
      <c r="E726" s="13" t="s">
        <v>1016</v>
      </c>
      <c r="F726" s="13">
        <v>3025457</v>
      </c>
      <c r="G726" s="14">
        <v>59676</v>
      </c>
      <c r="H726" s="33">
        <v>8500</v>
      </c>
      <c r="I726" s="16">
        <f t="shared" ref="I726:I731" si="113">H726*G726</f>
        <v>507246000</v>
      </c>
      <c r="J726" s="17">
        <v>120</v>
      </c>
      <c r="K726" s="34">
        <v>4502301547</v>
      </c>
      <c r="L726" s="19">
        <v>5081241419</v>
      </c>
      <c r="M726" s="20">
        <v>5113218891</v>
      </c>
      <c r="N726" s="23"/>
      <c r="O726" s="23" t="s">
        <v>37</v>
      </c>
      <c r="P726" s="23" t="s">
        <v>1017</v>
      </c>
      <c r="Q726" s="24" t="s">
        <v>31</v>
      </c>
      <c r="R726" s="25">
        <v>44651</v>
      </c>
      <c r="S726" s="28"/>
      <c r="T726" s="35"/>
      <c r="U726" s="35"/>
      <c r="V726" s="29"/>
      <c r="W726" s="35"/>
      <c r="X726" s="29"/>
      <c r="Y726" s="36"/>
      <c r="Z726" s="29"/>
      <c r="AA726" s="31">
        <f t="shared" si="1"/>
        <v>44651</v>
      </c>
      <c r="AB726" s="32" t="str">
        <f t="shared" si="5"/>
        <v>marzo</v>
      </c>
    </row>
    <row r="727" spans="1:28" ht="12.75">
      <c r="A727" s="9" t="s">
        <v>58</v>
      </c>
      <c r="B727" s="10">
        <v>44655</v>
      </c>
      <c r="C727" s="11">
        <v>44655</v>
      </c>
      <c r="D727" s="42">
        <v>14</v>
      </c>
      <c r="E727" s="13" t="s">
        <v>1018</v>
      </c>
      <c r="F727" s="13">
        <v>3025457</v>
      </c>
      <c r="G727" s="14">
        <v>59676</v>
      </c>
      <c r="H727" s="33">
        <v>50</v>
      </c>
      <c r="I727" s="16">
        <f t="shared" si="113"/>
        <v>2983800</v>
      </c>
      <c r="J727" s="17">
        <v>0</v>
      </c>
      <c r="K727" s="34">
        <v>4502301547</v>
      </c>
      <c r="L727" s="19">
        <v>5081241419</v>
      </c>
      <c r="M727" s="20">
        <v>5113218892</v>
      </c>
      <c r="N727" s="23"/>
      <c r="O727" s="9"/>
      <c r="P727" s="23"/>
      <c r="Q727" s="24" t="s">
        <v>31</v>
      </c>
      <c r="R727" s="25">
        <v>44651</v>
      </c>
      <c r="S727" s="28"/>
      <c r="T727" s="35"/>
      <c r="U727" s="35"/>
      <c r="V727" s="29"/>
      <c r="W727" s="35"/>
      <c r="X727" s="29"/>
      <c r="Y727" s="36"/>
      <c r="Z727" s="29"/>
      <c r="AA727" s="31">
        <f t="shared" si="1"/>
        <v>44651</v>
      </c>
      <c r="AB727" s="32" t="str">
        <f t="shared" si="5"/>
        <v>marzo</v>
      </c>
    </row>
    <row r="728" spans="1:28" ht="12.75">
      <c r="A728" s="9" t="s">
        <v>73</v>
      </c>
      <c r="B728" s="10">
        <v>44655</v>
      </c>
      <c r="C728" s="11">
        <v>44655</v>
      </c>
      <c r="D728" s="42">
        <v>14</v>
      </c>
      <c r="E728" s="13" t="s">
        <v>1019</v>
      </c>
      <c r="F728" s="13">
        <v>3025459</v>
      </c>
      <c r="G728" s="14">
        <v>13243.5</v>
      </c>
      <c r="H728" s="33">
        <v>8300</v>
      </c>
      <c r="I728" s="16">
        <f t="shared" si="113"/>
        <v>109921050</v>
      </c>
      <c r="J728" s="17">
        <v>28</v>
      </c>
      <c r="K728" s="34">
        <v>4502301548</v>
      </c>
      <c r="L728" s="19">
        <v>5081241420</v>
      </c>
      <c r="M728" s="20">
        <v>5113218965</v>
      </c>
      <c r="N728" s="23"/>
      <c r="O728" s="9" t="s">
        <v>63</v>
      </c>
      <c r="P728" s="23" t="s">
        <v>1020</v>
      </c>
      <c r="Q728" s="24" t="s">
        <v>31</v>
      </c>
      <c r="R728" s="25">
        <v>44651</v>
      </c>
      <c r="S728" s="28"/>
      <c r="T728" s="35"/>
      <c r="U728" s="35"/>
      <c r="V728" s="29"/>
      <c r="W728" s="35"/>
      <c r="X728" s="29"/>
      <c r="Y728" s="36"/>
      <c r="Z728" s="29"/>
      <c r="AA728" s="31">
        <f t="shared" si="1"/>
        <v>44651</v>
      </c>
      <c r="AB728" s="32" t="str">
        <f t="shared" si="5"/>
        <v>marzo</v>
      </c>
    </row>
    <row r="729" spans="1:28" ht="12.75">
      <c r="A729" s="9" t="s">
        <v>274</v>
      </c>
      <c r="B729" s="10">
        <v>44659</v>
      </c>
      <c r="C729" s="11">
        <v>44659</v>
      </c>
      <c r="D729" s="42">
        <v>14</v>
      </c>
      <c r="E729" s="13" t="s">
        <v>1021</v>
      </c>
      <c r="F729" s="13">
        <v>3025459</v>
      </c>
      <c r="G729" s="37">
        <v>12841.5</v>
      </c>
      <c r="H729" s="33">
        <v>8300</v>
      </c>
      <c r="I729" s="16">
        <f t="shared" si="113"/>
        <v>106584450</v>
      </c>
      <c r="J729" s="17">
        <v>28</v>
      </c>
      <c r="K729" s="34">
        <v>4502301549</v>
      </c>
      <c r="L729" s="19">
        <v>5081241421</v>
      </c>
      <c r="M729" s="20">
        <v>5113222774</v>
      </c>
      <c r="N729" s="23"/>
      <c r="O729" s="9" t="s">
        <v>63</v>
      </c>
      <c r="P729" s="90" t="s">
        <v>1022</v>
      </c>
      <c r="Q729" s="24" t="s">
        <v>31</v>
      </c>
      <c r="R729" s="25">
        <v>44651</v>
      </c>
      <c r="S729" s="28"/>
      <c r="T729" s="35"/>
      <c r="U729" s="35"/>
      <c r="V729" s="29"/>
      <c r="W729" s="35"/>
      <c r="X729" s="29"/>
      <c r="Y729" s="36"/>
      <c r="Z729" s="29"/>
      <c r="AA729" s="31">
        <f t="shared" si="1"/>
        <v>44651</v>
      </c>
      <c r="AB729" s="32" t="str">
        <f t="shared" si="5"/>
        <v>marzo</v>
      </c>
    </row>
    <row r="730" spans="1:28" ht="12.75">
      <c r="A730" s="9" t="s">
        <v>274</v>
      </c>
      <c r="B730" s="10">
        <v>44659</v>
      </c>
      <c r="C730" s="11">
        <v>44659</v>
      </c>
      <c r="D730" s="42">
        <v>14</v>
      </c>
      <c r="E730" s="13" t="s">
        <v>863</v>
      </c>
      <c r="F730" s="13">
        <v>3025459</v>
      </c>
      <c r="G730" s="37">
        <v>12841.5</v>
      </c>
      <c r="H730" s="33">
        <v>50</v>
      </c>
      <c r="I730" s="16">
        <f t="shared" si="113"/>
        <v>642075</v>
      </c>
      <c r="J730" s="17">
        <v>0</v>
      </c>
      <c r="K730" s="34">
        <v>4502301549</v>
      </c>
      <c r="L730" s="19">
        <v>5081241421</v>
      </c>
      <c r="M730" s="20">
        <v>5113222775</v>
      </c>
      <c r="N730" s="23"/>
      <c r="O730" s="9"/>
      <c r="P730" s="23"/>
      <c r="Q730" s="24" t="s">
        <v>31</v>
      </c>
      <c r="R730" s="25">
        <v>44651</v>
      </c>
      <c r="S730" s="28"/>
      <c r="T730" s="35"/>
      <c r="U730" s="35"/>
      <c r="V730" s="29"/>
      <c r="W730" s="35"/>
      <c r="X730" s="29"/>
      <c r="Y730" s="36"/>
      <c r="Z730" s="29"/>
      <c r="AA730" s="31">
        <f t="shared" si="1"/>
        <v>44651</v>
      </c>
      <c r="AB730" s="32" t="str">
        <f t="shared" si="5"/>
        <v>marzo</v>
      </c>
    </row>
    <row r="731" spans="1:28" ht="12.75">
      <c r="A731" s="9" t="s">
        <v>58</v>
      </c>
      <c r="B731" s="10">
        <v>44655</v>
      </c>
      <c r="C731" s="11">
        <v>44655</v>
      </c>
      <c r="D731" s="42">
        <v>14</v>
      </c>
      <c r="E731" s="13" t="s">
        <v>1023</v>
      </c>
      <c r="F731" s="13">
        <v>3025457</v>
      </c>
      <c r="G731" s="14">
        <v>13451</v>
      </c>
      <c r="H731" s="33">
        <v>8500</v>
      </c>
      <c r="I731" s="16">
        <f t="shared" si="113"/>
        <v>114333500</v>
      </c>
      <c r="J731" s="17">
        <v>28</v>
      </c>
      <c r="K731" s="34">
        <v>4502301550</v>
      </c>
      <c r="L731" s="19">
        <v>5081262798</v>
      </c>
      <c r="M731" s="20">
        <v>5113218893</v>
      </c>
      <c r="N731" s="23"/>
      <c r="O731" s="23" t="s">
        <v>37</v>
      </c>
      <c r="P731" s="23" t="s">
        <v>1024</v>
      </c>
      <c r="Q731" s="24" t="s">
        <v>31</v>
      </c>
      <c r="R731" s="25">
        <v>44652</v>
      </c>
      <c r="S731" s="28"/>
      <c r="T731" s="35"/>
      <c r="U731" s="35"/>
      <c r="V731" s="29"/>
      <c r="W731" s="35"/>
      <c r="X731" s="29"/>
      <c r="Y731" s="36"/>
      <c r="Z731" s="29"/>
      <c r="AA731" s="31">
        <f t="shared" si="1"/>
        <v>44652</v>
      </c>
      <c r="AB731" s="32" t="str">
        <f t="shared" si="5"/>
        <v>abril</v>
      </c>
    </row>
    <row r="732" spans="1:28" ht="12.75">
      <c r="A732" s="9" t="s">
        <v>58</v>
      </c>
      <c r="B732" s="10">
        <v>44655</v>
      </c>
      <c r="C732" s="11">
        <v>44655</v>
      </c>
      <c r="D732" s="42">
        <v>14</v>
      </c>
      <c r="E732" s="13" t="s">
        <v>1025</v>
      </c>
      <c r="F732" s="13">
        <v>3025457</v>
      </c>
      <c r="G732" s="14">
        <v>13451</v>
      </c>
      <c r="H732" s="33">
        <f>8500-8479.72</f>
        <v>20.280000000000655</v>
      </c>
      <c r="I732" s="16">
        <f>-H732*G732</f>
        <v>-272786.28000000882</v>
      </c>
      <c r="J732" s="17">
        <v>0</v>
      </c>
      <c r="K732" s="34">
        <v>4502301550</v>
      </c>
      <c r="L732" s="19">
        <v>5081262798</v>
      </c>
      <c r="M732" s="20">
        <v>5113218894</v>
      </c>
      <c r="N732" s="23"/>
      <c r="O732" s="9"/>
      <c r="P732" s="23"/>
      <c r="Q732" s="24" t="s">
        <v>31</v>
      </c>
      <c r="R732" s="25">
        <v>44652</v>
      </c>
      <c r="S732" s="28"/>
      <c r="T732" s="35"/>
      <c r="U732" s="35"/>
      <c r="V732" s="29"/>
      <c r="W732" s="35"/>
      <c r="X732" s="29"/>
      <c r="Y732" s="36"/>
      <c r="Z732" s="29"/>
      <c r="AA732" s="31">
        <f t="shared" si="1"/>
        <v>44652</v>
      </c>
      <c r="AB732" s="32" t="str">
        <f t="shared" si="5"/>
        <v>abril</v>
      </c>
    </row>
    <row r="733" spans="1:28" ht="12.75">
      <c r="A733" s="9" t="s">
        <v>58</v>
      </c>
      <c r="B733" s="10">
        <v>44655</v>
      </c>
      <c r="C733" s="11">
        <v>44655</v>
      </c>
      <c r="D733" s="42">
        <v>14</v>
      </c>
      <c r="E733" s="13" t="s">
        <v>1026</v>
      </c>
      <c r="F733" s="13">
        <v>3025457</v>
      </c>
      <c r="G733" s="14">
        <v>54357</v>
      </c>
      <c r="H733" s="33">
        <v>8500</v>
      </c>
      <c r="I733" s="16">
        <f t="shared" ref="I733:I738" si="114">H733*G733</f>
        <v>462034500</v>
      </c>
      <c r="J733" s="17">
        <v>117</v>
      </c>
      <c r="K733" s="34">
        <v>4502301550</v>
      </c>
      <c r="L733" s="19">
        <v>5081262798</v>
      </c>
      <c r="M733" s="20">
        <v>5113218895</v>
      </c>
      <c r="N733" s="23"/>
      <c r="O733" s="23" t="s">
        <v>37</v>
      </c>
      <c r="P733" s="23" t="s">
        <v>1024</v>
      </c>
      <c r="Q733" s="24" t="s">
        <v>31</v>
      </c>
      <c r="R733" s="25">
        <v>44652</v>
      </c>
      <c r="S733" s="28"/>
      <c r="T733" s="35"/>
      <c r="U733" s="35"/>
      <c r="V733" s="29"/>
      <c r="W733" s="35"/>
      <c r="X733" s="29"/>
      <c r="Y733" s="36"/>
      <c r="Z733" s="29"/>
      <c r="AA733" s="31">
        <f t="shared" si="1"/>
        <v>44652</v>
      </c>
      <c r="AB733" s="32" t="str">
        <f t="shared" si="5"/>
        <v>abril</v>
      </c>
    </row>
    <row r="734" spans="1:28" ht="12.75">
      <c r="A734" s="9" t="s">
        <v>58</v>
      </c>
      <c r="B734" s="10">
        <v>44655</v>
      </c>
      <c r="C734" s="11">
        <v>44655</v>
      </c>
      <c r="D734" s="42">
        <v>14</v>
      </c>
      <c r="E734" s="13" t="s">
        <v>1027</v>
      </c>
      <c r="F734" s="13">
        <v>3025457</v>
      </c>
      <c r="G734" s="14">
        <v>54357</v>
      </c>
      <c r="H734" s="33">
        <v>35.35</v>
      </c>
      <c r="I734" s="16">
        <f t="shared" si="114"/>
        <v>1921519.9500000002</v>
      </c>
      <c r="J734" s="17">
        <v>0</v>
      </c>
      <c r="K734" s="34">
        <v>4502301550</v>
      </c>
      <c r="L734" s="19">
        <v>5081262798</v>
      </c>
      <c r="M734" s="20">
        <v>5113218896</v>
      </c>
      <c r="N734" s="23"/>
      <c r="O734" s="9"/>
      <c r="P734" s="23"/>
      <c r="Q734" s="24" t="s">
        <v>31</v>
      </c>
      <c r="R734" s="25">
        <v>44652</v>
      </c>
      <c r="S734" s="28"/>
      <c r="T734" s="35"/>
      <c r="U734" s="35"/>
      <c r="V734" s="29"/>
      <c r="W734" s="35"/>
      <c r="X734" s="29"/>
      <c r="Y734" s="36"/>
      <c r="Z734" s="29"/>
      <c r="AA734" s="31">
        <f t="shared" si="1"/>
        <v>44652</v>
      </c>
      <c r="AB734" s="32" t="str">
        <f t="shared" si="5"/>
        <v>abril</v>
      </c>
    </row>
    <row r="735" spans="1:28" ht="12.75">
      <c r="A735" s="9" t="s">
        <v>819</v>
      </c>
      <c r="B735" s="10">
        <v>44652</v>
      </c>
      <c r="C735" s="11"/>
      <c r="D735" s="42">
        <v>14</v>
      </c>
      <c r="E735" s="13">
        <v>5982</v>
      </c>
      <c r="F735" s="13">
        <v>3025457</v>
      </c>
      <c r="G735" s="14">
        <v>46554</v>
      </c>
      <c r="H735" s="33">
        <v>8400</v>
      </c>
      <c r="I735" s="16">
        <f t="shared" si="114"/>
        <v>391053600</v>
      </c>
      <c r="J735" s="17">
        <v>99</v>
      </c>
      <c r="K735" s="34">
        <v>4502301551</v>
      </c>
      <c r="L735" s="19">
        <v>5081262763</v>
      </c>
      <c r="M735" s="20">
        <v>5113218338</v>
      </c>
      <c r="N735" s="23"/>
      <c r="O735" s="23" t="s">
        <v>37</v>
      </c>
      <c r="P735" s="23" t="s">
        <v>1028</v>
      </c>
      <c r="Q735" s="24" t="s">
        <v>31</v>
      </c>
      <c r="R735" s="25">
        <v>44652</v>
      </c>
      <c r="S735" s="28"/>
      <c r="T735" s="35"/>
      <c r="U735" s="35"/>
      <c r="V735" s="29"/>
      <c r="W735" s="35"/>
      <c r="X735" s="29"/>
      <c r="Y735" s="36"/>
      <c r="Z735" s="29"/>
      <c r="AA735" s="31">
        <f t="shared" si="1"/>
        <v>44652</v>
      </c>
      <c r="AB735" s="32" t="str">
        <f t="shared" si="5"/>
        <v>abril</v>
      </c>
    </row>
    <row r="736" spans="1:28" ht="12.75">
      <c r="A736" s="9" t="s">
        <v>168</v>
      </c>
      <c r="B736" s="10">
        <v>44655</v>
      </c>
      <c r="C736" s="11">
        <v>44658</v>
      </c>
      <c r="D736" s="42">
        <v>14</v>
      </c>
      <c r="E736" s="13" t="s">
        <v>1029</v>
      </c>
      <c r="F736" s="13">
        <v>3025459</v>
      </c>
      <c r="G736" s="14">
        <v>13319</v>
      </c>
      <c r="H736" s="33">
        <v>8200</v>
      </c>
      <c r="I736" s="16">
        <f t="shared" si="114"/>
        <v>109215800</v>
      </c>
      <c r="J736" s="17">
        <v>28</v>
      </c>
      <c r="K736" s="34">
        <v>4502301552</v>
      </c>
      <c r="L736" s="19">
        <v>5081262799</v>
      </c>
      <c r="M736" s="20">
        <v>5113214941</v>
      </c>
      <c r="N736" s="23"/>
      <c r="O736" s="9" t="s">
        <v>63</v>
      </c>
      <c r="P736" s="23"/>
      <c r="Q736" s="24" t="s">
        <v>31</v>
      </c>
      <c r="R736" s="25">
        <v>44652</v>
      </c>
      <c r="S736" s="28"/>
      <c r="T736" s="35"/>
      <c r="U736" s="35"/>
      <c r="V736" s="29"/>
      <c r="W736" s="35"/>
      <c r="X736" s="29"/>
      <c r="Y736" s="36"/>
      <c r="Z736" s="29"/>
      <c r="AA736" s="31">
        <f t="shared" si="1"/>
        <v>44652</v>
      </c>
      <c r="AB736" s="32" t="str">
        <f t="shared" si="5"/>
        <v>abril</v>
      </c>
    </row>
    <row r="737" spans="1:28" ht="12.75">
      <c r="A737" s="9" t="s">
        <v>168</v>
      </c>
      <c r="B737" s="10">
        <v>44655</v>
      </c>
      <c r="C737" s="11">
        <v>44655</v>
      </c>
      <c r="D737" s="42">
        <v>14</v>
      </c>
      <c r="E737" s="13" t="s">
        <v>163</v>
      </c>
      <c r="F737" s="13">
        <v>3025459</v>
      </c>
      <c r="G737" s="14">
        <v>13319</v>
      </c>
      <c r="H737" s="33">
        <v>50</v>
      </c>
      <c r="I737" s="16">
        <f t="shared" si="114"/>
        <v>665950</v>
      </c>
      <c r="J737" s="17">
        <v>0</v>
      </c>
      <c r="K737" s="34">
        <v>4502301552</v>
      </c>
      <c r="L737" s="19">
        <v>5081262799</v>
      </c>
      <c r="M737" s="20">
        <v>5113214942</v>
      </c>
      <c r="N737" s="23"/>
      <c r="O737" s="9"/>
      <c r="P737" s="23"/>
      <c r="Q737" s="24" t="s">
        <v>31</v>
      </c>
      <c r="R737" s="25">
        <v>44652</v>
      </c>
      <c r="S737" s="28"/>
      <c r="T737" s="35"/>
      <c r="U737" s="35"/>
      <c r="V737" s="29"/>
      <c r="W737" s="35"/>
      <c r="X737" s="29"/>
      <c r="Y737" s="36"/>
      <c r="Z737" s="29"/>
      <c r="AA737" s="31">
        <f t="shared" si="1"/>
        <v>44652</v>
      </c>
      <c r="AB737" s="32" t="str">
        <f t="shared" si="5"/>
        <v>abril</v>
      </c>
    </row>
    <row r="738" spans="1:28" ht="12.75">
      <c r="A738" s="9" t="s">
        <v>213</v>
      </c>
      <c r="B738" s="10">
        <v>44652</v>
      </c>
      <c r="C738" s="11">
        <v>44655</v>
      </c>
      <c r="D738" s="42">
        <v>14</v>
      </c>
      <c r="E738" s="13" t="s">
        <v>1030</v>
      </c>
      <c r="F738" s="13">
        <v>3025459</v>
      </c>
      <c r="G738" s="14">
        <v>12193</v>
      </c>
      <c r="H738" s="33">
        <v>8030</v>
      </c>
      <c r="I738" s="16">
        <f t="shared" si="114"/>
        <v>97909790</v>
      </c>
      <c r="J738" s="17">
        <v>28</v>
      </c>
      <c r="K738" s="34">
        <v>4502301553</v>
      </c>
      <c r="L738" s="19">
        <v>5081262800</v>
      </c>
      <c r="M738" s="20">
        <v>5113217940</v>
      </c>
      <c r="N738" s="23"/>
      <c r="O738" s="9" t="s">
        <v>37</v>
      </c>
      <c r="P738" s="23"/>
      <c r="Q738" s="24" t="s">
        <v>31</v>
      </c>
      <c r="R738" s="25">
        <v>44652</v>
      </c>
      <c r="S738" s="28"/>
      <c r="T738" s="35"/>
      <c r="U738" s="35"/>
      <c r="V738" s="29"/>
      <c r="W738" s="35"/>
      <c r="X738" s="29"/>
      <c r="Y738" s="36"/>
      <c r="Z738" s="29"/>
      <c r="AA738" s="31">
        <f t="shared" si="1"/>
        <v>44652</v>
      </c>
      <c r="AB738" s="32" t="str">
        <f t="shared" si="5"/>
        <v>abril</v>
      </c>
    </row>
    <row r="739" spans="1:28" ht="12.75">
      <c r="A739" s="9" t="s">
        <v>213</v>
      </c>
      <c r="B739" s="10">
        <v>44652</v>
      </c>
      <c r="C739" s="11"/>
      <c r="D739" s="42">
        <v>14</v>
      </c>
      <c r="E739" s="13" t="s">
        <v>1031</v>
      </c>
      <c r="F739" s="13">
        <v>3025459</v>
      </c>
      <c r="G739" s="14">
        <v>12193</v>
      </c>
      <c r="H739" s="33">
        <f>8030-8026.77</f>
        <v>3.2299999999995634</v>
      </c>
      <c r="I739" s="16">
        <f>-H739*G739</f>
        <v>-39383.389999994673</v>
      </c>
      <c r="J739" s="17">
        <v>0</v>
      </c>
      <c r="K739" s="34">
        <v>4502301553</v>
      </c>
      <c r="L739" s="19">
        <v>5081262800</v>
      </c>
      <c r="M739" s="20">
        <v>5113217941</v>
      </c>
      <c r="N739" s="23"/>
      <c r="O739" s="9"/>
      <c r="P739" s="23"/>
      <c r="Q739" s="24" t="s">
        <v>31</v>
      </c>
      <c r="R739" s="25">
        <v>44652</v>
      </c>
      <c r="S739" s="28"/>
      <c r="T739" s="35"/>
      <c r="U739" s="35"/>
      <c r="V739" s="29"/>
      <c r="W739" s="35"/>
      <c r="X739" s="29"/>
      <c r="Y739" s="36"/>
      <c r="Z739" s="29"/>
      <c r="AA739" s="31">
        <f t="shared" si="1"/>
        <v>44652</v>
      </c>
      <c r="AB739" s="32" t="str">
        <f t="shared" si="5"/>
        <v>abril</v>
      </c>
    </row>
    <row r="740" spans="1:28" ht="12.75">
      <c r="A740" s="9" t="s">
        <v>99</v>
      </c>
      <c r="B740" s="10">
        <v>44655</v>
      </c>
      <c r="C740" s="11">
        <v>44657</v>
      </c>
      <c r="D740" s="42">
        <v>14</v>
      </c>
      <c r="E740" s="13" t="s">
        <v>1032</v>
      </c>
      <c r="F740" s="13">
        <v>3025459</v>
      </c>
      <c r="G740" s="37">
        <v>6280.5</v>
      </c>
      <c r="H740" s="33">
        <v>7800</v>
      </c>
      <c r="I740" s="16">
        <f>H740*G740</f>
        <v>48987900</v>
      </c>
      <c r="J740" s="17">
        <v>15</v>
      </c>
      <c r="K740" s="34">
        <v>4502301554</v>
      </c>
      <c r="L740" s="19">
        <v>5081262764</v>
      </c>
      <c r="M740" s="20">
        <v>5113222470</v>
      </c>
      <c r="N740" s="23"/>
      <c r="O740" s="9" t="s">
        <v>37</v>
      </c>
      <c r="P740" s="23" t="s">
        <v>1033</v>
      </c>
      <c r="Q740" s="24" t="s">
        <v>31</v>
      </c>
      <c r="R740" s="25">
        <v>44652</v>
      </c>
      <c r="S740" s="28"/>
      <c r="T740" s="35"/>
      <c r="U740" s="35"/>
      <c r="V740" s="29"/>
      <c r="W740" s="35"/>
      <c r="X740" s="29"/>
      <c r="Y740" s="36"/>
      <c r="Z740" s="29"/>
      <c r="AA740" s="31">
        <f t="shared" si="1"/>
        <v>44652</v>
      </c>
      <c r="AB740" s="32" t="str">
        <f t="shared" si="5"/>
        <v>abril</v>
      </c>
    </row>
    <row r="741" spans="1:28" ht="12.75">
      <c r="A741" s="9" t="s">
        <v>99</v>
      </c>
      <c r="B741" s="10">
        <v>44656</v>
      </c>
      <c r="C741" s="11">
        <v>44657</v>
      </c>
      <c r="D741" s="42">
        <v>14</v>
      </c>
      <c r="E741" s="13" t="s">
        <v>1034</v>
      </c>
      <c r="F741" s="13">
        <v>3025459</v>
      </c>
      <c r="G741" s="37">
        <v>6280.5</v>
      </c>
      <c r="H741" s="33">
        <v>100</v>
      </c>
      <c r="I741" s="16">
        <f>-H741*G741</f>
        <v>-628050</v>
      </c>
      <c r="J741" s="17">
        <v>0</v>
      </c>
      <c r="K741" s="34">
        <v>4502301554</v>
      </c>
      <c r="L741" s="19">
        <v>5081262764</v>
      </c>
      <c r="M741" s="20">
        <v>5113222472</v>
      </c>
      <c r="N741" s="23"/>
      <c r="O741" s="9"/>
      <c r="P741" s="23"/>
      <c r="Q741" s="24" t="s">
        <v>31</v>
      </c>
      <c r="R741" s="25">
        <v>44652</v>
      </c>
      <c r="S741" s="28"/>
      <c r="T741" s="35"/>
      <c r="U741" s="35"/>
      <c r="V741" s="29"/>
      <c r="W741" s="35"/>
      <c r="X741" s="29"/>
      <c r="Y741" s="36"/>
      <c r="Z741" s="29"/>
      <c r="AA741" s="31">
        <f t="shared" si="1"/>
        <v>44652</v>
      </c>
      <c r="AB741" s="32" t="str">
        <f t="shared" si="5"/>
        <v>abril</v>
      </c>
    </row>
    <row r="742" spans="1:28" ht="12.75">
      <c r="A742" s="9" t="s">
        <v>116</v>
      </c>
      <c r="B742" s="10">
        <v>44651</v>
      </c>
      <c r="C742" s="11"/>
      <c r="D742" s="42">
        <v>14</v>
      </c>
      <c r="E742" s="13" t="s">
        <v>1035</v>
      </c>
      <c r="F742" s="13">
        <v>3025461</v>
      </c>
      <c r="G742" s="14">
        <v>73432</v>
      </c>
      <c r="H742" s="57">
        <v>8815</v>
      </c>
      <c r="I742" s="16">
        <f t="shared" ref="I742:I753" si="115">H742*G742</f>
        <v>647303080</v>
      </c>
      <c r="J742" s="17">
        <v>140</v>
      </c>
      <c r="K742" s="34">
        <v>4502304143</v>
      </c>
      <c r="L742" s="19">
        <v>5081275498</v>
      </c>
      <c r="M742" s="20">
        <v>5113220318</v>
      </c>
      <c r="N742" s="23" t="s">
        <v>37</v>
      </c>
      <c r="O742" s="22" t="s">
        <v>1036</v>
      </c>
      <c r="P742" s="23"/>
      <c r="Q742" s="24" t="s">
        <v>522</v>
      </c>
      <c r="R742" s="25">
        <v>44652</v>
      </c>
      <c r="S742" s="34">
        <v>4502304143</v>
      </c>
      <c r="T742" s="27">
        <v>9980000</v>
      </c>
      <c r="U742" s="28" t="s">
        <v>1037</v>
      </c>
      <c r="V742" s="29">
        <v>5113215345</v>
      </c>
      <c r="W742" s="28" t="s">
        <v>1038</v>
      </c>
      <c r="X742" s="29">
        <v>5113219081</v>
      </c>
      <c r="Y742" s="29" t="s">
        <v>1039</v>
      </c>
      <c r="Z742" s="29">
        <v>5113219045</v>
      </c>
      <c r="AA742" s="31">
        <f t="shared" si="1"/>
        <v>44652</v>
      </c>
      <c r="AB742" s="32" t="str">
        <f t="shared" si="5"/>
        <v>abril</v>
      </c>
    </row>
    <row r="743" spans="1:28" ht="12.75">
      <c r="A743" s="9" t="s">
        <v>58</v>
      </c>
      <c r="B743" s="10">
        <v>44655</v>
      </c>
      <c r="C743" s="11">
        <v>44655</v>
      </c>
      <c r="D743" s="42">
        <v>14</v>
      </c>
      <c r="E743" s="13" t="s">
        <v>1040</v>
      </c>
      <c r="F743" s="13">
        <v>3025461</v>
      </c>
      <c r="G743" s="14">
        <v>29110</v>
      </c>
      <c r="H743" s="57">
        <v>8750</v>
      </c>
      <c r="I743" s="16">
        <f t="shared" si="115"/>
        <v>254712500</v>
      </c>
      <c r="J743" s="17">
        <v>56</v>
      </c>
      <c r="K743" s="34">
        <v>4502304413</v>
      </c>
      <c r="L743" s="19">
        <v>5081275052</v>
      </c>
      <c r="M743" s="20">
        <v>5113218957</v>
      </c>
      <c r="N743" s="44"/>
      <c r="O743" s="23" t="s">
        <v>37</v>
      </c>
      <c r="P743" s="23" t="s">
        <v>1024</v>
      </c>
      <c r="Q743" s="24" t="s">
        <v>522</v>
      </c>
      <c r="R743" s="25">
        <v>44652</v>
      </c>
      <c r="S743" s="28"/>
      <c r="T743" s="35"/>
      <c r="U743" s="35"/>
      <c r="V743" s="29"/>
      <c r="W743" s="35"/>
      <c r="X743" s="29"/>
      <c r="Y743" s="36"/>
      <c r="Z743" s="29"/>
      <c r="AA743" s="31">
        <f t="shared" si="1"/>
        <v>44652</v>
      </c>
      <c r="AB743" s="32" t="str">
        <f t="shared" si="5"/>
        <v>abril</v>
      </c>
    </row>
    <row r="744" spans="1:28" ht="12.75">
      <c r="A744" s="9" t="s">
        <v>416</v>
      </c>
      <c r="B744" s="10">
        <v>44652</v>
      </c>
      <c r="C744" s="11"/>
      <c r="D744" s="42">
        <v>14</v>
      </c>
      <c r="E744" s="13" t="s">
        <v>1041</v>
      </c>
      <c r="F744" s="13">
        <v>3025461</v>
      </c>
      <c r="G744" s="14">
        <v>21270</v>
      </c>
      <c r="H744" s="57">
        <v>8650</v>
      </c>
      <c r="I744" s="16">
        <f t="shared" si="115"/>
        <v>183985500</v>
      </c>
      <c r="J744" s="17">
        <v>42</v>
      </c>
      <c r="K744" s="34">
        <v>4502304376</v>
      </c>
      <c r="L744" s="19">
        <v>5081274972</v>
      </c>
      <c r="M744" s="20">
        <v>5113226608</v>
      </c>
      <c r="N744" s="44"/>
      <c r="O744" s="23" t="s">
        <v>37</v>
      </c>
      <c r="P744" s="23"/>
      <c r="Q744" s="24" t="s">
        <v>522</v>
      </c>
      <c r="R744" s="25">
        <v>44652</v>
      </c>
      <c r="S744" s="28"/>
      <c r="T744" s="35"/>
      <c r="U744" s="35"/>
      <c r="V744" s="29"/>
      <c r="W744" s="35"/>
      <c r="X744" s="29"/>
      <c r="Y744" s="36"/>
      <c r="Z744" s="29"/>
      <c r="AA744" s="31">
        <f t="shared" si="1"/>
        <v>44652</v>
      </c>
      <c r="AB744" s="32" t="str">
        <f t="shared" si="5"/>
        <v>abril</v>
      </c>
    </row>
    <row r="745" spans="1:28" ht="12.75">
      <c r="A745" s="9" t="s">
        <v>58</v>
      </c>
      <c r="B745" s="10">
        <v>44656</v>
      </c>
      <c r="C745" s="11">
        <v>44656</v>
      </c>
      <c r="D745" s="42">
        <v>14</v>
      </c>
      <c r="E745" s="13" t="s">
        <v>1042</v>
      </c>
      <c r="F745" s="13">
        <v>3025457</v>
      </c>
      <c r="G745" s="37">
        <v>47100.5</v>
      </c>
      <c r="H745" s="33">
        <v>8500</v>
      </c>
      <c r="I745" s="16">
        <f t="shared" si="115"/>
        <v>400354250</v>
      </c>
      <c r="J745" s="17">
        <v>105</v>
      </c>
      <c r="K745" s="34">
        <v>4502301555</v>
      </c>
      <c r="L745" s="19">
        <v>5081262801</v>
      </c>
      <c r="M745" s="20">
        <v>5113218958</v>
      </c>
      <c r="N745" s="23"/>
      <c r="O745" s="23" t="s">
        <v>37</v>
      </c>
      <c r="P745" s="23" t="s">
        <v>1024</v>
      </c>
      <c r="Q745" s="24" t="s">
        <v>31</v>
      </c>
      <c r="R745" s="25">
        <v>44653</v>
      </c>
      <c r="S745" s="28"/>
      <c r="T745" s="35"/>
      <c r="U745" s="35"/>
      <c r="V745" s="29"/>
      <c r="W745" s="35"/>
      <c r="X745" s="29"/>
      <c r="Y745" s="36"/>
      <c r="Z745" s="29"/>
      <c r="AA745" s="31">
        <f t="shared" si="1"/>
        <v>44653</v>
      </c>
      <c r="AB745" s="32" t="str">
        <f t="shared" si="5"/>
        <v>abril</v>
      </c>
    </row>
    <row r="746" spans="1:28" ht="12.75">
      <c r="A746" s="9" t="s">
        <v>58</v>
      </c>
      <c r="B746" s="10">
        <v>44656</v>
      </c>
      <c r="C746" s="11">
        <v>44656</v>
      </c>
      <c r="D746" s="42">
        <v>14</v>
      </c>
      <c r="E746" s="13" t="s">
        <v>1043</v>
      </c>
      <c r="F746" s="13">
        <v>3025457</v>
      </c>
      <c r="G746" s="37">
        <v>47100.5</v>
      </c>
      <c r="H746" s="33">
        <v>42.27</v>
      </c>
      <c r="I746" s="16">
        <f t="shared" si="115"/>
        <v>1990938.1350000002</v>
      </c>
      <c r="J746" s="17">
        <v>0</v>
      </c>
      <c r="K746" s="34">
        <v>4502301555</v>
      </c>
      <c r="L746" s="19">
        <v>5081262801</v>
      </c>
      <c r="M746" s="20">
        <v>5113218959</v>
      </c>
      <c r="N746" s="23"/>
      <c r="O746" s="9"/>
      <c r="P746" s="23"/>
      <c r="Q746" s="24" t="s">
        <v>31</v>
      </c>
      <c r="R746" s="25">
        <v>44653</v>
      </c>
      <c r="S746" s="28"/>
      <c r="T746" s="35"/>
      <c r="U746" s="35"/>
      <c r="V746" s="29"/>
      <c r="W746" s="35"/>
      <c r="X746" s="29"/>
      <c r="Y746" s="36"/>
      <c r="Z746" s="29"/>
      <c r="AA746" s="31">
        <f t="shared" si="1"/>
        <v>44653</v>
      </c>
      <c r="AB746" s="32" t="str">
        <f t="shared" si="5"/>
        <v>abril</v>
      </c>
    </row>
    <row r="747" spans="1:28" ht="12.75">
      <c r="A747" s="9" t="s">
        <v>58</v>
      </c>
      <c r="B747" s="10">
        <v>44656</v>
      </c>
      <c r="C747" s="11">
        <v>44656</v>
      </c>
      <c r="D747" s="42">
        <v>14</v>
      </c>
      <c r="E747" s="13" t="s">
        <v>1044</v>
      </c>
      <c r="F747" s="13">
        <v>3025457</v>
      </c>
      <c r="G747" s="14">
        <v>6841</v>
      </c>
      <c r="H747" s="33">
        <v>8500</v>
      </c>
      <c r="I747" s="16">
        <f t="shared" si="115"/>
        <v>58148500</v>
      </c>
      <c r="J747" s="17">
        <v>15</v>
      </c>
      <c r="K747" s="34">
        <v>4502301555</v>
      </c>
      <c r="L747" s="19">
        <v>5081262801</v>
      </c>
      <c r="M747" s="20">
        <v>5113218960</v>
      </c>
      <c r="N747" s="23"/>
      <c r="O747" s="23" t="s">
        <v>37</v>
      </c>
      <c r="P747" s="23" t="s">
        <v>1024</v>
      </c>
      <c r="Q747" s="24" t="s">
        <v>31</v>
      </c>
      <c r="R747" s="25">
        <v>44653</v>
      </c>
      <c r="S747" s="28"/>
      <c r="T747" s="35"/>
      <c r="U747" s="35"/>
      <c r="V747" s="29"/>
      <c r="W747" s="35"/>
      <c r="X747" s="29"/>
      <c r="Y747" s="36"/>
      <c r="Z747" s="29"/>
      <c r="AA747" s="31">
        <f t="shared" si="1"/>
        <v>44653</v>
      </c>
      <c r="AB747" s="32" t="str">
        <f t="shared" si="5"/>
        <v>abril</v>
      </c>
    </row>
    <row r="748" spans="1:28" ht="12.75">
      <c r="A748" s="9" t="s">
        <v>94</v>
      </c>
      <c r="B748" s="10">
        <v>44656</v>
      </c>
      <c r="C748" s="11">
        <v>44656</v>
      </c>
      <c r="D748" s="42">
        <v>14</v>
      </c>
      <c r="E748" s="13" t="s">
        <v>1045</v>
      </c>
      <c r="F748" s="13">
        <v>3025459</v>
      </c>
      <c r="G748" s="14">
        <v>12352</v>
      </c>
      <c r="H748" s="15">
        <v>7750</v>
      </c>
      <c r="I748" s="16">
        <f t="shared" si="115"/>
        <v>95728000</v>
      </c>
      <c r="J748" s="17">
        <v>28</v>
      </c>
      <c r="K748" s="34">
        <v>4502303848</v>
      </c>
      <c r="L748" s="19">
        <v>5081262660</v>
      </c>
      <c r="M748" s="20">
        <v>5113216446</v>
      </c>
      <c r="N748" s="23"/>
      <c r="O748" s="22" t="s">
        <v>1046</v>
      </c>
      <c r="P748" s="93" t="s">
        <v>1047</v>
      </c>
      <c r="Q748" s="24" t="s">
        <v>31</v>
      </c>
      <c r="R748" s="25">
        <v>44653</v>
      </c>
      <c r="S748" s="28">
        <v>4902242368</v>
      </c>
      <c r="T748" s="35">
        <f>1623900*2</f>
        <v>3247800</v>
      </c>
      <c r="U748" s="28" t="s">
        <v>1048</v>
      </c>
      <c r="V748" s="29">
        <v>5113219042</v>
      </c>
      <c r="W748" s="35"/>
      <c r="X748" s="29"/>
      <c r="Y748" s="36"/>
      <c r="Z748" s="29"/>
      <c r="AA748" s="31">
        <f t="shared" si="1"/>
        <v>44653</v>
      </c>
      <c r="AB748" s="32" t="str">
        <f t="shared" si="5"/>
        <v>abril</v>
      </c>
    </row>
    <row r="749" spans="1:28" ht="12.75">
      <c r="A749" s="9" t="s">
        <v>87</v>
      </c>
      <c r="B749" s="10">
        <v>44655</v>
      </c>
      <c r="C749" s="11"/>
      <c r="D749" s="42">
        <v>14</v>
      </c>
      <c r="E749" s="13" t="s">
        <v>1049</v>
      </c>
      <c r="F749" s="13">
        <v>3025459</v>
      </c>
      <c r="G749" s="14">
        <v>13408</v>
      </c>
      <c r="H749" s="15">
        <v>7900</v>
      </c>
      <c r="I749" s="16">
        <f t="shared" si="115"/>
        <v>105923200</v>
      </c>
      <c r="J749" s="17">
        <v>28</v>
      </c>
      <c r="K749" s="34">
        <v>4502303850</v>
      </c>
      <c r="L749" s="19">
        <v>5081262661</v>
      </c>
      <c r="M749" s="20">
        <v>5113218498</v>
      </c>
      <c r="N749" s="23" t="s">
        <v>63</v>
      </c>
      <c r="O749" s="88" t="s">
        <v>1050</v>
      </c>
      <c r="P749" s="23"/>
      <c r="Q749" s="24" t="s">
        <v>31</v>
      </c>
      <c r="R749" s="25">
        <v>44653</v>
      </c>
      <c r="S749" s="28">
        <v>4902242372</v>
      </c>
      <c r="T749" s="35">
        <f>1638223*2</f>
        <v>3276446</v>
      </c>
      <c r="U749" s="28" t="s">
        <v>1051</v>
      </c>
      <c r="V749" s="29">
        <v>5113218606</v>
      </c>
      <c r="W749" s="35"/>
      <c r="X749" s="29"/>
      <c r="Y749" s="36"/>
      <c r="Z749" s="29"/>
      <c r="AA749" s="31">
        <f t="shared" si="1"/>
        <v>44653</v>
      </c>
      <c r="AB749" s="32" t="str">
        <f t="shared" si="5"/>
        <v>abril</v>
      </c>
    </row>
    <row r="750" spans="1:28" ht="12.75">
      <c r="A750" s="9" t="s">
        <v>819</v>
      </c>
      <c r="B750" s="10">
        <v>44654</v>
      </c>
      <c r="C750" s="11"/>
      <c r="D750" s="42">
        <v>14</v>
      </c>
      <c r="E750" s="13">
        <v>5986</v>
      </c>
      <c r="F750" s="13">
        <v>3025457</v>
      </c>
      <c r="G750" s="14">
        <v>18653</v>
      </c>
      <c r="H750" s="33">
        <v>8400</v>
      </c>
      <c r="I750" s="16">
        <f t="shared" si="115"/>
        <v>156685200</v>
      </c>
      <c r="J750" s="17">
        <v>43</v>
      </c>
      <c r="K750" s="34">
        <v>4502301556</v>
      </c>
      <c r="L750" s="19">
        <v>5081275280</v>
      </c>
      <c r="M750" s="20">
        <v>5113218961</v>
      </c>
      <c r="N750" s="23"/>
      <c r="O750" s="23" t="s">
        <v>37</v>
      </c>
      <c r="P750" s="23"/>
      <c r="Q750" s="24" t="s">
        <v>31</v>
      </c>
      <c r="R750" s="25">
        <v>44654</v>
      </c>
      <c r="S750" s="28"/>
      <c r="T750" s="35"/>
      <c r="U750" s="35"/>
      <c r="V750" s="29"/>
      <c r="W750" s="35"/>
      <c r="X750" s="29"/>
      <c r="Y750" s="36"/>
      <c r="Z750" s="29"/>
      <c r="AA750" s="31">
        <f t="shared" si="1"/>
        <v>44654</v>
      </c>
      <c r="AB750" s="32" t="str">
        <f t="shared" si="5"/>
        <v>abril</v>
      </c>
    </row>
    <row r="751" spans="1:28" ht="12.75">
      <c r="A751" s="9" t="s">
        <v>819</v>
      </c>
      <c r="B751" s="10">
        <v>44654</v>
      </c>
      <c r="C751" s="11"/>
      <c r="D751" s="42">
        <v>14</v>
      </c>
      <c r="E751" s="13">
        <v>5986</v>
      </c>
      <c r="F751" s="13">
        <v>3025459</v>
      </c>
      <c r="G751" s="37">
        <v>21339.5</v>
      </c>
      <c r="H751" s="33">
        <v>8400</v>
      </c>
      <c r="I751" s="16">
        <f t="shared" si="115"/>
        <v>179251800</v>
      </c>
      <c r="J751" s="17">
        <v>42</v>
      </c>
      <c r="K751" s="34">
        <v>4502303527</v>
      </c>
      <c r="L751" s="19">
        <v>5081275280</v>
      </c>
      <c r="M751" s="20">
        <v>5113218961</v>
      </c>
      <c r="N751" s="23"/>
      <c r="O751" s="23" t="s">
        <v>37</v>
      </c>
      <c r="P751" s="23"/>
      <c r="Q751" s="24" t="s">
        <v>31</v>
      </c>
      <c r="R751" s="25">
        <v>44654</v>
      </c>
      <c r="S751" s="28"/>
      <c r="T751" s="35"/>
      <c r="U751" s="35"/>
      <c r="V751" s="29"/>
      <c r="W751" s="35"/>
      <c r="X751" s="29"/>
      <c r="Y751" s="36"/>
      <c r="Z751" s="29"/>
      <c r="AA751" s="31">
        <f t="shared" si="1"/>
        <v>44654</v>
      </c>
      <c r="AB751" s="32" t="str">
        <f t="shared" si="5"/>
        <v>abril</v>
      </c>
    </row>
    <row r="752" spans="1:28" ht="12.75">
      <c r="A752" s="9" t="s">
        <v>819</v>
      </c>
      <c r="B752" s="10">
        <v>44654</v>
      </c>
      <c r="C752" s="11"/>
      <c r="D752" s="42">
        <v>14</v>
      </c>
      <c r="E752" s="13">
        <v>5987</v>
      </c>
      <c r="F752" s="13">
        <v>3025459</v>
      </c>
      <c r="G752" s="14">
        <v>39992.5</v>
      </c>
      <c r="H752" s="33">
        <v>47.5</v>
      </c>
      <c r="I752" s="16">
        <f t="shared" si="115"/>
        <v>1899643.75</v>
      </c>
      <c r="J752" s="17">
        <v>0</v>
      </c>
      <c r="K752" s="34">
        <v>4502303527</v>
      </c>
      <c r="L752" s="19">
        <v>5081275280</v>
      </c>
      <c r="M752" s="20">
        <v>5113218962</v>
      </c>
      <c r="N752" s="23"/>
      <c r="O752" s="9"/>
      <c r="P752" s="23"/>
      <c r="Q752" s="24" t="s">
        <v>31</v>
      </c>
      <c r="R752" s="25">
        <v>44654</v>
      </c>
      <c r="S752" s="28"/>
      <c r="T752" s="35"/>
      <c r="U752" s="35"/>
      <c r="V752" s="29"/>
      <c r="W752" s="35"/>
      <c r="X752" s="29"/>
      <c r="Y752" s="36"/>
      <c r="Z752" s="29"/>
      <c r="AA752" s="31">
        <f t="shared" si="1"/>
        <v>44654</v>
      </c>
      <c r="AB752" s="32" t="str">
        <f t="shared" si="5"/>
        <v>abril</v>
      </c>
    </row>
    <row r="753" spans="1:28" ht="12.75">
      <c r="A753" s="9" t="s">
        <v>348</v>
      </c>
      <c r="B753" s="10">
        <v>44657</v>
      </c>
      <c r="C753" s="11">
        <v>44657</v>
      </c>
      <c r="D753" s="42">
        <v>14</v>
      </c>
      <c r="E753" s="13" t="s">
        <v>1052</v>
      </c>
      <c r="F753" s="13">
        <v>3025460</v>
      </c>
      <c r="G753" s="14">
        <v>18787</v>
      </c>
      <c r="H753" s="33">
        <v>7900</v>
      </c>
      <c r="I753" s="16">
        <f t="shared" si="115"/>
        <v>148417300</v>
      </c>
      <c r="J753" s="17">
        <v>45</v>
      </c>
      <c r="K753" s="34">
        <v>4502301557</v>
      </c>
      <c r="L753" s="19">
        <v>5081275278</v>
      </c>
      <c r="M753" s="20">
        <v>5113222483</v>
      </c>
      <c r="N753" s="23"/>
      <c r="O753" s="9" t="s">
        <v>63</v>
      </c>
      <c r="P753" s="23" t="s">
        <v>1053</v>
      </c>
      <c r="Q753" s="24" t="s">
        <v>31</v>
      </c>
      <c r="R753" s="25">
        <v>44654</v>
      </c>
      <c r="S753" s="28"/>
      <c r="T753" s="35"/>
      <c r="U753" s="35"/>
      <c r="V753" s="29"/>
      <c r="W753" s="35"/>
      <c r="X753" s="29"/>
      <c r="Y753" s="36"/>
      <c r="Z753" s="29"/>
      <c r="AA753" s="31">
        <f t="shared" si="1"/>
        <v>44654</v>
      </c>
      <c r="AB753" s="32" t="str">
        <f t="shared" si="5"/>
        <v>abril</v>
      </c>
    </row>
    <row r="754" spans="1:28" ht="12.75">
      <c r="A754" s="9" t="s">
        <v>348</v>
      </c>
      <c r="B754" s="10">
        <v>44657</v>
      </c>
      <c r="C754" s="11">
        <v>44657</v>
      </c>
      <c r="D754" s="42">
        <v>14</v>
      </c>
      <c r="E754" s="13" t="s">
        <v>1054</v>
      </c>
      <c r="F754" s="13">
        <v>3025460</v>
      </c>
      <c r="G754" s="14">
        <v>18787</v>
      </c>
      <c r="H754" s="33">
        <f>7900-7888.19</f>
        <v>11.8100000000004</v>
      </c>
      <c r="I754" s="16">
        <f>-H754*G754</f>
        <v>-221874.47000000751</v>
      </c>
      <c r="J754" s="17">
        <v>0</v>
      </c>
      <c r="K754" s="34">
        <v>4502301557</v>
      </c>
      <c r="L754" s="19">
        <v>5081275278</v>
      </c>
      <c r="M754" s="20">
        <v>5113222484</v>
      </c>
      <c r="N754" s="23"/>
      <c r="O754" s="9"/>
      <c r="P754" s="23"/>
      <c r="Q754" s="24" t="s">
        <v>31</v>
      </c>
      <c r="R754" s="25">
        <v>44654</v>
      </c>
      <c r="S754" s="28"/>
      <c r="T754" s="35"/>
      <c r="U754" s="35"/>
      <c r="V754" s="29"/>
      <c r="W754" s="35"/>
      <c r="X754" s="29"/>
      <c r="Y754" s="36"/>
      <c r="Z754" s="29"/>
      <c r="AA754" s="31">
        <f t="shared" si="1"/>
        <v>44654</v>
      </c>
      <c r="AB754" s="32" t="str">
        <f t="shared" si="5"/>
        <v>abril</v>
      </c>
    </row>
    <row r="755" spans="1:28" ht="12.75">
      <c r="A755" s="9" t="s">
        <v>404</v>
      </c>
      <c r="B755" s="10">
        <v>44654</v>
      </c>
      <c r="C755" s="11">
        <v>44656</v>
      </c>
      <c r="D755" s="42">
        <v>14</v>
      </c>
      <c r="E755" s="13" t="s">
        <v>1055</v>
      </c>
      <c r="F755" s="13">
        <v>3025459</v>
      </c>
      <c r="G755" s="14">
        <v>20144</v>
      </c>
      <c r="H755" s="33">
        <v>8550</v>
      </c>
      <c r="I755" s="16">
        <f>H755*G755</f>
        <v>172231200</v>
      </c>
      <c r="J755" s="17">
        <v>43</v>
      </c>
      <c r="K755" s="34">
        <v>4502301558</v>
      </c>
      <c r="L755" s="19">
        <v>5081276206</v>
      </c>
      <c r="M755" s="20">
        <v>5113218159</v>
      </c>
      <c r="N755" s="44"/>
      <c r="O755" s="9" t="s">
        <v>37</v>
      </c>
      <c r="P755" s="23"/>
      <c r="Q755" s="24" t="s">
        <v>31</v>
      </c>
      <c r="R755" s="25">
        <v>44654</v>
      </c>
      <c r="S755" s="28"/>
      <c r="T755" s="94"/>
      <c r="U755" s="35"/>
      <c r="V755" s="29"/>
      <c r="W755" s="35"/>
      <c r="X755" s="29"/>
      <c r="Y755" s="36"/>
      <c r="Z755" s="29"/>
      <c r="AA755" s="31">
        <f t="shared" si="1"/>
        <v>44654</v>
      </c>
      <c r="AB755" s="32" t="str">
        <f t="shared" si="5"/>
        <v>abril</v>
      </c>
    </row>
    <row r="756" spans="1:28" ht="12.75">
      <c r="A756" s="9" t="s">
        <v>404</v>
      </c>
      <c r="B756" s="10">
        <v>44656</v>
      </c>
      <c r="C756" s="11">
        <v>44656</v>
      </c>
      <c r="D756" s="42">
        <v>14</v>
      </c>
      <c r="E756" s="13" t="s">
        <v>575</v>
      </c>
      <c r="F756" s="13">
        <v>3025459</v>
      </c>
      <c r="G756" s="14">
        <v>20144</v>
      </c>
      <c r="H756" s="33">
        <f>8550-8505.56</f>
        <v>44.440000000000509</v>
      </c>
      <c r="I756" s="16">
        <f>-H756*G756</f>
        <v>-895199.36000001023</v>
      </c>
      <c r="J756" s="17">
        <v>0</v>
      </c>
      <c r="K756" s="34">
        <v>4502301558</v>
      </c>
      <c r="L756" s="19">
        <v>5081276206</v>
      </c>
      <c r="M756" s="20">
        <v>5113218163</v>
      </c>
      <c r="N756" s="23"/>
      <c r="O756" s="9"/>
      <c r="P756" s="23"/>
      <c r="Q756" s="24" t="s">
        <v>31</v>
      </c>
      <c r="R756" s="25">
        <v>44654</v>
      </c>
      <c r="S756" s="28"/>
      <c r="T756" s="35"/>
      <c r="U756" s="35"/>
      <c r="V756" s="29"/>
      <c r="W756" s="35"/>
      <c r="X756" s="29"/>
      <c r="Y756" s="36"/>
      <c r="Z756" s="29"/>
      <c r="AA756" s="31">
        <f t="shared" si="1"/>
        <v>44654</v>
      </c>
      <c r="AB756" s="32" t="str">
        <f t="shared" si="5"/>
        <v>abril</v>
      </c>
    </row>
    <row r="757" spans="1:28" ht="12.75">
      <c r="A757" s="9" t="s">
        <v>80</v>
      </c>
      <c r="B757" s="10">
        <v>44654</v>
      </c>
      <c r="C757" s="11">
        <v>44656</v>
      </c>
      <c r="D757" s="42">
        <v>14</v>
      </c>
      <c r="E757" s="13" t="s">
        <v>1056</v>
      </c>
      <c r="F757" s="13">
        <v>3025459</v>
      </c>
      <c r="G757" s="14">
        <v>20295</v>
      </c>
      <c r="H757" s="15">
        <v>7750</v>
      </c>
      <c r="I757" s="16">
        <f t="shared" ref="I757:I778" si="116">H757*G757</f>
        <v>157286250</v>
      </c>
      <c r="J757" s="17">
        <v>42</v>
      </c>
      <c r="K757" s="34">
        <v>4502303851</v>
      </c>
      <c r="L757" s="19">
        <v>5081262662</v>
      </c>
      <c r="M757" s="20">
        <v>5113218471</v>
      </c>
      <c r="N757" s="23" t="s">
        <v>37</v>
      </c>
      <c r="O757" s="22" t="s">
        <v>1057</v>
      </c>
      <c r="P757" s="23"/>
      <c r="Q757" s="24" t="s">
        <v>31</v>
      </c>
      <c r="R757" s="25">
        <v>44654</v>
      </c>
      <c r="S757" s="28">
        <v>4902242374</v>
      </c>
      <c r="T757" s="28">
        <v>4792500</v>
      </c>
      <c r="U757" s="28" t="s">
        <v>1058</v>
      </c>
      <c r="V757" s="29">
        <v>5113220322</v>
      </c>
      <c r="W757" s="35"/>
      <c r="X757" s="29"/>
      <c r="Y757" s="36"/>
      <c r="Z757" s="29"/>
      <c r="AA757" s="31">
        <f t="shared" si="1"/>
        <v>44654</v>
      </c>
      <c r="AB757" s="32" t="str">
        <f t="shared" si="5"/>
        <v>abril</v>
      </c>
    </row>
    <row r="758" spans="1:28" ht="12.75">
      <c r="A758" s="9" t="s">
        <v>819</v>
      </c>
      <c r="B758" s="10">
        <v>44655</v>
      </c>
      <c r="C758" s="11"/>
      <c r="D758" s="42">
        <v>14</v>
      </c>
      <c r="E758" s="13">
        <v>5988</v>
      </c>
      <c r="F758" s="13">
        <v>3025459</v>
      </c>
      <c r="G758" s="37">
        <v>13537.5</v>
      </c>
      <c r="H758" s="33">
        <v>8400</v>
      </c>
      <c r="I758" s="16">
        <f t="shared" si="116"/>
        <v>113715000</v>
      </c>
      <c r="J758" s="17">
        <v>28</v>
      </c>
      <c r="K758" s="34">
        <v>4502304717</v>
      </c>
      <c r="L758" s="19">
        <v>5081304312</v>
      </c>
      <c r="M758" s="20">
        <v>5113225322</v>
      </c>
      <c r="N758" s="23"/>
      <c r="O758" s="9" t="s">
        <v>37</v>
      </c>
      <c r="P758" s="23"/>
      <c r="Q758" s="24" t="s">
        <v>31</v>
      </c>
      <c r="R758" s="25">
        <v>44655</v>
      </c>
      <c r="S758" s="28"/>
      <c r="T758" s="35"/>
      <c r="U758" s="35"/>
      <c r="V758" s="29"/>
      <c r="W758" s="35"/>
      <c r="X758" s="29"/>
      <c r="Y758" s="36"/>
      <c r="Z758" s="29"/>
      <c r="AA758" s="31">
        <f t="shared" si="1"/>
        <v>44655</v>
      </c>
      <c r="AB758" s="32" t="str">
        <f t="shared" si="5"/>
        <v>abril</v>
      </c>
    </row>
    <row r="759" spans="1:28" ht="12.75">
      <c r="A759" s="9" t="s">
        <v>819</v>
      </c>
      <c r="B759" s="10">
        <v>44655</v>
      </c>
      <c r="C759" s="11"/>
      <c r="D759" s="42">
        <v>14</v>
      </c>
      <c r="E759" s="13">
        <v>5989</v>
      </c>
      <c r="F759" s="13">
        <v>3025459</v>
      </c>
      <c r="G759" s="37">
        <v>13537.5</v>
      </c>
      <c r="H759" s="33">
        <v>100</v>
      </c>
      <c r="I759" s="16">
        <f t="shared" si="116"/>
        <v>1353750</v>
      </c>
      <c r="J759" s="17">
        <v>0</v>
      </c>
      <c r="K759" s="34">
        <v>4502304717</v>
      </c>
      <c r="L759" s="19">
        <v>5081304312</v>
      </c>
      <c r="M759" s="20">
        <v>5113225323</v>
      </c>
      <c r="N759" s="23"/>
      <c r="O759" s="9"/>
      <c r="P759" s="23"/>
      <c r="Q759" s="24" t="s">
        <v>31</v>
      </c>
      <c r="R759" s="25">
        <v>44655</v>
      </c>
      <c r="S759" s="28"/>
      <c r="T759" s="35"/>
      <c r="U759" s="35"/>
      <c r="V759" s="29"/>
      <c r="W759" s="35"/>
      <c r="X759" s="29"/>
      <c r="Y759" s="36"/>
      <c r="Z759" s="29"/>
      <c r="AA759" s="31">
        <f t="shared" si="1"/>
        <v>44655</v>
      </c>
      <c r="AB759" s="32" t="str">
        <f t="shared" si="5"/>
        <v>abril</v>
      </c>
    </row>
    <row r="760" spans="1:28" ht="12.75">
      <c r="A760" s="9" t="s">
        <v>28</v>
      </c>
      <c r="B760" s="10">
        <v>44656</v>
      </c>
      <c r="C760" s="11">
        <v>44656</v>
      </c>
      <c r="D760" s="42">
        <v>14</v>
      </c>
      <c r="E760" s="13" t="s">
        <v>1059</v>
      </c>
      <c r="F760" s="13">
        <v>3025460</v>
      </c>
      <c r="G760" s="14">
        <v>40468</v>
      </c>
      <c r="H760" s="15">
        <v>7600</v>
      </c>
      <c r="I760" s="16">
        <f t="shared" si="116"/>
        <v>307556800</v>
      </c>
      <c r="J760" s="17">
        <v>84</v>
      </c>
      <c r="K760" s="34">
        <v>4502304848</v>
      </c>
      <c r="L760" s="19">
        <v>5081287013</v>
      </c>
      <c r="M760" s="20">
        <v>5113218887</v>
      </c>
      <c r="N760" s="23" t="s">
        <v>37</v>
      </c>
      <c r="O760" s="22" t="s">
        <v>1060</v>
      </c>
      <c r="P760" s="23" t="s">
        <v>1061</v>
      </c>
      <c r="Q760" s="24" t="s">
        <v>31</v>
      </c>
      <c r="R760" s="25">
        <v>44655</v>
      </c>
      <c r="S760" s="28">
        <v>4902242377</v>
      </c>
      <c r="T760" s="27">
        <f>3062400*6</f>
        <v>18374400</v>
      </c>
      <c r="U760" s="28" t="s">
        <v>1062</v>
      </c>
      <c r="V760" s="29">
        <v>5113218660</v>
      </c>
      <c r="W760" s="35"/>
      <c r="X760" s="29"/>
      <c r="Y760" s="36"/>
      <c r="Z760" s="29"/>
      <c r="AA760" s="31">
        <f t="shared" si="1"/>
        <v>44655</v>
      </c>
      <c r="AB760" s="32" t="str">
        <f t="shared" si="5"/>
        <v>abril</v>
      </c>
    </row>
    <row r="761" spans="1:28" ht="12.75">
      <c r="A761" s="9" t="s">
        <v>276</v>
      </c>
      <c r="B761" s="10">
        <v>44657</v>
      </c>
      <c r="C761" s="11"/>
      <c r="D761" s="42">
        <v>14</v>
      </c>
      <c r="E761" s="13" t="s">
        <v>1063</v>
      </c>
      <c r="F761" s="13">
        <v>3025460</v>
      </c>
      <c r="G761" s="14">
        <v>13653</v>
      </c>
      <c r="H761" s="33">
        <v>7800</v>
      </c>
      <c r="I761" s="16">
        <f t="shared" si="116"/>
        <v>106493400</v>
      </c>
      <c r="J761" s="17">
        <v>28</v>
      </c>
      <c r="K761" s="34">
        <v>4502301560</v>
      </c>
      <c r="L761" s="19">
        <v>5081287375</v>
      </c>
      <c r="M761" s="20">
        <v>5113225320</v>
      </c>
      <c r="N761" s="23"/>
      <c r="O761" s="9" t="s">
        <v>63</v>
      </c>
      <c r="P761" s="23"/>
      <c r="Q761" s="24" t="s">
        <v>31</v>
      </c>
      <c r="R761" s="25">
        <v>44655</v>
      </c>
      <c r="S761" s="28"/>
      <c r="T761" s="35"/>
      <c r="U761" s="35"/>
      <c r="V761" s="29"/>
      <c r="W761" s="35"/>
      <c r="X761" s="29"/>
      <c r="Y761" s="36"/>
      <c r="Z761" s="29"/>
      <c r="AA761" s="31">
        <f t="shared" si="1"/>
        <v>44655</v>
      </c>
      <c r="AB761" s="32" t="str">
        <f t="shared" si="5"/>
        <v>abril</v>
      </c>
    </row>
    <row r="762" spans="1:28" ht="12.75">
      <c r="A762" s="9" t="s">
        <v>276</v>
      </c>
      <c r="B762" s="10">
        <v>44657</v>
      </c>
      <c r="C762" s="11"/>
      <c r="D762" s="42">
        <v>14</v>
      </c>
      <c r="E762" s="13" t="s">
        <v>1064</v>
      </c>
      <c r="F762" s="13">
        <v>3025460</v>
      </c>
      <c r="G762" s="14">
        <v>13653</v>
      </c>
      <c r="H762" s="33">
        <v>50</v>
      </c>
      <c r="I762" s="16">
        <f t="shared" si="116"/>
        <v>682650</v>
      </c>
      <c r="J762" s="17">
        <v>0</v>
      </c>
      <c r="K762" s="34">
        <v>4502301560</v>
      </c>
      <c r="L762" s="19">
        <v>5081287375</v>
      </c>
      <c r="M762" s="20">
        <v>5113225321</v>
      </c>
      <c r="N762" s="23"/>
      <c r="O762" s="9"/>
      <c r="P762" s="23"/>
      <c r="Q762" s="24" t="s">
        <v>31</v>
      </c>
      <c r="R762" s="25">
        <v>44655</v>
      </c>
      <c r="S762" s="28"/>
      <c r="T762" s="35"/>
      <c r="U762" s="35"/>
      <c r="V762" s="29"/>
      <c r="W762" s="35"/>
      <c r="X762" s="29"/>
      <c r="Y762" s="36"/>
      <c r="Z762" s="29"/>
      <c r="AA762" s="31">
        <f t="shared" si="1"/>
        <v>44655</v>
      </c>
      <c r="AB762" s="32" t="str">
        <f t="shared" si="5"/>
        <v>abril</v>
      </c>
    </row>
    <row r="763" spans="1:28" ht="12.75">
      <c r="A763" s="9" t="s">
        <v>87</v>
      </c>
      <c r="B763" s="10">
        <v>44655</v>
      </c>
      <c r="C763" s="11"/>
      <c r="D763" s="42">
        <v>14</v>
      </c>
      <c r="E763" s="13" t="s">
        <v>1065</v>
      </c>
      <c r="F763" s="13">
        <v>3025460</v>
      </c>
      <c r="G763" s="14">
        <v>14008</v>
      </c>
      <c r="H763" s="15">
        <v>7900</v>
      </c>
      <c r="I763" s="16">
        <f t="shared" si="116"/>
        <v>110663200</v>
      </c>
      <c r="J763" s="17">
        <v>28</v>
      </c>
      <c r="K763" s="34">
        <v>4502304851</v>
      </c>
      <c r="L763" s="19">
        <v>5081287015</v>
      </c>
      <c r="M763" s="20">
        <v>5113218888</v>
      </c>
      <c r="N763" s="23" t="s">
        <v>63</v>
      </c>
      <c r="O763" s="22" t="s">
        <v>1066</v>
      </c>
      <c r="P763" s="23"/>
      <c r="Q763" s="24" t="s">
        <v>31</v>
      </c>
      <c r="R763" s="25">
        <v>44655</v>
      </c>
      <c r="S763" s="28">
        <v>4902242379</v>
      </c>
      <c r="T763" s="35">
        <f>1638226*2</f>
        <v>3276452</v>
      </c>
      <c r="U763" s="28" t="s">
        <v>1067</v>
      </c>
      <c r="V763" s="29">
        <v>5113218645</v>
      </c>
      <c r="W763" s="35"/>
      <c r="X763" s="29"/>
      <c r="Y763" s="36"/>
      <c r="Z763" s="29"/>
      <c r="AA763" s="31">
        <f t="shared" si="1"/>
        <v>44655</v>
      </c>
      <c r="AB763" s="32" t="str">
        <f t="shared" si="5"/>
        <v>abril</v>
      </c>
    </row>
    <row r="764" spans="1:28" ht="12.75">
      <c r="A764" s="9" t="s">
        <v>404</v>
      </c>
      <c r="B764" s="10">
        <v>44655</v>
      </c>
      <c r="C764" s="11">
        <v>44657</v>
      </c>
      <c r="D764" s="42">
        <v>14</v>
      </c>
      <c r="E764" s="13" t="s">
        <v>1068</v>
      </c>
      <c r="F764" s="13">
        <v>3025459</v>
      </c>
      <c r="G764" s="37">
        <v>13298.5</v>
      </c>
      <c r="H764" s="33">
        <v>8550</v>
      </c>
      <c r="I764" s="16">
        <f t="shared" si="116"/>
        <v>113702175</v>
      </c>
      <c r="J764" s="17">
        <v>28</v>
      </c>
      <c r="K764" s="34">
        <v>4502301561</v>
      </c>
      <c r="L764" s="19">
        <v>5081287376</v>
      </c>
      <c r="M764" s="20">
        <v>5113219987</v>
      </c>
      <c r="N764" s="23"/>
      <c r="O764" s="9" t="s">
        <v>37</v>
      </c>
      <c r="P764" s="23"/>
      <c r="Q764" s="24" t="s">
        <v>31</v>
      </c>
      <c r="R764" s="25">
        <v>44655</v>
      </c>
      <c r="S764" s="28"/>
      <c r="T764" s="35"/>
      <c r="U764" s="35"/>
      <c r="V764" s="29"/>
      <c r="W764" s="35"/>
      <c r="X764" s="29"/>
      <c r="Y764" s="36"/>
      <c r="Z764" s="29"/>
      <c r="AA764" s="31">
        <f t="shared" si="1"/>
        <v>44655</v>
      </c>
      <c r="AB764" s="32" t="str">
        <f t="shared" si="5"/>
        <v>abril</v>
      </c>
    </row>
    <row r="765" spans="1:28" ht="12.75">
      <c r="A765" s="9" t="s">
        <v>80</v>
      </c>
      <c r="B765" s="10">
        <v>44654</v>
      </c>
      <c r="C765" s="11">
        <v>44656</v>
      </c>
      <c r="D765" s="42">
        <v>14</v>
      </c>
      <c r="E765" s="13" t="s">
        <v>1069</v>
      </c>
      <c r="F765" s="13">
        <v>3025459</v>
      </c>
      <c r="G765" s="14">
        <v>19751</v>
      </c>
      <c r="H765" s="15">
        <v>7750</v>
      </c>
      <c r="I765" s="16">
        <f t="shared" si="116"/>
        <v>153070250</v>
      </c>
      <c r="J765" s="17">
        <v>42</v>
      </c>
      <c r="K765" s="34">
        <v>4502304857</v>
      </c>
      <c r="L765" s="19">
        <v>5081287017</v>
      </c>
      <c r="M765" s="20">
        <v>5113218474</v>
      </c>
      <c r="N765" s="23" t="s">
        <v>37</v>
      </c>
      <c r="O765" s="22" t="s">
        <v>272</v>
      </c>
      <c r="P765" s="23" t="s">
        <v>1070</v>
      </c>
      <c r="Q765" s="24" t="s">
        <v>31</v>
      </c>
      <c r="R765" s="25">
        <v>44655</v>
      </c>
      <c r="S765" s="28" t="s">
        <v>1071</v>
      </c>
      <c r="T765" s="35">
        <f>1793900*3</f>
        <v>5381700</v>
      </c>
      <c r="U765" s="28" t="s">
        <v>1072</v>
      </c>
      <c r="V765" s="29">
        <v>5113218538</v>
      </c>
      <c r="W765" s="28" t="s">
        <v>1073</v>
      </c>
      <c r="X765" s="29"/>
      <c r="Y765" s="36"/>
      <c r="Z765" s="29"/>
      <c r="AA765" s="31">
        <f t="shared" si="1"/>
        <v>44655</v>
      </c>
      <c r="AB765" s="32" t="str">
        <f t="shared" si="5"/>
        <v>abril</v>
      </c>
    </row>
    <row r="766" spans="1:28" ht="12.75">
      <c r="A766" s="9" t="s">
        <v>58</v>
      </c>
      <c r="B766" s="10">
        <v>44663</v>
      </c>
      <c r="C766" s="11">
        <v>44663</v>
      </c>
      <c r="D766" s="42">
        <v>14</v>
      </c>
      <c r="E766" s="13" t="s">
        <v>1074</v>
      </c>
      <c r="F766" s="13">
        <v>3025459</v>
      </c>
      <c r="G766" s="14">
        <v>6701</v>
      </c>
      <c r="H766" s="33">
        <v>8500</v>
      </c>
      <c r="I766" s="16">
        <f t="shared" si="116"/>
        <v>56958500</v>
      </c>
      <c r="J766" s="17">
        <v>15</v>
      </c>
      <c r="K766" s="34">
        <v>4502303529</v>
      </c>
      <c r="L766" s="19">
        <v>5081287377</v>
      </c>
      <c r="M766" s="20">
        <v>5113233571</v>
      </c>
      <c r="N766" s="23"/>
      <c r="O766" s="23" t="s">
        <v>37</v>
      </c>
      <c r="P766" s="23" t="s">
        <v>1075</v>
      </c>
      <c r="Q766" s="24" t="s">
        <v>31</v>
      </c>
      <c r="R766" s="25">
        <v>44655</v>
      </c>
      <c r="S766" s="28"/>
      <c r="T766" s="35"/>
      <c r="U766" s="35"/>
      <c r="V766" s="29"/>
      <c r="W766" s="35"/>
      <c r="X766" s="29"/>
      <c r="Y766" s="36"/>
      <c r="Z766" s="29"/>
      <c r="AA766" s="31">
        <f t="shared" si="1"/>
        <v>44655</v>
      </c>
      <c r="AB766" s="32" t="str">
        <f t="shared" si="5"/>
        <v>abril</v>
      </c>
    </row>
    <row r="767" spans="1:28" ht="12.75">
      <c r="A767" s="9" t="s">
        <v>58</v>
      </c>
      <c r="B767" s="10">
        <v>44663</v>
      </c>
      <c r="C767" s="11">
        <v>44663</v>
      </c>
      <c r="D767" s="42">
        <v>14</v>
      </c>
      <c r="E767" s="13" t="s">
        <v>1076</v>
      </c>
      <c r="F767" s="13">
        <v>3025459</v>
      </c>
      <c r="G767" s="14">
        <v>6701</v>
      </c>
      <c r="H767" s="33">
        <v>27</v>
      </c>
      <c r="I767" s="16">
        <f t="shared" si="116"/>
        <v>180927</v>
      </c>
      <c r="J767" s="17">
        <v>0</v>
      </c>
      <c r="K767" s="34">
        <v>4502303529</v>
      </c>
      <c r="L767" s="19">
        <v>5081287377</v>
      </c>
      <c r="M767" s="20">
        <v>5113233572</v>
      </c>
      <c r="N767" s="23"/>
      <c r="O767" s="9"/>
      <c r="P767" s="23"/>
      <c r="Q767" s="24" t="s">
        <v>31</v>
      </c>
      <c r="R767" s="25">
        <v>44655</v>
      </c>
      <c r="S767" s="28"/>
      <c r="T767" s="35"/>
      <c r="U767" s="35"/>
      <c r="V767" s="29"/>
      <c r="W767" s="35"/>
      <c r="X767" s="29"/>
      <c r="Y767" s="36"/>
      <c r="Z767" s="29"/>
      <c r="AA767" s="31">
        <f t="shared" si="1"/>
        <v>44655</v>
      </c>
      <c r="AB767" s="32" t="str">
        <f t="shared" si="5"/>
        <v>abril</v>
      </c>
    </row>
    <row r="768" spans="1:28" ht="12.75">
      <c r="A768" s="22" t="s">
        <v>774</v>
      </c>
      <c r="B768" s="10">
        <v>44663</v>
      </c>
      <c r="C768" s="11">
        <v>44663</v>
      </c>
      <c r="D768" s="42">
        <v>14</v>
      </c>
      <c r="E768" s="13" t="s">
        <v>490</v>
      </c>
      <c r="F768" s="13">
        <v>3025457</v>
      </c>
      <c r="G768" s="14">
        <v>13628</v>
      </c>
      <c r="H768" s="33">
        <v>8100</v>
      </c>
      <c r="I768" s="16">
        <f t="shared" si="116"/>
        <v>110386800</v>
      </c>
      <c r="J768" s="17">
        <v>30</v>
      </c>
      <c r="K768" s="34">
        <v>4502301562</v>
      </c>
      <c r="L768" s="19">
        <v>5081304309</v>
      </c>
      <c r="M768" s="20">
        <v>5113238223</v>
      </c>
      <c r="N768" s="23" t="s">
        <v>1077</v>
      </c>
      <c r="O768" s="9" t="s">
        <v>63</v>
      </c>
      <c r="P768" s="23" t="s">
        <v>1078</v>
      </c>
      <c r="Q768" s="24" t="s">
        <v>31</v>
      </c>
      <c r="R768" s="25">
        <v>44656</v>
      </c>
      <c r="S768" s="28"/>
      <c r="T768" s="35"/>
      <c r="U768" s="35"/>
      <c r="V768" s="29"/>
      <c r="W768" s="35"/>
      <c r="X768" s="29"/>
      <c r="Y768" s="36"/>
      <c r="Z768" s="29"/>
      <c r="AA768" s="31">
        <f t="shared" si="1"/>
        <v>44656</v>
      </c>
      <c r="AB768" s="32" t="str">
        <f t="shared" si="5"/>
        <v>abril</v>
      </c>
    </row>
    <row r="769" spans="1:28" ht="12.75">
      <c r="A769" s="22" t="s">
        <v>774</v>
      </c>
      <c r="B769" s="10">
        <v>44663</v>
      </c>
      <c r="C769" s="11">
        <v>44663</v>
      </c>
      <c r="D769" s="42">
        <v>14</v>
      </c>
      <c r="E769" s="13" t="s">
        <v>863</v>
      </c>
      <c r="F769" s="13">
        <v>3025457</v>
      </c>
      <c r="G769" s="14">
        <v>13628</v>
      </c>
      <c r="H769" s="33">
        <v>100</v>
      </c>
      <c r="I769" s="16">
        <f t="shared" si="116"/>
        <v>1362800</v>
      </c>
      <c r="J769" s="17">
        <v>0</v>
      </c>
      <c r="K769" s="34">
        <v>4502301562</v>
      </c>
      <c r="L769" s="19">
        <v>5081304309</v>
      </c>
      <c r="M769" s="20">
        <v>5113238226</v>
      </c>
      <c r="N769" s="23" t="s">
        <v>1077</v>
      </c>
      <c r="O769" s="9"/>
      <c r="P769" s="23"/>
      <c r="Q769" s="24" t="s">
        <v>31</v>
      </c>
      <c r="R769" s="25">
        <v>44656</v>
      </c>
      <c r="S769" s="28"/>
      <c r="T769" s="35"/>
      <c r="U769" s="35"/>
      <c r="V769" s="29"/>
      <c r="W769" s="35"/>
      <c r="X769" s="29"/>
      <c r="Y769" s="36"/>
      <c r="Z769" s="29"/>
      <c r="AA769" s="31">
        <f t="shared" si="1"/>
        <v>44656</v>
      </c>
      <c r="AB769" s="32" t="str">
        <f t="shared" si="5"/>
        <v>abril</v>
      </c>
    </row>
    <row r="770" spans="1:28" ht="12.75">
      <c r="A770" s="9" t="s">
        <v>39</v>
      </c>
      <c r="B770" s="10">
        <v>44656</v>
      </c>
      <c r="C770" s="11">
        <v>44659</v>
      </c>
      <c r="D770" s="42">
        <v>14</v>
      </c>
      <c r="E770" s="13" t="s">
        <v>1079</v>
      </c>
      <c r="F770" s="13">
        <v>3025457</v>
      </c>
      <c r="G770" s="37">
        <v>28213.5</v>
      </c>
      <c r="H770" s="33">
        <v>8550</v>
      </c>
      <c r="I770" s="16">
        <f t="shared" si="116"/>
        <v>241225425</v>
      </c>
      <c r="J770" s="17">
        <v>60</v>
      </c>
      <c r="K770" s="34">
        <v>4502301563</v>
      </c>
      <c r="L770" s="19">
        <v>5081304465</v>
      </c>
      <c r="M770" s="20">
        <v>5113226613</v>
      </c>
      <c r="N770" s="44"/>
      <c r="O770" s="23" t="s">
        <v>37</v>
      </c>
      <c r="P770" s="23"/>
      <c r="Q770" s="24" t="s">
        <v>31</v>
      </c>
      <c r="R770" s="25">
        <v>44656</v>
      </c>
      <c r="S770" s="28"/>
      <c r="T770" s="35"/>
      <c r="U770" s="35"/>
      <c r="V770" s="29"/>
      <c r="W770" s="35"/>
      <c r="X770" s="29"/>
      <c r="Y770" s="36"/>
      <c r="Z770" s="29"/>
      <c r="AA770" s="31">
        <f t="shared" si="1"/>
        <v>44656</v>
      </c>
      <c r="AB770" s="32" t="str">
        <f t="shared" si="5"/>
        <v>abril</v>
      </c>
    </row>
    <row r="771" spans="1:28" ht="12.75">
      <c r="A771" s="9" t="s">
        <v>54</v>
      </c>
      <c r="B771" s="10">
        <v>44657</v>
      </c>
      <c r="C771" s="11"/>
      <c r="D771" s="42">
        <v>14</v>
      </c>
      <c r="E771" s="13" t="s">
        <v>1080</v>
      </c>
      <c r="F771" s="13">
        <v>3025457</v>
      </c>
      <c r="G771" s="14">
        <v>26308</v>
      </c>
      <c r="H771" s="15">
        <v>7650</v>
      </c>
      <c r="I771" s="16">
        <f t="shared" si="116"/>
        <v>201256200</v>
      </c>
      <c r="J771" s="17">
        <v>56</v>
      </c>
      <c r="K771" s="34">
        <v>4502304858</v>
      </c>
      <c r="L771" s="19">
        <v>5081287071</v>
      </c>
      <c r="M771" s="20">
        <v>5113226610</v>
      </c>
      <c r="N771" s="23" t="s">
        <v>382</v>
      </c>
      <c r="O771" s="22" t="s">
        <v>172</v>
      </c>
      <c r="P771" s="23" t="s">
        <v>1081</v>
      </c>
      <c r="Q771" s="24" t="s">
        <v>31</v>
      </c>
      <c r="R771" s="25">
        <v>44656</v>
      </c>
      <c r="S771" s="28">
        <v>4902242385</v>
      </c>
      <c r="T771" s="35">
        <f>2979200*4</f>
        <v>11916800</v>
      </c>
      <c r="U771" s="28" t="s">
        <v>1082</v>
      </c>
      <c r="V771" s="29">
        <v>5113221101</v>
      </c>
      <c r="W771" s="35"/>
      <c r="X771" s="29"/>
      <c r="Y771" s="36"/>
      <c r="Z771" s="29"/>
      <c r="AA771" s="31">
        <f t="shared" si="1"/>
        <v>44656</v>
      </c>
      <c r="AB771" s="32" t="str">
        <f t="shared" si="5"/>
        <v>abril</v>
      </c>
    </row>
    <row r="772" spans="1:28" ht="12.75">
      <c r="A772" s="22" t="s">
        <v>1083</v>
      </c>
      <c r="B772" s="10">
        <v>44657</v>
      </c>
      <c r="C772" s="11"/>
      <c r="D772" s="42">
        <v>14</v>
      </c>
      <c r="E772" s="13" t="s">
        <v>789</v>
      </c>
      <c r="F772" s="13">
        <v>3025457</v>
      </c>
      <c r="G772" s="14">
        <v>13588</v>
      </c>
      <c r="H772" s="15">
        <v>7800</v>
      </c>
      <c r="I772" s="16">
        <f t="shared" si="116"/>
        <v>105986400</v>
      </c>
      <c r="J772" s="17">
        <v>28</v>
      </c>
      <c r="K772" s="34">
        <v>4502304752</v>
      </c>
      <c r="L772" s="19">
        <v>5081287073</v>
      </c>
      <c r="M772" s="20">
        <v>5113221055</v>
      </c>
      <c r="N772" s="23"/>
      <c r="O772" s="22" t="s">
        <v>1084</v>
      </c>
      <c r="P772" s="23" t="s">
        <v>63</v>
      </c>
      <c r="Q772" s="24" t="s">
        <v>31</v>
      </c>
      <c r="R772" s="25">
        <v>44656</v>
      </c>
      <c r="S772" s="28">
        <v>4502304752</v>
      </c>
      <c r="T772" s="27">
        <f>1793900*2</f>
        <v>3587800</v>
      </c>
      <c r="U772" s="28" t="s">
        <v>1085</v>
      </c>
      <c r="V772" s="29">
        <v>5113218457</v>
      </c>
      <c r="W772" s="35"/>
      <c r="X772" s="29"/>
      <c r="Y772" s="36"/>
      <c r="Z772" s="29"/>
      <c r="AA772" s="31">
        <f t="shared" si="1"/>
        <v>44656</v>
      </c>
      <c r="AB772" s="32" t="str">
        <f t="shared" si="5"/>
        <v>abril</v>
      </c>
    </row>
    <row r="773" spans="1:28" ht="12.75">
      <c r="A773" s="9" t="s">
        <v>485</v>
      </c>
      <c r="B773" s="10">
        <v>44656</v>
      </c>
      <c r="C773" s="11"/>
      <c r="D773" s="42">
        <v>14</v>
      </c>
      <c r="E773" s="13" t="s">
        <v>1086</v>
      </c>
      <c r="F773" s="13">
        <v>3025457</v>
      </c>
      <c r="G773" s="14">
        <v>12549</v>
      </c>
      <c r="H773" s="40">
        <v>8300</v>
      </c>
      <c r="I773" s="16">
        <f t="shared" si="116"/>
        <v>104156700</v>
      </c>
      <c r="J773" s="17">
        <v>28</v>
      </c>
      <c r="K773" s="34">
        <v>4502303534</v>
      </c>
      <c r="L773" s="19">
        <v>5081304311</v>
      </c>
      <c r="M773" s="20">
        <v>5113227973</v>
      </c>
      <c r="N773" s="23"/>
      <c r="O773" s="9"/>
      <c r="P773" s="23" t="s">
        <v>1087</v>
      </c>
      <c r="Q773" s="24" t="s">
        <v>31</v>
      </c>
      <c r="R773" s="25">
        <v>44656</v>
      </c>
      <c r="S773" s="28"/>
      <c r="T773" s="35"/>
      <c r="U773" s="35"/>
      <c r="V773" s="29"/>
      <c r="W773" s="35"/>
      <c r="X773" s="29"/>
      <c r="Y773" s="36"/>
      <c r="Z773" s="29"/>
      <c r="AA773" s="31">
        <f t="shared" si="1"/>
        <v>44656</v>
      </c>
      <c r="AB773" s="32" t="str">
        <f t="shared" si="5"/>
        <v>abril</v>
      </c>
    </row>
    <row r="774" spans="1:28" ht="12.75">
      <c r="A774" s="9" t="s">
        <v>85</v>
      </c>
      <c r="B774" s="10">
        <v>44656</v>
      </c>
      <c r="C774" s="11">
        <v>44658</v>
      </c>
      <c r="D774" s="42">
        <v>14</v>
      </c>
      <c r="E774" s="13" t="s">
        <v>1088</v>
      </c>
      <c r="F774" s="13">
        <v>3025459</v>
      </c>
      <c r="G774" s="14">
        <v>20227</v>
      </c>
      <c r="H774" s="15">
        <v>7900</v>
      </c>
      <c r="I774" s="16">
        <f t="shared" si="116"/>
        <v>159793300</v>
      </c>
      <c r="J774" s="17">
        <v>42</v>
      </c>
      <c r="K774" s="34">
        <v>4502304860</v>
      </c>
      <c r="L774" s="19">
        <v>5081287072</v>
      </c>
      <c r="M774" s="20">
        <v>5113223145</v>
      </c>
      <c r="N774" s="23"/>
      <c r="O774" s="22" t="s">
        <v>272</v>
      </c>
      <c r="P774" s="23"/>
      <c r="Q774" s="24" t="s">
        <v>31</v>
      </c>
      <c r="R774" s="25">
        <v>44656</v>
      </c>
      <c r="S774" s="28">
        <v>4902242388</v>
      </c>
      <c r="T774" s="35">
        <f>1793900*3</f>
        <v>5381700</v>
      </c>
      <c r="U774" s="28" t="s">
        <v>1089</v>
      </c>
      <c r="V774" s="29">
        <v>5113218604</v>
      </c>
      <c r="W774" s="35"/>
      <c r="X774" s="29"/>
      <c r="Y774" s="36"/>
      <c r="Z774" s="29"/>
      <c r="AA774" s="31">
        <f t="shared" si="1"/>
        <v>44656</v>
      </c>
      <c r="AB774" s="32" t="str">
        <f t="shared" si="5"/>
        <v>abril</v>
      </c>
    </row>
    <row r="775" spans="1:28" ht="12.75">
      <c r="A775" s="9" t="s">
        <v>567</v>
      </c>
      <c r="B775" s="10">
        <v>44656</v>
      </c>
      <c r="C775" s="11"/>
      <c r="D775" s="42">
        <v>14</v>
      </c>
      <c r="E775" s="13" t="s">
        <v>1090</v>
      </c>
      <c r="F775" s="13">
        <v>3025459</v>
      </c>
      <c r="G775" s="37">
        <v>14181.5</v>
      </c>
      <c r="H775" s="33">
        <v>7900</v>
      </c>
      <c r="I775" s="16">
        <f t="shared" si="116"/>
        <v>112033850</v>
      </c>
      <c r="J775" s="17">
        <v>30</v>
      </c>
      <c r="K775" s="34">
        <v>4502301564</v>
      </c>
      <c r="L775" s="19">
        <v>5081304466</v>
      </c>
      <c r="M775" s="20">
        <v>5113234466</v>
      </c>
      <c r="N775" s="23"/>
      <c r="O775" s="9" t="s">
        <v>63</v>
      </c>
      <c r="P775" s="86" t="s">
        <v>1091</v>
      </c>
      <c r="Q775" s="24" t="s">
        <v>31</v>
      </c>
      <c r="R775" s="25">
        <v>44656</v>
      </c>
      <c r="S775" s="28"/>
      <c r="T775" s="35"/>
      <c r="U775" s="35"/>
      <c r="V775" s="29"/>
      <c r="W775" s="35"/>
      <c r="X775" s="29"/>
      <c r="Y775" s="36"/>
      <c r="Z775" s="29"/>
      <c r="AA775" s="31">
        <f t="shared" si="1"/>
        <v>44656</v>
      </c>
      <c r="AB775" s="32" t="str">
        <f t="shared" si="5"/>
        <v>abril</v>
      </c>
    </row>
    <row r="776" spans="1:28" ht="12.75">
      <c r="A776" s="9" t="s">
        <v>233</v>
      </c>
      <c r="B776" s="10">
        <v>44658</v>
      </c>
      <c r="C776" s="11"/>
      <c r="D776" s="49">
        <v>15</v>
      </c>
      <c r="E776" s="13" t="s">
        <v>1092</v>
      </c>
      <c r="F776" s="13">
        <v>3025457</v>
      </c>
      <c r="G776" s="14">
        <v>28727</v>
      </c>
      <c r="H776" s="33">
        <v>8200</v>
      </c>
      <c r="I776" s="16">
        <f t="shared" si="116"/>
        <v>235561400</v>
      </c>
      <c r="J776" s="17">
        <v>60</v>
      </c>
      <c r="K776" s="34">
        <v>4502306080</v>
      </c>
      <c r="L776" s="19">
        <v>5081359472</v>
      </c>
      <c r="M776" s="20">
        <v>5113233662</v>
      </c>
      <c r="N776" s="23"/>
      <c r="O776" s="9" t="s">
        <v>37</v>
      </c>
      <c r="P776" s="23"/>
      <c r="Q776" s="24" t="s">
        <v>31</v>
      </c>
      <c r="R776" s="25">
        <v>44658</v>
      </c>
      <c r="S776" s="28"/>
      <c r="T776" s="35"/>
      <c r="U776" s="35"/>
      <c r="V776" s="29"/>
      <c r="W776" s="35"/>
      <c r="X776" s="29"/>
      <c r="Y776" s="36"/>
      <c r="Z776" s="29"/>
      <c r="AA776" s="31">
        <f t="shared" si="1"/>
        <v>44658</v>
      </c>
      <c r="AB776" s="32" t="str">
        <f t="shared" si="5"/>
        <v>abril</v>
      </c>
    </row>
    <row r="777" spans="1:28" ht="12.75">
      <c r="A777" s="9" t="s">
        <v>233</v>
      </c>
      <c r="B777" s="10">
        <v>44658</v>
      </c>
      <c r="C777" s="11">
        <v>44670</v>
      </c>
      <c r="D777" s="49">
        <v>15</v>
      </c>
      <c r="E777" s="13" t="s">
        <v>1093</v>
      </c>
      <c r="F777" s="13">
        <v>3025457</v>
      </c>
      <c r="G777" s="14">
        <v>28727</v>
      </c>
      <c r="H777" s="33">
        <v>50</v>
      </c>
      <c r="I777" s="16">
        <f t="shared" si="116"/>
        <v>1436350</v>
      </c>
      <c r="J777" s="17">
        <v>0</v>
      </c>
      <c r="K777" s="34">
        <v>4502306080</v>
      </c>
      <c r="L777" s="19">
        <v>5081359472</v>
      </c>
      <c r="M777" s="20">
        <v>5113243343</v>
      </c>
      <c r="N777" s="23"/>
      <c r="O777" s="9"/>
      <c r="P777" s="23" t="s">
        <v>1094</v>
      </c>
      <c r="Q777" s="24" t="s">
        <v>31</v>
      </c>
      <c r="R777" s="25">
        <v>44658</v>
      </c>
      <c r="S777" s="28"/>
      <c r="T777" s="35"/>
      <c r="U777" s="35"/>
      <c r="V777" s="29"/>
      <c r="W777" s="35"/>
      <c r="X777" s="29"/>
      <c r="Y777" s="36"/>
      <c r="Z777" s="29"/>
      <c r="AA777" s="31">
        <f t="shared" si="1"/>
        <v>44658</v>
      </c>
      <c r="AB777" s="32" t="str">
        <f t="shared" si="5"/>
        <v>abril</v>
      </c>
    </row>
    <row r="778" spans="1:28" ht="12.75">
      <c r="A778" s="9" t="s">
        <v>404</v>
      </c>
      <c r="B778" s="10">
        <v>44659</v>
      </c>
      <c r="C778" s="11">
        <v>44662</v>
      </c>
      <c r="D778" s="49">
        <v>15</v>
      </c>
      <c r="E778" s="13" t="s">
        <v>1095</v>
      </c>
      <c r="F778" s="13">
        <v>3025457</v>
      </c>
      <c r="G778" s="37">
        <v>51842.5</v>
      </c>
      <c r="H778" s="33">
        <v>8700</v>
      </c>
      <c r="I778" s="16">
        <f t="shared" si="116"/>
        <v>451029750</v>
      </c>
      <c r="J778" s="17">
        <v>114</v>
      </c>
      <c r="K778" s="34">
        <v>4502306081</v>
      </c>
      <c r="L778" s="19">
        <v>5081360263</v>
      </c>
      <c r="M778" s="20">
        <v>5113226616</v>
      </c>
      <c r="N778" s="23"/>
      <c r="O778" s="9" t="s">
        <v>37</v>
      </c>
      <c r="P778" s="23"/>
      <c r="Q778" s="24" t="s">
        <v>31</v>
      </c>
      <c r="R778" s="25">
        <v>44658</v>
      </c>
      <c r="S778" s="28"/>
      <c r="T778" s="35"/>
      <c r="U778" s="35"/>
      <c r="V778" s="29"/>
      <c r="W778" s="35"/>
      <c r="X778" s="29"/>
      <c r="Y778" s="36"/>
      <c r="Z778" s="29"/>
      <c r="AA778" s="31">
        <f t="shared" si="1"/>
        <v>44658</v>
      </c>
      <c r="AB778" s="32" t="str">
        <f t="shared" si="5"/>
        <v>abril</v>
      </c>
    </row>
    <row r="779" spans="1:28" ht="12.75">
      <c r="A779" s="9" t="s">
        <v>404</v>
      </c>
      <c r="B779" s="10">
        <v>44662</v>
      </c>
      <c r="C779" s="11">
        <v>44662</v>
      </c>
      <c r="D779" s="49">
        <v>15</v>
      </c>
      <c r="E779" s="13" t="s">
        <v>134</v>
      </c>
      <c r="F779" s="13">
        <v>3025457</v>
      </c>
      <c r="G779" s="37">
        <v>51842.5</v>
      </c>
      <c r="H779" s="33">
        <f>8700-8698.49</f>
        <v>1.5100000000002183</v>
      </c>
      <c r="I779" s="16">
        <f>-H779*G779</f>
        <v>-78282.17500001131</v>
      </c>
      <c r="J779" s="17">
        <v>0</v>
      </c>
      <c r="K779" s="34">
        <v>4502306081</v>
      </c>
      <c r="L779" s="19">
        <v>5081360263</v>
      </c>
      <c r="M779" s="20">
        <v>5113226617</v>
      </c>
      <c r="N779" s="23"/>
      <c r="O779" s="9"/>
      <c r="P779" s="23"/>
      <c r="Q779" s="24" t="s">
        <v>31</v>
      </c>
      <c r="R779" s="25">
        <v>44658</v>
      </c>
      <c r="S779" s="28"/>
      <c r="T779" s="35"/>
      <c r="U779" s="35"/>
      <c r="V779" s="29"/>
      <c r="W779" s="35"/>
      <c r="X779" s="29"/>
      <c r="Y779" s="36"/>
      <c r="Z779" s="29"/>
      <c r="AA779" s="31">
        <f t="shared" si="1"/>
        <v>44658</v>
      </c>
      <c r="AB779" s="32" t="str">
        <f t="shared" si="5"/>
        <v>abril</v>
      </c>
    </row>
    <row r="780" spans="1:28" ht="12.75">
      <c r="A780" s="9" t="s">
        <v>58</v>
      </c>
      <c r="B780" s="10">
        <v>44663</v>
      </c>
      <c r="C780" s="11">
        <v>44663</v>
      </c>
      <c r="D780" s="49">
        <v>15</v>
      </c>
      <c r="E780" s="13" t="s">
        <v>1096</v>
      </c>
      <c r="F780" s="13">
        <v>3025457</v>
      </c>
      <c r="G780" s="14">
        <v>39061</v>
      </c>
      <c r="H780" s="33">
        <v>8750</v>
      </c>
      <c r="I780" s="16">
        <f>H780*G780</f>
        <v>341783750</v>
      </c>
      <c r="J780" s="17">
        <v>75</v>
      </c>
      <c r="K780" s="34">
        <v>4502306082</v>
      </c>
      <c r="L780" s="19">
        <v>5081359473</v>
      </c>
      <c r="M780" s="20">
        <v>5113233573</v>
      </c>
      <c r="N780" s="23"/>
      <c r="O780" s="23" t="s">
        <v>37</v>
      </c>
      <c r="P780" s="23" t="s">
        <v>1097</v>
      </c>
      <c r="Q780" s="24" t="s">
        <v>31</v>
      </c>
      <c r="R780" s="25">
        <v>44658</v>
      </c>
      <c r="S780" s="28"/>
      <c r="T780" s="35"/>
      <c r="U780" s="35"/>
      <c r="V780" s="29"/>
      <c r="W780" s="35"/>
      <c r="X780" s="29"/>
      <c r="Y780" s="36"/>
      <c r="Z780" s="29"/>
      <c r="AA780" s="31">
        <f t="shared" si="1"/>
        <v>44658</v>
      </c>
      <c r="AB780" s="32" t="str">
        <f t="shared" si="5"/>
        <v>abril</v>
      </c>
    </row>
    <row r="781" spans="1:28" ht="12.75">
      <c r="A781" s="9" t="s">
        <v>58</v>
      </c>
      <c r="B781" s="10">
        <v>44663</v>
      </c>
      <c r="C781" s="11">
        <v>44663</v>
      </c>
      <c r="D781" s="49">
        <v>15</v>
      </c>
      <c r="E781" s="13" t="s">
        <v>1098</v>
      </c>
      <c r="F781" s="13">
        <v>3025457</v>
      </c>
      <c r="G781" s="14">
        <v>39061</v>
      </c>
      <c r="H781" s="33">
        <f>8750-8749.05</f>
        <v>0.9500000000007276</v>
      </c>
      <c r="I781" s="16">
        <f>-H781*G781</f>
        <v>-37107.950000028417</v>
      </c>
      <c r="J781" s="17">
        <v>0</v>
      </c>
      <c r="K781" s="34">
        <v>4502306082</v>
      </c>
      <c r="L781" s="19">
        <v>5081359473</v>
      </c>
      <c r="M781" s="20">
        <v>5113233574</v>
      </c>
      <c r="N781" s="23"/>
      <c r="O781" s="9"/>
      <c r="P781" s="23"/>
      <c r="Q781" s="24" t="s">
        <v>31</v>
      </c>
      <c r="R781" s="25">
        <v>44658</v>
      </c>
      <c r="S781" s="28"/>
      <c r="T781" s="35"/>
      <c r="U781" s="35"/>
      <c r="V781" s="29"/>
      <c r="W781" s="35"/>
      <c r="X781" s="29"/>
      <c r="Y781" s="36"/>
      <c r="Z781" s="29"/>
      <c r="AA781" s="31">
        <f t="shared" si="1"/>
        <v>44658</v>
      </c>
      <c r="AB781" s="32" t="str">
        <f t="shared" si="5"/>
        <v>abril</v>
      </c>
    </row>
    <row r="782" spans="1:28" ht="12.75">
      <c r="A782" s="9" t="s">
        <v>58</v>
      </c>
      <c r="B782" s="10">
        <v>44663</v>
      </c>
      <c r="C782" s="11">
        <v>44663</v>
      </c>
      <c r="D782" s="49">
        <v>15</v>
      </c>
      <c r="E782" s="13" t="s">
        <v>1099</v>
      </c>
      <c r="F782" s="13">
        <v>3025457</v>
      </c>
      <c r="G782" s="14">
        <v>15652</v>
      </c>
      <c r="H782" s="33">
        <v>8750</v>
      </c>
      <c r="I782" s="16">
        <f>H782*G782</f>
        <v>136955000</v>
      </c>
      <c r="J782" s="17">
        <v>30</v>
      </c>
      <c r="K782" s="34">
        <v>4502306082</v>
      </c>
      <c r="L782" s="19">
        <v>5081359473</v>
      </c>
      <c r="M782" s="20">
        <v>5113233575</v>
      </c>
      <c r="N782" s="23"/>
      <c r="O782" s="23" t="s">
        <v>37</v>
      </c>
      <c r="P782" s="23" t="s">
        <v>1100</v>
      </c>
      <c r="Q782" s="24" t="s">
        <v>31</v>
      </c>
      <c r="R782" s="25">
        <v>44658</v>
      </c>
      <c r="S782" s="28"/>
      <c r="T782" s="35"/>
      <c r="U782" s="35"/>
      <c r="V782" s="29"/>
      <c r="W782" s="35"/>
      <c r="X782" s="29"/>
      <c r="Y782" s="36"/>
      <c r="Z782" s="29"/>
      <c r="AA782" s="31">
        <f t="shared" si="1"/>
        <v>44658</v>
      </c>
      <c r="AB782" s="32" t="str">
        <f t="shared" si="5"/>
        <v>abril</v>
      </c>
    </row>
    <row r="783" spans="1:28" ht="12.75">
      <c r="A783" s="9" t="s">
        <v>58</v>
      </c>
      <c r="B783" s="10">
        <v>44663</v>
      </c>
      <c r="C783" s="11">
        <v>44663</v>
      </c>
      <c r="D783" s="49">
        <v>15</v>
      </c>
      <c r="E783" s="13" t="s">
        <v>1101</v>
      </c>
      <c r="F783" s="13">
        <v>3025457</v>
      </c>
      <c r="G783" s="14">
        <v>15652</v>
      </c>
      <c r="H783" s="33">
        <f>8750-8615.92</f>
        <v>134.07999999999993</v>
      </c>
      <c r="I783" s="16">
        <f>-H783*G783</f>
        <v>-2098620.1599999988</v>
      </c>
      <c r="J783" s="17">
        <v>0</v>
      </c>
      <c r="K783" s="34">
        <v>4502306082</v>
      </c>
      <c r="L783" s="19">
        <v>5081359473</v>
      </c>
      <c r="M783" s="20">
        <v>5113233576</v>
      </c>
      <c r="N783" s="23"/>
      <c r="O783" s="9"/>
      <c r="P783" s="23"/>
      <c r="Q783" s="24" t="s">
        <v>31</v>
      </c>
      <c r="R783" s="25">
        <v>44658</v>
      </c>
      <c r="S783" s="28"/>
      <c r="T783" s="35"/>
      <c r="U783" s="35"/>
      <c r="V783" s="29"/>
      <c r="W783" s="35"/>
      <c r="X783" s="29"/>
      <c r="Y783" s="36"/>
      <c r="Z783" s="29"/>
      <c r="AA783" s="31">
        <f t="shared" si="1"/>
        <v>44658</v>
      </c>
      <c r="AB783" s="32" t="str">
        <f t="shared" si="5"/>
        <v>abril</v>
      </c>
    </row>
    <row r="784" spans="1:28" ht="12.75">
      <c r="A784" s="9" t="s">
        <v>1102</v>
      </c>
      <c r="B784" s="10">
        <v>44672</v>
      </c>
      <c r="C784" s="11">
        <v>44672</v>
      </c>
      <c r="D784" s="49">
        <v>15</v>
      </c>
      <c r="E784" s="13" t="s">
        <v>1103</v>
      </c>
      <c r="F784" s="13">
        <v>3025457</v>
      </c>
      <c r="G784" s="37">
        <v>27507.5</v>
      </c>
      <c r="H784" s="33">
        <v>8700</v>
      </c>
      <c r="I784" s="16">
        <f>H784*G784</f>
        <v>239315250</v>
      </c>
      <c r="J784" s="17">
        <v>60</v>
      </c>
      <c r="K784" s="34">
        <v>4502306083</v>
      </c>
      <c r="L784" s="19">
        <v>5081359920</v>
      </c>
      <c r="M784" s="20">
        <v>5113255506</v>
      </c>
      <c r="N784" s="23"/>
      <c r="O784" s="9" t="s">
        <v>382</v>
      </c>
      <c r="P784" s="23" t="s">
        <v>1104</v>
      </c>
      <c r="Q784" s="24" t="s">
        <v>31</v>
      </c>
      <c r="R784" s="25">
        <v>44658</v>
      </c>
      <c r="S784" s="28"/>
      <c r="T784" s="35"/>
      <c r="U784" s="35"/>
      <c r="V784" s="29"/>
      <c r="W784" s="35"/>
      <c r="X784" s="29"/>
      <c r="Y784" s="36"/>
      <c r="Z784" s="29"/>
      <c r="AA784" s="31">
        <f t="shared" si="1"/>
        <v>44658</v>
      </c>
      <c r="AB784" s="32" t="str">
        <f t="shared" si="5"/>
        <v>abril</v>
      </c>
    </row>
    <row r="785" spans="1:28" ht="12.75">
      <c r="A785" s="9" t="s">
        <v>1102</v>
      </c>
      <c r="B785" s="10">
        <v>44672</v>
      </c>
      <c r="C785" s="11">
        <v>44672</v>
      </c>
      <c r="D785" s="60">
        <v>15</v>
      </c>
      <c r="E785" s="61" t="s">
        <v>1105</v>
      </c>
      <c r="F785" s="13">
        <v>3025457</v>
      </c>
      <c r="G785" s="95">
        <v>27507.5</v>
      </c>
      <c r="H785" s="63">
        <f>8700-8690.85</f>
        <v>9.1499999999996362</v>
      </c>
      <c r="I785" s="64">
        <f>-H785*G785</f>
        <v>-251693.62499998999</v>
      </c>
      <c r="J785" s="65">
        <v>0</v>
      </c>
      <c r="K785" s="66">
        <v>4502306083</v>
      </c>
      <c r="L785" s="61">
        <v>5081359920</v>
      </c>
      <c r="M785" s="20">
        <v>5113255620</v>
      </c>
      <c r="N785" s="23"/>
      <c r="O785" s="67"/>
      <c r="P785" s="96" t="s">
        <v>1106</v>
      </c>
      <c r="Q785" s="24" t="s">
        <v>31</v>
      </c>
      <c r="R785" s="25">
        <v>44658</v>
      </c>
      <c r="S785" s="75"/>
      <c r="T785" s="69"/>
      <c r="U785" s="70"/>
      <c r="V785" s="68"/>
      <c r="W785" s="70"/>
      <c r="X785" s="68"/>
      <c r="Y785" s="71"/>
      <c r="Z785" s="68"/>
      <c r="AA785" s="72">
        <f t="shared" si="1"/>
        <v>44658</v>
      </c>
      <c r="AB785" s="32" t="str">
        <f t="shared" si="5"/>
        <v>abril</v>
      </c>
    </row>
    <row r="786" spans="1:28" ht="12.75">
      <c r="A786" s="9" t="s">
        <v>58</v>
      </c>
      <c r="B786" s="10">
        <v>44663</v>
      </c>
      <c r="C786" s="11">
        <v>44663</v>
      </c>
      <c r="D786" s="49">
        <v>15</v>
      </c>
      <c r="E786" s="13" t="s">
        <v>1107</v>
      </c>
      <c r="F786" s="13">
        <v>3025457</v>
      </c>
      <c r="G786" s="14">
        <v>64459</v>
      </c>
      <c r="H786" s="33">
        <v>8750</v>
      </c>
      <c r="I786" s="16">
        <f>H786*G786</f>
        <v>564016250</v>
      </c>
      <c r="J786" s="17">
        <v>131</v>
      </c>
      <c r="K786" s="34">
        <v>4502306084</v>
      </c>
      <c r="L786" s="19">
        <v>5081359688</v>
      </c>
      <c r="M786" s="20">
        <v>5113233657</v>
      </c>
      <c r="N786" s="23"/>
      <c r="O786" s="23" t="s">
        <v>37</v>
      </c>
      <c r="P786" s="23" t="s">
        <v>1108</v>
      </c>
      <c r="Q786" s="24" t="s">
        <v>31</v>
      </c>
      <c r="R786" s="25">
        <v>44659</v>
      </c>
      <c r="S786" s="28"/>
      <c r="T786" s="35"/>
      <c r="U786" s="35"/>
      <c r="V786" s="29"/>
      <c r="W786" s="35"/>
      <c r="X786" s="29"/>
      <c r="Y786" s="36"/>
      <c r="Z786" s="29"/>
      <c r="AA786" s="31">
        <f t="shared" si="1"/>
        <v>44659</v>
      </c>
      <c r="AB786" s="32" t="str">
        <f t="shared" si="5"/>
        <v>abril</v>
      </c>
    </row>
    <row r="787" spans="1:28" ht="12.75">
      <c r="A787" s="9" t="s">
        <v>58</v>
      </c>
      <c r="B787" s="10">
        <v>44663</v>
      </c>
      <c r="C787" s="11">
        <v>44663</v>
      </c>
      <c r="D787" s="49">
        <v>15</v>
      </c>
      <c r="E787" s="13" t="s">
        <v>1109</v>
      </c>
      <c r="F787" s="13">
        <v>3025457</v>
      </c>
      <c r="G787" s="14">
        <v>64459</v>
      </c>
      <c r="H787" s="33">
        <f>8750-8749.44</f>
        <v>0.55999999999949068</v>
      </c>
      <c r="I787" s="16">
        <f>-H787*G787</f>
        <v>-36097.039999967172</v>
      </c>
      <c r="J787" s="17">
        <v>0</v>
      </c>
      <c r="K787" s="34">
        <v>4502306084</v>
      </c>
      <c r="L787" s="19">
        <v>5081359688</v>
      </c>
      <c r="M787" s="20">
        <v>5113233658</v>
      </c>
      <c r="N787" s="23"/>
      <c r="O787" s="9"/>
      <c r="P787" s="23"/>
      <c r="Q787" s="24" t="s">
        <v>31</v>
      </c>
      <c r="R787" s="25">
        <v>44659</v>
      </c>
      <c r="S787" s="28"/>
      <c r="T787" s="35"/>
      <c r="U787" s="35"/>
      <c r="V787" s="29"/>
      <c r="W787" s="35"/>
      <c r="X787" s="29"/>
      <c r="Y787" s="36"/>
      <c r="Z787" s="29"/>
      <c r="AA787" s="31">
        <f t="shared" si="1"/>
        <v>44659</v>
      </c>
      <c r="AB787" s="32" t="str">
        <f t="shared" si="5"/>
        <v>abril</v>
      </c>
    </row>
    <row r="788" spans="1:28" ht="12.75">
      <c r="A788" s="9" t="s">
        <v>73</v>
      </c>
      <c r="B788" s="10">
        <v>44662</v>
      </c>
      <c r="C788" s="11">
        <v>44662</v>
      </c>
      <c r="D788" s="49">
        <v>15</v>
      </c>
      <c r="E788" s="13" t="s">
        <v>1110</v>
      </c>
      <c r="F788" s="13">
        <v>3025457</v>
      </c>
      <c r="G788" s="37">
        <v>13426.5</v>
      </c>
      <c r="H788" s="33">
        <v>8700</v>
      </c>
      <c r="I788" s="16">
        <f t="shared" ref="I788:I790" si="117">H788*G788</f>
        <v>116810550</v>
      </c>
      <c r="J788" s="17">
        <v>28</v>
      </c>
      <c r="K788" s="34">
        <v>4502306085</v>
      </c>
      <c r="L788" s="19">
        <v>5081359690</v>
      </c>
      <c r="M788" s="20">
        <v>5113228048</v>
      </c>
      <c r="N788" s="23"/>
      <c r="O788" s="9" t="s">
        <v>63</v>
      </c>
      <c r="P788" s="23" t="s">
        <v>1111</v>
      </c>
      <c r="Q788" s="24" t="s">
        <v>31</v>
      </c>
      <c r="R788" s="25">
        <v>44659</v>
      </c>
      <c r="S788" s="28"/>
      <c r="T788" s="35"/>
      <c r="U788" s="35"/>
      <c r="V788" s="29"/>
      <c r="W788" s="35"/>
      <c r="X788" s="29"/>
      <c r="Y788" s="36"/>
      <c r="Z788" s="29"/>
      <c r="AA788" s="31">
        <f t="shared" si="1"/>
        <v>44659</v>
      </c>
      <c r="AB788" s="32" t="str">
        <f t="shared" si="5"/>
        <v>abril</v>
      </c>
    </row>
    <row r="789" spans="1:28" ht="12.75">
      <c r="A789" s="22" t="s">
        <v>1112</v>
      </c>
      <c r="B789" s="10">
        <v>44659</v>
      </c>
      <c r="C789" s="11">
        <v>44659</v>
      </c>
      <c r="D789" s="49">
        <v>15</v>
      </c>
      <c r="E789" s="13" t="s">
        <v>1113</v>
      </c>
      <c r="F789" s="13">
        <v>3025457</v>
      </c>
      <c r="G789" s="14">
        <v>6772</v>
      </c>
      <c r="H789" s="15">
        <v>7950</v>
      </c>
      <c r="I789" s="16">
        <f t="shared" si="117"/>
        <v>53837400</v>
      </c>
      <c r="J789" s="17">
        <v>15</v>
      </c>
      <c r="K789" s="34">
        <v>4502308278</v>
      </c>
      <c r="L789" s="19">
        <v>5081359683</v>
      </c>
      <c r="M789" s="20">
        <v>5113225389</v>
      </c>
      <c r="N789" s="23"/>
      <c r="O789" s="22" t="s">
        <v>1114</v>
      </c>
      <c r="P789" s="23" t="s">
        <v>1115</v>
      </c>
      <c r="Q789" s="24" t="s">
        <v>31</v>
      </c>
      <c r="R789" s="25">
        <v>44659</v>
      </c>
      <c r="S789" s="28">
        <v>4902246814</v>
      </c>
      <c r="T789" s="27">
        <v>1245600</v>
      </c>
      <c r="U789" s="28" t="s">
        <v>1116</v>
      </c>
      <c r="V789" s="29">
        <v>5113237963</v>
      </c>
      <c r="W789" s="35"/>
      <c r="X789" s="29"/>
      <c r="Y789" s="36"/>
      <c r="Z789" s="29"/>
      <c r="AA789" s="31">
        <f t="shared" si="1"/>
        <v>44659</v>
      </c>
      <c r="AB789" s="32" t="str">
        <f t="shared" si="5"/>
        <v>abril</v>
      </c>
    </row>
    <row r="790" spans="1:28" ht="12.75">
      <c r="A790" s="9" t="s">
        <v>233</v>
      </c>
      <c r="B790" s="10">
        <v>44659</v>
      </c>
      <c r="C790" s="11"/>
      <c r="D790" s="49">
        <v>15</v>
      </c>
      <c r="E790" s="13" t="s">
        <v>1117</v>
      </c>
      <c r="F790" s="13">
        <v>3025457</v>
      </c>
      <c r="G790" s="37">
        <v>13030.5</v>
      </c>
      <c r="H790" s="33">
        <v>8200</v>
      </c>
      <c r="I790" s="16">
        <f t="shared" si="117"/>
        <v>106850100</v>
      </c>
      <c r="J790" s="17">
        <v>30</v>
      </c>
      <c r="K790" s="34">
        <v>4502306087</v>
      </c>
      <c r="L790" s="19">
        <v>5081359691</v>
      </c>
      <c r="M790" s="20">
        <v>5113237851</v>
      </c>
      <c r="N790" s="44"/>
      <c r="O790" s="9" t="s">
        <v>37</v>
      </c>
      <c r="P790" s="23" t="s">
        <v>935</v>
      </c>
      <c r="Q790" s="24" t="s">
        <v>31</v>
      </c>
      <c r="R790" s="25">
        <v>44659</v>
      </c>
      <c r="S790" s="28"/>
      <c r="T790" s="35"/>
      <c r="U790" s="35"/>
      <c r="V790" s="29"/>
      <c r="W790" s="35"/>
      <c r="X790" s="29"/>
      <c r="Y790" s="36"/>
      <c r="Z790" s="29"/>
      <c r="AA790" s="31">
        <f t="shared" si="1"/>
        <v>44659</v>
      </c>
      <c r="AB790" s="32" t="str">
        <f t="shared" si="5"/>
        <v>abril</v>
      </c>
    </row>
    <row r="791" spans="1:28" ht="12.75">
      <c r="A791" s="9" t="s">
        <v>233</v>
      </c>
      <c r="B791" s="10">
        <v>44659</v>
      </c>
      <c r="C791" s="11"/>
      <c r="D791" s="49">
        <v>15</v>
      </c>
      <c r="E791" s="13" t="s">
        <v>1118</v>
      </c>
      <c r="F791" s="13">
        <v>3025457</v>
      </c>
      <c r="G791" s="37">
        <v>13030.5</v>
      </c>
      <c r="H791" s="33">
        <f>8200-8194.06</f>
        <v>5.9400000000005093</v>
      </c>
      <c r="I791" s="16">
        <f>-H791*G791</f>
        <v>-77401.170000006634</v>
      </c>
      <c r="J791" s="17">
        <v>0</v>
      </c>
      <c r="K791" s="34">
        <v>4502306087</v>
      </c>
      <c r="L791" s="19">
        <v>5081359691</v>
      </c>
      <c r="M791" s="20">
        <v>5113237852</v>
      </c>
      <c r="N791" s="23"/>
      <c r="O791" s="9"/>
      <c r="P791" s="23"/>
      <c r="Q791" s="24" t="s">
        <v>31</v>
      </c>
      <c r="R791" s="25">
        <v>44659</v>
      </c>
      <c r="S791" s="28"/>
      <c r="T791" s="35"/>
      <c r="U791" s="35"/>
      <c r="V791" s="29"/>
      <c r="W791" s="35"/>
      <c r="X791" s="29"/>
      <c r="Y791" s="36"/>
      <c r="Z791" s="29"/>
      <c r="AA791" s="31">
        <f t="shared" si="1"/>
        <v>44659</v>
      </c>
      <c r="AB791" s="32" t="str">
        <f t="shared" si="5"/>
        <v>abril</v>
      </c>
    </row>
    <row r="792" spans="1:28" ht="12.75">
      <c r="A792" s="9" t="s">
        <v>80</v>
      </c>
      <c r="B792" s="10">
        <v>44659</v>
      </c>
      <c r="C792" s="11">
        <v>44663</v>
      </c>
      <c r="D792" s="49">
        <v>15</v>
      </c>
      <c r="E792" s="13" t="s">
        <v>1119</v>
      </c>
      <c r="F792" s="13">
        <v>3025460</v>
      </c>
      <c r="G792" s="14">
        <v>38847</v>
      </c>
      <c r="H792" s="57">
        <v>8150</v>
      </c>
      <c r="I792" s="16">
        <f t="shared" ref="I792:I800" si="118">H792*G792</f>
        <v>316603050</v>
      </c>
      <c r="J792" s="17">
        <v>84</v>
      </c>
      <c r="K792" s="34">
        <v>4502309490</v>
      </c>
      <c r="L792" s="19">
        <v>5081386611</v>
      </c>
      <c r="M792" s="20">
        <v>5113233660</v>
      </c>
      <c r="N792" s="23" t="s">
        <v>37</v>
      </c>
      <c r="O792" s="9"/>
      <c r="P792" s="23" t="s">
        <v>1070</v>
      </c>
      <c r="Q792" s="24" t="s">
        <v>82</v>
      </c>
      <c r="R792" s="25">
        <v>44659</v>
      </c>
      <c r="S792" s="28"/>
      <c r="T792" s="35"/>
      <c r="U792" s="35"/>
      <c r="V792" s="29"/>
      <c r="W792" s="35"/>
      <c r="X792" s="29"/>
      <c r="Y792" s="36"/>
      <c r="Z792" s="29"/>
      <c r="AA792" s="31">
        <f t="shared" si="1"/>
        <v>44659</v>
      </c>
      <c r="AB792" s="32" t="str">
        <f t="shared" si="5"/>
        <v>abril</v>
      </c>
    </row>
    <row r="793" spans="1:28" ht="12.75">
      <c r="A793" s="9" t="s">
        <v>1120</v>
      </c>
      <c r="B793" s="10">
        <v>44663</v>
      </c>
      <c r="C793" s="11">
        <v>44663</v>
      </c>
      <c r="D793" s="49">
        <v>15</v>
      </c>
      <c r="E793" s="13" t="s">
        <v>1121</v>
      </c>
      <c r="F793" s="13">
        <v>3025460</v>
      </c>
      <c r="G793" s="14">
        <v>13316</v>
      </c>
      <c r="H793" s="57">
        <v>8400</v>
      </c>
      <c r="I793" s="16">
        <f t="shared" si="118"/>
        <v>111854400</v>
      </c>
      <c r="J793" s="17">
        <v>26</v>
      </c>
      <c r="K793" s="34">
        <v>4502309494</v>
      </c>
      <c r="L793" s="19">
        <v>5081386769</v>
      </c>
      <c r="M793" s="20">
        <v>5113229863</v>
      </c>
      <c r="N793" s="23"/>
      <c r="O793" s="9" t="s">
        <v>63</v>
      </c>
      <c r="P793" s="23"/>
      <c r="Q793" s="24" t="s">
        <v>82</v>
      </c>
      <c r="R793" s="25">
        <v>44659</v>
      </c>
      <c r="S793" s="28"/>
      <c r="T793" s="35"/>
      <c r="U793" s="35"/>
      <c r="V793" s="29"/>
      <c r="W793" s="35"/>
      <c r="X793" s="29"/>
      <c r="Y793" s="36"/>
      <c r="Z793" s="29"/>
      <c r="AA793" s="31">
        <f t="shared" si="1"/>
        <v>44659</v>
      </c>
      <c r="AB793" s="32" t="str">
        <f t="shared" si="5"/>
        <v>abril</v>
      </c>
    </row>
    <row r="794" spans="1:28" ht="12.75">
      <c r="A794" s="9" t="s">
        <v>94</v>
      </c>
      <c r="B794" s="10">
        <v>44663</v>
      </c>
      <c r="C794" s="11">
        <v>44663</v>
      </c>
      <c r="D794" s="49">
        <v>15</v>
      </c>
      <c r="E794" s="13" t="s">
        <v>1122</v>
      </c>
      <c r="F794" s="13">
        <v>3025460</v>
      </c>
      <c r="G794" s="14">
        <v>12875</v>
      </c>
      <c r="H794" s="57">
        <v>8400</v>
      </c>
      <c r="I794" s="16">
        <f t="shared" si="118"/>
        <v>108150000</v>
      </c>
      <c r="J794" s="17">
        <v>30</v>
      </c>
      <c r="K794" s="34">
        <v>4502309502</v>
      </c>
      <c r="L794" s="19">
        <v>5081386768</v>
      </c>
      <c r="M794" s="20">
        <v>5113228492</v>
      </c>
      <c r="N794" s="23"/>
      <c r="O794" s="9" t="s">
        <v>63</v>
      </c>
      <c r="P794" s="23"/>
      <c r="Q794" s="24" t="s">
        <v>82</v>
      </c>
      <c r="R794" s="25">
        <v>44659</v>
      </c>
      <c r="S794" s="28"/>
      <c r="T794" s="35"/>
      <c r="U794" s="35"/>
      <c r="V794" s="29"/>
      <c r="W794" s="35"/>
      <c r="X794" s="29"/>
      <c r="Y794" s="36"/>
      <c r="Z794" s="29"/>
      <c r="AA794" s="31">
        <f t="shared" si="1"/>
        <v>44659</v>
      </c>
      <c r="AB794" s="32" t="str">
        <f t="shared" si="5"/>
        <v>abril</v>
      </c>
    </row>
    <row r="795" spans="1:28" ht="12.75">
      <c r="A795" s="9" t="s">
        <v>410</v>
      </c>
      <c r="B795" s="10">
        <v>44869</v>
      </c>
      <c r="C795" s="11">
        <v>44662</v>
      </c>
      <c r="D795" s="49">
        <v>15</v>
      </c>
      <c r="E795" s="13" t="s">
        <v>1123</v>
      </c>
      <c r="F795" s="13">
        <v>3025460</v>
      </c>
      <c r="G795" s="14">
        <v>13935</v>
      </c>
      <c r="H795" s="15">
        <v>7950</v>
      </c>
      <c r="I795" s="16">
        <f t="shared" si="118"/>
        <v>110783250</v>
      </c>
      <c r="J795" s="17">
        <v>28</v>
      </c>
      <c r="K795" s="34">
        <v>4502308471</v>
      </c>
      <c r="L795" s="19">
        <v>5081370886</v>
      </c>
      <c r="M795" s="20">
        <v>5113229031</v>
      </c>
      <c r="N795" s="9" t="s">
        <v>63</v>
      </c>
      <c r="O795" s="22" t="s">
        <v>412</v>
      </c>
      <c r="P795" s="23"/>
      <c r="Q795" s="24" t="s">
        <v>82</v>
      </c>
      <c r="R795" s="25">
        <v>44659</v>
      </c>
      <c r="S795" s="28">
        <v>4502308471</v>
      </c>
      <c r="T795" s="27">
        <f t="shared" ref="T795:T796" si="119">910200*2</f>
        <v>1820400</v>
      </c>
      <c r="U795" s="28" t="s">
        <v>1124</v>
      </c>
      <c r="V795" s="29">
        <v>5113227877</v>
      </c>
      <c r="W795" s="35"/>
      <c r="X795" s="29"/>
      <c r="Y795" s="36"/>
      <c r="Z795" s="29"/>
      <c r="AA795" s="31">
        <f t="shared" si="1"/>
        <v>44659</v>
      </c>
      <c r="AB795" s="32" t="str">
        <f t="shared" si="5"/>
        <v>abril</v>
      </c>
    </row>
    <row r="796" spans="1:28" ht="12.75">
      <c r="A796" s="9" t="s">
        <v>410</v>
      </c>
      <c r="B796" s="10">
        <v>44565</v>
      </c>
      <c r="C796" s="11">
        <v>44662</v>
      </c>
      <c r="D796" s="49">
        <v>15</v>
      </c>
      <c r="E796" s="13" t="s">
        <v>1125</v>
      </c>
      <c r="F796" s="13">
        <v>3025460</v>
      </c>
      <c r="G796" s="14">
        <v>13565</v>
      </c>
      <c r="H796" s="15">
        <v>8050</v>
      </c>
      <c r="I796" s="16">
        <f t="shared" si="118"/>
        <v>109198250</v>
      </c>
      <c r="J796" s="17">
        <v>28</v>
      </c>
      <c r="K796" s="34">
        <v>4502308469</v>
      </c>
      <c r="L796" s="19">
        <v>5081370883</v>
      </c>
      <c r="M796" s="20">
        <v>5113229033</v>
      </c>
      <c r="N796" s="9" t="s">
        <v>63</v>
      </c>
      <c r="O796" s="22" t="s">
        <v>412</v>
      </c>
      <c r="P796" s="23"/>
      <c r="Q796" s="24" t="s">
        <v>82</v>
      </c>
      <c r="R796" s="25">
        <v>44659</v>
      </c>
      <c r="S796" s="28">
        <v>4502308469</v>
      </c>
      <c r="T796" s="27">
        <f t="shared" si="119"/>
        <v>1820400</v>
      </c>
      <c r="U796" s="28" t="s">
        <v>1124</v>
      </c>
      <c r="V796" s="29">
        <v>5113227877</v>
      </c>
      <c r="W796" s="35"/>
      <c r="X796" s="29"/>
      <c r="Y796" s="36"/>
      <c r="Z796" s="29"/>
      <c r="AA796" s="31">
        <f t="shared" si="1"/>
        <v>44659</v>
      </c>
      <c r="AB796" s="32" t="str">
        <f t="shared" si="5"/>
        <v>abril</v>
      </c>
    </row>
    <row r="797" spans="1:28" ht="12.75">
      <c r="A797" s="22" t="s">
        <v>1083</v>
      </c>
      <c r="B797" s="10">
        <v>44662</v>
      </c>
      <c r="C797" s="11"/>
      <c r="D797" s="49">
        <v>15</v>
      </c>
      <c r="E797" s="13" t="s">
        <v>1126</v>
      </c>
      <c r="F797" s="13">
        <v>3025460</v>
      </c>
      <c r="G797" s="14">
        <v>12680</v>
      </c>
      <c r="H797" s="15">
        <v>7900</v>
      </c>
      <c r="I797" s="16">
        <f t="shared" si="118"/>
        <v>100172000</v>
      </c>
      <c r="J797" s="17">
        <v>28</v>
      </c>
      <c r="K797" s="34">
        <v>4502308467</v>
      </c>
      <c r="L797" s="19">
        <v>5081370879</v>
      </c>
      <c r="M797" s="20">
        <v>5113228047</v>
      </c>
      <c r="N797" s="23"/>
      <c r="O797" s="22" t="s">
        <v>1127</v>
      </c>
      <c r="P797" s="23" t="s">
        <v>1128</v>
      </c>
      <c r="Q797" s="24" t="s">
        <v>82</v>
      </c>
      <c r="R797" s="25">
        <v>44659</v>
      </c>
      <c r="S797" s="34">
        <v>4502308467</v>
      </c>
      <c r="T797" s="27">
        <f>624200*2</f>
        <v>1248400</v>
      </c>
      <c r="U797" s="28" t="s">
        <v>1129</v>
      </c>
      <c r="V797" s="29">
        <v>5113227881</v>
      </c>
      <c r="W797" s="35"/>
      <c r="X797" s="29"/>
      <c r="Y797" s="36"/>
      <c r="Z797" s="29"/>
      <c r="AA797" s="31">
        <f t="shared" si="1"/>
        <v>44659</v>
      </c>
      <c r="AB797" s="32" t="str">
        <f t="shared" si="5"/>
        <v>abril</v>
      </c>
    </row>
    <row r="798" spans="1:28" ht="12.75">
      <c r="A798" s="9" t="s">
        <v>199</v>
      </c>
      <c r="B798" s="10">
        <v>44663</v>
      </c>
      <c r="C798" s="11">
        <v>44663</v>
      </c>
      <c r="D798" s="49">
        <v>15</v>
      </c>
      <c r="E798" s="13" t="s">
        <v>1130</v>
      </c>
      <c r="F798" s="13">
        <v>3025460</v>
      </c>
      <c r="G798" s="14">
        <v>7578</v>
      </c>
      <c r="H798" s="57">
        <v>8450</v>
      </c>
      <c r="I798" s="16">
        <f t="shared" si="118"/>
        <v>64034100</v>
      </c>
      <c r="J798" s="17">
        <v>15</v>
      </c>
      <c r="K798" s="34">
        <v>4502309507</v>
      </c>
      <c r="L798" s="19">
        <v>5081386773</v>
      </c>
      <c r="M798" s="20">
        <v>5113229862</v>
      </c>
      <c r="N798" s="21"/>
      <c r="O798" s="9" t="s">
        <v>63</v>
      </c>
      <c r="P798" s="23"/>
      <c r="Q798" s="24" t="s">
        <v>82</v>
      </c>
      <c r="R798" s="25">
        <v>44659</v>
      </c>
      <c r="S798" s="28"/>
      <c r="T798" s="35"/>
      <c r="U798" s="35"/>
      <c r="V798" s="29"/>
      <c r="W798" s="35"/>
      <c r="X798" s="29"/>
      <c r="Y798" s="36"/>
      <c r="Z798" s="29"/>
      <c r="AA798" s="31">
        <f t="shared" si="1"/>
        <v>44659</v>
      </c>
      <c r="AB798" s="32" t="str">
        <f t="shared" si="5"/>
        <v>abril</v>
      </c>
    </row>
    <row r="799" spans="1:28" ht="12.75">
      <c r="A799" s="9" t="s">
        <v>85</v>
      </c>
      <c r="B799" s="10">
        <v>44661</v>
      </c>
      <c r="C799" s="11">
        <v>44669</v>
      </c>
      <c r="D799" s="49">
        <v>15</v>
      </c>
      <c r="E799" s="13" t="s">
        <v>1131</v>
      </c>
      <c r="F799" s="13">
        <v>3025460</v>
      </c>
      <c r="G799" s="14">
        <v>19034</v>
      </c>
      <c r="H799" s="57">
        <v>8450</v>
      </c>
      <c r="I799" s="16">
        <f t="shared" si="118"/>
        <v>160837300</v>
      </c>
      <c r="J799" s="17">
        <v>42</v>
      </c>
      <c r="K799" s="34">
        <v>4502311673</v>
      </c>
      <c r="L799" s="19">
        <v>5081423867</v>
      </c>
      <c r="M799" s="20">
        <v>5113237848</v>
      </c>
      <c r="N799" s="23"/>
      <c r="O799" s="23" t="s">
        <v>63</v>
      </c>
      <c r="P799" s="23"/>
      <c r="Q799" s="24" t="s">
        <v>82</v>
      </c>
      <c r="R799" s="25">
        <v>44661</v>
      </c>
      <c r="S799" s="28"/>
      <c r="T799" s="35"/>
      <c r="U799" s="35"/>
      <c r="V799" s="29"/>
      <c r="W799" s="35"/>
      <c r="X799" s="29"/>
      <c r="Y799" s="36"/>
      <c r="Z799" s="29"/>
      <c r="AA799" s="31">
        <f t="shared" si="1"/>
        <v>44661</v>
      </c>
      <c r="AB799" s="32" t="str">
        <f t="shared" si="5"/>
        <v>abril</v>
      </c>
    </row>
    <row r="800" spans="1:28" ht="12.75">
      <c r="A800" s="9" t="s">
        <v>58</v>
      </c>
      <c r="B800" s="10">
        <v>44669</v>
      </c>
      <c r="C800" s="11">
        <v>44669</v>
      </c>
      <c r="D800" s="49">
        <v>15</v>
      </c>
      <c r="E800" s="13" t="s">
        <v>1132</v>
      </c>
      <c r="F800" s="13">
        <v>3025457</v>
      </c>
      <c r="G800" s="14">
        <v>51837</v>
      </c>
      <c r="H800" s="33">
        <v>8750</v>
      </c>
      <c r="I800" s="16">
        <f t="shared" si="118"/>
        <v>453573750</v>
      </c>
      <c r="J800" s="17">
        <v>112</v>
      </c>
      <c r="K800" s="34">
        <v>4502306089</v>
      </c>
      <c r="L800" s="19">
        <v>5081403808</v>
      </c>
      <c r="M800" s="20">
        <v>5113238076</v>
      </c>
      <c r="N800" s="23"/>
      <c r="O800" s="23" t="s">
        <v>37</v>
      </c>
      <c r="P800" s="23" t="s">
        <v>1133</v>
      </c>
      <c r="Q800" s="24" t="s">
        <v>31</v>
      </c>
      <c r="R800" s="25">
        <v>44663</v>
      </c>
      <c r="S800" s="28"/>
      <c r="T800" s="35"/>
      <c r="U800" s="35"/>
      <c r="V800" s="29"/>
      <c r="W800" s="35"/>
      <c r="X800" s="29"/>
      <c r="Y800" s="36"/>
      <c r="Z800" s="29"/>
      <c r="AA800" s="31">
        <f t="shared" si="1"/>
        <v>44663</v>
      </c>
      <c r="AB800" s="32" t="str">
        <f t="shared" si="5"/>
        <v>abril</v>
      </c>
    </row>
    <row r="801" spans="1:28" ht="12.75">
      <c r="A801" s="9" t="s">
        <v>58</v>
      </c>
      <c r="B801" s="10">
        <v>44669</v>
      </c>
      <c r="C801" s="11">
        <v>44669</v>
      </c>
      <c r="D801" s="49">
        <v>15</v>
      </c>
      <c r="E801" s="13" t="s">
        <v>1134</v>
      </c>
      <c r="F801" s="13">
        <v>3025457</v>
      </c>
      <c r="G801" s="14">
        <v>51837</v>
      </c>
      <c r="H801" s="33">
        <f>8750-8747.71</f>
        <v>2.2900000000008731</v>
      </c>
      <c r="I801" s="16">
        <f>-H801*G801</f>
        <v>-118706.73000004527</v>
      </c>
      <c r="J801" s="17">
        <v>0</v>
      </c>
      <c r="K801" s="34">
        <v>4502306089</v>
      </c>
      <c r="L801" s="19">
        <v>5081403808</v>
      </c>
      <c r="M801" s="20">
        <v>5113238157</v>
      </c>
      <c r="N801" s="23"/>
      <c r="O801" s="9"/>
      <c r="P801" s="23"/>
      <c r="Q801" s="24" t="s">
        <v>31</v>
      </c>
      <c r="R801" s="25">
        <v>44663</v>
      </c>
      <c r="S801" s="28"/>
      <c r="T801" s="35"/>
      <c r="U801" s="35"/>
      <c r="V801" s="29"/>
      <c r="W801" s="35"/>
      <c r="X801" s="29"/>
      <c r="Y801" s="36"/>
      <c r="Z801" s="29"/>
      <c r="AA801" s="31">
        <f t="shared" si="1"/>
        <v>44663</v>
      </c>
      <c r="AB801" s="32" t="str">
        <f t="shared" si="5"/>
        <v>abril</v>
      </c>
    </row>
    <row r="802" spans="1:28" ht="12.75">
      <c r="A802" s="9" t="s">
        <v>58</v>
      </c>
      <c r="B802" s="10">
        <v>44669</v>
      </c>
      <c r="C802" s="11">
        <v>44669</v>
      </c>
      <c r="D802" s="49">
        <v>15</v>
      </c>
      <c r="E802" s="13" t="s">
        <v>1135</v>
      </c>
      <c r="F802" s="13">
        <v>3025457</v>
      </c>
      <c r="G802" s="37">
        <v>22196.5</v>
      </c>
      <c r="H802" s="33">
        <v>8750</v>
      </c>
      <c r="I802" s="16">
        <f>H802*G802</f>
        <v>194219375</v>
      </c>
      <c r="J802" s="17">
        <v>45</v>
      </c>
      <c r="K802" s="34">
        <v>4502306089</v>
      </c>
      <c r="L802" s="19">
        <v>5081403808</v>
      </c>
      <c r="M802" s="20">
        <v>5113238160</v>
      </c>
      <c r="N802" s="23"/>
      <c r="O802" s="23" t="s">
        <v>37</v>
      </c>
      <c r="P802" s="23" t="s">
        <v>1133</v>
      </c>
      <c r="Q802" s="24" t="s">
        <v>31</v>
      </c>
      <c r="R802" s="25">
        <v>44663</v>
      </c>
      <c r="S802" s="28"/>
      <c r="T802" s="35"/>
      <c r="U802" s="35"/>
      <c r="V802" s="29"/>
      <c r="W802" s="35"/>
      <c r="X802" s="29"/>
      <c r="Y802" s="36"/>
      <c r="Z802" s="29"/>
      <c r="AA802" s="31">
        <f t="shared" si="1"/>
        <v>44663</v>
      </c>
      <c r="AB802" s="32" t="str">
        <f t="shared" si="5"/>
        <v>abril</v>
      </c>
    </row>
    <row r="803" spans="1:28" ht="12.75">
      <c r="A803" s="9" t="s">
        <v>58</v>
      </c>
      <c r="B803" s="10">
        <v>44669</v>
      </c>
      <c r="C803" s="11">
        <v>44669</v>
      </c>
      <c r="D803" s="49">
        <v>15</v>
      </c>
      <c r="E803" s="13" t="s">
        <v>1136</v>
      </c>
      <c r="F803" s="13">
        <v>3025457</v>
      </c>
      <c r="G803" s="37">
        <v>22196.5</v>
      </c>
      <c r="H803" s="33">
        <f>8750-8746.49</f>
        <v>3.5100000000002183</v>
      </c>
      <c r="I803" s="16">
        <f>-H803*G803</f>
        <v>-77909.715000004842</v>
      </c>
      <c r="J803" s="17">
        <v>0</v>
      </c>
      <c r="K803" s="34">
        <v>4502306089</v>
      </c>
      <c r="L803" s="19">
        <v>5081403808</v>
      </c>
      <c r="M803" s="20">
        <v>5113238162</v>
      </c>
      <c r="N803" s="23"/>
      <c r="O803" s="9"/>
      <c r="P803" s="23"/>
      <c r="Q803" s="24" t="s">
        <v>31</v>
      </c>
      <c r="R803" s="25">
        <v>44663</v>
      </c>
      <c r="S803" s="28"/>
      <c r="T803" s="35"/>
      <c r="U803" s="35"/>
      <c r="V803" s="29"/>
      <c r="W803" s="35"/>
      <c r="X803" s="29"/>
      <c r="Y803" s="36"/>
      <c r="Z803" s="29"/>
      <c r="AA803" s="31">
        <f t="shared" si="1"/>
        <v>44663</v>
      </c>
      <c r="AB803" s="32" t="str">
        <f t="shared" si="5"/>
        <v>abril</v>
      </c>
    </row>
    <row r="804" spans="1:28" ht="12.75">
      <c r="A804" s="9" t="s">
        <v>804</v>
      </c>
      <c r="B804" s="10">
        <v>44669</v>
      </c>
      <c r="C804" s="11">
        <v>44669</v>
      </c>
      <c r="D804" s="49">
        <v>15</v>
      </c>
      <c r="E804" s="13" t="s">
        <v>1137</v>
      </c>
      <c r="F804" s="13">
        <v>3025457</v>
      </c>
      <c r="G804" s="37">
        <v>6052.5</v>
      </c>
      <c r="H804" s="33">
        <v>8450</v>
      </c>
      <c r="I804" s="16">
        <f t="shared" ref="I804:I817" si="120">H804*G804</f>
        <v>51143625</v>
      </c>
      <c r="J804" s="17">
        <v>14</v>
      </c>
      <c r="K804" s="34">
        <v>4502306090</v>
      </c>
      <c r="L804" s="19">
        <v>5081403809</v>
      </c>
      <c r="M804" s="20">
        <v>5113235011</v>
      </c>
      <c r="N804" s="23"/>
      <c r="O804" s="9" t="s">
        <v>37</v>
      </c>
      <c r="P804" s="23"/>
      <c r="Q804" s="24" t="s">
        <v>31</v>
      </c>
      <c r="R804" s="25">
        <v>44663</v>
      </c>
      <c r="S804" s="28"/>
      <c r="T804" s="35"/>
      <c r="U804" s="35"/>
      <c r="V804" s="29"/>
      <c r="W804" s="35"/>
      <c r="X804" s="29"/>
      <c r="Y804" s="36"/>
      <c r="Z804" s="29"/>
      <c r="AA804" s="31">
        <f t="shared" si="1"/>
        <v>44663</v>
      </c>
      <c r="AB804" s="32" t="str">
        <f t="shared" si="5"/>
        <v>abril</v>
      </c>
    </row>
    <row r="805" spans="1:28" ht="12.75">
      <c r="A805" s="9" t="s">
        <v>804</v>
      </c>
      <c r="B805" s="10">
        <v>44669</v>
      </c>
      <c r="C805" s="11">
        <v>44669</v>
      </c>
      <c r="D805" s="49">
        <v>15</v>
      </c>
      <c r="E805" s="13" t="s">
        <v>1138</v>
      </c>
      <c r="F805" s="13">
        <v>3025457</v>
      </c>
      <c r="G805" s="37">
        <v>6052.5</v>
      </c>
      <c r="H805" s="33">
        <v>50</v>
      </c>
      <c r="I805" s="16">
        <f t="shared" si="120"/>
        <v>302625</v>
      </c>
      <c r="J805" s="17">
        <v>0</v>
      </c>
      <c r="K805" s="34">
        <v>4502306090</v>
      </c>
      <c r="L805" s="19">
        <v>5081403809</v>
      </c>
      <c r="M805" s="20">
        <v>5113235015</v>
      </c>
      <c r="N805" s="23"/>
      <c r="O805" s="9"/>
      <c r="P805" s="23"/>
      <c r="Q805" s="24" t="s">
        <v>31</v>
      </c>
      <c r="R805" s="25">
        <v>44663</v>
      </c>
      <c r="S805" s="28"/>
      <c r="T805" s="35"/>
      <c r="U805" s="35"/>
      <c r="V805" s="29"/>
      <c r="W805" s="35"/>
      <c r="X805" s="29"/>
      <c r="Y805" s="36"/>
      <c r="Z805" s="29"/>
      <c r="AA805" s="31">
        <f t="shared" si="1"/>
        <v>44663</v>
      </c>
      <c r="AB805" s="32" t="str">
        <f t="shared" si="5"/>
        <v>abril</v>
      </c>
    </row>
    <row r="806" spans="1:28" ht="12.75">
      <c r="A806" s="9" t="s">
        <v>276</v>
      </c>
      <c r="B806" s="10">
        <v>44669</v>
      </c>
      <c r="C806" s="11">
        <v>44669</v>
      </c>
      <c r="D806" s="49">
        <v>15</v>
      </c>
      <c r="E806" s="13" t="s">
        <v>1139</v>
      </c>
      <c r="F806" s="13">
        <v>3025459</v>
      </c>
      <c r="G806" s="14">
        <v>13250</v>
      </c>
      <c r="H806" s="33">
        <v>7900</v>
      </c>
      <c r="I806" s="16">
        <f t="shared" si="120"/>
        <v>104675000</v>
      </c>
      <c r="J806" s="17">
        <v>28</v>
      </c>
      <c r="K806" s="34">
        <v>4502306091</v>
      </c>
      <c r="L806" s="19">
        <v>5081403810</v>
      </c>
      <c r="M806" s="20">
        <v>5113235491</v>
      </c>
      <c r="N806" s="23"/>
      <c r="O806" s="9" t="s">
        <v>63</v>
      </c>
      <c r="P806" s="23"/>
      <c r="Q806" s="24" t="s">
        <v>31</v>
      </c>
      <c r="R806" s="25">
        <v>44663</v>
      </c>
      <c r="S806" s="28"/>
      <c r="T806" s="35"/>
      <c r="U806" s="35"/>
      <c r="V806" s="29"/>
      <c r="W806" s="35"/>
      <c r="X806" s="29"/>
      <c r="Y806" s="36"/>
      <c r="Z806" s="29"/>
      <c r="AA806" s="31">
        <f t="shared" si="1"/>
        <v>44663</v>
      </c>
      <c r="AB806" s="32" t="str">
        <f t="shared" si="5"/>
        <v>abril</v>
      </c>
    </row>
    <row r="807" spans="1:28" ht="12.75">
      <c r="A807" s="9" t="s">
        <v>276</v>
      </c>
      <c r="B807" s="10">
        <v>44669</v>
      </c>
      <c r="C807" s="11">
        <v>44669</v>
      </c>
      <c r="D807" s="49">
        <v>15</v>
      </c>
      <c r="E807" s="13" t="s">
        <v>1140</v>
      </c>
      <c r="F807" s="13">
        <v>3025459</v>
      </c>
      <c r="G807" s="14">
        <v>13250</v>
      </c>
      <c r="H807" s="33">
        <v>50</v>
      </c>
      <c r="I807" s="16">
        <f t="shared" si="120"/>
        <v>662500</v>
      </c>
      <c r="J807" s="17">
        <v>0</v>
      </c>
      <c r="K807" s="34">
        <v>4502306091</v>
      </c>
      <c r="L807" s="19">
        <v>5081403810</v>
      </c>
      <c r="M807" s="20">
        <v>5113235492</v>
      </c>
      <c r="N807" s="23"/>
      <c r="O807" s="9"/>
      <c r="P807" s="23"/>
      <c r="Q807" s="24" t="s">
        <v>31</v>
      </c>
      <c r="R807" s="25">
        <v>44663</v>
      </c>
      <c r="S807" s="28"/>
      <c r="T807" s="35"/>
      <c r="U807" s="35"/>
      <c r="V807" s="29"/>
      <c r="W807" s="35"/>
      <c r="X807" s="29"/>
      <c r="Y807" s="36"/>
      <c r="Z807" s="29"/>
      <c r="AA807" s="31">
        <f t="shared" si="1"/>
        <v>44663</v>
      </c>
      <c r="AB807" s="32" t="str">
        <f t="shared" si="5"/>
        <v>abril</v>
      </c>
    </row>
    <row r="808" spans="1:28" ht="12.75">
      <c r="A808" s="9" t="s">
        <v>819</v>
      </c>
      <c r="B808" s="10">
        <v>44663</v>
      </c>
      <c r="C808" s="11"/>
      <c r="D808" s="49">
        <v>15</v>
      </c>
      <c r="E808" s="13">
        <v>6003</v>
      </c>
      <c r="F808" s="13">
        <v>3025459</v>
      </c>
      <c r="G808" s="37">
        <v>20684.5</v>
      </c>
      <c r="H808" s="33">
        <v>9000</v>
      </c>
      <c r="I808" s="16">
        <f t="shared" si="120"/>
        <v>186160500</v>
      </c>
      <c r="J808" s="17">
        <v>43</v>
      </c>
      <c r="K808" s="34">
        <v>4502309867</v>
      </c>
      <c r="L808" s="19">
        <v>5081412484</v>
      </c>
      <c r="M808" s="20">
        <v>5113240810</v>
      </c>
      <c r="N808" s="23"/>
      <c r="O808" s="9" t="s">
        <v>37</v>
      </c>
      <c r="P808" s="23"/>
      <c r="Q808" s="24" t="s">
        <v>31</v>
      </c>
      <c r="R808" s="25">
        <v>44663</v>
      </c>
      <c r="S808" s="28"/>
      <c r="T808" s="35"/>
      <c r="U808" s="35"/>
      <c r="V808" s="29"/>
      <c r="W808" s="35"/>
      <c r="X808" s="29"/>
      <c r="Y808" s="36"/>
      <c r="Z808" s="29"/>
      <c r="AA808" s="31">
        <f t="shared" si="1"/>
        <v>44663</v>
      </c>
      <c r="AB808" s="32" t="str">
        <f t="shared" si="5"/>
        <v>abril</v>
      </c>
    </row>
    <row r="809" spans="1:28" ht="12.75">
      <c r="A809" s="9" t="s">
        <v>819</v>
      </c>
      <c r="B809" s="10">
        <v>44663</v>
      </c>
      <c r="C809" s="11"/>
      <c r="D809" s="49">
        <v>15</v>
      </c>
      <c r="E809" s="13">
        <v>6003</v>
      </c>
      <c r="F809" s="13">
        <v>3025459</v>
      </c>
      <c r="G809" s="37">
        <v>7040.5</v>
      </c>
      <c r="H809" s="33">
        <v>9000</v>
      </c>
      <c r="I809" s="16">
        <f t="shared" si="120"/>
        <v>63364500</v>
      </c>
      <c r="J809" s="17">
        <v>14</v>
      </c>
      <c r="K809" s="34">
        <v>4502310534</v>
      </c>
      <c r="L809" s="19">
        <v>5081412484</v>
      </c>
      <c r="M809" s="20">
        <v>5113240810</v>
      </c>
      <c r="N809" s="23"/>
      <c r="O809" s="9" t="s">
        <v>37</v>
      </c>
      <c r="P809" s="23"/>
      <c r="Q809" s="24" t="s">
        <v>31</v>
      </c>
      <c r="R809" s="25">
        <v>44664</v>
      </c>
      <c r="S809" s="28"/>
      <c r="T809" s="35"/>
      <c r="U809" s="35"/>
      <c r="V809" s="29"/>
      <c r="W809" s="35"/>
      <c r="X809" s="29"/>
      <c r="Y809" s="36"/>
      <c r="Z809" s="29"/>
      <c r="AA809" s="31">
        <f t="shared" si="1"/>
        <v>44664</v>
      </c>
      <c r="AB809" s="32" t="str">
        <f t="shared" si="5"/>
        <v>abril</v>
      </c>
    </row>
    <row r="810" spans="1:28" ht="12.75">
      <c r="A810" s="9" t="s">
        <v>819</v>
      </c>
      <c r="B810" s="10">
        <v>44664</v>
      </c>
      <c r="C810" s="11"/>
      <c r="D810" s="49">
        <v>15</v>
      </c>
      <c r="E810" s="13">
        <v>6004</v>
      </c>
      <c r="F810" s="13">
        <v>3025459</v>
      </c>
      <c r="G810" s="37">
        <v>27725</v>
      </c>
      <c r="H810" s="33">
        <v>42.98</v>
      </c>
      <c r="I810" s="16">
        <f t="shared" si="120"/>
        <v>1191620.5</v>
      </c>
      <c r="J810" s="17">
        <v>0</v>
      </c>
      <c r="K810" s="34">
        <v>4502310534</v>
      </c>
      <c r="L810" s="19">
        <v>5081412484</v>
      </c>
      <c r="M810" s="20">
        <v>5113240811</v>
      </c>
      <c r="N810" s="23"/>
      <c r="O810" s="9"/>
      <c r="P810" s="23"/>
      <c r="Q810" s="24" t="s">
        <v>31</v>
      </c>
      <c r="R810" s="25">
        <v>44664</v>
      </c>
      <c r="S810" s="28"/>
      <c r="T810" s="35"/>
      <c r="U810" s="35"/>
      <c r="V810" s="29"/>
      <c r="W810" s="35"/>
      <c r="X810" s="29"/>
      <c r="Y810" s="36"/>
      <c r="Z810" s="29"/>
      <c r="AA810" s="31">
        <f t="shared" si="1"/>
        <v>44664</v>
      </c>
      <c r="AB810" s="32" t="str">
        <f t="shared" si="5"/>
        <v>abril</v>
      </c>
    </row>
    <row r="811" spans="1:28" ht="12.75">
      <c r="A811" s="9" t="s">
        <v>1141</v>
      </c>
      <c r="B811" s="10">
        <v>44670</v>
      </c>
      <c r="C811" s="11">
        <v>44672</v>
      </c>
      <c r="D811" s="49">
        <v>15</v>
      </c>
      <c r="E811" s="13" t="s">
        <v>1142</v>
      </c>
      <c r="F811" s="13">
        <v>3025459</v>
      </c>
      <c r="G811" s="37">
        <v>4687.5</v>
      </c>
      <c r="H811" s="33">
        <v>7900</v>
      </c>
      <c r="I811" s="16">
        <f t="shared" si="120"/>
        <v>37031250</v>
      </c>
      <c r="J811" s="17">
        <v>11</v>
      </c>
      <c r="K811" s="34">
        <v>4502306093</v>
      </c>
      <c r="L811" s="19">
        <v>5081403811</v>
      </c>
      <c r="M811" s="20">
        <v>5113246191</v>
      </c>
      <c r="N811" s="23" t="s">
        <v>37</v>
      </c>
      <c r="O811" s="9"/>
      <c r="P811" s="23" t="s">
        <v>1143</v>
      </c>
      <c r="Q811" s="24" t="s">
        <v>31</v>
      </c>
      <c r="R811" s="25">
        <v>44663</v>
      </c>
      <c r="S811" s="28"/>
      <c r="T811" s="35"/>
      <c r="U811" s="35"/>
      <c r="V811" s="29"/>
      <c r="W811" s="35"/>
      <c r="X811" s="29"/>
      <c r="Y811" s="36"/>
      <c r="Z811" s="29"/>
      <c r="AA811" s="31">
        <f t="shared" si="1"/>
        <v>44663</v>
      </c>
      <c r="AB811" s="32" t="str">
        <f t="shared" si="5"/>
        <v>abril</v>
      </c>
    </row>
    <row r="812" spans="1:28" ht="12.75">
      <c r="A812" s="9" t="s">
        <v>1141</v>
      </c>
      <c r="B812" s="10">
        <v>44670</v>
      </c>
      <c r="C812" s="11">
        <v>44672</v>
      </c>
      <c r="D812" s="49">
        <v>15</v>
      </c>
      <c r="E812" s="13" t="s">
        <v>863</v>
      </c>
      <c r="F812" s="13">
        <v>3025459</v>
      </c>
      <c r="G812" s="37">
        <v>4687.5</v>
      </c>
      <c r="H812" s="33">
        <v>27.76</v>
      </c>
      <c r="I812" s="16">
        <f t="shared" si="120"/>
        <v>130125.00000000001</v>
      </c>
      <c r="J812" s="17">
        <v>0</v>
      </c>
      <c r="K812" s="34">
        <v>4502306093</v>
      </c>
      <c r="L812" s="19">
        <v>5081403811</v>
      </c>
      <c r="M812" s="20">
        <v>5113246192</v>
      </c>
      <c r="N812" s="23"/>
      <c r="O812" s="9"/>
      <c r="P812" s="23" t="s">
        <v>1144</v>
      </c>
      <c r="Q812" s="24" t="s">
        <v>31</v>
      </c>
      <c r="R812" s="25">
        <v>44663</v>
      </c>
      <c r="S812" s="28"/>
      <c r="T812" s="35"/>
      <c r="U812" s="35"/>
      <c r="V812" s="29"/>
      <c r="W812" s="35"/>
      <c r="X812" s="29"/>
      <c r="Y812" s="36"/>
      <c r="Z812" s="29"/>
      <c r="AA812" s="31">
        <f t="shared" si="1"/>
        <v>44663</v>
      </c>
      <c r="AB812" s="32" t="str">
        <f t="shared" si="5"/>
        <v>abril</v>
      </c>
    </row>
    <row r="813" spans="1:28" ht="12.75">
      <c r="A813" s="9" t="s">
        <v>28</v>
      </c>
      <c r="B813" s="10">
        <v>44664</v>
      </c>
      <c r="C813" s="11">
        <v>44664</v>
      </c>
      <c r="D813" s="49">
        <v>15</v>
      </c>
      <c r="E813" s="13" t="s">
        <v>1145</v>
      </c>
      <c r="F813" s="13">
        <v>3025459</v>
      </c>
      <c r="G813" s="37">
        <v>20487.5</v>
      </c>
      <c r="H813" s="15">
        <v>7650</v>
      </c>
      <c r="I813" s="16">
        <f t="shared" si="120"/>
        <v>156729375</v>
      </c>
      <c r="J813" s="17">
        <v>42</v>
      </c>
      <c r="K813" s="34">
        <v>4502311143</v>
      </c>
      <c r="L813" s="19">
        <v>5081412499</v>
      </c>
      <c r="M813" s="20">
        <v>5113238938</v>
      </c>
      <c r="N813" s="23" t="s">
        <v>37</v>
      </c>
      <c r="O813" s="22" t="s">
        <v>1146</v>
      </c>
      <c r="P813" s="23" t="s">
        <v>37</v>
      </c>
      <c r="Q813" s="24" t="s">
        <v>31</v>
      </c>
      <c r="R813" s="25">
        <v>44663</v>
      </c>
      <c r="S813" s="28">
        <v>4902246344</v>
      </c>
      <c r="T813" s="27">
        <f>2979200*3</f>
        <v>8937600</v>
      </c>
      <c r="U813" s="28" t="s">
        <v>1147</v>
      </c>
      <c r="V813" s="29">
        <v>5113238855</v>
      </c>
      <c r="W813" s="35"/>
      <c r="X813" s="29"/>
      <c r="Y813" s="36"/>
      <c r="Z813" s="29"/>
      <c r="AA813" s="31">
        <f t="shared" si="1"/>
        <v>44663</v>
      </c>
      <c r="AB813" s="32" t="str">
        <f t="shared" si="5"/>
        <v>abril</v>
      </c>
    </row>
    <row r="814" spans="1:28" ht="12.75">
      <c r="A814" s="9" t="s">
        <v>28</v>
      </c>
      <c r="B814" s="10">
        <v>44664</v>
      </c>
      <c r="C814" s="11">
        <v>44664</v>
      </c>
      <c r="D814" s="49">
        <v>15</v>
      </c>
      <c r="E814" s="13" t="s">
        <v>1145</v>
      </c>
      <c r="F814" s="13">
        <v>3025457</v>
      </c>
      <c r="G814" s="37">
        <v>20487.5</v>
      </c>
      <c r="H814" s="15">
        <v>7650</v>
      </c>
      <c r="I814" s="16">
        <f t="shared" si="120"/>
        <v>156729375</v>
      </c>
      <c r="J814" s="17">
        <v>42</v>
      </c>
      <c r="K814" s="34">
        <v>4502311143</v>
      </c>
      <c r="L814" s="19">
        <v>5081412499</v>
      </c>
      <c r="M814" s="20">
        <v>5113238938</v>
      </c>
      <c r="N814" s="23" t="s">
        <v>37</v>
      </c>
      <c r="O814" s="22" t="s">
        <v>1148</v>
      </c>
      <c r="P814" s="23" t="s">
        <v>37</v>
      </c>
      <c r="Q814" s="24" t="s">
        <v>31</v>
      </c>
      <c r="R814" s="25">
        <v>44664</v>
      </c>
      <c r="S814" s="28">
        <v>4902246355</v>
      </c>
      <c r="T814" s="35">
        <f>3062400*3</f>
        <v>9187200</v>
      </c>
      <c r="U814" s="28" t="s">
        <v>1149</v>
      </c>
      <c r="V814" s="29">
        <v>5113237960</v>
      </c>
      <c r="W814" s="35"/>
      <c r="X814" s="29"/>
      <c r="Y814" s="36"/>
      <c r="Z814" s="29"/>
      <c r="AA814" s="31">
        <f t="shared" si="1"/>
        <v>44664</v>
      </c>
      <c r="AB814" s="32" t="str">
        <f t="shared" si="5"/>
        <v>abril</v>
      </c>
    </row>
    <row r="815" spans="1:28" ht="12.75">
      <c r="A815" s="9" t="s">
        <v>39</v>
      </c>
      <c r="B815" s="10">
        <v>44667</v>
      </c>
      <c r="C815" s="11">
        <v>44669</v>
      </c>
      <c r="D815" s="49">
        <v>15</v>
      </c>
      <c r="E815" s="13" t="s">
        <v>1150</v>
      </c>
      <c r="F815" s="13">
        <v>3025460</v>
      </c>
      <c r="G815" s="14">
        <v>24020</v>
      </c>
      <c r="H815" s="33">
        <v>8700</v>
      </c>
      <c r="I815" s="16">
        <f t="shared" si="120"/>
        <v>208974000</v>
      </c>
      <c r="J815" s="17">
        <v>58</v>
      </c>
      <c r="K815" s="34">
        <v>4502306094</v>
      </c>
      <c r="L815" s="19">
        <v>5081412480</v>
      </c>
      <c r="M815" s="20">
        <v>5113237948</v>
      </c>
      <c r="N815" s="23"/>
      <c r="O815" s="23" t="s">
        <v>37</v>
      </c>
      <c r="P815" s="23" t="s">
        <v>1151</v>
      </c>
      <c r="Q815" s="24" t="s">
        <v>31</v>
      </c>
      <c r="R815" s="25">
        <v>44664</v>
      </c>
      <c r="S815" s="28"/>
      <c r="T815" s="35"/>
      <c r="U815" s="35"/>
      <c r="V815" s="29"/>
      <c r="W815" s="35"/>
      <c r="X815" s="29"/>
      <c r="Y815" s="36"/>
      <c r="Z815" s="29"/>
      <c r="AA815" s="31">
        <f t="shared" si="1"/>
        <v>44664</v>
      </c>
      <c r="AB815" s="32" t="str">
        <f t="shared" si="5"/>
        <v>abril</v>
      </c>
    </row>
    <row r="816" spans="1:28" ht="12.75">
      <c r="A816" s="9" t="s">
        <v>39</v>
      </c>
      <c r="B816" s="10">
        <v>44667</v>
      </c>
      <c r="C816" s="11">
        <v>44669</v>
      </c>
      <c r="D816" s="49">
        <v>15</v>
      </c>
      <c r="E816" s="13" t="s">
        <v>569</v>
      </c>
      <c r="F816" s="13">
        <v>3025460</v>
      </c>
      <c r="G816" s="14">
        <v>24020</v>
      </c>
      <c r="H816" s="33">
        <v>87.05</v>
      </c>
      <c r="I816" s="16">
        <f t="shared" si="120"/>
        <v>2090941</v>
      </c>
      <c r="J816" s="17">
        <v>0</v>
      </c>
      <c r="K816" s="34">
        <v>4502306094</v>
      </c>
      <c r="L816" s="19">
        <v>5081412480</v>
      </c>
      <c r="M816" s="20">
        <v>5113238940</v>
      </c>
      <c r="N816" s="23"/>
      <c r="O816" s="9"/>
      <c r="P816" s="23"/>
      <c r="Q816" s="24" t="s">
        <v>31</v>
      </c>
      <c r="R816" s="25">
        <v>44664</v>
      </c>
      <c r="S816" s="28"/>
      <c r="T816" s="35"/>
      <c r="U816" s="35"/>
      <c r="V816" s="29"/>
      <c r="W816" s="35"/>
      <c r="X816" s="29"/>
      <c r="Y816" s="36"/>
      <c r="Z816" s="29"/>
      <c r="AA816" s="31">
        <f t="shared" si="1"/>
        <v>44664</v>
      </c>
      <c r="AB816" s="32" t="str">
        <f t="shared" si="5"/>
        <v>abril</v>
      </c>
    </row>
    <row r="817" spans="1:28" ht="12.75">
      <c r="A817" s="9" t="s">
        <v>819</v>
      </c>
      <c r="B817" s="10">
        <v>44664</v>
      </c>
      <c r="C817" s="11"/>
      <c r="D817" s="49">
        <v>15</v>
      </c>
      <c r="E817" s="13">
        <v>6005</v>
      </c>
      <c r="F817" s="13">
        <v>3025460</v>
      </c>
      <c r="G817" s="37">
        <v>33120.5</v>
      </c>
      <c r="H817" s="33">
        <v>8750</v>
      </c>
      <c r="I817" s="16">
        <f t="shared" si="120"/>
        <v>289804375</v>
      </c>
      <c r="J817" s="17">
        <v>71</v>
      </c>
      <c r="K817" s="34">
        <v>4502306095</v>
      </c>
      <c r="L817" s="19">
        <v>5081412481</v>
      </c>
      <c r="M817" s="20">
        <v>5113240776</v>
      </c>
      <c r="N817" s="23"/>
      <c r="O817" s="9" t="s">
        <v>37</v>
      </c>
      <c r="P817" s="23"/>
      <c r="Q817" s="24" t="s">
        <v>31</v>
      </c>
      <c r="R817" s="25">
        <v>44664</v>
      </c>
      <c r="S817" s="28"/>
      <c r="T817" s="35"/>
      <c r="U817" s="35"/>
      <c r="V817" s="29"/>
      <c r="W817" s="35"/>
      <c r="X817" s="29"/>
      <c r="Y817" s="36"/>
      <c r="Z817" s="29"/>
      <c r="AA817" s="31">
        <f t="shared" si="1"/>
        <v>44664</v>
      </c>
      <c r="AB817" s="32" t="str">
        <f t="shared" si="5"/>
        <v>abril</v>
      </c>
    </row>
    <row r="818" spans="1:28" ht="12.75">
      <c r="A818" s="9" t="s">
        <v>819</v>
      </c>
      <c r="B818" s="10">
        <v>44664</v>
      </c>
      <c r="C818" s="11"/>
      <c r="D818" s="49">
        <v>15</v>
      </c>
      <c r="E818" s="13" t="s">
        <v>1152</v>
      </c>
      <c r="F818" s="13">
        <v>3025460</v>
      </c>
      <c r="G818" s="37">
        <v>33120.5</v>
      </c>
      <c r="H818" s="33">
        <f>8750-8741.8</f>
        <v>8.2000000000007276</v>
      </c>
      <c r="I818" s="16">
        <f>-H818*G818</f>
        <v>-271588.10000002407</v>
      </c>
      <c r="J818" s="17">
        <v>0</v>
      </c>
      <c r="K818" s="34">
        <v>4502306095</v>
      </c>
      <c r="L818" s="19">
        <v>5081412481</v>
      </c>
      <c r="M818" s="20">
        <v>5113240807</v>
      </c>
      <c r="N818" s="23"/>
      <c r="O818" s="9"/>
      <c r="P818" s="23"/>
      <c r="Q818" s="24" t="s">
        <v>31</v>
      </c>
      <c r="R818" s="25">
        <v>44664</v>
      </c>
      <c r="S818" s="28"/>
      <c r="T818" s="35"/>
      <c r="U818" s="35"/>
      <c r="V818" s="29"/>
      <c r="W818" s="35"/>
      <c r="X818" s="29"/>
      <c r="Y818" s="36"/>
      <c r="Z818" s="29"/>
      <c r="AA818" s="31">
        <f t="shared" si="1"/>
        <v>44664</v>
      </c>
      <c r="AB818" s="32" t="str">
        <f t="shared" si="5"/>
        <v>abril</v>
      </c>
    </row>
    <row r="819" spans="1:28" ht="12.75">
      <c r="A819" s="9" t="s">
        <v>39</v>
      </c>
      <c r="B819" s="10">
        <v>44667</v>
      </c>
      <c r="C819" s="11">
        <v>44669</v>
      </c>
      <c r="D819" s="49">
        <v>15</v>
      </c>
      <c r="E819" s="13" t="s">
        <v>1153</v>
      </c>
      <c r="F819" s="13">
        <v>3025460</v>
      </c>
      <c r="G819" s="37">
        <v>13616.5</v>
      </c>
      <c r="H819" s="33">
        <v>8700</v>
      </c>
      <c r="I819" s="16">
        <f>H819*G819</f>
        <v>118463550</v>
      </c>
      <c r="J819" s="17">
        <v>28</v>
      </c>
      <c r="K819" s="34">
        <v>4502306096</v>
      </c>
      <c r="L819" s="19">
        <v>5081412480</v>
      </c>
      <c r="M819" s="20">
        <v>5113238941</v>
      </c>
      <c r="N819" s="23"/>
      <c r="O819" s="23" t="s">
        <v>37</v>
      </c>
      <c r="P819" s="23" t="s">
        <v>1154</v>
      </c>
      <c r="Q819" s="24" t="s">
        <v>31</v>
      </c>
      <c r="R819" s="25">
        <v>44664</v>
      </c>
      <c r="S819" s="28"/>
      <c r="T819" s="35"/>
      <c r="U819" s="35"/>
      <c r="V819" s="29"/>
      <c r="W819" s="35"/>
      <c r="X819" s="29"/>
      <c r="Y819" s="36"/>
      <c r="Z819" s="29"/>
      <c r="AA819" s="31">
        <f t="shared" si="1"/>
        <v>44664</v>
      </c>
      <c r="AB819" s="32" t="str">
        <f t="shared" si="5"/>
        <v>abril</v>
      </c>
    </row>
    <row r="820" spans="1:28" ht="12.75">
      <c r="A820" s="9" t="s">
        <v>39</v>
      </c>
      <c r="B820" s="10">
        <v>44667</v>
      </c>
      <c r="C820" s="11">
        <v>44669</v>
      </c>
      <c r="D820" s="49">
        <v>15</v>
      </c>
      <c r="E820" s="13" t="s">
        <v>362</v>
      </c>
      <c r="F820" s="13">
        <v>3025460</v>
      </c>
      <c r="G820" s="37">
        <v>13616.5</v>
      </c>
      <c r="H820" s="33">
        <f>8700-8645.93</f>
        <v>54.069999999999709</v>
      </c>
      <c r="I820" s="16">
        <f>-H820*G820</f>
        <v>-736244.15499999607</v>
      </c>
      <c r="J820" s="17">
        <v>0</v>
      </c>
      <c r="K820" s="34">
        <v>4502306096</v>
      </c>
      <c r="L820" s="19">
        <v>5081412480</v>
      </c>
      <c r="M820" s="20">
        <v>5113238944</v>
      </c>
      <c r="N820" s="23"/>
      <c r="O820" s="9"/>
      <c r="P820" s="23"/>
      <c r="Q820" s="24" t="s">
        <v>31</v>
      </c>
      <c r="R820" s="25">
        <v>44664</v>
      </c>
      <c r="S820" s="28"/>
      <c r="T820" s="35"/>
      <c r="U820" s="35"/>
      <c r="V820" s="29"/>
      <c r="W820" s="35"/>
      <c r="X820" s="29"/>
      <c r="Y820" s="36"/>
      <c r="Z820" s="29"/>
      <c r="AA820" s="31">
        <f t="shared" si="1"/>
        <v>44664</v>
      </c>
      <c r="AB820" s="32" t="str">
        <f t="shared" si="5"/>
        <v>abril</v>
      </c>
    </row>
    <row r="821" spans="1:28" ht="12.75">
      <c r="A821" s="9" t="s">
        <v>58</v>
      </c>
      <c r="B821" s="10">
        <v>44671</v>
      </c>
      <c r="C821" s="11">
        <v>44671</v>
      </c>
      <c r="D821" s="49">
        <v>15</v>
      </c>
      <c r="E821" s="13" t="s">
        <v>1155</v>
      </c>
      <c r="F821" s="13">
        <v>3025459</v>
      </c>
      <c r="G821" s="37">
        <v>20965.5</v>
      </c>
      <c r="H821" s="33">
        <v>8750</v>
      </c>
      <c r="I821" s="16">
        <f>H821*G821</f>
        <v>183448125</v>
      </c>
      <c r="J821" s="17">
        <v>46</v>
      </c>
      <c r="K821" s="34">
        <v>4502306097</v>
      </c>
      <c r="L821" s="19">
        <v>5081412483</v>
      </c>
      <c r="M821" s="20">
        <v>5113241217</v>
      </c>
      <c r="N821" s="23"/>
      <c r="O821" s="23" t="s">
        <v>37</v>
      </c>
      <c r="P821" s="23" t="s">
        <v>1133</v>
      </c>
      <c r="Q821" s="24" t="s">
        <v>31</v>
      </c>
      <c r="R821" s="25">
        <v>44664</v>
      </c>
      <c r="S821" s="28"/>
      <c r="T821" s="35"/>
      <c r="U821" s="35"/>
      <c r="V821" s="29"/>
      <c r="W821" s="35"/>
      <c r="X821" s="29"/>
      <c r="Y821" s="36"/>
      <c r="Z821" s="29"/>
      <c r="AA821" s="31">
        <f t="shared" si="1"/>
        <v>44664</v>
      </c>
      <c r="AB821" s="32" t="str">
        <f t="shared" si="5"/>
        <v>abril</v>
      </c>
    </row>
    <row r="822" spans="1:28" ht="12.75">
      <c r="A822" s="9" t="s">
        <v>58</v>
      </c>
      <c r="B822" s="10">
        <v>44671</v>
      </c>
      <c r="C822" s="11">
        <v>44671</v>
      </c>
      <c r="D822" s="49">
        <v>15</v>
      </c>
      <c r="E822" s="13" t="s">
        <v>1156</v>
      </c>
      <c r="F822" s="13">
        <v>3025459</v>
      </c>
      <c r="G822" s="37">
        <v>20965.5</v>
      </c>
      <c r="H822" s="33">
        <f>8750-8646.24</f>
        <v>103.76000000000022</v>
      </c>
      <c r="I822" s="16">
        <f>-H822*G822</f>
        <v>-2175380.2800000045</v>
      </c>
      <c r="J822" s="17">
        <v>0</v>
      </c>
      <c r="K822" s="34">
        <v>4502306097</v>
      </c>
      <c r="L822" s="19">
        <v>5081412483</v>
      </c>
      <c r="M822" s="20">
        <v>5113241219</v>
      </c>
      <c r="N822" s="44"/>
      <c r="O822" s="9"/>
      <c r="P822" s="23"/>
      <c r="Q822" s="24" t="s">
        <v>31</v>
      </c>
      <c r="R822" s="25">
        <v>44664</v>
      </c>
      <c r="S822" s="28"/>
      <c r="T822" s="35"/>
      <c r="U822" s="35"/>
      <c r="V822" s="29"/>
      <c r="W822" s="35"/>
      <c r="X822" s="29"/>
      <c r="Y822" s="36"/>
      <c r="Z822" s="29"/>
      <c r="AA822" s="31">
        <f t="shared" si="1"/>
        <v>44664</v>
      </c>
      <c r="AB822" s="32" t="str">
        <f t="shared" si="5"/>
        <v>abril</v>
      </c>
    </row>
    <row r="823" spans="1:28" ht="12.75">
      <c r="A823" s="9" t="s">
        <v>416</v>
      </c>
      <c r="B823" s="10">
        <v>44664</v>
      </c>
      <c r="C823" s="11">
        <v>44669</v>
      </c>
      <c r="D823" s="49">
        <v>15</v>
      </c>
      <c r="E823" s="13" t="s">
        <v>1157</v>
      </c>
      <c r="F823" s="13">
        <v>3025457</v>
      </c>
      <c r="G823" s="14">
        <v>33674</v>
      </c>
      <c r="H823" s="57">
        <v>8800</v>
      </c>
      <c r="I823" s="16">
        <f t="shared" ref="I823:I825" si="121">H823*G823</f>
        <v>296331200</v>
      </c>
      <c r="J823" s="17">
        <v>72</v>
      </c>
      <c r="K823" s="34">
        <v>4502311367</v>
      </c>
      <c r="L823" s="19">
        <v>5081419339</v>
      </c>
      <c r="M823" s="20">
        <v>5113238945</v>
      </c>
      <c r="N823" s="44"/>
      <c r="O823" s="23" t="s">
        <v>37</v>
      </c>
      <c r="P823" s="23"/>
      <c r="Q823" s="24" t="s">
        <v>357</v>
      </c>
      <c r="R823" s="25">
        <v>44664</v>
      </c>
      <c r="S823" s="28"/>
      <c r="T823" s="35"/>
      <c r="U823" s="35"/>
      <c r="V823" s="29"/>
      <c r="W823" s="35"/>
      <c r="X823" s="29"/>
      <c r="Y823" s="36"/>
      <c r="Z823" s="29"/>
      <c r="AA823" s="31">
        <f t="shared" si="1"/>
        <v>44664</v>
      </c>
      <c r="AB823" s="32" t="str">
        <f t="shared" si="5"/>
        <v>abril</v>
      </c>
    </row>
    <row r="824" spans="1:28" ht="12.75">
      <c r="A824" s="9" t="s">
        <v>58</v>
      </c>
      <c r="B824" s="10">
        <v>44671</v>
      </c>
      <c r="C824" s="11">
        <v>44671</v>
      </c>
      <c r="D824" s="53">
        <v>16</v>
      </c>
      <c r="E824" s="13" t="s">
        <v>1158</v>
      </c>
      <c r="F824" s="13">
        <v>3025460</v>
      </c>
      <c r="G824" s="14">
        <v>69791</v>
      </c>
      <c r="H824" s="33">
        <v>9000</v>
      </c>
      <c r="I824" s="16">
        <f t="shared" si="121"/>
        <v>628119000</v>
      </c>
      <c r="J824" s="17">
        <v>150</v>
      </c>
      <c r="K824" s="34">
        <v>4502310077</v>
      </c>
      <c r="L824" s="19">
        <v>5081424779</v>
      </c>
      <c r="M824" s="20">
        <v>5113241220</v>
      </c>
      <c r="N824" s="23"/>
      <c r="O824" s="23" t="s">
        <v>37</v>
      </c>
      <c r="P824" s="23" t="s">
        <v>1133</v>
      </c>
      <c r="Q824" s="24" t="s">
        <v>31</v>
      </c>
      <c r="R824" s="25">
        <v>44667</v>
      </c>
      <c r="S824" s="28"/>
      <c r="T824" s="35"/>
      <c r="U824" s="35"/>
      <c r="V824" s="29"/>
      <c r="W824" s="35"/>
      <c r="X824" s="29"/>
      <c r="Y824" s="36"/>
      <c r="Z824" s="29"/>
      <c r="AA824" s="31">
        <f t="shared" si="1"/>
        <v>44667</v>
      </c>
      <c r="AB824" s="32" t="str">
        <f t="shared" si="5"/>
        <v>abril</v>
      </c>
    </row>
    <row r="825" spans="1:28" ht="12.75">
      <c r="A825" s="9" t="s">
        <v>58</v>
      </c>
      <c r="B825" s="10">
        <v>44672</v>
      </c>
      <c r="C825" s="11">
        <v>44672</v>
      </c>
      <c r="D825" s="53">
        <v>16</v>
      </c>
      <c r="E825" s="13" t="s">
        <v>1159</v>
      </c>
      <c r="F825" s="13">
        <v>3025460</v>
      </c>
      <c r="G825" s="14">
        <v>47206</v>
      </c>
      <c r="H825" s="33">
        <v>9000</v>
      </c>
      <c r="I825" s="16">
        <f t="shared" si="121"/>
        <v>424854000</v>
      </c>
      <c r="J825" s="17">
        <v>102</v>
      </c>
      <c r="K825" s="34">
        <v>4502310078</v>
      </c>
      <c r="L825" s="19">
        <v>5081423074</v>
      </c>
      <c r="M825" s="20">
        <v>5113250222</v>
      </c>
      <c r="N825" s="23"/>
      <c r="O825" s="23" t="s">
        <v>37</v>
      </c>
      <c r="P825" s="23"/>
      <c r="Q825" s="24" t="s">
        <v>31</v>
      </c>
      <c r="R825" s="25">
        <v>44668</v>
      </c>
      <c r="S825" s="28"/>
      <c r="T825" s="35"/>
      <c r="U825" s="35"/>
      <c r="V825" s="29"/>
      <c r="W825" s="35"/>
      <c r="X825" s="29"/>
      <c r="Y825" s="36"/>
      <c r="Z825" s="29"/>
      <c r="AA825" s="31">
        <f t="shared" si="1"/>
        <v>44668</v>
      </c>
      <c r="AB825" s="32" t="str">
        <f t="shared" si="5"/>
        <v>abril</v>
      </c>
    </row>
    <row r="826" spans="1:28" ht="12.75">
      <c r="A826" s="9" t="s">
        <v>58</v>
      </c>
      <c r="B826" s="10">
        <v>44674</v>
      </c>
      <c r="C826" s="11">
        <v>44674</v>
      </c>
      <c r="D826" s="53">
        <v>16</v>
      </c>
      <c r="E826" s="13" t="s">
        <v>1160</v>
      </c>
      <c r="F826" s="13">
        <v>3025460</v>
      </c>
      <c r="G826" s="14">
        <v>47206</v>
      </c>
      <c r="H826" s="33">
        <f>9000-8945.92</f>
        <v>54.079999999999927</v>
      </c>
      <c r="I826" s="16">
        <f>-H826*G826</f>
        <v>-2552900.4799999967</v>
      </c>
      <c r="J826" s="17">
        <v>0</v>
      </c>
      <c r="K826" s="34">
        <v>4502310078</v>
      </c>
      <c r="L826" s="19">
        <v>5081423074</v>
      </c>
      <c r="M826" s="20">
        <v>5113250223</v>
      </c>
      <c r="N826" s="23"/>
      <c r="O826" s="9"/>
      <c r="P826" s="23"/>
      <c r="Q826" s="24" t="s">
        <v>31</v>
      </c>
      <c r="R826" s="25">
        <v>44668</v>
      </c>
      <c r="S826" s="28"/>
      <c r="T826" s="35"/>
      <c r="U826" s="35"/>
      <c r="V826" s="29"/>
      <c r="W826" s="35"/>
      <c r="X826" s="29"/>
      <c r="Y826" s="36"/>
      <c r="Z826" s="29"/>
      <c r="AA826" s="31">
        <f t="shared" si="1"/>
        <v>44668</v>
      </c>
      <c r="AB826" s="32" t="str">
        <f t="shared" si="5"/>
        <v>abril</v>
      </c>
    </row>
    <row r="827" spans="1:28" ht="12.75">
      <c r="A827" s="9" t="s">
        <v>404</v>
      </c>
      <c r="B827" s="10">
        <v>44668</v>
      </c>
      <c r="C827" s="11">
        <v>44670</v>
      </c>
      <c r="D827" s="53">
        <v>16</v>
      </c>
      <c r="E827" s="13" t="s">
        <v>1161</v>
      </c>
      <c r="F827" s="13">
        <v>3025460</v>
      </c>
      <c r="G827" s="14">
        <v>26481</v>
      </c>
      <c r="H827" s="33">
        <v>9000</v>
      </c>
      <c r="I827" s="16">
        <f t="shared" ref="I827:I830" si="122">H827*G827</f>
        <v>238329000</v>
      </c>
      <c r="J827" s="17">
        <v>60</v>
      </c>
      <c r="K827" s="34">
        <v>4502310079</v>
      </c>
      <c r="L827" s="19">
        <v>5081423075</v>
      </c>
      <c r="M827" s="20">
        <v>5113240360</v>
      </c>
      <c r="N827" s="23"/>
      <c r="O827" s="9" t="s">
        <v>37</v>
      </c>
      <c r="P827" s="23" t="s">
        <v>1162</v>
      </c>
      <c r="Q827" s="24" t="s">
        <v>31</v>
      </c>
      <c r="R827" s="25">
        <v>44668</v>
      </c>
      <c r="S827" s="28"/>
      <c r="T827" s="35"/>
      <c r="U827" s="35"/>
      <c r="V827" s="29"/>
      <c r="W827" s="35"/>
      <c r="X827" s="29"/>
      <c r="Y827" s="36"/>
      <c r="Z827" s="29"/>
      <c r="AA827" s="31">
        <f t="shared" si="1"/>
        <v>44668</v>
      </c>
      <c r="AB827" s="32" t="str">
        <f t="shared" si="5"/>
        <v>abril</v>
      </c>
    </row>
    <row r="828" spans="1:28" ht="12.75">
      <c r="A828" s="9" t="s">
        <v>404</v>
      </c>
      <c r="B828" s="10">
        <v>44668</v>
      </c>
      <c r="C828" s="11">
        <v>44670</v>
      </c>
      <c r="D828" s="53">
        <v>16</v>
      </c>
      <c r="E828" s="13" t="s">
        <v>1161</v>
      </c>
      <c r="F828" s="13">
        <v>3025460</v>
      </c>
      <c r="G828" s="14">
        <v>6463</v>
      </c>
      <c r="H828" s="33">
        <v>9000</v>
      </c>
      <c r="I828" s="16">
        <f t="shared" si="122"/>
        <v>58167000</v>
      </c>
      <c r="J828" s="17">
        <v>14</v>
      </c>
      <c r="K828" s="34">
        <v>4502311265</v>
      </c>
      <c r="L828" s="19">
        <v>5081423075</v>
      </c>
      <c r="M828" s="20">
        <v>5113240360</v>
      </c>
      <c r="N828" s="23"/>
      <c r="O828" s="9" t="s">
        <v>37</v>
      </c>
      <c r="P828" s="23"/>
      <c r="Q828" s="24" t="s">
        <v>31</v>
      </c>
      <c r="R828" s="25">
        <v>44668</v>
      </c>
      <c r="S828" s="28"/>
      <c r="T828" s="35"/>
      <c r="U828" s="35"/>
      <c r="V828" s="29"/>
      <c r="W828" s="35"/>
      <c r="X828" s="29"/>
      <c r="Y828" s="36"/>
      <c r="Z828" s="29"/>
      <c r="AA828" s="31">
        <f t="shared" si="1"/>
        <v>44668</v>
      </c>
      <c r="AB828" s="32" t="str">
        <f t="shared" si="5"/>
        <v>abril</v>
      </c>
    </row>
    <row r="829" spans="1:28" ht="12.75">
      <c r="A829" s="9" t="s">
        <v>404</v>
      </c>
      <c r="B829" s="10">
        <v>44670</v>
      </c>
      <c r="C829" s="11">
        <v>44670</v>
      </c>
      <c r="D829" s="53">
        <v>16</v>
      </c>
      <c r="E829" s="13" t="s">
        <v>163</v>
      </c>
      <c r="F829" s="13">
        <v>3025460</v>
      </c>
      <c r="G829" s="14">
        <v>32944</v>
      </c>
      <c r="H829" s="33">
        <v>40.03</v>
      </c>
      <c r="I829" s="16">
        <f t="shared" si="122"/>
        <v>1318748.32</v>
      </c>
      <c r="J829" s="17">
        <v>0</v>
      </c>
      <c r="K829" s="34">
        <v>4502311265</v>
      </c>
      <c r="L829" s="19">
        <v>5081423075</v>
      </c>
      <c r="M829" s="20">
        <v>5113240365</v>
      </c>
      <c r="N829" s="44"/>
      <c r="O829" s="9"/>
      <c r="P829" s="23"/>
      <c r="Q829" s="24" t="s">
        <v>31</v>
      </c>
      <c r="R829" s="25">
        <v>44668</v>
      </c>
      <c r="S829" s="28"/>
      <c r="T829" s="35"/>
      <c r="U829" s="35"/>
      <c r="V829" s="29"/>
      <c r="W829" s="35"/>
      <c r="X829" s="29"/>
      <c r="Y829" s="36"/>
      <c r="Z829" s="29"/>
      <c r="AA829" s="31">
        <f t="shared" si="1"/>
        <v>44668</v>
      </c>
      <c r="AB829" s="32" t="str">
        <f t="shared" si="5"/>
        <v>abril</v>
      </c>
    </row>
    <row r="830" spans="1:28" ht="12.75">
      <c r="A830" s="9" t="s">
        <v>58</v>
      </c>
      <c r="B830" s="10">
        <v>44672</v>
      </c>
      <c r="C830" s="11">
        <v>44672</v>
      </c>
      <c r="D830" s="53">
        <v>16</v>
      </c>
      <c r="E830" s="13" t="s">
        <v>1163</v>
      </c>
      <c r="F830" s="13">
        <v>3025459</v>
      </c>
      <c r="G830" s="14">
        <v>31115</v>
      </c>
      <c r="H830" s="33">
        <v>9000</v>
      </c>
      <c r="I830" s="16">
        <f t="shared" si="122"/>
        <v>280035000</v>
      </c>
      <c r="J830" s="17">
        <v>73</v>
      </c>
      <c r="K830" s="34">
        <v>4502310080</v>
      </c>
      <c r="L830" s="19">
        <v>5081423076</v>
      </c>
      <c r="M830" s="20">
        <v>5113250224</v>
      </c>
      <c r="N830" s="23"/>
      <c r="O830" s="23" t="s">
        <v>37</v>
      </c>
      <c r="P830" s="23"/>
      <c r="Q830" s="24" t="s">
        <v>31</v>
      </c>
      <c r="R830" s="25">
        <v>44668</v>
      </c>
      <c r="S830" s="28"/>
      <c r="T830" s="35"/>
      <c r="U830" s="35"/>
      <c r="V830" s="29"/>
      <c r="W830" s="35"/>
      <c r="X830" s="29"/>
      <c r="Y830" s="36"/>
      <c r="Z830" s="29"/>
      <c r="AA830" s="31">
        <f t="shared" si="1"/>
        <v>44668</v>
      </c>
      <c r="AB830" s="32" t="str">
        <f t="shared" si="5"/>
        <v>abril</v>
      </c>
    </row>
    <row r="831" spans="1:28" ht="12.75">
      <c r="A831" s="9" t="s">
        <v>58</v>
      </c>
      <c r="B831" s="10">
        <v>44674</v>
      </c>
      <c r="C831" s="11">
        <v>44674</v>
      </c>
      <c r="D831" s="53">
        <v>16</v>
      </c>
      <c r="E831" s="13" t="s">
        <v>1164</v>
      </c>
      <c r="F831" s="13">
        <v>3025459</v>
      </c>
      <c r="G831" s="14">
        <v>31115</v>
      </c>
      <c r="H831" s="33">
        <f>9000-8877.18</f>
        <v>122.81999999999971</v>
      </c>
      <c r="I831" s="16">
        <f>-H831*G831</f>
        <v>-3821544.299999991</v>
      </c>
      <c r="J831" s="17">
        <v>0</v>
      </c>
      <c r="K831" s="34">
        <v>4502310080</v>
      </c>
      <c r="L831" s="19">
        <v>5081423076</v>
      </c>
      <c r="M831" s="20">
        <v>5113250226</v>
      </c>
      <c r="N831" s="23"/>
      <c r="O831" s="9"/>
      <c r="P831" s="23"/>
      <c r="Q831" s="24" t="s">
        <v>31</v>
      </c>
      <c r="R831" s="25">
        <v>44668</v>
      </c>
      <c r="S831" s="28"/>
      <c r="T831" s="35"/>
      <c r="U831" s="35"/>
      <c r="V831" s="29"/>
      <c r="W831" s="35"/>
      <c r="X831" s="29"/>
      <c r="Y831" s="36"/>
      <c r="Z831" s="29"/>
      <c r="AA831" s="31">
        <f t="shared" si="1"/>
        <v>44668</v>
      </c>
      <c r="AB831" s="32" t="str">
        <f t="shared" si="5"/>
        <v>abril</v>
      </c>
    </row>
    <row r="832" spans="1:28" ht="12.75">
      <c r="A832" s="9" t="s">
        <v>80</v>
      </c>
      <c r="B832" s="10">
        <v>44668</v>
      </c>
      <c r="C832" s="11">
        <v>44671</v>
      </c>
      <c r="D832" s="53">
        <v>16</v>
      </c>
      <c r="E832" s="13" t="s">
        <v>1165</v>
      </c>
      <c r="F832" s="13">
        <v>3025460</v>
      </c>
      <c r="G832" s="14">
        <v>37664</v>
      </c>
      <c r="H832" s="57">
        <v>8300</v>
      </c>
      <c r="I832" s="16">
        <f t="shared" ref="I832:I835" si="123">H832*G832</f>
        <v>312611200</v>
      </c>
      <c r="J832" s="17">
        <v>84</v>
      </c>
      <c r="K832" s="34">
        <v>4502313195</v>
      </c>
      <c r="L832" s="19">
        <v>5081457145</v>
      </c>
      <c r="M832" s="20">
        <v>5113243608</v>
      </c>
      <c r="N832" s="23"/>
      <c r="O832" s="9" t="s">
        <v>37</v>
      </c>
      <c r="P832" s="23"/>
      <c r="Q832" s="24" t="s">
        <v>82</v>
      </c>
      <c r="R832" s="25">
        <v>44668</v>
      </c>
      <c r="S832" s="28"/>
      <c r="T832" s="35"/>
      <c r="U832" s="35"/>
      <c r="V832" s="29"/>
      <c r="W832" s="35"/>
      <c r="X832" s="29"/>
      <c r="Y832" s="36"/>
      <c r="Z832" s="29"/>
      <c r="AA832" s="31">
        <f t="shared" si="1"/>
        <v>44668</v>
      </c>
      <c r="AB832" s="32" t="str">
        <f t="shared" si="5"/>
        <v>abril</v>
      </c>
    </row>
    <row r="833" spans="1:28" ht="12.75">
      <c r="A833" s="9" t="s">
        <v>94</v>
      </c>
      <c r="B833" s="10">
        <v>44672</v>
      </c>
      <c r="C833" s="11">
        <v>44672</v>
      </c>
      <c r="D833" s="53">
        <v>16</v>
      </c>
      <c r="E833" s="13" t="s">
        <v>1166</v>
      </c>
      <c r="F833" s="13">
        <v>3025460</v>
      </c>
      <c r="G833" s="14">
        <v>6300</v>
      </c>
      <c r="H833" s="57">
        <v>8400</v>
      </c>
      <c r="I833" s="16">
        <f t="shared" si="123"/>
        <v>52920000</v>
      </c>
      <c r="J833" s="17">
        <v>15</v>
      </c>
      <c r="K833" s="34">
        <v>4502313205</v>
      </c>
      <c r="L833" s="19">
        <v>5081457147</v>
      </c>
      <c r="M833" s="20">
        <v>5113243615</v>
      </c>
      <c r="N833" s="23"/>
      <c r="O833" s="23" t="s">
        <v>63</v>
      </c>
      <c r="P833" s="23"/>
      <c r="Q833" s="24" t="s">
        <v>82</v>
      </c>
      <c r="R833" s="25">
        <v>44668</v>
      </c>
      <c r="S833" s="28"/>
      <c r="T833" s="35"/>
      <c r="U833" s="35"/>
      <c r="V833" s="29"/>
      <c r="W833" s="35"/>
      <c r="X833" s="29"/>
      <c r="Y833" s="36"/>
      <c r="Z833" s="29"/>
      <c r="AA833" s="31">
        <f t="shared" si="1"/>
        <v>44668</v>
      </c>
      <c r="AB833" s="32" t="str">
        <f t="shared" si="5"/>
        <v>abril</v>
      </c>
    </row>
    <row r="834" spans="1:28" ht="12.75">
      <c r="A834" s="9" t="s">
        <v>87</v>
      </c>
      <c r="B834" s="10">
        <v>44668</v>
      </c>
      <c r="C834" s="11"/>
      <c r="D834" s="53">
        <v>16</v>
      </c>
      <c r="E834" s="13" t="s">
        <v>1167</v>
      </c>
      <c r="F834" s="13">
        <v>3025460</v>
      </c>
      <c r="G834" s="14">
        <v>25028</v>
      </c>
      <c r="H834" s="57">
        <v>8600</v>
      </c>
      <c r="I834" s="16">
        <f t="shared" si="123"/>
        <v>215240800</v>
      </c>
      <c r="J834" s="17">
        <v>56</v>
      </c>
      <c r="K834" s="34">
        <v>4502313210</v>
      </c>
      <c r="L834" s="19">
        <v>5081457322</v>
      </c>
      <c r="M834" s="20">
        <v>5113246518</v>
      </c>
      <c r="N834" s="23"/>
      <c r="O834" s="23" t="s">
        <v>63</v>
      </c>
      <c r="P834" s="23"/>
      <c r="Q834" s="24" t="s">
        <v>82</v>
      </c>
      <c r="R834" s="25">
        <v>44668</v>
      </c>
      <c r="S834" s="28"/>
      <c r="T834" s="35"/>
      <c r="U834" s="35"/>
      <c r="V834" s="29"/>
      <c r="W834" s="35"/>
      <c r="X834" s="29"/>
      <c r="Y834" s="36"/>
      <c r="Z834" s="29"/>
      <c r="AA834" s="31">
        <f t="shared" si="1"/>
        <v>44668</v>
      </c>
      <c r="AB834" s="32" t="str">
        <f t="shared" si="5"/>
        <v>abril</v>
      </c>
    </row>
    <row r="835" spans="1:28" ht="12.75">
      <c r="A835" s="9" t="s">
        <v>58</v>
      </c>
      <c r="B835" s="10">
        <v>44672</v>
      </c>
      <c r="C835" s="11">
        <v>44672</v>
      </c>
      <c r="D835" s="53">
        <v>16</v>
      </c>
      <c r="E835" s="13" t="s">
        <v>1168</v>
      </c>
      <c r="F835" s="13">
        <v>3025460</v>
      </c>
      <c r="G835" s="37">
        <v>35128.5</v>
      </c>
      <c r="H835" s="33">
        <v>9000</v>
      </c>
      <c r="I835" s="16">
        <f t="shared" si="123"/>
        <v>316156500</v>
      </c>
      <c r="J835" s="17">
        <v>77</v>
      </c>
      <c r="K835" s="34">
        <v>4502310081</v>
      </c>
      <c r="L835" s="19">
        <v>5081439028</v>
      </c>
      <c r="M835" s="20">
        <v>5113250297</v>
      </c>
      <c r="N835" s="23"/>
      <c r="O835" s="23" t="s">
        <v>37</v>
      </c>
      <c r="P835" s="23"/>
      <c r="Q835" s="24" t="s">
        <v>31</v>
      </c>
      <c r="R835" s="25">
        <v>44669</v>
      </c>
      <c r="S835" s="28"/>
      <c r="T835" s="35"/>
      <c r="U835" s="35"/>
      <c r="V835" s="29"/>
      <c r="W835" s="35"/>
      <c r="X835" s="29"/>
      <c r="Y835" s="36"/>
      <c r="Z835" s="29"/>
      <c r="AA835" s="31">
        <f t="shared" si="1"/>
        <v>44669</v>
      </c>
      <c r="AB835" s="32" t="str">
        <f t="shared" si="5"/>
        <v>abril</v>
      </c>
    </row>
    <row r="836" spans="1:28" ht="12.75">
      <c r="A836" s="9" t="s">
        <v>58</v>
      </c>
      <c r="B836" s="10">
        <v>44674</v>
      </c>
      <c r="C836" s="11">
        <v>44674</v>
      </c>
      <c r="D836" s="53">
        <v>16</v>
      </c>
      <c r="E836" s="13" t="s">
        <v>1169</v>
      </c>
      <c r="F836" s="13">
        <v>3025460</v>
      </c>
      <c r="G836" s="37">
        <v>35128.5</v>
      </c>
      <c r="H836" s="33">
        <f>9000-8987.63</f>
        <v>12.3700000000008</v>
      </c>
      <c r="I836" s="16">
        <f>-H836*G836</f>
        <v>-434539.5450000281</v>
      </c>
      <c r="J836" s="17">
        <v>0</v>
      </c>
      <c r="K836" s="34">
        <v>4502310081</v>
      </c>
      <c r="L836" s="19">
        <v>5081439028</v>
      </c>
      <c r="M836" s="20">
        <v>5113250299</v>
      </c>
      <c r="N836" s="23"/>
      <c r="O836" s="9"/>
      <c r="P836" s="23"/>
      <c r="Q836" s="24" t="s">
        <v>31</v>
      </c>
      <c r="R836" s="25">
        <v>44669</v>
      </c>
      <c r="S836" s="28"/>
      <c r="T836" s="35"/>
      <c r="U836" s="35"/>
      <c r="V836" s="29"/>
      <c r="W836" s="35"/>
      <c r="X836" s="29"/>
      <c r="Y836" s="36"/>
      <c r="Z836" s="29"/>
      <c r="AA836" s="31">
        <f t="shared" si="1"/>
        <v>44669</v>
      </c>
      <c r="AB836" s="32" t="str">
        <f t="shared" si="5"/>
        <v>abril</v>
      </c>
    </row>
    <row r="837" spans="1:28" ht="12.75">
      <c r="A837" s="9" t="s">
        <v>338</v>
      </c>
      <c r="B837" s="10">
        <v>44672</v>
      </c>
      <c r="C837" s="11"/>
      <c r="D837" s="53">
        <v>16</v>
      </c>
      <c r="E837" s="13" t="s">
        <v>1170</v>
      </c>
      <c r="F837" s="13">
        <v>3025460</v>
      </c>
      <c r="G837" s="14">
        <v>6562</v>
      </c>
      <c r="H837" s="33">
        <v>8400</v>
      </c>
      <c r="I837" s="16">
        <f t="shared" ref="I837:I840" si="124">H837*G837</f>
        <v>55120800</v>
      </c>
      <c r="J837" s="17">
        <v>14</v>
      </c>
      <c r="K837" s="34">
        <v>4502310082</v>
      </c>
      <c r="L837" s="19">
        <v>5081438772</v>
      </c>
      <c r="M837" s="20">
        <v>5113247954</v>
      </c>
      <c r="N837" s="44"/>
      <c r="O837" s="23" t="s">
        <v>63</v>
      </c>
      <c r="P837" s="23"/>
      <c r="Q837" s="24" t="s">
        <v>31</v>
      </c>
      <c r="R837" s="25">
        <v>44669</v>
      </c>
      <c r="S837" s="28"/>
      <c r="T837" s="35"/>
      <c r="U837" s="35"/>
      <c r="V837" s="29"/>
      <c r="W837" s="35"/>
      <c r="X837" s="29"/>
      <c r="Y837" s="36"/>
      <c r="Z837" s="29"/>
      <c r="AA837" s="31">
        <f t="shared" si="1"/>
        <v>44669</v>
      </c>
      <c r="AB837" s="32" t="str">
        <f t="shared" si="5"/>
        <v>abril</v>
      </c>
    </row>
    <row r="838" spans="1:28" ht="12.75">
      <c r="A838" s="9" t="s">
        <v>135</v>
      </c>
      <c r="B838" s="10">
        <v>44673</v>
      </c>
      <c r="C838" s="11">
        <v>44673</v>
      </c>
      <c r="D838" s="53">
        <v>16</v>
      </c>
      <c r="E838" s="13" t="s">
        <v>1171</v>
      </c>
      <c r="F838" s="13">
        <v>3025460</v>
      </c>
      <c r="G838" s="14">
        <v>10756</v>
      </c>
      <c r="H838" s="33">
        <v>8750</v>
      </c>
      <c r="I838" s="16">
        <f t="shared" si="124"/>
        <v>94115000</v>
      </c>
      <c r="J838" s="17">
        <v>26</v>
      </c>
      <c r="K838" s="34">
        <v>4502310084</v>
      </c>
      <c r="L838" s="19">
        <v>5081438773</v>
      </c>
      <c r="M838" s="20">
        <v>5113250220</v>
      </c>
      <c r="N838" s="23"/>
      <c r="O838" s="23" t="s">
        <v>37</v>
      </c>
      <c r="P838" s="23"/>
      <c r="Q838" s="24" t="s">
        <v>31</v>
      </c>
      <c r="R838" s="25">
        <v>44669</v>
      </c>
      <c r="S838" s="28"/>
      <c r="T838" s="35"/>
      <c r="U838" s="35"/>
      <c r="V838" s="29"/>
      <c r="W838" s="35"/>
      <c r="X838" s="29"/>
      <c r="Y838" s="36"/>
      <c r="Z838" s="29"/>
      <c r="AA838" s="31">
        <f t="shared" si="1"/>
        <v>44669</v>
      </c>
      <c r="AB838" s="32" t="str">
        <f t="shared" si="5"/>
        <v>abril</v>
      </c>
    </row>
    <row r="839" spans="1:28" ht="12.75">
      <c r="A839" s="9" t="s">
        <v>135</v>
      </c>
      <c r="B839" s="10">
        <v>44673</v>
      </c>
      <c r="C839" s="11">
        <v>44673</v>
      </c>
      <c r="D839" s="53">
        <v>16</v>
      </c>
      <c r="E839" s="13" t="s">
        <v>1013</v>
      </c>
      <c r="F839" s="13">
        <v>3025460</v>
      </c>
      <c r="G839" s="14">
        <v>10756</v>
      </c>
      <c r="H839" s="33">
        <v>32.43</v>
      </c>
      <c r="I839" s="16">
        <f t="shared" si="124"/>
        <v>348817.08</v>
      </c>
      <c r="J839" s="17">
        <v>0</v>
      </c>
      <c r="K839" s="34">
        <v>4502310084</v>
      </c>
      <c r="L839" s="19">
        <v>5081438773</v>
      </c>
      <c r="M839" s="20">
        <v>5113256449</v>
      </c>
      <c r="N839" s="23"/>
      <c r="O839" s="9"/>
      <c r="P839" s="23"/>
      <c r="Q839" s="24" t="s">
        <v>31</v>
      </c>
      <c r="R839" s="25">
        <v>44669</v>
      </c>
      <c r="S839" s="28"/>
      <c r="T839" s="35"/>
      <c r="U839" s="35"/>
      <c r="V839" s="29"/>
      <c r="W839" s="35"/>
      <c r="X839" s="29"/>
      <c r="Y839" s="36"/>
      <c r="Z839" s="29"/>
      <c r="AA839" s="31">
        <f t="shared" si="1"/>
        <v>44669</v>
      </c>
      <c r="AB839" s="32" t="str">
        <f t="shared" si="5"/>
        <v>abril</v>
      </c>
    </row>
    <row r="840" spans="1:28" ht="12.75">
      <c r="A840" s="9" t="s">
        <v>1102</v>
      </c>
      <c r="B840" s="10">
        <v>44672</v>
      </c>
      <c r="C840" s="11">
        <v>44672</v>
      </c>
      <c r="D840" s="53">
        <v>16</v>
      </c>
      <c r="E840" s="13" t="s">
        <v>1172</v>
      </c>
      <c r="F840" s="13">
        <v>3025460</v>
      </c>
      <c r="G840" s="37">
        <v>20863.5</v>
      </c>
      <c r="H840" s="33">
        <v>8900</v>
      </c>
      <c r="I840" s="16">
        <f t="shared" si="124"/>
        <v>185685150</v>
      </c>
      <c r="J840" s="17">
        <v>45</v>
      </c>
      <c r="K840" s="34">
        <v>4502310085</v>
      </c>
      <c r="L840" s="19">
        <v>5081439029</v>
      </c>
      <c r="M840" s="20">
        <v>5113255621</v>
      </c>
      <c r="N840" s="23"/>
      <c r="O840" s="9" t="s">
        <v>382</v>
      </c>
      <c r="P840" s="96" t="s">
        <v>1106</v>
      </c>
      <c r="Q840" s="24" t="s">
        <v>31</v>
      </c>
      <c r="R840" s="25">
        <v>44669</v>
      </c>
      <c r="S840" s="28"/>
      <c r="T840" s="35"/>
      <c r="U840" s="35"/>
      <c r="V840" s="29"/>
      <c r="W840" s="35"/>
      <c r="X840" s="29"/>
      <c r="Y840" s="36"/>
      <c r="Z840" s="29"/>
      <c r="AA840" s="31">
        <f t="shared" si="1"/>
        <v>44669</v>
      </c>
      <c r="AB840" s="32" t="str">
        <f t="shared" si="5"/>
        <v>abril</v>
      </c>
    </row>
    <row r="841" spans="1:28" ht="12.75">
      <c r="A841" s="9" t="s">
        <v>1102</v>
      </c>
      <c r="B841" s="10">
        <v>44672</v>
      </c>
      <c r="C841" s="11">
        <v>44672</v>
      </c>
      <c r="D841" s="53">
        <v>16</v>
      </c>
      <c r="E841" s="13" t="s">
        <v>1173</v>
      </c>
      <c r="F841" s="13">
        <v>3025460</v>
      </c>
      <c r="G841" s="37">
        <v>20863.5</v>
      </c>
      <c r="H841" s="33">
        <f>8900-8867.42</f>
        <v>32.579999999999927</v>
      </c>
      <c r="I841" s="16">
        <f>-H841*G841</f>
        <v>-679732.82999999844</v>
      </c>
      <c r="J841" s="17">
        <v>0</v>
      </c>
      <c r="K841" s="34">
        <v>4502310085</v>
      </c>
      <c r="L841" s="19">
        <v>5081439029</v>
      </c>
      <c r="M841" s="20">
        <v>5113255622</v>
      </c>
      <c r="N841" s="23"/>
      <c r="O841" s="9"/>
      <c r="P841" s="23"/>
      <c r="Q841" s="24" t="s">
        <v>31</v>
      </c>
      <c r="R841" s="25">
        <v>44669</v>
      </c>
      <c r="S841" s="28"/>
      <c r="T841" s="35"/>
      <c r="U841" s="35"/>
      <c r="V841" s="29"/>
      <c r="W841" s="35"/>
      <c r="X841" s="29"/>
      <c r="Y841" s="36"/>
      <c r="Z841" s="29"/>
      <c r="AA841" s="31">
        <f t="shared" si="1"/>
        <v>44669</v>
      </c>
      <c r="AB841" s="32" t="str">
        <f t="shared" si="5"/>
        <v>abril</v>
      </c>
    </row>
    <row r="842" spans="1:28" ht="12.75">
      <c r="A842" s="9" t="s">
        <v>404</v>
      </c>
      <c r="B842" s="10">
        <v>44671</v>
      </c>
      <c r="C842" s="11">
        <v>44671</v>
      </c>
      <c r="D842" s="53">
        <v>16</v>
      </c>
      <c r="E842" s="13" t="s">
        <v>1174</v>
      </c>
      <c r="F842" s="13">
        <v>3025459</v>
      </c>
      <c r="G842" s="14">
        <v>26744</v>
      </c>
      <c r="H842" s="33">
        <v>9000</v>
      </c>
      <c r="I842" s="16">
        <f t="shared" ref="I842:I847" si="125">H842*G842</f>
        <v>240696000</v>
      </c>
      <c r="J842" s="17">
        <v>58</v>
      </c>
      <c r="K842" s="34">
        <v>4502310086</v>
      </c>
      <c r="L842" s="19">
        <v>5081439030</v>
      </c>
      <c r="M842" s="20">
        <v>5113244032</v>
      </c>
      <c r="N842" s="44"/>
      <c r="O842" s="9" t="s">
        <v>37</v>
      </c>
      <c r="P842" s="23"/>
      <c r="Q842" s="24" t="s">
        <v>31</v>
      </c>
      <c r="R842" s="25">
        <v>44669</v>
      </c>
      <c r="S842" s="28"/>
      <c r="T842" s="35"/>
      <c r="U842" s="35"/>
      <c r="V842" s="29"/>
      <c r="W842" s="35"/>
      <c r="X842" s="29"/>
      <c r="Y842" s="36"/>
      <c r="Z842" s="29"/>
      <c r="AA842" s="31">
        <f t="shared" si="1"/>
        <v>44669</v>
      </c>
      <c r="AB842" s="32" t="str">
        <f t="shared" si="5"/>
        <v>abril</v>
      </c>
    </row>
    <row r="843" spans="1:28" ht="12.75">
      <c r="A843" s="9" t="s">
        <v>404</v>
      </c>
      <c r="B843" s="10">
        <v>44671</v>
      </c>
      <c r="C843" s="11">
        <v>44671</v>
      </c>
      <c r="D843" s="53">
        <v>16</v>
      </c>
      <c r="E843" s="13" t="s">
        <v>1174</v>
      </c>
      <c r="F843" s="13">
        <v>3025459</v>
      </c>
      <c r="G843" s="37">
        <v>6992.5</v>
      </c>
      <c r="H843" s="33">
        <v>9000</v>
      </c>
      <c r="I843" s="16">
        <f t="shared" si="125"/>
        <v>62932500</v>
      </c>
      <c r="J843" s="17">
        <v>14</v>
      </c>
      <c r="K843" s="34">
        <v>4502312197</v>
      </c>
      <c r="L843" s="19">
        <v>5081439030</v>
      </c>
      <c r="M843" s="20">
        <v>5113244032</v>
      </c>
      <c r="N843" s="44"/>
      <c r="O843" s="9" t="s">
        <v>37</v>
      </c>
      <c r="P843" s="23"/>
      <c r="Q843" s="24" t="s">
        <v>31</v>
      </c>
      <c r="R843" s="25">
        <v>44669</v>
      </c>
      <c r="S843" s="28"/>
      <c r="T843" s="35"/>
      <c r="U843" s="35"/>
      <c r="V843" s="29"/>
      <c r="W843" s="35"/>
      <c r="X843" s="29"/>
      <c r="Y843" s="36"/>
      <c r="Z843" s="29"/>
      <c r="AA843" s="31">
        <f t="shared" si="1"/>
        <v>44669</v>
      </c>
      <c r="AB843" s="32" t="str">
        <f t="shared" si="5"/>
        <v>abril</v>
      </c>
    </row>
    <row r="844" spans="1:28" ht="12.75">
      <c r="A844" s="9" t="s">
        <v>28</v>
      </c>
      <c r="B844" s="10">
        <v>44671</v>
      </c>
      <c r="C844" s="11">
        <v>44671</v>
      </c>
      <c r="D844" s="53">
        <v>16</v>
      </c>
      <c r="E844" s="13" t="s">
        <v>1175</v>
      </c>
      <c r="F844" s="13">
        <v>3025457</v>
      </c>
      <c r="G844" s="14">
        <v>27903</v>
      </c>
      <c r="H844" s="15">
        <v>7900</v>
      </c>
      <c r="I844" s="16">
        <f t="shared" si="125"/>
        <v>220433700</v>
      </c>
      <c r="J844" s="17">
        <v>56</v>
      </c>
      <c r="K844" s="34">
        <v>4502311847</v>
      </c>
      <c r="L844" s="19">
        <v>5081425219</v>
      </c>
      <c r="M844" s="20">
        <v>5113243357</v>
      </c>
      <c r="N844" s="44"/>
      <c r="O844" s="22" t="s">
        <v>1176</v>
      </c>
      <c r="P844" s="23" t="s">
        <v>63</v>
      </c>
      <c r="Q844" s="24" t="s">
        <v>31</v>
      </c>
      <c r="R844" s="25">
        <v>44669</v>
      </c>
      <c r="S844" s="28">
        <v>4902250637</v>
      </c>
      <c r="T844" s="28">
        <f>2982600*4</f>
        <v>11930400</v>
      </c>
      <c r="U844" s="28" t="s">
        <v>1177</v>
      </c>
      <c r="V844" s="29">
        <v>5113237958</v>
      </c>
      <c r="W844" s="35"/>
      <c r="X844" s="29"/>
      <c r="Y844" s="36"/>
      <c r="Z844" s="29"/>
      <c r="AA844" s="31">
        <f t="shared" si="1"/>
        <v>44669</v>
      </c>
      <c r="AB844" s="32" t="str">
        <f t="shared" si="5"/>
        <v>abril</v>
      </c>
    </row>
    <row r="845" spans="1:28" ht="12.75">
      <c r="A845" s="9" t="s">
        <v>606</v>
      </c>
      <c r="B845" s="10">
        <v>44669</v>
      </c>
      <c r="C845" s="11">
        <v>44672</v>
      </c>
      <c r="D845" s="53">
        <v>16</v>
      </c>
      <c r="E845" s="13" t="s">
        <v>1178</v>
      </c>
      <c r="F845" s="13">
        <v>3025457</v>
      </c>
      <c r="G845" s="14">
        <v>13867</v>
      </c>
      <c r="H845" s="33">
        <v>8200</v>
      </c>
      <c r="I845" s="16">
        <f t="shared" si="125"/>
        <v>113709400</v>
      </c>
      <c r="J845" s="17">
        <v>30</v>
      </c>
      <c r="K845" s="34">
        <v>4502310087</v>
      </c>
      <c r="L845" s="19">
        <v>5081438774</v>
      </c>
      <c r="M845" s="20">
        <v>5113247894</v>
      </c>
      <c r="N845" s="23"/>
      <c r="O845" s="23" t="s">
        <v>63</v>
      </c>
      <c r="P845" s="23"/>
      <c r="Q845" s="24" t="s">
        <v>31</v>
      </c>
      <c r="R845" s="25">
        <v>44669</v>
      </c>
      <c r="S845" s="28"/>
      <c r="T845" s="35"/>
      <c r="U845" s="35"/>
      <c r="V845" s="29"/>
      <c r="W845" s="35"/>
      <c r="X845" s="29"/>
      <c r="Y845" s="36"/>
      <c r="Z845" s="29"/>
      <c r="AA845" s="31">
        <f t="shared" si="1"/>
        <v>44669</v>
      </c>
      <c r="AB845" s="32" t="str">
        <f t="shared" si="5"/>
        <v>abril</v>
      </c>
    </row>
    <row r="846" spans="1:28" ht="12.75">
      <c r="A846" s="9" t="s">
        <v>606</v>
      </c>
      <c r="B846" s="10">
        <v>44669</v>
      </c>
      <c r="C846" s="11">
        <v>44672</v>
      </c>
      <c r="D846" s="53">
        <v>16</v>
      </c>
      <c r="E846" s="13" t="s">
        <v>1179</v>
      </c>
      <c r="F846" s="13">
        <v>3025457</v>
      </c>
      <c r="G846" s="14">
        <v>13867</v>
      </c>
      <c r="H846" s="33">
        <v>50</v>
      </c>
      <c r="I846" s="16">
        <f t="shared" si="125"/>
        <v>693350</v>
      </c>
      <c r="J846" s="17">
        <v>0</v>
      </c>
      <c r="K846" s="34">
        <v>4502310087</v>
      </c>
      <c r="L846" s="19">
        <v>5081438774</v>
      </c>
      <c r="M846" s="20">
        <v>5113247909</v>
      </c>
      <c r="N846" s="23"/>
      <c r="O846" s="9"/>
      <c r="P846" s="23"/>
      <c r="Q846" s="24" t="s">
        <v>31</v>
      </c>
      <c r="R846" s="25">
        <v>44669</v>
      </c>
      <c r="S846" s="28"/>
      <c r="T846" s="35"/>
      <c r="U846" s="35"/>
      <c r="V846" s="29"/>
      <c r="W846" s="35"/>
      <c r="X846" s="29"/>
      <c r="Y846" s="36"/>
      <c r="Z846" s="29"/>
      <c r="AA846" s="31">
        <f t="shared" si="1"/>
        <v>44669</v>
      </c>
      <c r="AB846" s="32" t="str">
        <f t="shared" si="5"/>
        <v>abril</v>
      </c>
    </row>
    <row r="847" spans="1:28" ht="12.75">
      <c r="A847" s="9" t="s">
        <v>621</v>
      </c>
      <c r="B847" s="10">
        <v>44672</v>
      </c>
      <c r="C847" s="11">
        <v>44673</v>
      </c>
      <c r="D847" s="53">
        <v>16</v>
      </c>
      <c r="E847" s="13" t="s">
        <v>1180</v>
      </c>
      <c r="F847" s="13">
        <v>3025457</v>
      </c>
      <c r="G847" s="14">
        <v>5598</v>
      </c>
      <c r="H847" s="33">
        <v>8000</v>
      </c>
      <c r="I847" s="16">
        <f t="shared" si="125"/>
        <v>44784000</v>
      </c>
      <c r="J847" s="17">
        <v>14</v>
      </c>
      <c r="K847" s="34">
        <v>4502310088</v>
      </c>
      <c r="L847" s="19">
        <v>5081456832</v>
      </c>
      <c r="M847" s="20">
        <v>5113246242</v>
      </c>
      <c r="N847" s="23"/>
      <c r="O847" s="9" t="s">
        <v>63</v>
      </c>
      <c r="P847" s="23"/>
      <c r="Q847" s="24" t="s">
        <v>31</v>
      </c>
      <c r="R847" s="25">
        <v>44670</v>
      </c>
      <c r="S847" s="28"/>
      <c r="T847" s="35"/>
      <c r="U847" s="35"/>
      <c r="V847" s="29"/>
      <c r="W847" s="35"/>
      <c r="X847" s="29"/>
      <c r="Y847" s="36"/>
      <c r="Z847" s="29"/>
      <c r="AA847" s="31">
        <f t="shared" si="1"/>
        <v>44670</v>
      </c>
      <c r="AB847" s="32" t="str">
        <f t="shared" si="5"/>
        <v>abril</v>
      </c>
    </row>
    <row r="848" spans="1:28" ht="12.75">
      <c r="A848" s="9" t="s">
        <v>621</v>
      </c>
      <c r="B848" s="10">
        <v>44672</v>
      </c>
      <c r="C848" s="11">
        <v>44673</v>
      </c>
      <c r="D848" s="53">
        <v>16</v>
      </c>
      <c r="E848" s="13" t="s">
        <v>1181</v>
      </c>
      <c r="F848" s="13">
        <v>3025457</v>
      </c>
      <c r="G848" s="14">
        <v>5598</v>
      </c>
      <c r="H848" s="33">
        <f>8000-7859.61</f>
        <v>140.39000000000033</v>
      </c>
      <c r="I848" s="16">
        <f>-H848*G848</f>
        <v>-785903.22000000183</v>
      </c>
      <c r="J848" s="17">
        <v>0</v>
      </c>
      <c r="K848" s="34">
        <v>4502310088</v>
      </c>
      <c r="L848" s="19">
        <v>5081456832</v>
      </c>
      <c r="M848" s="20">
        <v>5113246243</v>
      </c>
      <c r="N848" s="23"/>
      <c r="O848" s="9"/>
      <c r="P848" s="23"/>
      <c r="Q848" s="24" t="s">
        <v>31</v>
      </c>
      <c r="R848" s="25">
        <v>44670</v>
      </c>
      <c r="S848" s="28"/>
      <c r="T848" s="35"/>
      <c r="U848" s="35"/>
      <c r="V848" s="29"/>
      <c r="W848" s="35"/>
      <c r="X848" s="29"/>
      <c r="Y848" s="36"/>
      <c r="Z848" s="29"/>
      <c r="AA848" s="31">
        <f t="shared" si="1"/>
        <v>44670</v>
      </c>
      <c r="AB848" s="32" t="str">
        <f t="shared" si="5"/>
        <v>abril</v>
      </c>
    </row>
    <row r="849" spans="1:28" ht="12.75">
      <c r="A849" s="9" t="s">
        <v>296</v>
      </c>
      <c r="B849" s="10">
        <v>44672</v>
      </c>
      <c r="C849" s="11">
        <v>44672</v>
      </c>
      <c r="D849" s="53">
        <v>16</v>
      </c>
      <c r="E849" s="13" t="s">
        <v>1182</v>
      </c>
      <c r="F849" s="13">
        <v>3025460</v>
      </c>
      <c r="G849" s="14">
        <v>6915</v>
      </c>
      <c r="H849" s="33">
        <v>8700</v>
      </c>
      <c r="I849" s="16">
        <f t="shared" ref="I849:I850" si="126">H849*G849</f>
        <v>60160500</v>
      </c>
      <c r="J849" s="17">
        <v>14</v>
      </c>
      <c r="K849" s="34">
        <v>4502310089</v>
      </c>
      <c r="L849" s="19">
        <v>5081456833</v>
      </c>
      <c r="M849" s="20">
        <v>5113245078</v>
      </c>
      <c r="N849" s="44"/>
      <c r="O849" s="23" t="s">
        <v>63</v>
      </c>
      <c r="P849" s="23"/>
      <c r="Q849" s="24" t="s">
        <v>31</v>
      </c>
      <c r="R849" s="25">
        <v>44670</v>
      </c>
      <c r="S849" s="28"/>
      <c r="T849" s="35"/>
      <c r="U849" s="35"/>
      <c r="V849" s="29"/>
      <c r="W849" s="35"/>
      <c r="X849" s="29"/>
      <c r="Y849" s="36"/>
      <c r="Z849" s="29"/>
      <c r="AA849" s="31">
        <f t="shared" si="1"/>
        <v>44670</v>
      </c>
      <c r="AB849" s="32" t="str">
        <f t="shared" si="5"/>
        <v>abril</v>
      </c>
    </row>
    <row r="850" spans="1:28" ht="12.75">
      <c r="A850" s="9" t="s">
        <v>1183</v>
      </c>
      <c r="B850" s="10">
        <v>44672</v>
      </c>
      <c r="C850" s="11">
        <v>44672</v>
      </c>
      <c r="D850" s="53">
        <v>16</v>
      </c>
      <c r="E850" s="13" t="s">
        <v>1184</v>
      </c>
      <c r="F850" s="13">
        <v>3025460</v>
      </c>
      <c r="G850" s="37">
        <v>13369.5</v>
      </c>
      <c r="H850" s="33">
        <v>8800</v>
      </c>
      <c r="I850" s="16">
        <f t="shared" si="126"/>
        <v>117651600</v>
      </c>
      <c r="J850" s="17">
        <v>28</v>
      </c>
      <c r="K850" s="34">
        <v>4502310090</v>
      </c>
      <c r="L850" s="19">
        <v>5081456834</v>
      </c>
      <c r="M850" s="20">
        <v>5113246240</v>
      </c>
      <c r="N850" s="23"/>
      <c r="O850" s="9" t="s">
        <v>63</v>
      </c>
      <c r="P850" s="23"/>
      <c r="Q850" s="24" t="s">
        <v>31</v>
      </c>
      <c r="R850" s="25">
        <v>44670</v>
      </c>
      <c r="S850" s="28"/>
      <c r="T850" s="35"/>
      <c r="U850" s="35"/>
      <c r="V850" s="29"/>
      <c r="W850" s="35"/>
      <c r="X850" s="29"/>
      <c r="Y850" s="36"/>
      <c r="Z850" s="29"/>
      <c r="AA850" s="31">
        <f t="shared" si="1"/>
        <v>44670</v>
      </c>
      <c r="AB850" s="32" t="str">
        <f t="shared" si="5"/>
        <v>abril</v>
      </c>
    </row>
    <row r="851" spans="1:28" ht="12.75">
      <c r="A851" s="9" t="s">
        <v>1183</v>
      </c>
      <c r="B851" s="10">
        <v>44672</v>
      </c>
      <c r="C851" s="11">
        <v>44672</v>
      </c>
      <c r="D851" s="53">
        <v>16</v>
      </c>
      <c r="E851" s="13" t="s">
        <v>1185</v>
      </c>
      <c r="F851" s="13">
        <v>3025460</v>
      </c>
      <c r="G851" s="37">
        <v>13369.5</v>
      </c>
      <c r="H851" s="33">
        <f>8800-8727.96</f>
        <v>72.040000000000873</v>
      </c>
      <c r="I851" s="16">
        <f>-H851*G851</f>
        <v>-963138.78000001167</v>
      </c>
      <c r="J851" s="17">
        <v>0</v>
      </c>
      <c r="K851" s="34">
        <v>4502310090</v>
      </c>
      <c r="L851" s="19">
        <v>5081456834</v>
      </c>
      <c r="M851" s="20">
        <v>5113246241</v>
      </c>
      <c r="N851" s="23"/>
      <c r="O851" s="9"/>
      <c r="P851" s="23"/>
      <c r="Q851" s="24" t="s">
        <v>31</v>
      </c>
      <c r="R851" s="25">
        <v>44670</v>
      </c>
      <c r="S851" s="28"/>
      <c r="T851" s="35"/>
      <c r="U851" s="35"/>
      <c r="V851" s="29"/>
      <c r="W851" s="35"/>
      <c r="X851" s="29"/>
      <c r="Y851" s="36"/>
      <c r="Z851" s="29"/>
      <c r="AA851" s="31">
        <f t="shared" si="1"/>
        <v>44670</v>
      </c>
      <c r="AB851" s="32" t="str">
        <f t="shared" si="5"/>
        <v>abril</v>
      </c>
    </row>
    <row r="852" spans="1:28" ht="12.75">
      <c r="A852" s="9" t="s">
        <v>404</v>
      </c>
      <c r="B852" s="10">
        <v>44671</v>
      </c>
      <c r="C852" s="11">
        <v>44672</v>
      </c>
      <c r="D852" s="53">
        <v>16</v>
      </c>
      <c r="E852" s="13" t="s">
        <v>1186</v>
      </c>
      <c r="F852" s="13">
        <v>3025460</v>
      </c>
      <c r="G852" s="37">
        <v>5674.5</v>
      </c>
      <c r="H852" s="33">
        <v>8100</v>
      </c>
      <c r="I852" s="16">
        <f>H852*G852</f>
        <v>45963450</v>
      </c>
      <c r="J852" s="17">
        <v>15</v>
      </c>
      <c r="K852" s="34">
        <v>4502310091</v>
      </c>
      <c r="L852" s="19">
        <v>5081456949</v>
      </c>
      <c r="M852" s="20">
        <v>5113244603</v>
      </c>
      <c r="N852" s="44"/>
      <c r="O852" s="9" t="s">
        <v>37</v>
      </c>
      <c r="P852" s="23"/>
      <c r="Q852" s="24" t="s">
        <v>31</v>
      </c>
      <c r="R852" s="25">
        <v>44670</v>
      </c>
      <c r="S852" s="28"/>
      <c r="T852" s="35"/>
      <c r="U852" s="35"/>
      <c r="V852" s="29"/>
      <c r="W852" s="35"/>
      <c r="X852" s="29"/>
      <c r="Y852" s="36"/>
      <c r="Z852" s="29"/>
      <c r="AA852" s="31">
        <f t="shared" si="1"/>
        <v>44670</v>
      </c>
      <c r="AB852" s="32" t="str">
        <f t="shared" si="5"/>
        <v>abril</v>
      </c>
    </row>
    <row r="853" spans="1:28" ht="12.75">
      <c r="A853" s="9" t="s">
        <v>404</v>
      </c>
      <c r="B853" s="10">
        <v>44672</v>
      </c>
      <c r="C853" s="11">
        <v>44672</v>
      </c>
      <c r="D853" s="53">
        <v>16</v>
      </c>
      <c r="E853" s="13" t="s">
        <v>1031</v>
      </c>
      <c r="F853" s="13">
        <v>3025460</v>
      </c>
      <c r="G853" s="37">
        <v>5674.5</v>
      </c>
      <c r="H853" s="33">
        <f>8100-7957.28</f>
        <v>142.72000000000025</v>
      </c>
      <c r="I853" s="16">
        <f>-H853*G853</f>
        <v>-809864.64000000141</v>
      </c>
      <c r="J853" s="17">
        <v>0</v>
      </c>
      <c r="K853" s="34">
        <v>4502310091</v>
      </c>
      <c r="L853" s="19">
        <v>5081456949</v>
      </c>
      <c r="M853" s="20">
        <v>5113244604</v>
      </c>
      <c r="N853" s="44"/>
      <c r="O853" s="9"/>
      <c r="P853" s="23"/>
      <c r="Q853" s="24" t="s">
        <v>31</v>
      </c>
      <c r="R853" s="25">
        <v>44670</v>
      </c>
      <c r="S853" s="28"/>
      <c r="T853" s="35"/>
      <c r="U853" s="35"/>
      <c r="V853" s="29"/>
      <c r="W853" s="35"/>
      <c r="X853" s="29"/>
      <c r="Y853" s="36"/>
      <c r="Z853" s="29"/>
      <c r="AA853" s="31">
        <f t="shared" si="1"/>
        <v>44670</v>
      </c>
      <c r="AB853" s="32" t="str">
        <f t="shared" si="5"/>
        <v>abril</v>
      </c>
    </row>
    <row r="854" spans="1:28" ht="12.75">
      <c r="A854" s="9" t="s">
        <v>404</v>
      </c>
      <c r="B854" s="10">
        <v>44671</v>
      </c>
      <c r="C854" s="11">
        <v>44672</v>
      </c>
      <c r="D854" s="53">
        <v>16</v>
      </c>
      <c r="E854" s="13" t="s">
        <v>1187</v>
      </c>
      <c r="F854" s="13">
        <v>3025460</v>
      </c>
      <c r="G854" s="37">
        <v>13981.5</v>
      </c>
      <c r="H854" s="54">
        <v>8700</v>
      </c>
      <c r="I854" s="16">
        <f t="shared" ref="I854:I855" si="127">H854*G854</f>
        <v>121639050</v>
      </c>
      <c r="J854" s="17">
        <v>30</v>
      </c>
      <c r="K854" s="34">
        <v>4502311915</v>
      </c>
      <c r="L854" s="19">
        <v>5081457065</v>
      </c>
      <c r="M854" s="20">
        <v>5113244606</v>
      </c>
      <c r="N854" s="44"/>
      <c r="O854" s="9" t="s">
        <v>37</v>
      </c>
      <c r="P854" s="23"/>
      <c r="Q854" s="24" t="s">
        <v>31</v>
      </c>
      <c r="R854" s="25">
        <v>44670</v>
      </c>
      <c r="S854" s="28"/>
      <c r="T854" s="35"/>
      <c r="U854" s="35"/>
      <c r="V854" s="29"/>
      <c r="W854" s="35"/>
      <c r="X854" s="29"/>
      <c r="Y854" s="36"/>
      <c r="Z854" s="29"/>
      <c r="AA854" s="31">
        <f t="shared" si="1"/>
        <v>44670</v>
      </c>
      <c r="AB854" s="32" t="str">
        <f t="shared" si="5"/>
        <v>abril</v>
      </c>
    </row>
    <row r="855" spans="1:28" ht="12.75">
      <c r="A855" s="9" t="s">
        <v>404</v>
      </c>
      <c r="B855" s="10">
        <v>44671</v>
      </c>
      <c r="C855" s="11">
        <v>44672</v>
      </c>
      <c r="D855" s="53">
        <v>16</v>
      </c>
      <c r="E855" s="13" t="s">
        <v>1188</v>
      </c>
      <c r="F855" s="13">
        <v>3025460</v>
      </c>
      <c r="G855" s="14">
        <v>7541</v>
      </c>
      <c r="H855" s="54">
        <v>9000</v>
      </c>
      <c r="I855" s="16">
        <f t="shared" si="127"/>
        <v>67869000</v>
      </c>
      <c r="J855" s="17">
        <v>15</v>
      </c>
      <c r="K855" s="34">
        <v>4502311880</v>
      </c>
      <c r="L855" s="19">
        <v>5081457064</v>
      </c>
      <c r="M855" s="20">
        <v>5113244628</v>
      </c>
      <c r="N855" s="44"/>
      <c r="O855" s="9" t="s">
        <v>37</v>
      </c>
      <c r="P855" s="23"/>
      <c r="Q855" s="24" t="s">
        <v>31</v>
      </c>
      <c r="R855" s="25">
        <v>44670</v>
      </c>
      <c r="S855" s="28"/>
      <c r="T855" s="35"/>
      <c r="U855" s="35"/>
      <c r="V855" s="29"/>
      <c r="W855" s="35"/>
      <c r="X855" s="29"/>
      <c r="Y855" s="36"/>
      <c r="Z855" s="29"/>
      <c r="AA855" s="31">
        <f t="shared" si="1"/>
        <v>44670</v>
      </c>
      <c r="AB855" s="32" t="str">
        <f t="shared" si="5"/>
        <v>abril</v>
      </c>
    </row>
    <row r="856" spans="1:28" ht="12.75">
      <c r="A856" s="9" t="s">
        <v>404</v>
      </c>
      <c r="B856" s="10">
        <v>44672</v>
      </c>
      <c r="C856" s="11">
        <v>44672</v>
      </c>
      <c r="D856" s="53">
        <v>16</v>
      </c>
      <c r="E856" s="13" t="s">
        <v>1189</v>
      </c>
      <c r="F856" s="13">
        <v>3025460</v>
      </c>
      <c r="G856" s="14">
        <v>7541</v>
      </c>
      <c r="H856" s="54">
        <f>9000-8994.74</f>
        <v>5.2600000000002183</v>
      </c>
      <c r="I856" s="16">
        <f>-H856*G856</f>
        <v>-39665.660000001648</v>
      </c>
      <c r="J856" s="17">
        <v>0</v>
      </c>
      <c r="K856" s="34">
        <v>4502311880</v>
      </c>
      <c r="L856" s="19">
        <v>5081457064</v>
      </c>
      <c r="M856" s="20">
        <v>5113244616</v>
      </c>
      <c r="N856" s="44"/>
      <c r="O856" s="9"/>
      <c r="P856" s="23"/>
      <c r="Q856" s="24" t="s">
        <v>31</v>
      </c>
      <c r="R856" s="25">
        <v>44670</v>
      </c>
      <c r="S856" s="28"/>
      <c r="T856" s="35"/>
      <c r="U856" s="35"/>
      <c r="V856" s="29"/>
      <c r="W856" s="35"/>
      <c r="X856" s="29"/>
      <c r="Y856" s="36"/>
      <c r="Z856" s="29"/>
      <c r="AA856" s="31">
        <f t="shared" si="1"/>
        <v>44670</v>
      </c>
      <c r="AB856" s="32" t="str">
        <f t="shared" si="5"/>
        <v>abril</v>
      </c>
    </row>
    <row r="857" spans="1:28" ht="12.75">
      <c r="A857" s="9" t="s">
        <v>58</v>
      </c>
      <c r="B857" s="10">
        <v>44677</v>
      </c>
      <c r="C857" s="11">
        <v>44677</v>
      </c>
      <c r="D857" s="53">
        <v>16</v>
      </c>
      <c r="E857" s="13" t="s">
        <v>1190</v>
      </c>
      <c r="F857" s="13">
        <v>3025460</v>
      </c>
      <c r="G857" s="37">
        <v>22486.5</v>
      </c>
      <c r="H857" s="33">
        <v>9000</v>
      </c>
      <c r="I857" s="16">
        <f>H857*G857</f>
        <v>202378500</v>
      </c>
      <c r="J857" s="17">
        <v>45</v>
      </c>
      <c r="K857" s="34">
        <v>4502310093</v>
      </c>
      <c r="L857" s="19">
        <v>5081456835</v>
      </c>
      <c r="M857" s="20">
        <v>5113257531</v>
      </c>
      <c r="N857" s="23"/>
      <c r="O857" s="23" t="s">
        <v>37</v>
      </c>
      <c r="P857" s="23" t="s">
        <v>1191</v>
      </c>
      <c r="Q857" s="24" t="s">
        <v>31</v>
      </c>
      <c r="R857" s="25">
        <v>44670</v>
      </c>
      <c r="S857" s="28"/>
      <c r="T857" s="35"/>
      <c r="U857" s="35"/>
      <c r="V857" s="29"/>
      <c r="W857" s="35"/>
      <c r="X857" s="29"/>
      <c r="Y857" s="36"/>
      <c r="Z857" s="29"/>
      <c r="AA857" s="31">
        <f t="shared" si="1"/>
        <v>44670</v>
      </c>
      <c r="AB857" s="32" t="str">
        <f t="shared" si="5"/>
        <v>abril</v>
      </c>
    </row>
    <row r="858" spans="1:28" ht="12.75">
      <c r="A858" s="9" t="s">
        <v>58</v>
      </c>
      <c r="B858" s="10">
        <v>44677</v>
      </c>
      <c r="C858" s="11">
        <v>44677</v>
      </c>
      <c r="D858" s="53">
        <v>16</v>
      </c>
      <c r="E858" s="13" t="s">
        <v>1192</v>
      </c>
      <c r="F858" s="13">
        <v>3025460</v>
      </c>
      <c r="G858" s="37">
        <v>22486.5</v>
      </c>
      <c r="H858" s="33">
        <f>9000-8984.78</f>
        <v>15.219999999999345</v>
      </c>
      <c r="I858" s="16">
        <f>-H858*G858</f>
        <v>-342244.5299999853</v>
      </c>
      <c r="J858" s="17">
        <v>0</v>
      </c>
      <c r="K858" s="34">
        <v>4502310093</v>
      </c>
      <c r="L858" s="19">
        <v>5081456835</v>
      </c>
      <c r="M858" s="20">
        <v>5113257535</v>
      </c>
      <c r="N858" s="23"/>
      <c r="O858" s="9"/>
      <c r="P858" s="23"/>
      <c r="Q858" s="24" t="s">
        <v>31</v>
      </c>
      <c r="R858" s="25">
        <v>44670</v>
      </c>
      <c r="S858" s="28"/>
      <c r="T858" s="35"/>
      <c r="U858" s="35"/>
      <c r="V858" s="29"/>
      <c r="W858" s="35"/>
      <c r="X858" s="29"/>
      <c r="Y858" s="36"/>
      <c r="Z858" s="29"/>
      <c r="AA858" s="31">
        <f t="shared" si="1"/>
        <v>44670</v>
      </c>
      <c r="AB858" s="32" t="str">
        <f t="shared" si="5"/>
        <v>abril</v>
      </c>
    </row>
    <row r="859" spans="1:28" ht="12.75">
      <c r="A859" s="9" t="s">
        <v>1102</v>
      </c>
      <c r="B859" s="10">
        <v>44672</v>
      </c>
      <c r="C859" s="11">
        <v>44672</v>
      </c>
      <c r="D859" s="53">
        <v>16</v>
      </c>
      <c r="E859" s="13" t="s">
        <v>1193</v>
      </c>
      <c r="F859" s="13">
        <v>3025460</v>
      </c>
      <c r="G859" s="14">
        <v>13192</v>
      </c>
      <c r="H859" s="33">
        <v>8900</v>
      </c>
      <c r="I859" s="16">
        <f>H859*G859</f>
        <v>117408800</v>
      </c>
      <c r="J859" s="17">
        <v>30</v>
      </c>
      <c r="K859" s="34">
        <v>4502310094</v>
      </c>
      <c r="L859" s="19">
        <v>5081456950</v>
      </c>
      <c r="M859" s="20">
        <v>5113255624</v>
      </c>
      <c r="N859" s="23"/>
      <c r="O859" s="9" t="s">
        <v>382</v>
      </c>
      <c r="P859" s="96" t="s">
        <v>1106</v>
      </c>
      <c r="Q859" s="24" t="s">
        <v>31</v>
      </c>
      <c r="R859" s="25">
        <v>44670</v>
      </c>
      <c r="S859" s="28"/>
      <c r="T859" s="35"/>
      <c r="U859" s="35"/>
      <c r="V859" s="29"/>
      <c r="W859" s="35"/>
      <c r="X859" s="29"/>
      <c r="Y859" s="36"/>
      <c r="Z859" s="29"/>
      <c r="AA859" s="31">
        <f t="shared" si="1"/>
        <v>44670</v>
      </c>
      <c r="AB859" s="32" t="str">
        <f t="shared" si="5"/>
        <v>abril</v>
      </c>
    </row>
    <row r="860" spans="1:28" ht="12.75">
      <c r="A860" s="9" t="s">
        <v>1102</v>
      </c>
      <c r="B860" s="10">
        <v>44672</v>
      </c>
      <c r="C860" s="11">
        <v>44672</v>
      </c>
      <c r="D860" s="53">
        <v>16</v>
      </c>
      <c r="E860" s="13" t="s">
        <v>1194</v>
      </c>
      <c r="F860" s="13">
        <v>3025460</v>
      </c>
      <c r="G860" s="14">
        <v>13192</v>
      </c>
      <c r="H860" s="33">
        <f>8900-8885.56</f>
        <v>14.440000000000509</v>
      </c>
      <c r="I860" s="16">
        <f>-H860*G860</f>
        <v>-190492.48000000673</v>
      </c>
      <c r="J860" s="17">
        <v>0</v>
      </c>
      <c r="K860" s="34">
        <v>4502310094</v>
      </c>
      <c r="L860" s="19">
        <v>5081456950</v>
      </c>
      <c r="M860" s="20">
        <v>5113255625</v>
      </c>
      <c r="N860" s="23"/>
      <c r="O860" s="9"/>
      <c r="P860" s="23"/>
      <c r="Q860" s="24" t="s">
        <v>31</v>
      </c>
      <c r="R860" s="25">
        <v>44670</v>
      </c>
      <c r="S860" s="28"/>
      <c r="T860" s="35"/>
      <c r="U860" s="35"/>
      <c r="V860" s="29"/>
      <c r="W860" s="35"/>
      <c r="X860" s="29"/>
      <c r="Y860" s="36"/>
      <c r="Z860" s="29"/>
      <c r="AA860" s="31">
        <f t="shared" si="1"/>
        <v>44670</v>
      </c>
      <c r="AB860" s="32" t="str">
        <f t="shared" si="5"/>
        <v>abril</v>
      </c>
    </row>
    <row r="861" spans="1:28" ht="12.75">
      <c r="A861" s="9" t="s">
        <v>39</v>
      </c>
      <c r="B861" s="10">
        <v>44670</v>
      </c>
      <c r="C861" s="11">
        <v>44672</v>
      </c>
      <c r="D861" s="53">
        <v>16</v>
      </c>
      <c r="E861" s="13" t="s">
        <v>1195</v>
      </c>
      <c r="F861" s="13">
        <v>3025457</v>
      </c>
      <c r="G861" s="37">
        <v>27856.5</v>
      </c>
      <c r="H861" s="33">
        <v>9000</v>
      </c>
      <c r="I861" s="16">
        <f>H861*G861</f>
        <v>250708500</v>
      </c>
      <c r="J861" s="17">
        <v>60</v>
      </c>
      <c r="K861" s="34">
        <v>4502310095</v>
      </c>
      <c r="L861" s="19">
        <v>5081456836</v>
      </c>
      <c r="M861" s="20">
        <v>5113245192</v>
      </c>
      <c r="N861" s="23"/>
      <c r="O861" s="23" t="s">
        <v>37</v>
      </c>
      <c r="P861" s="23"/>
      <c r="Q861" s="24" t="s">
        <v>31</v>
      </c>
      <c r="R861" s="25">
        <v>44670</v>
      </c>
      <c r="S861" s="28"/>
      <c r="T861" s="35"/>
      <c r="U861" s="35"/>
      <c r="V861" s="29"/>
      <c r="W861" s="35"/>
      <c r="X861" s="29"/>
      <c r="Y861" s="36"/>
      <c r="Z861" s="29"/>
      <c r="AA861" s="31">
        <f t="shared" si="1"/>
        <v>44670</v>
      </c>
      <c r="AB861" s="32" t="str">
        <f t="shared" si="5"/>
        <v>abril</v>
      </c>
    </row>
    <row r="862" spans="1:28" ht="12.75">
      <c r="A862" s="9" t="s">
        <v>39</v>
      </c>
      <c r="B862" s="10">
        <v>44672</v>
      </c>
      <c r="C862" s="11">
        <v>44672</v>
      </c>
      <c r="D862" s="53">
        <v>16</v>
      </c>
      <c r="E862" s="13" t="s">
        <v>375</v>
      </c>
      <c r="F862" s="13">
        <v>3025457</v>
      </c>
      <c r="G862" s="37">
        <v>27856.5</v>
      </c>
      <c r="H862" s="33">
        <f>9000-8994.36</f>
        <v>5.6399999999994179</v>
      </c>
      <c r="I862" s="16">
        <f>-H862*G862</f>
        <v>-157110.65999998379</v>
      </c>
      <c r="J862" s="17">
        <v>0</v>
      </c>
      <c r="K862" s="34">
        <v>4502310095</v>
      </c>
      <c r="L862" s="19">
        <v>5081456836</v>
      </c>
      <c r="M862" s="20">
        <v>5113245193</v>
      </c>
      <c r="N862" s="44"/>
      <c r="O862" s="9"/>
      <c r="P862" s="23"/>
      <c r="Q862" s="24" t="s">
        <v>31</v>
      </c>
      <c r="R862" s="25">
        <v>44670</v>
      </c>
      <c r="S862" s="28"/>
      <c r="T862" s="35"/>
      <c r="U862" s="35"/>
      <c r="V862" s="29"/>
      <c r="W862" s="35"/>
      <c r="X862" s="29"/>
      <c r="Y862" s="36"/>
      <c r="Z862" s="29"/>
      <c r="AA862" s="31">
        <f t="shared" si="1"/>
        <v>44670</v>
      </c>
      <c r="AB862" s="32" t="str">
        <f t="shared" si="5"/>
        <v>abril</v>
      </c>
    </row>
    <row r="863" spans="1:28" ht="12.75">
      <c r="A863" s="9" t="s">
        <v>28</v>
      </c>
      <c r="B863" s="10">
        <v>44672</v>
      </c>
      <c r="C863" s="11">
        <v>44673</v>
      </c>
      <c r="D863" s="53">
        <v>16</v>
      </c>
      <c r="E863" s="13" t="s">
        <v>1196</v>
      </c>
      <c r="F863" s="13">
        <v>3025457</v>
      </c>
      <c r="G863" s="14">
        <v>15088</v>
      </c>
      <c r="H863" s="57">
        <v>8147.38</v>
      </c>
      <c r="I863" s="16">
        <f t="shared" ref="I863:I869" si="128">H863*G863</f>
        <v>122927669.44</v>
      </c>
      <c r="J863" s="17">
        <v>30</v>
      </c>
      <c r="K863" s="34">
        <v>4502314046</v>
      </c>
      <c r="L863" s="19">
        <v>5081474683</v>
      </c>
      <c r="M863" s="20">
        <v>5113250042</v>
      </c>
      <c r="N863" s="23"/>
      <c r="O863" s="9" t="s">
        <v>37</v>
      </c>
      <c r="P863" s="23"/>
      <c r="Q863" s="24" t="s">
        <v>671</v>
      </c>
      <c r="R863" s="25">
        <v>44670</v>
      </c>
      <c r="S863" s="28"/>
      <c r="T863" s="35"/>
      <c r="U863" s="35"/>
      <c r="V863" s="29"/>
      <c r="W863" s="35"/>
      <c r="X863" s="29"/>
      <c r="Y863" s="36"/>
      <c r="Z863" s="29"/>
      <c r="AA863" s="31">
        <f t="shared" si="1"/>
        <v>44670</v>
      </c>
      <c r="AB863" s="32" t="str">
        <f t="shared" si="5"/>
        <v>abril</v>
      </c>
    </row>
    <row r="864" spans="1:28" ht="12.75">
      <c r="A864" s="9" t="s">
        <v>976</v>
      </c>
      <c r="B864" s="10">
        <v>44672</v>
      </c>
      <c r="C864" s="11">
        <v>44672</v>
      </c>
      <c r="D864" s="53">
        <v>16</v>
      </c>
      <c r="E864" s="13" t="s">
        <v>1197</v>
      </c>
      <c r="F864" s="13">
        <v>3025457</v>
      </c>
      <c r="G864" s="14">
        <v>13445</v>
      </c>
      <c r="H864" s="57">
        <v>8150</v>
      </c>
      <c r="I864" s="16">
        <f t="shared" si="128"/>
        <v>109576750</v>
      </c>
      <c r="J864" s="17">
        <v>26</v>
      </c>
      <c r="K864" s="34">
        <v>4502314054</v>
      </c>
      <c r="L864" s="19">
        <v>5081474812</v>
      </c>
      <c r="M864" s="20">
        <v>5113247837</v>
      </c>
      <c r="N864" s="23"/>
      <c r="O864" s="22" t="s">
        <v>37</v>
      </c>
      <c r="P864" s="97" t="s">
        <v>1198</v>
      </c>
      <c r="Q864" s="24" t="s">
        <v>671</v>
      </c>
      <c r="R864" s="25">
        <v>44670</v>
      </c>
      <c r="S864" s="28"/>
      <c r="T864" s="35"/>
      <c r="U864" s="35"/>
      <c r="V864" s="29"/>
      <c r="W864" s="35"/>
      <c r="X864" s="29"/>
      <c r="Y864" s="36"/>
      <c r="Z864" s="29"/>
      <c r="AA864" s="31">
        <f t="shared" si="1"/>
        <v>44670</v>
      </c>
      <c r="AB864" s="32" t="str">
        <f t="shared" si="5"/>
        <v>abril</v>
      </c>
    </row>
    <row r="865" spans="1:28" ht="12.75">
      <c r="A865" s="9" t="s">
        <v>83</v>
      </c>
      <c r="B865" s="10">
        <v>44673</v>
      </c>
      <c r="C865" s="11">
        <v>44673</v>
      </c>
      <c r="D865" s="53">
        <v>16</v>
      </c>
      <c r="E865" s="13" t="s">
        <v>1199</v>
      </c>
      <c r="F865" s="13">
        <v>3025460</v>
      </c>
      <c r="G865" s="14">
        <v>13148</v>
      </c>
      <c r="H865" s="15">
        <v>8550</v>
      </c>
      <c r="I865" s="16">
        <f t="shared" si="128"/>
        <v>112415400</v>
      </c>
      <c r="J865" s="17">
        <v>28</v>
      </c>
      <c r="K865" s="34">
        <v>4502315417</v>
      </c>
      <c r="L865" s="19">
        <v>5081498160</v>
      </c>
      <c r="M865" s="20">
        <v>5113251387</v>
      </c>
      <c r="N865" s="23" t="s">
        <v>37</v>
      </c>
      <c r="O865" s="22" t="s">
        <v>1200</v>
      </c>
      <c r="P865" s="23"/>
      <c r="Q865" s="24" t="s">
        <v>82</v>
      </c>
      <c r="R865" s="25">
        <v>44670</v>
      </c>
      <c r="S865" s="34">
        <v>4502315417</v>
      </c>
      <c r="T865" s="35">
        <f>744800+789800</f>
        <v>1534600</v>
      </c>
      <c r="U865" s="28" t="s">
        <v>1201</v>
      </c>
      <c r="V865" s="29">
        <v>5113250694</v>
      </c>
      <c r="W865" s="35"/>
      <c r="X865" s="29"/>
      <c r="Y865" s="36"/>
      <c r="Z865" s="29"/>
      <c r="AA865" s="31">
        <f t="shared" si="1"/>
        <v>44670</v>
      </c>
      <c r="AB865" s="32" t="str">
        <f t="shared" si="5"/>
        <v>abril</v>
      </c>
    </row>
    <row r="866" spans="1:28" ht="12.75">
      <c r="A866" s="9" t="s">
        <v>58</v>
      </c>
      <c r="B866" s="10">
        <v>44677</v>
      </c>
      <c r="C866" s="11">
        <v>44677</v>
      </c>
      <c r="D866" s="53">
        <v>16</v>
      </c>
      <c r="E866" s="13" t="s">
        <v>1202</v>
      </c>
      <c r="F866" s="13">
        <v>3025462</v>
      </c>
      <c r="G866" s="14">
        <v>5684</v>
      </c>
      <c r="H866" s="57">
        <v>7600</v>
      </c>
      <c r="I866" s="16">
        <f t="shared" si="128"/>
        <v>43198400</v>
      </c>
      <c r="J866" s="17">
        <v>19</v>
      </c>
      <c r="K866" s="34">
        <v>4502314919</v>
      </c>
      <c r="L866" s="19">
        <v>5081496982</v>
      </c>
      <c r="M866" s="20">
        <v>5113257537</v>
      </c>
      <c r="N866" s="23"/>
      <c r="O866" s="23" t="s">
        <v>37</v>
      </c>
      <c r="P866" s="23" t="s">
        <v>1191</v>
      </c>
      <c r="Q866" s="24" t="s">
        <v>357</v>
      </c>
      <c r="R866" s="25">
        <v>44671</v>
      </c>
      <c r="S866" s="28"/>
      <c r="T866" s="35"/>
      <c r="U866" s="35"/>
      <c r="V866" s="29"/>
      <c r="W866" s="35"/>
      <c r="X866" s="29"/>
      <c r="Y866" s="36"/>
      <c r="Z866" s="29"/>
      <c r="AA866" s="31">
        <f t="shared" si="1"/>
        <v>44671</v>
      </c>
      <c r="AB866" s="32" t="str">
        <f t="shared" si="5"/>
        <v>abril</v>
      </c>
    </row>
    <row r="867" spans="1:28" ht="12.75">
      <c r="A867" s="9" t="s">
        <v>99</v>
      </c>
      <c r="B867" s="10">
        <v>44677</v>
      </c>
      <c r="C867" s="11">
        <v>44678</v>
      </c>
      <c r="D867" s="42">
        <v>17</v>
      </c>
      <c r="E867" s="13" t="s">
        <v>1203</v>
      </c>
      <c r="F867" s="13">
        <v>3025460</v>
      </c>
      <c r="G867" s="14">
        <v>7336</v>
      </c>
      <c r="H867" s="40">
        <v>8500</v>
      </c>
      <c r="I867" s="16">
        <f t="shared" si="128"/>
        <v>62356000</v>
      </c>
      <c r="J867" s="17">
        <v>15</v>
      </c>
      <c r="K867" s="34">
        <v>4502313624</v>
      </c>
      <c r="L867" s="19">
        <v>5081494308</v>
      </c>
      <c r="M867" s="20">
        <v>5113266033</v>
      </c>
      <c r="N867" s="23"/>
      <c r="O867" s="23" t="s">
        <v>37</v>
      </c>
      <c r="P867" s="23" t="s">
        <v>1204</v>
      </c>
      <c r="Q867" s="24" t="s">
        <v>31</v>
      </c>
      <c r="R867" s="25">
        <v>44672</v>
      </c>
      <c r="S867" s="28"/>
      <c r="T867" s="35"/>
      <c r="U867" s="35"/>
      <c r="V867" s="29"/>
      <c r="W867" s="35"/>
      <c r="X867" s="29"/>
      <c r="Y867" s="36"/>
      <c r="Z867" s="29"/>
      <c r="AA867" s="31">
        <f t="shared" si="1"/>
        <v>44672</v>
      </c>
      <c r="AB867" s="32" t="str">
        <f t="shared" si="5"/>
        <v>abril</v>
      </c>
    </row>
    <row r="868" spans="1:28" ht="12.75">
      <c r="A868" s="9" t="s">
        <v>99</v>
      </c>
      <c r="B868" s="10">
        <v>44679</v>
      </c>
      <c r="C868" s="11">
        <v>44679</v>
      </c>
      <c r="D868" s="42">
        <v>17</v>
      </c>
      <c r="E868" s="13" t="s">
        <v>1205</v>
      </c>
      <c r="F868" s="13">
        <v>3025460</v>
      </c>
      <c r="G868" s="14">
        <v>7336</v>
      </c>
      <c r="H868" s="40">
        <v>50</v>
      </c>
      <c r="I868" s="16">
        <f t="shared" si="128"/>
        <v>366800</v>
      </c>
      <c r="J868" s="17">
        <v>0</v>
      </c>
      <c r="K868" s="34">
        <v>4502313624</v>
      </c>
      <c r="L868" s="19">
        <v>5081494308</v>
      </c>
      <c r="M868" s="20">
        <v>5113266063</v>
      </c>
      <c r="N868" s="23"/>
      <c r="O868" s="9"/>
      <c r="P868" s="23"/>
      <c r="Q868" s="24" t="s">
        <v>31</v>
      </c>
      <c r="R868" s="25">
        <v>44672</v>
      </c>
      <c r="S868" s="28"/>
      <c r="T868" s="35"/>
      <c r="U868" s="35"/>
      <c r="V868" s="29"/>
      <c r="W868" s="35"/>
      <c r="X868" s="29"/>
      <c r="Y868" s="36"/>
      <c r="Z868" s="29"/>
      <c r="AA868" s="31">
        <f t="shared" si="1"/>
        <v>44672</v>
      </c>
      <c r="AB868" s="32" t="str">
        <f t="shared" si="5"/>
        <v>abril</v>
      </c>
    </row>
    <row r="869" spans="1:28" ht="12.75">
      <c r="A869" s="9" t="s">
        <v>404</v>
      </c>
      <c r="B869" s="10">
        <v>44673</v>
      </c>
      <c r="C869" s="11">
        <v>44676</v>
      </c>
      <c r="D869" s="42">
        <v>17</v>
      </c>
      <c r="E869" s="13" t="s">
        <v>1206</v>
      </c>
      <c r="F869" s="13">
        <v>3025460</v>
      </c>
      <c r="G869" s="37">
        <v>33463.5</v>
      </c>
      <c r="H869" s="40">
        <v>9000</v>
      </c>
      <c r="I869" s="16">
        <f t="shared" si="128"/>
        <v>301171500</v>
      </c>
      <c r="J869" s="17">
        <v>70</v>
      </c>
      <c r="K869" s="34">
        <v>4502313625</v>
      </c>
      <c r="L869" s="19">
        <v>5081493579</v>
      </c>
      <c r="M869" s="20">
        <v>5113252401</v>
      </c>
      <c r="N869" s="44"/>
      <c r="O869" s="9" t="s">
        <v>37</v>
      </c>
      <c r="P869" s="23"/>
      <c r="Q869" s="24" t="s">
        <v>31</v>
      </c>
      <c r="R869" s="25">
        <v>44672</v>
      </c>
      <c r="S869" s="28"/>
      <c r="T869" s="35"/>
      <c r="U869" s="35"/>
      <c r="V869" s="29"/>
      <c r="W869" s="35"/>
      <c r="X869" s="29"/>
      <c r="Y869" s="36"/>
      <c r="Z869" s="29"/>
      <c r="AA869" s="31">
        <f t="shared" si="1"/>
        <v>44672</v>
      </c>
      <c r="AB869" s="32" t="str">
        <f t="shared" si="5"/>
        <v>abril</v>
      </c>
    </row>
    <row r="870" spans="1:28" ht="12.75">
      <c r="A870" s="9" t="s">
        <v>404</v>
      </c>
      <c r="B870" s="10">
        <v>44676</v>
      </c>
      <c r="C870" s="11">
        <v>44676</v>
      </c>
      <c r="D870" s="42">
        <v>17</v>
      </c>
      <c r="E870" s="13" t="s">
        <v>1207</v>
      </c>
      <c r="F870" s="13">
        <v>3025460</v>
      </c>
      <c r="G870" s="37">
        <v>33463.5</v>
      </c>
      <c r="H870" s="40">
        <f>9000-8997.65</f>
        <v>2.3500000000003638</v>
      </c>
      <c r="I870" s="16">
        <f>-H870*G870</f>
        <v>-78639.225000012171</v>
      </c>
      <c r="J870" s="17">
        <v>0</v>
      </c>
      <c r="K870" s="34">
        <v>4502313625</v>
      </c>
      <c r="L870" s="19">
        <v>5081493579</v>
      </c>
      <c r="M870" s="20">
        <v>5113252402</v>
      </c>
      <c r="N870" s="23"/>
      <c r="O870" s="9"/>
      <c r="P870" s="23"/>
      <c r="Q870" s="24" t="s">
        <v>31</v>
      </c>
      <c r="R870" s="25">
        <v>44672</v>
      </c>
      <c r="S870" s="28"/>
      <c r="T870" s="35"/>
      <c r="U870" s="35"/>
      <c r="V870" s="29"/>
      <c r="W870" s="35"/>
      <c r="X870" s="29"/>
      <c r="Y870" s="36"/>
      <c r="Z870" s="29"/>
      <c r="AA870" s="31">
        <f t="shared" si="1"/>
        <v>44672</v>
      </c>
      <c r="AB870" s="32" t="str">
        <f t="shared" si="5"/>
        <v>abril</v>
      </c>
    </row>
    <row r="871" spans="1:28" ht="12.75">
      <c r="A871" s="9" t="s">
        <v>983</v>
      </c>
      <c r="B871" s="10">
        <v>44676</v>
      </c>
      <c r="C871" s="11"/>
      <c r="D871" s="42">
        <v>17</v>
      </c>
      <c r="E871" s="13" t="s">
        <v>1138</v>
      </c>
      <c r="F871" s="13">
        <v>3025460</v>
      </c>
      <c r="G871" s="14">
        <v>19987</v>
      </c>
      <c r="H871" s="15">
        <v>7900</v>
      </c>
      <c r="I871" s="16">
        <f t="shared" ref="I871:I872" si="129">H871*G871</f>
        <v>157897300</v>
      </c>
      <c r="J871" s="17">
        <v>42</v>
      </c>
      <c r="K871" s="34">
        <v>4502315179</v>
      </c>
      <c r="L871" s="19">
        <v>5081501051</v>
      </c>
      <c r="M871" s="20">
        <v>5113254918</v>
      </c>
      <c r="N871" s="23"/>
      <c r="O871" s="22" t="s">
        <v>1208</v>
      </c>
      <c r="P871" s="9" t="s">
        <v>63</v>
      </c>
      <c r="Q871" s="24" t="s">
        <v>31</v>
      </c>
      <c r="R871" s="25">
        <v>44672</v>
      </c>
      <c r="S871" s="28">
        <v>4902253388</v>
      </c>
      <c r="T871" s="27">
        <f>1152250*3</f>
        <v>3456750</v>
      </c>
      <c r="U871" s="28" t="s">
        <v>1209</v>
      </c>
      <c r="V871" s="29">
        <v>5113250616</v>
      </c>
      <c r="W871" s="35"/>
      <c r="X871" s="29"/>
      <c r="Y871" s="36"/>
      <c r="Z871" s="29"/>
      <c r="AA871" s="31">
        <f t="shared" si="1"/>
        <v>44672</v>
      </c>
      <c r="AB871" s="32" t="str">
        <f t="shared" si="5"/>
        <v>abril</v>
      </c>
    </row>
    <row r="872" spans="1:28" ht="12.75">
      <c r="A872" s="9" t="s">
        <v>58</v>
      </c>
      <c r="B872" s="10">
        <v>44677</v>
      </c>
      <c r="C872" s="11">
        <v>44677</v>
      </c>
      <c r="D872" s="42">
        <v>17</v>
      </c>
      <c r="E872" s="13" t="s">
        <v>1210</v>
      </c>
      <c r="F872" s="13">
        <v>3025460</v>
      </c>
      <c r="G872" s="37">
        <v>30207.5</v>
      </c>
      <c r="H872" s="40">
        <v>9300</v>
      </c>
      <c r="I872" s="16">
        <f t="shared" si="129"/>
        <v>280929750</v>
      </c>
      <c r="J872" s="17">
        <v>60</v>
      </c>
      <c r="K872" s="34">
        <v>4502313626</v>
      </c>
      <c r="L872" s="19">
        <v>5081494309</v>
      </c>
      <c r="M872" s="20">
        <v>5113257539</v>
      </c>
      <c r="N872" s="23"/>
      <c r="O872" s="23" t="s">
        <v>37</v>
      </c>
      <c r="P872" s="23" t="s">
        <v>1191</v>
      </c>
      <c r="Q872" s="24" t="s">
        <v>31</v>
      </c>
      <c r="R872" s="25">
        <v>44672</v>
      </c>
      <c r="S872" s="28"/>
      <c r="T872" s="35"/>
      <c r="U872" s="35"/>
      <c r="V872" s="29"/>
      <c r="W872" s="35"/>
      <c r="X872" s="29"/>
      <c r="Y872" s="36"/>
      <c r="Z872" s="29"/>
      <c r="AA872" s="31">
        <f t="shared" si="1"/>
        <v>44672</v>
      </c>
      <c r="AB872" s="32" t="str">
        <f t="shared" si="5"/>
        <v>abril</v>
      </c>
    </row>
    <row r="873" spans="1:28" ht="12.75">
      <c r="A873" s="9" t="s">
        <v>58</v>
      </c>
      <c r="B873" s="10">
        <v>44677</v>
      </c>
      <c r="C873" s="11">
        <v>44677</v>
      </c>
      <c r="D873" s="42">
        <v>17</v>
      </c>
      <c r="E873" s="13" t="s">
        <v>1211</v>
      </c>
      <c r="F873" s="13">
        <v>3025460</v>
      </c>
      <c r="G873" s="37">
        <v>30207.5</v>
      </c>
      <c r="H873" s="40">
        <f>9300-9297.59</f>
        <v>2.4099999999998545</v>
      </c>
      <c r="I873" s="16">
        <f>-H873*G873</f>
        <v>-72800.074999995602</v>
      </c>
      <c r="J873" s="17">
        <v>0</v>
      </c>
      <c r="K873" s="34">
        <v>4502313626</v>
      </c>
      <c r="L873" s="19">
        <v>5081494309</v>
      </c>
      <c r="M873" s="20">
        <v>5113257540</v>
      </c>
      <c r="N873" s="23"/>
      <c r="O873" s="9"/>
      <c r="P873" s="23"/>
      <c r="Q873" s="24" t="s">
        <v>31</v>
      </c>
      <c r="R873" s="25">
        <v>44672</v>
      </c>
      <c r="S873" s="28"/>
      <c r="T873" s="35"/>
      <c r="U873" s="35"/>
      <c r="V873" s="29"/>
      <c r="W873" s="35"/>
      <c r="X873" s="29"/>
      <c r="Y873" s="36"/>
      <c r="Z873" s="29"/>
      <c r="AA873" s="31">
        <f t="shared" si="1"/>
        <v>44672</v>
      </c>
      <c r="AB873" s="32" t="str">
        <f t="shared" si="5"/>
        <v>abril</v>
      </c>
    </row>
    <row r="874" spans="1:28" ht="12.75">
      <c r="A874" s="9" t="s">
        <v>1212</v>
      </c>
      <c r="B874" s="10">
        <v>44674</v>
      </c>
      <c r="C874" s="11"/>
      <c r="D874" s="42">
        <v>17</v>
      </c>
      <c r="E874" s="13" t="s">
        <v>1213</v>
      </c>
      <c r="F874" s="13">
        <v>3025460</v>
      </c>
      <c r="G874" s="14">
        <v>6910</v>
      </c>
      <c r="H874" s="40">
        <v>8500</v>
      </c>
      <c r="I874" s="16">
        <f t="shared" ref="I874:I884" si="130">H874*G874</f>
        <v>58735000</v>
      </c>
      <c r="J874" s="17">
        <v>14</v>
      </c>
      <c r="K874" s="34">
        <v>4502313627</v>
      </c>
      <c r="L874" s="19">
        <v>5081577191</v>
      </c>
      <c r="M874" s="20">
        <v>5113261497</v>
      </c>
      <c r="N874" s="23"/>
      <c r="O874" s="9" t="s">
        <v>63</v>
      </c>
      <c r="P874" s="23"/>
      <c r="Q874" s="24" t="s">
        <v>31</v>
      </c>
      <c r="R874" s="25">
        <v>44672</v>
      </c>
      <c r="S874" s="28"/>
      <c r="T874" s="35"/>
      <c r="U874" s="35"/>
      <c r="V874" s="29"/>
      <c r="W874" s="35"/>
      <c r="X874" s="29"/>
      <c r="Y874" s="36"/>
      <c r="Z874" s="29"/>
      <c r="AA874" s="31">
        <f t="shared" si="1"/>
        <v>44672</v>
      </c>
      <c r="AB874" s="32" t="str">
        <f t="shared" si="5"/>
        <v>abril</v>
      </c>
    </row>
    <row r="875" spans="1:28" ht="12.75">
      <c r="A875" s="9" t="s">
        <v>1212</v>
      </c>
      <c r="B875" s="10">
        <v>44677</v>
      </c>
      <c r="C875" s="11">
        <v>44678</v>
      </c>
      <c r="D875" s="42">
        <v>17</v>
      </c>
      <c r="E875" s="13" t="s">
        <v>1214</v>
      </c>
      <c r="F875" s="13">
        <v>3025460</v>
      </c>
      <c r="G875" s="14">
        <v>6910</v>
      </c>
      <c r="H875" s="40">
        <f>41.18</f>
        <v>41.18</v>
      </c>
      <c r="I875" s="16">
        <f t="shared" si="130"/>
        <v>284553.8</v>
      </c>
      <c r="J875" s="17">
        <v>0</v>
      </c>
      <c r="K875" s="34">
        <v>4502313627</v>
      </c>
      <c r="L875" s="19">
        <v>5081577191</v>
      </c>
      <c r="M875" s="20">
        <v>5113261498</v>
      </c>
      <c r="N875" s="23"/>
      <c r="O875" s="9"/>
      <c r="P875" s="23" t="s">
        <v>1215</v>
      </c>
      <c r="Q875" s="24" t="s">
        <v>31</v>
      </c>
      <c r="R875" s="25">
        <v>44672</v>
      </c>
      <c r="S875" s="28"/>
      <c r="T875" s="35"/>
      <c r="U875" s="35"/>
      <c r="V875" s="29"/>
      <c r="W875" s="35"/>
      <c r="X875" s="29"/>
      <c r="Y875" s="36"/>
      <c r="Z875" s="29"/>
      <c r="AA875" s="31">
        <f t="shared" si="1"/>
        <v>44672</v>
      </c>
      <c r="AB875" s="32" t="str">
        <f t="shared" si="5"/>
        <v>abril</v>
      </c>
    </row>
    <row r="876" spans="1:28" ht="12.75">
      <c r="A876" s="9" t="s">
        <v>49</v>
      </c>
      <c r="B876" s="10">
        <v>44677</v>
      </c>
      <c r="C876" s="11">
        <v>44677</v>
      </c>
      <c r="D876" s="42">
        <v>17</v>
      </c>
      <c r="E876" s="13" t="s">
        <v>1216</v>
      </c>
      <c r="F876" s="13">
        <v>3025460</v>
      </c>
      <c r="G876" s="14">
        <v>13636</v>
      </c>
      <c r="H876" s="15">
        <v>8000</v>
      </c>
      <c r="I876" s="16">
        <f t="shared" si="130"/>
        <v>109088000</v>
      </c>
      <c r="J876" s="17">
        <v>28</v>
      </c>
      <c r="K876" s="34">
        <v>4502315202</v>
      </c>
      <c r="L876" s="19">
        <v>5081494962</v>
      </c>
      <c r="M876" s="20">
        <v>5113256129</v>
      </c>
      <c r="N876" s="9" t="s">
        <v>63</v>
      </c>
      <c r="O876" s="22" t="s">
        <v>1217</v>
      </c>
      <c r="P876" s="23" t="s">
        <v>1218</v>
      </c>
      <c r="Q876" s="24" t="s">
        <v>31</v>
      </c>
      <c r="R876" s="25">
        <v>44672</v>
      </c>
      <c r="S876" s="28">
        <v>4902253391</v>
      </c>
      <c r="T876" s="27">
        <f>2982600*2</f>
        <v>5965200</v>
      </c>
      <c r="U876" s="28" t="s">
        <v>1219</v>
      </c>
      <c r="V876" s="29">
        <v>5113250690</v>
      </c>
      <c r="W876" s="35"/>
      <c r="X876" s="29"/>
      <c r="Y876" s="36"/>
      <c r="Z876" s="29"/>
      <c r="AA876" s="31">
        <f t="shared" si="1"/>
        <v>44672</v>
      </c>
      <c r="AB876" s="32" t="str">
        <f t="shared" si="5"/>
        <v>abril</v>
      </c>
    </row>
    <row r="877" spans="1:28" ht="12.75">
      <c r="A877" s="9" t="s">
        <v>28</v>
      </c>
      <c r="B877" s="10">
        <v>44676</v>
      </c>
      <c r="C877" s="11">
        <v>44676</v>
      </c>
      <c r="D877" s="42">
        <v>17</v>
      </c>
      <c r="E877" s="13" t="s">
        <v>1220</v>
      </c>
      <c r="F877" s="13">
        <v>3025457</v>
      </c>
      <c r="G877" s="14">
        <v>47071</v>
      </c>
      <c r="H877" s="15">
        <v>8050</v>
      </c>
      <c r="I877" s="16">
        <f t="shared" si="130"/>
        <v>378921550</v>
      </c>
      <c r="J877" s="17">
        <v>98</v>
      </c>
      <c r="K877" s="34">
        <v>4502316355</v>
      </c>
      <c r="L877" s="19">
        <v>5081534081</v>
      </c>
      <c r="M877" s="20">
        <v>5113254528</v>
      </c>
      <c r="N877" s="23" t="s">
        <v>37</v>
      </c>
      <c r="O877" s="22" t="s">
        <v>1221</v>
      </c>
      <c r="P877" s="23"/>
      <c r="Q877" s="24" t="s">
        <v>31</v>
      </c>
      <c r="R877" s="25">
        <v>44673</v>
      </c>
      <c r="S877" s="28">
        <v>4902253727</v>
      </c>
      <c r="T877" s="27">
        <v>21622400</v>
      </c>
      <c r="U877" s="28" t="s">
        <v>1222</v>
      </c>
      <c r="V877" s="29">
        <v>5113254536</v>
      </c>
      <c r="W877" s="28" t="s">
        <v>1223</v>
      </c>
      <c r="X877" s="29">
        <v>5113254666</v>
      </c>
      <c r="Y877" s="30" t="s">
        <v>1224</v>
      </c>
      <c r="Z877" s="29">
        <v>5113254699</v>
      </c>
      <c r="AA877" s="31">
        <f t="shared" si="1"/>
        <v>44673</v>
      </c>
      <c r="AB877" s="32" t="str">
        <f t="shared" si="5"/>
        <v>abril</v>
      </c>
    </row>
    <row r="878" spans="1:28" ht="12.75">
      <c r="A878" s="9" t="s">
        <v>213</v>
      </c>
      <c r="B878" s="10">
        <v>44673</v>
      </c>
      <c r="C878" s="11"/>
      <c r="D878" s="42">
        <v>17</v>
      </c>
      <c r="E878" s="13" t="s">
        <v>1225</v>
      </c>
      <c r="F878" s="13">
        <v>3025457</v>
      </c>
      <c r="G878" s="14">
        <v>7400</v>
      </c>
      <c r="H878" s="40">
        <v>8650</v>
      </c>
      <c r="I878" s="16">
        <f t="shared" si="130"/>
        <v>64010000</v>
      </c>
      <c r="J878" s="17">
        <v>15</v>
      </c>
      <c r="K878" s="34">
        <v>4502313628</v>
      </c>
      <c r="L878" s="19">
        <v>5081500698</v>
      </c>
      <c r="M878" s="20">
        <v>5113257032</v>
      </c>
      <c r="N878" s="23"/>
      <c r="O878" s="9" t="s">
        <v>37</v>
      </c>
      <c r="P878" s="23" t="s">
        <v>928</v>
      </c>
      <c r="Q878" s="24" t="s">
        <v>31</v>
      </c>
      <c r="R878" s="25">
        <v>44673</v>
      </c>
      <c r="S878" s="28"/>
      <c r="T878" s="35"/>
      <c r="U878" s="35"/>
      <c r="V878" s="29"/>
      <c r="W878" s="35"/>
      <c r="X878" s="29"/>
      <c r="Y878" s="36"/>
      <c r="Z878" s="29"/>
      <c r="AA878" s="31">
        <f t="shared" si="1"/>
        <v>44673</v>
      </c>
      <c r="AB878" s="32" t="str">
        <f t="shared" si="5"/>
        <v>abril</v>
      </c>
    </row>
    <row r="879" spans="1:28" ht="12.75">
      <c r="A879" s="9" t="s">
        <v>213</v>
      </c>
      <c r="B879" s="10">
        <v>44673</v>
      </c>
      <c r="C879" s="11"/>
      <c r="D879" s="42">
        <v>17</v>
      </c>
      <c r="E879" s="13" t="s">
        <v>1013</v>
      </c>
      <c r="F879" s="13">
        <v>3025457</v>
      </c>
      <c r="G879" s="14">
        <v>7400</v>
      </c>
      <c r="H879" s="40">
        <v>100</v>
      </c>
      <c r="I879" s="16">
        <f t="shared" si="130"/>
        <v>740000</v>
      </c>
      <c r="J879" s="17">
        <v>0</v>
      </c>
      <c r="K879" s="34">
        <v>4502313628</v>
      </c>
      <c r="L879" s="19">
        <v>5081500698</v>
      </c>
      <c r="M879" s="20">
        <v>5113257034</v>
      </c>
      <c r="N879" s="23"/>
      <c r="O879" s="9"/>
      <c r="P879" s="23"/>
      <c r="Q879" s="24" t="s">
        <v>31</v>
      </c>
      <c r="R879" s="25">
        <v>44673</v>
      </c>
      <c r="S879" s="28"/>
      <c r="T879" s="35"/>
      <c r="U879" s="35"/>
      <c r="V879" s="29"/>
      <c r="W879" s="35"/>
      <c r="X879" s="29"/>
      <c r="Y879" s="36"/>
      <c r="Z879" s="29"/>
      <c r="AA879" s="31">
        <f t="shared" si="1"/>
        <v>44673</v>
      </c>
      <c r="AB879" s="32" t="str">
        <f t="shared" si="5"/>
        <v>abril</v>
      </c>
    </row>
    <row r="880" spans="1:28" ht="12.75">
      <c r="A880" s="9" t="s">
        <v>73</v>
      </c>
      <c r="B880" s="10">
        <v>44676</v>
      </c>
      <c r="C880" s="11">
        <v>44676</v>
      </c>
      <c r="D880" s="42">
        <v>17</v>
      </c>
      <c r="E880" s="13" t="s">
        <v>1226</v>
      </c>
      <c r="F880" s="13">
        <v>3025459</v>
      </c>
      <c r="G880" s="14">
        <v>12754</v>
      </c>
      <c r="H880" s="40">
        <v>9000</v>
      </c>
      <c r="I880" s="16">
        <f t="shared" si="130"/>
        <v>114786000</v>
      </c>
      <c r="J880" s="17">
        <v>28</v>
      </c>
      <c r="K880" s="34">
        <v>4502313630</v>
      </c>
      <c r="L880" s="19">
        <v>5081531310</v>
      </c>
      <c r="M880" s="20">
        <v>5113254957</v>
      </c>
      <c r="N880" s="23"/>
      <c r="O880" s="9" t="s">
        <v>63</v>
      </c>
      <c r="P880" s="23"/>
      <c r="Q880" s="24" t="s">
        <v>31</v>
      </c>
      <c r="R880" s="25">
        <v>44673</v>
      </c>
      <c r="S880" s="28"/>
      <c r="T880" s="35"/>
      <c r="U880" s="35"/>
      <c r="V880" s="29"/>
      <c r="W880" s="35"/>
      <c r="X880" s="29"/>
      <c r="Y880" s="36"/>
      <c r="Z880" s="29"/>
      <c r="AA880" s="31">
        <f t="shared" si="1"/>
        <v>44673</v>
      </c>
      <c r="AB880" s="32" t="str">
        <f t="shared" si="5"/>
        <v>abril</v>
      </c>
    </row>
    <row r="881" spans="1:28" ht="12.75">
      <c r="A881" s="9" t="s">
        <v>819</v>
      </c>
      <c r="B881" s="10">
        <v>44673</v>
      </c>
      <c r="C881" s="11"/>
      <c r="D881" s="42">
        <v>17</v>
      </c>
      <c r="E881" s="13">
        <v>6011</v>
      </c>
      <c r="F881" s="13">
        <v>3025461</v>
      </c>
      <c r="G881" s="14">
        <v>83130</v>
      </c>
      <c r="H881" s="57">
        <v>9400</v>
      </c>
      <c r="I881" s="16">
        <f t="shared" si="130"/>
        <v>781422000</v>
      </c>
      <c r="J881" s="17">
        <v>168</v>
      </c>
      <c r="K881" s="34">
        <v>4502316674</v>
      </c>
      <c r="L881" s="19">
        <v>5081539739</v>
      </c>
      <c r="M881" s="20">
        <v>5113264957</v>
      </c>
      <c r="N881" s="23"/>
      <c r="O881" s="9" t="s">
        <v>37</v>
      </c>
      <c r="P881" s="23"/>
      <c r="Q881" s="24" t="s">
        <v>522</v>
      </c>
      <c r="R881" s="25">
        <v>44673</v>
      </c>
      <c r="S881" s="28"/>
      <c r="T881" s="35"/>
      <c r="U881" s="35"/>
      <c r="V881" s="29"/>
      <c r="W881" s="35"/>
      <c r="X881" s="29"/>
      <c r="Y881" s="36"/>
      <c r="Z881" s="29"/>
      <c r="AA881" s="31">
        <f t="shared" si="1"/>
        <v>44673</v>
      </c>
      <c r="AB881" s="32" t="str">
        <f t="shared" si="5"/>
        <v>abril</v>
      </c>
    </row>
    <row r="882" spans="1:28" ht="12.75">
      <c r="A882" s="9" t="s">
        <v>58</v>
      </c>
      <c r="B882" s="10">
        <v>44677</v>
      </c>
      <c r="C882" s="11">
        <v>44677</v>
      </c>
      <c r="D882" s="42">
        <v>17</v>
      </c>
      <c r="E882" s="13" t="s">
        <v>1227</v>
      </c>
      <c r="F882" s="13">
        <v>3025461</v>
      </c>
      <c r="G882" s="14">
        <v>65580</v>
      </c>
      <c r="H882" s="57">
        <v>9350</v>
      </c>
      <c r="I882" s="16">
        <f t="shared" si="130"/>
        <v>613173000</v>
      </c>
      <c r="J882" s="17">
        <v>130</v>
      </c>
      <c r="K882" s="34">
        <v>4502316677</v>
      </c>
      <c r="L882" s="19">
        <v>5081539747</v>
      </c>
      <c r="M882" s="20">
        <v>5113259205</v>
      </c>
      <c r="N882" s="23"/>
      <c r="O882" s="23" t="s">
        <v>37</v>
      </c>
      <c r="P882" s="23"/>
      <c r="Q882" s="24" t="s">
        <v>522</v>
      </c>
      <c r="R882" s="25">
        <v>44673</v>
      </c>
      <c r="S882" s="28"/>
      <c r="T882" s="35"/>
      <c r="U882" s="35"/>
      <c r="V882" s="29"/>
      <c r="W882" s="35"/>
      <c r="X882" s="29"/>
      <c r="Y882" s="36"/>
      <c r="Z882" s="29"/>
      <c r="AA882" s="31">
        <f t="shared" si="1"/>
        <v>44673</v>
      </c>
      <c r="AB882" s="32" t="str">
        <f t="shared" si="5"/>
        <v>abril</v>
      </c>
    </row>
    <row r="883" spans="1:28" ht="12.75">
      <c r="A883" s="9" t="s">
        <v>58</v>
      </c>
      <c r="B883" s="10">
        <v>44677</v>
      </c>
      <c r="C883" s="11">
        <v>44677</v>
      </c>
      <c r="D883" s="42">
        <v>17</v>
      </c>
      <c r="E883" s="13" t="s">
        <v>1228</v>
      </c>
      <c r="F883" s="13">
        <v>3025461</v>
      </c>
      <c r="G883" s="14">
        <v>65580</v>
      </c>
      <c r="H883" s="40">
        <v>50</v>
      </c>
      <c r="I883" s="16">
        <f t="shared" si="130"/>
        <v>3279000</v>
      </c>
      <c r="J883" s="17">
        <v>0</v>
      </c>
      <c r="K883" s="34">
        <v>4502316677</v>
      </c>
      <c r="L883" s="19">
        <v>5081539747</v>
      </c>
      <c r="M883" s="20">
        <v>5113259217</v>
      </c>
      <c r="N883" s="23"/>
      <c r="O883" s="9"/>
      <c r="P883" s="23"/>
      <c r="Q883" s="24" t="s">
        <v>522</v>
      </c>
      <c r="R883" s="25">
        <v>44673</v>
      </c>
      <c r="S883" s="28"/>
      <c r="T883" s="35"/>
      <c r="U883" s="35"/>
      <c r="V883" s="29"/>
      <c r="W883" s="35"/>
      <c r="X883" s="29"/>
      <c r="Y883" s="36"/>
      <c r="Z883" s="29"/>
      <c r="AA883" s="31">
        <f t="shared" si="1"/>
        <v>44673</v>
      </c>
      <c r="AB883" s="32" t="str">
        <f t="shared" si="5"/>
        <v>abril</v>
      </c>
    </row>
    <row r="884" spans="1:28" ht="12.75">
      <c r="A884" s="9" t="s">
        <v>404</v>
      </c>
      <c r="B884" s="10">
        <v>44674</v>
      </c>
      <c r="C884" s="11">
        <v>44676</v>
      </c>
      <c r="D884" s="42">
        <v>17</v>
      </c>
      <c r="E884" s="13" t="s">
        <v>1229</v>
      </c>
      <c r="F884" s="13">
        <v>3025460</v>
      </c>
      <c r="G884" s="14">
        <v>34820</v>
      </c>
      <c r="H884" s="40">
        <v>9000</v>
      </c>
      <c r="I884" s="16">
        <f t="shared" si="130"/>
        <v>313380000</v>
      </c>
      <c r="J884" s="17">
        <v>75</v>
      </c>
      <c r="K884" s="34">
        <v>4502313631</v>
      </c>
      <c r="L884" s="19">
        <v>5081531432</v>
      </c>
      <c r="M884" s="20">
        <v>5113254604</v>
      </c>
      <c r="N884" s="23"/>
      <c r="O884" s="9" t="s">
        <v>37</v>
      </c>
      <c r="P884" s="23"/>
      <c r="Q884" s="24" t="s">
        <v>31</v>
      </c>
      <c r="R884" s="25">
        <v>44674</v>
      </c>
      <c r="S884" s="28"/>
      <c r="T884" s="35"/>
      <c r="U884" s="35"/>
      <c r="V884" s="29"/>
      <c r="W884" s="35"/>
      <c r="X884" s="29"/>
      <c r="Y884" s="36"/>
      <c r="Z884" s="29"/>
      <c r="AA884" s="31">
        <f t="shared" si="1"/>
        <v>44674</v>
      </c>
      <c r="AB884" s="32" t="str">
        <f t="shared" si="5"/>
        <v>abril</v>
      </c>
    </row>
    <row r="885" spans="1:28" ht="12.75">
      <c r="A885" s="9" t="s">
        <v>404</v>
      </c>
      <c r="B885" s="10">
        <v>44676</v>
      </c>
      <c r="C885" s="11">
        <v>44676</v>
      </c>
      <c r="D885" s="42">
        <v>17</v>
      </c>
      <c r="E885" s="13" t="s">
        <v>334</v>
      </c>
      <c r="F885" s="13">
        <v>3025460</v>
      </c>
      <c r="G885" s="14">
        <v>34820</v>
      </c>
      <c r="H885" s="40">
        <f>9000-8972.55</f>
        <v>27.450000000000728</v>
      </c>
      <c r="I885" s="16">
        <f>-H885*G885</f>
        <v>-955809.00000002538</v>
      </c>
      <c r="J885" s="17">
        <v>0</v>
      </c>
      <c r="K885" s="34">
        <v>4502313631</v>
      </c>
      <c r="L885" s="19">
        <v>5081531432</v>
      </c>
      <c r="M885" s="20">
        <v>5113254647</v>
      </c>
      <c r="N885" s="23"/>
      <c r="O885" s="9"/>
      <c r="P885" s="23"/>
      <c r="Q885" s="24" t="s">
        <v>31</v>
      </c>
      <c r="R885" s="25">
        <v>44674</v>
      </c>
      <c r="S885" s="28"/>
      <c r="T885" s="35"/>
      <c r="U885" s="35"/>
      <c r="V885" s="29"/>
      <c r="W885" s="35"/>
      <c r="X885" s="29"/>
      <c r="Y885" s="36"/>
      <c r="Z885" s="29"/>
      <c r="AA885" s="31">
        <f t="shared" si="1"/>
        <v>44674</v>
      </c>
      <c r="AB885" s="32" t="str">
        <f t="shared" si="5"/>
        <v>abril</v>
      </c>
    </row>
    <row r="886" spans="1:28" ht="12.75">
      <c r="A886" s="9" t="s">
        <v>58</v>
      </c>
      <c r="B886" s="10">
        <v>44677</v>
      </c>
      <c r="C886" s="11">
        <v>44677</v>
      </c>
      <c r="D886" s="42">
        <v>17</v>
      </c>
      <c r="E886" s="13" t="s">
        <v>1230</v>
      </c>
      <c r="F886" s="13">
        <v>3025460</v>
      </c>
      <c r="G886" s="14">
        <v>13318</v>
      </c>
      <c r="H886" s="40">
        <v>9300</v>
      </c>
      <c r="I886" s="16">
        <f>H886*G886</f>
        <v>123857400</v>
      </c>
      <c r="J886" s="17">
        <v>30</v>
      </c>
      <c r="K886" s="34">
        <v>4502313632</v>
      </c>
      <c r="L886" s="19">
        <v>5081534237</v>
      </c>
      <c r="M886" s="20">
        <v>5113257541</v>
      </c>
      <c r="N886" s="23"/>
      <c r="O886" s="23" t="s">
        <v>37</v>
      </c>
      <c r="P886" s="23"/>
      <c r="Q886" s="24" t="s">
        <v>31</v>
      </c>
      <c r="R886" s="25">
        <v>44674</v>
      </c>
      <c r="S886" s="28"/>
      <c r="T886" s="35"/>
      <c r="U886" s="35"/>
      <c r="V886" s="29"/>
      <c r="W886" s="35"/>
      <c r="X886" s="29"/>
      <c r="Y886" s="36"/>
      <c r="Z886" s="29"/>
      <c r="AA886" s="31">
        <f t="shared" si="1"/>
        <v>44674</v>
      </c>
      <c r="AB886" s="32" t="str">
        <f t="shared" si="5"/>
        <v>abril</v>
      </c>
    </row>
    <row r="887" spans="1:28" ht="12.75">
      <c r="A887" s="9" t="s">
        <v>58</v>
      </c>
      <c r="B887" s="10">
        <v>44677</v>
      </c>
      <c r="C887" s="11">
        <v>44677</v>
      </c>
      <c r="D887" s="42">
        <v>17</v>
      </c>
      <c r="E887" s="13" t="s">
        <v>1231</v>
      </c>
      <c r="F887" s="13">
        <v>3025460</v>
      </c>
      <c r="G887" s="14">
        <v>13318</v>
      </c>
      <c r="H887" s="40">
        <f>9300-9188.59</f>
        <v>111.40999999999985</v>
      </c>
      <c r="I887" s="16">
        <f>-H887*G887</f>
        <v>-1483758.379999998</v>
      </c>
      <c r="J887" s="17">
        <v>0</v>
      </c>
      <c r="K887" s="34">
        <v>4502313632</v>
      </c>
      <c r="L887" s="19">
        <v>5081534237</v>
      </c>
      <c r="M887" s="20">
        <v>5113257543</v>
      </c>
      <c r="N887" s="23"/>
      <c r="O887" s="9"/>
      <c r="P887" s="23"/>
      <c r="Q887" s="24" t="s">
        <v>31</v>
      </c>
      <c r="R887" s="25">
        <v>44674</v>
      </c>
      <c r="S887" s="28"/>
      <c r="T887" s="35"/>
      <c r="U887" s="35"/>
      <c r="V887" s="29"/>
      <c r="W887" s="35"/>
      <c r="X887" s="29"/>
      <c r="Y887" s="36"/>
      <c r="Z887" s="29"/>
      <c r="AA887" s="31">
        <f t="shared" si="1"/>
        <v>44674</v>
      </c>
      <c r="AB887" s="32" t="str">
        <f t="shared" si="5"/>
        <v>abril</v>
      </c>
    </row>
    <row r="888" spans="1:28" ht="12.75">
      <c r="A888" s="9" t="s">
        <v>58</v>
      </c>
      <c r="B888" s="10">
        <v>44677</v>
      </c>
      <c r="C888" s="11">
        <v>44677</v>
      </c>
      <c r="D888" s="42">
        <v>17</v>
      </c>
      <c r="E888" s="13" t="s">
        <v>1232</v>
      </c>
      <c r="F888" s="13">
        <v>3025460</v>
      </c>
      <c r="G888" s="14">
        <v>34659</v>
      </c>
      <c r="H888" s="40">
        <v>9300</v>
      </c>
      <c r="I888" s="16">
        <f>H888*G888</f>
        <v>322328700</v>
      </c>
      <c r="J888" s="17">
        <v>76</v>
      </c>
      <c r="K888" s="34">
        <v>4502313632</v>
      </c>
      <c r="L888" s="19">
        <v>5081534237</v>
      </c>
      <c r="M888" s="20">
        <v>5113257545</v>
      </c>
      <c r="N888" s="23"/>
      <c r="O888" s="23" t="s">
        <v>37</v>
      </c>
      <c r="P888" s="23"/>
      <c r="Q888" s="24" t="s">
        <v>31</v>
      </c>
      <c r="R888" s="25">
        <v>44674</v>
      </c>
      <c r="S888" s="28"/>
      <c r="T888" s="35"/>
      <c r="U888" s="35"/>
      <c r="V888" s="29"/>
      <c r="W888" s="35"/>
      <c r="X888" s="29"/>
      <c r="Y888" s="36"/>
      <c r="Z888" s="29"/>
      <c r="AA888" s="31">
        <f t="shared" si="1"/>
        <v>44674</v>
      </c>
      <c r="AB888" s="32" t="str">
        <f t="shared" si="5"/>
        <v>abril</v>
      </c>
    </row>
    <row r="889" spans="1:28" ht="12.75">
      <c r="A889" s="9" t="s">
        <v>58</v>
      </c>
      <c r="B889" s="10">
        <v>44677</v>
      </c>
      <c r="C889" s="11">
        <v>44677</v>
      </c>
      <c r="D889" s="42">
        <v>17</v>
      </c>
      <c r="E889" s="13" t="s">
        <v>1233</v>
      </c>
      <c r="F889" s="13">
        <v>3025460</v>
      </c>
      <c r="G889" s="14">
        <v>34659</v>
      </c>
      <c r="H889" s="40">
        <f>9300-9287.8</f>
        <v>12.200000000000728</v>
      </c>
      <c r="I889" s="16">
        <f>-H889*G889</f>
        <v>-422839.80000002519</v>
      </c>
      <c r="J889" s="17">
        <v>0</v>
      </c>
      <c r="K889" s="34">
        <v>4502313632</v>
      </c>
      <c r="L889" s="19">
        <v>5081534237</v>
      </c>
      <c r="M889" s="20">
        <v>5113257558</v>
      </c>
      <c r="N889" s="23"/>
      <c r="O889" s="9"/>
      <c r="P889" s="23"/>
      <c r="Q889" s="24" t="s">
        <v>31</v>
      </c>
      <c r="R889" s="25">
        <v>44674</v>
      </c>
      <c r="S889" s="28"/>
      <c r="T889" s="35"/>
      <c r="U889" s="35"/>
      <c r="V889" s="29"/>
      <c r="W889" s="35"/>
      <c r="X889" s="29"/>
      <c r="Y889" s="36"/>
      <c r="Z889" s="29"/>
      <c r="AA889" s="31">
        <f t="shared" si="1"/>
        <v>44674</v>
      </c>
      <c r="AB889" s="32" t="str">
        <f t="shared" si="5"/>
        <v>abril</v>
      </c>
    </row>
    <row r="890" spans="1:28" ht="12.75">
      <c r="A890" s="9" t="s">
        <v>58</v>
      </c>
      <c r="B890" s="10">
        <v>44678</v>
      </c>
      <c r="C890" s="11">
        <v>44678</v>
      </c>
      <c r="D890" s="42">
        <v>17</v>
      </c>
      <c r="E890" s="13" t="s">
        <v>1234</v>
      </c>
      <c r="F890" s="13">
        <v>3025460</v>
      </c>
      <c r="G890" s="14">
        <v>34241</v>
      </c>
      <c r="H890" s="40">
        <v>9300</v>
      </c>
      <c r="I890" s="16">
        <f t="shared" ref="I890:I891" si="131">H890*G890</f>
        <v>318441300</v>
      </c>
      <c r="J890" s="17">
        <v>73</v>
      </c>
      <c r="K890" s="34">
        <v>4502313633</v>
      </c>
      <c r="L890" s="19">
        <v>5081532697</v>
      </c>
      <c r="M890" s="20">
        <v>5113260831</v>
      </c>
      <c r="N890" s="23"/>
      <c r="O890" s="23" t="s">
        <v>37</v>
      </c>
      <c r="P890" s="23"/>
      <c r="Q890" s="24" t="s">
        <v>31</v>
      </c>
      <c r="R890" s="25">
        <v>44675</v>
      </c>
      <c r="S890" s="28"/>
      <c r="T890" s="35"/>
      <c r="U890" s="35"/>
      <c r="V890" s="29"/>
      <c r="W890" s="35"/>
      <c r="X890" s="29"/>
      <c r="Y890" s="36"/>
      <c r="Z890" s="29"/>
      <c r="AA890" s="31">
        <f t="shared" si="1"/>
        <v>44675</v>
      </c>
      <c r="AB890" s="32" t="str">
        <f t="shared" si="5"/>
        <v>abril</v>
      </c>
    </row>
    <row r="891" spans="1:28" ht="12.75">
      <c r="A891" s="9" t="s">
        <v>58</v>
      </c>
      <c r="B891" s="10">
        <v>44678</v>
      </c>
      <c r="C891" s="11">
        <v>44678</v>
      </c>
      <c r="D891" s="42">
        <v>17</v>
      </c>
      <c r="E891" s="13" t="s">
        <v>1235</v>
      </c>
      <c r="F891" s="13">
        <v>3025460</v>
      </c>
      <c r="G891" s="14">
        <v>34731</v>
      </c>
      <c r="H891" s="40">
        <v>9300</v>
      </c>
      <c r="I891" s="16">
        <f t="shared" si="131"/>
        <v>322998300</v>
      </c>
      <c r="J891" s="17">
        <v>71</v>
      </c>
      <c r="K891" s="34">
        <v>4502313633</v>
      </c>
      <c r="L891" s="19">
        <v>5081532697</v>
      </c>
      <c r="M891" s="20">
        <v>5113261885</v>
      </c>
      <c r="N891" s="23"/>
      <c r="O891" s="23" t="s">
        <v>37</v>
      </c>
      <c r="P891" s="23"/>
      <c r="Q891" s="24" t="s">
        <v>31</v>
      </c>
      <c r="R891" s="25">
        <v>44675</v>
      </c>
      <c r="S891" s="28"/>
      <c r="T891" s="35"/>
      <c r="U891" s="35"/>
      <c r="V891" s="29"/>
      <c r="W891" s="35"/>
      <c r="X891" s="29"/>
      <c r="Y891" s="36"/>
      <c r="Z891" s="29"/>
      <c r="AA891" s="31">
        <f t="shared" si="1"/>
        <v>44675</v>
      </c>
      <c r="AB891" s="32" t="str">
        <f t="shared" si="5"/>
        <v>abril</v>
      </c>
    </row>
    <row r="892" spans="1:28" ht="12.75">
      <c r="A892" s="9" t="s">
        <v>58</v>
      </c>
      <c r="B892" s="10">
        <v>44678</v>
      </c>
      <c r="C892" s="11">
        <v>44678</v>
      </c>
      <c r="D892" s="42">
        <v>17</v>
      </c>
      <c r="E892" s="13" t="s">
        <v>1236</v>
      </c>
      <c r="F892" s="13">
        <v>3025460</v>
      </c>
      <c r="G892" s="14">
        <v>34731</v>
      </c>
      <c r="H892" s="40">
        <v>50</v>
      </c>
      <c r="I892" s="16">
        <f>-H892*G892</f>
        <v>-1736550</v>
      </c>
      <c r="J892" s="17">
        <v>0</v>
      </c>
      <c r="K892" s="34">
        <v>4502313633</v>
      </c>
      <c r="L892" s="19">
        <v>5081532697</v>
      </c>
      <c r="M892" s="20">
        <v>5113261886</v>
      </c>
      <c r="N892" s="23"/>
      <c r="O892" s="9"/>
      <c r="P892" s="23"/>
      <c r="Q892" s="24" t="s">
        <v>31</v>
      </c>
      <c r="R892" s="25">
        <v>44675</v>
      </c>
      <c r="S892" s="28"/>
      <c r="T892" s="35"/>
      <c r="U892" s="35"/>
      <c r="V892" s="29"/>
      <c r="W892" s="35"/>
      <c r="X892" s="29"/>
      <c r="Y892" s="36"/>
      <c r="Z892" s="29"/>
      <c r="AA892" s="31">
        <f t="shared" si="1"/>
        <v>44675</v>
      </c>
      <c r="AB892" s="32" t="str">
        <f t="shared" si="5"/>
        <v>abril</v>
      </c>
    </row>
    <row r="893" spans="1:28" ht="12.75">
      <c r="A893" s="9" t="s">
        <v>58</v>
      </c>
      <c r="B893" s="10">
        <v>44678</v>
      </c>
      <c r="C893" s="11">
        <v>44678</v>
      </c>
      <c r="D893" s="42">
        <v>17</v>
      </c>
      <c r="E893" s="13" t="s">
        <v>1237</v>
      </c>
      <c r="F893" s="13">
        <v>3025460</v>
      </c>
      <c r="G893" s="14">
        <v>20928.5</v>
      </c>
      <c r="H893" s="40">
        <v>9300</v>
      </c>
      <c r="I893" s="16">
        <f>H893*G893</f>
        <v>194635050</v>
      </c>
      <c r="J893" s="17">
        <v>45</v>
      </c>
      <c r="K893" s="34">
        <v>4502313633</v>
      </c>
      <c r="L893" s="19">
        <v>5081532697</v>
      </c>
      <c r="M893" s="20">
        <v>5113266472</v>
      </c>
      <c r="N893" s="23"/>
      <c r="O893" s="23" t="s">
        <v>37</v>
      </c>
      <c r="P893" s="23"/>
      <c r="Q893" s="24" t="s">
        <v>31</v>
      </c>
      <c r="R893" s="25">
        <v>44675</v>
      </c>
      <c r="S893" s="28"/>
      <c r="T893" s="35"/>
      <c r="U893" s="35"/>
      <c r="V893" s="29"/>
      <c r="W893" s="35"/>
      <c r="X893" s="29"/>
      <c r="Y893" s="36"/>
      <c r="Z893" s="29"/>
      <c r="AA893" s="31">
        <f t="shared" si="1"/>
        <v>44675</v>
      </c>
      <c r="AB893" s="32" t="str">
        <f t="shared" si="5"/>
        <v>abril</v>
      </c>
    </row>
    <row r="894" spans="1:28" ht="12.75">
      <c r="A894" s="9" t="s">
        <v>58</v>
      </c>
      <c r="B894" s="10">
        <v>44678</v>
      </c>
      <c r="C894" s="11">
        <v>44678</v>
      </c>
      <c r="D894" s="42">
        <v>17</v>
      </c>
      <c r="E894" s="13" t="s">
        <v>1238</v>
      </c>
      <c r="F894" s="13">
        <v>3025460</v>
      </c>
      <c r="G894" s="14">
        <v>20928.5</v>
      </c>
      <c r="H894" s="40">
        <f>9300-9098.11</f>
        <v>201.88999999999942</v>
      </c>
      <c r="I894" s="16">
        <f>-H894*G894</f>
        <v>-4225254.8649999881</v>
      </c>
      <c r="J894" s="17">
        <v>0</v>
      </c>
      <c r="K894" s="34">
        <v>4502313633</v>
      </c>
      <c r="L894" s="19">
        <v>5081532697</v>
      </c>
      <c r="M894" s="20">
        <v>5113266511</v>
      </c>
      <c r="N894" s="23"/>
      <c r="O894" s="9"/>
      <c r="P894" s="23"/>
      <c r="Q894" s="24" t="s">
        <v>31</v>
      </c>
      <c r="R894" s="25">
        <v>44675</v>
      </c>
      <c r="S894" s="28"/>
      <c r="T894" s="35"/>
      <c r="U894" s="35"/>
      <c r="V894" s="29"/>
      <c r="W894" s="35"/>
      <c r="X894" s="29"/>
      <c r="Y894" s="36"/>
      <c r="Z894" s="29"/>
      <c r="AA894" s="31">
        <f t="shared" si="1"/>
        <v>44675</v>
      </c>
      <c r="AB894" s="32" t="str">
        <f t="shared" si="5"/>
        <v>abril</v>
      </c>
    </row>
    <row r="895" spans="1:28" ht="12.75">
      <c r="A895" s="9" t="s">
        <v>873</v>
      </c>
      <c r="B895" s="10">
        <v>44705</v>
      </c>
      <c r="C895" s="11"/>
      <c r="D895" s="42">
        <v>17</v>
      </c>
      <c r="E895" s="13" t="s">
        <v>1239</v>
      </c>
      <c r="F895" s="13">
        <v>3025460</v>
      </c>
      <c r="G895" s="14">
        <v>26265.5</v>
      </c>
      <c r="H895" s="40">
        <v>8800</v>
      </c>
      <c r="I895" s="16">
        <f t="shared" ref="I895:I900" si="132">H895*G895</f>
        <v>231136400</v>
      </c>
      <c r="J895" s="17">
        <v>57</v>
      </c>
      <c r="K895" s="34">
        <v>4502313634</v>
      </c>
      <c r="L895" s="19">
        <v>5081534351</v>
      </c>
      <c r="M895" s="20">
        <v>5113265075</v>
      </c>
      <c r="N895" s="23"/>
      <c r="O895" s="9"/>
      <c r="P895" s="97" t="s">
        <v>313</v>
      </c>
      <c r="Q895" s="24" t="s">
        <v>31</v>
      </c>
      <c r="R895" s="25">
        <v>44675</v>
      </c>
      <c r="S895" s="28"/>
      <c r="T895" s="35"/>
      <c r="U895" s="35"/>
      <c r="V895" s="29"/>
      <c r="W895" s="35"/>
      <c r="X895" s="29"/>
      <c r="Y895" s="36"/>
      <c r="Z895" s="29"/>
      <c r="AA895" s="31">
        <f t="shared" si="1"/>
        <v>44675</v>
      </c>
      <c r="AB895" s="32" t="str">
        <f t="shared" si="5"/>
        <v>abril</v>
      </c>
    </row>
    <row r="896" spans="1:28" ht="12.75">
      <c r="A896" s="9" t="s">
        <v>873</v>
      </c>
      <c r="B896" s="10">
        <v>44705</v>
      </c>
      <c r="C896" s="11"/>
      <c r="D896" s="42">
        <v>17</v>
      </c>
      <c r="E896" s="13" t="s">
        <v>1240</v>
      </c>
      <c r="F896" s="13">
        <v>3025460</v>
      </c>
      <c r="G896" s="14">
        <v>26265.5</v>
      </c>
      <c r="H896" s="40">
        <v>45.48</v>
      </c>
      <c r="I896" s="16">
        <f t="shared" si="132"/>
        <v>1194554.94</v>
      </c>
      <c r="J896" s="17">
        <v>0</v>
      </c>
      <c r="K896" s="34">
        <v>4502313634</v>
      </c>
      <c r="L896" s="19">
        <v>5081534351</v>
      </c>
      <c r="M896" s="20">
        <v>5113265187</v>
      </c>
      <c r="N896" s="23"/>
      <c r="O896" s="9"/>
      <c r="P896" s="23"/>
      <c r="Q896" s="24" t="s">
        <v>31</v>
      </c>
      <c r="R896" s="25">
        <v>44675</v>
      </c>
      <c r="S896" s="28"/>
      <c r="T896" s="35"/>
      <c r="U896" s="35"/>
      <c r="V896" s="29"/>
      <c r="W896" s="35"/>
      <c r="X896" s="29"/>
      <c r="Y896" s="36"/>
      <c r="Z896" s="29"/>
      <c r="AA896" s="31">
        <f t="shared" si="1"/>
        <v>44675</v>
      </c>
      <c r="AB896" s="32" t="str">
        <f t="shared" si="5"/>
        <v>abril</v>
      </c>
    </row>
    <row r="897" spans="1:28" ht="12.75">
      <c r="A897" s="9" t="s">
        <v>43</v>
      </c>
      <c r="B897" s="10">
        <v>44675</v>
      </c>
      <c r="C897" s="11">
        <v>44676</v>
      </c>
      <c r="D897" s="42">
        <v>17</v>
      </c>
      <c r="E897" s="13" t="s">
        <v>1241</v>
      </c>
      <c r="F897" s="13">
        <v>3025460</v>
      </c>
      <c r="G897" s="14">
        <v>14228</v>
      </c>
      <c r="H897" s="15">
        <v>8600</v>
      </c>
      <c r="I897" s="16">
        <f t="shared" si="132"/>
        <v>122360800</v>
      </c>
      <c r="J897" s="17">
        <v>28</v>
      </c>
      <c r="K897" s="34">
        <v>4502316359</v>
      </c>
      <c r="L897" s="19">
        <v>5081534082</v>
      </c>
      <c r="M897" s="20">
        <v>5113252897</v>
      </c>
      <c r="N897" s="23" t="s">
        <v>37</v>
      </c>
      <c r="O897" s="22" t="s">
        <v>1242</v>
      </c>
      <c r="P897" s="23"/>
      <c r="Q897" s="24" t="s">
        <v>31</v>
      </c>
      <c r="R897" s="25">
        <v>44675</v>
      </c>
      <c r="S897" s="28">
        <v>4902253729</v>
      </c>
      <c r="T897" s="27">
        <f>509600*2</f>
        <v>1019200</v>
      </c>
      <c r="U897" s="28" t="s">
        <v>1243</v>
      </c>
      <c r="V897" s="29">
        <v>5113252815</v>
      </c>
      <c r="W897" s="35"/>
      <c r="X897" s="29"/>
      <c r="Y897" s="36"/>
      <c r="Z897" s="29"/>
      <c r="AA897" s="31">
        <f t="shared" si="1"/>
        <v>44675</v>
      </c>
      <c r="AB897" s="32" t="str">
        <f t="shared" si="5"/>
        <v>abril</v>
      </c>
    </row>
    <row r="898" spans="1:28" ht="12.75">
      <c r="A898" s="9" t="s">
        <v>1244</v>
      </c>
      <c r="B898" s="10">
        <v>44675</v>
      </c>
      <c r="C898" s="11">
        <v>44676</v>
      </c>
      <c r="D898" s="42">
        <v>17</v>
      </c>
      <c r="E898" s="13" t="s">
        <v>105</v>
      </c>
      <c r="F898" s="13">
        <v>3025460</v>
      </c>
      <c r="G898" s="14">
        <v>23272.5</v>
      </c>
      <c r="H898" s="15">
        <v>8600</v>
      </c>
      <c r="I898" s="16">
        <f t="shared" si="132"/>
        <v>200143500</v>
      </c>
      <c r="J898" s="17">
        <v>42</v>
      </c>
      <c r="K898" s="34">
        <v>4502316360</v>
      </c>
      <c r="L898" s="19">
        <v>5081534083</v>
      </c>
      <c r="M898" s="20">
        <v>5113254649</v>
      </c>
      <c r="N898" s="23" t="s">
        <v>37</v>
      </c>
      <c r="O898" s="22" t="s">
        <v>1245</v>
      </c>
      <c r="P898" s="23"/>
      <c r="Q898" s="24" t="s">
        <v>31</v>
      </c>
      <c r="R898" s="25">
        <v>44675</v>
      </c>
      <c r="S898" s="28">
        <v>4902253730</v>
      </c>
      <c r="T898" s="27">
        <f>510000*3</f>
        <v>1530000</v>
      </c>
      <c r="U898" s="28" t="s">
        <v>1246</v>
      </c>
      <c r="V898" s="29">
        <v>5113254702</v>
      </c>
      <c r="W898" s="35"/>
      <c r="X898" s="29"/>
      <c r="Y898" s="36"/>
      <c r="Z898" s="29"/>
      <c r="AA898" s="31">
        <f t="shared" si="1"/>
        <v>44675</v>
      </c>
      <c r="AB898" s="32" t="str">
        <f t="shared" si="5"/>
        <v>abril</v>
      </c>
    </row>
    <row r="899" spans="1:28" ht="12.75">
      <c r="A899" s="9" t="s">
        <v>1244</v>
      </c>
      <c r="B899" s="10">
        <v>44675</v>
      </c>
      <c r="C899" s="11">
        <v>44676</v>
      </c>
      <c r="D899" s="42">
        <v>17</v>
      </c>
      <c r="E899" s="13" t="s">
        <v>105</v>
      </c>
      <c r="F899" s="13">
        <v>3025460</v>
      </c>
      <c r="G899" s="14">
        <v>7757.5</v>
      </c>
      <c r="H899" s="15">
        <v>8600</v>
      </c>
      <c r="I899" s="16">
        <f t="shared" si="132"/>
        <v>66714500</v>
      </c>
      <c r="J899" s="17">
        <v>14</v>
      </c>
      <c r="K899" s="34">
        <v>4502316360</v>
      </c>
      <c r="L899" s="19">
        <v>5081534083</v>
      </c>
      <c r="M899" s="20">
        <v>5113254649</v>
      </c>
      <c r="N899" s="23" t="s">
        <v>37</v>
      </c>
      <c r="O899" s="22" t="s">
        <v>1247</v>
      </c>
      <c r="P899" s="23"/>
      <c r="Q899" s="24" t="s">
        <v>31</v>
      </c>
      <c r="R899" s="25">
        <v>44675</v>
      </c>
      <c r="S899" s="28">
        <v>4902253730</v>
      </c>
      <c r="T899" s="27">
        <v>510000</v>
      </c>
      <c r="U899" s="28" t="s">
        <v>1246</v>
      </c>
      <c r="V899" s="29">
        <v>5113254702</v>
      </c>
      <c r="W899" s="35"/>
      <c r="X899" s="29"/>
      <c r="Y899" s="36"/>
      <c r="Z899" s="29"/>
      <c r="AA899" s="31">
        <f t="shared" si="1"/>
        <v>44675</v>
      </c>
      <c r="AB899" s="32" t="str">
        <f t="shared" si="5"/>
        <v>abril</v>
      </c>
    </row>
    <row r="900" spans="1:28" ht="12.75">
      <c r="A900" s="9" t="s">
        <v>1248</v>
      </c>
      <c r="B900" s="10">
        <v>44683</v>
      </c>
      <c r="C900" s="11">
        <v>44683</v>
      </c>
      <c r="D900" s="42">
        <v>17</v>
      </c>
      <c r="E900" s="13" t="s">
        <v>1249</v>
      </c>
      <c r="F900" s="13">
        <v>3025460</v>
      </c>
      <c r="G900" s="14">
        <v>7172</v>
      </c>
      <c r="H900" s="40">
        <v>8500</v>
      </c>
      <c r="I900" s="16">
        <f t="shared" si="132"/>
        <v>60962000</v>
      </c>
      <c r="J900" s="17">
        <v>17</v>
      </c>
      <c r="K900" s="34">
        <v>4502313635</v>
      </c>
      <c r="L900" s="19">
        <v>5081532768</v>
      </c>
      <c r="M900" s="20">
        <v>5113280162</v>
      </c>
      <c r="N900" s="23"/>
      <c r="O900" s="23" t="s">
        <v>37</v>
      </c>
      <c r="P900" s="23" t="s">
        <v>1250</v>
      </c>
      <c r="Q900" s="24" t="s">
        <v>31</v>
      </c>
      <c r="R900" s="25">
        <v>44675</v>
      </c>
      <c r="S900" s="28"/>
      <c r="T900" s="35"/>
      <c r="U900" s="35"/>
      <c r="V900" s="29"/>
      <c r="W900" s="35"/>
      <c r="X900" s="29"/>
      <c r="Y900" s="36"/>
      <c r="Z900" s="29"/>
      <c r="AA900" s="31">
        <f t="shared" si="1"/>
        <v>44675</v>
      </c>
      <c r="AB900" s="32" t="str">
        <f t="shared" si="5"/>
        <v>abril</v>
      </c>
    </row>
    <row r="901" spans="1:28" ht="12.75">
      <c r="A901" s="9" t="s">
        <v>1248</v>
      </c>
      <c r="B901" s="10">
        <v>44683</v>
      </c>
      <c r="C901" s="11">
        <v>44683</v>
      </c>
      <c r="D901" s="42">
        <v>17</v>
      </c>
      <c r="E901" s="13" t="s">
        <v>1251</v>
      </c>
      <c r="F901" s="13">
        <v>3025460</v>
      </c>
      <c r="G901" s="14">
        <v>7172</v>
      </c>
      <c r="H901" s="40">
        <f>8500-8444.47</f>
        <v>55.530000000000655</v>
      </c>
      <c r="I901" s="16">
        <f>-H901*G901</f>
        <v>-398261.16000000469</v>
      </c>
      <c r="J901" s="17">
        <v>0</v>
      </c>
      <c r="K901" s="34">
        <v>4502313635</v>
      </c>
      <c r="L901" s="19">
        <v>5081532768</v>
      </c>
      <c r="M901" s="20">
        <v>5113280163</v>
      </c>
      <c r="N901" s="23"/>
      <c r="O901" s="9"/>
      <c r="P901" s="23"/>
      <c r="Q901" s="24" t="s">
        <v>31</v>
      </c>
      <c r="R901" s="25">
        <v>44675</v>
      </c>
      <c r="S901" s="28"/>
      <c r="T901" s="35"/>
      <c r="U901" s="35"/>
      <c r="V901" s="29"/>
      <c r="W901" s="35"/>
      <c r="X901" s="29"/>
      <c r="Y901" s="36"/>
      <c r="Z901" s="29"/>
      <c r="AA901" s="31">
        <f t="shared" si="1"/>
        <v>44675</v>
      </c>
      <c r="AB901" s="32" t="str">
        <f t="shared" si="5"/>
        <v>abril</v>
      </c>
    </row>
    <row r="902" spans="1:28" ht="12.75">
      <c r="A902" s="9" t="s">
        <v>80</v>
      </c>
      <c r="B902" s="10">
        <v>44675</v>
      </c>
      <c r="C902" s="11">
        <v>44677</v>
      </c>
      <c r="D902" s="42">
        <v>17</v>
      </c>
      <c r="E902" s="13" t="s">
        <v>1252</v>
      </c>
      <c r="F902" s="13">
        <v>3025460</v>
      </c>
      <c r="G902" s="14">
        <v>38232</v>
      </c>
      <c r="H902" s="57">
        <v>8700</v>
      </c>
      <c r="I902" s="16">
        <f t="shared" ref="I902:I911" si="133">H902*G902</f>
        <v>332618400</v>
      </c>
      <c r="J902" s="17">
        <v>84</v>
      </c>
      <c r="K902" s="34">
        <v>4502317466</v>
      </c>
      <c r="L902" s="19">
        <v>5081558342</v>
      </c>
      <c r="M902" s="20">
        <v>5113263430</v>
      </c>
      <c r="N902" s="23"/>
      <c r="O902" s="23" t="s">
        <v>37</v>
      </c>
      <c r="P902" s="23"/>
      <c r="Q902" s="24" t="s">
        <v>1253</v>
      </c>
      <c r="R902" s="25">
        <v>44675</v>
      </c>
      <c r="S902" s="28"/>
      <c r="T902" s="35"/>
      <c r="U902" s="35"/>
      <c r="V902" s="29"/>
      <c r="W902" s="35"/>
      <c r="X902" s="29"/>
      <c r="Y902" s="36"/>
      <c r="Z902" s="29"/>
      <c r="AA902" s="31">
        <f t="shared" si="1"/>
        <v>44675</v>
      </c>
      <c r="AB902" s="32" t="str">
        <f t="shared" si="5"/>
        <v>abril</v>
      </c>
    </row>
    <row r="903" spans="1:28" ht="12.75">
      <c r="A903" s="9" t="s">
        <v>443</v>
      </c>
      <c r="B903" s="10">
        <v>44675</v>
      </c>
      <c r="C903" s="11">
        <v>44677</v>
      </c>
      <c r="D903" s="42">
        <v>17</v>
      </c>
      <c r="E903" s="13" t="s">
        <v>1254</v>
      </c>
      <c r="F903" s="13">
        <v>3025460</v>
      </c>
      <c r="G903" s="14">
        <v>22177</v>
      </c>
      <c r="H903" s="57">
        <v>8500</v>
      </c>
      <c r="I903" s="16">
        <f t="shared" si="133"/>
        <v>188504500</v>
      </c>
      <c r="J903" s="17">
        <v>42</v>
      </c>
      <c r="K903" s="34">
        <v>4502317482</v>
      </c>
      <c r="L903" s="19">
        <v>5081558563</v>
      </c>
      <c r="M903" s="20">
        <v>5113260114</v>
      </c>
      <c r="N903" s="9" t="s">
        <v>63</v>
      </c>
      <c r="O903" s="22" t="s">
        <v>1255</v>
      </c>
      <c r="P903" s="23"/>
      <c r="Q903" s="24" t="s">
        <v>1253</v>
      </c>
      <c r="R903" s="25">
        <v>44675</v>
      </c>
      <c r="S903" s="28">
        <v>4502317482</v>
      </c>
      <c r="T903" s="27">
        <f>890800*3</f>
        <v>2672400</v>
      </c>
      <c r="U903" s="28" t="s">
        <v>1256</v>
      </c>
      <c r="V903" s="29">
        <v>5113257118</v>
      </c>
      <c r="W903" s="35"/>
      <c r="X903" s="29"/>
      <c r="Y903" s="36"/>
      <c r="Z903" s="29"/>
      <c r="AA903" s="31">
        <f t="shared" si="1"/>
        <v>44675</v>
      </c>
      <c r="AB903" s="32" t="str">
        <f t="shared" si="5"/>
        <v>abril</v>
      </c>
    </row>
    <row r="904" spans="1:28" ht="12.75">
      <c r="A904" s="9" t="s">
        <v>83</v>
      </c>
      <c r="B904" s="10">
        <v>44675</v>
      </c>
      <c r="C904" s="11">
        <v>44678</v>
      </c>
      <c r="D904" s="42">
        <v>17</v>
      </c>
      <c r="E904" s="13" t="s">
        <v>1257</v>
      </c>
      <c r="F904" s="13">
        <v>3025460</v>
      </c>
      <c r="G904" s="14">
        <v>13299</v>
      </c>
      <c r="H904" s="57">
        <v>8700</v>
      </c>
      <c r="I904" s="16">
        <f t="shared" si="133"/>
        <v>115701300</v>
      </c>
      <c r="J904" s="17">
        <v>28</v>
      </c>
      <c r="K904" s="34">
        <v>4502318155</v>
      </c>
      <c r="L904" s="19">
        <v>5081574062</v>
      </c>
      <c r="M904" s="20">
        <v>5113282006</v>
      </c>
      <c r="N904" s="23" t="s">
        <v>382</v>
      </c>
      <c r="O904" s="22" t="s">
        <v>1258</v>
      </c>
      <c r="P904" s="98" t="s">
        <v>1259</v>
      </c>
      <c r="Q904" s="24" t="s">
        <v>1253</v>
      </c>
      <c r="R904" s="25">
        <v>44675</v>
      </c>
      <c r="S904" s="34">
        <v>4502318155</v>
      </c>
      <c r="T904" s="28">
        <f>730600+900600</f>
        <v>1631200</v>
      </c>
      <c r="U904" s="28" t="s">
        <v>1260</v>
      </c>
      <c r="V904" s="29">
        <v>5113264363</v>
      </c>
      <c r="W904" s="28" t="s">
        <v>1261</v>
      </c>
      <c r="X904" s="29">
        <v>5113264360</v>
      </c>
      <c r="Y904" s="36"/>
      <c r="Z904" s="29"/>
      <c r="AA904" s="31">
        <f t="shared" si="1"/>
        <v>44675</v>
      </c>
      <c r="AB904" s="32" t="str">
        <f t="shared" si="5"/>
        <v>abril</v>
      </c>
    </row>
    <row r="905" spans="1:28" ht="12.75">
      <c r="A905" s="22" t="s">
        <v>990</v>
      </c>
      <c r="B905" s="10">
        <v>44674</v>
      </c>
      <c r="C905" s="11">
        <v>44677</v>
      </c>
      <c r="D905" s="42">
        <v>17</v>
      </c>
      <c r="E905" s="13" t="s">
        <v>1262</v>
      </c>
      <c r="F905" s="13">
        <v>3025460</v>
      </c>
      <c r="G905" s="14">
        <v>6956</v>
      </c>
      <c r="H905" s="15">
        <v>8800</v>
      </c>
      <c r="I905" s="16">
        <f t="shared" si="133"/>
        <v>61212800</v>
      </c>
      <c r="J905" s="17">
        <v>16</v>
      </c>
      <c r="K905" s="34">
        <v>4502316285</v>
      </c>
      <c r="L905" s="19">
        <v>5081533340</v>
      </c>
      <c r="M905" s="20">
        <v>5113259198</v>
      </c>
      <c r="N905" s="44" t="s">
        <v>37</v>
      </c>
      <c r="O905" s="22" t="s">
        <v>1263</v>
      </c>
      <c r="P905" s="23"/>
      <c r="Q905" s="24" t="s">
        <v>31</v>
      </c>
      <c r="R905" s="25">
        <v>44675</v>
      </c>
      <c r="S905" s="28">
        <v>4902255589</v>
      </c>
      <c r="T905" s="28">
        <v>931500</v>
      </c>
      <c r="U905" s="28" t="s">
        <v>1264</v>
      </c>
      <c r="V905" s="29">
        <v>5113256462</v>
      </c>
      <c r="W905" s="35"/>
      <c r="X905" s="29"/>
      <c r="Y905" s="36"/>
      <c r="Z905" s="29"/>
      <c r="AA905" s="31">
        <f t="shared" si="1"/>
        <v>44675</v>
      </c>
      <c r="AB905" s="32" t="str">
        <f t="shared" si="5"/>
        <v>abril</v>
      </c>
    </row>
    <row r="906" spans="1:28" ht="12.75">
      <c r="A906" s="22" t="s">
        <v>990</v>
      </c>
      <c r="B906" s="10">
        <v>44674</v>
      </c>
      <c r="C906" s="11">
        <v>44677</v>
      </c>
      <c r="D906" s="42">
        <v>17</v>
      </c>
      <c r="E906" s="13" t="s">
        <v>1265</v>
      </c>
      <c r="F906" s="13">
        <v>3025460</v>
      </c>
      <c r="G906" s="14">
        <v>6886</v>
      </c>
      <c r="H906" s="15">
        <v>8500</v>
      </c>
      <c r="I906" s="16">
        <f t="shared" si="133"/>
        <v>58531000</v>
      </c>
      <c r="J906" s="17">
        <v>16</v>
      </c>
      <c r="K906" s="34">
        <v>4502316285</v>
      </c>
      <c r="L906" s="19">
        <v>5081533340</v>
      </c>
      <c r="M906" s="20">
        <v>5113259202</v>
      </c>
      <c r="N906" s="44" t="s">
        <v>37</v>
      </c>
      <c r="O906" s="22" t="s">
        <v>1263</v>
      </c>
      <c r="P906" s="23"/>
      <c r="Q906" s="24" t="s">
        <v>31</v>
      </c>
      <c r="R906" s="25">
        <v>44675</v>
      </c>
      <c r="S906" s="28">
        <v>4902255589</v>
      </c>
      <c r="T906" s="28">
        <v>931500</v>
      </c>
      <c r="U906" s="28" t="s">
        <v>1264</v>
      </c>
      <c r="V906" s="29">
        <v>5113256462</v>
      </c>
      <c r="W906" s="35"/>
      <c r="X906" s="29"/>
      <c r="Y906" s="36"/>
      <c r="Z906" s="29"/>
      <c r="AA906" s="31">
        <f t="shared" si="1"/>
        <v>44675</v>
      </c>
      <c r="AB906" s="32" t="str">
        <f t="shared" si="5"/>
        <v>abril</v>
      </c>
    </row>
    <row r="907" spans="1:28" ht="12.75">
      <c r="A907" s="22" t="s">
        <v>990</v>
      </c>
      <c r="B907" s="10">
        <v>44674</v>
      </c>
      <c r="C907" s="11">
        <v>44677</v>
      </c>
      <c r="D907" s="42">
        <v>17</v>
      </c>
      <c r="E907" s="13" t="s">
        <v>1266</v>
      </c>
      <c r="F907" s="13">
        <v>3025460</v>
      </c>
      <c r="G907" s="14">
        <v>7296</v>
      </c>
      <c r="H907" s="15">
        <v>9000</v>
      </c>
      <c r="I907" s="16">
        <f t="shared" si="133"/>
        <v>65664000</v>
      </c>
      <c r="J907" s="17">
        <v>14</v>
      </c>
      <c r="K907" s="34">
        <v>4502316285</v>
      </c>
      <c r="L907" s="19">
        <v>5081533340</v>
      </c>
      <c r="M907" s="20">
        <v>5113259203</v>
      </c>
      <c r="N907" s="44" t="s">
        <v>37</v>
      </c>
      <c r="O907" s="22" t="s">
        <v>1263</v>
      </c>
      <c r="P907" s="23"/>
      <c r="Q907" s="24" t="s">
        <v>31</v>
      </c>
      <c r="R907" s="25">
        <v>44675</v>
      </c>
      <c r="S907" s="28">
        <v>4902255589</v>
      </c>
      <c r="T907" s="28">
        <v>931500</v>
      </c>
      <c r="U907" s="28" t="s">
        <v>1264</v>
      </c>
      <c r="V907" s="29">
        <v>5113256462</v>
      </c>
      <c r="W907" s="35"/>
      <c r="X907" s="29"/>
      <c r="Y907" s="36"/>
      <c r="Z907" s="29"/>
      <c r="AA907" s="31">
        <f t="shared" si="1"/>
        <v>44675</v>
      </c>
      <c r="AB907" s="32" t="str">
        <f t="shared" si="5"/>
        <v>abril</v>
      </c>
    </row>
    <row r="908" spans="1:28" ht="12.75">
      <c r="A908" s="22" t="s">
        <v>990</v>
      </c>
      <c r="B908" s="10">
        <v>44674</v>
      </c>
      <c r="C908" s="11">
        <v>44677</v>
      </c>
      <c r="D908" s="42">
        <v>17</v>
      </c>
      <c r="E908" s="13" t="s">
        <v>1267</v>
      </c>
      <c r="F908" s="13">
        <v>3025460</v>
      </c>
      <c r="G908" s="14">
        <v>6976</v>
      </c>
      <c r="H908" s="15">
        <v>8700</v>
      </c>
      <c r="I908" s="16">
        <f t="shared" si="133"/>
        <v>60691200</v>
      </c>
      <c r="J908" s="17">
        <v>16</v>
      </c>
      <c r="K908" s="34">
        <v>4502316285</v>
      </c>
      <c r="L908" s="19">
        <v>5081533340</v>
      </c>
      <c r="M908" s="20">
        <v>5113259204</v>
      </c>
      <c r="N908" s="44" t="s">
        <v>37</v>
      </c>
      <c r="O908" s="22" t="s">
        <v>1263</v>
      </c>
      <c r="P908" s="23" t="s">
        <v>1268</v>
      </c>
      <c r="Q908" s="24" t="s">
        <v>31</v>
      </c>
      <c r="R908" s="25">
        <v>44675</v>
      </c>
      <c r="S908" s="28">
        <v>4902255589</v>
      </c>
      <c r="T908" s="28">
        <v>931500</v>
      </c>
      <c r="U908" s="28" t="s">
        <v>1264</v>
      </c>
      <c r="V908" s="29">
        <v>5113256462</v>
      </c>
      <c r="W908" s="35"/>
      <c r="X908" s="29"/>
      <c r="Y908" s="36"/>
      <c r="Z908" s="29"/>
      <c r="AA908" s="31">
        <f t="shared" si="1"/>
        <v>44675</v>
      </c>
      <c r="AB908" s="32" t="str">
        <f t="shared" si="5"/>
        <v>abril</v>
      </c>
    </row>
    <row r="909" spans="1:28" ht="12.75">
      <c r="A909" s="45" t="s">
        <v>145</v>
      </c>
      <c r="B909" s="10">
        <v>44678</v>
      </c>
      <c r="C909" s="11">
        <v>44679</v>
      </c>
      <c r="D909" s="42">
        <v>17</v>
      </c>
      <c r="E909" s="13" t="s">
        <v>1269</v>
      </c>
      <c r="F909" s="13">
        <v>3025457</v>
      </c>
      <c r="G909" s="14">
        <v>6585</v>
      </c>
      <c r="H909" s="15">
        <v>8600</v>
      </c>
      <c r="I909" s="16">
        <f t="shared" si="133"/>
        <v>56631000</v>
      </c>
      <c r="J909" s="17">
        <v>14</v>
      </c>
      <c r="K909" s="34">
        <v>4502313991</v>
      </c>
      <c r="L909" s="19">
        <v>5081553303</v>
      </c>
      <c r="M909" s="20">
        <v>5113264337</v>
      </c>
      <c r="N909" s="23"/>
      <c r="O909" s="23" t="s">
        <v>37</v>
      </c>
      <c r="P909" s="23"/>
      <c r="Q909" s="24" t="s">
        <v>31</v>
      </c>
      <c r="R909" s="25">
        <v>44676</v>
      </c>
      <c r="S909" s="28"/>
      <c r="T909" s="35"/>
      <c r="U909" s="35"/>
      <c r="V909" s="29"/>
      <c r="W909" s="35"/>
      <c r="X909" s="29"/>
      <c r="Y909" s="36"/>
      <c r="Z909" s="29"/>
      <c r="AA909" s="31">
        <f t="shared" si="1"/>
        <v>44676</v>
      </c>
      <c r="AB909" s="32" t="str">
        <f t="shared" si="5"/>
        <v>abril</v>
      </c>
    </row>
    <row r="910" spans="1:28" ht="12.75">
      <c r="A910" s="9" t="s">
        <v>1270</v>
      </c>
      <c r="B910" s="10">
        <v>44679</v>
      </c>
      <c r="C910" s="11">
        <v>44679</v>
      </c>
      <c r="D910" s="42">
        <v>17</v>
      </c>
      <c r="E910" s="13" t="s">
        <v>1271</v>
      </c>
      <c r="F910" s="13">
        <v>3025460</v>
      </c>
      <c r="G910" s="14">
        <v>26955</v>
      </c>
      <c r="H910" s="15">
        <v>8000</v>
      </c>
      <c r="I910" s="16">
        <f t="shared" si="133"/>
        <v>215640000</v>
      </c>
      <c r="J910" s="17">
        <v>56</v>
      </c>
      <c r="K910" s="34">
        <v>4502316794</v>
      </c>
      <c r="L910" s="19">
        <v>5081541066</v>
      </c>
      <c r="M910" s="20">
        <v>5113269108</v>
      </c>
      <c r="N910" s="23"/>
      <c r="O910" s="22" t="s">
        <v>1272</v>
      </c>
      <c r="P910" s="97" t="s">
        <v>313</v>
      </c>
      <c r="Q910" s="24" t="s">
        <v>31</v>
      </c>
      <c r="R910" s="25">
        <v>44676</v>
      </c>
      <c r="S910" s="28">
        <v>4902253731</v>
      </c>
      <c r="T910" s="27">
        <f>376800*4</f>
        <v>1507200</v>
      </c>
      <c r="U910" s="28" t="s">
        <v>1273</v>
      </c>
      <c r="V910" s="29">
        <v>5113256504</v>
      </c>
      <c r="W910" s="35"/>
      <c r="X910" s="29"/>
      <c r="Y910" s="36"/>
      <c r="Z910" s="29"/>
      <c r="AA910" s="31">
        <f t="shared" si="1"/>
        <v>44676</v>
      </c>
      <c r="AB910" s="32" t="str">
        <f t="shared" si="5"/>
        <v>abril</v>
      </c>
    </row>
    <row r="911" spans="1:28" ht="12.75">
      <c r="A911" s="9" t="s">
        <v>1102</v>
      </c>
      <c r="B911" s="10">
        <v>44680</v>
      </c>
      <c r="C911" s="11">
        <v>44683</v>
      </c>
      <c r="D911" s="42">
        <v>17</v>
      </c>
      <c r="E911" s="13" t="s">
        <v>1274</v>
      </c>
      <c r="F911" s="13">
        <v>3025460</v>
      </c>
      <c r="G911" s="14">
        <v>13430</v>
      </c>
      <c r="H911" s="40">
        <v>9100</v>
      </c>
      <c r="I911" s="16">
        <f t="shared" si="133"/>
        <v>122213000</v>
      </c>
      <c r="J911" s="17">
        <v>30</v>
      </c>
      <c r="K911" s="34">
        <v>4502313637</v>
      </c>
      <c r="L911" s="19">
        <v>5081553302</v>
      </c>
      <c r="M911" s="20">
        <v>5113278172</v>
      </c>
      <c r="N911" s="23"/>
      <c r="O911" s="9" t="s">
        <v>37</v>
      </c>
      <c r="P911" s="23" t="s">
        <v>1275</v>
      </c>
      <c r="Q911" s="24" t="s">
        <v>31</v>
      </c>
      <c r="R911" s="25">
        <v>44676</v>
      </c>
      <c r="S911" s="28"/>
      <c r="T911" s="35"/>
      <c r="U911" s="35"/>
      <c r="V911" s="29"/>
      <c r="W911" s="35"/>
      <c r="X911" s="29"/>
      <c r="Y911" s="36"/>
      <c r="Z911" s="29"/>
      <c r="AA911" s="31">
        <f t="shared" si="1"/>
        <v>44676</v>
      </c>
      <c r="AB911" s="32" t="str">
        <f t="shared" si="5"/>
        <v>abril</v>
      </c>
    </row>
    <row r="912" spans="1:28" ht="12.75">
      <c r="A912" s="9" t="s">
        <v>1102</v>
      </c>
      <c r="B912" s="10">
        <v>44680</v>
      </c>
      <c r="C912" s="11">
        <v>44683</v>
      </c>
      <c r="D912" s="42">
        <v>17</v>
      </c>
      <c r="E912" s="13" t="s">
        <v>1276</v>
      </c>
      <c r="F912" s="13">
        <v>3025460</v>
      </c>
      <c r="G912" s="14">
        <v>13430</v>
      </c>
      <c r="H912" s="40">
        <f>9100-8911.02</f>
        <v>188.97999999999956</v>
      </c>
      <c r="I912" s="16">
        <f>-H912*G912</f>
        <v>-2538001.3999999943</v>
      </c>
      <c r="J912" s="17">
        <v>0</v>
      </c>
      <c r="K912" s="34">
        <v>4502313637</v>
      </c>
      <c r="L912" s="19">
        <v>5081553302</v>
      </c>
      <c r="M912" s="20">
        <v>5113278173</v>
      </c>
      <c r="N912" s="23"/>
      <c r="O912" s="9"/>
      <c r="P912" s="23"/>
      <c r="Q912" s="24" t="s">
        <v>31</v>
      </c>
      <c r="R912" s="25">
        <v>44676</v>
      </c>
      <c r="S912" s="28"/>
      <c r="T912" s="35"/>
      <c r="U912" s="35"/>
      <c r="V912" s="29"/>
      <c r="W912" s="35"/>
      <c r="X912" s="29"/>
      <c r="Y912" s="36"/>
      <c r="Z912" s="29"/>
      <c r="AA912" s="31">
        <f t="shared" si="1"/>
        <v>44676</v>
      </c>
      <c r="AB912" s="32" t="str">
        <f t="shared" si="5"/>
        <v>abril</v>
      </c>
    </row>
    <row r="913" spans="1:28" ht="12.75">
      <c r="A913" s="22" t="s">
        <v>495</v>
      </c>
      <c r="B913" s="10">
        <v>44680</v>
      </c>
      <c r="C913" s="11">
        <v>44680</v>
      </c>
      <c r="D913" s="42">
        <v>17</v>
      </c>
      <c r="E913" s="13" t="s">
        <v>1277</v>
      </c>
      <c r="F913" s="13">
        <v>3025460</v>
      </c>
      <c r="G913" s="14">
        <v>22666</v>
      </c>
      <c r="H913" s="15">
        <v>8600</v>
      </c>
      <c r="I913" s="16">
        <f>H913*G913</f>
        <v>194927600</v>
      </c>
      <c r="J913" s="17">
        <v>45</v>
      </c>
      <c r="K913" s="34">
        <v>4502313992</v>
      </c>
      <c r="L913" s="19">
        <v>5081553499</v>
      </c>
      <c r="M913" s="20">
        <v>5113273319</v>
      </c>
      <c r="N913" s="23"/>
      <c r="O913" s="9" t="s">
        <v>37</v>
      </c>
      <c r="P913" s="23"/>
      <c r="Q913" s="24" t="s">
        <v>31</v>
      </c>
      <c r="R913" s="25">
        <v>44676</v>
      </c>
      <c r="S913" s="28"/>
      <c r="T913" s="35"/>
      <c r="U913" s="35"/>
      <c r="V913" s="29"/>
      <c r="W913" s="35"/>
      <c r="X913" s="29"/>
      <c r="Y913" s="36"/>
      <c r="Z913" s="29"/>
      <c r="AA913" s="31">
        <f t="shared" si="1"/>
        <v>44676</v>
      </c>
      <c r="AB913" s="32" t="str">
        <f t="shared" si="5"/>
        <v>abril</v>
      </c>
    </row>
    <row r="914" spans="1:28" ht="12.75">
      <c r="A914" s="22" t="s">
        <v>495</v>
      </c>
      <c r="B914" s="10">
        <v>44680</v>
      </c>
      <c r="C914" s="11">
        <v>44680</v>
      </c>
      <c r="D914" s="42">
        <v>17</v>
      </c>
      <c r="E914" s="13" t="s">
        <v>1278</v>
      </c>
      <c r="F914" s="13">
        <v>3025460</v>
      </c>
      <c r="G914" s="14">
        <v>22666</v>
      </c>
      <c r="H914" s="15">
        <v>8600</v>
      </c>
      <c r="I914" s="39">
        <v>51600</v>
      </c>
      <c r="J914" s="17">
        <v>0</v>
      </c>
      <c r="K914" s="34">
        <v>4502313992</v>
      </c>
      <c r="L914" s="19">
        <v>5081553499</v>
      </c>
      <c r="M914" s="20">
        <v>5113276008</v>
      </c>
      <c r="N914" s="23"/>
      <c r="O914" s="9"/>
      <c r="P914" s="23"/>
      <c r="Q914" s="24" t="s">
        <v>31</v>
      </c>
      <c r="R914" s="25">
        <v>44676</v>
      </c>
      <c r="S914" s="28"/>
      <c r="T914" s="35"/>
      <c r="U914" s="35"/>
      <c r="V914" s="29"/>
      <c r="W914" s="35"/>
      <c r="X914" s="29"/>
      <c r="Y914" s="36"/>
      <c r="Z914" s="29"/>
      <c r="AA914" s="31">
        <f t="shared" si="1"/>
        <v>44676</v>
      </c>
      <c r="AB914" s="32" t="str">
        <f t="shared" si="5"/>
        <v>abril</v>
      </c>
    </row>
    <row r="915" spans="1:28" ht="12.75">
      <c r="A915" s="9" t="s">
        <v>65</v>
      </c>
      <c r="B915" s="10">
        <v>44677</v>
      </c>
      <c r="C915" s="11">
        <v>44677</v>
      </c>
      <c r="D915" s="42">
        <v>17</v>
      </c>
      <c r="E915" s="13" t="s">
        <v>1279</v>
      </c>
      <c r="F915" s="13">
        <v>3025459</v>
      </c>
      <c r="G915" s="14">
        <v>19884</v>
      </c>
      <c r="H915" s="15">
        <v>8500</v>
      </c>
      <c r="I915" s="16">
        <f t="shared" ref="I915:I918" si="134">H915*G915</f>
        <v>169014000</v>
      </c>
      <c r="J915" s="17">
        <v>42</v>
      </c>
      <c r="K915" s="34">
        <v>4502316797</v>
      </c>
      <c r="L915" s="19">
        <v>5081541299</v>
      </c>
      <c r="M915" s="20">
        <v>5113257307</v>
      </c>
      <c r="N915" s="23"/>
      <c r="O915" s="22" t="s">
        <v>1280</v>
      </c>
      <c r="P915" s="23"/>
      <c r="Q915" s="24" t="s">
        <v>31</v>
      </c>
      <c r="R915" s="25">
        <v>44676</v>
      </c>
      <c r="S915" s="28">
        <v>4902253735</v>
      </c>
      <c r="T915" s="35">
        <f>920000*3</f>
        <v>2760000</v>
      </c>
      <c r="U915" s="28" t="s">
        <v>1281</v>
      </c>
      <c r="V915" s="29">
        <v>5113256501</v>
      </c>
      <c r="W915" s="35"/>
      <c r="X915" s="29"/>
      <c r="Y915" s="36"/>
      <c r="Z915" s="29"/>
      <c r="AA915" s="31">
        <f t="shared" si="1"/>
        <v>44676</v>
      </c>
      <c r="AB915" s="32" t="str">
        <f t="shared" si="5"/>
        <v>abril</v>
      </c>
    </row>
    <row r="916" spans="1:28" ht="12.75">
      <c r="A916" s="9" t="s">
        <v>39</v>
      </c>
      <c r="B916" s="10">
        <v>44677</v>
      </c>
      <c r="C916" s="11">
        <v>44678</v>
      </c>
      <c r="D916" s="42">
        <v>17</v>
      </c>
      <c r="E916" s="13" t="s">
        <v>1282</v>
      </c>
      <c r="F916" s="13">
        <v>3025459</v>
      </c>
      <c r="G916" s="14">
        <v>13511.5</v>
      </c>
      <c r="H916" s="40">
        <v>9000</v>
      </c>
      <c r="I916" s="16">
        <f t="shared" si="134"/>
        <v>121603500</v>
      </c>
      <c r="J916" s="17">
        <v>30</v>
      </c>
      <c r="K916" s="34">
        <v>4502313638</v>
      </c>
      <c r="L916" s="19">
        <v>5081553498</v>
      </c>
      <c r="M916" s="20">
        <v>5113263427</v>
      </c>
      <c r="N916" s="44"/>
      <c r="O916" s="23" t="s">
        <v>37</v>
      </c>
      <c r="P916" s="23"/>
      <c r="Q916" s="24" t="s">
        <v>31</v>
      </c>
      <c r="R916" s="25">
        <v>44676</v>
      </c>
      <c r="S916" s="28"/>
      <c r="T916" s="35"/>
      <c r="U916" s="35"/>
      <c r="V916" s="29"/>
      <c r="W916" s="35"/>
      <c r="X916" s="29"/>
      <c r="Y916" s="36"/>
      <c r="Z916" s="29"/>
      <c r="AA916" s="31">
        <f t="shared" si="1"/>
        <v>44676</v>
      </c>
      <c r="AB916" s="32" t="str">
        <f t="shared" si="5"/>
        <v>abril</v>
      </c>
    </row>
    <row r="917" spans="1:28" ht="12.75">
      <c r="A917" s="9" t="s">
        <v>247</v>
      </c>
      <c r="B917" s="10">
        <v>44680</v>
      </c>
      <c r="C917" s="11">
        <v>44680</v>
      </c>
      <c r="D917" s="42">
        <v>17</v>
      </c>
      <c r="E917" s="13" t="s">
        <v>1283</v>
      </c>
      <c r="F917" s="13">
        <v>3025457</v>
      </c>
      <c r="G917" s="14">
        <v>7123</v>
      </c>
      <c r="H917" s="40">
        <v>8600</v>
      </c>
      <c r="I917" s="16">
        <f t="shared" si="134"/>
        <v>61257800</v>
      </c>
      <c r="J917" s="17">
        <v>14</v>
      </c>
      <c r="K917" s="34">
        <v>4502313994</v>
      </c>
      <c r="L917" s="19">
        <v>5081573892</v>
      </c>
      <c r="M917" s="20">
        <v>5113270631</v>
      </c>
      <c r="N917" s="23"/>
      <c r="O917" s="9" t="s">
        <v>63</v>
      </c>
      <c r="P917" s="23"/>
      <c r="Q917" s="24" t="s">
        <v>31</v>
      </c>
      <c r="R917" s="25">
        <v>44677</v>
      </c>
      <c r="S917" s="28"/>
      <c r="T917" s="35"/>
      <c r="U917" s="35"/>
      <c r="V917" s="29"/>
      <c r="W917" s="35"/>
      <c r="X917" s="29"/>
      <c r="Y917" s="36"/>
      <c r="Z917" s="29"/>
      <c r="AA917" s="31">
        <f t="shared" si="1"/>
        <v>44677</v>
      </c>
      <c r="AB917" s="32" t="str">
        <f t="shared" si="5"/>
        <v>abril</v>
      </c>
    </row>
    <row r="918" spans="1:28" ht="12.75">
      <c r="A918" s="9" t="s">
        <v>39</v>
      </c>
      <c r="B918" s="10">
        <v>44682</v>
      </c>
      <c r="C918" s="11">
        <v>44683</v>
      </c>
      <c r="D918" s="42">
        <v>17</v>
      </c>
      <c r="E918" s="13" t="s">
        <v>1284</v>
      </c>
      <c r="F918" s="13">
        <v>3025460</v>
      </c>
      <c r="G918" s="37">
        <v>12630.5</v>
      </c>
      <c r="H918" s="40">
        <v>9000</v>
      </c>
      <c r="I918" s="16">
        <f t="shared" si="134"/>
        <v>113674500</v>
      </c>
      <c r="J918" s="17">
        <v>28</v>
      </c>
      <c r="K918" s="34">
        <v>4502313639</v>
      </c>
      <c r="L918" s="19">
        <v>5081573890</v>
      </c>
      <c r="M918" s="20">
        <v>5113282304</v>
      </c>
      <c r="N918" s="44"/>
      <c r="O918" s="9" t="s">
        <v>37</v>
      </c>
      <c r="P918" s="97" t="s">
        <v>382</v>
      </c>
      <c r="Q918" s="24" t="s">
        <v>31</v>
      </c>
      <c r="R918" s="25">
        <v>44677</v>
      </c>
      <c r="S918" s="28"/>
      <c r="T918" s="35"/>
      <c r="U918" s="35"/>
      <c r="V918" s="29"/>
      <c r="W918" s="35"/>
      <c r="X918" s="29"/>
      <c r="Y918" s="36"/>
      <c r="Z918" s="29"/>
      <c r="AA918" s="31">
        <f t="shared" si="1"/>
        <v>44677</v>
      </c>
      <c r="AB918" s="32" t="str">
        <f t="shared" si="5"/>
        <v>abril</v>
      </c>
    </row>
    <row r="919" spans="1:28" ht="12.75">
      <c r="A919" s="9" t="s">
        <v>39</v>
      </c>
      <c r="B919" s="10">
        <v>44683</v>
      </c>
      <c r="C919" s="11">
        <v>44683</v>
      </c>
      <c r="D919" s="42">
        <v>17</v>
      </c>
      <c r="E919" s="13" t="s">
        <v>389</v>
      </c>
      <c r="F919" s="13">
        <v>3025460</v>
      </c>
      <c r="G919" s="37">
        <v>12630.5</v>
      </c>
      <c r="H919" s="40">
        <f>9000-8987.71</f>
        <v>12.290000000000873</v>
      </c>
      <c r="I919" s="16">
        <f>-H919*G919</f>
        <v>-155228.84500001103</v>
      </c>
      <c r="J919" s="17">
        <v>0</v>
      </c>
      <c r="K919" s="34">
        <v>4502313639</v>
      </c>
      <c r="L919" s="19">
        <v>5081573890</v>
      </c>
      <c r="M919" s="20">
        <v>5113282306</v>
      </c>
      <c r="N919" s="23"/>
      <c r="O919" s="9"/>
      <c r="P919" s="23"/>
      <c r="Q919" s="24" t="s">
        <v>31</v>
      </c>
      <c r="R919" s="25">
        <v>44677</v>
      </c>
      <c r="S919" s="28"/>
      <c r="T919" s="35"/>
      <c r="U919" s="35"/>
      <c r="V919" s="29"/>
      <c r="W919" s="35"/>
      <c r="X919" s="29"/>
      <c r="Y919" s="36"/>
      <c r="Z919" s="29"/>
      <c r="AA919" s="31">
        <f t="shared" si="1"/>
        <v>44677</v>
      </c>
      <c r="AB919" s="32" t="str">
        <f t="shared" si="5"/>
        <v>abril</v>
      </c>
    </row>
    <row r="920" spans="1:28" ht="12.75">
      <c r="A920" s="9" t="s">
        <v>1102</v>
      </c>
      <c r="B920" s="10">
        <v>44680</v>
      </c>
      <c r="C920" s="11">
        <v>44683</v>
      </c>
      <c r="D920" s="42">
        <v>17</v>
      </c>
      <c r="E920" s="13" t="s">
        <v>1285</v>
      </c>
      <c r="F920" s="13">
        <v>3025460</v>
      </c>
      <c r="G920" s="37">
        <v>15107.5</v>
      </c>
      <c r="H920" s="40">
        <v>9100</v>
      </c>
      <c r="I920" s="16">
        <f t="shared" ref="I920:I922" si="135">H920*G920</f>
        <v>137478250</v>
      </c>
      <c r="J920" s="17">
        <v>30</v>
      </c>
      <c r="K920" s="34">
        <v>4502313642</v>
      </c>
      <c r="L920" s="19">
        <v>5081576522</v>
      </c>
      <c r="M920" s="20">
        <v>5113278174</v>
      </c>
      <c r="N920" s="23"/>
      <c r="O920" s="9" t="s">
        <v>37</v>
      </c>
      <c r="P920" s="23"/>
      <c r="Q920" s="24" t="s">
        <v>31</v>
      </c>
      <c r="R920" s="25">
        <v>44677</v>
      </c>
      <c r="S920" s="28"/>
      <c r="T920" s="35"/>
      <c r="U920" s="35"/>
      <c r="V920" s="29"/>
      <c r="W920" s="35"/>
      <c r="X920" s="29"/>
      <c r="Y920" s="36"/>
      <c r="Z920" s="29"/>
      <c r="AA920" s="31">
        <f t="shared" si="1"/>
        <v>44677</v>
      </c>
      <c r="AB920" s="32" t="str">
        <f t="shared" si="5"/>
        <v>abril</v>
      </c>
    </row>
    <row r="921" spans="1:28" ht="12.75">
      <c r="A921" s="9" t="s">
        <v>1102</v>
      </c>
      <c r="B921" s="10">
        <v>44680</v>
      </c>
      <c r="C921" s="11">
        <v>44683</v>
      </c>
      <c r="D921" s="42">
        <v>17</v>
      </c>
      <c r="E921" s="13" t="s">
        <v>1286</v>
      </c>
      <c r="F921" s="13">
        <v>3025460</v>
      </c>
      <c r="G921" s="37">
        <v>15107.5</v>
      </c>
      <c r="H921" s="40">
        <v>11.12</v>
      </c>
      <c r="I921" s="16">
        <f t="shared" si="135"/>
        <v>167995.4</v>
      </c>
      <c r="J921" s="17">
        <v>0</v>
      </c>
      <c r="K921" s="34">
        <v>4502313642</v>
      </c>
      <c r="L921" s="19">
        <v>5081576522</v>
      </c>
      <c r="M921" s="20">
        <v>5113278176</v>
      </c>
      <c r="N921" s="23"/>
      <c r="O921" s="9"/>
      <c r="P921" s="23"/>
      <c r="Q921" s="24" t="s">
        <v>31</v>
      </c>
      <c r="R921" s="25">
        <v>44677</v>
      </c>
      <c r="S921" s="28"/>
      <c r="T921" s="35"/>
      <c r="U921" s="35"/>
      <c r="V921" s="29"/>
      <c r="W921" s="35"/>
      <c r="X921" s="29"/>
      <c r="Y921" s="36"/>
      <c r="Z921" s="29"/>
      <c r="AA921" s="31">
        <f t="shared" si="1"/>
        <v>44677</v>
      </c>
      <c r="AB921" s="32" t="str">
        <f t="shared" si="5"/>
        <v>abril</v>
      </c>
    </row>
    <row r="922" spans="1:28" ht="12.75">
      <c r="A922" s="9" t="s">
        <v>1102</v>
      </c>
      <c r="B922" s="10">
        <v>44680</v>
      </c>
      <c r="C922" s="11">
        <v>44683</v>
      </c>
      <c r="D922" s="42">
        <v>17</v>
      </c>
      <c r="E922" s="13" t="s">
        <v>1287</v>
      </c>
      <c r="F922" s="13">
        <v>3025459</v>
      </c>
      <c r="G922" s="37">
        <v>7034.5</v>
      </c>
      <c r="H922" s="40">
        <v>9100</v>
      </c>
      <c r="I922" s="16">
        <f t="shared" si="135"/>
        <v>64013950</v>
      </c>
      <c r="J922" s="17">
        <v>14</v>
      </c>
      <c r="K922" s="34">
        <v>4502316226</v>
      </c>
      <c r="L922" s="19">
        <v>5081573893</v>
      </c>
      <c r="M922" s="20">
        <v>5113278177</v>
      </c>
      <c r="N922" s="23"/>
      <c r="O922" s="9" t="s">
        <v>37</v>
      </c>
      <c r="P922" s="23"/>
      <c r="Q922" s="24" t="s">
        <v>31</v>
      </c>
      <c r="R922" s="25">
        <v>44677</v>
      </c>
      <c r="S922" s="28"/>
      <c r="T922" s="35"/>
      <c r="U922" s="35"/>
      <c r="V922" s="29"/>
      <c r="W922" s="35"/>
      <c r="X922" s="29"/>
      <c r="Y922" s="36"/>
      <c r="Z922" s="29"/>
      <c r="AA922" s="31">
        <f t="shared" si="1"/>
        <v>44677</v>
      </c>
      <c r="AB922" s="32" t="str">
        <f t="shared" si="5"/>
        <v>abril</v>
      </c>
    </row>
    <row r="923" spans="1:28" ht="12.75">
      <c r="A923" s="9" t="s">
        <v>1102</v>
      </c>
      <c r="B923" s="10">
        <v>44680</v>
      </c>
      <c r="C923" s="11">
        <v>44683</v>
      </c>
      <c r="D923" s="42">
        <v>17</v>
      </c>
      <c r="E923" s="13" t="s">
        <v>1288</v>
      </c>
      <c r="F923" s="13">
        <v>3025459</v>
      </c>
      <c r="G923" s="37">
        <v>7034.5</v>
      </c>
      <c r="H923" s="40">
        <f>9100-9023.46</f>
        <v>76.540000000000873</v>
      </c>
      <c r="I923" s="16">
        <f>-H923*G923</f>
        <v>-538420.63000000617</v>
      </c>
      <c r="J923" s="17">
        <v>0</v>
      </c>
      <c r="K923" s="34">
        <v>4502316226</v>
      </c>
      <c r="L923" s="19">
        <v>5081573893</v>
      </c>
      <c r="M923" s="20">
        <v>5113278180</v>
      </c>
      <c r="N923" s="23"/>
      <c r="O923" s="9"/>
      <c r="P923" s="23"/>
      <c r="Q923" s="24" t="s">
        <v>31</v>
      </c>
      <c r="R923" s="25">
        <v>44677</v>
      </c>
      <c r="S923" s="28"/>
      <c r="T923" s="35"/>
      <c r="U923" s="35"/>
      <c r="V923" s="29"/>
      <c r="W923" s="35"/>
      <c r="X923" s="29"/>
      <c r="Y923" s="36"/>
      <c r="Z923" s="29"/>
      <c r="AA923" s="31">
        <f t="shared" si="1"/>
        <v>44677</v>
      </c>
      <c r="AB923" s="32" t="str">
        <f t="shared" si="5"/>
        <v>abril</v>
      </c>
    </row>
    <row r="924" spans="1:28" ht="12.75">
      <c r="A924" s="9" t="s">
        <v>1289</v>
      </c>
      <c r="B924" s="10">
        <v>44677</v>
      </c>
      <c r="C924" s="11">
        <v>44680</v>
      </c>
      <c r="D924" s="42">
        <v>17</v>
      </c>
      <c r="E924" s="13" t="s">
        <v>1290</v>
      </c>
      <c r="F924" s="13">
        <v>3025459</v>
      </c>
      <c r="G924" s="14">
        <v>28792</v>
      </c>
      <c r="H924" s="15">
        <v>8000</v>
      </c>
      <c r="I924" s="16">
        <f t="shared" ref="I924:I929" si="136">H924*G924</f>
        <v>230336000</v>
      </c>
      <c r="J924" s="17">
        <v>56</v>
      </c>
      <c r="K924" s="34">
        <v>4502318484</v>
      </c>
      <c r="L924" s="19">
        <v>5113273284</v>
      </c>
      <c r="M924" s="20">
        <v>5113273284</v>
      </c>
      <c r="N924" s="9" t="s">
        <v>63</v>
      </c>
      <c r="O924" s="22" t="s">
        <v>172</v>
      </c>
      <c r="P924" s="23"/>
      <c r="Q924" s="24" t="s">
        <v>31</v>
      </c>
      <c r="R924" s="25">
        <v>44677</v>
      </c>
      <c r="S924" s="28">
        <v>4902253737</v>
      </c>
      <c r="T924" s="27">
        <f>2979200*4</f>
        <v>11916800</v>
      </c>
      <c r="U924" s="28" t="s">
        <v>1291</v>
      </c>
      <c r="V924" s="29">
        <v>5113264321</v>
      </c>
      <c r="W924" s="35"/>
      <c r="X924" s="29"/>
      <c r="Y924" s="36"/>
      <c r="Z924" s="29"/>
      <c r="AA924" s="31">
        <f t="shared" si="1"/>
        <v>44677</v>
      </c>
      <c r="AB924" s="32" t="str">
        <f t="shared" si="5"/>
        <v>abril</v>
      </c>
    </row>
    <row r="925" spans="1:28" ht="12.75">
      <c r="A925" s="9" t="s">
        <v>245</v>
      </c>
      <c r="B925" s="10">
        <v>44679</v>
      </c>
      <c r="C925" s="11">
        <v>44683</v>
      </c>
      <c r="D925" s="49">
        <v>18</v>
      </c>
      <c r="E925" s="13" t="s">
        <v>1292</v>
      </c>
      <c r="F925" s="13">
        <v>3025457</v>
      </c>
      <c r="G925" s="14">
        <v>7093</v>
      </c>
      <c r="H925" s="33">
        <v>8800</v>
      </c>
      <c r="I925" s="16">
        <f t="shared" si="136"/>
        <v>62418400</v>
      </c>
      <c r="J925" s="17">
        <v>14</v>
      </c>
      <c r="K925" s="34">
        <v>4502318573</v>
      </c>
      <c r="L925" s="19">
        <v>5081611976</v>
      </c>
      <c r="M925" s="20">
        <v>5113278182</v>
      </c>
      <c r="N925" s="23"/>
      <c r="O925" s="9" t="s">
        <v>37</v>
      </c>
      <c r="P925" s="23"/>
      <c r="Q925" s="24" t="s">
        <v>31</v>
      </c>
      <c r="R925" s="25">
        <v>44679</v>
      </c>
      <c r="S925" s="28"/>
      <c r="T925" s="35"/>
      <c r="U925" s="35"/>
      <c r="V925" s="29"/>
      <c r="W925" s="35"/>
      <c r="X925" s="29"/>
      <c r="Y925" s="36"/>
      <c r="Z925" s="29"/>
      <c r="AA925" s="31">
        <f t="shared" si="1"/>
        <v>44679</v>
      </c>
      <c r="AB925" s="32" t="str">
        <f t="shared" si="5"/>
        <v>abril</v>
      </c>
    </row>
    <row r="926" spans="1:28" ht="12.75">
      <c r="A926" s="9" t="s">
        <v>245</v>
      </c>
      <c r="B926" s="10">
        <v>44683</v>
      </c>
      <c r="C926" s="11">
        <v>44683</v>
      </c>
      <c r="D926" s="49">
        <v>18</v>
      </c>
      <c r="E926" s="13">
        <v>7</v>
      </c>
      <c r="F926" s="13">
        <v>3025457</v>
      </c>
      <c r="G926" s="14">
        <v>7093</v>
      </c>
      <c r="H926" s="33">
        <v>50</v>
      </c>
      <c r="I926" s="16">
        <f t="shared" si="136"/>
        <v>354650</v>
      </c>
      <c r="J926" s="17">
        <v>0</v>
      </c>
      <c r="K926" s="34">
        <v>4502318573</v>
      </c>
      <c r="L926" s="19">
        <v>5081611976</v>
      </c>
      <c r="M926" s="20">
        <v>5113278184</v>
      </c>
      <c r="N926" s="23"/>
      <c r="O926" s="9"/>
      <c r="P926" s="23"/>
      <c r="Q926" s="24" t="s">
        <v>31</v>
      </c>
      <c r="R926" s="25">
        <v>44679</v>
      </c>
      <c r="S926" s="28"/>
      <c r="T926" s="35"/>
      <c r="U926" s="35"/>
      <c r="V926" s="29"/>
      <c r="W926" s="35"/>
      <c r="X926" s="29"/>
      <c r="Y926" s="36"/>
      <c r="Z926" s="29"/>
      <c r="AA926" s="31">
        <f t="shared" si="1"/>
        <v>44679</v>
      </c>
      <c r="AB926" s="32" t="str">
        <f t="shared" si="5"/>
        <v>abril</v>
      </c>
    </row>
    <row r="927" spans="1:28" ht="12.75">
      <c r="A927" s="22" t="s">
        <v>719</v>
      </c>
      <c r="B927" s="10">
        <v>44684</v>
      </c>
      <c r="C927" s="11">
        <v>44684</v>
      </c>
      <c r="D927" s="49">
        <v>18</v>
      </c>
      <c r="E927" s="13" t="s">
        <v>1293</v>
      </c>
      <c r="F927" s="13">
        <v>3025457</v>
      </c>
      <c r="G927" s="14">
        <v>7071.5</v>
      </c>
      <c r="H927" s="33">
        <v>8800</v>
      </c>
      <c r="I927" s="16">
        <f t="shared" si="136"/>
        <v>62229200</v>
      </c>
      <c r="J927" s="17">
        <v>15</v>
      </c>
      <c r="K927" s="34">
        <v>4502318574</v>
      </c>
      <c r="L927" s="19">
        <v>5081611977</v>
      </c>
      <c r="M927" s="20">
        <v>5113280817</v>
      </c>
      <c r="N927" s="23"/>
      <c r="O927" s="9" t="s">
        <v>37</v>
      </c>
      <c r="P927" s="93" t="s">
        <v>1294</v>
      </c>
      <c r="Q927" s="24" t="s">
        <v>31</v>
      </c>
      <c r="R927" s="25">
        <v>44679</v>
      </c>
      <c r="S927" s="28"/>
      <c r="T927" s="35"/>
      <c r="U927" s="35"/>
      <c r="V927" s="29"/>
      <c r="W927" s="35"/>
      <c r="X927" s="29"/>
      <c r="Y927" s="36"/>
      <c r="Z927" s="29"/>
      <c r="AA927" s="31">
        <f t="shared" si="1"/>
        <v>44679</v>
      </c>
      <c r="AB927" s="32" t="str">
        <f t="shared" si="5"/>
        <v>abril</v>
      </c>
    </row>
    <row r="928" spans="1:28" ht="12.75">
      <c r="A928" s="9" t="s">
        <v>819</v>
      </c>
      <c r="B928" s="10">
        <v>44679</v>
      </c>
      <c r="C928" s="11"/>
      <c r="D928" s="49">
        <v>18</v>
      </c>
      <c r="E928" s="13">
        <v>6017</v>
      </c>
      <c r="F928" s="13">
        <v>3025457</v>
      </c>
      <c r="G928" s="14">
        <v>20970</v>
      </c>
      <c r="H928" s="33">
        <v>9200</v>
      </c>
      <c r="I928" s="16">
        <f t="shared" si="136"/>
        <v>192924000</v>
      </c>
      <c r="J928" s="17">
        <v>42</v>
      </c>
      <c r="K928" s="34">
        <v>4502318575</v>
      </c>
      <c r="L928" s="19">
        <v>5081612668</v>
      </c>
      <c r="M928" s="20">
        <v>5113280818</v>
      </c>
      <c r="N928" s="23"/>
      <c r="O928" s="9" t="s">
        <v>37</v>
      </c>
      <c r="P928" s="23"/>
      <c r="Q928" s="24" t="s">
        <v>31</v>
      </c>
      <c r="R928" s="25">
        <v>44679</v>
      </c>
      <c r="S928" s="28"/>
      <c r="T928" s="35"/>
      <c r="U928" s="35"/>
      <c r="V928" s="29"/>
      <c r="W928" s="35"/>
      <c r="X928" s="29"/>
      <c r="Y928" s="36"/>
      <c r="Z928" s="29"/>
      <c r="AA928" s="31">
        <f t="shared" si="1"/>
        <v>44679</v>
      </c>
      <c r="AB928" s="32" t="str">
        <f t="shared" si="5"/>
        <v>abril</v>
      </c>
    </row>
    <row r="929" spans="1:28" ht="12.75">
      <c r="A929" s="9" t="s">
        <v>404</v>
      </c>
      <c r="B929" s="10">
        <v>44682</v>
      </c>
      <c r="C929" s="11">
        <v>44683</v>
      </c>
      <c r="D929" s="49">
        <v>18</v>
      </c>
      <c r="E929" s="13" t="s">
        <v>1295</v>
      </c>
      <c r="F929" s="13">
        <v>3025457</v>
      </c>
      <c r="G929" s="37">
        <v>42876.5</v>
      </c>
      <c r="H929" s="33">
        <v>9400</v>
      </c>
      <c r="I929" s="16">
        <f t="shared" si="136"/>
        <v>403039100</v>
      </c>
      <c r="J929" s="17">
        <v>87</v>
      </c>
      <c r="K929" s="34">
        <v>4502318576</v>
      </c>
      <c r="L929" s="19">
        <v>5081616218</v>
      </c>
      <c r="M929" s="20">
        <v>5113279111</v>
      </c>
      <c r="N929" s="23"/>
      <c r="O929" s="9" t="s">
        <v>37</v>
      </c>
      <c r="P929" s="23" t="s">
        <v>1296</v>
      </c>
      <c r="Q929" s="24" t="s">
        <v>31</v>
      </c>
      <c r="R929" s="25">
        <v>44679</v>
      </c>
      <c r="S929" s="28"/>
      <c r="T929" s="35"/>
      <c r="U929" s="35"/>
      <c r="V929" s="29"/>
      <c r="W929" s="35"/>
      <c r="X929" s="29"/>
      <c r="Y929" s="36"/>
      <c r="Z929" s="29"/>
      <c r="AA929" s="31">
        <f t="shared" si="1"/>
        <v>44679</v>
      </c>
      <c r="AB929" s="32" t="str">
        <f t="shared" si="5"/>
        <v>abril</v>
      </c>
    </row>
    <row r="930" spans="1:28" ht="12.75">
      <c r="A930" s="9" t="s">
        <v>404</v>
      </c>
      <c r="B930" s="10">
        <v>44683</v>
      </c>
      <c r="C930" s="11">
        <v>44683</v>
      </c>
      <c r="D930" s="49">
        <v>18</v>
      </c>
      <c r="E930" s="13" t="s">
        <v>481</v>
      </c>
      <c r="F930" s="13">
        <v>3025457</v>
      </c>
      <c r="G930" s="37">
        <v>42876.5</v>
      </c>
      <c r="H930" s="33">
        <f>9400-9344.23</f>
        <v>55.770000000000437</v>
      </c>
      <c r="I930" s="16">
        <f>-H930*G930</f>
        <v>-2391222.4050000189</v>
      </c>
      <c r="J930" s="17">
        <v>0</v>
      </c>
      <c r="K930" s="34">
        <v>4502318576</v>
      </c>
      <c r="L930" s="19">
        <v>5081616218</v>
      </c>
      <c r="M930" s="20">
        <v>5113279112</v>
      </c>
      <c r="N930" s="23"/>
      <c r="O930" s="9"/>
      <c r="P930" s="23"/>
      <c r="Q930" s="24" t="s">
        <v>31</v>
      </c>
      <c r="R930" s="25">
        <v>44679</v>
      </c>
      <c r="S930" s="28"/>
      <c r="T930" s="35"/>
      <c r="U930" s="35"/>
      <c r="V930" s="29"/>
      <c r="W930" s="35"/>
      <c r="X930" s="29"/>
      <c r="Y930" s="36"/>
      <c r="Z930" s="29"/>
      <c r="AA930" s="31">
        <f t="shared" si="1"/>
        <v>44679</v>
      </c>
      <c r="AB930" s="32" t="str">
        <f t="shared" si="5"/>
        <v>abril</v>
      </c>
    </row>
    <row r="931" spans="1:28" ht="12.75">
      <c r="A931" s="9" t="s">
        <v>111</v>
      </c>
      <c r="B931" s="10">
        <v>44679</v>
      </c>
      <c r="C931" s="11">
        <v>44683</v>
      </c>
      <c r="D931" s="49">
        <v>18</v>
      </c>
      <c r="E931" s="13" t="s">
        <v>1297</v>
      </c>
      <c r="F931" s="13">
        <v>3025457</v>
      </c>
      <c r="G931" s="14">
        <v>19819</v>
      </c>
      <c r="H931" s="33">
        <v>8800</v>
      </c>
      <c r="I931" s="16">
        <f t="shared" ref="I931:I932" si="137">H931*G931</f>
        <v>174407200</v>
      </c>
      <c r="J931" s="17">
        <v>42</v>
      </c>
      <c r="K931" s="34">
        <v>4502318577</v>
      </c>
      <c r="L931" s="19">
        <v>5081612669</v>
      </c>
      <c r="M931" s="20">
        <v>5113278186</v>
      </c>
      <c r="N931" s="23"/>
      <c r="O931" s="9" t="s">
        <v>37</v>
      </c>
      <c r="P931" s="23"/>
      <c r="Q931" s="24" t="s">
        <v>31</v>
      </c>
      <c r="R931" s="25">
        <v>44679</v>
      </c>
      <c r="S931" s="28"/>
      <c r="T931" s="35"/>
      <c r="U931" s="35"/>
      <c r="V931" s="29"/>
      <c r="W931" s="35"/>
      <c r="X931" s="29"/>
      <c r="Y931" s="36"/>
      <c r="Z931" s="29"/>
      <c r="AA931" s="31">
        <f t="shared" si="1"/>
        <v>44679</v>
      </c>
      <c r="AB931" s="32" t="str">
        <f t="shared" si="5"/>
        <v>abril</v>
      </c>
    </row>
    <row r="932" spans="1:28" ht="12.75">
      <c r="A932" s="9" t="s">
        <v>67</v>
      </c>
      <c r="B932" s="10">
        <v>44683</v>
      </c>
      <c r="C932" s="11"/>
      <c r="D932" s="49">
        <v>18</v>
      </c>
      <c r="E932" s="13" t="s">
        <v>1298</v>
      </c>
      <c r="F932" s="13">
        <v>3025457</v>
      </c>
      <c r="G932" s="14">
        <v>6278</v>
      </c>
      <c r="H932" s="33">
        <v>8750</v>
      </c>
      <c r="I932" s="16">
        <f t="shared" si="137"/>
        <v>54932500</v>
      </c>
      <c r="J932" s="17">
        <v>14</v>
      </c>
      <c r="K932" s="34">
        <v>4502318579</v>
      </c>
      <c r="L932" s="19">
        <v>5081612670</v>
      </c>
      <c r="M932" s="20">
        <v>5113282182</v>
      </c>
      <c r="N932" s="23"/>
      <c r="O932" s="9" t="s">
        <v>63</v>
      </c>
      <c r="P932" s="23" t="s">
        <v>313</v>
      </c>
      <c r="Q932" s="24" t="s">
        <v>31</v>
      </c>
      <c r="R932" s="25">
        <v>44679</v>
      </c>
      <c r="S932" s="28"/>
      <c r="T932" s="35"/>
      <c r="U932" s="35"/>
      <c r="V932" s="29"/>
      <c r="W932" s="35"/>
      <c r="X932" s="29"/>
      <c r="Y932" s="36"/>
      <c r="Z932" s="29"/>
      <c r="AA932" s="31">
        <f t="shared" si="1"/>
        <v>44679</v>
      </c>
      <c r="AB932" s="32" t="str">
        <f t="shared" si="5"/>
        <v>abril</v>
      </c>
    </row>
    <row r="933" spans="1:28" ht="12.75">
      <c r="A933" s="9" t="s">
        <v>67</v>
      </c>
      <c r="B933" s="10">
        <v>44684</v>
      </c>
      <c r="C933" s="11"/>
      <c r="D933" s="49">
        <v>18</v>
      </c>
      <c r="E933" s="13" t="s">
        <v>127</v>
      </c>
      <c r="F933" s="13">
        <v>3025457</v>
      </c>
      <c r="G933" s="14">
        <v>6278</v>
      </c>
      <c r="H933" s="33">
        <v>50</v>
      </c>
      <c r="I933" s="16">
        <f>-H933*G933</f>
        <v>-313900</v>
      </c>
      <c r="J933" s="17">
        <v>0</v>
      </c>
      <c r="K933" s="34">
        <v>4502318579</v>
      </c>
      <c r="L933" s="19">
        <v>5081612670</v>
      </c>
      <c r="M933" s="20">
        <v>5113282184</v>
      </c>
      <c r="N933" s="23"/>
      <c r="O933" s="9"/>
      <c r="P933" s="23" t="s">
        <v>1299</v>
      </c>
      <c r="Q933" s="24" t="s">
        <v>31</v>
      </c>
      <c r="R933" s="25">
        <v>44679</v>
      </c>
      <c r="S933" s="28"/>
      <c r="T933" s="35"/>
      <c r="U933" s="35"/>
      <c r="V933" s="29"/>
      <c r="W933" s="35"/>
      <c r="X933" s="29"/>
      <c r="Y933" s="36"/>
      <c r="Z933" s="29"/>
      <c r="AA933" s="31">
        <f t="shared" si="1"/>
        <v>44679</v>
      </c>
      <c r="AB933" s="32" t="str">
        <f t="shared" si="5"/>
        <v>abril</v>
      </c>
    </row>
    <row r="934" spans="1:28" ht="12.75">
      <c r="A934" s="9" t="s">
        <v>58</v>
      </c>
      <c r="B934" s="10">
        <v>44684</v>
      </c>
      <c r="C934" s="11">
        <v>44684</v>
      </c>
      <c r="D934" s="49">
        <v>18</v>
      </c>
      <c r="E934" s="13" t="s">
        <v>1300</v>
      </c>
      <c r="F934" s="13">
        <v>3025457</v>
      </c>
      <c r="G934" s="37">
        <v>57447.5</v>
      </c>
      <c r="H934" s="33">
        <v>9400</v>
      </c>
      <c r="I934" s="16">
        <f>H934*G934</f>
        <v>540006500</v>
      </c>
      <c r="J934" s="17">
        <v>121</v>
      </c>
      <c r="K934" s="34">
        <v>4502318580</v>
      </c>
      <c r="L934" s="19">
        <v>5081616219</v>
      </c>
      <c r="M934" s="20">
        <v>5113279114</v>
      </c>
      <c r="N934" s="23"/>
      <c r="O934" s="23" t="s">
        <v>37</v>
      </c>
      <c r="P934" s="23" t="s">
        <v>1301</v>
      </c>
      <c r="Q934" s="24" t="s">
        <v>31</v>
      </c>
      <c r="R934" s="25">
        <v>44679</v>
      </c>
      <c r="S934" s="28"/>
      <c r="T934" s="35"/>
      <c r="U934" s="35"/>
      <c r="V934" s="29"/>
      <c r="W934" s="35"/>
      <c r="X934" s="29"/>
      <c r="Y934" s="36"/>
      <c r="Z934" s="29"/>
      <c r="AA934" s="31">
        <f t="shared" si="1"/>
        <v>44679</v>
      </c>
      <c r="AB934" s="32" t="str">
        <f t="shared" si="5"/>
        <v>abril</v>
      </c>
    </row>
    <row r="935" spans="1:28" ht="12.75">
      <c r="A935" s="9" t="s">
        <v>58</v>
      </c>
      <c r="B935" s="10">
        <v>44684</v>
      </c>
      <c r="C935" s="11">
        <v>44684</v>
      </c>
      <c r="D935" s="49">
        <v>18</v>
      </c>
      <c r="E935" s="13" t="s">
        <v>1302</v>
      </c>
      <c r="F935" s="13">
        <v>3025457</v>
      </c>
      <c r="G935" s="37">
        <v>57447.5</v>
      </c>
      <c r="H935" s="33">
        <f>9400-9398.67</f>
        <v>1.3299999999999272</v>
      </c>
      <c r="I935" s="16">
        <f>-H935*G935</f>
        <v>-76405.174999995827</v>
      </c>
      <c r="J935" s="17">
        <v>0</v>
      </c>
      <c r="K935" s="34">
        <v>4502318580</v>
      </c>
      <c r="L935" s="19">
        <v>5081616219</v>
      </c>
      <c r="M935" s="20">
        <v>5113279116</v>
      </c>
      <c r="N935" s="23"/>
      <c r="O935" s="9"/>
      <c r="P935" s="23"/>
      <c r="Q935" s="24" t="s">
        <v>31</v>
      </c>
      <c r="R935" s="25">
        <v>44679</v>
      </c>
      <c r="S935" s="28"/>
      <c r="T935" s="35"/>
      <c r="U935" s="35"/>
      <c r="V935" s="29"/>
      <c r="W935" s="35"/>
      <c r="X935" s="29"/>
      <c r="Y935" s="36"/>
      <c r="Z935" s="29"/>
      <c r="AA935" s="31">
        <f t="shared" si="1"/>
        <v>44679</v>
      </c>
      <c r="AB935" s="32" t="str">
        <f t="shared" si="5"/>
        <v>abril</v>
      </c>
    </row>
    <row r="936" spans="1:28" ht="12.75">
      <c r="A936" s="9" t="s">
        <v>58</v>
      </c>
      <c r="B936" s="10">
        <v>44684</v>
      </c>
      <c r="C936" s="11">
        <v>44684</v>
      </c>
      <c r="D936" s="49">
        <v>18</v>
      </c>
      <c r="E936" s="13" t="s">
        <v>1303</v>
      </c>
      <c r="F936" s="13">
        <v>3025457</v>
      </c>
      <c r="G936" s="37">
        <v>28413.5</v>
      </c>
      <c r="H936" s="33">
        <v>9400</v>
      </c>
      <c r="I936" s="16">
        <f>H936*G936</f>
        <v>267086900</v>
      </c>
      <c r="J936" s="17">
        <v>61</v>
      </c>
      <c r="K936" s="34">
        <v>4502318581</v>
      </c>
      <c r="L936" s="19">
        <v>5081621943</v>
      </c>
      <c r="M936" s="20">
        <v>5113284555</v>
      </c>
      <c r="N936" s="23"/>
      <c r="O936" s="23" t="s">
        <v>37</v>
      </c>
      <c r="P936" s="23" t="s">
        <v>1301</v>
      </c>
      <c r="Q936" s="24" t="s">
        <v>31</v>
      </c>
      <c r="R936" s="25">
        <v>44680</v>
      </c>
      <c r="S936" s="28"/>
      <c r="T936" s="35"/>
      <c r="U936" s="35"/>
      <c r="V936" s="29"/>
      <c r="W936" s="35"/>
      <c r="X936" s="29"/>
      <c r="Y936" s="36"/>
      <c r="Z936" s="29"/>
      <c r="AA936" s="31">
        <f t="shared" si="1"/>
        <v>44680</v>
      </c>
      <c r="AB936" s="32" t="str">
        <f t="shared" si="5"/>
        <v>abril</v>
      </c>
    </row>
    <row r="937" spans="1:28" ht="12.75">
      <c r="A937" s="9" t="s">
        <v>58</v>
      </c>
      <c r="B937" s="10">
        <v>44687</v>
      </c>
      <c r="C937" s="11">
        <v>44687</v>
      </c>
      <c r="D937" s="49">
        <v>18</v>
      </c>
      <c r="E937" s="13" t="s">
        <v>1304</v>
      </c>
      <c r="F937" s="13">
        <v>3025457</v>
      </c>
      <c r="G937" s="37">
        <v>28413.5</v>
      </c>
      <c r="H937" s="33">
        <f>9400-9372.66</f>
        <v>27.340000000000146</v>
      </c>
      <c r="I937" s="16">
        <f>-H937*G937</f>
        <v>-776825.09000000416</v>
      </c>
      <c r="J937" s="17">
        <v>0</v>
      </c>
      <c r="K937" s="34">
        <v>4502318581</v>
      </c>
      <c r="L937" s="19">
        <v>5081621943</v>
      </c>
      <c r="M937" s="20">
        <v>5113284577</v>
      </c>
      <c r="N937" s="23"/>
      <c r="O937" s="9"/>
      <c r="P937" s="23" t="s">
        <v>1305</v>
      </c>
      <c r="Q937" s="24" t="s">
        <v>31</v>
      </c>
      <c r="R937" s="25">
        <v>44680</v>
      </c>
      <c r="S937" s="28"/>
      <c r="T937" s="35"/>
      <c r="U937" s="35"/>
      <c r="V937" s="29"/>
      <c r="W937" s="35"/>
      <c r="X937" s="29"/>
      <c r="Y937" s="36"/>
      <c r="Z937" s="29"/>
      <c r="AA937" s="31">
        <f t="shared" si="1"/>
        <v>44680</v>
      </c>
      <c r="AB937" s="32" t="str">
        <f t="shared" si="5"/>
        <v>abril</v>
      </c>
    </row>
    <row r="938" spans="1:28" ht="12.75">
      <c r="A938" s="9" t="s">
        <v>58</v>
      </c>
      <c r="B938" s="10">
        <v>44684</v>
      </c>
      <c r="C938" s="11">
        <v>44684</v>
      </c>
      <c r="D938" s="49">
        <v>18</v>
      </c>
      <c r="E938" s="13" t="s">
        <v>1306</v>
      </c>
      <c r="F938" s="13">
        <v>3025457</v>
      </c>
      <c r="G938" s="37">
        <v>20661.5</v>
      </c>
      <c r="H938" s="33">
        <v>9400</v>
      </c>
      <c r="I938" s="16">
        <f>H938*G938</f>
        <v>194218100</v>
      </c>
      <c r="J938" s="17">
        <v>42</v>
      </c>
      <c r="K938" s="34">
        <v>4502318581</v>
      </c>
      <c r="L938" s="19">
        <v>5081621943</v>
      </c>
      <c r="M938" s="20">
        <v>5113284582</v>
      </c>
      <c r="N938" s="23"/>
      <c r="O938" s="23" t="s">
        <v>37</v>
      </c>
      <c r="P938" s="23"/>
      <c r="Q938" s="24" t="s">
        <v>31</v>
      </c>
      <c r="R938" s="25">
        <v>44680</v>
      </c>
      <c r="S938" s="28"/>
      <c r="T938" s="35"/>
      <c r="U938" s="35"/>
      <c r="V938" s="29"/>
      <c r="W938" s="35"/>
      <c r="X938" s="29"/>
      <c r="Y938" s="36"/>
      <c r="Z938" s="29"/>
      <c r="AA938" s="31">
        <f t="shared" si="1"/>
        <v>44680</v>
      </c>
      <c r="AB938" s="32" t="str">
        <f t="shared" si="5"/>
        <v>abril</v>
      </c>
    </row>
    <row r="939" spans="1:28" ht="12.75">
      <c r="A939" s="9" t="s">
        <v>58</v>
      </c>
      <c r="B939" s="10">
        <v>44687</v>
      </c>
      <c r="C939" s="11">
        <v>44687</v>
      </c>
      <c r="D939" s="49">
        <v>18</v>
      </c>
      <c r="E939" s="79" t="s">
        <v>1307</v>
      </c>
      <c r="F939" s="13">
        <v>3025457</v>
      </c>
      <c r="G939" s="37">
        <v>20661.5</v>
      </c>
      <c r="H939" s="33">
        <v>100</v>
      </c>
      <c r="I939" s="16">
        <f>-H939*G939</f>
        <v>-2066150</v>
      </c>
      <c r="J939" s="17">
        <v>0</v>
      </c>
      <c r="K939" s="34">
        <v>4502318581</v>
      </c>
      <c r="L939" s="19">
        <v>5081621943</v>
      </c>
      <c r="M939" s="20">
        <v>5113284585</v>
      </c>
      <c r="N939" s="23"/>
      <c r="O939" s="9"/>
      <c r="P939" s="23" t="s">
        <v>1305</v>
      </c>
      <c r="Q939" s="24" t="s">
        <v>31</v>
      </c>
      <c r="R939" s="25">
        <v>44680</v>
      </c>
      <c r="S939" s="28"/>
      <c r="T939" s="35"/>
      <c r="U939" s="35"/>
      <c r="V939" s="29"/>
      <c r="W939" s="35"/>
      <c r="X939" s="29"/>
      <c r="Y939" s="36"/>
      <c r="Z939" s="29"/>
      <c r="AA939" s="31">
        <f t="shared" si="1"/>
        <v>44680</v>
      </c>
      <c r="AB939" s="32" t="str">
        <f t="shared" si="5"/>
        <v>abril</v>
      </c>
    </row>
    <row r="940" spans="1:28" ht="12.75">
      <c r="A940" s="22" t="s">
        <v>428</v>
      </c>
      <c r="B940" s="10">
        <v>44680</v>
      </c>
      <c r="C940" s="11"/>
      <c r="D940" s="49">
        <v>18</v>
      </c>
      <c r="E940" s="13" t="s">
        <v>1308</v>
      </c>
      <c r="F940" s="13">
        <v>3025457</v>
      </c>
      <c r="G940" s="37">
        <v>42104.5</v>
      </c>
      <c r="H940" s="33">
        <v>9500</v>
      </c>
      <c r="I940" s="16">
        <f t="shared" ref="I940:I947" si="138">H940*G940</f>
        <v>399992750</v>
      </c>
      <c r="J940" s="17">
        <v>87</v>
      </c>
      <c r="K940" s="34">
        <v>4502318582</v>
      </c>
      <c r="L940" s="19">
        <v>5081616220</v>
      </c>
      <c r="M940" s="20">
        <v>5113278188</v>
      </c>
      <c r="N940" s="23"/>
      <c r="O940" s="9" t="s">
        <v>63</v>
      </c>
      <c r="P940" s="23"/>
      <c r="Q940" s="24" t="s">
        <v>31</v>
      </c>
      <c r="R940" s="25">
        <v>44680</v>
      </c>
      <c r="S940" s="28"/>
      <c r="T940" s="35"/>
      <c r="U940" s="35"/>
      <c r="V940" s="29"/>
      <c r="W940" s="35"/>
      <c r="X940" s="29"/>
      <c r="Y940" s="36"/>
      <c r="Z940" s="29"/>
      <c r="AA940" s="31">
        <f t="shared" si="1"/>
        <v>44680</v>
      </c>
      <c r="AB940" s="32" t="str">
        <f t="shared" si="5"/>
        <v>abril</v>
      </c>
    </row>
    <row r="941" spans="1:28" ht="12.75">
      <c r="A941" s="9" t="s">
        <v>819</v>
      </c>
      <c r="B941" s="10">
        <v>44680</v>
      </c>
      <c r="C941" s="11"/>
      <c r="D941" s="49">
        <v>18</v>
      </c>
      <c r="E941" s="13">
        <v>6018</v>
      </c>
      <c r="F941" s="13">
        <v>3025461</v>
      </c>
      <c r="G941" s="14">
        <v>13710</v>
      </c>
      <c r="H941" s="57">
        <v>9300</v>
      </c>
      <c r="I941" s="16">
        <f t="shared" si="138"/>
        <v>127503000</v>
      </c>
      <c r="J941" s="17">
        <v>28</v>
      </c>
      <c r="K941" s="34">
        <v>4502321865</v>
      </c>
      <c r="L941" s="19">
        <v>5081647959</v>
      </c>
      <c r="M941" s="20">
        <v>5113281640</v>
      </c>
      <c r="N941" s="23"/>
      <c r="O941" s="9"/>
      <c r="P941" s="23"/>
      <c r="Q941" s="24" t="s">
        <v>522</v>
      </c>
      <c r="R941" s="25">
        <v>44680</v>
      </c>
      <c r="S941" s="28"/>
      <c r="T941" s="35"/>
      <c r="U941" s="35"/>
      <c r="V941" s="29"/>
      <c r="W941" s="35"/>
      <c r="X941" s="29"/>
      <c r="Y941" s="36"/>
      <c r="Z941" s="29"/>
      <c r="AA941" s="31">
        <f t="shared" si="1"/>
        <v>44680</v>
      </c>
      <c r="AB941" s="32" t="str">
        <f t="shared" si="5"/>
        <v>abril</v>
      </c>
    </row>
    <row r="942" spans="1:28" ht="12.75">
      <c r="A942" s="9" t="s">
        <v>80</v>
      </c>
      <c r="B942" s="10">
        <v>44680</v>
      </c>
      <c r="C942" s="11">
        <v>44683</v>
      </c>
      <c r="D942" s="49">
        <v>18</v>
      </c>
      <c r="E942" s="13" t="s">
        <v>1309</v>
      </c>
      <c r="F942" s="13">
        <v>3025461</v>
      </c>
      <c r="G942" s="14">
        <v>39901</v>
      </c>
      <c r="H942" s="15">
        <v>8800</v>
      </c>
      <c r="I942" s="16">
        <f t="shared" si="138"/>
        <v>351128800</v>
      </c>
      <c r="J942" s="17">
        <v>84</v>
      </c>
      <c r="K942" s="34">
        <v>4502321829</v>
      </c>
      <c r="L942" s="19">
        <v>5081647569</v>
      </c>
      <c r="M942" s="20">
        <v>5113280820</v>
      </c>
      <c r="N942" s="23" t="s">
        <v>37</v>
      </c>
      <c r="O942" s="22" t="s">
        <v>1310</v>
      </c>
      <c r="P942" s="23" t="s">
        <v>37</v>
      </c>
      <c r="Q942" s="24" t="s">
        <v>522</v>
      </c>
      <c r="R942" s="25">
        <v>44680</v>
      </c>
      <c r="S942" s="28">
        <v>4502321829</v>
      </c>
      <c r="T942" s="27">
        <f>1262300*3</f>
        <v>3786900</v>
      </c>
      <c r="U942" s="28" t="s">
        <v>1311</v>
      </c>
      <c r="V942" s="29">
        <v>5113278741</v>
      </c>
      <c r="W942" s="28" t="s">
        <v>1312</v>
      </c>
      <c r="X942" s="29">
        <v>5113283909</v>
      </c>
      <c r="Y942" s="36"/>
      <c r="Z942" s="29"/>
      <c r="AA942" s="31">
        <f t="shared" si="1"/>
        <v>44680</v>
      </c>
      <c r="AB942" s="32" t="str">
        <f t="shared" si="5"/>
        <v>abril</v>
      </c>
    </row>
    <row r="943" spans="1:28" ht="12.75">
      <c r="A943" s="9" t="s">
        <v>83</v>
      </c>
      <c r="B943" s="10">
        <v>44680</v>
      </c>
      <c r="C943" s="11">
        <v>44683</v>
      </c>
      <c r="D943" s="49">
        <v>18</v>
      </c>
      <c r="E943" s="13" t="s">
        <v>1313</v>
      </c>
      <c r="F943" s="13">
        <v>3025461</v>
      </c>
      <c r="G943" s="14">
        <v>13820</v>
      </c>
      <c r="H943" s="15">
        <v>8850</v>
      </c>
      <c r="I943" s="16">
        <f t="shared" si="138"/>
        <v>122307000</v>
      </c>
      <c r="J943" s="17">
        <v>28</v>
      </c>
      <c r="K943" s="34">
        <v>4502321905</v>
      </c>
      <c r="L943" s="19">
        <v>5081648346</v>
      </c>
      <c r="M943" s="20">
        <v>5113280819</v>
      </c>
      <c r="N943" s="44"/>
      <c r="O943" s="22" t="s">
        <v>1314</v>
      </c>
      <c r="P943" s="23" t="s">
        <v>37</v>
      </c>
      <c r="Q943" s="24" t="s">
        <v>522</v>
      </c>
      <c r="R943" s="25">
        <v>44680</v>
      </c>
      <c r="S943" s="34">
        <v>4502321905</v>
      </c>
      <c r="T943" s="27">
        <f>1162700*2</f>
        <v>2325400</v>
      </c>
      <c r="U943" s="28" t="s">
        <v>1315</v>
      </c>
      <c r="V943" s="29">
        <v>5113280134</v>
      </c>
      <c r="W943" s="35"/>
      <c r="X943" s="29"/>
      <c r="Y943" s="36"/>
      <c r="Z943" s="29"/>
      <c r="AA943" s="31">
        <f t="shared" si="1"/>
        <v>44680</v>
      </c>
      <c r="AB943" s="32" t="str">
        <f t="shared" si="5"/>
        <v>abril</v>
      </c>
    </row>
    <row r="944" spans="1:28" ht="12.75">
      <c r="A944" s="9" t="s">
        <v>85</v>
      </c>
      <c r="B944" s="10">
        <v>44683</v>
      </c>
      <c r="C944" s="11">
        <v>44685</v>
      </c>
      <c r="D944" s="49">
        <v>18</v>
      </c>
      <c r="E944" s="13" t="s">
        <v>1316</v>
      </c>
      <c r="F944" s="13">
        <v>3025461</v>
      </c>
      <c r="G944" s="14">
        <v>20166</v>
      </c>
      <c r="H944" s="15">
        <v>8850</v>
      </c>
      <c r="I944" s="16">
        <f t="shared" si="138"/>
        <v>178469100</v>
      </c>
      <c r="J944" s="17">
        <v>42</v>
      </c>
      <c r="K944" s="34">
        <v>4502321833</v>
      </c>
      <c r="L944" s="19">
        <v>5081647573</v>
      </c>
      <c r="M944" s="20">
        <v>5113280705</v>
      </c>
      <c r="N944" s="23"/>
      <c r="O944" s="22" t="s">
        <v>533</v>
      </c>
      <c r="P944" s="23"/>
      <c r="Q944" s="24" t="s">
        <v>522</v>
      </c>
      <c r="R944" s="25">
        <v>44680</v>
      </c>
      <c r="S944" s="34">
        <v>4502321833</v>
      </c>
      <c r="T944" s="35">
        <f>1371100*3</f>
        <v>4113300</v>
      </c>
      <c r="U944" s="28" t="s">
        <v>1317</v>
      </c>
      <c r="V944" s="29">
        <v>5113278742</v>
      </c>
      <c r="W944" s="35"/>
      <c r="X944" s="29"/>
      <c r="Y944" s="36"/>
      <c r="Z944" s="29"/>
      <c r="AA944" s="31">
        <f t="shared" si="1"/>
        <v>44680</v>
      </c>
      <c r="AB944" s="32" t="str">
        <f t="shared" si="5"/>
        <v>abril</v>
      </c>
    </row>
    <row r="945" spans="1:28" ht="12.75">
      <c r="A945" s="9" t="s">
        <v>87</v>
      </c>
      <c r="B945" s="10">
        <v>44680</v>
      </c>
      <c r="C945" s="11"/>
      <c r="D945" s="49">
        <v>18</v>
      </c>
      <c r="E945" s="13" t="s">
        <v>1318</v>
      </c>
      <c r="F945" s="13">
        <v>3025461</v>
      </c>
      <c r="G945" s="14">
        <v>26446</v>
      </c>
      <c r="H945" s="15">
        <v>8850</v>
      </c>
      <c r="I945" s="16">
        <f t="shared" si="138"/>
        <v>234047100</v>
      </c>
      <c r="J945" s="17">
        <v>56</v>
      </c>
      <c r="K945" s="34">
        <v>4502321860</v>
      </c>
      <c r="L945" s="19">
        <v>5081647933</v>
      </c>
      <c r="M945" s="20">
        <v>5113278441</v>
      </c>
      <c r="N945" s="9" t="s">
        <v>63</v>
      </c>
      <c r="O945" s="22" t="s">
        <v>1319</v>
      </c>
      <c r="P945" s="23"/>
      <c r="Q945" s="24" t="s">
        <v>522</v>
      </c>
      <c r="R945" s="25">
        <v>44680</v>
      </c>
      <c r="S945" s="34">
        <v>4502321860</v>
      </c>
      <c r="T945" s="35">
        <f>1348980*4</f>
        <v>5395920</v>
      </c>
      <c r="U945" s="28" t="s">
        <v>1320</v>
      </c>
      <c r="V945" s="29">
        <v>5113278743</v>
      </c>
      <c r="W945" s="35"/>
      <c r="X945" s="29"/>
      <c r="Y945" s="36"/>
      <c r="Z945" s="29"/>
      <c r="AA945" s="31">
        <f t="shared" si="1"/>
        <v>44680</v>
      </c>
      <c r="AB945" s="32" t="str">
        <f t="shared" si="5"/>
        <v>abril</v>
      </c>
    </row>
    <row r="946" spans="1:28" ht="12.75">
      <c r="A946" s="9" t="s">
        <v>94</v>
      </c>
      <c r="B946" s="10">
        <v>44687</v>
      </c>
      <c r="C946" s="11">
        <v>44687</v>
      </c>
      <c r="D946" s="49">
        <v>18</v>
      </c>
      <c r="E946" s="13" t="s">
        <v>1321</v>
      </c>
      <c r="F946" s="13">
        <v>3025461</v>
      </c>
      <c r="G946" s="14">
        <v>12546</v>
      </c>
      <c r="H946" s="15">
        <v>8750</v>
      </c>
      <c r="I946" s="16">
        <f t="shared" si="138"/>
        <v>109777500</v>
      </c>
      <c r="J946" s="17">
        <v>28</v>
      </c>
      <c r="K946" s="34">
        <v>4502321867</v>
      </c>
      <c r="L946" s="19">
        <v>5081647965</v>
      </c>
      <c r="M946" s="20">
        <v>5113286356</v>
      </c>
      <c r="N946" s="23" t="s">
        <v>63</v>
      </c>
      <c r="O946" s="22" t="s">
        <v>1322</v>
      </c>
      <c r="P946" s="23" t="s">
        <v>1323</v>
      </c>
      <c r="Q946" s="24" t="s">
        <v>522</v>
      </c>
      <c r="R946" s="25">
        <v>44680</v>
      </c>
      <c r="S946" s="34">
        <v>4502321867</v>
      </c>
      <c r="T946" s="35">
        <f>1262800*2</f>
        <v>2525600</v>
      </c>
      <c r="U946" s="28" t="s">
        <v>1324</v>
      </c>
      <c r="V946" s="29">
        <v>5113278744</v>
      </c>
      <c r="W946" s="35"/>
      <c r="X946" s="29"/>
      <c r="Y946" s="36"/>
      <c r="Z946" s="29"/>
      <c r="AA946" s="31">
        <f t="shared" si="1"/>
        <v>44680</v>
      </c>
      <c r="AB946" s="32" t="str">
        <f t="shared" si="5"/>
        <v>abril</v>
      </c>
    </row>
    <row r="947" spans="1:28" ht="12.75">
      <c r="A947" s="9" t="s">
        <v>404</v>
      </c>
      <c r="B947" s="10">
        <v>44683</v>
      </c>
      <c r="C947" s="11">
        <v>44683</v>
      </c>
      <c r="D947" s="49">
        <v>18</v>
      </c>
      <c r="E947" s="13" t="s">
        <v>1325</v>
      </c>
      <c r="F947" s="13">
        <v>3025457</v>
      </c>
      <c r="G947" s="14">
        <v>35966</v>
      </c>
      <c r="H947" s="33">
        <v>9400</v>
      </c>
      <c r="I947" s="16">
        <f t="shared" si="138"/>
        <v>338080400</v>
      </c>
      <c r="J947" s="17">
        <v>75</v>
      </c>
      <c r="K947" s="34">
        <v>4502318583</v>
      </c>
      <c r="L947" s="19">
        <v>5081640504</v>
      </c>
      <c r="M947" s="20">
        <v>5113279130</v>
      </c>
      <c r="N947" s="23"/>
      <c r="O947" s="9" t="s">
        <v>37</v>
      </c>
      <c r="P947" s="23" t="s">
        <v>1296</v>
      </c>
      <c r="Q947" s="24" t="s">
        <v>31</v>
      </c>
      <c r="R947" s="25">
        <v>44681</v>
      </c>
      <c r="S947" s="28"/>
      <c r="T947" s="35"/>
      <c r="U947" s="35"/>
      <c r="V947" s="29"/>
      <c r="W947" s="35"/>
      <c r="X947" s="29"/>
      <c r="Y947" s="36"/>
      <c r="Z947" s="29"/>
      <c r="AA947" s="31">
        <f t="shared" si="1"/>
        <v>44681</v>
      </c>
      <c r="AB947" s="32" t="str">
        <f t="shared" si="5"/>
        <v>abril</v>
      </c>
    </row>
    <row r="948" spans="1:28" ht="12.75">
      <c r="A948" s="9" t="s">
        <v>404</v>
      </c>
      <c r="B948" s="10">
        <v>44683</v>
      </c>
      <c r="C948" s="11">
        <v>44683</v>
      </c>
      <c r="D948" s="49">
        <v>18</v>
      </c>
      <c r="E948" s="13" t="s">
        <v>770</v>
      </c>
      <c r="F948" s="13">
        <v>3025457</v>
      </c>
      <c r="G948" s="14">
        <v>35966</v>
      </c>
      <c r="H948" s="33">
        <f>9400-9345</f>
        <v>55</v>
      </c>
      <c r="I948" s="16">
        <f>-H948*G948</f>
        <v>-1978130</v>
      </c>
      <c r="J948" s="17">
        <v>0</v>
      </c>
      <c r="K948" s="34">
        <v>4502318583</v>
      </c>
      <c r="L948" s="19">
        <v>5081640504</v>
      </c>
      <c r="M948" s="20">
        <v>5113279133</v>
      </c>
      <c r="N948" s="23"/>
      <c r="O948" s="9"/>
      <c r="P948" s="23"/>
      <c r="Q948" s="24" t="s">
        <v>31</v>
      </c>
      <c r="R948" s="25">
        <v>44681</v>
      </c>
      <c r="S948" s="28"/>
      <c r="T948" s="35"/>
      <c r="U948" s="35"/>
      <c r="V948" s="29"/>
      <c r="W948" s="35"/>
      <c r="X948" s="29"/>
      <c r="Y948" s="36"/>
      <c r="Z948" s="29"/>
      <c r="AA948" s="31">
        <f t="shared" si="1"/>
        <v>44681</v>
      </c>
      <c r="AB948" s="32" t="str">
        <f t="shared" si="5"/>
        <v>abril</v>
      </c>
    </row>
    <row r="949" spans="1:28" ht="12.75">
      <c r="A949" s="9" t="s">
        <v>58</v>
      </c>
      <c r="B949" s="10">
        <v>44684</v>
      </c>
      <c r="C949" s="11">
        <v>44684</v>
      </c>
      <c r="D949" s="49">
        <v>18</v>
      </c>
      <c r="E949" s="13" t="s">
        <v>1326</v>
      </c>
      <c r="F949" s="13">
        <v>3025457</v>
      </c>
      <c r="G949" s="14">
        <v>15333</v>
      </c>
      <c r="H949" s="33">
        <v>9400</v>
      </c>
      <c r="I949" s="16">
        <f>H949*G949</f>
        <v>144130200</v>
      </c>
      <c r="J949" s="17">
        <v>30</v>
      </c>
      <c r="K949" s="34">
        <v>4502318584</v>
      </c>
      <c r="L949" s="19">
        <v>5081640372</v>
      </c>
      <c r="M949" s="20">
        <v>5113284598</v>
      </c>
      <c r="N949" s="23"/>
      <c r="O949" s="23" t="s">
        <v>37</v>
      </c>
      <c r="P949" s="23"/>
      <c r="Q949" s="24" t="s">
        <v>31</v>
      </c>
      <c r="R949" s="25">
        <v>44681</v>
      </c>
      <c r="S949" s="28"/>
      <c r="T949" s="35"/>
      <c r="U949" s="35"/>
      <c r="V949" s="29"/>
      <c r="W949" s="35"/>
      <c r="X949" s="29"/>
      <c r="Y949" s="36"/>
      <c r="Z949" s="29"/>
      <c r="AA949" s="31">
        <f t="shared" si="1"/>
        <v>44681</v>
      </c>
      <c r="AB949" s="32" t="str">
        <f t="shared" si="5"/>
        <v>abril</v>
      </c>
    </row>
    <row r="950" spans="1:28" ht="12.75">
      <c r="A950" s="9" t="s">
        <v>58</v>
      </c>
      <c r="B950" s="10">
        <v>44687</v>
      </c>
      <c r="C950" s="11">
        <v>44687</v>
      </c>
      <c r="D950" s="49">
        <v>18</v>
      </c>
      <c r="E950" s="79" t="s">
        <v>1327</v>
      </c>
      <c r="F950" s="13">
        <v>3025457</v>
      </c>
      <c r="G950" s="14">
        <v>15333</v>
      </c>
      <c r="H950" s="33">
        <f>9400-9379.55</f>
        <v>20.450000000000728</v>
      </c>
      <c r="I950" s="16">
        <f>-H950*G950</f>
        <v>-313559.85000001115</v>
      </c>
      <c r="J950" s="17">
        <v>0</v>
      </c>
      <c r="K950" s="34">
        <v>4502318584</v>
      </c>
      <c r="L950" s="19">
        <v>5081640372</v>
      </c>
      <c r="M950" s="20">
        <v>5113284600</v>
      </c>
      <c r="N950" s="23"/>
      <c r="O950" s="9"/>
      <c r="P950" s="23" t="s">
        <v>1305</v>
      </c>
      <c r="Q950" s="24" t="s">
        <v>31</v>
      </c>
      <c r="R950" s="25">
        <v>44681</v>
      </c>
      <c r="S950" s="28"/>
      <c r="T950" s="35"/>
      <c r="U950" s="35"/>
      <c r="V950" s="29"/>
      <c r="W950" s="35"/>
      <c r="X950" s="29"/>
      <c r="Y950" s="36"/>
      <c r="Z950" s="29"/>
      <c r="AA950" s="31">
        <f t="shared" si="1"/>
        <v>44681</v>
      </c>
      <c r="AB950" s="32" t="str">
        <f t="shared" si="5"/>
        <v>abril</v>
      </c>
    </row>
    <row r="951" spans="1:28" ht="12.75">
      <c r="A951" s="9" t="s">
        <v>58</v>
      </c>
      <c r="B951" s="10">
        <v>44684</v>
      </c>
      <c r="C951" s="11">
        <v>44684</v>
      </c>
      <c r="D951" s="49">
        <v>18</v>
      </c>
      <c r="E951" s="13" t="s">
        <v>1328</v>
      </c>
      <c r="F951" s="13">
        <v>3025457</v>
      </c>
      <c r="G951" s="14">
        <v>39761</v>
      </c>
      <c r="H951" s="33">
        <v>9400</v>
      </c>
      <c r="I951" s="16">
        <f>H951*G951</f>
        <v>373753400</v>
      </c>
      <c r="J951" s="17">
        <v>120</v>
      </c>
      <c r="K951" s="34">
        <v>4502318584</v>
      </c>
      <c r="L951" s="19">
        <v>5081640372</v>
      </c>
      <c r="M951" s="20">
        <v>5113284602</v>
      </c>
      <c r="N951" s="23"/>
      <c r="O951" s="9" t="s">
        <v>37</v>
      </c>
      <c r="P951" s="23"/>
      <c r="Q951" s="24" t="s">
        <v>31</v>
      </c>
      <c r="R951" s="25">
        <v>44681</v>
      </c>
      <c r="S951" s="28"/>
      <c r="T951" s="35"/>
      <c r="U951" s="35"/>
      <c r="V951" s="29"/>
      <c r="W951" s="35"/>
      <c r="X951" s="29"/>
      <c r="Y951" s="36"/>
      <c r="Z951" s="29"/>
      <c r="AA951" s="31">
        <f t="shared" si="1"/>
        <v>44681</v>
      </c>
      <c r="AB951" s="32" t="str">
        <f t="shared" si="5"/>
        <v>abril</v>
      </c>
    </row>
    <row r="952" spans="1:28" ht="12.75">
      <c r="A952" s="9" t="s">
        <v>58</v>
      </c>
      <c r="B952" s="10">
        <v>44687</v>
      </c>
      <c r="C952" s="11">
        <v>44687</v>
      </c>
      <c r="D952" s="49">
        <v>18</v>
      </c>
      <c r="E952" s="79" t="s">
        <v>1329</v>
      </c>
      <c r="F952" s="13">
        <v>3025457</v>
      </c>
      <c r="G952" s="14">
        <v>39761</v>
      </c>
      <c r="H952" s="33">
        <v>50</v>
      </c>
      <c r="I952" s="16">
        <f>-H952*G952</f>
        <v>-1988050</v>
      </c>
      <c r="J952" s="17">
        <v>0</v>
      </c>
      <c r="K952" s="34">
        <v>4502318584</v>
      </c>
      <c r="L952" s="19">
        <v>5081640372</v>
      </c>
      <c r="M952" s="20">
        <v>5113284604</v>
      </c>
      <c r="N952" s="23"/>
      <c r="O952" s="9"/>
      <c r="P952" s="23" t="s">
        <v>1305</v>
      </c>
      <c r="Q952" s="24" t="s">
        <v>31</v>
      </c>
      <c r="R952" s="25">
        <v>44681</v>
      </c>
      <c r="S952" s="28"/>
      <c r="T952" s="35"/>
      <c r="U952" s="35"/>
      <c r="V952" s="29"/>
      <c r="W952" s="35"/>
      <c r="X952" s="29"/>
      <c r="Y952" s="36"/>
      <c r="Z952" s="29"/>
      <c r="AA952" s="31">
        <f t="shared" si="1"/>
        <v>44681</v>
      </c>
      <c r="AB952" s="32" t="str">
        <f t="shared" si="5"/>
        <v>abril</v>
      </c>
    </row>
    <row r="953" spans="1:28" ht="12.75">
      <c r="A953" s="9" t="s">
        <v>1330</v>
      </c>
      <c r="B953" s="10">
        <v>44681</v>
      </c>
      <c r="C953" s="11"/>
      <c r="D953" s="49">
        <v>18</v>
      </c>
      <c r="E953" s="13" t="s">
        <v>1331</v>
      </c>
      <c r="F953" s="13">
        <v>3025457</v>
      </c>
      <c r="G953" s="14">
        <v>6442</v>
      </c>
      <c r="H953" s="33">
        <v>8800</v>
      </c>
      <c r="I953" s="16">
        <f t="shared" ref="I953:I955" si="139">H953*G953</f>
        <v>56689600</v>
      </c>
      <c r="J953" s="17">
        <v>14</v>
      </c>
      <c r="K953" s="34">
        <v>4502318585</v>
      </c>
      <c r="L953" s="19">
        <v>5081640373</v>
      </c>
      <c r="M953" s="20">
        <v>5113277956</v>
      </c>
      <c r="N953" s="23"/>
      <c r="O953" s="9" t="s">
        <v>63</v>
      </c>
      <c r="P953" s="23"/>
      <c r="Q953" s="24" t="s">
        <v>31</v>
      </c>
      <c r="R953" s="25">
        <v>44681</v>
      </c>
      <c r="S953" s="28"/>
      <c r="T953" s="35"/>
      <c r="U953" s="35"/>
      <c r="V953" s="29"/>
      <c r="W953" s="35"/>
      <c r="X953" s="29"/>
      <c r="Y953" s="36"/>
      <c r="Z953" s="29"/>
      <c r="AA953" s="31">
        <f t="shared" si="1"/>
        <v>44681</v>
      </c>
      <c r="AB953" s="32" t="str">
        <f t="shared" si="5"/>
        <v>abril</v>
      </c>
    </row>
    <row r="954" spans="1:28" ht="12.75">
      <c r="A954" s="9" t="s">
        <v>1330</v>
      </c>
      <c r="B954" s="10">
        <v>44681</v>
      </c>
      <c r="C954" s="11"/>
      <c r="D954" s="49">
        <v>18</v>
      </c>
      <c r="E954" s="13" t="s">
        <v>1332</v>
      </c>
      <c r="F954" s="13">
        <v>3025457</v>
      </c>
      <c r="G954" s="14">
        <v>6442</v>
      </c>
      <c r="H954" s="33">
        <f>8844.02-8800</f>
        <v>44.020000000000437</v>
      </c>
      <c r="I954" s="16">
        <f t="shared" si="139"/>
        <v>283576.84000000282</v>
      </c>
      <c r="J954" s="17">
        <v>0</v>
      </c>
      <c r="K954" s="34">
        <v>4502318585</v>
      </c>
      <c r="L954" s="19">
        <v>5081640373</v>
      </c>
      <c r="M954" s="20">
        <v>5113278197</v>
      </c>
      <c r="N954" s="23"/>
      <c r="O954" s="9"/>
      <c r="P954" s="23"/>
      <c r="Q954" s="24" t="s">
        <v>31</v>
      </c>
      <c r="R954" s="25">
        <v>44681</v>
      </c>
      <c r="S954" s="28"/>
      <c r="T954" s="35"/>
      <c r="U954" s="35"/>
      <c r="V954" s="29"/>
      <c r="W954" s="35"/>
      <c r="X954" s="29"/>
      <c r="Y954" s="36"/>
      <c r="Z954" s="29"/>
      <c r="AA954" s="31">
        <f t="shared" si="1"/>
        <v>44681</v>
      </c>
      <c r="AB954" s="32" t="str">
        <f t="shared" si="5"/>
        <v>abril</v>
      </c>
    </row>
    <row r="955" spans="1:28" ht="12.75">
      <c r="A955" s="9" t="s">
        <v>58</v>
      </c>
      <c r="B955" s="10">
        <v>44687</v>
      </c>
      <c r="C955" s="11">
        <v>44687</v>
      </c>
      <c r="D955" s="49">
        <v>18</v>
      </c>
      <c r="E955" s="13" t="s">
        <v>1333</v>
      </c>
      <c r="F955" s="13">
        <v>3025457</v>
      </c>
      <c r="G955" s="14">
        <v>13534</v>
      </c>
      <c r="H955" s="33">
        <v>9400</v>
      </c>
      <c r="I955" s="16">
        <f t="shared" si="139"/>
        <v>127219600</v>
      </c>
      <c r="J955" s="17">
        <v>30</v>
      </c>
      <c r="K955" s="34">
        <v>4502318586</v>
      </c>
      <c r="L955" s="19">
        <v>5081646169</v>
      </c>
      <c r="M955" s="20">
        <v>5113291257</v>
      </c>
      <c r="N955" s="23"/>
      <c r="O955" s="9" t="s">
        <v>37</v>
      </c>
      <c r="P955" s="23" t="s">
        <v>1334</v>
      </c>
      <c r="Q955" s="24" t="s">
        <v>31</v>
      </c>
      <c r="R955" s="25">
        <v>44682</v>
      </c>
      <c r="S955" s="28"/>
      <c r="T955" s="35"/>
      <c r="U955" s="35"/>
      <c r="V955" s="29"/>
      <c r="W955" s="35"/>
      <c r="X955" s="29"/>
      <c r="Y955" s="36"/>
      <c r="Z955" s="29"/>
      <c r="AA955" s="31">
        <f t="shared" si="1"/>
        <v>44682</v>
      </c>
      <c r="AB955" s="32" t="str">
        <f t="shared" si="5"/>
        <v>mayo</v>
      </c>
    </row>
    <row r="956" spans="1:28" ht="12.75">
      <c r="A956" s="9" t="s">
        <v>58</v>
      </c>
      <c r="B956" s="10">
        <v>44687</v>
      </c>
      <c r="C956" s="11">
        <v>44687</v>
      </c>
      <c r="D956" s="49">
        <v>18</v>
      </c>
      <c r="E956" s="13" t="s">
        <v>1335</v>
      </c>
      <c r="F956" s="13">
        <v>3025457</v>
      </c>
      <c r="G956" s="14">
        <v>13534</v>
      </c>
      <c r="H956" s="33">
        <f>9400-9244.3</f>
        <v>155.70000000000073</v>
      </c>
      <c r="I956" s="16">
        <f>-H956*G956</f>
        <v>-2107243.8000000101</v>
      </c>
      <c r="J956" s="17">
        <v>0</v>
      </c>
      <c r="K956" s="34">
        <v>4502318586</v>
      </c>
      <c r="L956" s="19">
        <v>5081646169</v>
      </c>
      <c r="M956" s="20">
        <v>5113291260</v>
      </c>
      <c r="N956" s="23"/>
      <c r="O956" s="9"/>
      <c r="P956" s="23"/>
      <c r="Q956" s="24" t="s">
        <v>31</v>
      </c>
      <c r="R956" s="25">
        <v>44682</v>
      </c>
      <c r="S956" s="28"/>
      <c r="T956" s="35"/>
      <c r="U956" s="35"/>
      <c r="V956" s="29"/>
      <c r="W956" s="35"/>
      <c r="X956" s="29"/>
      <c r="Y956" s="36"/>
      <c r="Z956" s="29"/>
      <c r="AA956" s="31">
        <f t="shared" si="1"/>
        <v>44682</v>
      </c>
      <c r="AB956" s="32" t="str">
        <f t="shared" si="5"/>
        <v>mayo</v>
      </c>
    </row>
    <row r="957" spans="1:28" ht="12.75">
      <c r="A957" s="22" t="s">
        <v>428</v>
      </c>
      <c r="B957" s="10">
        <v>44682</v>
      </c>
      <c r="C957" s="11">
        <v>44684</v>
      </c>
      <c r="D957" s="49">
        <v>18</v>
      </c>
      <c r="E957" s="13" t="s">
        <v>1336</v>
      </c>
      <c r="F957" s="13">
        <v>3025457</v>
      </c>
      <c r="G957" s="37">
        <v>50092.5</v>
      </c>
      <c r="H957" s="33">
        <v>9500</v>
      </c>
      <c r="I957" s="16">
        <f>H957*G957</f>
        <v>475878750</v>
      </c>
      <c r="J957" s="17">
        <v>105</v>
      </c>
      <c r="K957" s="34">
        <v>4502318587</v>
      </c>
      <c r="L957" s="19">
        <v>5081646610</v>
      </c>
      <c r="M957" s="20">
        <v>5113281645</v>
      </c>
      <c r="N957" s="23"/>
      <c r="O957" s="9" t="s">
        <v>63</v>
      </c>
      <c r="P957" s="23"/>
      <c r="Q957" s="24" t="s">
        <v>31</v>
      </c>
      <c r="R957" s="25">
        <v>44682</v>
      </c>
      <c r="S957" s="28"/>
      <c r="T957" s="35"/>
      <c r="U957" s="35"/>
      <c r="V957" s="29"/>
      <c r="W957" s="35"/>
      <c r="X957" s="29"/>
      <c r="Y957" s="36"/>
      <c r="Z957" s="29"/>
      <c r="AA957" s="31">
        <f t="shared" si="1"/>
        <v>44682</v>
      </c>
      <c r="AB957" s="32" t="str">
        <f t="shared" si="5"/>
        <v>mayo</v>
      </c>
    </row>
    <row r="958" spans="1:28" ht="12.75">
      <c r="A958" s="22" t="s">
        <v>428</v>
      </c>
      <c r="B958" s="10">
        <v>44682</v>
      </c>
      <c r="C958" s="11"/>
      <c r="D958" s="49">
        <v>18</v>
      </c>
      <c r="E958" s="13" t="s">
        <v>1337</v>
      </c>
      <c r="F958" s="13">
        <v>3025457</v>
      </c>
      <c r="G958" s="37">
        <v>50092.5</v>
      </c>
      <c r="H958" s="33">
        <f>9500-9494.29</f>
        <v>5.7099999999991269</v>
      </c>
      <c r="I958" s="16">
        <f>-H958*G958</f>
        <v>-286028.17499995627</v>
      </c>
      <c r="J958" s="17">
        <v>0</v>
      </c>
      <c r="K958" s="34">
        <v>4502318587</v>
      </c>
      <c r="L958" s="19">
        <v>5081646610</v>
      </c>
      <c r="M958" s="20">
        <v>5113281657</v>
      </c>
      <c r="N958" s="23"/>
      <c r="O958" s="9"/>
      <c r="P958" s="23"/>
      <c r="Q958" s="24" t="s">
        <v>31</v>
      </c>
      <c r="R958" s="25">
        <v>44682</v>
      </c>
      <c r="S958" s="28"/>
      <c r="T958" s="35"/>
      <c r="U958" s="35"/>
      <c r="V958" s="29"/>
      <c r="W958" s="35"/>
      <c r="X958" s="29"/>
      <c r="Y958" s="36"/>
      <c r="Z958" s="29"/>
      <c r="AA958" s="31">
        <f t="shared" si="1"/>
        <v>44682</v>
      </c>
      <c r="AB958" s="32" t="str">
        <f t="shared" si="5"/>
        <v>mayo</v>
      </c>
    </row>
    <row r="959" spans="1:28" ht="12.75">
      <c r="A959" s="22" t="s">
        <v>501</v>
      </c>
      <c r="B959" s="10">
        <v>44684</v>
      </c>
      <c r="C959" s="11"/>
      <c r="D959" s="49">
        <v>18</v>
      </c>
      <c r="E959" s="13" t="s">
        <v>1338</v>
      </c>
      <c r="F959" s="13">
        <v>3025457</v>
      </c>
      <c r="G959" s="14">
        <v>5432</v>
      </c>
      <c r="H959" s="33">
        <v>8700</v>
      </c>
      <c r="I959" s="16">
        <f>H959*G959</f>
        <v>47258400</v>
      </c>
      <c r="J959" s="17">
        <v>12</v>
      </c>
      <c r="K959" s="34">
        <v>4502318588</v>
      </c>
      <c r="L959" s="19">
        <v>5081646170</v>
      </c>
      <c r="M959" s="20">
        <v>5113283729</v>
      </c>
      <c r="N959" s="23"/>
      <c r="O959" s="9"/>
      <c r="P959" s="23" t="s">
        <v>313</v>
      </c>
      <c r="Q959" s="24" t="s">
        <v>31</v>
      </c>
      <c r="R959" s="25">
        <v>44682</v>
      </c>
      <c r="S959" s="28"/>
      <c r="T959" s="35"/>
      <c r="U959" s="35"/>
      <c r="V959" s="29"/>
      <c r="W959" s="35"/>
      <c r="X959" s="29"/>
      <c r="Y959" s="36"/>
      <c r="Z959" s="29"/>
      <c r="AA959" s="31">
        <f t="shared" si="1"/>
        <v>44682</v>
      </c>
      <c r="AB959" s="32" t="str">
        <f t="shared" si="5"/>
        <v>mayo</v>
      </c>
    </row>
    <row r="960" spans="1:28" ht="12.75">
      <c r="A960" s="22" t="s">
        <v>501</v>
      </c>
      <c r="B960" s="10">
        <v>44684</v>
      </c>
      <c r="C960" s="11"/>
      <c r="D960" s="49">
        <v>18</v>
      </c>
      <c r="E960" s="13">
        <v>8</v>
      </c>
      <c r="F960" s="13">
        <v>3025457</v>
      </c>
      <c r="G960" s="14">
        <v>5432</v>
      </c>
      <c r="H960" s="33">
        <f>8700-8660.69</f>
        <v>39.309999999999491</v>
      </c>
      <c r="I960" s="16">
        <f>-H960*G960</f>
        <v>-213531.91999999725</v>
      </c>
      <c r="J960" s="17">
        <v>0</v>
      </c>
      <c r="K960" s="34">
        <v>4502318588</v>
      </c>
      <c r="L960" s="19">
        <v>5081646170</v>
      </c>
      <c r="M960" s="20">
        <v>5113283730</v>
      </c>
      <c r="N960" s="23"/>
      <c r="O960" s="9"/>
      <c r="P960" s="23"/>
      <c r="Q960" s="24" t="s">
        <v>31</v>
      </c>
      <c r="R960" s="25">
        <v>44682</v>
      </c>
      <c r="S960" s="28"/>
      <c r="T960" s="35"/>
      <c r="U960" s="35"/>
      <c r="V960" s="29"/>
      <c r="W960" s="35"/>
      <c r="X960" s="29"/>
      <c r="Y960" s="36"/>
      <c r="Z960" s="29"/>
      <c r="AA960" s="31">
        <f t="shared" si="1"/>
        <v>44682</v>
      </c>
      <c r="AB960" s="32" t="str">
        <f t="shared" si="5"/>
        <v>mayo</v>
      </c>
    </row>
    <row r="961" spans="1:28" ht="12.75">
      <c r="A961" s="22" t="s">
        <v>1112</v>
      </c>
      <c r="B961" s="10">
        <v>44685</v>
      </c>
      <c r="C961" s="11">
        <v>44685</v>
      </c>
      <c r="D961" s="49">
        <v>18</v>
      </c>
      <c r="E961" s="13" t="s">
        <v>1166</v>
      </c>
      <c r="F961" s="13">
        <v>3025457</v>
      </c>
      <c r="G961" s="14">
        <v>6624</v>
      </c>
      <c r="H961" s="15">
        <v>8700</v>
      </c>
      <c r="I961" s="16">
        <f t="shared" ref="I961:I963" si="140">H961*G961</f>
        <v>57628800</v>
      </c>
      <c r="J961" s="17">
        <v>14</v>
      </c>
      <c r="K961" s="34">
        <v>4502322057</v>
      </c>
      <c r="L961" s="19">
        <v>5081650050</v>
      </c>
      <c r="M961" s="20">
        <v>5113281044</v>
      </c>
      <c r="N961" s="23"/>
      <c r="O961" s="22" t="s">
        <v>1114</v>
      </c>
      <c r="P961" s="23" t="s">
        <v>187</v>
      </c>
      <c r="Q961" s="24" t="s">
        <v>31</v>
      </c>
      <c r="R961" s="25">
        <v>44682</v>
      </c>
      <c r="S961" s="28">
        <v>4902258584</v>
      </c>
      <c r="T961" s="27">
        <v>1245600</v>
      </c>
      <c r="U961" s="28" t="s">
        <v>1339</v>
      </c>
      <c r="V961" s="29">
        <v>5113278921</v>
      </c>
      <c r="W961" s="35"/>
      <c r="X961" s="29"/>
      <c r="Y961" s="36"/>
      <c r="Z961" s="29"/>
      <c r="AA961" s="31">
        <f t="shared" si="1"/>
        <v>44682</v>
      </c>
      <c r="AB961" s="32" t="str">
        <f t="shared" si="5"/>
        <v>mayo</v>
      </c>
    </row>
    <row r="962" spans="1:28" ht="12.75">
      <c r="A962" s="9" t="s">
        <v>73</v>
      </c>
      <c r="B962" s="10">
        <v>44684</v>
      </c>
      <c r="C962" s="11">
        <v>44684</v>
      </c>
      <c r="D962" s="49">
        <v>18</v>
      </c>
      <c r="E962" s="13" t="s">
        <v>1340</v>
      </c>
      <c r="F962" s="13">
        <v>3025459</v>
      </c>
      <c r="G962" s="14">
        <v>13021</v>
      </c>
      <c r="H962" s="33">
        <v>9100</v>
      </c>
      <c r="I962" s="16">
        <f t="shared" si="140"/>
        <v>118491100</v>
      </c>
      <c r="J962" s="17">
        <v>28</v>
      </c>
      <c r="K962" s="34">
        <v>4502318589</v>
      </c>
      <c r="L962" s="19">
        <v>5081646171</v>
      </c>
      <c r="M962" s="20">
        <v>5113280045</v>
      </c>
      <c r="N962" s="23"/>
      <c r="O962" s="9" t="s">
        <v>63</v>
      </c>
      <c r="P962" s="23"/>
      <c r="Q962" s="24" t="s">
        <v>31</v>
      </c>
      <c r="R962" s="25">
        <v>44682</v>
      </c>
      <c r="S962" s="28"/>
      <c r="T962" s="35"/>
      <c r="U962" s="35"/>
      <c r="V962" s="29"/>
      <c r="W962" s="35"/>
      <c r="X962" s="29"/>
      <c r="Y962" s="36"/>
      <c r="Z962" s="29"/>
      <c r="AA962" s="31">
        <f t="shared" si="1"/>
        <v>44682</v>
      </c>
      <c r="AB962" s="32" t="str">
        <f t="shared" si="5"/>
        <v>mayo</v>
      </c>
    </row>
    <row r="963" spans="1:28" ht="12.75">
      <c r="A963" s="9" t="s">
        <v>203</v>
      </c>
      <c r="B963" s="10">
        <v>44682</v>
      </c>
      <c r="C963" s="11"/>
      <c r="D963" s="49">
        <v>18</v>
      </c>
      <c r="E963" s="13" t="s">
        <v>1341</v>
      </c>
      <c r="F963" s="13">
        <v>3025459</v>
      </c>
      <c r="G963" s="14">
        <v>7125</v>
      </c>
      <c r="H963" s="33">
        <v>9200</v>
      </c>
      <c r="I963" s="16">
        <f t="shared" si="140"/>
        <v>65550000</v>
      </c>
      <c r="J963" s="17">
        <v>15</v>
      </c>
      <c r="K963" s="34">
        <v>4502318591</v>
      </c>
      <c r="L963" s="19">
        <v>5081646172</v>
      </c>
      <c r="M963" s="20">
        <v>5113286246</v>
      </c>
      <c r="N963" s="23"/>
      <c r="O963" s="9" t="s">
        <v>37</v>
      </c>
      <c r="P963" s="23" t="s">
        <v>928</v>
      </c>
      <c r="Q963" s="24" t="s">
        <v>31</v>
      </c>
      <c r="R963" s="25">
        <v>44682</v>
      </c>
      <c r="S963" s="28"/>
      <c r="T963" s="35"/>
      <c r="U963" s="35"/>
      <c r="V963" s="29"/>
      <c r="W963" s="35"/>
      <c r="X963" s="29"/>
      <c r="Y963" s="36"/>
      <c r="Z963" s="29"/>
      <c r="AA963" s="31">
        <f t="shared" si="1"/>
        <v>44682</v>
      </c>
      <c r="AB963" s="32" t="str">
        <f t="shared" si="5"/>
        <v>mayo</v>
      </c>
    </row>
    <row r="964" spans="1:28" ht="12.75">
      <c r="A964" s="9" t="s">
        <v>203</v>
      </c>
      <c r="B964" s="10">
        <v>44682</v>
      </c>
      <c r="C964" s="11"/>
      <c r="D964" s="49">
        <v>18</v>
      </c>
      <c r="E964" s="13" t="s">
        <v>1342</v>
      </c>
      <c r="F964" s="13">
        <v>3025459</v>
      </c>
      <c r="G964" s="14">
        <v>7125</v>
      </c>
      <c r="H964" s="33">
        <f>9200-9089.16</f>
        <v>110.84000000000015</v>
      </c>
      <c r="I964" s="16">
        <f>-H964*G964</f>
        <v>-789735.00000000105</v>
      </c>
      <c r="J964" s="17">
        <v>0</v>
      </c>
      <c r="K964" s="34">
        <v>4502318591</v>
      </c>
      <c r="L964" s="19">
        <v>5081646172</v>
      </c>
      <c r="M964" s="20">
        <v>5113286397</v>
      </c>
      <c r="N964" s="23"/>
      <c r="O964" s="9"/>
      <c r="P964" s="23"/>
      <c r="Q964" s="24" t="s">
        <v>31</v>
      </c>
      <c r="R964" s="25">
        <v>44682</v>
      </c>
      <c r="S964" s="28"/>
      <c r="T964" s="35"/>
      <c r="U964" s="35"/>
      <c r="V964" s="29"/>
      <c r="W964" s="35"/>
      <c r="X964" s="29"/>
      <c r="Y964" s="36"/>
      <c r="Z964" s="29"/>
      <c r="AA964" s="31">
        <f t="shared" si="1"/>
        <v>44682</v>
      </c>
      <c r="AB964" s="32" t="str">
        <f t="shared" si="5"/>
        <v>mayo</v>
      </c>
    </row>
    <row r="965" spans="1:28" ht="12.75">
      <c r="A965" s="9" t="s">
        <v>289</v>
      </c>
      <c r="B965" s="10">
        <v>44682</v>
      </c>
      <c r="C965" s="11"/>
      <c r="D965" s="49">
        <v>18</v>
      </c>
      <c r="E965" s="13" t="s">
        <v>315</v>
      </c>
      <c r="F965" s="13">
        <v>3025459</v>
      </c>
      <c r="G965" s="14">
        <v>7552</v>
      </c>
      <c r="H965" s="33">
        <v>9200</v>
      </c>
      <c r="I965" s="16">
        <f>H965*G965</f>
        <v>69478400</v>
      </c>
      <c r="J965" s="17">
        <v>15</v>
      </c>
      <c r="K965" s="34">
        <v>4502318592</v>
      </c>
      <c r="L965" s="19">
        <v>5081646173</v>
      </c>
      <c r="M965" s="20">
        <v>5113291286</v>
      </c>
      <c r="N965" s="23"/>
      <c r="O965" s="9" t="s">
        <v>37</v>
      </c>
      <c r="P965" s="23" t="s">
        <v>928</v>
      </c>
      <c r="Q965" s="24" t="s">
        <v>31</v>
      </c>
      <c r="R965" s="25">
        <v>44682</v>
      </c>
      <c r="S965" s="28"/>
      <c r="T965" s="35"/>
      <c r="U965" s="35"/>
      <c r="V965" s="29"/>
      <c r="W965" s="35"/>
      <c r="X965" s="29"/>
      <c r="Y965" s="36"/>
      <c r="Z965" s="29"/>
      <c r="AA965" s="31">
        <f t="shared" si="1"/>
        <v>44682</v>
      </c>
      <c r="AB965" s="32" t="str">
        <f t="shared" si="5"/>
        <v>mayo</v>
      </c>
    </row>
    <row r="966" spans="1:28" ht="12.75">
      <c r="A966" s="9" t="s">
        <v>289</v>
      </c>
      <c r="B966" s="10">
        <v>44688</v>
      </c>
      <c r="C966" s="11">
        <v>44690</v>
      </c>
      <c r="D966" s="49">
        <v>18</v>
      </c>
      <c r="E966" s="79" t="s">
        <v>1343</v>
      </c>
      <c r="F966" s="13">
        <v>3025459</v>
      </c>
      <c r="G966" s="14">
        <v>7552</v>
      </c>
      <c r="H966" s="33">
        <v>100</v>
      </c>
      <c r="I966" s="16">
        <f>-H966*G966</f>
        <v>-755200</v>
      </c>
      <c r="J966" s="17">
        <v>0</v>
      </c>
      <c r="K966" s="34">
        <v>4502318592</v>
      </c>
      <c r="L966" s="19">
        <v>5081646173</v>
      </c>
      <c r="M966" s="20">
        <v>5113291302</v>
      </c>
      <c r="N966" s="23"/>
      <c r="O966" s="9"/>
      <c r="P966" s="23" t="s">
        <v>1344</v>
      </c>
      <c r="Q966" s="24" t="s">
        <v>31</v>
      </c>
      <c r="R966" s="25">
        <v>44682</v>
      </c>
      <c r="S966" s="28"/>
      <c r="T966" s="35"/>
      <c r="U966" s="35"/>
      <c r="V966" s="29"/>
      <c r="W966" s="35"/>
      <c r="X966" s="29"/>
      <c r="Y966" s="36"/>
      <c r="Z966" s="29"/>
      <c r="AA966" s="31">
        <f t="shared" si="1"/>
        <v>44682</v>
      </c>
      <c r="AB966" s="32" t="str">
        <f t="shared" si="5"/>
        <v>mayo</v>
      </c>
    </row>
    <row r="967" spans="1:28" ht="12.75">
      <c r="A967" s="9" t="s">
        <v>28</v>
      </c>
      <c r="B967" s="10">
        <v>44684</v>
      </c>
      <c r="C967" s="11">
        <v>44685</v>
      </c>
      <c r="D967" s="49">
        <v>18</v>
      </c>
      <c r="E967" s="13" t="s">
        <v>1345</v>
      </c>
      <c r="F967" s="13">
        <v>3025457</v>
      </c>
      <c r="G967" s="14">
        <v>44425</v>
      </c>
      <c r="H967" s="15">
        <v>8400</v>
      </c>
      <c r="I967" s="16">
        <f t="shared" ref="I967:I968" si="141">H967*G967</f>
        <v>373170000</v>
      </c>
      <c r="J967" s="17">
        <v>84</v>
      </c>
      <c r="K967" s="34">
        <v>4502322676</v>
      </c>
      <c r="L967" s="19">
        <v>5081664075</v>
      </c>
      <c r="M967" s="20">
        <v>5113280165</v>
      </c>
      <c r="N967" s="23" t="s">
        <v>37</v>
      </c>
      <c r="O967" s="22" t="s">
        <v>1346</v>
      </c>
      <c r="P967" s="9" t="s">
        <v>37</v>
      </c>
      <c r="Q967" s="24" t="s">
        <v>31</v>
      </c>
      <c r="R967" s="25">
        <v>44683</v>
      </c>
      <c r="S967" s="28" t="s">
        <v>1347</v>
      </c>
      <c r="T967" s="99">
        <v>16906100</v>
      </c>
      <c r="U967" s="28" t="s">
        <v>1348</v>
      </c>
      <c r="V967" s="29">
        <v>5113280151</v>
      </c>
      <c r="W967" s="28" t="s">
        <v>1349</v>
      </c>
      <c r="X967" s="29">
        <v>5113281718</v>
      </c>
      <c r="Y967" s="30" t="s">
        <v>1350</v>
      </c>
      <c r="Z967" s="29">
        <v>5113280152</v>
      </c>
      <c r="AA967" s="31">
        <f t="shared" si="1"/>
        <v>44683</v>
      </c>
      <c r="AB967" s="32" t="str">
        <f t="shared" si="5"/>
        <v>mayo</v>
      </c>
    </row>
    <row r="968" spans="1:28" ht="12.75">
      <c r="A968" s="9" t="s">
        <v>404</v>
      </c>
      <c r="B968" s="10">
        <v>44684</v>
      </c>
      <c r="C968" s="11">
        <v>44685</v>
      </c>
      <c r="D968" s="49">
        <v>18</v>
      </c>
      <c r="E968" s="13" t="s">
        <v>1351</v>
      </c>
      <c r="F968" s="13">
        <v>3025457</v>
      </c>
      <c r="G968" s="37">
        <v>5818.5</v>
      </c>
      <c r="H968" s="33">
        <v>9400</v>
      </c>
      <c r="I968" s="16">
        <f t="shared" si="141"/>
        <v>54693900</v>
      </c>
      <c r="J968" s="17">
        <v>14</v>
      </c>
      <c r="K968" s="34">
        <v>4502318593</v>
      </c>
      <c r="L968" s="19">
        <v>5081662403</v>
      </c>
      <c r="M968" s="20">
        <v>5113280821</v>
      </c>
      <c r="N968" s="23"/>
      <c r="O968" s="9" t="s">
        <v>37</v>
      </c>
      <c r="P968" s="23"/>
      <c r="Q968" s="24" t="s">
        <v>31</v>
      </c>
      <c r="R968" s="25">
        <v>44683</v>
      </c>
      <c r="S968" s="28"/>
      <c r="T968" s="35"/>
      <c r="U968" s="35"/>
      <c r="V968" s="29"/>
      <c r="W968" s="35"/>
      <c r="X968" s="29"/>
      <c r="Y968" s="36"/>
      <c r="Z968" s="29"/>
      <c r="AA968" s="31">
        <f t="shared" si="1"/>
        <v>44683</v>
      </c>
      <c r="AB968" s="32" t="str">
        <f t="shared" si="5"/>
        <v>mayo</v>
      </c>
    </row>
    <row r="969" spans="1:28" ht="12.75">
      <c r="A969" s="9" t="s">
        <v>404</v>
      </c>
      <c r="B969" s="10">
        <v>44685</v>
      </c>
      <c r="C969" s="11">
        <v>44685</v>
      </c>
      <c r="D969" s="49">
        <v>18</v>
      </c>
      <c r="E969" s="13" t="s">
        <v>69</v>
      </c>
      <c r="F969" s="13">
        <v>3025457</v>
      </c>
      <c r="G969" s="37">
        <v>5818.5</v>
      </c>
      <c r="H969" s="33">
        <f>9400-9374.68</f>
        <v>25.319999999999709</v>
      </c>
      <c r="I969" s="16">
        <f>-H969*G969</f>
        <v>-147324.4199999983</v>
      </c>
      <c r="J969" s="17">
        <v>0</v>
      </c>
      <c r="K969" s="34">
        <v>4502318593</v>
      </c>
      <c r="L969" s="19">
        <v>5081662403</v>
      </c>
      <c r="M969" s="20">
        <v>5113280822</v>
      </c>
      <c r="N969" s="23"/>
      <c r="O969" s="9"/>
      <c r="P969" s="23"/>
      <c r="Q969" s="24" t="s">
        <v>31</v>
      </c>
      <c r="R969" s="25">
        <v>44683</v>
      </c>
      <c r="S969" s="28"/>
      <c r="T969" s="35"/>
      <c r="U969" s="35"/>
      <c r="V969" s="29"/>
      <c r="W969" s="35"/>
      <c r="X969" s="29"/>
      <c r="Y969" s="36"/>
      <c r="Z969" s="29"/>
      <c r="AA969" s="31">
        <f t="shared" si="1"/>
        <v>44683</v>
      </c>
      <c r="AB969" s="32" t="str">
        <f t="shared" si="5"/>
        <v>mayo</v>
      </c>
    </row>
    <row r="970" spans="1:28" ht="12.75">
      <c r="A970" s="9" t="s">
        <v>264</v>
      </c>
      <c r="B970" s="10">
        <v>44684</v>
      </c>
      <c r="C970" s="11">
        <v>44684</v>
      </c>
      <c r="D970" s="49">
        <v>18</v>
      </c>
      <c r="E970" s="13" t="s">
        <v>1352</v>
      </c>
      <c r="F970" s="13">
        <v>3025459</v>
      </c>
      <c r="G970" s="14">
        <v>13506</v>
      </c>
      <c r="H970" s="15">
        <v>8700</v>
      </c>
      <c r="I970" s="16">
        <f t="shared" ref="I970:I971" si="142">H970*G970</f>
        <v>117502200</v>
      </c>
      <c r="J970" s="17">
        <v>28</v>
      </c>
      <c r="K970" s="34">
        <v>4502322064</v>
      </c>
      <c r="L970" s="19">
        <v>5081650048</v>
      </c>
      <c r="M970" s="20">
        <v>5113280704</v>
      </c>
      <c r="N970" s="9" t="s">
        <v>63</v>
      </c>
      <c r="O970" s="22" t="s">
        <v>1353</v>
      </c>
      <c r="P970" s="23"/>
      <c r="Q970" s="24" t="s">
        <v>31</v>
      </c>
      <c r="R970" s="25">
        <v>44683</v>
      </c>
      <c r="S970" s="28">
        <v>4902260416</v>
      </c>
      <c r="T970" s="35">
        <f>920000*2</f>
        <v>1840000</v>
      </c>
      <c r="U970" s="28" t="s">
        <v>1354</v>
      </c>
      <c r="V970" s="29">
        <v>5113279884</v>
      </c>
      <c r="W970" s="35"/>
      <c r="X970" s="29"/>
      <c r="Y970" s="36"/>
      <c r="Z970" s="29"/>
      <c r="AA970" s="31">
        <f t="shared" si="1"/>
        <v>44683</v>
      </c>
      <c r="AB970" s="32" t="str">
        <f t="shared" si="5"/>
        <v>mayo</v>
      </c>
    </row>
    <row r="971" spans="1:28" ht="12.75">
      <c r="A971" s="9" t="s">
        <v>274</v>
      </c>
      <c r="B971" s="10">
        <v>44686</v>
      </c>
      <c r="C971" s="11">
        <v>44686</v>
      </c>
      <c r="D971" s="49">
        <v>18</v>
      </c>
      <c r="E971" s="13" t="s">
        <v>1355</v>
      </c>
      <c r="F971" s="13">
        <v>3025459</v>
      </c>
      <c r="G971" s="14">
        <v>13512</v>
      </c>
      <c r="H971" s="33">
        <v>9100</v>
      </c>
      <c r="I971" s="16">
        <f t="shared" si="142"/>
        <v>122959200</v>
      </c>
      <c r="J971" s="17">
        <v>28</v>
      </c>
      <c r="K971" s="34">
        <v>4502318594</v>
      </c>
      <c r="L971" s="19">
        <v>5081662404</v>
      </c>
      <c r="M971" s="20">
        <v>5113283144</v>
      </c>
      <c r="N971" s="23"/>
      <c r="O971" s="9" t="s">
        <v>63</v>
      </c>
      <c r="P971" s="23"/>
      <c r="Q971" s="24" t="s">
        <v>31</v>
      </c>
      <c r="R971" s="25">
        <v>44683</v>
      </c>
      <c r="S971" s="28"/>
      <c r="T971" s="35"/>
      <c r="U971" s="35"/>
      <c r="V971" s="29"/>
      <c r="W971" s="35"/>
      <c r="X971" s="29"/>
      <c r="Y971" s="36"/>
      <c r="Z971" s="29"/>
      <c r="AA971" s="31">
        <f t="shared" si="1"/>
        <v>44683</v>
      </c>
      <c r="AB971" s="32" t="str">
        <f t="shared" si="5"/>
        <v>mayo</v>
      </c>
    </row>
    <row r="972" spans="1:28" ht="12.75">
      <c r="A972" s="9" t="s">
        <v>274</v>
      </c>
      <c r="B972" s="10">
        <v>44686</v>
      </c>
      <c r="C972" s="11">
        <v>44686</v>
      </c>
      <c r="D972" s="60">
        <v>18</v>
      </c>
      <c r="E972" s="61" t="s">
        <v>1356</v>
      </c>
      <c r="F972" s="13">
        <v>3025459</v>
      </c>
      <c r="G972" s="62">
        <v>13512</v>
      </c>
      <c r="H972" s="61">
        <v>50</v>
      </c>
      <c r="I972" s="64">
        <f>-H972*G972</f>
        <v>-675600</v>
      </c>
      <c r="J972" s="65">
        <v>0</v>
      </c>
      <c r="K972" s="66">
        <v>4502318594</v>
      </c>
      <c r="L972" s="61">
        <v>5081662404</v>
      </c>
      <c r="M972" s="20">
        <v>5113283146</v>
      </c>
      <c r="N972" s="23"/>
      <c r="O972" s="67"/>
      <c r="P972" s="68"/>
      <c r="Q972" s="24" t="s">
        <v>31</v>
      </c>
      <c r="R972" s="74">
        <v>44683</v>
      </c>
      <c r="S972" s="75"/>
      <c r="T972" s="69"/>
      <c r="U972" s="70"/>
      <c r="V972" s="68"/>
      <c r="W972" s="70"/>
      <c r="X972" s="68"/>
      <c r="Y972" s="71"/>
      <c r="Z972" s="68"/>
      <c r="AA972" s="72">
        <f t="shared" si="1"/>
        <v>44683</v>
      </c>
      <c r="AB972" s="32" t="str">
        <f t="shared" si="5"/>
        <v>mayo</v>
      </c>
    </row>
    <row r="973" spans="1:28" ht="12.75">
      <c r="A973" s="9" t="s">
        <v>39</v>
      </c>
      <c r="B973" s="10">
        <v>44684</v>
      </c>
      <c r="C973" s="11">
        <v>44686</v>
      </c>
      <c r="D973" s="49">
        <v>18</v>
      </c>
      <c r="E973" s="13" t="s">
        <v>1357</v>
      </c>
      <c r="F973" s="13">
        <v>3025457</v>
      </c>
      <c r="G973" s="14">
        <v>6009</v>
      </c>
      <c r="H973" s="33">
        <v>9400</v>
      </c>
      <c r="I973" s="16">
        <f t="shared" ref="I973:I974" si="143">H973*G973</f>
        <v>56484600</v>
      </c>
      <c r="J973" s="17">
        <v>14</v>
      </c>
      <c r="K973" s="34">
        <v>4502318595</v>
      </c>
      <c r="L973" s="19">
        <v>5081662405</v>
      </c>
      <c r="M973" s="20">
        <v>5113286352</v>
      </c>
      <c r="N973" s="23"/>
      <c r="O973" s="9" t="s">
        <v>37</v>
      </c>
      <c r="P973" s="23"/>
      <c r="Q973" s="24" t="s">
        <v>31</v>
      </c>
      <c r="R973" s="25">
        <v>44684</v>
      </c>
      <c r="S973" s="28"/>
      <c r="T973" s="35"/>
      <c r="U973" s="35"/>
      <c r="V973" s="29"/>
      <c r="W973" s="35"/>
      <c r="X973" s="29"/>
      <c r="Y973" s="36"/>
      <c r="Z973" s="29"/>
      <c r="AA973" s="31">
        <f t="shared" si="1"/>
        <v>44684</v>
      </c>
      <c r="AB973" s="32" t="str">
        <f t="shared" si="5"/>
        <v>mayo</v>
      </c>
    </row>
    <row r="974" spans="1:28" ht="12.75">
      <c r="A974" s="9" t="s">
        <v>39</v>
      </c>
      <c r="B974" s="10">
        <v>44684</v>
      </c>
      <c r="C974" s="11">
        <v>44686</v>
      </c>
      <c r="D974" s="49">
        <v>18</v>
      </c>
      <c r="E974" s="13" t="s">
        <v>1357</v>
      </c>
      <c r="F974" s="13">
        <v>3025457</v>
      </c>
      <c r="G974" s="14">
        <v>12618</v>
      </c>
      <c r="H974" s="33">
        <v>9400</v>
      </c>
      <c r="I974" s="16">
        <f t="shared" si="143"/>
        <v>118609200</v>
      </c>
      <c r="J974" s="17">
        <v>29</v>
      </c>
      <c r="K974" s="34">
        <v>4502322215</v>
      </c>
      <c r="L974" s="19">
        <v>5081662405</v>
      </c>
      <c r="M974" s="20">
        <v>5113286352</v>
      </c>
      <c r="N974" s="23"/>
      <c r="O974" s="9" t="s">
        <v>37</v>
      </c>
      <c r="P974" s="23"/>
      <c r="Q974" s="24" t="s">
        <v>31</v>
      </c>
      <c r="R974" s="25">
        <v>44684</v>
      </c>
      <c r="S974" s="28"/>
      <c r="T974" s="35"/>
      <c r="U974" s="35"/>
      <c r="V974" s="29"/>
      <c r="W974" s="35"/>
      <c r="X974" s="29"/>
      <c r="Y974" s="36"/>
      <c r="Z974" s="29"/>
      <c r="AA974" s="31">
        <f t="shared" si="1"/>
        <v>44684</v>
      </c>
      <c r="AB974" s="32" t="str">
        <f t="shared" si="5"/>
        <v>mayo</v>
      </c>
    </row>
    <row r="975" spans="1:28" ht="12.75">
      <c r="A975" s="9" t="s">
        <v>39</v>
      </c>
      <c r="B975" s="10">
        <v>44686</v>
      </c>
      <c r="C975" s="11">
        <v>44686</v>
      </c>
      <c r="D975" s="49">
        <v>18</v>
      </c>
      <c r="E975" s="13" t="s">
        <v>391</v>
      </c>
      <c r="F975" s="13">
        <v>3025457</v>
      </c>
      <c r="G975" s="14">
        <v>18627</v>
      </c>
      <c r="H975" s="33">
        <f>9400-9332.63</f>
        <v>67.3700000000008</v>
      </c>
      <c r="I975" s="16">
        <f>-H975*G975</f>
        <v>-1254900.9900000149</v>
      </c>
      <c r="J975" s="17">
        <v>0</v>
      </c>
      <c r="K975" s="34">
        <v>4502322215</v>
      </c>
      <c r="L975" s="19">
        <v>5081662405</v>
      </c>
      <c r="M975" s="20">
        <v>5113286353</v>
      </c>
      <c r="N975" s="23"/>
      <c r="O975" s="9"/>
      <c r="P975" s="23"/>
      <c r="Q975" s="24" t="s">
        <v>31</v>
      </c>
      <c r="R975" s="25">
        <v>44684</v>
      </c>
      <c r="S975" s="28"/>
      <c r="T975" s="35"/>
      <c r="U975" s="35"/>
      <c r="V975" s="29"/>
      <c r="W975" s="35"/>
      <c r="X975" s="29"/>
      <c r="Y975" s="36"/>
      <c r="Z975" s="29"/>
      <c r="AA975" s="31">
        <f t="shared" si="1"/>
        <v>44684</v>
      </c>
      <c r="AB975" s="32" t="str">
        <f t="shared" si="5"/>
        <v>mayo</v>
      </c>
    </row>
    <row r="976" spans="1:28" ht="12.75">
      <c r="A976" s="9" t="s">
        <v>301</v>
      </c>
      <c r="B976" s="10">
        <v>44690</v>
      </c>
      <c r="C976" s="11">
        <v>44690</v>
      </c>
      <c r="D976" s="49">
        <v>18</v>
      </c>
      <c r="E976" s="13" t="s">
        <v>1358</v>
      </c>
      <c r="F976" s="13">
        <v>3025457</v>
      </c>
      <c r="G976" s="14">
        <v>6552</v>
      </c>
      <c r="H976" s="33">
        <v>8800</v>
      </c>
      <c r="I976" s="16">
        <f t="shared" ref="I976:I985" si="144">H976*G976</f>
        <v>57657600</v>
      </c>
      <c r="J976" s="17">
        <v>15</v>
      </c>
      <c r="K976" s="34">
        <v>4502318596</v>
      </c>
      <c r="L976" s="19">
        <v>5081679218</v>
      </c>
      <c r="M976" s="20">
        <v>5113288949</v>
      </c>
      <c r="N976" s="23"/>
      <c r="O976" s="9" t="s">
        <v>63</v>
      </c>
      <c r="P976" s="23"/>
      <c r="Q976" s="24" t="s">
        <v>31</v>
      </c>
      <c r="R976" s="25">
        <v>44684</v>
      </c>
      <c r="S976" s="28"/>
      <c r="T976" s="35"/>
      <c r="U976" s="35"/>
      <c r="V976" s="29"/>
      <c r="W976" s="35"/>
      <c r="X976" s="29"/>
      <c r="Y976" s="36"/>
      <c r="Z976" s="29"/>
      <c r="AA976" s="31">
        <f t="shared" si="1"/>
        <v>44684</v>
      </c>
      <c r="AB976" s="32" t="str">
        <f t="shared" si="5"/>
        <v>mayo</v>
      </c>
    </row>
    <row r="977" spans="1:28" ht="12.75">
      <c r="A977" s="9" t="s">
        <v>54</v>
      </c>
      <c r="B977" s="10">
        <v>44686</v>
      </c>
      <c r="C977" s="11">
        <v>44686</v>
      </c>
      <c r="D977" s="49">
        <v>18</v>
      </c>
      <c r="E977" s="13" t="s">
        <v>1359</v>
      </c>
      <c r="F977" s="13">
        <v>3025457</v>
      </c>
      <c r="G977" s="14">
        <v>14313</v>
      </c>
      <c r="H977" s="15">
        <v>8200</v>
      </c>
      <c r="I977" s="16">
        <f t="shared" si="144"/>
        <v>117366600</v>
      </c>
      <c r="J977" s="17">
        <v>29</v>
      </c>
      <c r="K977" s="34">
        <v>4502323181</v>
      </c>
      <c r="L977" s="19">
        <v>5081678675</v>
      </c>
      <c r="M977" s="20">
        <v>5113282572</v>
      </c>
      <c r="N977" s="9" t="s">
        <v>63</v>
      </c>
      <c r="O977" s="22" t="s">
        <v>343</v>
      </c>
      <c r="Q977" s="24" t="s">
        <v>31</v>
      </c>
      <c r="R977" s="25">
        <v>44684</v>
      </c>
      <c r="S977" s="28">
        <v>4902258592</v>
      </c>
      <c r="T977" s="35">
        <f>2979200*2</f>
        <v>5958400</v>
      </c>
      <c r="U977" s="28" t="s">
        <v>1360</v>
      </c>
      <c r="V977" s="29">
        <v>5113281623</v>
      </c>
      <c r="W977" s="35"/>
      <c r="X977" s="29"/>
      <c r="Y977" s="36"/>
      <c r="Z977" s="29"/>
      <c r="AA977" s="31">
        <f t="shared" si="1"/>
        <v>44684</v>
      </c>
      <c r="AB977" s="32" t="str">
        <f t="shared" si="5"/>
        <v>mayo</v>
      </c>
    </row>
    <row r="978" spans="1:28" ht="12.75">
      <c r="A978" s="45" t="s">
        <v>145</v>
      </c>
      <c r="B978" s="10">
        <v>44687</v>
      </c>
      <c r="C978" s="11">
        <v>44660</v>
      </c>
      <c r="D978" s="49">
        <v>18</v>
      </c>
      <c r="E978" s="13" t="s">
        <v>1361</v>
      </c>
      <c r="F978" s="13">
        <v>3025457</v>
      </c>
      <c r="G978" s="37">
        <v>6427.5</v>
      </c>
      <c r="H978" s="33">
        <v>8800</v>
      </c>
      <c r="I978" s="16">
        <f t="shared" si="144"/>
        <v>56562000</v>
      </c>
      <c r="J978" s="17">
        <v>14</v>
      </c>
      <c r="K978" s="34">
        <v>4502318597</v>
      </c>
      <c r="L978" s="19">
        <v>5081679220</v>
      </c>
      <c r="M978" s="20">
        <v>5113288145</v>
      </c>
      <c r="N978" s="44"/>
      <c r="O978" s="23" t="s">
        <v>37</v>
      </c>
      <c r="P978" s="23"/>
      <c r="Q978" s="24" t="s">
        <v>31</v>
      </c>
      <c r="R978" s="25">
        <v>44684</v>
      </c>
      <c r="S978" s="28"/>
      <c r="T978" s="35"/>
      <c r="U978" s="35"/>
      <c r="V978" s="29"/>
      <c r="W978" s="35"/>
      <c r="X978" s="29"/>
      <c r="Y978" s="36"/>
      <c r="Z978" s="29"/>
      <c r="AA978" s="31">
        <f t="shared" si="1"/>
        <v>44684</v>
      </c>
      <c r="AB978" s="32" t="str">
        <f t="shared" si="5"/>
        <v>mayo</v>
      </c>
    </row>
    <row r="979" spans="1:28" ht="12.75">
      <c r="A979" s="45" t="s">
        <v>145</v>
      </c>
      <c r="B979" s="10">
        <v>44687</v>
      </c>
      <c r="C979" s="11"/>
      <c r="D979" s="49">
        <v>18</v>
      </c>
      <c r="E979" s="13" t="s">
        <v>1362</v>
      </c>
      <c r="F979" s="13">
        <v>3025457</v>
      </c>
      <c r="G979" s="37">
        <v>6427.5</v>
      </c>
      <c r="H979" s="33">
        <v>50</v>
      </c>
      <c r="I979" s="16">
        <f t="shared" si="144"/>
        <v>321375</v>
      </c>
      <c r="J979" s="17">
        <v>0</v>
      </c>
      <c r="K979" s="34">
        <v>4502318597</v>
      </c>
      <c r="L979" s="19">
        <v>5081679220</v>
      </c>
      <c r="M979" s="20">
        <v>5113288197</v>
      </c>
      <c r="N979" s="23"/>
      <c r="O979" s="9"/>
      <c r="P979" s="23"/>
      <c r="Q979" s="24" t="s">
        <v>31</v>
      </c>
      <c r="R979" s="25">
        <v>44684</v>
      </c>
      <c r="S979" s="28"/>
      <c r="T979" s="35"/>
      <c r="U979" s="35"/>
      <c r="V979" s="29"/>
      <c r="W979" s="35"/>
      <c r="X979" s="29"/>
      <c r="Y979" s="36"/>
      <c r="Z979" s="29"/>
      <c r="AA979" s="31">
        <f t="shared" si="1"/>
        <v>44684</v>
      </c>
      <c r="AB979" s="32" t="str">
        <f t="shared" si="5"/>
        <v>mayo</v>
      </c>
    </row>
    <row r="980" spans="1:28" ht="12.75">
      <c r="A980" s="9" t="s">
        <v>215</v>
      </c>
      <c r="B980" s="10">
        <v>44687</v>
      </c>
      <c r="C980" s="11"/>
      <c r="D980" s="49">
        <v>18</v>
      </c>
      <c r="E980" s="13" t="s">
        <v>1363</v>
      </c>
      <c r="F980" s="13">
        <v>3025457</v>
      </c>
      <c r="G980" s="37">
        <v>20560.5</v>
      </c>
      <c r="H980" s="33">
        <v>8900</v>
      </c>
      <c r="I980" s="16">
        <f t="shared" si="144"/>
        <v>182988450</v>
      </c>
      <c r="J980" s="17">
        <v>42</v>
      </c>
      <c r="K980" s="34">
        <v>4502318598</v>
      </c>
      <c r="L980" s="19">
        <v>5081679223</v>
      </c>
      <c r="M980" s="20">
        <v>5113291310</v>
      </c>
      <c r="N980" s="23"/>
      <c r="O980" s="9" t="s">
        <v>37</v>
      </c>
      <c r="P980" s="23"/>
      <c r="Q980" s="24" t="s">
        <v>31</v>
      </c>
      <c r="R980" s="25">
        <v>44684</v>
      </c>
      <c r="S980" s="28"/>
      <c r="T980" s="35"/>
      <c r="U980" s="35"/>
      <c r="V980" s="29"/>
      <c r="W980" s="35"/>
      <c r="X980" s="29"/>
      <c r="Y980" s="36"/>
      <c r="Z980" s="29"/>
      <c r="AA980" s="31">
        <f t="shared" si="1"/>
        <v>44684</v>
      </c>
      <c r="AB980" s="32" t="str">
        <f t="shared" si="5"/>
        <v>mayo</v>
      </c>
    </row>
    <row r="981" spans="1:28" ht="12.75">
      <c r="A981" s="9" t="s">
        <v>215</v>
      </c>
      <c r="B981" s="10">
        <v>44687</v>
      </c>
      <c r="C981" s="11">
        <v>44691</v>
      </c>
      <c r="D981" s="49">
        <v>18</v>
      </c>
      <c r="E981" s="13" t="s">
        <v>1364</v>
      </c>
      <c r="F981" s="13">
        <v>3025457</v>
      </c>
      <c r="G981" s="37">
        <v>20560.5</v>
      </c>
      <c r="H981" s="33">
        <v>50</v>
      </c>
      <c r="I981" s="16">
        <f t="shared" si="144"/>
        <v>1028025</v>
      </c>
      <c r="J981" s="17">
        <v>0</v>
      </c>
      <c r="K981" s="34">
        <v>4502318598</v>
      </c>
      <c r="L981" s="19">
        <v>5081679223</v>
      </c>
      <c r="M981" s="20">
        <v>5113291653</v>
      </c>
      <c r="N981" s="23"/>
      <c r="O981" s="9"/>
      <c r="P981" s="23" t="s">
        <v>1365</v>
      </c>
      <c r="Q981" s="24" t="s">
        <v>31</v>
      </c>
      <c r="R981" s="25">
        <v>44684</v>
      </c>
      <c r="S981" s="28"/>
      <c r="T981" s="35"/>
      <c r="U981" s="35"/>
      <c r="V981" s="29"/>
      <c r="W981" s="35"/>
      <c r="X981" s="29"/>
      <c r="Y981" s="36"/>
      <c r="Z981" s="29"/>
      <c r="AA981" s="31">
        <f t="shared" si="1"/>
        <v>44684</v>
      </c>
      <c r="AB981" s="32" t="str">
        <f t="shared" si="5"/>
        <v>mayo</v>
      </c>
    </row>
    <row r="982" spans="1:28" ht="12.75">
      <c r="A982" s="9" t="s">
        <v>976</v>
      </c>
      <c r="B982" s="10">
        <v>44684</v>
      </c>
      <c r="C982" s="11">
        <v>44686</v>
      </c>
      <c r="D982" s="49">
        <v>18</v>
      </c>
      <c r="E982" s="13" t="s">
        <v>1366</v>
      </c>
      <c r="F982" s="13">
        <v>3025459</v>
      </c>
      <c r="G982" s="14">
        <v>15326</v>
      </c>
      <c r="H982" s="15">
        <v>7900</v>
      </c>
      <c r="I982" s="16">
        <f t="shared" si="144"/>
        <v>121075400</v>
      </c>
      <c r="J982" s="17">
        <v>28</v>
      </c>
      <c r="K982" s="34">
        <v>4502323184</v>
      </c>
      <c r="L982" s="19">
        <v>5081681515</v>
      </c>
      <c r="M982" s="20">
        <v>5113282303</v>
      </c>
      <c r="N982" s="23" t="s">
        <v>37</v>
      </c>
      <c r="O982" s="22" t="s">
        <v>1367</v>
      </c>
      <c r="P982" s="23" t="s">
        <v>1368</v>
      </c>
      <c r="Q982" s="24" t="s">
        <v>31</v>
      </c>
      <c r="R982" s="25">
        <v>44684</v>
      </c>
      <c r="S982" s="28">
        <v>4902262486</v>
      </c>
      <c r="T982" s="35">
        <f>3562300*2</f>
        <v>7124600</v>
      </c>
      <c r="U982" s="28" t="s">
        <v>1369</v>
      </c>
      <c r="V982" s="29">
        <v>5113291382</v>
      </c>
      <c r="W982" s="35"/>
      <c r="X982" s="29"/>
      <c r="Y982" s="36"/>
      <c r="Z982" s="29"/>
      <c r="AA982" s="31">
        <f t="shared" si="1"/>
        <v>44684</v>
      </c>
      <c r="AB982" s="32" t="str">
        <f t="shared" si="5"/>
        <v>mayo</v>
      </c>
    </row>
    <row r="983" spans="1:28" ht="12.75">
      <c r="A983" s="22" t="s">
        <v>996</v>
      </c>
      <c r="B983" s="10">
        <v>44684</v>
      </c>
      <c r="C983" s="11">
        <v>44687</v>
      </c>
      <c r="D983" s="49">
        <v>18</v>
      </c>
      <c r="E983" s="13" t="s">
        <v>1370</v>
      </c>
      <c r="F983" s="13">
        <v>3025459</v>
      </c>
      <c r="G983" s="37">
        <v>12858.5</v>
      </c>
      <c r="H983" s="33">
        <v>9400</v>
      </c>
      <c r="I983" s="16">
        <f t="shared" si="144"/>
        <v>120869900</v>
      </c>
      <c r="J983" s="17">
        <v>28</v>
      </c>
      <c r="K983" s="34">
        <v>4502319729</v>
      </c>
      <c r="L983" s="19">
        <v>5081679224</v>
      </c>
      <c r="M983" s="20">
        <v>5113284818</v>
      </c>
      <c r="N983" s="23"/>
      <c r="O983" s="23" t="s">
        <v>37</v>
      </c>
      <c r="P983" s="23"/>
      <c r="Q983" s="24" t="s">
        <v>31</v>
      </c>
      <c r="R983" s="25">
        <v>44684</v>
      </c>
      <c r="S983" s="28"/>
      <c r="T983" s="35"/>
      <c r="U983" s="35"/>
      <c r="V983" s="29"/>
      <c r="W983" s="35"/>
      <c r="X983" s="29"/>
      <c r="Y983" s="36"/>
      <c r="Z983" s="29"/>
      <c r="AA983" s="31">
        <f t="shared" si="1"/>
        <v>44684</v>
      </c>
      <c r="AB983" s="32" t="str">
        <f t="shared" si="5"/>
        <v>mayo</v>
      </c>
    </row>
    <row r="984" spans="1:28" ht="12.75">
      <c r="A984" s="9" t="s">
        <v>58</v>
      </c>
      <c r="B984" s="10">
        <v>44687</v>
      </c>
      <c r="C984" s="11">
        <v>44687</v>
      </c>
      <c r="D984" s="49">
        <v>18</v>
      </c>
      <c r="E984" s="13" t="s">
        <v>1371</v>
      </c>
      <c r="F984" s="13">
        <v>3025457</v>
      </c>
      <c r="G984" s="14">
        <v>5261</v>
      </c>
      <c r="H984" s="57">
        <v>7700</v>
      </c>
      <c r="I984" s="16">
        <f t="shared" si="144"/>
        <v>40509700</v>
      </c>
      <c r="J984" s="17">
        <v>20</v>
      </c>
      <c r="K984" s="34">
        <v>4502324889</v>
      </c>
      <c r="L984" s="19">
        <v>5081713084</v>
      </c>
      <c r="M984" s="20">
        <v>5113291265</v>
      </c>
      <c r="N984" s="23"/>
      <c r="O984" s="9" t="s">
        <v>37</v>
      </c>
      <c r="P984" s="23"/>
      <c r="Q984" s="24" t="s">
        <v>357</v>
      </c>
      <c r="R984" s="25">
        <v>44685</v>
      </c>
      <c r="S984" s="28"/>
      <c r="T984" s="35"/>
      <c r="U984" s="35"/>
      <c r="V984" s="29"/>
      <c r="W984" s="35"/>
      <c r="X984" s="29"/>
      <c r="Y984" s="36"/>
      <c r="Z984" s="29"/>
      <c r="AA984" s="31">
        <f t="shared" si="1"/>
        <v>44685</v>
      </c>
      <c r="AB984" s="32" t="str">
        <f t="shared" si="5"/>
        <v>mayo</v>
      </c>
    </row>
    <row r="985" spans="1:28" ht="12.75">
      <c r="A985" s="9" t="s">
        <v>1102</v>
      </c>
      <c r="B985" s="10">
        <v>44691</v>
      </c>
      <c r="C985" s="11">
        <v>44691</v>
      </c>
      <c r="D985" s="53">
        <v>19</v>
      </c>
      <c r="E985" s="100" t="s">
        <v>1372</v>
      </c>
      <c r="F985" s="13">
        <v>3025459</v>
      </c>
      <c r="G985" s="14">
        <v>19070</v>
      </c>
      <c r="H985" s="33">
        <v>9400</v>
      </c>
      <c r="I985" s="16">
        <f t="shared" si="144"/>
        <v>179258000</v>
      </c>
      <c r="J985" s="17">
        <v>45</v>
      </c>
      <c r="K985" s="34">
        <v>4502323572</v>
      </c>
      <c r="L985" s="19">
        <v>5081712908</v>
      </c>
      <c r="M985" s="20">
        <v>5113291269</v>
      </c>
      <c r="N985" s="23"/>
      <c r="O985" s="9" t="s">
        <v>37</v>
      </c>
      <c r="P985" s="23" t="s">
        <v>1373</v>
      </c>
      <c r="Q985" s="24" t="s">
        <v>31</v>
      </c>
      <c r="R985" s="25">
        <v>44686</v>
      </c>
      <c r="S985" s="28"/>
      <c r="T985" s="35"/>
      <c r="U985" s="35"/>
      <c r="V985" s="29"/>
      <c r="W985" s="35"/>
      <c r="X985" s="29"/>
      <c r="Y985" s="36"/>
      <c r="Z985" s="29"/>
      <c r="AA985" s="31">
        <f t="shared" si="1"/>
        <v>44686</v>
      </c>
      <c r="AB985" s="32" t="str">
        <f t="shared" si="5"/>
        <v>mayo</v>
      </c>
    </row>
    <row r="986" spans="1:28" ht="12.75">
      <c r="A986" s="9" t="s">
        <v>1102</v>
      </c>
      <c r="B986" s="10">
        <v>44691</v>
      </c>
      <c r="C986" s="11">
        <v>44691</v>
      </c>
      <c r="D986" s="53">
        <v>19</v>
      </c>
      <c r="E986" s="100" t="s">
        <v>1374</v>
      </c>
      <c r="F986" s="13">
        <v>3025459</v>
      </c>
      <c r="G986" s="14">
        <v>19070</v>
      </c>
      <c r="H986" s="33">
        <f>9400-9379.98</f>
        <v>20.020000000000437</v>
      </c>
      <c r="I986" s="16">
        <f>-H986*G986</f>
        <v>-381781.40000000835</v>
      </c>
      <c r="J986" s="17">
        <v>0</v>
      </c>
      <c r="K986" s="34">
        <v>4502323572</v>
      </c>
      <c r="L986" s="19">
        <v>5081712908</v>
      </c>
      <c r="M986" s="20">
        <v>5113291270</v>
      </c>
      <c r="N986" s="23"/>
      <c r="O986" s="21">
        <v>179258000</v>
      </c>
      <c r="P986" s="23" t="s">
        <v>1375</v>
      </c>
      <c r="Q986" s="24" t="s">
        <v>31</v>
      </c>
      <c r="R986" s="25">
        <v>44686</v>
      </c>
      <c r="S986" s="28"/>
      <c r="T986" s="35"/>
      <c r="U986" s="35"/>
      <c r="V986" s="29"/>
      <c r="W986" s="35"/>
      <c r="X986" s="29"/>
      <c r="Y986" s="36"/>
      <c r="Z986" s="29"/>
      <c r="AA986" s="31">
        <f t="shared" si="1"/>
        <v>44686</v>
      </c>
      <c r="AB986" s="32" t="str">
        <f t="shared" si="5"/>
        <v>mayo</v>
      </c>
    </row>
    <row r="987" spans="1:28" ht="12.75">
      <c r="A987" s="9" t="s">
        <v>233</v>
      </c>
      <c r="B987" s="10">
        <v>44686</v>
      </c>
      <c r="C987" s="11"/>
      <c r="D987" s="53">
        <v>19</v>
      </c>
      <c r="E987" s="13" t="s">
        <v>1376</v>
      </c>
      <c r="F987" s="13">
        <v>3025457</v>
      </c>
      <c r="G987" s="14">
        <v>20289</v>
      </c>
      <c r="H987" s="33">
        <v>9050</v>
      </c>
      <c r="I987" s="16">
        <f t="shared" ref="I987:I989" si="145">H987*G987</f>
        <v>183615450</v>
      </c>
      <c r="J987" s="17">
        <v>42</v>
      </c>
      <c r="K987" s="34">
        <v>4502323573</v>
      </c>
      <c r="L987" s="19">
        <v>5081712755</v>
      </c>
      <c r="M987" s="20">
        <v>5113297566</v>
      </c>
      <c r="N987" s="23"/>
      <c r="O987" s="23" t="s">
        <v>313</v>
      </c>
      <c r="P987" s="101" t="s">
        <v>1377</v>
      </c>
      <c r="Q987" s="24" t="s">
        <v>31</v>
      </c>
      <c r="R987" s="25">
        <v>44686</v>
      </c>
      <c r="S987" s="28"/>
      <c r="T987" s="35"/>
      <c r="U987" s="35"/>
      <c r="V987" s="29"/>
      <c r="W987" s="35"/>
      <c r="X987" s="29"/>
      <c r="Y987" s="36"/>
      <c r="Z987" s="29"/>
      <c r="AA987" s="31">
        <f t="shared" si="1"/>
        <v>44686</v>
      </c>
      <c r="AB987" s="32" t="str">
        <f t="shared" si="5"/>
        <v>mayo</v>
      </c>
    </row>
    <row r="988" spans="1:28" ht="12.75">
      <c r="A988" s="9" t="s">
        <v>233</v>
      </c>
      <c r="B988" s="10">
        <v>44687</v>
      </c>
      <c r="C988" s="11">
        <v>44694</v>
      </c>
      <c r="D988" s="53">
        <v>19</v>
      </c>
      <c r="E988" s="13" t="s">
        <v>1378</v>
      </c>
      <c r="F988" s="13">
        <v>3025457</v>
      </c>
      <c r="G988" s="14">
        <v>20289</v>
      </c>
      <c r="H988" s="33">
        <v>100</v>
      </c>
      <c r="I988" s="16">
        <f t="shared" si="145"/>
        <v>2028900</v>
      </c>
      <c r="J988" s="17">
        <v>0</v>
      </c>
      <c r="K988" s="34">
        <v>4502323573</v>
      </c>
      <c r="L988" s="19">
        <v>5081712755</v>
      </c>
      <c r="M988" s="20">
        <v>5113297657</v>
      </c>
      <c r="N988" s="23"/>
      <c r="O988" s="23"/>
      <c r="P988" s="23"/>
      <c r="Q988" s="24" t="s">
        <v>31</v>
      </c>
      <c r="R988" s="25">
        <v>44686</v>
      </c>
      <c r="S988" s="28"/>
      <c r="T988" s="35"/>
      <c r="U988" s="35"/>
      <c r="V988" s="29"/>
      <c r="W988" s="35"/>
      <c r="X988" s="29"/>
      <c r="Y988" s="36"/>
      <c r="Z988" s="29"/>
      <c r="AA988" s="31">
        <f t="shared" si="1"/>
        <v>44686</v>
      </c>
      <c r="AB988" s="32" t="str">
        <f t="shared" si="5"/>
        <v>mayo</v>
      </c>
    </row>
    <row r="989" spans="1:28" ht="12.75">
      <c r="A989" s="9" t="s">
        <v>949</v>
      </c>
      <c r="B989" s="10">
        <v>44690</v>
      </c>
      <c r="C989" s="11"/>
      <c r="D989" s="53">
        <v>19</v>
      </c>
      <c r="E989" s="13" t="s">
        <v>1379</v>
      </c>
      <c r="F989" s="13">
        <v>3025457</v>
      </c>
      <c r="G989" s="14">
        <v>21635</v>
      </c>
      <c r="H989" s="33">
        <v>8900</v>
      </c>
      <c r="I989" s="16">
        <f t="shared" si="145"/>
        <v>192551500</v>
      </c>
      <c r="J989" s="17">
        <v>44</v>
      </c>
      <c r="K989" s="34">
        <v>4502323574</v>
      </c>
      <c r="L989" s="19">
        <v>5081712756</v>
      </c>
      <c r="M989" s="20">
        <v>5113291306</v>
      </c>
      <c r="N989" s="23"/>
      <c r="O989" s="9" t="s">
        <v>37</v>
      </c>
      <c r="P989" s="44" t="s">
        <v>1380</v>
      </c>
      <c r="Q989" s="24" t="s">
        <v>31</v>
      </c>
      <c r="R989" s="25">
        <v>44686</v>
      </c>
      <c r="S989" s="28"/>
      <c r="T989" s="35"/>
      <c r="U989" s="35"/>
      <c r="V989" s="29"/>
      <c r="W989" s="35"/>
      <c r="X989" s="29"/>
      <c r="Y989" s="36"/>
      <c r="Z989" s="29"/>
      <c r="AA989" s="31">
        <f t="shared" si="1"/>
        <v>44686</v>
      </c>
      <c r="AB989" s="32" t="str">
        <f t="shared" si="5"/>
        <v>mayo</v>
      </c>
    </row>
    <row r="990" spans="1:28" ht="12.75">
      <c r="A990" s="9" t="s">
        <v>949</v>
      </c>
      <c r="B990" s="10">
        <v>44690</v>
      </c>
      <c r="C990" s="11"/>
      <c r="D990" s="53">
        <v>19</v>
      </c>
      <c r="E990" s="13" t="s">
        <v>1381</v>
      </c>
      <c r="F990" s="13">
        <v>3025457</v>
      </c>
      <c r="G990" s="14">
        <v>21635</v>
      </c>
      <c r="H990" s="33">
        <f>8900-8898.21</f>
        <v>1.7900000000008731</v>
      </c>
      <c r="I990" s="16">
        <f>-H990*G990</f>
        <v>-38726.65000001889</v>
      </c>
      <c r="J990" s="17">
        <v>0</v>
      </c>
      <c r="K990" s="34">
        <v>4502323574</v>
      </c>
      <c r="L990" s="19">
        <v>5081712756</v>
      </c>
      <c r="M990" s="20">
        <v>5113291307</v>
      </c>
      <c r="N990" s="23"/>
      <c r="O990" s="23"/>
      <c r="P990" s="23"/>
      <c r="Q990" s="24" t="s">
        <v>31</v>
      </c>
      <c r="R990" s="25">
        <v>44686</v>
      </c>
      <c r="S990" s="28"/>
      <c r="T990" s="35"/>
      <c r="U990" s="35"/>
      <c r="V990" s="29"/>
      <c r="W990" s="35"/>
      <c r="X990" s="29"/>
      <c r="Y990" s="36"/>
      <c r="Z990" s="29"/>
      <c r="AA990" s="31">
        <f t="shared" si="1"/>
        <v>44686</v>
      </c>
      <c r="AB990" s="32" t="str">
        <f t="shared" si="5"/>
        <v>mayo</v>
      </c>
    </row>
    <row r="991" spans="1:28" ht="12.75">
      <c r="A991" s="9" t="s">
        <v>111</v>
      </c>
      <c r="B991" s="10">
        <v>44691</v>
      </c>
      <c r="C991" s="11">
        <v>44691</v>
      </c>
      <c r="D991" s="53">
        <v>19</v>
      </c>
      <c r="E991" s="13" t="s">
        <v>1382</v>
      </c>
      <c r="F991" s="13">
        <v>3025457</v>
      </c>
      <c r="G991" s="37">
        <v>13069.5</v>
      </c>
      <c r="H991" s="33">
        <v>8900</v>
      </c>
      <c r="I991" s="16">
        <f t="shared" ref="I991:I992" si="146">H991*G991</f>
        <v>116318550</v>
      </c>
      <c r="J991" s="17">
        <v>28</v>
      </c>
      <c r="K991" s="34">
        <v>4502323576</v>
      </c>
      <c r="L991" s="19">
        <v>5081712757</v>
      </c>
      <c r="M991" s="20">
        <v>5113291308</v>
      </c>
      <c r="N991" s="23"/>
      <c r="O991" s="9" t="s">
        <v>37</v>
      </c>
      <c r="P991" s="44" t="s">
        <v>1383</v>
      </c>
      <c r="Q991" s="24" t="s">
        <v>31</v>
      </c>
      <c r="R991" s="25">
        <v>44686</v>
      </c>
      <c r="S991" s="28"/>
      <c r="T991" s="35"/>
      <c r="U991" s="35"/>
      <c r="V991" s="29"/>
      <c r="W991" s="35"/>
      <c r="X991" s="29"/>
      <c r="Y991" s="36"/>
      <c r="Z991" s="29"/>
      <c r="AA991" s="31">
        <f t="shared" si="1"/>
        <v>44686</v>
      </c>
      <c r="AB991" s="32" t="str">
        <f t="shared" si="5"/>
        <v>mayo</v>
      </c>
    </row>
    <row r="992" spans="1:28" ht="12.75">
      <c r="A992" s="9" t="s">
        <v>404</v>
      </c>
      <c r="B992" s="10">
        <v>44687</v>
      </c>
      <c r="C992" s="11">
        <v>44690</v>
      </c>
      <c r="D992" s="53">
        <v>19</v>
      </c>
      <c r="E992" s="13" t="s">
        <v>1384</v>
      </c>
      <c r="F992" s="13">
        <v>3025457</v>
      </c>
      <c r="G992" s="14">
        <v>50703</v>
      </c>
      <c r="H992" s="33">
        <v>9500</v>
      </c>
      <c r="I992" s="16">
        <f t="shared" si="146"/>
        <v>481678500</v>
      </c>
      <c r="J992" s="17">
        <v>108</v>
      </c>
      <c r="K992" s="34">
        <v>4502323577</v>
      </c>
      <c r="L992" s="19">
        <v>5081712909</v>
      </c>
      <c r="M992" s="20">
        <v>5113288864</v>
      </c>
      <c r="N992" s="23"/>
      <c r="O992" s="23" t="s">
        <v>37</v>
      </c>
      <c r="P992" s="23"/>
      <c r="Q992" s="24" t="s">
        <v>31</v>
      </c>
      <c r="R992" s="25">
        <v>44686</v>
      </c>
      <c r="S992" s="28"/>
      <c r="T992" s="35"/>
      <c r="U992" s="35"/>
      <c r="V992" s="29"/>
      <c r="W992" s="35"/>
      <c r="X992" s="29"/>
      <c r="Y992" s="36"/>
      <c r="Z992" s="29"/>
      <c r="AA992" s="31">
        <f t="shared" si="1"/>
        <v>44686</v>
      </c>
      <c r="AB992" s="32" t="str">
        <f t="shared" si="5"/>
        <v>mayo</v>
      </c>
    </row>
    <row r="993" spans="1:28" ht="12.75">
      <c r="A993" s="9" t="s">
        <v>404</v>
      </c>
      <c r="B993" s="10">
        <v>44690</v>
      </c>
      <c r="C993" s="11">
        <v>44690</v>
      </c>
      <c r="D993" s="53">
        <v>19</v>
      </c>
      <c r="E993" s="13" t="s">
        <v>600</v>
      </c>
      <c r="F993" s="13">
        <v>3025457</v>
      </c>
      <c r="G993" s="14">
        <v>50703</v>
      </c>
      <c r="H993" s="33">
        <f>9500-9448.81</f>
        <v>51.190000000000509</v>
      </c>
      <c r="I993" s="16">
        <f>-H993*G993</f>
        <v>-2595486.5700000259</v>
      </c>
      <c r="J993" s="17">
        <v>0</v>
      </c>
      <c r="K993" s="34">
        <v>4502323577</v>
      </c>
      <c r="L993" s="19">
        <v>5081712909</v>
      </c>
      <c r="M993" s="20">
        <v>5113288865</v>
      </c>
      <c r="N993" s="23"/>
      <c r="O993" s="23"/>
      <c r="P993" s="23"/>
      <c r="Q993" s="24" t="s">
        <v>31</v>
      </c>
      <c r="R993" s="25">
        <v>44686</v>
      </c>
      <c r="S993" s="28"/>
      <c r="T993" s="35"/>
      <c r="U993" s="35"/>
      <c r="V993" s="29"/>
      <c r="W993" s="35"/>
      <c r="X993" s="29"/>
      <c r="Y993" s="36"/>
      <c r="Z993" s="29"/>
      <c r="AA993" s="31">
        <f t="shared" si="1"/>
        <v>44686</v>
      </c>
      <c r="AB993" s="32" t="str">
        <f t="shared" si="5"/>
        <v>mayo</v>
      </c>
    </row>
    <row r="994" spans="1:28" ht="12.75">
      <c r="A994" s="9" t="s">
        <v>633</v>
      </c>
      <c r="B994" s="10">
        <v>44692</v>
      </c>
      <c r="C994" s="11">
        <v>44692</v>
      </c>
      <c r="D994" s="53">
        <v>19</v>
      </c>
      <c r="E994" s="13" t="s">
        <v>1385</v>
      </c>
      <c r="F994" s="13">
        <v>3025457</v>
      </c>
      <c r="G994" s="37">
        <v>7520.5</v>
      </c>
      <c r="H994" s="33">
        <v>9050</v>
      </c>
      <c r="I994" s="16">
        <f t="shared" ref="I994:I995" si="147">H994*G994</f>
        <v>68060525</v>
      </c>
      <c r="J994" s="17">
        <v>14</v>
      </c>
      <c r="K994" s="34">
        <v>4502323578</v>
      </c>
      <c r="L994" s="19">
        <v>5081741756</v>
      </c>
      <c r="M994" s="20">
        <v>5113294303</v>
      </c>
      <c r="N994" s="44"/>
      <c r="O994" s="9" t="s">
        <v>37</v>
      </c>
      <c r="P994" s="23" t="s">
        <v>1386</v>
      </c>
      <c r="Q994" s="24" t="s">
        <v>31</v>
      </c>
      <c r="R994" s="25">
        <v>44687</v>
      </c>
      <c r="S994" s="28"/>
      <c r="T994" s="35"/>
      <c r="U994" s="35"/>
      <c r="V994" s="29"/>
      <c r="W994" s="35"/>
      <c r="X994" s="29"/>
      <c r="Y994" s="36"/>
      <c r="Z994" s="29"/>
      <c r="AA994" s="31">
        <f t="shared" si="1"/>
        <v>44687</v>
      </c>
      <c r="AB994" s="32" t="str">
        <f t="shared" si="5"/>
        <v>mayo</v>
      </c>
    </row>
    <row r="995" spans="1:28" ht="12.75">
      <c r="A995" s="9" t="s">
        <v>1102</v>
      </c>
      <c r="B995" s="10">
        <v>44691</v>
      </c>
      <c r="C995" s="11">
        <v>44691</v>
      </c>
      <c r="D995" s="53">
        <v>19</v>
      </c>
      <c r="E995" s="100" t="s">
        <v>1387</v>
      </c>
      <c r="F995" s="13">
        <v>3025459</v>
      </c>
      <c r="G995" s="37">
        <v>13444.5</v>
      </c>
      <c r="H995" s="33">
        <v>9400</v>
      </c>
      <c r="I995" s="16">
        <f t="shared" si="147"/>
        <v>126378300</v>
      </c>
      <c r="J995" s="17">
        <v>29</v>
      </c>
      <c r="K995" s="34">
        <v>4502323579</v>
      </c>
      <c r="L995" s="19">
        <v>5081744057</v>
      </c>
      <c r="M995" s="20">
        <v>5113291278</v>
      </c>
      <c r="N995" s="23"/>
      <c r="O995" s="9" t="s">
        <v>37</v>
      </c>
      <c r="P995" s="23" t="s">
        <v>1388</v>
      </c>
      <c r="Q995" s="24" t="s">
        <v>31</v>
      </c>
      <c r="R995" s="25">
        <v>44687</v>
      </c>
      <c r="S995" s="28"/>
      <c r="T995" s="35"/>
      <c r="U995" s="35"/>
      <c r="V995" s="29"/>
      <c r="W995" s="35"/>
      <c r="X995" s="29"/>
      <c r="Y995" s="36"/>
      <c r="Z995" s="29"/>
      <c r="AA995" s="31">
        <f t="shared" si="1"/>
        <v>44687</v>
      </c>
      <c r="AB995" s="32" t="str">
        <f t="shared" si="5"/>
        <v>mayo</v>
      </c>
    </row>
    <row r="996" spans="1:28" ht="12.75">
      <c r="A996" s="9" t="s">
        <v>1102</v>
      </c>
      <c r="B996" s="10">
        <v>44691</v>
      </c>
      <c r="C996" s="11">
        <v>44691</v>
      </c>
      <c r="D996" s="53">
        <v>19</v>
      </c>
      <c r="E996" s="100" t="s">
        <v>1389</v>
      </c>
      <c r="F996" s="13">
        <v>3025459</v>
      </c>
      <c r="G996" s="37">
        <v>13444.5</v>
      </c>
      <c r="H996" s="33">
        <f>9400-9329.5</f>
        <v>70.5</v>
      </c>
      <c r="I996" s="16">
        <f>-H996*G996</f>
        <v>-947837.25</v>
      </c>
      <c r="J996" s="17">
        <v>0</v>
      </c>
      <c r="K996" s="34">
        <v>4502323579</v>
      </c>
      <c r="L996" s="19">
        <v>5081744057</v>
      </c>
      <c r="M996" s="20">
        <v>5113291280</v>
      </c>
      <c r="N996" s="23"/>
      <c r="O996" s="23"/>
      <c r="P996" s="23"/>
      <c r="Q996" s="24" t="s">
        <v>31</v>
      </c>
      <c r="R996" s="25">
        <v>44687</v>
      </c>
      <c r="S996" s="28"/>
      <c r="T996" s="35"/>
      <c r="U996" s="35"/>
      <c r="V996" s="29"/>
      <c r="W996" s="35"/>
      <c r="X996" s="29"/>
      <c r="Y996" s="36"/>
      <c r="Z996" s="29"/>
      <c r="AA996" s="31">
        <f t="shared" si="1"/>
        <v>44687</v>
      </c>
      <c r="AB996" s="32" t="str">
        <f t="shared" si="5"/>
        <v>mayo</v>
      </c>
    </row>
    <row r="997" spans="1:28" ht="12.75">
      <c r="A997" s="9" t="s">
        <v>73</v>
      </c>
      <c r="B997" s="10">
        <v>44691</v>
      </c>
      <c r="C997" s="11">
        <v>44691</v>
      </c>
      <c r="D997" s="53">
        <v>19</v>
      </c>
      <c r="E997" s="13" t="s">
        <v>1390</v>
      </c>
      <c r="F997" s="13">
        <v>3025457</v>
      </c>
      <c r="G997" s="14">
        <v>25464</v>
      </c>
      <c r="H997" s="33">
        <v>9500</v>
      </c>
      <c r="I997" s="16">
        <f t="shared" ref="I997:I1000" si="148">H997*G997</f>
        <v>241908000</v>
      </c>
      <c r="J997" s="17">
        <v>56</v>
      </c>
      <c r="K997" s="34">
        <v>4502324897</v>
      </c>
      <c r="L997" s="19">
        <v>5081743901</v>
      </c>
      <c r="M997" s="20">
        <v>5113292706</v>
      </c>
      <c r="N997" s="23"/>
      <c r="O997" s="9" t="s">
        <v>63</v>
      </c>
      <c r="P997" s="23"/>
      <c r="Q997" s="24" t="s">
        <v>31</v>
      </c>
      <c r="R997" s="25">
        <v>44687</v>
      </c>
      <c r="S997" s="28"/>
      <c r="T997" s="35"/>
      <c r="U997" s="35"/>
      <c r="V997" s="29"/>
      <c r="W997" s="35"/>
      <c r="X997" s="29"/>
      <c r="Y997" s="36"/>
      <c r="Z997" s="29"/>
      <c r="AA997" s="31">
        <f t="shared" si="1"/>
        <v>44687</v>
      </c>
      <c r="AB997" s="32" t="str">
        <f t="shared" si="5"/>
        <v>mayo</v>
      </c>
    </row>
    <row r="998" spans="1:28" ht="12.75">
      <c r="A998" s="9" t="s">
        <v>296</v>
      </c>
      <c r="B998" s="10">
        <v>44690</v>
      </c>
      <c r="C998" s="11">
        <v>44694</v>
      </c>
      <c r="D998" s="53">
        <v>19</v>
      </c>
      <c r="E998" s="13" t="s">
        <v>1391</v>
      </c>
      <c r="F998" s="13">
        <v>3025457</v>
      </c>
      <c r="G998" s="14">
        <v>6425</v>
      </c>
      <c r="H998" s="33">
        <v>9300</v>
      </c>
      <c r="I998" s="16">
        <f t="shared" si="148"/>
        <v>59752500</v>
      </c>
      <c r="J998" s="17">
        <v>14</v>
      </c>
      <c r="K998" s="34">
        <v>4502323581</v>
      </c>
      <c r="L998" s="19">
        <v>5081741788</v>
      </c>
      <c r="M998" s="20">
        <v>5113300810</v>
      </c>
      <c r="N998" s="44"/>
      <c r="O998" s="23" t="s">
        <v>63</v>
      </c>
      <c r="P998" s="23" t="s">
        <v>1392</v>
      </c>
      <c r="Q998" s="24" t="s">
        <v>31</v>
      </c>
      <c r="R998" s="25">
        <v>44687</v>
      </c>
      <c r="S998" s="28"/>
      <c r="T998" s="35"/>
      <c r="U998" s="35"/>
      <c r="V998" s="29"/>
      <c r="W998" s="35"/>
      <c r="X998" s="29"/>
      <c r="Y998" s="36"/>
      <c r="Z998" s="29"/>
      <c r="AA998" s="31">
        <f t="shared" si="1"/>
        <v>44687</v>
      </c>
      <c r="AB998" s="32" t="str">
        <f t="shared" si="5"/>
        <v>mayo</v>
      </c>
    </row>
    <row r="999" spans="1:28" ht="12.75">
      <c r="A999" s="9" t="s">
        <v>58</v>
      </c>
      <c r="B999" s="10">
        <v>44691</v>
      </c>
      <c r="C999" s="11">
        <v>44691</v>
      </c>
      <c r="D999" s="53">
        <v>19</v>
      </c>
      <c r="E999" s="13" t="s">
        <v>1393</v>
      </c>
      <c r="F999" s="13">
        <v>3025457</v>
      </c>
      <c r="G999" s="14">
        <v>44672</v>
      </c>
      <c r="H999" s="33">
        <v>9500</v>
      </c>
      <c r="I999" s="16">
        <f t="shared" si="148"/>
        <v>424384000</v>
      </c>
      <c r="J999" s="17">
        <v>90</v>
      </c>
      <c r="K999" s="34">
        <v>4502323582</v>
      </c>
      <c r="L999" s="19">
        <v>5081743900</v>
      </c>
      <c r="M999" s="20">
        <v>5113292697</v>
      </c>
      <c r="N999" s="23"/>
      <c r="O999" s="23" t="s">
        <v>37</v>
      </c>
      <c r="P999" s="23" t="s">
        <v>1394</v>
      </c>
      <c r="Q999" s="24" t="s">
        <v>31</v>
      </c>
      <c r="R999" s="25">
        <v>44688</v>
      </c>
      <c r="S999" s="28"/>
      <c r="T999" s="35"/>
      <c r="U999" s="35"/>
      <c r="V999" s="29"/>
      <c r="W999" s="35"/>
      <c r="X999" s="29"/>
      <c r="Y999" s="36"/>
      <c r="Z999" s="29"/>
      <c r="AA999" s="31">
        <f t="shared" si="1"/>
        <v>44688</v>
      </c>
      <c r="AB999" s="32" t="str">
        <f t="shared" si="5"/>
        <v>mayo</v>
      </c>
    </row>
    <row r="1000" spans="1:28" ht="12.75">
      <c r="A1000" s="9" t="s">
        <v>58</v>
      </c>
      <c r="B1000" s="10">
        <v>44691</v>
      </c>
      <c r="C1000" s="11">
        <v>44691</v>
      </c>
      <c r="D1000" s="53">
        <v>19</v>
      </c>
      <c r="E1000" s="13" t="s">
        <v>1393</v>
      </c>
      <c r="F1000" s="13">
        <v>3025460</v>
      </c>
      <c r="G1000" s="14">
        <v>21850</v>
      </c>
      <c r="H1000" s="33">
        <v>9500</v>
      </c>
      <c r="I1000" s="16">
        <f t="shared" si="148"/>
        <v>207575000</v>
      </c>
      <c r="J1000" s="17">
        <v>44</v>
      </c>
      <c r="K1000" s="34">
        <v>4502323585</v>
      </c>
      <c r="L1000" s="19">
        <v>5081743900</v>
      </c>
      <c r="M1000" s="20">
        <v>5113292697</v>
      </c>
      <c r="N1000" s="23"/>
      <c r="O1000" s="23" t="s">
        <v>37</v>
      </c>
      <c r="P1000" s="23"/>
      <c r="Q1000" s="24" t="s">
        <v>31</v>
      </c>
      <c r="R1000" s="25">
        <v>44688</v>
      </c>
      <c r="S1000" s="28"/>
      <c r="T1000" s="35"/>
      <c r="U1000" s="35"/>
      <c r="V1000" s="29"/>
      <c r="W1000" s="35"/>
      <c r="X1000" s="29"/>
      <c r="Y1000" s="36"/>
      <c r="Z1000" s="29"/>
      <c r="AA1000" s="31">
        <f t="shared" si="1"/>
        <v>44688</v>
      </c>
      <c r="AB1000" s="32" t="str">
        <f t="shared" si="5"/>
        <v>mayo</v>
      </c>
    </row>
    <row r="1001" spans="1:28" ht="12.75">
      <c r="A1001" s="9" t="s">
        <v>58</v>
      </c>
      <c r="B1001" s="10">
        <v>44691</v>
      </c>
      <c r="C1001" s="11">
        <v>44691</v>
      </c>
      <c r="D1001" s="53">
        <v>19</v>
      </c>
      <c r="E1001" s="13" t="s">
        <v>1395</v>
      </c>
      <c r="F1001" s="13">
        <v>3025460</v>
      </c>
      <c r="G1001" s="14">
        <v>66522</v>
      </c>
      <c r="H1001" s="33">
        <f>9500-9496.01</f>
        <v>3.9899999999997817</v>
      </c>
      <c r="I1001" s="16">
        <f>-H1001*G1001</f>
        <v>-265422.77999998548</v>
      </c>
      <c r="J1001" s="17">
        <v>0</v>
      </c>
      <c r="K1001" s="34">
        <v>4502323585</v>
      </c>
      <c r="L1001" s="19">
        <v>5081743900</v>
      </c>
      <c r="M1001" s="20">
        <v>5113292700</v>
      </c>
      <c r="N1001" s="23"/>
      <c r="O1001" s="23"/>
      <c r="P1001" s="23"/>
      <c r="Q1001" s="24" t="s">
        <v>31</v>
      </c>
      <c r="R1001" s="25">
        <v>44688</v>
      </c>
      <c r="S1001" s="28"/>
      <c r="T1001" s="35"/>
      <c r="U1001" s="35"/>
      <c r="V1001" s="29"/>
      <c r="W1001" s="35"/>
      <c r="X1001" s="29"/>
      <c r="Y1001" s="36"/>
      <c r="Z1001" s="29"/>
      <c r="AA1001" s="31">
        <f t="shared" si="1"/>
        <v>44688</v>
      </c>
      <c r="AB1001" s="32" t="str">
        <f t="shared" si="5"/>
        <v>mayo</v>
      </c>
    </row>
    <row r="1002" spans="1:28" ht="12.75">
      <c r="A1002" s="9" t="s">
        <v>455</v>
      </c>
      <c r="B1002" s="10">
        <v>44688</v>
      </c>
      <c r="C1002" s="11">
        <v>44691</v>
      </c>
      <c r="D1002" s="53">
        <v>19</v>
      </c>
      <c r="E1002" s="13" t="s">
        <v>1396</v>
      </c>
      <c r="F1002" s="13">
        <v>3025460</v>
      </c>
      <c r="G1002" s="14">
        <v>13950</v>
      </c>
      <c r="H1002" s="33">
        <v>8900</v>
      </c>
      <c r="I1002" s="16">
        <f t="shared" ref="I1002:I1004" si="149">H1002*G1002</f>
        <v>124155000</v>
      </c>
      <c r="J1002" s="17">
        <v>28</v>
      </c>
      <c r="K1002" s="34">
        <v>4502323583</v>
      </c>
      <c r="L1002" s="19">
        <v>5081743899</v>
      </c>
      <c r="M1002" s="20">
        <v>5113291313</v>
      </c>
      <c r="N1002" s="23"/>
      <c r="O1002" s="9" t="s">
        <v>63</v>
      </c>
      <c r="P1002" s="23"/>
      <c r="Q1002" s="24" t="s">
        <v>31</v>
      </c>
      <c r="R1002" s="25">
        <v>44688</v>
      </c>
      <c r="S1002" s="28"/>
      <c r="T1002" s="35"/>
      <c r="U1002" s="35"/>
      <c r="V1002" s="29"/>
      <c r="W1002" s="35"/>
      <c r="X1002" s="29"/>
      <c r="Y1002" s="36"/>
      <c r="Z1002" s="29"/>
      <c r="AA1002" s="31">
        <f t="shared" si="1"/>
        <v>44688</v>
      </c>
      <c r="AB1002" s="32" t="str">
        <f t="shared" si="5"/>
        <v>mayo</v>
      </c>
    </row>
    <row r="1003" spans="1:28" ht="12.75">
      <c r="A1003" s="9" t="s">
        <v>455</v>
      </c>
      <c r="B1003" s="10">
        <v>44688</v>
      </c>
      <c r="C1003" s="11">
        <v>44691</v>
      </c>
      <c r="D1003" s="53">
        <v>19</v>
      </c>
      <c r="E1003" s="13" t="s">
        <v>1397</v>
      </c>
      <c r="F1003" s="13">
        <v>3025460</v>
      </c>
      <c r="G1003" s="14">
        <v>13950</v>
      </c>
      <c r="H1003" s="33">
        <v>50</v>
      </c>
      <c r="I1003" s="16">
        <f t="shared" si="149"/>
        <v>697500</v>
      </c>
      <c r="J1003" s="17">
        <v>0</v>
      </c>
      <c r="K1003" s="34">
        <v>4502323583</v>
      </c>
      <c r="L1003" s="19">
        <v>5081743899</v>
      </c>
      <c r="M1003" s="20">
        <v>5113291316</v>
      </c>
      <c r="N1003" s="23"/>
      <c r="O1003" s="23"/>
      <c r="P1003" s="23"/>
      <c r="Q1003" s="24" t="s">
        <v>31</v>
      </c>
      <c r="R1003" s="25">
        <v>44688</v>
      </c>
      <c r="S1003" s="28"/>
      <c r="T1003" s="35"/>
      <c r="U1003" s="35"/>
      <c r="V1003" s="29"/>
      <c r="W1003" s="35"/>
      <c r="X1003" s="29"/>
      <c r="Y1003" s="36"/>
      <c r="Z1003" s="29"/>
      <c r="AA1003" s="31">
        <f t="shared" si="1"/>
        <v>44688</v>
      </c>
      <c r="AB1003" s="32" t="str">
        <f t="shared" si="5"/>
        <v>mayo</v>
      </c>
    </row>
    <row r="1004" spans="1:28" ht="12.75">
      <c r="A1004" s="9" t="s">
        <v>404</v>
      </c>
      <c r="B1004" s="10">
        <v>44687</v>
      </c>
      <c r="C1004" s="11">
        <v>44690</v>
      </c>
      <c r="D1004" s="53">
        <v>19</v>
      </c>
      <c r="E1004" s="13" t="s">
        <v>1398</v>
      </c>
      <c r="F1004" s="13">
        <v>3025457</v>
      </c>
      <c r="G1004" s="14">
        <v>7374</v>
      </c>
      <c r="H1004" s="33">
        <v>9500</v>
      </c>
      <c r="I1004" s="16">
        <f t="shared" si="149"/>
        <v>70053000</v>
      </c>
      <c r="J1004" s="17">
        <v>15</v>
      </c>
      <c r="K1004" s="34">
        <v>4502323577</v>
      </c>
      <c r="L1004" s="19">
        <v>5081712909</v>
      </c>
      <c r="M1004" s="20">
        <v>5113288859</v>
      </c>
      <c r="N1004" s="23"/>
      <c r="O1004" s="23" t="s">
        <v>37</v>
      </c>
      <c r="P1004" s="23"/>
      <c r="Q1004" s="24" t="s">
        <v>31</v>
      </c>
      <c r="R1004" s="25">
        <v>44688</v>
      </c>
      <c r="S1004" s="28"/>
      <c r="T1004" s="35"/>
      <c r="U1004" s="35"/>
      <c r="V1004" s="29"/>
      <c r="W1004" s="35"/>
      <c r="X1004" s="29"/>
      <c r="Y1004" s="36"/>
      <c r="Z1004" s="29"/>
      <c r="AA1004" s="31">
        <f t="shared" si="1"/>
        <v>44688</v>
      </c>
      <c r="AB1004" s="32" t="str">
        <f t="shared" si="5"/>
        <v>mayo</v>
      </c>
    </row>
    <row r="1005" spans="1:28" ht="12.75">
      <c r="A1005" s="9" t="s">
        <v>404</v>
      </c>
      <c r="B1005" s="10">
        <v>44690</v>
      </c>
      <c r="C1005" s="11">
        <v>44690</v>
      </c>
      <c r="D1005" s="53">
        <v>19</v>
      </c>
      <c r="E1005" s="13" t="s">
        <v>1399</v>
      </c>
      <c r="F1005" s="13">
        <v>3025457</v>
      </c>
      <c r="G1005" s="14">
        <v>7374</v>
      </c>
      <c r="H1005" s="33">
        <v>100</v>
      </c>
      <c r="I1005" s="16">
        <f>-H1005*G1005</f>
        <v>-737400</v>
      </c>
      <c r="J1005" s="17">
        <v>0</v>
      </c>
      <c r="K1005" s="34">
        <v>4502323577</v>
      </c>
      <c r="L1005" s="19">
        <v>5081712909</v>
      </c>
      <c r="M1005" s="20">
        <v>5113288861</v>
      </c>
      <c r="N1005" s="23"/>
      <c r="O1005" s="23"/>
      <c r="P1005" s="23"/>
      <c r="Q1005" s="24" t="s">
        <v>31</v>
      </c>
      <c r="R1005" s="25">
        <v>44688</v>
      </c>
      <c r="S1005" s="28"/>
      <c r="T1005" s="35"/>
      <c r="U1005" s="35"/>
      <c r="V1005" s="29"/>
      <c r="W1005" s="35"/>
      <c r="X1005" s="29"/>
      <c r="Y1005" s="36"/>
      <c r="Z1005" s="29"/>
      <c r="AA1005" s="31">
        <f t="shared" si="1"/>
        <v>44688</v>
      </c>
      <c r="AB1005" s="32" t="str">
        <f t="shared" si="5"/>
        <v>mayo</v>
      </c>
    </row>
    <row r="1006" spans="1:28" ht="12.75">
      <c r="A1006" s="9" t="s">
        <v>404</v>
      </c>
      <c r="B1006" s="10">
        <v>44688</v>
      </c>
      <c r="C1006" s="11">
        <v>44691</v>
      </c>
      <c r="D1006" s="53">
        <v>19</v>
      </c>
      <c r="E1006" s="13" t="s">
        <v>1400</v>
      </c>
      <c r="F1006" s="13">
        <v>3025460</v>
      </c>
      <c r="G1006" s="37">
        <v>20603.5</v>
      </c>
      <c r="H1006" s="33">
        <v>9500</v>
      </c>
      <c r="I1006" s="16">
        <f>H1006*G1006</f>
        <v>195733250</v>
      </c>
      <c r="J1006" s="17">
        <v>45</v>
      </c>
      <c r="K1006" s="34">
        <v>4502323584</v>
      </c>
      <c r="L1006" s="19">
        <v>5081744109</v>
      </c>
      <c r="M1006" s="20">
        <v>5113291337</v>
      </c>
      <c r="N1006" s="23"/>
      <c r="O1006" s="23" t="s">
        <v>37</v>
      </c>
      <c r="P1006" s="23"/>
      <c r="Q1006" s="24" t="s">
        <v>31</v>
      </c>
      <c r="R1006" s="25">
        <v>44688</v>
      </c>
      <c r="S1006" s="28"/>
      <c r="T1006" s="35"/>
      <c r="U1006" s="35"/>
      <c r="V1006" s="29"/>
      <c r="W1006" s="35"/>
      <c r="X1006" s="29"/>
      <c r="Y1006" s="36"/>
      <c r="Z1006" s="29"/>
      <c r="AA1006" s="31">
        <f t="shared" si="1"/>
        <v>44688</v>
      </c>
      <c r="AB1006" s="32" t="str">
        <f t="shared" si="5"/>
        <v>mayo</v>
      </c>
    </row>
    <row r="1007" spans="1:28" ht="12.75">
      <c r="A1007" s="9" t="s">
        <v>404</v>
      </c>
      <c r="B1007" s="10">
        <v>44691</v>
      </c>
      <c r="C1007" s="11">
        <v>44691</v>
      </c>
      <c r="D1007" s="53">
        <v>19</v>
      </c>
      <c r="E1007" s="13" t="s">
        <v>1401</v>
      </c>
      <c r="F1007" s="13">
        <v>3025460</v>
      </c>
      <c r="G1007" s="37">
        <v>20603.5</v>
      </c>
      <c r="H1007" s="33">
        <f>9500-9472.94</f>
        <v>27.059999999999491</v>
      </c>
      <c r="I1007" s="16">
        <f>-H1007*G1007</f>
        <v>-557530.70999998949</v>
      </c>
      <c r="J1007" s="17">
        <v>0</v>
      </c>
      <c r="K1007" s="34">
        <v>4502323584</v>
      </c>
      <c r="L1007" s="19">
        <v>5081744109</v>
      </c>
      <c r="M1007" s="20">
        <v>5113291339</v>
      </c>
      <c r="N1007" s="23"/>
      <c r="O1007" s="23"/>
      <c r="P1007" s="23"/>
      <c r="Q1007" s="24" t="s">
        <v>31</v>
      </c>
      <c r="R1007" s="25">
        <v>44688</v>
      </c>
      <c r="S1007" s="28"/>
      <c r="T1007" s="35"/>
      <c r="U1007" s="35"/>
      <c r="V1007" s="29"/>
      <c r="W1007" s="35"/>
      <c r="X1007" s="29"/>
      <c r="Y1007" s="36"/>
      <c r="Z1007" s="29"/>
      <c r="AA1007" s="31">
        <f t="shared" si="1"/>
        <v>44688</v>
      </c>
      <c r="AB1007" s="32" t="str">
        <f t="shared" si="5"/>
        <v>mayo</v>
      </c>
    </row>
    <row r="1008" spans="1:28" ht="12.75">
      <c r="A1008" s="9" t="s">
        <v>58</v>
      </c>
      <c r="B1008" s="10">
        <v>44691</v>
      </c>
      <c r="C1008" s="11">
        <v>44691</v>
      </c>
      <c r="D1008" s="53">
        <v>19</v>
      </c>
      <c r="E1008" s="13" t="s">
        <v>1402</v>
      </c>
      <c r="F1008" s="13">
        <v>3025460</v>
      </c>
      <c r="G1008" s="14">
        <v>44974</v>
      </c>
      <c r="H1008" s="33">
        <v>9500</v>
      </c>
      <c r="I1008" s="16">
        <f>H1008*G1008</f>
        <v>427253000</v>
      </c>
      <c r="J1008" s="17">
        <v>91</v>
      </c>
      <c r="K1008" s="34">
        <v>4502323586</v>
      </c>
      <c r="L1008" s="19">
        <v>5081748587</v>
      </c>
      <c r="M1008" s="20">
        <v>5113292702</v>
      </c>
      <c r="N1008" s="23"/>
      <c r="O1008" s="23" t="s">
        <v>37</v>
      </c>
      <c r="P1008" s="23" t="s">
        <v>1394</v>
      </c>
      <c r="Q1008" s="24" t="s">
        <v>31</v>
      </c>
      <c r="R1008" s="25">
        <v>44689</v>
      </c>
      <c r="S1008" s="28"/>
      <c r="T1008" s="35"/>
      <c r="U1008" s="35"/>
      <c r="V1008" s="29"/>
      <c r="W1008" s="35"/>
      <c r="X1008" s="29"/>
      <c r="Y1008" s="36"/>
      <c r="Z1008" s="29"/>
      <c r="AA1008" s="31">
        <f t="shared" si="1"/>
        <v>44689</v>
      </c>
      <c r="AB1008" s="32" t="str">
        <f t="shared" si="5"/>
        <v>mayo</v>
      </c>
    </row>
    <row r="1009" spans="1:28" ht="12.75">
      <c r="A1009" s="9" t="s">
        <v>58</v>
      </c>
      <c r="B1009" s="10">
        <v>44691</v>
      </c>
      <c r="C1009" s="11">
        <v>44691</v>
      </c>
      <c r="D1009" s="53">
        <v>19</v>
      </c>
      <c r="E1009" s="13" t="s">
        <v>1403</v>
      </c>
      <c r="F1009" s="13">
        <v>3025460</v>
      </c>
      <c r="G1009" s="14">
        <v>44974</v>
      </c>
      <c r="H1009" s="33">
        <f>9500-9499.12</f>
        <v>0.87999999999919964</v>
      </c>
      <c r="I1009" s="16">
        <f>-H1009*G1009</f>
        <v>-39577.119999964008</v>
      </c>
      <c r="J1009" s="17">
        <v>0</v>
      </c>
      <c r="K1009" s="34">
        <v>4502323586</v>
      </c>
      <c r="L1009" s="19">
        <v>5081748587</v>
      </c>
      <c r="M1009" s="20">
        <v>5113292703</v>
      </c>
      <c r="N1009" s="23"/>
      <c r="O1009" s="23"/>
      <c r="P1009" s="23"/>
      <c r="Q1009" s="24" t="s">
        <v>31</v>
      </c>
      <c r="R1009" s="25">
        <v>44689</v>
      </c>
      <c r="S1009" s="28"/>
      <c r="T1009" s="35"/>
      <c r="U1009" s="35"/>
      <c r="V1009" s="29"/>
      <c r="W1009" s="35"/>
      <c r="X1009" s="29"/>
      <c r="Y1009" s="36"/>
      <c r="Z1009" s="29"/>
      <c r="AA1009" s="31">
        <f t="shared" si="1"/>
        <v>44689</v>
      </c>
      <c r="AB1009" s="32" t="str">
        <f t="shared" si="5"/>
        <v>mayo</v>
      </c>
    </row>
    <row r="1010" spans="1:28" ht="12.75">
      <c r="A1010" s="9" t="s">
        <v>58</v>
      </c>
      <c r="B1010" s="10">
        <v>44691</v>
      </c>
      <c r="C1010" s="11">
        <v>44691</v>
      </c>
      <c r="D1010" s="53">
        <v>19</v>
      </c>
      <c r="E1010" s="13" t="s">
        <v>1404</v>
      </c>
      <c r="F1010" s="13">
        <v>3025460</v>
      </c>
      <c r="G1010" s="37">
        <v>28659.5</v>
      </c>
      <c r="H1010" s="33">
        <v>9500</v>
      </c>
      <c r="I1010" s="16">
        <f>H1010*G1010</f>
        <v>272265250</v>
      </c>
      <c r="J1010" s="17">
        <v>61</v>
      </c>
      <c r="K1010" s="34">
        <v>4502323586</v>
      </c>
      <c r="L1010" s="19">
        <v>5081748587</v>
      </c>
      <c r="M1010" s="20">
        <v>5113292704</v>
      </c>
      <c r="N1010" s="23"/>
      <c r="O1010" s="23" t="s">
        <v>37</v>
      </c>
      <c r="P1010" s="23" t="s">
        <v>1394</v>
      </c>
      <c r="Q1010" s="24" t="s">
        <v>31</v>
      </c>
      <c r="R1010" s="25">
        <v>44689</v>
      </c>
      <c r="S1010" s="28"/>
      <c r="T1010" s="35"/>
      <c r="U1010" s="35"/>
      <c r="V1010" s="29"/>
      <c r="W1010" s="35"/>
      <c r="X1010" s="29"/>
      <c r="Y1010" s="36"/>
      <c r="Z1010" s="29"/>
      <c r="AA1010" s="31">
        <f t="shared" si="1"/>
        <v>44689</v>
      </c>
      <c r="AB1010" s="32" t="str">
        <f t="shared" si="5"/>
        <v>mayo</v>
      </c>
    </row>
    <row r="1011" spans="1:28" ht="12.75">
      <c r="A1011" s="9" t="s">
        <v>58</v>
      </c>
      <c r="B1011" s="10">
        <v>44691</v>
      </c>
      <c r="C1011" s="11">
        <v>44691</v>
      </c>
      <c r="D1011" s="53">
        <v>19</v>
      </c>
      <c r="E1011" s="13" t="s">
        <v>1405</v>
      </c>
      <c r="F1011" s="13">
        <v>3025460</v>
      </c>
      <c r="G1011" s="37">
        <v>28659.5</v>
      </c>
      <c r="H1011" s="33">
        <f>9500-9484.92</f>
        <v>15.079999999999927</v>
      </c>
      <c r="I1011" s="16">
        <f>-H1011*G1011</f>
        <v>-432185.25999999791</v>
      </c>
      <c r="J1011" s="17">
        <v>0</v>
      </c>
      <c r="K1011" s="34">
        <v>4502323586</v>
      </c>
      <c r="L1011" s="19">
        <v>5081748587</v>
      </c>
      <c r="M1011" s="20">
        <v>5113292705</v>
      </c>
      <c r="N1011" s="23"/>
      <c r="O1011" s="23"/>
      <c r="P1011" s="23"/>
      <c r="Q1011" s="24" t="s">
        <v>31</v>
      </c>
      <c r="R1011" s="25">
        <v>44689</v>
      </c>
      <c r="S1011" s="28"/>
      <c r="T1011" s="35"/>
      <c r="U1011" s="35"/>
      <c r="V1011" s="29"/>
      <c r="W1011" s="35"/>
      <c r="X1011" s="29"/>
      <c r="Y1011" s="36"/>
      <c r="Z1011" s="29"/>
      <c r="AA1011" s="31">
        <f t="shared" si="1"/>
        <v>44689</v>
      </c>
      <c r="AB1011" s="32" t="str">
        <f t="shared" si="5"/>
        <v>mayo</v>
      </c>
    </row>
    <row r="1012" spans="1:28" ht="12.75">
      <c r="A1012" s="9" t="s">
        <v>28</v>
      </c>
      <c r="B1012" s="10">
        <v>44690</v>
      </c>
      <c r="C1012" s="11">
        <v>44690</v>
      </c>
      <c r="D1012" s="53">
        <v>19</v>
      </c>
      <c r="E1012" s="13" t="s">
        <v>1406</v>
      </c>
      <c r="F1012" s="13">
        <v>3025461</v>
      </c>
      <c r="G1012" s="14">
        <v>86456</v>
      </c>
      <c r="H1012" s="15">
        <v>8500</v>
      </c>
      <c r="I1012" s="16">
        <f t="shared" ref="I1012:I1018" si="150">H1012*G1012</f>
        <v>734876000</v>
      </c>
      <c r="J1012" s="17">
        <v>168</v>
      </c>
      <c r="K1012" s="34">
        <v>4502326349</v>
      </c>
      <c r="L1012" s="19">
        <v>5081745783</v>
      </c>
      <c r="M1012" s="20">
        <v>5113287741</v>
      </c>
      <c r="N1012" s="23" t="s">
        <v>63</v>
      </c>
      <c r="O1012" s="44" t="s">
        <v>1407</v>
      </c>
      <c r="P1012" s="23"/>
      <c r="Q1012" s="24" t="s">
        <v>1408</v>
      </c>
      <c r="R1012" s="25">
        <v>44689</v>
      </c>
      <c r="S1012" s="28">
        <v>4502326349</v>
      </c>
      <c r="T1012" s="28">
        <v>33665800</v>
      </c>
      <c r="U1012" s="28" t="s">
        <v>1409</v>
      </c>
      <c r="V1012" s="29">
        <v>5113291771</v>
      </c>
      <c r="W1012" s="28" t="s">
        <v>1410</v>
      </c>
      <c r="X1012" s="29">
        <v>5113291772</v>
      </c>
      <c r="Y1012" s="36"/>
      <c r="Z1012" s="29"/>
      <c r="AA1012" s="31">
        <f t="shared" si="1"/>
        <v>44689</v>
      </c>
      <c r="AB1012" s="32" t="str">
        <f t="shared" si="5"/>
        <v>mayo</v>
      </c>
    </row>
    <row r="1013" spans="1:28" ht="12.75">
      <c r="A1013" s="9" t="s">
        <v>122</v>
      </c>
      <c r="B1013" s="10">
        <v>44697</v>
      </c>
      <c r="C1013" s="11">
        <v>44697</v>
      </c>
      <c r="D1013" s="53">
        <v>19</v>
      </c>
      <c r="E1013" s="13">
        <v>102</v>
      </c>
      <c r="F1013" s="13">
        <v>3025457</v>
      </c>
      <c r="G1013" s="14">
        <v>7047</v>
      </c>
      <c r="H1013" s="33">
        <v>8900</v>
      </c>
      <c r="I1013" s="16">
        <f t="shared" si="150"/>
        <v>62718300</v>
      </c>
      <c r="J1013" s="17">
        <v>15</v>
      </c>
      <c r="K1013" s="34">
        <v>4502323588</v>
      </c>
      <c r="L1013" s="19">
        <v>5081760692</v>
      </c>
      <c r="M1013" s="20">
        <v>5113302241</v>
      </c>
      <c r="N1013" s="23"/>
      <c r="O1013" s="9" t="s">
        <v>63</v>
      </c>
      <c r="P1013" s="23"/>
      <c r="Q1013" s="24" t="s">
        <v>31</v>
      </c>
      <c r="R1013" s="25">
        <v>44690</v>
      </c>
      <c r="S1013" s="28"/>
      <c r="T1013" s="35"/>
      <c r="U1013" s="35"/>
      <c r="V1013" s="29"/>
      <c r="W1013" s="35"/>
      <c r="X1013" s="29"/>
      <c r="Y1013" s="36"/>
      <c r="Z1013" s="29"/>
      <c r="AA1013" s="31">
        <f t="shared" si="1"/>
        <v>44690</v>
      </c>
      <c r="AB1013" s="32" t="str">
        <f t="shared" si="5"/>
        <v>mayo</v>
      </c>
    </row>
    <row r="1014" spans="1:28" ht="12.75">
      <c r="A1014" s="9" t="s">
        <v>122</v>
      </c>
      <c r="B1014" s="10">
        <v>44697</v>
      </c>
      <c r="C1014" s="11">
        <v>44697</v>
      </c>
      <c r="D1014" s="53">
        <v>19</v>
      </c>
      <c r="E1014" s="13">
        <v>3</v>
      </c>
      <c r="F1014" s="13">
        <v>3025457</v>
      </c>
      <c r="G1014" s="14">
        <v>7047</v>
      </c>
      <c r="H1014" s="33">
        <v>50</v>
      </c>
      <c r="I1014" s="16">
        <f t="shared" si="150"/>
        <v>352350</v>
      </c>
      <c r="J1014" s="17">
        <v>0</v>
      </c>
      <c r="K1014" s="34">
        <v>4502323588</v>
      </c>
      <c r="L1014" s="19">
        <v>5081760692</v>
      </c>
      <c r="M1014" s="20">
        <v>5113302243</v>
      </c>
      <c r="N1014" s="23"/>
      <c r="O1014" s="23"/>
      <c r="P1014" s="23"/>
      <c r="Q1014" s="24" t="s">
        <v>31</v>
      </c>
      <c r="R1014" s="25">
        <v>44690</v>
      </c>
      <c r="S1014" s="28"/>
      <c r="T1014" s="35"/>
      <c r="U1014" s="35"/>
      <c r="V1014" s="29"/>
      <c r="W1014" s="35"/>
      <c r="X1014" s="29"/>
      <c r="Y1014" s="36"/>
      <c r="Z1014" s="29"/>
      <c r="AA1014" s="31">
        <f t="shared" si="1"/>
        <v>44690</v>
      </c>
      <c r="AB1014" s="32" t="str">
        <f t="shared" si="5"/>
        <v>mayo</v>
      </c>
    </row>
    <row r="1015" spans="1:28" ht="12.75">
      <c r="A1015" s="9" t="s">
        <v>39</v>
      </c>
      <c r="B1015" s="10">
        <v>44691</v>
      </c>
      <c r="C1015" s="11">
        <v>44694</v>
      </c>
      <c r="D1015" s="53">
        <v>19</v>
      </c>
      <c r="E1015" s="13" t="s">
        <v>1411</v>
      </c>
      <c r="F1015" s="13">
        <v>3025459</v>
      </c>
      <c r="G1015" s="14">
        <v>5883.5</v>
      </c>
      <c r="H1015" s="33">
        <v>9500</v>
      </c>
      <c r="I1015" s="16">
        <f t="shared" si="150"/>
        <v>55893250</v>
      </c>
      <c r="J1015" s="17">
        <v>15</v>
      </c>
      <c r="K1015" s="34">
        <v>4502323589</v>
      </c>
      <c r="L1015" s="19">
        <v>5081760693</v>
      </c>
      <c r="M1015" s="20">
        <v>5113300511</v>
      </c>
      <c r="N1015" s="23"/>
      <c r="O1015" s="9" t="s">
        <v>37</v>
      </c>
      <c r="P1015" s="23"/>
      <c r="Q1015" s="24" t="s">
        <v>31</v>
      </c>
      <c r="R1015" s="25">
        <v>44690</v>
      </c>
      <c r="S1015" s="28"/>
      <c r="T1015" s="35"/>
      <c r="U1015" s="35"/>
      <c r="V1015" s="29"/>
      <c r="W1015" s="35"/>
      <c r="X1015" s="29"/>
      <c r="Y1015" s="36"/>
      <c r="Z1015" s="29"/>
      <c r="AA1015" s="31">
        <f t="shared" si="1"/>
        <v>44690</v>
      </c>
      <c r="AB1015" s="32" t="str">
        <f t="shared" si="5"/>
        <v>mayo</v>
      </c>
    </row>
    <row r="1016" spans="1:28" ht="12.75">
      <c r="A1016" s="9" t="s">
        <v>1412</v>
      </c>
      <c r="B1016" s="10">
        <v>44690</v>
      </c>
      <c r="C1016" s="11">
        <v>44694</v>
      </c>
      <c r="D1016" s="53">
        <v>19</v>
      </c>
      <c r="E1016" s="13" t="s">
        <v>105</v>
      </c>
      <c r="F1016" s="13">
        <v>3025459</v>
      </c>
      <c r="G1016" s="14">
        <v>6863</v>
      </c>
      <c r="H1016" s="33">
        <v>9300</v>
      </c>
      <c r="I1016" s="16">
        <f t="shared" si="150"/>
        <v>63825900</v>
      </c>
      <c r="J1016" s="17">
        <v>15</v>
      </c>
      <c r="K1016" s="34">
        <v>4502323618</v>
      </c>
      <c r="L1016" s="19">
        <v>5081761063</v>
      </c>
      <c r="M1016" s="20">
        <v>5113301080</v>
      </c>
      <c r="N1016" s="23"/>
      <c r="O1016" s="23" t="s">
        <v>37</v>
      </c>
      <c r="P1016" s="23"/>
      <c r="Q1016" s="24" t="s">
        <v>31</v>
      </c>
      <c r="R1016" s="25">
        <v>44690</v>
      </c>
      <c r="S1016" s="28"/>
      <c r="T1016" s="35"/>
      <c r="U1016" s="35"/>
      <c r="V1016" s="29"/>
      <c r="W1016" s="35"/>
      <c r="X1016" s="29"/>
      <c r="Y1016" s="36"/>
      <c r="Z1016" s="29"/>
      <c r="AA1016" s="31">
        <f t="shared" si="1"/>
        <v>44690</v>
      </c>
      <c r="AB1016" s="32" t="str">
        <f t="shared" si="5"/>
        <v>mayo</v>
      </c>
    </row>
    <row r="1017" spans="1:28" ht="12.75">
      <c r="A1017" s="9" t="s">
        <v>1412</v>
      </c>
      <c r="B1017" s="10">
        <v>44690</v>
      </c>
      <c r="C1017" s="11">
        <v>44694</v>
      </c>
      <c r="D1017" s="53">
        <v>19</v>
      </c>
      <c r="E1017" s="13" t="s">
        <v>123</v>
      </c>
      <c r="F1017" s="13">
        <v>3025459</v>
      </c>
      <c r="G1017" s="14">
        <v>6863</v>
      </c>
      <c r="H1017" s="33">
        <v>50</v>
      </c>
      <c r="I1017" s="16">
        <f t="shared" si="150"/>
        <v>343150</v>
      </c>
      <c r="J1017" s="17">
        <v>0</v>
      </c>
      <c r="K1017" s="34">
        <v>4502323618</v>
      </c>
      <c r="L1017" s="19">
        <v>5081761063</v>
      </c>
      <c r="M1017" s="20">
        <v>5113301082</v>
      </c>
      <c r="N1017" s="23"/>
      <c r="O1017" s="23"/>
      <c r="P1017" s="23"/>
      <c r="Q1017" s="24" t="s">
        <v>31</v>
      </c>
      <c r="R1017" s="25">
        <v>44690</v>
      </c>
      <c r="S1017" s="28"/>
      <c r="T1017" s="35"/>
      <c r="U1017" s="35"/>
      <c r="V1017" s="29"/>
      <c r="W1017" s="35"/>
      <c r="X1017" s="29"/>
      <c r="Y1017" s="36"/>
      <c r="Z1017" s="29"/>
      <c r="AA1017" s="31">
        <f t="shared" si="1"/>
        <v>44690</v>
      </c>
      <c r="AB1017" s="32" t="str">
        <f t="shared" si="5"/>
        <v>mayo</v>
      </c>
    </row>
    <row r="1018" spans="1:28" ht="12.75">
      <c r="A1018" s="9" t="s">
        <v>58</v>
      </c>
      <c r="B1018" s="10">
        <v>44693</v>
      </c>
      <c r="C1018" s="11">
        <v>44693</v>
      </c>
      <c r="D1018" s="53">
        <v>19</v>
      </c>
      <c r="E1018" s="13" t="s">
        <v>1413</v>
      </c>
      <c r="F1018" s="13">
        <v>3025460</v>
      </c>
      <c r="G1018" s="37">
        <v>24473.5</v>
      </c>
      <c r="H1018" s="33">
        <v>9500</v>
      </c>
      <c r="I1018" s="16">
        <f t="shared" si="150"/>
        <v>232498250</v>
      </c>
      <c r="J1018" s="17">
        <v>51</v>
      </c>
      <c r="K1018" s="34">
        <v>4502323591</v>
      </c>
      <c r="L1018" s="19">
        <v>5081761060</v>
      </c>
      <c r="M1018" s="20">
        <v>5113297962</v>
      </c>
      <c r="N1018" s="44"/>
      <c r="O1018" s="23" t="s">
        <v>37</v>
      </c>
      <c r="P1018" s="23" t="s">
        <v>1394</v>
      </c>
      <c r="Q1018" s="24" t="s">
        <v>31</v>
      </c>
      <c r="R1018" s="25">
        <v>44690</v>
      </c>
      <c r="S1018" s="28"/>
      <c r="T1018" s="35"/>
      <c r="U1018" s="35"/>
      <c r="V1018" s="29"/>
      <c r="W1018" s="35"/>
      <c r="X1018" s="29"/>
      <c r="Y1018" s="36"/>
      <c r="Z1018" s="29"/>
      <c r="AA1018" s="31">
        <f t="shared" si="1"/>
        <v>44690</v>
      </c>
      <c r="AB1018" s="32" t="str">
        <f t="shared" si="5"/>
        <v>mayo</v>
      </c>
    </row>
    <row r="1019" spans="1:28" ht="12.75">
      <c r="A1019" s="9" t="s">
        <v>58</v>
      </c>
      <c r="B1019" s="10">
        <v>44693</v>
      </c>
      <c r="C1019" s="11">
        <v>44693</v>
      </c>
      <c r="D1019" s="53">
        <v>19</v>
      </c>
      <c r="E1019" s="13" t="s">
        <v>1414</v>
      </c>
      <c r="F1019" s="13">
        <v>3025460</v>
      </c>
      <c r="G1019" s="37">
        <v>24473.5</v>
      </c>
      <c r="H1019" s="33">
        <f>9500-9498.38</f>
        <v>1.6200000000008004</v>
      </c>
      <c r="I1019" s="16">
        <f>-H1019*G1019</f>
        <v>-39647.070000019587</v>
      </c>
      <c r="J1019" s="17">
        <v>0</v>
      </c>
      <c r="K1019" s="34">
        <v>4502323591</v>
      </c>
      <c r="L1019" s="19">
        <v>5081761060</v>
      </c>
      <c r="M1019" s="20">
        <v>5113297965</v>
      </c>
      <c r="N1019" s="23"/>
      <c r="O1019" s="23"/>
      <c r="P1019" s="23"/>
      <c r="Q1019" s="24" t="s">
        <v>31</v>
      </c>
      <c r="R1019" s="25">
        <v>44690</v>
      </c>
      <c r="S1019" s="28"/>
      <c r="T1019" s="35"/>
      <c r="U1019" s="35"/>
      <c r="V1019" s="29"/>
      <c r="W1019" s="35"/>
      <c r="X1019" s="29"/>
      <c r="Y1019" s="36"/>
      <c r="Z1019" s="29"/>
      <c r="AA1019" s="31">
        <f t="shared" si="1"/>
        <v>44690</v>
      </c>
      <c r="AB1019" s="32" t="str">
        <f t="shared" si="5"/>
        <v>mayo</v>
      </c>
    </row>
    <row r="1020" spans="1:28" ht="12.75">
      <c r="A1020" s="9" t="s">
        <v>58</v>
      </c>
      <c r="B1020" s="10">
        <v>44693</v>
      </c>
      <c r="C1020" s="11">
        <v>44693</v>
      </c>
      <c r="D1020" s="53">
        <v>19</v>
      </c>
      <c r="E1020" s="13" t="s">
        <v>1415</v>
      </c>
      <c r="F1020" s="13">
        <v>3025460</v>
      </c>
      <c r="G1020" s="37">
        <v>10329.5</v>
      </c>
      <c r="H1020" s="33">
        <v>9500</v>
      </c>
      <c r="I1020" s="16">
        <f>H1020*G1020</f>
        <v>98130250</v>
      </c>
      <c r="J1020" s="17">
        <v>22</v>
      </c>
      <c r="K1020" s="34">
        <v>4502323591</v>
      </c>
      <c r="L1020" s="19">
        <v>5081761060</v>
      </c>
      <c r="M1020" s="20">
        <v>5113298020</v>
      </c>
      <c r="N1020" s="23"/>
      <c r="O1020" s="23" t="s">
        <v>37</v>
      </c>
      <c r="P1020" s="23"/>
      <c r="Q1020" s="24" t="s">
        <v>31</v>
      </c>
      <c r="R1020" s="25">
        <v>44690</v>
      </c>
      <c r="S1020" s="28"/>
      <c r="T1020" s="35"/>
      <c r="U1020" s="35"/>
      <c r="V1020" s="29"/>
      <c r="W1020" s="35"/>
      <c r="X1020" s="29"/>
      <c r="Y1020" s="36"/>
      <c r="Z1020" s="29"/>
      <c r="AA1020" s="31">
        <f t="shared" si="1"/>
        <v>44690</v>
      </c>
      <c r="AB1020" s="32" t="str">
        <f t="shared" si="5"/>
        <v>mayo</v>
      </c>
    </row>
    <row r="1021" spans="1:28" ht="12.75">
      <c r="A1021" s="9" t="s">
        <v>58</v>
      </c>
      <c r="B1021" s="10">
        <v>44693</v>
      </c>
      <c r="C1021" s="11">
        <v>44693</v>
      </c>
      <c r="D1021" s="53">
        <v>19</v>
      </c>
      <c r="E1021" s="13" t="s">
        <v>1416</v>
      </c>
      <c r="F1021" s="13">
        <v>3025460</v>
      </c>
      <c r="G1021" s="37">
        <v>10329.5</v>
      </c>
      <c r="H1021" s="33">
        <f>9500-9414.65</f>
        <v>85.350000000000364</v>
      </c>
      <c r="I1021" s="16">
        <f>-H1021*G1021</f>
        <v>-881622.8250000038</v>
      </c>
      <c r="J1021" s="17">
        <v>0</v>
      </c>
      <c r="K1021" s="34">
        <v>4502323591</v>
      </c>
      <c r="L1021" s="19">
        <v>5081761060</v>
      </c>
      <c r="M1021" s="20">
        <v>5113298025</v>
      </c>
      <c r="N1021" s="23"/>
      <c r="O1021" s="23"/>
      <c r="P1021" s="23"/>
      <c r="Q1021" s="24" t="s">
        <v>31</v>
      </c>
      <c r="R1021" s="25">
        <v>44690</v>
      </c>
      <c r="S1021" s="28"/>
      <c r="T1021" s="35"/>
      <c r="U1021" s="35"/>
      <c r="V1021" s="29"/>
      <c r="W1021" s="35"/>
      <c r="X1021" s="29"/>
      <c r="Y1021" s="36"/>
      <c r="Z1021" s="29"/>
      <c r="AA1021" s="31">
        <f t="shared" si="1"/>
        <v>44690</v>
      </c>
      <c r="AB1021" s="32" t="str">
        <f t="shared" si="5"/>
        <v>mayo</v>
      </c>
    </row>
    <row r="1022" spans="1:28" ht="12.75">
      <c r="A1022" s="9" t="s">
        <v>213</v>
      </c>
      <c r="B1022" s="10">
        <v>44690</v>
      </c>
      <c r="C1022" s="11"/>
      <c r="D1022" s="53">
        <v>19</v>
      </c>
      <c r="E1022" s="13" t="s">
        <v>1417</v>
      </c>
      <c r="F1022" s="13">
        <v>3025460</v>
      </c>
      <c r="G1022" s="14">
        <v>11939</v>
      </c>
      <c r="H1022" s="33">
        <v>9200</v>
      </c>
      <c r="I1022" s="16">
        <f>H1022*G1022</f>
        <v>109838800</v>
      </c>
      <c r="J1022" s="17">
        <v>29</v>
      </c>
      <c r="K1022" s="34">
        <v>4502323592</v>
      </c>
      <c r="L1022" s="19">
        <v>5081761061</v>
      </c>
      <c r="M1022" s="20">
        <v>5113298685</v>
      </c>
      <c r="N1022" s="23"/>
      <c r="O1022" s="23" t="s">
        <v>37</v>
      </c>
      <c r="P1022" s="23"/>
      <c r="Q1022" s="24" t="s">
        <v>31</v>
      </c>
      <c r="R1022" s="25">
        <v>44690</v>
      </c>
      <c r="S1022" s="28"/>
      <c r="T1022" s="35"/>
      <c r="U1022" s="35"/>
      <c r="V1022" s="29"/>
      <c r="W1022" s="35"/>
      <c r="X1022" s="29"/>
      <c r="Y1022" s="36"/>
      <c r="Z1022" s="29"/>
      <c r="AA1022" s="31">
        <f t="shared" si="1"/>
        <v>44690</v>
      </c>
      <c r="AB1022" s="32" t="str">
        <f t="shared" si="5"/>
        <v>mayo</v>
      </c>
    </row>
    <row r="1023" spans="1:28" ht="12.75">
      <c r="A1023" s="9" t="s">
        <v>213</v>
      </c>
      <c r="B1023" s="10">
        <v>44690</v>
      </c>
      <c r="C1023" s="102"/>
      <c r="D1023" s="53">
        <v>19</v>
      </c>
      <c r="E1023" s="13" t="s">
        <v>1189</v>
      </c>
      <c r="F1023" s="13">
        <v>3025460</v>
      </c>
      <c r="G1023" s="14">
        <v>11939</v>
      </c>
      <c r="H1023" s="33">
        <f>9200-9166.3</f>
        <v>33.700000000000728</v>
      </c>
      <c r="I1023" s="16">
        <f>-H1023*G1023</f>
        <v>-402344.30000000866</v>
      </c>
      <c r="J1023" s="17">
        <v>0</v>
      </c>
      <c r="K1023" s="34">
        <v>4502323592</v>
      </c>
      <c r="L1023" s="19">
        <v>5081761061</v>
      </c>
      <c r="M1023" s="20">
        <v>5113298686</v>
      </c>
      <c r="N1023" s="23"/>
      <c r="O1023" s="23"/>
      <c r="P1023" s="23"/>
      <c r="Q1023" s="24" t="s">
        <v>31</v>
      </c>
      <c r="R1023" s="25">
        <v>44690</v>
      </c>
      <c r="S1023" s="28"/>
      <c r="T1023" s="35"/>
      <c r="U1023" s="35"/>
      <c r="V1023" s="29"/>
      <c r="W1023" s="35"/>
      <c r="X1023" s="29"/>
      <c r="Y1023" s="36"/>
      <c r="Z1023" s="29"/>
      <c r="AA1023" s="31">
        <f t="shared" si="1"/>
        <v>44690</v>
      </c>
      <c r="AB1023" s="32" t="str">
        <f t="shared" si="5"/>
        <v>mayo</v>
      </c>
    </row>
    <row r="1024" spans="1:28" ht="12.75">
      <c r="A1024" s="9" t="s">
        <v>873</v>
      </c>
      <c r="B1024" s="10">
        <v>44690</v>
      </c>
      <c r="C1024" s="11"/>
      <c r="D1024" s="53">
        <v>19</v>
      </c>
      <c r="E1024" s="13" t="s">
        <v>1240</v>
      </c>
      <c r="F1024" s="13">
        <v>3025460</v>
      </c>
      <c r="G1024" s="14">
        <v>7346</v>
      </c>
      <c r="H1024" s="33">
        <v>9200</v>
      </c>
      <c r="I1024" s="16">
        <f>H1024*G1024</f>
        <v>67583200</v>
      </c>
      <c r="J1024" s="17">
        <v>14</v>
      </c>
      <c r="K1024" s="34">
        <v>4502323593</v>
      </c>
      <c r="L1024" s="19">
        <v>5081761062</v>
      </c>
      <c r="M1024" s="20">
        <v>5113304744</v>
      </c>
      <c r="N1024" s="23"/>
      <c r="O1024" s="9" t="s">
        <v>313</v>
      </c>
      <c r="P1024" s="103" t="s">
        <v>1418</v>
      </c>
      <c r="Q1024" s="24" t="s">
        <v>31</v>
      </c>
      <c r="R1024" s="25">
        <v>44690</v>
      </c>
      <c r="S1024" s="28"/>
      <c r="T1024" s="35"/>
      <c r="U1024" s="35"/>
      <c r="V1024" s="29"/>
      <c r="W1024" s="35"/>
      <c r="X1024" s="29"/>
      <c r="Y1024" s="36"/>
      <c r="Z1024" s="29"/>
      <c r="AA1024" s="31">
        <f t="shared" si="1"/>
        <v>44690</v>
      </c>
      <c r="AB1024" s="32" t="str">
        <f t="shared" si="5"/>
        <v>mayo</v>
      </c>
    </row>
    <row r="1025" spans="1:28" ht="12.75">
      <c r="A1025" s="9" t="s">
        <v>1419</v>
      </c>
      <c r="B1025" s="10">
        <v>44688</v>
      </c>
      <c r="C1025" s="11">
        <v>44691</v>
      </c>
      <c r="D1025" s="53">
        <v>19</v>
      </c>
      <c r="E1025" s="13" t="s">
        <v>1420</v>
      </c>
      <c r="F1025" s="13">
        <v>3025460</v>
      </c>
      <c r="G1025" s="14">
        <v>8030</v>
      </c>
      <c r="H1025" s="33">
        <v>8654.89</v>
      </c>
      <c r="I1025" s="39">
        <v>70280500</v>
      </c>
      <c r="J1025" s="17">
        <v>15</v>
      </c>
      <c r="K1025" s="34">
        <v>4502326625</v>
      </c>
      <c r="L1025" s="19">
        <v>5081760170</v>
      </c>
      <c r="M1025" s="20">
        <v>5113292003</v>
      </c>
      <c r="N1025" s="23" t="s">
        <v>37</v>
      </c>
      <c r="O1025" s="44" t="s">
        <v>1421</v>
      </c>
      <c r="P1025" s="23"/>
      <c r="Q1025" s="24" t="s">
        <v>31</v>
      </c>
      <c r="R1025" s="25">
        <v>44690</v>
      </c>
      <c r="S1025" s="28">
        <v>4502326625</v>
      </c>
      <c r="T1025" s="28">
        <f>3350800*3</f>
        <v>10052400</v>
      </c>
      <c r="U1025" s="28" t="s">
        <v>1422</v>
      </c>
      <c r="V1025" s="29">
        <v>5113291774</v>
      </c>
      <c r="W1025" s="35"/>
      <c r="X1025" s="29"/>
      <c r="Y1025" s="36"/>
      <c r="Z1025" s="29"/>
      <c r="AA1025" s="31">
        <f t="shared" si="1"/>
        <v>44690</v>
      </c>
      <c r="AB1025" s="32" t="str">
        <f t="shared" si="5"/>
        <v>mayo</v>
      </c>
    </row>
    <row r="1026" spans="1:28" ht="12.75">
      <c r="A1026" s="9" t="s">
        <v>1419</v>
      </c>
      <c r="B1026" s="10">
        <v>44688</v>
      </c>
      <c r="C1026" s="11">
        <v>44691</v>
      </c>
      <c r="D1026" s="53">
        <v>19</v>
      </c>
      <c r="E1026" s="13" t="s">
        <v>1423</v>
      </c>
      <c r="F1026" s="13">
        <v>3025460</v>
      </c>
      <c r="G1026" s="14">
        <v>7424</v>
      </c>
      <c r="H1026" s="38">
        <f t="shared" ref="H1026:H1027" si="151">I1026/G1026</f>
        <v>8552.2629310344819</v>
      </c>
      <c r="I1026" s="39">
        <v>63492000</v>
      </c>
      <c r="J1026" s="17">
        <v>14</v>
      </c>
      <c r="K1026" s="34">
        <v>4502326625</v>
      </c>
      <c r="L1026" s="19">
        <v>5081760170</v>
      </c>
      <c r="M1026" s="20">
        <v>5113292004</v>
      </c>
      <c r="N1026" s="23" t="s">
        <v>37</v>
      </c>
      <c r="O1026" s="44"/>
      <c r="P1026" s="23"/>
      <c r="Q1026" s="24" t="s">
        <v>31</v>
      </c>
      <c r="R1026" s="25">
        <v>44690</v>
      </c>
      <c r="S1026" s="28"/>
      <c r="T1026" s="28"/>
      <c r="U1026" s="35"/>
      <c r="V1026" s="29"/>
      <c r="W1026" s="35"/>
      <c r="X1026" s="29"/>
      <c r="Y1026" s="36"/>
      <c r="Z1026" s="29"/>
      <c r="AA1026" s="31">
        <f t="shared" si="1"/>
        <v>44690</v>
      </c>
      <c r="AB1026" s="32" t="str">
        <f t="shared" si="5"/>
        <v>mayo</v>
      </c>
    </row>
    <row r="1027" spans="1:28" ht="12.75">
      <c r="A1027" s="9" t="s">
        <v>1419</v>
      </c>
      <c r="B1027" s="10">
        <v>44688</v>
      </c>
      <c r="C1027" s="11">
        <v>44691</v>
      </c>
      <c r="D1027" s="53">
        <v>19</v>
      </c>
      <c r="E1027" s="13" t="s">
        <v>1424</v>
      </c>
      <c r="F1027" s="13">
        <v>3025460</v>
      </c>
      <c r="G1027" s="14">
        <v>7502</v>
      </c>
      <c r="H1027" s="38">
        <f t="shared" si="151"/>
        <v>8652.2394028259132</v>
      </c>
      <c r="I1027" s="39">
        <v>64909100</v>
      </c>
      <c r="J1027" s="17">
        <v>14</v>
      </c>
      <c r="K1027" s="34">
        <v>4502326625</v>
      </c>
      <c r="L1027" s="19">
        <v>5081760170</v>
      </c>
      <c r="M1027" s="20">
        <v>5113292005</v>
      </c>
      <c r="N1027" s="23" t="s">
        <v>37</v>
      </c>
      <c r="O1027" s="44"/>
      <c r="P1027" s="23"/>
      <c r="Q1027" s="24" t="s">
        <v>31</v>
      </c>
      <c r="R1027" s="25">
        <v>44690</v>
      </c>
      <c r="S1027" s="28"/>
      <c r="T1027" s="28"/>
      <c r="U1027" s="35"/>
      <c r="V1027" s="29"/>
      <c r="W1027" s="35"/>
      <c r="X1027" s="29"/>
      <c r="Y1027" s="36"/>
      <c r="Z1027" s="29"/>
      <c r="AA1027" s="31">
        <f t="shared" si="1"/>
        <v>44690</v>
      </c>
      <c r="AB1027" s="32" t="str">
        <f t="shared" si="5"/>
        <v>mayo</v>
      </c>
    </row>
    <row r="1028" spans="1:28" ht="12.75">
      <c r="A1028" s="9" t="s">
        <v>54</v>
      </c>
      <c r="B1028" s="10">
        <v>44690</v>
      </c>
      <c r="C1028" s="11"/>
      <c r="D1028" s="53">
        <v>19</v>
      </c>
      <c r="E1028" s="13" t="s">
        <v>1425</v>
      </c>
      <c r="F1028" s="13">
        <v>3025461</v>
      </c>
      <c r="G1028" s="14">
        <v>14018</v>
      </c>
      <c r="H1028" s="15">
        <v>8250</v>
      </c>
      <c r="I1028" s="16">
        <f t="shared" ref="I1028:I1035" si="152">H1028*G1028</f>
        <v>115648500</v>
      </c>
      <c r="J1028" s="17">
        <v>28</v>
      </c>
      <c r="K1028" s="34">
        <v>4502326435</v>
      </c>
      <c r="L1028" s="19">
        <v>5081746485</v>
      </c>
      <c r="M1028" s="20">
        <v>5113291650</v>
      </c>
      <c r="N1028" s="23"/>
      <c r="O1028" s="104" t="s">
        <v>1426</v>
      </c>
      <c r="P1028" s="23" t="s">
        <v>63</v>
      </c>
      <c r="Q1028" s="24" t="s">
        <v>1408</v>
      </c>
      <c r="R1028" s="25">
        <v>44690</v>
      </c>
      <c r="S1028" s="34">
        <v>4502326435</v>
      </c>
      <c r="T1028" s="28">
        <v>6262180</v>
      </c>
      <c r="U1028" s="28" t="s">
        <v>1427</v>
      </c>
      <c r="V1028" s="29">
        <v>5113291773</v>
      </c>
      <c r="W1028" s="28" t="s">
        <v>1428</v>
      </c>
      <c r="X1028" s="29">
        <v>5113291775</v>
      </c>
      <c r="Y1028" s="36"/>
      <c r="Z1028" s="29"/>
      <c r="AA1028" s="31">
        <f t="shared" si="1"/>
        <v>44690</v>
      </c>
      <c r="AB1028" s="32" t="str">
        <f t="shared" si="5"/>
        <v>mayo</v>
      </c>
    </row>
    <row r="1029" spans="1:28" ht="12.75">
      <c r="A1029" s="9" t="s">
        <v>1429</v>
      </c>
      <c r="B1029" s="10">
        <v>44690</v>
      </c>
      <c r="C1029" s="11">
        <v>44690</v>
      </c>
      <c r="D1029" s="53">
        <v>19</v>
      </c>
      <c r="E1029" s="13" t="s">
        <v>1430</v>
      </c>
      <c r="F1029" s="13">
        <v>3025461</v>
      </c>
      <c r="G1029" s="14">
        <v>7544</v>
      </c>
      <c r="H1029" s="15">
        <v>8350</v>
      </c>
      <c r="I1029" s="16">
        <f t="shared" si="152"/>
        <v>62992400</v>
      </c>
      <c r="J1029" s="17">
        <v>14</v>
      </c>
      <c r="K1029" s="34">
        <v>4502326452</v>
      </c>
      <c r="L1029" s="19">
        <v>5081747040</v>
      </c>
      <c r="M1029" s="20">
        <v>5113292006</v>
      </c>
      <c r="N1029" s="23"/>
      <c r="O1029" s="44" t="s">
        <v>1431</v>
      </c>
      <c r="P1029" s="23" t="s">
        <v>63</v>
      </c>
      <c r="Q1029" s="24" t="s">
        <v>1408</v>
      </c>
      <c r="R1029" s="25">
        <v>44690</v>
      </c>
      <c r="S1029" s="34">
        <v>4502326452</v>
      </c>
      <c r="T1029" s="28">
        <v>2580400</v>
      </c>
      <c r="U1029" s="28" t="s">
        <v>1432</v>
      </c>
      <c r="V1029" s="29">
        <v>5113291776</v>
      </c>
      <c r="W1029" s="35"/>
      <c r="X1029" s="29"/>
      <c r="Y1029" s="36"/>
      <c r="Z1029" s="29"/>
      <c r="AA1029" s="31">
        <f t="shared" si="1"/>
        <v>44690</v>
      </c>
      <c r="AB1029" s="32" t="str">
        <f t="shared" si="5"/>
        <v>mayo</v>
      </c>
    </row>
    <row r="1030" spans="1:28" ht="12.75">
      <c r="A1030" s="9" t="s">
        <v>58</v>
      </c>
      <c r="B1030" s="10">
        <v>44694</v>
      </c>
      <c r="C1030" s="11">
        <v>44694</v>
      </c>
      <c r="D1030" s="53">
        <v>19</v>
      </c>
      <c r="E1030" s="13" t="s">
        <v>1433</v>
      </c>
      <c r="F1030" s="13">
        <v>3025461</v>
      </c>
      <c r="G1030" s="14">
        <v>51359</v>
      </c>
      <c r="H1030" s="57">
        <v>9591.65</v>
      </c>
      <c r="I1030" s="16">
        <f t="shared" si="152"/>
        <v>492617552.34999996</v>
      </c>
      <c r="J1030" s="17">
        <v>105</v>
      </c>
      <c r="K1030" s="34">
        <v>4502329787</v>
      </c>
      <c r="L1030" s="19">
        <v>5081808771</v>
      </c>
      <c r="M1030" s="20">
        <v>5113310139</v>
      </c>
      <c r="N1030" s="23"/>
      <c r="O1030" s="23" t="s">
        <v>37</v>
      </c>
      <c r="P1030" s="23"/>
      <c r="Q1030" s="24" t="s">
        <v>1408</v>
      </c>
      <c r="R1030" s="25">
        <v>44690</v>
      </c>
      <c r="S1030" s="28"/>
      <c r="T1030" s="35"/>
      <c r="U1030" s="35"/>
      <c r="V1030" s="29"/>
      <c r="W1030" s="35"/>
      <c r="X1030" s="29"/>
      <c r="Y1030" s="36"/>
      <c r="Z1030" s="29"/>
      <c r="AA1030" s="31">
        <f t="shared" si="1"/>
        <v>44690</v>
      </c>
      <c r="AB1030" s="32" t="str">
        <f t="shared" si="5"/>
        <v>mayo</v>
      </c>
    </row>
    <row r="1031" spans="1:28" ht="12.75">
      <c r="A1031" s="9" t="s">
        <v>1102</v>
      </c>
      <c r="B1031" s="10">
        <v>44697</v>
      </c>
      <c r="C1031" s="11">
        <v>44697</v>
      </c>
      <c r="D1031" s="53">
        <v>19</v>
      </c>
      <c r="E1031" s="13" t="s">
        <v>1434</v>
      </c>
      <c r="F1031" s="13">
        <v>3025457</v>
      </c>
      <c r="G1031" s="14">
        <v>13557</v>
      </c>
      <c r="H1031" s="40">
        <v>9400</v>
      </c>
      <c r="I1031" s="16">
        <f t="shared" si="152"/>
        <v>127435800</v>
      </c>
      <c r="J1031" s="17">
        <v>29</v>
      </c>
      <c r="K1031" s="34">
        <v>4502325378</v>
      </c>
      <c r="L1031" s="19">
        <v>5081776166</v>
      </c>
      <c r="M1031" s="20">
        <v>5113303565</v>
      </c>
      <c r="N1031" s="23"/>
      <c r="O1031" s="9" t="s">
        <v>37</v>
      </c>
      <c r="P1031" s="23" t="s">
        <v>1435</v>
      </c>
      <c r="Q1031" s="24" t="s">
        <v>31</v>
      </c>
      <c r="R1031" s="25">
        <v>44691</v>
      </c>
      <c r="S1031" s="28"/>
      <c r="T1031" s="35"/>
      <c r="U1031" s="35"/>
      <c r="V1031" s="29"/>
      <c r="W1031" s="35"/>
      <c r="X1031" s="29"/>
      <c r="Y1031" s="36"/>
      <c r="Z1031" s="29"/>
      <c r="AA1031" s="31">
        <f t="shared" si="1"/>
        <v>44691</v>
      </c>
      <c r="AB1031" s="32" t="str">
        <f t="shared" si="5"/>
        <v>mayo</v>
      </c>
    </row>
    <row r="1032" spans="1:28" ht="12.75">
      <c r="A1032" s="9" t="s">
        <v>1102</v>
      </c>
      <c r="B1032" s="10">
        <v>44697</v>
      </c>
      <c r="C1032" s="11">
        <v>44697</v>
      </c>
      <c r="D1032" s="53">
        <v>19</v>
      </c>
      <c r="E1032" s="13" t="s">
        <v>1436</v>
      </c>
      <c r="F1032" s="13">
        <v>3025457</v>
      </c>
      <c r="G1032" s="14">
        <v>13557</v>
      </c>
      <c r="H1032" s="40">
        <f>9426.56-9400</f>
        <v>26.559999999999491</v>
      </c>
      <c r="I1032" s="16">
        <f t="shared" si="152"/>
        <v>360073.91999999312</v>
      </c>
      <c r="J1032" s="17">
        <v>0</v>
      </c>
      <c r="K1032" s="34">
        <v>4502325378</v>
      </c>
      <c r="L1032" s="19">
        <v>5081776166</v>
      </c>
      <c r="M1032" s="20">
        <v>5113303566</v>
      </c>
      <c r="N1032" s="23"/>
      <c r="O1032" s="23"/>
      <c r="P1032" s="23"/>
      <c r="Q1032" s="24" t="s">
        <v>31</v>
      </c>
      <c r="R1032" s="25">
        <v>44691</v>
      </c>
      <c r="S1032" s="28"/>
      <c r="T1032" s="35"/>
      <c r="U1032" s="35"/>
      <c r="V1032" s="29"/>
      <c r="W1032" s="35"/>
      <c r="X1032" s="29"/>
      <c r="Y1032" s="36"/>
      <c r="Z1032" s="29"/>
      <c r="AA1032" s="31">
        <f t="shared" si="1"/>
        <v>44691</v>
      </c>
      <c r="AB1032" s="32" t="str">
        <f t="shared" si="5"/>
        <v>mayo</v>
      </c>
    </row>
    <row r="1033" spans="1:28" ht="12.75">
      <c r="A1033" s="22" t="s">
        <v>501</v>
      </c>
      <c r="B1033" s="10">
        <v>44694</v>
      </c>
      <c r="C1033" s="11">
        <v>44694</v>
      </c>
      <c r="D1033" s="53">
        <v>19</v>
      </c>
      <c r="E1033" s="13" t="s">
        <v>1437</v>
      </c>
      <c r="F1033" s="13">
        <v>3025459</v>
      </c>
      <c r="G1033" s="37">
        <v>7013.5</v>
      </c>
      <c r="H1033" s="40">
        <v>9200</v>
      </c>
      <c r="I1033" s="16">
        <f t="shared" si="152"/>
        <v>64524200</v>
      </c>
      <c r="J1033" s="17">
        <v>15</v>
      </c>
      <c r="K1033" s="34">
        <v>4502325391</v>
      </c>
      <c r="L1033" s="19">
        <v>5081776167</v>
      </c>
      <c r="M1033" s="20">
        <v>5113298755</v>
      </c>
      <c r="N1033" s="23"/>
      <c r="O1033" s="23" t="s">
        <v>313</v>
      </c>
      <c r="P1033" s="23"/>
      <c r="Q1033" s="24" t="s">
        <v>31</v>
      </c>
      <c r="R1033" s="25">
        <v>44691</v>
      </c>
      <c r="S1033" s="28"/>
      <c r="T1033" s="35"/>
      <c r="U1033" s="35"/>
      <c r="V1033" s="29"/>
      <c r="W1033" s="35"/>
      <c r="X1033" s="29"/>
      <c r="Y1033" s="36"/>
      <c r="Z1033" s="29"/>
      <c r="AA1033" s="31">
        <f t="shared" si="1"/>
        <v>44691</v>
      </c>
      <c r="AB1033" s="32" t="str">
        <f t="shared" si="5"/>
        <v>mayo</v>
      </c>
    </row>
    <row r="1034" spans="1:28" ht="12.75">
      <c r="A1034" s="22" t="s">
        <v>501</v>
      </c>
      <c r="B1034" s="10">
        <v>44694</v>
      </c>
      <c r="C1034" s="11">
        <v>44694</v>
      </c>
      <c r="D1034" s="53">
        <v>19</v>
      </c>
      <c r="E1034" s="13" t="s">
        <v>1438</v>
      </c>
      <c r="F1034" s="13">
        <v>3025459</v>
      </c>
      <c r="G1034" s="37">
        <v>7013.5</v>
      </c>
      <c r="H1034" s="40">
        <v>60.62</v>
      </c>
      <c r="I1034" s="16">
        <f t="shared" si="152"/>
        <v>425158.37</v>
      </c>
      <c r="J1034" s="17">
        <v>0</v>
      </c>
      <c r="K1034" s="34">
        <v>4502325391</v>
      </c>
      <c r="L1034" s="19">
        <v>5081776167</v>
      </c>
      <c r="M1034" s="20">
        <v>5113298756</v>
      </c>
      <c r="N1034" s="23"/>
      <c r="O1034" s="23"/>
      <c r="P1034" s="23"/>
      <c r="Q1034" s="24" t="s">
        <v>31</v>
      </c>
      <c r="R1034" s="25">
        <v>44691</v>
      </c>
      <c r="S1034" s="28"/>
      <c r="T1034" s="35"/>
      <c r="U1034" s="35"/>
      <c r="V1034" s="29"/>
      <c r="W1034" s="35"/>
      <c r="X1034" s="29"/>
      <c r="Y1034" s="36"/>
      <c r="Z1034" s="29"/>
      <c r="AA1034" s="31">
        <f t="shared" si="1"/>
        <v>44691</v>
      </c>
      <c r="AB1034" s="32" t="str">
        <f t="shared" si="5"/>
        <v>mayo</v>
      </c>
    </row>
    <row r="1035" spans="1:28" ht="12.75">
      <c r="A1035" s="9" t="s">
        <v>39</v>
      </c>
      <c r="B1035" s="10">
        <v>44691</v>
      </c>
      <c r="C1035" s="11">
        <v>44694</v>
      </c>
      <c r="D1035" s="53">
        <v>19</v>
      </c>
      <c r="E1035" s="13" t="s">
        <v>1411</v>
      </c>
      <c r="F1035" s="13">
        <v>3025459</v>
      </c>
      <c r="G1035" s="37">
        <v>13117.5</v>
      </c>
      <c r="H1035" s="33">
        <v>9500</v>
      </c>
      <c r="I1035" s="16">
        <f t="shared" si="152"/>
        <v>124616250</v>
      </c>
      <c r="J1035" s="17">
        <v>30</v>
      </c>
      <c r="K1035" s="34">
        <v>4502323594</v>
      </c>
      <c r="L1035" s="19">
        <v>5081760693</v>
      </c>
      <c r="M1035" s="20">
        <v>5113300511</v>
      </c>
      <c r="N1035" s="23"/>
      <c r="O1035" s="9" t="s">
        <v>37</v>
      </c>
      <c r="P1035" s="23"/>
      <c r="Q1035" s="24" t="s">
        <v>31</v>
      </c>
      <c r="R1035" s="25">
        <v>44691</v>
      </c>
      <c r="S1035" s="28"/>
      <c r="T1035" s="35"/>
      <c r="U1035" s="35"/>
      <c r="V1035" s="29"/>
      <c r="W1035" s="35"/>
      <c r="X1035" s="29"/>
      <c r="Y1035" s="36"/>
      <c r="Z1035" s="29"/>
      <c r="AA1035" s="31">
        <f t="shared" si="1"/>
        <v>44691</v>
      </c>
      <c r="AB1035" s="32" t="str">
        <f t="shared" si="5"/>
        <v>mayo</v>
      </c>
    </row>
    <row r="1036" spans="1:28" ht="12.75">
      <c r="A1036" s="9" t="s">
        <v>39</v>
      </c>
      <c r="B1036" s="10">
        <v>44691</v>
      </c>
      <c r="C1036" s="11">
        <v>44694</v>
      </c>
      <c r="D1036" s="53">
        <v>19</v>
      </c>
      <c r="E1036" s="13" t="s">
        <v>1439</v>
      </c>
      <c r="F1036" s="13">
        <v>3025459</v>
      </c>
      <c r="G1036" s="37">
        <v>19001</v>
      </c>
      <c r="H1036" s="33">
        <f>9500-9469.73</f>
        <v>30.270000000000437</v>
      </c>
      <c r="I1036" s="16">
        <f>-H1036*G1036</f>
        <v>-575160.27000000828</v>
      </c>
      <c r="J1036" s="17">
        <v>0</v>
      </c>
      <c r="K1036" s="34">
        <v>4502323594</v>
      </c>
      <c r="L1036" s="19">
        <v>5081760693</v>
      </c>
      <c r="M1036" s="20">
        <v>5113300519</v>
      </c>
      <c r="N1036" s="23"/>
      <c r="O1036" s="23"/>
      <c r="P1036" s="23"/>
      <c r="Q1036" s="24" t="s">
        <v>31</v>
      </c>
      <c r="R1036" s="25">
        <v>44691</v>
      </c>
      <c r="S1036" s="28"/>
      <c r="T1036" s="35"/>
      <c r="U1036" s="35"/>
      <c r="V1036" s="29"/>
      <c r="W1036" s="35"/>
      <c r="X1036" s="29"/>
      <c r="Y1036" s="36"/>
      <c r="Z1036" s="29"/>
      <c r="AA1036" s="31">
        <f t="shared" si="1"/>
        <v>44691</v>
      </c>
      <c r="AB1036" s="32" t="str">
        <f t="shared" si="5"/>
        <v>mayo</v>
      </c>
    </row>
    <row r="1037" spans="1:28" ht="12.75">
      <c r="A1037" s="9" t="s">
        <v>39</v>
      </c>
      <c r="B1037" s="10">
        <v>44694</v>
      </c>
      <c r="C1037" s="11">
        <v>44697</v>
      </c>
      <c r="D1037" s="53">
        <v>19</v>
      </c>
      <c r="E1037" s="13" t="s">
        <v>1440</v>
      </c>
      <c r="F1037" s="13">
        <v>3025460</v>
      </c>
      <c r="G1037" s="14">
        <v>13444</v>
      </c>
      <c r="H1037" s="33">
        <v>9500</v>
      </c>
      <c r="I1037" s="16">
        <f t="shared" ref="I1037:I1041" si="153">H1037*G1037</f>
        <v>127718000</v>
      </c>
      <c r="J1037" s="17">
        <v>31</v>
      </c>
      <c r="K1037" s="34">
        <v>4502327096</v>
      </c>
      <c r="L1037" s="19">
        <v>5081783724</v>
      </c>
      <c r="M1037" s="20">
        <v>5113303930</v>
      </c>
      <c r="N1037" s="23"/>
      <c r="O1037" s="9" t="s">
        <v>37</v>
      </c>
      <c r="P1037" s="23"/>
      <c r="Q1037" s="24" t="s">
        <v>31</v>
      </c>
      <c r="R1037" s="25">
        <v>44691</v>
      </c>
      <c r="S1037" s="28"/>
      <c r="T1037" s="35"/>
      <c r="U1037" s="35"/>
      <c r="V1037" s="29"/>
      <c r="W1037" s="35"/>
      <c r="X1037" s="29"/>
      <c r="Y1037" s="36"/>
      <c r="Z1037" s="29"/>
      <c r="AA1037" s="31">
        <f t="shared" si="1"/>
        <v>44691</v>
      </c>
      <c r="AB1037" s="32" t="str">
        <f t="shared" si="5"/>
        <v>mayo</v>
      </c>
    </row>
    <row r="1038" spans="1:28" ht="12.75">
      <c r="A1038" s="9" t="s">
        <v>39</v>
      </c>
      <c r="B1038" s="10">
        <v>44697</v>
      </c>
      <c r="C1038" s="11">
        <v>44697</v>
      </c>
      <c r="D1038" s="53">
        <v>19</v>
      </c>
      <c r="E1038" s="13" t="s">
        <v>767</v>
      </c>
      <c r="F1038" s="13">
        <v>3025460</v>
      </c>
      <c r="G1038" s="14">
        <v>13444</v>
      </c>
      <c r="H1038" s="33">
        <v>76.95</v>
      </c>
      <c r="I1038" s="16">
        <f t="shared" si="153"/>
        <v>1034515.8</v>
      </c>
      <c r="J1038" s="17">
        <v>0</v>
      </c>
      <c r="K1038" s="34">
        <v>4502327096</v>
      </c>
      <c r="L1038" s="19">
        <v>5081783724</v>
      </c>
      <c r="M1038" s="20">
        <v>5113303932</v>
      </c>
      <c r="N1038" s="23"/>
      <c r="O1038" s="23"/>
      <c r="P1038" s="23"/>
      <c r="Q1038" s="24" t="s">
        <v>31</v>
      </c>
      <c r="R1038" s="25">
        <v>44691</v>
      </c>
      <c r="S1038" s="28"/>
      <c r="T1038" s="35"/>
      <c r="U1038" s="35"/>
      <c r="V1038" s="29"/>
      <c r="W1038" s="35"/>
      <c r="X1038" s="29"/>
      <c r="Y1038" s="36"/>
      <c r="Z1038" s="29"/>
      <c r="AA1038" s="31">
        <f t="shared" si="1"/>
        <v>44691</v>
      </c>
      <c r="AB1038" s="32" t="str">
        <f t="shared" si="5"/>
        <v>mayo</v>
      </c>
    </row>
    <row r="1039" spans="1:28" ht="12.75">
      <c r="A1039" s="45" t="s">
        <v>145</v>
      </c>
      <c r="B1039" s="10">
        <v>44697</v>
      </c>
      <c r="C1039" s="11">
        <v>44697</v>
      </c>
      <c r="D1039" s="53">
        <v>19</v>
      </c>
      <c r="E1039" s="13" t="s">
        <v>1441</v>
      </c>
      <c r="F1039" s="13">
        <v>3025459</v>
      </c>
      <c r="G1039" s="14">
        <v>6544</v>
      </c>
      <c r="H1039" s="33">
        <v>8950</v>
      </c>
      <c r="I1039" s="16">
        <f t="shared" si="153"/>
        <v>58568800</v>
      </c>
      <c r="J1039" s="17">
        <v>14</v>
      </c>
      <c r="K1039" s="34">
        <v>4502323595</v>
      </c>
      <c r="L1039" s="19">
        <v>5081775869</v>
      </c>
      <c r="M1039" s="20">
        <v>5113303659</v>
      </c>
      <c r="N1039" s="23"/>
      <c r="O1039" s="23" t="s">
        <v>37</v>
      </c>
      <c r="P1039" s="23"/>
      <c r="Q1039" s="24" t="s">
        <v>31</v>
      </c>
      <c r="R1039" s="25">
        <v>44691</v>
      </c>
      <c r="S1039" s="28"/>
      <c r="T1039" s="35"/>
      <c r="U1039" s="35"/>
      <c r="V1039" s="29"/>
      <c r="W1039" s="35"/>
      <c r="X1039" s="29"/>
      <c r="Y1039" s="36"/>
      <c r="Z1039" s="29"/>
      <c r="AA1039" s="31">
        <f t="shared" si="1"/>
        <v>44691</v>
      </c>
      <c r="AB1039" s="32" t="str">
        <f t="shared" si="5"/>
        <v>mayo</v>
      </c>
    </row>
    <row r="1040" spans="1:28" ht="12.75">
      <c r="A1040" s="45" t="s">
        <v>145</v>
      </c>
      <c r="B1040" s="10">
        <v>44697</v>
      </c>
      <c r="C1040" s="11">
        <v>44697</v>
      </c>
      <c r="D1040" s="53">
        <v>19</v>
      </c>
      <c r="E1040" s="13" t="s">
        <v>1442</v>
      </c>
      <c r="F1040" s="13">
        <v>3025459</v>
      </c>
      <c r="G1040" s="14">
        <v>6544</v>
      </c>
      <c r="H1040" s="33">
        <v>100</v>
      </c>
      <c r="I1040" s="16">
        <f t="shared" si="153"/>
        <v>654400</v>
      </c>
      <c r="J1040" s="17">
        <v>0</v>
      </c>
      <c r="K1040" s="34">
        <v>4502323595</v>
      </c>
      <c r="L1040" s="19">
        <v>5081775869</v>
      </c>
      <c r="M1040" s="20">
        <v>5113303661</v>
      </c>
      <c r="N1040" s="23"/>
      <c r="O1040" s="23"/>
      <c r="P1040" s="23"/>
      <c r="Q1040" s="24" t="s">
        <v>31</v>
      </c>
      <c r="R1040" s="25">
        <v>44691</v>
      </c>
      <c r="S1040" s="28"/>
      <c r="T1040" s="35"/>
      <c r="U1040" s="35"/>
      <c r="V1040" s="29"/>
      <c r="W1040" s="35"/>
      <c r="X1040" s="29"/>
      <c r="Y1040" s="36"/>
      <c r="Z1040" s="29"/>
      <c r="AA1040" s="31">
        <f t="shared" si="1"/>
        <v>44691</v>
      </c>
      <c r="AB1040" s="32" t="str">
        <f t="shared" si="5"/>
        <v>mayo</v>
      </c>
    </row>
    <row r="1041" spans="1:28" ht="12.75">
      <c r="A1041" s="22" t="s">
        <v>1443</v>
      </c>
      <c r="B1041" s="10">
        <v>44702</v>
      </c>
      <c r="C1041" s="11"/>
      <c r="D1041" s="53">
        <v>19</v>
      </c>
      <c r="E1041" s="13" t="s">
        <v>1444</v>
      </c>
      <c r="F1041" s="13">
        <v>3025457</v>
      </c>
      <c r="G1041" s="37">
        <v>6316.5</v>
      </c>
      <c r="H1041" s="40">
        <v>9200</v>
      </c>
      <c r="I1041" s="16">
        <f t="shared" si="153"/>
        <v>58111800</v>
      </c>
      <c r="J1041" s="17">
        <v>15</v>
      </c>
      <c r="K1041" s="34">
        <v>4502327402</v>
      </c>
      <c r="L1041" s="19">
        <v>5081776660</v>
      </c>
      <c r="M1041" s="20">
        <v>5113330301</v>
      </c>
      <c r="N1041" s="23"/>
      <c r="O1041" s="23" t="s">
        <v>37</v>
      </c>
      <c r="P1041" s="103" t="s">
        <v>1445</v>
      </c>
      <c r="Q1041" s="24" t="s">
        <v>31</v>
      </c>
      <c r="R1041" s="25">
        <v>44691</v>
      </c>
      <c r="S1041" s="28"/>
      <c r="T1041" s="35"/>
      <c r="U1041" s="35"/>
      <c r="V1041" s="29"/>
      <c r="W1041" s="35"/>
      <c r="X1041" s="29"/>
      <c r="Y1041" s="36"/>
      <c r="Z1041" s="29"/>
      <c r="AA1041" s="31">
        <f t="shared" si="1"/>
        <v>44691</v>
      </c>
      <c r="AB1041" s="32" t="str">
        <f t="shared" si="5"/>
        <v>mayo</v>
      </c>
    </row>
    <row r="1042" spans="1:28" ht="12.75">
      <c r="A1042" s="22" t="s">
        <v>1443</v>
      </c>
      <c r="B1042" s="10">
        <v>44702</v>
      </c>
      <c r="C1042" s="11"/>
      <c r="D1042" s="53">
        <v>19</v>
      </c>
      <c r="E1042" s="13" t="s">
        <v>69</v>
      </c>
      <c r="F1042" s="13">
        <v>3025457</v>
      </c>
      <c r="G1042" s="37">
        <v>6316.5</v>
      </c>
      <c r="H1042" s="40">
        <f>9200-9175.45</f>
        <v>24.549999999999272</v>
      </c>
      <c r="I1042" s="16">
        <f>-H1042*G1042</f>
        <v>-155070.07499999541</v>
      </c>
      <c r="J1042" s="17">
        <v>0</v>
      </c>
      <c r="K1042" s="34">
        <v>4502327402</v>
      </c>
      <c r="L1042" s="19">
        <v>5081776660</v>
      </c>
      <c r="M1042" s="20">
        <v>5113330302</v>
      </c>
      <c r="N1042" s="23"/>
      <c r="O1042" s="23"/>
      <c r="P1042" s="23" t="s">
        <v>1446</v>
      </c>
      <c r="Q1042" s="24" t="s">
        <v>31</v>
      </c>
      <c r="R1042" s="25">
        <v>44691</v>
      </c>
      <c r="S1042" s="28"/>
      <c r="T1042" s="35"/>
      <c r="U1042" s="35"/>
      <c r="V1042" s="29"/>
      <c r="W1042" s="35"/>
      <c r="X1042" s="29"/>
      <c r="Y1042" s="36"/>
      <c r="Z1042" s="29"/>
      <c r="AA1042" s="31">
        <f t="shared" si="1"/>
        <v>44691</v>
      </c>
      <c r="AB1042" s="32" t="str">
        <f t="shared" si="5"/>
        <v>mayo</v>
      </c>
    </row>
    <row r="1043" spans="1:28" ht="12.75">
      <c r="A1043" s="9" t="s">
        <v>580</v>
      </c>
      <c r="B1043" s="10">
        <v>44694</v>
      </c>
      <c r="C1043" s="11"/>
      <c r="D1043" s="53">
        <v>19</v>
      </c>
      <c r="E1043" s="13" t="s">
        <v>1447</v>
      </c>
      <c r="F1043" s="13">
        <v>3025460</v>
      </c>
      <c r="G1043" s="37">
        <v>27084.5</v>
      </c>
      <c r="H1043" s="33">
        <v>9300</v>
      </c>
      <c r="I1043" s="16">
        <f t="shared" ref="I1043:I1048" si="154">H1043*G1043</f>
        <v>251885850</v>
      </c>
      <c r="J1043" s="17">
        <v>60</v>
      </c>
      <c r="K1043" s="34">
        <v>4502323596</v>
      </c>
      <c r="L1043" s="19">
        <v>5081775870</v>
      </c>
      <c r="M1043" s="20">
        <v>5113299107</v>
      </c>
      <c r="N1043" s="23"/>
      <c r="O1043" s="9" t="s">
        <v>63</v>
      </c>
      <c r="P1043" s="23"/>
      <c r="Q1043" s="24" t="s">
        <v>31</v>
      </c>
      <c r="R1043" s="25">
        <v>44691</v>
      </c>
      <c r="S1043" s="28"/>
      <c r="T1043" s="35"/>
      <c r="U1043" s="35"/>
      <c r="V1043" s="29"/>
      <c r="W1043" s="35"/>
      <c r="X1043" s="29"/>
      <c r="Y1043" s="36"/>
      <c r="Z1043" s="29"/>
      <c r="AA1043" s="31">
        <f t="shared" si="1"/>
        <v>44691</v>
      </c>
      <c r="AB1043" s="32" t="str">
        <f t="shared" si="5"/>
        <v>mayo</v>
      </c>
    </row>
    <row r="1044" spans="1:28" ht="12.75">
      <c r="A1044" s="9" t="s">
        <v>580</v>
      </c>
      <c r="B1044" s="10">
        <v>44694</v>
      </c>
      <c r="C1044" s="11"/>
      <c r="D1044" s="53">
        <v>19</v>
      </c>
      <c r="E1044" s="13" t="s">
        <v>1364</v>
      </c>
      <c r="F1044" s="13">
        <v>3025460</v>
      </c>
      <c r="G1044" s="37">
        <v>27084.5</v>
      </c>
      <c r="H1044" s="33">
        <v>98.59</v>
      </c>
      <c r="I1044" s="16">
        <f t="shared" si="154"/>
        <v>2670260.855</v>
      </c>
      <c r="J1044" s="17">
        <v>0</v>
      </c>
      <c r="K1044" s="34">
        <v>4502323596</v>
      </c>
      <c r="L1044" s="19">
        <v>5081775870</v>
      </c>
      <c r="M1044" s="20">
        <v>5113303901</v>
      </c>
      <c r="N1044" s="23"/>
      <c r="O1044" s="23"/>
      <c r="P1044" s="23"/>
      <c r="Q1044" s="24" t="s">
        <v>31</v>
      </c>
      <c r="R1044" s="25">
        <v>44691</v>
      </c>
      <c r="S1044" s="28"/>
      <c r="T1044" s="35"/>
      <c r="U1044" s="35"/>
      <c r="V1044" s="29"/>
      <c r="W1044" s="35"/>
      <c r="X1044" s="29"/>
      <c r="Y1044" s="36"/>
      <c r="Z1044" s="29"/>
      <c r="AA1044" s="31">
        <f t="shared" si="1"/>
        <v>44691</v>
      </c>
      <c r="AB1044" s="32" t="str">
        <f t="shared" si="5"/>
        <v>mayo</v>
      </c>
    </row>
    <row r="1045" spans="1:28" ht="12.75">
      <c r="A1045" s="9" t="s">
        <v>580</v>
      </c>
      <c r="B1045" s="10">
        <v>44694</v>
      </c>
      <c r="C1045" s="11"/>
      <c r="D1045" s="53">
        <v>19</v>
      </c>
      <c r="E1045" s="13" t="s">
        <v>1448</v>
      </c>
      <c r="F1045" s="13">
        <v>3025460</v>
      </c>
      <c r="G1045" s="14">
        <v>31124</v>
      </c>
      <c r="H1045" s="33">
        <v>9300</v>
      </c>
      <c r="I1045" s="16">
        <f t="shared" si="154"/>
        <v>289453200</v>
      </c>
      <c r="J1045" s="17">
        <v>70</v>
      </c>
      <c r="K1045" s="34">
        <v>4502326908</v>
      </c>
      <c r="L1045" s="19">
        <v>5081776658</v>
      </c>
      <c r="M1045" s="20">
        <v>5113299110</v>
      </c>
      <c r="N1045" s="23"/>
      <c r="O1045" s="9" t="s">
        <v>63</v>
      </c>
      <c r="P1045" s="23"/>
      <c r="Q1045" s="24" t="s">
        <v>31</v>
      </c>
      <c r="R1045" s="25">
        <v>44691</v>
      </c>
      <c r="S1045" s="28"/>
      <c r="T1045" s="35"/>
      <c r="U1045" s="35"/>
      <c r="V1045" s="29"/>
      <c r="W1045" s="35"/>
      <c r="X1045" s="29"/>
      <c r="Y1045" s="36"/>
      <c r="Z1045" s="29"/>
      <c r="AA1045" s="31">
        <f t="shared" si="1"/>
        <v>44691</v>
      </c>
      <c r="AB1045" s="32" t="str">
        <f t="shared" si="5"/>
        <v>mayo</v>
      </c>
    </row>
    <row r="1046" spans="1:28" ht="12.75">
      <c r="A1046" s="9" t="s">
        <v>580</v>
      </c>
      <c r="B1046" s="10">
        <v>44694</v>
      </c>
      <c r="C1046" s="11"/>
      <c r="D1046" s="53">
        <v>19</v>
      </c>
      <c r="E1046" s="79" t="s">
        <v>497</v>
      </c>
      <c r="F1046" s="13">
        <v>3025460</v>
      </c>
      <c r="G1046" s="14">
        <v>31124</v>
      </c>
      <c r="H1046" s="33">
        <v>44.97</v>
      </c>
      <c r="I1046" s="16">
        <f t="shared" si="154"/>
        <v>1399646.28</v>
      </c>
      <c r="J1046" s="17">
        <v>0</v>
      </c>
      <c r="K1046" s="34">
        <v>4502326908</v>
      </c>
      <c r="L1046" s="19">
        <v>5081776658</v>
      </c>
      <c r="M1046" s="20">
        <v>5113299111</v>
      </c>
      <c r="N1046" s="23"/>
      <c r="O1046" s="23"/>
      <c r="P1046" s="23"/>
      <c r="Q1046" s="24" t="s">
        <v>31</v>
      </c>
      <c r="R1046" s="25">
        <v>44691</v>
      </c>
      <c r="S1046" s="28"/>
      <c r="T1046" s="35"/>
      <c r="U1046" s="35"/>
      <c r="V1046" s="29"/>
      <c r="W1046" s="35"/>
      <c r="X1046" s="29"/>
      <c r="Y1046" s="36"/>
      <c r="Z1046" s="29"/>
      <c r="AA1046" s="31">
        <f t="shared" si="1"/>
        <v>44691</v>
      </c>
      <c r="AB1046" s="32" t="str">
        <f t="shared" si="5"/>
        <v>mayo</v>
      </c>
    </row>
    <row r="1047" spans="1:28" ht="12.75">
      <c r="A1047" s="9" t="s">
        <v>642</v>
      </c>
      <c r="B1047" s="10">
        <v>44713</v>
      </c>
      <c r="C1047" s="11"/>
      <c r="D1047" s="53">
        <v>19</v>
      </c>
      <c r="E1047" s="13" t="s">
        <v>1449</v>
      </c>
      <c r="F1047" s="13">
        <v>3025460</v>
      </c>
      <c r="G1047" s="14">
        <v>20827</v>
      </c>
      <c r="H1047" s="105">
        <v>9300</v>
      </c>
      <c r="I1047" s="16">
        <f t="shared" si="154"/>
        <v>193691100</v>
      </c>
      <c r="J1047" s="17">
        <v>46</v>
      </c>
      <c r="K1047" s="34">
        <v>4502325394</v>
      </c>
      <c r="L1047" s="19">
        <v>5081775871</v>
      </c>
      <c r="M1047" s="20">
        <v>5113373732</v>
      </c>
      <c r="N1047" s="23"/>
      <c r="O1047" s="23"/>
      <c r="P1047" s="103" t="s">
        <v>1450</v>
      </c>
      <c r="Q1047" s="24" t="s">
        <v>31</v>
      </c>
      <c r="R1047" s="25">
        <v>44691</v>
      </c>
      <c r="S1047" s="28"/>
      <c r="T1047" s="35"/>
      <c r="U1047" s="35"/>
      <c r="V1047" s="29"/>
      <c r="W1047" s="35"/>
      <c r="X1047" s="29"/>
      <c r="Y1047" s="36"/>
      <c r="Z1047" s="29"/>
      <c r="AA1047" s="31">
        <f t="shared" si="1"/>
        <v>44691</v>
      </c>
      <c r="AB1047" s="32" t="str">
        <f t="shared" si="5"/>
        <v>mayo</v>
      </c>
    </row>
    <row r="1048" spans="1:28" ht="12.75">
      <c r="A1048" s="9" t="s">
        <v>642</v>
      </c>
      <c r="B1048" s="10">
        <v>44713</v>
      </c>
      <c r="C1048" s="11"/>
      <c r="D1048" s="53">
        <v>19</v>
      </c>
      <c r="E1048" s="13" t="s">
        <v>1449</v>
      </c>
      <c r="F1048" s="13">
        <v>3025460</v>
      </c>
      <c r="G1048" s="37">
        <v>13825.5</v>
      </c>
      <c r="H1048" s="105">
        <v>9300</v>
      </c>
      <c r="I1048" s="16">
        <f t="shared" si="154"/>
        <v>128577150</v>
      </c>
      <c r="J1048" s="17">
        <v>30</v>
      </c>
      <c r="K1048" s="34">
        <v>4502327028</v>
      </c>
      <c r="L1048" s="19">
        <v>5081775871</v>
      </c>
      <c r="M1048" s="20">
        <v>5113373732</v>
      </c>
      <c r="N1048" s="23"/>
      <c r="O1048" s="23"/>
      <c r="P1048" s="106" t="s">
        <v>1451</v>
      </c>
      <c r="Q1048" s="24" t="s">
        <v>31</v>
      </c>
      <c r="R1048" s="25">
        <v>44691</v>
      </c>
      <c r="S1048" s="28"/>
      <c r="T1048" s="35"/>
      <c r="U1048" s="35"/>
      <c r="V1048" s="29"/>
      <c r="W1048" s="35"/>
      <c r="X1048" s="29"/>
      <c r="Y1048" s="36"/>
      <c r="Z1048" s="29"/>
      <c r="AA1048" s="31">
        <f t="shared" si="1"/>
        <v>44691</v>
      </c>
      <c r="AB1048" s="32" t="str">
        <f t="shared" si="5"/>
        <v>mayo</v>
      </c>
    </row>
    <row r="1049" spans="1:28" ht="12.75">
      <c r="A1049" s="9" t="s">
        <v>642</v>
      </c>
      <c r="B1049" s="10">
        <v>44727</v>
      </c>
      <c r="C1049" s="11"/>
      <c r="D1049" s="53">
        <v>19</v>
      </c>
      <c r="E1049" s="13" t="s">
        <v>967</v>
      </c>
      <c r="F1049" s="13">
        <v>3025460</v>
      </c>
      <c r="G1049" s="37">
        <v>34652.5</v>
      </c>
      <c r="H1049" s="105">
        <f>9300-9298.93</f>
        <v>1.069999999999709</v>
      </c>
      <c r="I1049" s="16">
        <f>-H1049*G1049</f>
        <v>-37078.174999989918</v>
      </c>
      <c r="J1049" s="17">
        <v>0</v>
      </c>
      <c r="K1049" s="34">
        <v>4502327028</v>
      </c>
      <c r="L1049" s="19">
        <v>5081775871</v>
      </c>
      <c r="M1049" s="20">
        <v>5113373734</v>
      </c>
      <c r="N1049" s="23"/>
      <c r="O1049" s="23"/>
      <c r="P1049" s="23"/>
      <c r="Q1049" s="24" t="s">
        <v>31</v>
      </c>
      <c r="R1049" s="25">
        <v>44691</v>
      </c>
      <c r="S1049" s="28"/>
      <c r="T1049" s="35"/>
      <c r="U1049" s="35"/>
      <c r="V1049" s="29"/>
      <c r="W1049" s="35"/>
      <c r="X1049" s="29"/>
      <c r="Y1049" s="36"/>
      <c r="Z1049" s="29"/>
      <c r="AA1049" s="31">
        <f t="shared" si="1"/>
        <v>44691</v>
      </c>
      <c r="AB1049" s="32" t="str">
        <f t="shared" si="5"/>
        <v>mayo</v>
      </c>
    </row>
    <row r="1050" spans="1:28" ht="12.75">
      <c r="A1050" s="9" t="s">
        <v>58</v>
      </c>
      <c r="B1050" s="10">
        <v>44694</v>
      </c>
      <c r="C1050" s="11">
        <v>44694</v>
      </c>
      <c r="D1050" s="53">
        <v>19</v>
      </c>
      <c r="E1050" s="13" t="s">
        <v>1452</v>
      </c>
      <c r="F1050" s="13">
        <v>3025462</v>
      </c>
      <c r="G1050" s="14">
        <v>5139</v>
      </c>
      <c r="H1050" s="57">
        <v>7800</v>
      </c>
      <c r="I1050" s="16">
        <f t="shared" ref="I1050:I1052" si="155">H1050*G1050</f>
        <v>40084200</v>
      </c>
      <c r="J1050" s="17">
        <v>22</v>
      </c>
      <c r="K1050" s="34">
        <v>4502329858</v>
      </c>
      <c r="L1050" s="19">
        <v>5081809784</v>
      </c>
      <c r="M1050" s="20">
        <v>5113300520</v>
      </c>
      <c r="N1050" s="23"/>
      <c r="O1050" s="23" t="s">
        <v>37</v>
      </c>
      <c r="P1050" s="23"/>
      <c r="Q1050" s="24" t="s">
        <v>357</v>
      </c>
      <c r="R1050" s="25">
        <v>44692</v>
      </c>
      <c r="S1050" s="28"/>
      <c r="T1050" s="35"/>
      <c r="U1050" s="35"/>
      <c r="V1050" s="29"/>
      <c r="W1050" s="35"/>
      <c r="X1050" s="29"/>
      <c r="Y1050" s="36"/>
      <c r="Z1050" s="29"/>
      <c r="AA1050" s="31">
        <f t="shared" si="1"/>
        <v>44692</v>
      </c>
      <c r="AB1050" s="32" t="str">
        <f t="shared" si="5"/>
        <v>mayo</v>
      </c>
    </row>
    <row r="1051" spans="1:28" ht="12.75">
      <c r="A1051" s="9" t="s">
        <v>452</v>
      </c>
      <c r="B1051" s="10">
        <v>44697</v>
      </c>
      <c r="C1051" s="11"/>
      <c r="D1051" s="42">
        <v>20</v>
      </c>
      <c r="E1051" s="13" t="s">
        <v>493</v>
      </c>
      <c r="F1051" s="13">
        <v>3025457</v>
      </c>
      <c r="G1051" s="14">
        <v>7410.5</v>
      </c>
      <c r="H1051" s="40">
        <v>9150</v>
      </c>
      <c r="I1051" s="16">
        <f t="shared" si="155"/>
        <v>67806075</v>
      </c>
      <c r="J1051" s="17">
        <v>14</v>
      </c>
      <c r="K1051" s="34">
        <v>4502328198</v>
      </c>
      <c r="L1051" s="19">
        <v>5081817555</v>
      </c>
      <c r="M1051" s="20">
        <v>5113323150</v>
      </c>
      <c r="N1051" s="23"/>
      <c r="O1051" s="9" t="s">
        <v>37</v>
      </c>
      <c r="P1051" s="23" t="s">
        <v>928</v>
      </c>
      <c r="Q1051" s="24" t="s">
        <v>31</v>
      </c>
      <c r="R1051" s="25">
        <v>44693</v>
      </c>
      <c r="S1051" s="28"/>
      <c r="T1051" s="35"/>
      <c r="U1051" s="35"/>
      <c r="V1051" s="29"/>
      <c r="W1051" s="35"/>
      <c r="X1051" s="29"/>
      <c r="Y1051" s="36"/>
      <c r="Z1051" s="29"/>
      <c r="AA1051" s="31">
        <f t="shared" si="1"/>
        <v>44693</v>
      </c>
      <c r="AB1051" s="32" t="str">
        <f t="shared" si="5"/>
        <v>mayo</v>
      </c>
    </row>
    <row r="1052" spans="1:28" ht="12.75">
      <c r="A1052" s="9" t="s">
        <v>58</v>
      </c>
      <c r="B1052" s="10">
        <v>44697</v>
      </c>
      <c r="C1052" s="11">
        <v>44697</v>
      </c>
      <c r="D1052" s="42">
        <v>20</v>
      </c>
      <c r="E1052" s="13" t="s">
        <v>1453</v>
      </c>
      <c r="F1052" s="13">
        <v>3025459</v>
      </c>
      <c r="G1052" s="14">
        <v>22529</v>
      </c>
      <c r="H1052" s="40">
        <v>9600</v>
      </c>
      <c r="I1052" s="16">
        <f t="shared" si="155"/>
        <v>216278400</v>
      </c>
      <c r="J1052" s="17">
        <v>45</v>
      </c>
      <c r="K1052" s="34">
        <v>4502328199</v>
      </c>
      <c r="L1052" s="19">
        <v>5081817557</v>
      </c>
      <c r="M1052" s="20">
        <v>5113306834</v>
      </c>
      <c r="N1052" s="23"/>
      <c r="O1052" s="23" t="s">
        <v>37</v>
      </c>
      <c r="P1052" s="23"/>
      <c r="Q1052" s="24" t="s">
        <v>31</v>
      </c>
      <c r="R1052" s="25">
        <v>44693</v>
      </c>
      <c r="S1052" s="28"/>
      <c r="T1052" s="35"/>
      <c r="U1052" s="35"/>
      <c r="V1052" s="29"/>
      <c r="W1052" s="35"/>
      <c r="X1052" s="29"/>
      <c r="Y1052" s="36"/>
      <c r="Z1052" s="29"/>
      <c r="AA1052" s="31">
        <f t="shared" si="1"/>
        <v>44693</v>
      </c>
      <c r="AB1052" s="32" t="str">
        <f t="shared" si="5"/>
        <v>mayo</v>
      </c>
    </row>
    <row r="1053" spans="1:28" ht="12.75">
      <c r="A1053" s="9" t="s">
        <v>58</v>
      </c>
      <c r="B1053" s="10">
        <v>44697</v>
      </c>
      <c r="C1053" s="11">
        <v>44697</v>
      </c>
      <c r="D1053" s="42">
        <v>20</v>
      </c>
      <c r="E1053" s="13" t="s">
        <v>1454</v>
      </c>
      <c r="F1053" s="13">
        <v>3025459</v>
      </c>
      <c r="G1053" s="14">
        <v>22529</v>
      </c>
      <c r="H1053" s="40">
        <f>9600-9598.24</f>
        <v>1.7600000000002183</v>
      </c>
      <c r="I1053" s="16">
        <f>-H1053*G1053</f>
        <v>-39651.040000004919</v>
      </c>
      <c r="J1053" s="17">
        <v>0</v>
      </c>
      <c r="K1053" s="34">
        <v>4502328199</v>
      </c>
      <c r="L1053" s="19">
        <v>5081817557</v>
      </c>
      <c r="M1053" s="20">
        <v>5113306848</v>
      </c>
      <c r="N1053" s="23"/>
      <c r="O1053" s="23"/>
      <c r="P1053" s="23"/>
      <c r="Q1053" s="24" t="s">
        <v>31</v>
      </c>
      <c r="R1053" s="25">
        <v>44693</v>
      </c>
      <c r="S1053" s="28"/>
      <c r="T1053" s="35"/>
      <c r="U1053" s="35"/>
      <c r="V1053" s="29"/>
      <c r="W1053" s="35"/>
      <c r="X1053" s="29"/>
      <c r="Y1053" s="36"/>
      <c r="Z1053" s="29"/>
      <c r="AA1053" s="31">
        <f t="shared" si="1"/>
        <v>44693</v>
      </c>
      <c r="AB1053" s="32" t="str">
        <f t="shared" si="5"/>
        <v>mayo</v>
      </c>
    </row>
    <row r="1054" spans="1:28" ht="12.75">
      <c r="A1054" s="9" t="s">
        <v>111</v>
      </c>
      <c r="B1054" s="10">
        <v>44693</v>
      </c>
      <c r="C1054" s="11">
        <v>44700</v>
      </c>
      <c r="D1054" s="42">
        <v>20</v>
      </c>
      <c r="E1054" s="13" t="s">
        <v>1455</v>
      </c>
      <c r="F1054" s="13">
        <v>3025459</v>
      </c>
      <c r="G1054" s="14">
        <v>12745.5</v>
      </c>
      <c r="H1054" s="40">
        <v>9100</v>
      </c>
      <c r="I1054" s="16">
        <f t="shared" ref="I1054:I1058" si="156">H1054*G1054</f>
        <v>115984050</v>
      </c>
      <c r="J1054" s="17">
        <v>28</v>
      </c>
      <c r="K1054" s="34">
        <v>4502328200</v>
      </c>
      <c r="L1054" s="19">
        <v>5081817579</v>
      </c>
      <c r="M1054" s="20">
        <v>5113311062</v>
      </c>
      <c r="N1054" s="23"/>
      <c r="O1054" s="9" t="s">
        <v>37</v>
      </c>
      <c r="P1054" s="23"/>
      <c r="Q1054" s="24" t="s">
        <v>31</v>
      </c>
      <c r="R1054" s="25">
        <v>44693</v>
      </c>
      <c r="S1054" s="28"/>
      <c r="T1054" s="35"/>
      <c r="U1054" s="35"/>
      <c r="V1054" s="29"/>
      <c r="W1054" s="35"/>
      <c r="X1054" s="29"/>
      <c r="Y1054" s="36"/>
      <c r="Z1054" s="29"/>
      <c r="AA1054" s="31">
        <f t="shared" si="1"/>
        <v>44693</v>
      </c>
      <c r="AB1054" s="32" t="str">
        <f t="shared" si="5"/>
        <v>mayo</v>
      </c>
    </row>
    <row r="1055" spans="1:28" ht="12.75">
      <c r="A1055" s="9" t="s">
        <v>819</v>
      </c>
      <c r="B1055" s="10">
        <v>44693</v>
      </c>
      <c r="C1055" s="11"/>
      <c r="D1055" s="42">
        <v>20</v>
      </c>
      <c r="E1055" s="13">
        <v>6031</v>
      </c>
      <c r="F1055" s="13">
        <v>3025460</v>
      </c>
      <c r="G1055" s="14">
        <v>40071</v>
      </c>
      <c r="H1055" s="40">
        <v>9400</v>
      </c>
      <c r="I1055" s="16">
        <f t="shared" si="156"/>
        <v>376667400</v>
      </c>
      <c r="J1055" s="17">
        <v>84</v>
      </c>
      <c r="K1055" s="34">
        <v>4502328201</v>
      </c>
      <c r="L1055" s="19">
        <v>5081817581</v>
      </c>
      <c r="M1055" s="20">
        <v>5113315837</v>
      </c>
      <c r="N1055" s="23"/>
      <c r="O1055" s="9" t="s">
        <v>37</v>
      </c>
      <c r="P1055" s="23" t="s">
        <v>1456</v>
      </c>
      <c r="Q1055" s="24" t="s">
        <v>31</v>
      </c>
      <c r="R1055" s="25">
        <v>44693</v>
      </c>
      <c r="S1055" s="28"/>
      <c r="T1055" s="35"/>
      <c r="U1055" s="35"/>
      <c r="V1055" s="29"/>
      <c r="W1055" s="35"/>
      <c r="X1055" s="29"/>
      <c r="Y1055" s="36"/>
      <c r="Z1055" s="29"/>
      <c r="AA1055" s="31">
        <f t="shared" si="1"/>
        <v>44693</v>
      </c>
      <c r="AB1055" s="32" t="str">
        <f t="shared" si="5"/>
        <v>mayo</v>
      </c>
    </row>
    <row r="1056" spans="1:28" ht="12.75">
      <c r="A1056" s="9" t="s">
        <v>276</v>
      </c>
      <c r="B1056" s="10">
        <v>44697</v>
      </c>
      <c r="C1056" s="11"/>
      <c r="D1056" s="42">
        <v>20</v>
      </c>
      <c r="E1056" s="13" t="s">
        <v>1457</v>
      </c>
      <c r="F1056" s="13">
        <v>3025460</v>
      </c>
      <c r="G1056" s="37">
        <v>7088.5</v>
      </c>
      <c r="H1056" s="40">
        <v>9000</v>
      </c>
      <c r="I1056" s="16">
        <f t="shared" si="156"/>
        <v>63796500</v>
      </c>
      <c r="J1056" s="17">
        <v>14</v>
      </c>
      <c r="K1056" s="34">
        <v>4502328202</v>
      </c>
      <c r="L1056" s="19">
        <v>5081817582</v>
      </c>
      <c r="M1056" s="20">
        <v>5113303934</v>
      </c>
      <c r="N1056" s="23"/>
      <c r="O1056" s="9" t="s">
        <v>63</v>
      </c>
      <c r="P1056" s="23"/>
      <c r="Q1056" s="24" t="s">
        <v>31</v>
      </c>
      <c r="R1056" s="25">
        <v>44693</v>
      </c>
      <c r="S1056" s="28"/>
      <c r="T1056" s="35"/>
      <c r="U1056" s="35"/>
      <c r="V1056" s="29"/>
      <c r="W1056" s="35"/>
      <c r="X1056" s="29"/>
      <c r="Y1056" s="36"/>
      <c r="Z1056" s="29"/>
      <c r="AA1056" s="31">
        <f t="shared" si="1"/>
        <v>44693</v>
      </c>
      <c r="AB1056" s="32" t="str">
        <f t="shared" si="5"/>
        <v>mayo</v>
      </c>
    </row>
    <row r="1057" spans="1:28" ht="12.75">
      <c r="A1057" s="9" t="s">
        <v>276</v>
      </c>
      <c r="B1057" s="10">
        <v>44697</v>
      </c>
      <c r="C1057" s="11"/>
      <c r="D1057" s="42">
        <v>20</v>
      </c>
      <c r="E1057" s="13" t="s">
        <v>1458</v>
      </c>
      <c r="F1057" s="13">
        <v>3025460</v>
      </c>
      <c r="G1057" s="37">
        <v>7088.5</v>
      </c>
      <c r="H1057" s="40">
        <v>50</v>
      </c>
      <c r="I1057" s="16">
        <f t="shared" si="156"/>
        <v>354425</v>
      </c>
      <c r="J1057" s="17">
        <v>0</v>
      </c>
      <c r="K1057" s="34">
        <v>4502328202</v>
      </c>
      <c r="L1057" s="19">
        <v>5081817582</v>
      </c>
      <c r="M1057" s="20">
        <v>5113303936</v>
      </c>
      <c r="N1057" s="23"/>
      <c r="O1057" s="23"/>
      <c r="P1057" s="23"/>
      <c r="Q1057" s="24" t="s">
        <v>31</v>
      </c>
      <c r="R1057" s="25">
        <v>44693</v>
      </c>
      <c r="S1057" s="28"/>
      <c r="T1057" s="35"/>
      <c r="U1057" s="35"/>
      <c r="V1057" s="29"/>
      <c r="W1057" s="35"/>
      <c r="X1057" s="29"/>
      <c r="Y1057" s="36"/>
      <c r="Z1057" s="29"/>
      <c r="AA1057" s="31">
        <f t="shared" si="1"/>
        <v>44693</v>
      </c>
      <c r="AB1057" s="32" t="str">
        <f t="shared" si="5"/>
        <v>mayo</v>
      </c>
    </row>
    <row r="1058" spans="1:28" ht="12.75">
      <c r="A1058" s="9" t="s">
        <v>404</v>
      </c>
      <c r="B1058" s="10">
        <v>44694</v>
      </c>
      <c r="C1058" s="11">
        <v>44697</v>
      </c>
      <c r="D1058" s="42">
        <v>20</v>
      </c>
      <c r="E1058" s="13" t="s">
        <v>1459</v>
      </c>
      <c r="F1058" s="13">
        <v>3025460</v>
      </c>
      <c r="G1058" s="14">
        <v>33883</v>
      </c>
      <c r="H1058" s="40">
        <v>9600</v>
      </c>
      <c r="I1058" s="16">
        <f t="shared" si="156"/>
        <v>325276800</v>
      </c>
      <c r="J1058" s="17">
        <v>72</v>
      </c>
      <c r="K1058" s="34">
        <v>4502328203</v>
      </c>
      <c r="L1058" s="19">
        <v>5081834440</v>
      </c>
      <c r="M1058" s="20">
        <v>5113303597</v>
      </c>
      <c r="N1058" s="23"/>
      <c r="O1058" s="23" t="s">
        <v>37</v>
      </c>
      <c r="P1058" s="23"/>
      <c r="Q1058" s="24" t="s">
        <v>31</v>
      </c>
      <c r="R1058" s="25">
        <v>44693</v>
      </c>
      <c r="S1058" s="28"/>
      <c r="T1058" s="35"/>
      <c r="U1058" s="35"/>
      <c r="V1058" s="29"/>
      <c r="W1058" s="35"/>
      <c r="X1058" s="29"/>
      <c r="Y1058" s="36"/>
      <c r="Z1058" s="29"/>
      <c r="AA1058" s="31">
        <f t="shared" si="1"/>
        <v>44693</v>
      </c>
      <c r="AB1058" s="32" t="str">
        <f t="shared" si="5"/>
        <v>mayo</v>
      </c>
    </row>
    <row r="1059" spans="1:28" ht="12.75">
      <c r="A1059" s="9" t="s">
        <v>404</v>
      </c>
      <c r="B1059" s="10">
        <v>44697</v>
      </c>
      <c r="C1059" s="11">
        <v>44697</v>
      </c>
      <c r="D1059" s="42">
        <v>20</v>
      </c>
      <c r="E1059" s="13" t="s">
        <v>1460</v>
      </c>
      <c r="F1059" s="13">
        <v>3025460</v>
      </c>
      <c r="G1059" s="14">
        <v>33883</v>
      </c>
      <c r="H1059" s="40">
        <f>9600-9589.71</f>
        <v>10.290000000000873</v>
      </c>
      <c r="I1059" s="16">
        <f>-H1059*G1059</f>
        <v>-348656.07000002958</v>
      </c>
      <c r="J1059" s="17">
        <v>0</v>
      </c>
      <c r="K1059" s="34">
        <v>4502328203</v>
      </c>
      <c r="L1059" s="19">
        <v>5081834440</v>
      </c>
      <c r="M1059" s="20">
        <v>5113303598</v>
      </c>
      <c r="N1059" s="23"/>
      <c r="O1059" s="23"/>
      <c r="P1059" s="23"/>
      <c r="Q1059" s="24" t="s">
        <v>31</v>
      </c>
      <c r="R1059" s="25">
        <v>44693</v>
      </c>
      <c r="S1059" s="28"/>
      <c r="T1059" s="35"/>
      <c r="U1059" s="35"/>
      <c r="V1059" s="29"/>
      <c r="W1059" s="35"/>
      <c r="X1059" s="29"/>
      <c r="Y1059" s="36"/>
      <c r="Z1059" s="29"/>
      <c r="AA1059" s="31">
        <f t="shared" si="1"/>
        <v>44693</v>
      </c>
      <c r="AB1059" s="32" t="str">
        <f t="shared" si="5"/>
        <v>mayo</v>
      </c>
    </row>
    <row r="1060" spans="1:28" ht="12.75">
      <c r="A1060" s="22" t="s">
        <v>428</v>
      </c>
      <c r="B1060" s="10">
        <v>44700</v>
      </c>
      <c r="C1060" s="11">
        <v>44700</v>
      </c>
      <c r="D1060" s="42">
        <v>20</v>
      </c>
      <c r="E1060" s="13" t="s">
        <v>1461</v>
      </c>
      <c r="F1060" s="13">
        <v>3025460</v>
      </c>
      <c r="G1060" s="37">
        <v>22472.5</v>
      </c>
      <c r="H1060" s="40">
        <v>9600</v>
      </c>
      <c r="I1060" s="16">
        <f t="shared" ref="I1060:I1065" si="157">H1060*G1060</f>
        <v>215736000</v>
      </c>
      <c r="J1060" s="17">
        <v>45</v>
      </c>
      <c r="K1060" s="34">
        <v>4502328204</v>
      </c>
      <c r="L1060" s="19">
        <v>5081817583</v>
      </c>
      <c r="M1060" s="20">
        <v>5113310585</v>
      </c>
      <c r="N1060" s="23"/>
      <c r="O1060" s="9" t="s">
        <v>63</v>
      </c>
      <c r="P1060" s="23" t="s">
        <v>1462</v>
      </c>
      <c r="Q1060" s="24" t="s">
        <v>31</v>
      </c>
      <c r="R1060" s="25">
        <v>44693</v>
      </c>
      <c r="S1060" s="28"/>
      <c r="T1060" s="35"/>
      <c r="U1060" s="35"/>
      <c r="V1060" s="29"/>
      <c r="W1060" s="35"/>
      <c r="X1060" s="29"/>
      <c r="Y1060" s="36"/>
      <c r="Z1060" s="29"/>
      <c r="AA1060" s="31">
        <f t="shared" si="1"/>
        <v>44693</v>
      </c>
      <c r="AB1060" s="32" t="str">
        <f t="shared" si="5"/>
        <v>mayo</v>
      </c>
    </row>
    <row r="1061" spans="1:28" ht="12.75">
      <c r="A1061" s="9" t="s">
        <v>49</v>
      </c>
      <c r="B1061" s="10">
        <v>44701</v>
      </c>
      <c r="C1061" s="11">
        <v>44701</v>
      </c>
      <c r="D1061" s="42">
        <v>20</v>
      </c>
      <c r="E1061" s="13" t="s">
        <v>1463</v>
      </c>
      <c r="F1061" s="13">
        <v>3025457</v>
      </c>
      <c r="G1061" s="14">
        <v>20254</v>
      </c>
      <c r="H1061" s="57">
        <v>8750</v>
      </c>
      <c r="I1061" s="16">
        <f t="shared" si="157"/>
        <v>177222500</v>
      </c>
      <c r="J1061" s="17">
        <v>45</v>
      </c>
      <c r="K1061" s="34">
        <v>4502330794</v>
      </c>
      <c r="L1061" s="19">
        <v>5081839488</v>
      </c>
      <c r="M1061" s="20">
        <v>5113322053</v>
      </c>
      <c r="N1061" s="9"/>
      <c r="O1061" s="9" t="s">
        <v>63</v>
      </c>
      <c r="P1061" s="23" t="s">
        <v>1464</v>
      </c>
      <c r="Q1061" s="24" t="s">
        <v>671</v>
      </c>
      <c r="R1061" s="25">
        <v>44693</v>
      </c>
      <c r="S1061" s="28"/>
      <c r="T1061" s="35"/>
      <c r="U1061" s="35"/>
      <c r="V1061" s="29"/>
      <c r="W1061" s="35"/>
      <c r="X1061" s="29"/>
      <c r="Y1061" s="36"/>
      <c r="Z1061" s="29"/>
      <c r="AA1061" s="31">
        <f t="shared" si="1"/>
        <v>44693</v>
      </c>
      <c r="AB1061" s="32" t="str">
        <f t="shared" si="5"/>
        <v>mayo</v>
      </c>
    </row>
    <row r="1062" spans="1:28" ht="12.75">
      <c r="A1062" s="9" t="s">
        <v>976</v>
      </c>
      <c r="B1062" s="10">
        <v>44693</v>
      </c>
      <c r="C1062" s="11"/>
      <c r="D1062" s="42">
        <v>20</v>
      </c>
      <c r="E1062" s="13" t="s">
        <v>1465</v>
      </c>
      <c r="F1062" s="13">
        <v>3025457</v>
      </c>
      <c r="G1062" s="14">
        <v>6065</v>
      </c>
      <c r="H1062" s="57">
        <v>8900</v>
      </c>
      <c r="I1062" s="16">
        <f t="shared" si="157"/>
        <v>53978500</v>
      </c>
      <c r="J1062" s="17">
        <v>12</v>
      </c>
      <c r="K1062" s="34">
        <v>4502330797</v>
      </c>
      <c r="L1062" s="19">
        <v>5081839491</v>
      </c>
      <c r="M1062" s="20">
        <v>5113306660</v>
      </c>
      <c r="N1062" s="23"/>
      <c r="O1062" s="23" t="s">
        <v>37</v>
      </c>
      <c r="P1062" s="23"/>
      <c r="Q1062" s="24" t="s">
        <v>671</v>
      </c>
      <c r="R1062" s="25">
        <v>44693</v>
      </c>
      <c r="S1062" s="28"/>
      <c r="T1062" s="35"/>
      <c r="U1062" s="35"/>
      <c r="V1062" s="29"/>
      <c r="W1062" s="35"/>
      <c r="X1062" s="29"/>
      <c r="Y1062" s="36"/>
      <c r="Z1062" s="29"/>
      <c r="AA1062" s="31">
        <f t="shared" si="1"/>
        <v>44693</v>
      </c>
      <c r="AB1062" s="32" t="str">
        <f t="shared" si="5"/>
        <v>mayo</v>
      </c>
    </row>
    <row r="1063" spans="1:28" ht="12.75">
      <c r="A1063" s="9" t="s">
        <v>28</v>
      </c>
      <c r="B1063" s="10">
        <v>44697</v>
      </c>
      <c r="C1063" s="11">
        <v>44698</v>
      </c>
      <c r="D1063" s="42">
        <v>20</v>
      </c>
      <c r="E1063" s="13" t="s">
        <v>1466</v>
      </c>
      <c r="F1063" s="13">
        <v>3025457</v>
      </c>
      <c r="G1063" s="14">
        <v>7385</v>
      </c>
      <c r="H1063" s="57">
        <v>8791.73</v>
      </c>
      <c r="I1063" s="16">
        <f t="shared" si="157"/>
        <v>64926926.049999997</v>
      </c>
      <c r="J1063" s="17">
        <v>14</v>
      </c>
      <c r="K1063" s="34">
        <v>4502330799</v>
      </c>
      <c r="L1063" s="19">
        <v>5081839495</v>
      </c>
      <c r="M1063" s="20">
        <v>5113304096</v>
      </c>
      <c r="N1063" s="23"/>
      <c r="O1063" s="23" t="s">
        <v>37</v>
      </c>
      <c r="P1063" s="23" t="s">
        <v>37</v>
      </c>
      <c r="Q1063" s="24" t="s">
        <v>671</v>
      </c>
      <c r="R1063" s="25">
        <v>44693</v>
      </c>
      <c r="S1063" s="28"/>
      <c r="T1063" s="35"/>
      <c r="U1063" s="35"/>
      <c r="V1063" s="29"/>
      <c r="W1063" s="35"/>
      <c r="X1063" s="29"/>
      <c r="Y1063" s="36"/>
      <c r="Z1063" s="29"/>
      <c r="AA1063" s="31">
        <f t="shared" si="1"/>
        <v>44693</v>
      </c>
      <c r="AB1063" s="32" t="str">
        <f t="shared" si="5"/>
        <v>mayo</v>
      </c>
    </row>
    <row r="1064" spans="1:28" ht="12.75">
      <c r="A1064" s="22" t="s">
        <v>428</v>
      </c>
      <c r="B1064" s="10">
        <v>44700</v>
      </c>
      <c r="C1064" s="11">
        <v>44700</v>
      </c>
      <c r="D1064" s="42">
        <v>20</v>
      </c>
      <c r="E1064" s="13" t="s">
        <v>1364</v>
      </c>
      <c r="F1064" s="13">
        <v>3025460</v>
      </c>
      <c r="G1064" s="37">
        <v>22472.5</v>
      </c>
      <c r="H1064" s="40">
        <v>47.32</v>
      </c>
      <c r="I1064" s="16">
        <f t="shared" si="157"/>
        <v>1063398.7</v>
      </c>
      <c r="J1064" s="17">
        <v>0</v>
      </c>
      <c r="K1064" s="34">
        <v>4502328204</v>
      </c>
      <c r="L1064" s="19">
        <v>5081817583</v>
      </c>
      <c r="M1064" s="20">
        <v>5113310586</v>
      </c>
      <c r="N1064" s="23"/>
      <c r="O1064" s="9"/>
      <c r="P1064" s="23"/>
      <c r="Q1064" s="24" t="s">
        <v>31</v>
      </c>
      <c r="R1064" s="25">
        <v>44693</v>
      </c>
      <c r="S1064" s="28"/>
      <c r="T1064" s="35"/>
      <c r="U1064" s="35"/>
      <c r="V1064" s="29"/>
      <c r="W1064" s="35"/>
      <c r="X1064" s="29"/>
      <c r="Y1064" s="36"/>
      <c r="Z1064" s="29"/>
      <c r="AA1064" s="31">
        <f t="shared" si="1"/>
        <v>44693</v>
      </c>
      <c r="AB1064" s="32" t="str">
        <f t="shared" si="5"/>
        <v>mayo</v>
      </c>
    </row>
    <row r="1065" spans="1:28" ht="12.75">
      <c r="A1065" s="22" t="s">
        <v>428</v>
      </c>
      <c r="B1065" s="10">
        <v>44694</v>
      </c>
      <c r="C1065" s="11">
        <v>44698</v>
      </c>
      <c r="D1065" s="42">
        <v>20</v>
      </c>
      <c r="E1065" s="13" t="s">
        <v>1467</v>
      </c>
      <c r="F1065" s="13">
        <v>3025457</v>
      </c>
      <c r="G1065" s="37">
        <v>27665.5</v>
      </c>
      <c r="H1065" s="40">
        <v>9600</v>
      </c>
      <c r="I1065" s="16">
        <f t="shared" si="157"/>
        <v>265588800</v>
      </c>
      <c r="J1065" s="17">
        <v>60</v>
      </c>
      <c r="K1065" s="34">
        <v>4502328205</v>
      </c>
      <c r="L1065" s="19">
        <v>5081817584</v>
      </c>
      <c r="M1065" s="20">
        <v>5113310681</v>
      </c>
      <c r="N1065" s="23"/>
      <c r="O1065" s="9" t="s">
        <v>63</v>
      </c>
      <c r="P1065" s="23" t="s">
        <v>1462</v>
      </c>
      <c r="Q1065" s="24" t="s">
        <v>31</v>
      </c>
      <c r="R1065" s="25">
        <v>44694</v>
      </c>
      <c r="S1065" s="28"/>
      <c r="T1065" s="35"/>
      <c r="U1065" s="35"/>
      <c r="V1065" s="29"/>
      <c r="W1065" s="35"/>
      <c r="X1065" s="29"/>
      <c r="Y1065" s="36"/>
      <c r="Z1065" s="29"/>
      <c r="AA1065" s="31">
        <f t="shared" si="1"/>
        <v>44694</v>
      </c>
      <c r="AB1065" s="32" t="str">
        <f t="shared" si="5"/>
        <v>mayo</v>
      </c>
    </row>
    <row r="1066" spans="1:28" ht="12.75">
      <c r="A1066" s="22" t="s">
        <v>428</v>
      </c>
      <c r="B1066" s="10">
        <v>44693</v>
      </c>
      <c r="C1066" s="11">
        <v>44698</v>
      </c>
      <c r="D1066" s="42">
        <v>20</v>
      </c>
      <c r="E1066" s="13" t="s">
        <v>1467</v>
      </c>
      <c r="F1066" s="13">
        <v>3025459</v>
      </c>
      <c r="G1066" s="14">
        <f>I1066/H1066</f>
        <v>20471.5</v>
      </c>
      <c r="H1066" s="40">
        <v>9600</v>
      </c>
      <c r="I1066" s="39">
        <v>196526400</v>
      </c>
      <c r="J1066" s="17">
        <v>42</v>
      </c>
      <c r="K1066" s="34">
        <v>4502328206</v>
      </c>
      <c r="L1066" s="19">
        <v>5081817584</v>
      </c>
      <c r="M1066" s="20">
        <v>5113310681</v>
      </c>
      <c r="N1066" s="23"/>
      <c r="O1066" s="9" t="s">
        <v>63</v>
      </c>
      <c r="P1066" s="23"/>
      <c r="Q1066" s="24" t="s">
        <v>31</v>
      </c>
      <c r="R1066" s="25">
        <v>44694</v>
      </c>
      <c r="S1066" s="28"/>
      <c r="T1066" s="35"/>
      <c r="U1066" s="35"/>
      <c r="V1066" s="29"/>
      <c r="W1066" s="35"/>
      <c r="X1066" s="29"/>
      <c r="Y1066" s="36"/>
      <c r="Z1066" s="29"/>
      <c r="AA1066" s="31">
        <f t="shared" si="1"/>
        <v>44694</v>
      </c>
      <c r="AB1066" s="32" t="str">
        <f t="shared" si="5"/>
        <v>mayo</v>
      </c>
    </row>
    <row r="1067" spans="1:28" ht="12.75">
      <c r="A1067" s="9" t="s">
        <v>1412</v>
      </c>
      <c r="B1067" s="10">
        <v>44694</v>
      </c>
      <c r="C1067" s="11">
        <v>44698</v>
      </c>
      <c r="D1067" s="42">
        <v>20</v>
      </c>
      <c r="E1067" s="13" t="s">
        <v>107</v>
      </c>
      <c r="F1067" s="13">
        <v>3025457</v>
      </c>
      <c r="G1067" s="37">
        <v>13533.5</v>
      </c>
      <c r="H1067" s="40">
        <v>9300</v>
      </c>
      <c r="I1067" s="16">
        <f t="shared" ref="I1067:I1068" si="158">H1067*G1067</f>
        <v>125861550</v>
      </c>
      <c r="J1067" s="17">
        <v>28</v>
      </c>
      <c r="K1067" s="34">
        <v>4502328207</v>
      </c>
      <c r="L1067" s="19">
        <v>5081834841</v>
      </c>
      <c r="M1067" s="20">
        <v>5113306853</v>
      </c>
      <c r="N1067" s="23"/>
      <c r="O1067" s="23" t="s">
        <v>37</v>
      </c>
      <c r="P1067" s="23"/>
      <c r="Q1067" s="24" t="s">
        <v>31</v>
      </c>
      <c r="R1067" s="25">
        <v>44694</v>
      </c>
      <c r="S1067" s="28"/>
      <c r="T1067" s="35"/>
      <c r="U1067" s="35"/>
      <c r="V1067" s="29"/>
      <c r="W1067" s="35"/>
      <c r="X1067" s="29"/>
      <c r="Y1067" s="36"/>
      <c r="Z1067" s="29"/>
      <c r="AA1067" s="31">
        <f t="shared" si="1"/>
        <v>44694</v>
      </c>
      <c r="AB1067" s="32" t="str">
        <f t="shared" si="5"/>
        <v>mayo</v>
      </c>
    </row>
    <row r="1068" spans="1:28" ht="12.75">
      <c r="A1068" s="9" t="s">
        <v>1102</v>
      </c>
      <c r="B1068" s="10">
        <v>44699</v>
      </c>
      <c r="C1068" s="11">
        <v>44699</v>
      </c>
      <c r="D1068" s="42">
        <v>20</v>
      </c>
      <c r="E1068" s="13" t="s">
        <v>1468</v>
      </c>
      <c r="F1068" s="13">
        <v>3025457</v>
      </c>
      <c r="G1068" s="37">
        <v>20571.5</v>
      </c>
      <c r="H1068" s="40">
        <v>9500</v>
      </c>
      <c r="I1068" s="16">
        <f t="shared" si="158"/>
        <v>195429250</v>
      </c>
      <c r="J1068" s="17">
        <v>42</v>
      </c>
      <c r="K1068" s="34">
        <v>4502328208</v>
      </c>
      <c r="L1068" s="19">
        <v>5081844411</v>
      </c>
      <c r="M1068" s="20">
        <v>5113309549</v>
      </c>
      <c r="N1068" s="23"/>
      <c r="O1068" s="9" t="s">
        <v>37</v>
      </c>
      <c r="P1068" s="23" t="s">
        <v>1469</v>
      </c>
      <c r="Q1068" s="24" t="s">
        <v>31</v>
      </c>
      <c r="R1068" s="25">
        <v>44694</v>
      </c>
      <c r="S1068" s="28"/>
      <c r="T1068" s="35"/>
      <c r="U1068" s="35"/>
      <c r="V1068" s="29"/>
      <c r="W1068" s="35"/>
      <c r="X1068" s="29"/>
      <c r="Y1068" s="36"/>
      <c r="Z1068" s="29"/>
      <c r="AA1068" s="31">
        <f t="shared" si="1"/>
        <v>44694</v>
      </c>
      <c r="AB1068" s="32" t="str">
        <f t="shared" si="5"/>
        <v>mayo</v>
      </c>
    </row>
    <row r="1069" spans="1:28" ht="12.75">
      <c r="A1069" s="9" t="s">
        <v>1102</v>
      </c>
      <c r="B1069" s="10">
        <v>44699</v>
      </c>
      <c r="C1069" s="11">
        <v>44699</v>
      </c>
      <c r="D1069" s="42">
        <v>20</v>
      </c>
      <c r="E1069" s="13" t="s">
        <v>1470</v>
      </c>
      <c r="F1069" s="13">
        <v>3025457</v>
      </c>
      <c r="G1069" s="37">
        <v>20571.5</v>
      </c>
      <c r="H1069" s="40">
        <f>9500-9428.36</f>
        <v>71.639999999999418</v>
      </c>
      <c r="I1069" s="16">
        <f>-H1069*G1069</f>
        <v>-1473742.2599999881</v>
      </c>
      <c r="J1069" s="17">
        <v>0</v>
      </c>
      <c r="K1069" s="34">
        <v>4502328208</v>
      </c>
      <c r="L1069" s="19">
        <v>5081844411</v>
      </c>
      <c r="M1069" s="20">
        <v>5113309551</v>
      </c>
      <c r="N1069" s="23"/>
      <c r="O1069" s="23"/>
      <c r="P1069" s="23"/>
      <c r="Q1069" s="24" t="s">
        <v>31</v>
      </c>
      <c r="R1069" s="25">
        <v>44694</v>
      </c>
      <c r="S1069" s="28"/>
      <c r="T1069" s="35"/>
      <c r="U1069" s="35"/>
      <c r="V1069" s="29"/>
      <c r="W1069" s="35"/>
      <c r="X1069" s="29"/>
      <c r="Y1069" s="36"/>
      <c r="Z1069" s="29"/>
      <c r="AA1069" s="31">
        <f t="shared" si="1"/>
        <v>44694</v>
      </c>
      <c r="AB1069" s="32" t="str">
        <f t="shared" si="5"/>
        <v>mayo</v>
      </c>
    </row>
    <row r="1070" spans="1:28" ht="12.75">
      <c r="A1070" s="9" t="s">
        <v>58</v>
      </c>
      <c r="B1070" s="10">
        <v>44699</v>
      </c>
      <c r="C1070" s="11">
        <v>44699</v>
      </c>
      <c r="D1070" s="42">
        <v>20</v>
      </c>
      <c r="E1070" s="13" t="s">
        <v>1471</v>
      </c>
      <c r="F1070" s="13">
        <v>3025460</v>
      </c>
      <c r="G1070" s="14">
        <v>34204</v>
      </c>
      <c r="H1070" s="40">
        <v>9600</v>
      </c>
      <c r="I1070" s="16">
        <f>H1070*G1070</f>
        <v>328358400</v>
      </c>
      <c r="J1070" s="17">
        <v>76</v>
      </c>
      <c r="K1070" s="34">
        <v>4502328209</v>
      </c>
      <c r="L1070" s="19">
        <v>5081844412</v>
      </c>
      <c r="M1070" s="20">
        <v>5113332892</v>
      </c>
      <c r="N1070" s="44"/>
      <c r="O1070" s="23" t="s">
        <v>37</v>
      </c>
      <c r="P1070" s="23" t="s">
        <v>1472</v>
      </c>
      <c r="Q1070" s="24" t="s">
        <v>31</v>
      </c>
      <c r="R1070" s="25">
        <v>44694</v>
      </c>
      <c r="S1070" s="28"/>
      <c r="T1070" s="35"/>
      <c r="U1070" s="35"/>
      <c r="V1070" s="29"/>
      <c r="W1070" s="35"/>
      <c r="X1070" s="29"/>
      <c r="Y1070" s="36"/>
      <c r="Z1070" s="29"/>
      <c r="AA1070" s="31">
        <f t="shared" si="1"/>
        <v>44694</v>
      </c>
      <c r="AB1070" s="32" t="str">
        <f t="shared" si="5"/>
        <v>mayo</v>
      </c>
    </row>
    <row r="1071" spans="1:28" ht="12.75">
      <c r="A1071" s="9" t="s">
        <v>58</v>
      </c>
      <c r="B1071" s="10">
        <v>44700</v>
      </c>
      <c r="C1071" s="11">
        <v>44700</v>
      </c>
      <c r="D1071" s="42">
        <v>20</v>
      </c>
      <c r="E1071" s="13" t="s">
        <v>1473</v>
      </c>
      <c r="F1071" s="13">
        <v>3025460</v>
      </c>
      <c r="G1071" s="14">
        <v>34204</v>
      </c>
      <c r="H1071" s="40">
        <f>9600-9596.53</f>
        <v>3.4699999999993452</v>
      </c>
      <c r="I1071" s="16">
        <f>-H1071*G1071</f>
        <v>-118687.87999997759</v>
      </c>
      <c r="J1071" s="17">
        <v>0</v>
      </c>
      <c r="K1071" s="34">
        <v>4502328209</v>
      </c>
      <c r="L1071" s="19">
        <v>5081844412</v>
      </c>
      <c r="M1071" s="20">
        <v>5113332893</v>
      </c>
      <c r="N1071" s="44"/>
      <c r="O1071" s="23"/>
      <c r="P1071" s="23"/>
      <c r="Q1071" s="24" t="s">
        <v>31</v>
      </c>
      <c r="R1071" s="25">
        <v>44694</v>
      </c>
      <c r="S1071" s="28"/>
      <c r="T1071" s="35"/>
      <c r="U1071" s="35"/>
      <c r="V1071" s="29"/>
      <c r="W1071" s="35"/>
      <c r="X1071" s="29"/>
      <c r="Y1071" s="36"/>
      <c r="Z1071" s="29"/>
      <c r="AA1071" s="31">
        <f t="shared" si="1"/>
        <v>44694</v>
      </c>
      <c r="AB1071" s="32" t="str">
        <f t="shared" si="5"/>
        <v>mayo</v>
      </c>
    </row>
    <row r="1072" spans="1:28" ht="12.75">
      <c r="A1072" s="9" t="s">
        <v>58</v>
      </c>
      <c r="B1072" s="10">
        <v>44699</v>
      </c>
      <c r="C1072" s="11">
        <v>44699</v>
      </c>
      <c r="D1072" s="42">
        <v>20</v>
      </c>
      <c r="E1072" s="13" t="s">
        <v>1474</v>
      </c>
      <c r="F1072" s="13">
        <v>3025460</v>
      </c>
      <c r="G1072" s="14">
        <v>7021</v>
      </c>
      <c r="H1072" s="40">
        <v>9600</v>
      </c>
      <c r="I1072" s="16">
        <f>H1072*G1072</f>
        <v>67401600</v>
      </c>
      <c r="J1072" s="17">
        <v>15</v>
      </c>
      <c r="K1072" s="34">
        <v>4502328209</v>
      </c>
      <c r="L1072" s="19">
        <v>5081844412</v>
      </c>
      <c r="M1072" s="20">
        <v>5113332894</v>
      </c>
      <c r="N1072" s="44"/>
      <c r="O1072" s="23" t="s">
        <v>37</v>
      </c>
      <c r="P1072" s="23" t="s">
        <v>1475</v>
      </c>
      <c r="Q1072" s="24" t="s">
        <v>31</v>
      </c>
      <c r="R1072" s="25">
        <v>44694</v>
      </c>
      <c r="S1072" s="28"/>
      <c r="T1072" s="35"/>
      <c r="U1072" s="35"/>
      <c r="V1072" s="29"/>
      <c r="W1072" s="35"/>
      <c r="X1072" s="29"/>
      <c r="Y1072" s="36"/>
      <c r="Z1072" s="29"/>
      <c r="AA1072" s="31">
        <f t="shared" si="1"/>
        <v>44694</v>
      </c>
      <c r="AB1072" s="32" t="str">
        <f t="shared" si="5"/>
        <v>mayo</v>
      </c>
    </row>
    <row r="1073" spans="1:28" ht="12.75">
      <c r="A1073" s="9" t="s">
        <v>58</v>
      </c>
      <c r="B1073" s="10">
        <v>44700</v>
      </c>
      <c r="C1073" s="11">
        <v>44700</v>
      </c>
      <c r="D1073" s="42">
        <v>20</v>
      </c>
      <c r="E1073" s="13" t="s">
        <v>1476</v>
      </c>
      <c r="F1073" s="13">
        <v>3025460</v>
      </c>
      <c r="G1073" s="14">
        <v>7021</v>
      </c>
      <c r="H1073" s="40">
        <f>9600-9451.43</f>
        <v>148.56999999999971</v>
      </c>
      <c r="I1073" s="16">
        <f>-H1073*G1073</f>
        <v>-1043109.969999998</v>
      </c>
      <c r="J1073" s="17">
        <v>0</v>
      </c>
      <c r="K1073" s="34">
        <v>4502328209</v>
      </c>
      <c r="L1073" s="19">
        <v>5081844412</v>
      </c>
      <c r="M1073" s="20">
        <v>5113332896</v>
      </c>
      <c r="N1073" s="44"/>
      <c r="O1073" s="23"/>
      <c r="P1073" s="23"/>
      <c r="Q1073" s="24" t="s">
        <v>31</v>
      </c>
      <c r="R1073" s="25">
        <v>44694</v>
      </c>
      <c r="S1073" s="28"/>
      <c r="T1073" s="35"/>
      <c r="U1073" s="35"/>
      <c r="V1073" s="29"/>
      <c r="W1073" s="35"/>
      <c r="X1073" s="29"/>
      <c r="Y1073" s="36"/>
      <c r="Z1073" s="29"/>
      <c r="AA1073" s="31">
        <f t="shared" si="1"/>
        <v>44694</v>
      </c>
      <c r="AB1073" s="32" t="str">
        <f t="shared" si="5"/>
        <v>mayo</v>
      </c>
    </row>
    <row r="1074" spans="1:28" ht="12.75">
      <c r="A1074" s="9" t="s">
        <v>80</v>
      </c>
      <c r="B1074" s="10">
        <v>44694</v>
      </c>
      <c r="C1074" s="11">
        <v>44698</v>
      </c>
      <c r="D1074" s="42">
        <v>20</v>
      </c>
      <c r="E1074" s="13" t="s">
        <v>1477</v>
      </c>
      <c r="F1074" s="13">
        <v>3025461</v>
      </c>
      <c r="G1074" s="14">
        <v>39797</v>
      </c>
      <c r="H1074" s="15">
        <v>9000</v>
      </c>
      <c r="I1074" s="16">
        <f t="shared" ref="I1074:I1081" si="159">H1074*G1074</f>
        <v>358173000</v>
      </c>
      <c r="J1074" s="17">
        <v>83</v>
      </c>
      <c r="K1074" s="34">
        <v>4502330823</v>
      </c>
      <c r="L1074" s="19">
        <v>5081839727</v>
      </c>
      <c r="M1074" s="20">
        <v>5113304566</v>
      </c>
      <c r="N1074" s="23" t="s">
        <v>37</v>
      </c>
      <c r="O1074" s="44" t="s">
        <v>1478</v>
      </c>
      <c r="P1074" s="23" t="s">
        <v>37</v>
      </c>
      <c r="Q1074" s="24" t="s">
        <v>522</v>
      </c>
      <c r="R1074" s="25">
        <v>44694</v>
      </c>
      <c r="S1074" s="34">
        <v>4502330823</v>
      </c>
      <c r="T1074" s="28" t="s">
        <v>1479</v>
      </c>
      <c r="U1074" s="28" t="s">
        <v>1480</v>
      </c>
      <c r="V1074" s="29">
        <v>5113305491</v>
      </c>
      <c r="W1074" s="28" t="s">
        <v>1481</v>
      </c>
      <c r="X1074" s="29">
        <v>5113306953</v>
      </c>
      <c r="Y1074" s="36"/>
      <c r="Z1074" s="29"/>
      <c r="AA1074" s="31">
        <f t="shared" si="1"/>
        <v>44694</v>
      </c>
      <c r="AB1074" s="32" t="str">
        <f t="shared" si="5"/>
        <v>mayo</v>
      </c>
    </row>
    <row r="1075" spans="1:28" ht="12.75">
      <c r="A1075" s="9" t="s">
        <v>85</v>
      </c>
      <c r="B1075" s="10">
        <v>44694</v>
      </c>
      <c r="C1075" s="11">
        <v>44700</v>
      </c>
      <c r="D1075" s="42">
        <v>20</v>
      </c>
      <c r="E1075" s="13" t="s">
        <v>1482</v>
      </c>
      <c r="F1075" s="13">
        <v>3025461</v>
      </c>
      <c r="G1075" s="14">
        <v>20031</v>
      </c>
      <c r="H1075" s="15">
        <v>9050</v>
      </c>
      <c r="I1075" s="16">
        <f t="shared" si="159"/>
        <v>181280550</v>
      </c>
      <c r="J1075" s="17">
        <v>42</v>
      </c>
      <c r="K1075" s="34">
        <v>4502330832</v>
      </c>
      <c r="L1075" s="19">
        <v>5081839903</v>
      </c>
      <c r="M1075" s="20">
        <v>5113311061</v>
      </c>
      <c r="N1075" s="23"/>
      <c r="O1075" s="44" t="s">
        <v>1483</v>
      </c>
      <c r="P1075" s="23" t="s">
        <v>1484</v>
      </c>
      <c r="Q1075" s="24" t="s">
        <v>522</v>
      </c>
      <c r="R1075" s="25">
        <v>44694</v>
      </c>
      <c r="S1075" s="34">
        <v>4502330832</v>
      </c>
      <c r="T1075" s="27">
        <f>1371100*3</f>
        <v>4113300</v>
      </c>
      <c r="U1075" s="28" t="s">
        <v>1485</v>
      </c>
      <c r="V1075" s="29">
        <v>5113305493</v>
      </c>
      <c r="W1075" s="35"/>
      <c r="X1075" s="29"/>
      <c r="Y1075" s="36"/>
      <c r="Z1075" s="29"/>
      <c r="AA1075" s="31">
        <f t="shared" si="1"/>
        <v>44694</v>
      </c>
      <c r="AB1075" s="32" t="str">
        <f t="shared" si="5"/>
        <v>mayo</v>
      </c>
    </row>
    <row r="1076" spans="1:28" ht="12.75">
      <c r="A1076" s="9" t="s">
        <v>87</v>
      </c>
      <c r="B1076" s="10">
        <v>44694</v>
      </c>
      <c r="C1076" s="11"/>
      <c r="D1076" s="42">
        <v>20</v>
      </c>
      <c r="E1076" s="13" t="s">
        <v>1486</v>
      </c>
      <c r="F1076" s="13">
        <v>3025461</v>
      </c>
      <c r="G1076" s="14">
        <v>20708</v>
      </c>
      <c r="H1076" s="15">
        <v>9000</v>
      </c>
      <c r="I1076" s="16">
        <f t="shared" si="159"/>
        <v>186372000</v>
      </c>
      <c r="J1076" s="17">
        <v>42</v>
      </c>
      <c r="K1076" s="34">
        <v>4502330839</v>
      </c>
      <c r="L1076" s="19">
        <v>5081839906</v>
      </c>
      <c r="M1076" s="20">
        <v>5113306666</v>
      </c>
      <c r="N1076" s="23"/>
      <c r="O1076" s="44" t="s">
        <v>1487</v>
      </c>
      <c r="P1076" s="9" t="s">
        <v>63</v>
      </c>
      <c r="Q1076" s="24" t="s">
        <v>522</v>
      </c>
      <c r="R1076" s="25">
        <v>44694</v>
      </c>
      <c r="S1076" s="34">
        <v>4502330839</v>
      </c>
      <c r="T1076" s="35">
        <f>1266900*3</f>
        <v>3800700</v>
      </c>
      <c r="U1076" s="28" t="s">
        <v>1488</v>
      </c>
      <c r="V1076" s="29">
        <v>5113305496</v>
      </c>
      <c r="W1076" s="35"/>
      <c r="X1076" s="29"/>
      <c r="Y1076" s="36"/>
      <c r="Z1076" s="29"/>
      <c r="AA1076" s="31">
        <f t="shared" si="1"/>
        <v>44694</v>
      </c>
      <c r="AB1076" s="32" t="str">
        <f t="shared" si="5"/>
        <v>mayo</v>
      </c>
    </row>
    <row r="1077" spans="1:28" ht="12.75">
      <c r="A1077" s="9" t="s">
        <v>94</v>
      </c>
      <c r="B1077" s="10">
        <v>44700</v>
      </c>
      <c r="C1077" s="11">
        <v>44700</v>
      </c>
      <c r="D1077" s="42">
        <v>20</v>
      </c>
      <c r="E1077" s="13" t="s">
        <v>1489</v>
      </c>
      <c r="F1077" s="13">
        <v>3025461</v>
      </c>
      <c r="G1077" s="14">
        <v>6243</v>
      </c>
      <c r="H1077" s="15">
        <v>8900</v>
      </c>
      <c r="I1077" s="16">
        <f t="shared" si="159"/>
        <v>55562700</v>
      </c>
      <c r="J1077" s="17">
        <v>14</v>
      </c>
      <c r="K1077" s="34">
        <v>4502330855</v>
      </c>
      <c r="L1077" s="19">
        <v>5081840036</v>
      </c>
      <c r="M1077" s="20">
        <v>5113311058</v>
      </c>
      <c r="N1077" s="23"/>
      <c r="O1077" s="44" t="s">
        <v>1490</v>
      </c>
      <c r="P1077" s="23"/>
      <c r="Q1077" s="24" t="s">
        <v>522</v>
      </c>
      <c r="R1077" s="25">
        <v>44694</v>
      </c>
      <c r="S1077" s="34">
        <v>4502330855</v>
      </c>
      <c r="T1077" s="28">
        <v>1262800</v>
      </c>
      <c r="U1077" s="28" t="s">
        <v>1491</v>
      </c>
      <c r="V1077" s="29">
        <v>5113305541</v>
      </c>
      <c r="W1077" s="35"/>
      <c r="X1077" s="29"/>
      <c r="Y1077" s="36"/>
      <c r="Z1077" s="29"/>
      <c r="AA1077" s="31">
        <f t="shared" si="1"/>
        <v>44694</v>
      </c>
      <c r="AB1077" s="32" t="str">
        <f t="shared" si="5"/>
        <v>mayo</v>
      </c>
    </row>
    <row r="1078" spans="1:28" ht="12.75">
      <c r="A1078" s="9" t="s">
        <v>58</v>
      </c>
      <c r="B1078" s="10">
        <v>44698</v>
      </c>
      <c r="C1078" s="11">
        <v>44698</v>
      </c>
      <c r="D1078" s="42">
        <v>20</v>
      </c>
      <c r="E1078" s="13" t="s">
        <v>1492</v>
      </c>
      <c r="F1078" s="13">
        <v>3025461</v>
      </c>
      <c r="G1078" s="14">
        <v>28690</v>
      </c>
      <c r="H1078" s="40">
        <v>9700</v>
      </c>
      <c r="I1078" s="16">
        <f t="shared" si="159"/>
        <v>278293000</v>
      </c>
      <c r="J1078" s="17">
        <v>58</v>
      </c>
      <c r="K1078" s="34">
        <v>4502331302</v>
      </c>
      <c r="L1078" s="19">
        <v>5081846492</v>
      </c>
      <c r="M1078" s="20">
        <v>5113309367</v>
      </c>
      <c r="N1078" s="44"/>
      <c r="O1078" s="23" t="s">
        <v>37</v>
      </c>
      <c r="P1078" s="23"/>
      <c r="Q1078" s="24" t="s">
        <v>522</v>
      </c>
      <c r="R1078" s="25">
        <v>44694</v>
      </c>
      <c r="S1078" s="28"/>
      <c r="T1078" s="35"/>
      <c r="U1078" s="35"/>
      <c r="V1078" s="29"/>
      <c r="W1078" s="35"/>
      <c r="X1078" s="29"/>
      <c r="Y1078" s="36"/>
      <c r="Z1078" s="29"/>
      <c r="AA1078" s="31">
        <f t="shared" si="1"/>
        <v>44694</v>
      </c>
      <c r="AB1078" s="32" t="str">
        <f t="shared" si="5"/>
        <v>mayo</v>
      </c>
    </row>
    <row r="1079" spans="1:28" ht="12.75">
      <c r="A1079" s="9" t="s">
        <v>58</v>
      </c>
      <c r="B1079" s="10">
        <v>44699</v>
      </c>
      <c r="C1079" s="11">
        <v>44699</v>
      </c>
      <c r="D1079" s="42">
        <v>20</v>
      </c>
      <c r="E1079" s="13" t="s">
        <v>1493</v>
      </c>
      <c r="F1079" s="13">
        <v>3025461</v>
      </c>
      <c r="G1079" s="14">
        <v>28690</v>
      </c>
      <c r="H1079" s="40">
        <v>100</v>
      </c>
      <c r="I1079" s="16">
        <f t="shared" si="159"/>
        <v>2869000</v>
      </c>
      <c r="J1079" s="17">
        <v>0</v>
      </c>
      <c r="K1079" s="34">
        <v>4502331302</v>
      </c>
      <c r="L1079" s="19">
        <v>5081846492</v>
      </c>
      <c r="M1079" s="20">
        <v>5113309368</v>
      </c>
      <c r="N1079" s="44"/>
      <c r="O1079" s="23"/>
      <c r="P1079" s="23"/>
      <c r="Q1079" s="24" t="s">
        <v>522</v>
      </c>
      <c r="R1079" s="25">
        <v>44694</v>
      </c>
      <c r="S1079" s="28"/>
      <c r="T1079" s="35"/>
      <c r="U1079" s="35"/>
      <c r="V1079" s="29"/>
      <c r="W1079" s="35"/>
      <c r="X1079" s="29"/>
      <c r="Y1079" s="36"/>
      <c r="Z1079" s="29"/>
      <c r="AA1079" s="31">
        <f t="shared" si="1"/>
        <v>44694</v>
      </c>
      <c r="AB1079" s="32" t="str">
        <f t="shared" si="5"/>
        <v>mayo</v>
      </c>
    </row>
    <row r="1080" spans="1:28" ht="12.75">
      <c r="A1080" s="9" t="s">
        <v>621</v>
      </c>
      <c r="B1080" s="10">
        <v>44700</v>
      </c>
      <c r="C1080" s="11">
        <v>44700</v>
      </c>
      <c r="D1080" s="42">
        <v>20</v>
      </c>
      <c r="E1080" s="13" t="s">
        <v>1494</v>
      </c>
      <c r="F1080" s="13">
        <v>3025457</v>
      </c>
      <c r="G1080" s="14">
        <v>5971.5</v>
      </c>
      <c r="H1080" s="40">
        <v>9200</v>
      </c>
      <c r="I1080" s="16">
        <f t="shared" si="159"/>
        <v>54937800</v>
      </c>
      <c r="J1080" s="17">
        <v>14</v>
      </c>
      <c r="K1080" s="34">
        <v>4502328210</v>
      </c>
      <c r="L1080" s="19">
        <v>5081835005</v>
      </c>
      <c r="M1080" s="20">
        <v>5113311059</v>
      </c>
      <c r="N1080" s="23"/>
      <c r="O1080" s="9" t="s">
        <v>63</v>
      </c>
      <c r="P1080" s="23"/>
      <c r="Q1080" s="24" t="s">
        <v>31</v>
      </c>
      <c r="R1080" s="25">
        <v>44695</v>
      </c>
      <c r="S1080" s="28"/>
      <c r="T1080" s="35"/>
      <c r="U1080" s="35"/>
      <c r="V1080" s="29"/>
      <c r="W1080" s="35"/>
      <c r="X1080" s="29"/>
      <c r="Y1080" s="36"/>
      <c r="Z1080" s="29"/>
      <c r="AA1080" s="31">
        <f t="shared" si="1"/>
        <v>44695</v>
      </c>
      <c r="AB1080" s="32" t="str">
        <f t="shared" si="5"/>
        <v>mayo</v>
      </c>
    </row>
    <row r="1081" spans="1:28" ht="12.75">
      <c r="A1081" s="22" t="s">
        <v>404</v>
      </c>
      <c r="B1081" s="10">
        <v>44698</v>
      </c>
      <c r="C1081" s="11">
        <v>44699</v>
      </c>
      <c r="D1081" s="42">
        <v>20</v>
      </c>
      <c r="E1081" s="13" t="s">
        <v>1495</v>
      </c>
      <c r="F1081" s="13">
        <v>3025457</v>
      </c>
      <c r="G1081" s="37">
        <v>32603.5</v>
      </c>
      <c r="H1081" s="40">
        <v>9600</v>
      </c>
      <c r="I1081" s="16">
        <f t="shared" si="159"/>
        <v>312993600</v>
      </c>
      <c r="J1081" s="17">
        <v>70</v>
      </c>
      <c r="K1081" s="34">
        <v>4502328211</v>
      </c>
      <c r="L1081" s="19">
        <v>5081835169</v>
      </c>
      <c r="M1081" s="20">
        <v>5113307148</v>
      </c>
      <c r="N1081" s="23"/>
      <c r="O1081" s="23" t="s">
        <v>37</v>
      </c>
      <c r="P1081" s="23" t="s">
        <v>1496</v>
      </c>
      <c r="Q1081" s="24" t="s">
        <v>31</v>
      </c>
      <c r="R1081" s="25">
        <v>44695</v>
      </c>
      <c r="S1081" s="28"/>
      <c r="T1081" s="35"/>
      <c r="U1081" s="35"/>
      <c r="V1081" s="29"/>
      <c r="W1081" s="35"/>
      <c r="X1081" s="29"/>
      <c r="Y1081" s="36"/>
      <c r="Z1081" s="29"/>
      <c r="AA1081" s="31">
        <f t="shared" si="1"/>
        <v>44695</v>
      </c>
      <c r="AB1081" s="32" t="str">
        <f t="shared" si="5"/>
        <v>mayo</v>
      </c>
    </row>
    <row r="1082" spans="1:28" ht="12.75">
      <c r="A1082" s="9" t="s">
        <v>404</v>
      </c>
      <c r="B1082" s="10">
        <v>44698</v>
      </c>
      <c r="C1082" s="11">
        <v>44699</v>
      </c>
      <c r="D1082" s="42">
        <v>20</v>
      </c>
      <c r="E1082" s="13" t="s">
        <v>1497</v>
      </c>
      <c r="F1082" s="13">
        <v>3025457</v>
      </c>
      <c r="G1082" s="37">
        <v>32603.5</v>
      </c>
      <c r="H1082" s="40">
        <f>9600-9598.78</f>
        <v>1.2199999999993452</v>
      </c>
      <c r="I1082" s="16">
        <f>-H1082*G1082</f>
        <v>-39776.269999978649</v>
      </c>
      <c r="J1082" s="17">
        <v>0</v>
      </c>
      <c r="K1082" s="34">
        <v>4502328211</v>
      </c>
      <c r="L1082" s="19">
        <v>5081835169</v>
      </c>
      <c r="M1082" s="20">
        <v>5113307150</v>
      </c>
      <c r="N1082" s="23"/>
      <c r="O1082" s="23"/>
      <c r="P1082" s="23"/>
      <c r="Q1082" s="24" t="s">
        <v>31</v>
      </c>
      <c r="R1082" s="25">
        <v>44695</v>
      </c>
      <c r="S1082" s="28"/>
      <c r="T1082" s="35"/>
      <c r="U1082" s="35"/>
      <c r="V1082" s="29"/>
      <c r="W1082" s="35"/>
      <c r="X1082" s="29"/>
      <c r="Y1082" s="36"/>
      <c r="Z1082" s="29"/>
      <c r="AA1082" s="31">
        <f t="shared" si="1"/>
        <v>44695</v>
      </c>
      <c r="AB1082" s="32" t="str">
        <f t="shared" si="5"/>
        <v>mayo</v>
      </c>
    </row>
    <row r="1083" spans="1:28" ht="12.75">
      <c r="A1083" s="22" t="s">
        <v>428</v>
      </c>
      <c r="B1083" s="10">
        <v>44697</v>
      </c>
      <c r="C1083" s="11">
        <v>44700</v>
      </c>
      <c r="D1083" s="42">
        <v>20</v>
      </c>
      <c r="E1083" s="13" t="s">
        <v>1498</v>
      </c>
      <c r="F1083" s="13">
        <v>3025459</v>
      </c>
      <c r="G1083" s="37">
        <v>13434.5</v>
      </c>
      <c r="H1083" s="40">
        <v>9200</v>
      </c>
      <c r="I1083" s="16">
        <f>H1083*G1083</f>
        <v>123597400</v>
      </c>
      <c r="J1083" s="17">
        <v>30</v>
      </c>
      <c r="K1083" s="34">
        <v>4502328206</v>
      </c>
      <c r="L1083" s="19">
        <v>5081899452</v>
      </c>
      <c r="M1083" s="20">
        <v>5113310678</v>
      </c>
      <c r="N1083" s="23"/>
      <c r="O1083" s="9" t="s">
        <v>63</v>
      </c>
      <c r="P1083" s="23"/>
      <c r="Q1083" s="24" t="s">
        <v>31</v>
      </c>
      <c r="R1083" s="25">
        <v>44694</v>
      </c>
      <c r="S1083" s="28"/>
      <c r="T1083" s="35"/>
      <c r="U1083" s="35"/>
      <c r="V1083" s="29"/>
      <c r="W1083" s="35"/>
      <c r="X1083" s="29"/>
      <c r="Y1083" s="36"/>
      <c r="Z1083" s="29"/>
      <c r="AA1083" s="31">
        <f t="shared" si="1"/>
        <v>44694</v>
      </c>
      <c r="AB1083" s="32" t="str">
        <f t="shared" si="5"/>
        <v>mayo</v>
      </c>
    </row>
    <row r="1084" spans="1:28" ht="12.75">
      <c r="A1084" s="22" t="s">
        <v>428</v>
      </c>
      <c r="B1084" s="10">
        <v>44697</v>
      </c>
      <c r="C1084" s="11">
        <v>44700</v>
      </c>
      <c r="D1084" s="42">
        <v>20</v>
      </c>
      <c r="E1084" s="13" t="s">
        <v>1499</v>
      </c>
      <c r="F1084" s="13">
        <v>3025459</v>
      </c>
      <c r="G1084" s="37">
        <v>13434.5</v>
      </c>
      <c r="H1084" s="40">
        <f>9200-9071.66</f>
        <v>128.34000000000015</v>
      </c>
      <c r="I1084" s="16">
        <f>-H1084*G1084</f>
        <v>-1724183.7300000018</v>
      </c>
      <c r="J1084" s="17">
        <v>0</v>
      </c>
      <c r="K1084" s="34">
        <v>4502328206</v>
      </c>
      <c r="L1084" s="19">
        <v>5081899452</v>
      </c>
      <c r="M1084" s="20">
        <v>5113310679</v>
      </c>
      <c r="N1084" s="23"/>
      <c r="O1084" s="9"/>
      <c r="P1084" s="23"/>
      <c r="Q1084" s="24" t="s">
        <v>31</v>
      </c>
      <c r="R1084" s="25">
        <v>44694</v>
      </c>
      <c r="S1084" s="28"/>
      <c r="T1084" s="35"/>
      <c r="U1084" s="35"/>
      <c r="V1084" s="29"/>
      <c r="W1084" s="35"/>
      <c r="X1084" s="29"/>
      <c r="Y1084" s="36"/>
      <c r="Z1084" s="29"/>
      <c r="AA1084" s="31">
        <f t="shared" si="1"/>
        <v>44694</v>
      </c>
      <c r="AB1084" s="32" t="str">
        <f t="shared" si="5"/>
        <v>mayo</v>
      </c>
    </row>
    <row r="1085" spans="1:28" ht="12.75">
      <c r="A1085" s="22" t="s">
        <v>428</v>
      </c>
      <c r="B1085" s="10">
        <v>44697</v>
      </c>
      <c r="C1085" s="11">
        <v>44700</v>
      </c>
      <c r="D1085" s="42">
        <v>20</v>
      </c>
      <c r="E1085" s="13" t="s">
        <v>1467</v>
      </c>
      <c r="F1085" s="13">
        <v>3025460</v>
      </c>
      <c r="G1085" s="37">
        <v>11630.5</v>
      </c>
      <c r="H1085" s="40">
        <v>9600</v>
      </c>
      <c r="I1085" s="16">
        <f t="shared" ref="I1085:I1087" si="160">H1085*G1085</f>
        <v>111652800</v>
      </c>
      <c r="J1085" s="17">
        <v>29</v>
      </c>
      <c r="K1085" s="34">
        <v>4502328212</v>
      </c>
      <c r="L1085" s="19">
        <v>5081817584</v>
      </c>
      <c r="M1085" s="20">
        <v>5113310681</v>
      </c>
      <c r="N1085" s="23"/>
      <c r="O1085" s="9" t="s">
        <v>63</v>
      </c>
      <c r="P1085" s="23"/>
      <c r="Q1085" s="24" t="s">
        <v>31</v>
      </c>
      <c r="R1085" s="25">
        <v>44695</v>
      </c>
      <c r="S1085" s="28"/>
      <c r="T1085" s="35"/>
      <c r="U1085" s="35"/>
      <c r="V1085" s="29"/>
      <c r="W1085" s="35"/>
      <c r="X1085" s="29"/>
      <c r="Y1085" s="36"/>
      <c r="Z1085" s="29"/>
      <c r="AA1085" s="31">
        <f t="shared" si="1"/>
        <v>44695</v>
      </c>
      <c r="AB1085" s="32" t="str">
        <f t="shared" si="5"/>
        <v>mayo</v>
      </c>
    </row>
    <row r="1086" spans="1:28" ht="12.75">
      <c r="A1086" s="107" t="s">
        <v>428</v>
      </c>
      <c r="B1086" s="10">
        <v>44697</v>
      </c>
      <c r="C1086" s="11">
        <v>44700</v>
      </c>
      <c r="D1086" s="42">
        <v>20</v>
      </c>
      <c r="E1086" s="13" t="s">
        <v>1500</v>
      </c>
      <c r="F1086" s="13">
        <v>3025460</v>
      </c>
      <c r="G1086" s="37">
        <v>59767.5</v>
      </c>
      <c r="H1086" s="40">
        <v>19.64</v>
      </c>
      <c r="I1086" s="16">
        <f t="shared" si="160"/>
        <v>1173833.7</v>
      </c>
      <c r="J1086" s="17">
        <v>0</v>
      </c>
      <c r="K1086" s="34">
        <v>4502328212</v>
      </c>
      <c r="L1086" s="19">
        <v>5081817584</v>
      </c>
      <c r="M1086" s="20">
        <v>5113310683</v>
      </c>
      <c r="N1086" s="23"/>
      <c r="O1086" s="9" t="s">
        <v>63</v>
      </c>
      <c r="P1086" s="23"/>
      <c r="Q1086" s="24" t="s">
        <v>31</v>
      </c>
      <c r="R1086" s="25">
        <v>44695</v>
      </c>
      <c r="S1086" s="28"/>
      <c r="T1086" s="35"/>
      <c r="U1086" s="35"/>
      <c r="V1086" s="29"/>
      <c r="W1086" s="35"/>
      <c r="X1086" s="29"/>
      <c r="Y1086" s="36"/>
      <c r="Z1086" s="29"/>
      <c r="AA1086" s="31">
        <f t="shared" si="1"/>
        <v>44695</v>
      </c>
      <c r="AB1086" s="32" t="str">
        <f t="shared" si="5"/>
        <v>mayo</v>
      </c>
    </row>
    <row r="1087" spans="1:28" ht="12.75">
      <c r="A1087" s="9" t="s">
        <v>58</v>
      </c>
      <c r="B1087" s="10">
        <v>44699</v>
      </c>
      <c r="C1087" s="11">
        <v>44699</v>
      </c>
      <c r="D1087" s="42">
        <v>20</v>
      </c>
      <c r="E1087" s="13" t="s">
        <v>1501</v>
      </c>
      <c r="F1087" s="13">
        <v>3025460</v>
      </c>
      <c r="G1087" s="37">
        <v>33308.5</v>
      </c>
      <c r="H1087" s="40">
        <v>9600</v>
      </c>
      <c r="I1087" s="16">
        <f t="shared" si="160"/>
        <v>319761600</v>
      </c>
      <c r="J1087" s="17">
        <v>77</v>
      </c>
      <c r="K1087" s="34">
        <v>4502328213</v>
      </c>
      <c r="L1087" s="19">
        <v>5081835171</v>
      </c>
      <c r="M1087" s="20">
        <v>5113333806</v>
      </c>
      <c r="N1087" s="44"/>
      <c r="O1087" s="23" t="s">
        <v>37</v>
      </c>
      <c r="P1087" s="23" t="s">
        <v>1475</v>
      </c>
      <c r="Q1087" s="24" t="s">
        <v>31</v>
      </c>
      <c r="R1087" s="25">
        <v>44695</v>
      </c>
      <c r="S1087" s="28"/>
      <c r="T1087" s="35"/>
      <c r="U1087" s="35"/>
      <c r="V1087" s="29"/>
      <c r="W1087" s="35"/>
      <c r="X1087" s="29"/>
      <c r="Y1087" s="36"/>
      <c r="Z1087" s="29"/>
      <c r="AA1087" s="31">
        <f t="shared" si="1"/>
        <v>44695</v>
      </c>
      <c r="AB1087" s="32" t="str">
        <f t="shared" si="5"/>
        <v>mayo</v>
      </c>
    </row>
    <row r="1088" spans="1:28" ht="12.75">
      <c r="A1088" s="9" t="s">
        <v>58</v>
      </c>
      <c r="B1088" s="10">
        <v>44700</v>
      </c>
      <c r="C1088" s="11">
        <v>44700</v>
      </c>
      <c r="D1088" s="42">
        <v>20</v>
      </c>
      <c r="E1088" s="13" t="s">
        <v>1502</v>
      </c>
      <c r="F1088" s="13">
        <v>3025460</v>
      </c>
      <c r="G1088" s="37">
        <v>33308.5</v>
      </c>
      <c r="H1088" s="40">
        <f>9600-9576.81</f>
        <v>23.190000000000509</v>
      </c>
      <c r="I1088" s="16">
        <f>-H1088*G1088</f>
        <v>-772424.11500001699</v>
      </c>
      <c r="J1088" s="17">
        <v>0</v>
      </c>
      <c r="K1088" s="34">
        <v>4502328213</v>
      </c>
      <c r="L1088" s="19">
        <v>5081835171</v>
      </c>
      <c r="M1088" s="20">
        <v>5113333928</v>
      </c>
      <c r="N1088" s="44"/>
      <c r="O1088" s="23"/>
      <c r="P1088" s="23"/>
      <c r="Q1088" s="24" t="s">
        <v>31</v>
      </c>
      <c r="R1088" s="25">
        <v>44695</v>
      </c>
      <c r="S1088" s="28"/>
      <c r="T1088" s="35"/>
      <c r="U1088" s="35"/>
      <c r="V1088" s="29"/>
      <c r="W1088" s="35"/>
      <c r="X1088" s="29"/>
      <c r="Y1088" s="36"/>
      <c r="Z1088" s="29"/>
      <c r="AA1088" s="31">
        <f t="shared" si="1"/>
        <v>44695</v>
      </c>
      <c r="AB1088" s="32" t="str">
        <f t="shared" si="5"/>
        <v>mayo</v>
      </c>
    </row>
    <row r="1089" spans="1:28" ht="12.75">
      <c r="A1089" s="9" t="s">
        <v>58</v>
      </c>
      <c r="B1089" s="10">
        <v>44699</v>
      </c>
      <c r="C1089" s="11">
        <v>44699</v>
      </c>
      <c r="D1089" s="42">
        <v>20</v>
      </c>
      <c r="E1089" s="13" t="s">
        <v>1503</v>
      </c>
      <c r="F1089" s="13">
        <v>3025460</v>
      </c>
      <c r="G1089" s="108">
        <v>20965</v>
      </c>
      <c r="H1089" s="40">
        <v>9600</v>
      </c>
      <c r="I1089" s="16">
        <f t="shared" ref="I1089:I1090" si="161">H1089*G1089</f>
        <v>201264000</v>
      </c>
      <c r="J1089" s="17">
        <v>45</v>
      </c>
      <c r="K1089" s="34">
        <v>4502328213</v>
      </c>
      <c r="L1089" s="19">
        <v>5081835171</v>
      </c>
      <c r="M1089" s="20">
        <v>5113333929</v>
      </c>
      <c r="N1089" s="44"/>
      <c r="O1089" s="23" t="s">
        <v>37</v>
      </c>
      <c r="P1089" s="23" t="s">
        <v>1475</v>
      </c>
      <c r="Q1089" s="24" t="s">
        <v>31</v>
      </c>
      <c r="R1089" s="25">
        <v>44695</v>
      </c>
      <c r="S1089" s="28"/>
      <c r="T1089" s="35"/>
      <c r="U1089" s="35"/>
      <c r="V1089" s="29"/>
      <c r="W1089" s="35"/>
      <c r="X1089" s="29"/>
      <c r="Y1089" s="36"/>
      <c r="Z1089" s="29"/>
      <c r="AA1089" s="31">
        <f t="shared" si="1"/>
        <v>44695</v>
      </c>
      <c r="AB1089" s="32" t="str">
        <f t="shared" si="5"/>
        <v>mayo</v>
      </c>
    </row>
    <row r="1090" spans="1:28" ht="12.75">
      <c r="A1090" s="9" t="s">
        <v>58</v>
      </c>
      <c r="B1090" s="10">
        <v>44699</v>
      </c>
      <c r="C1090" s="11">
        <v>44699</v>
      </c>
      <c r="D1090" s="42">
        <v>20</v>
      </c>
      <c r="E1090" s="13" t="s">
        <v>1503</v>
      </c>
      <c r="F1090" s="13">
        <v>3025460</v>
      </c>
      <c r="G1090" s="109">
        <v>6381.5</v>
      </c>
      <c r="H1090" s="40">
        <v>9600</v>
      </c>
      <c r="I1090" s="16">
        <f t="shared" si="161"/>
        <v>61262400</v>
      </c>
      <c r="J1090" s="17">
        <v>15</v>
      </c>
      <c r="K1090" s="34">
        <v>4502330686</v>
      </c>
      <c r="L1090" s="19">
        <v>5081835171</v>
      </c>
      <c r="M1090" s="20">
        <v>5113333929</v>
      </c>
      <c r="N1090" s="44"/>
      <c r="O1090" s="23" t="s">
        <v>37</v>
      </c>
      <c r="P1090" s="23"/>
      <c r="Q1090" s="24" t="s">
        <v>31</v>
      </c>
      <c r="R1090" s="25">
        <v>44695</v>
      </c>
      <c r="S1090" s="28"/>
      <c r="T1090" s="35"/>
      <c r="U1090" s="35"/>
      <c r="V1090" s="29"/>
      <c r="W1090" s="35"/>
      <c r="X1090" s="29"/>
      <c r="Y1090" s="36"/>
      <c r="Z1090" s="29"/>
      <c r="AA1090" s="31">
        <f t="shared" si="1"/>
        <v>44695</v>
      </c>
      <c r="AB1090" s="32" t="str">
        <f t="shared" si="5"/>
        <v>mayo</v>
      </c>
    </row>
    <row r="1091" spans="1:28" ht="12.75">
      <c r="A1091" s="9" t="s">
        <v>58</v>
      </c>
      <c r="B1091" s="10">
        <v>44700</v>
      </c>
      <c r="C1091" s="11">
        <v>44700</v>
      </c>
      <c r="D1091" s="42">
        <v>20</v>
      </c>
      <c r="E1091" s="13" t="s">
        <v>1504</v>
      </c>
      <c r="F1091" s="13">
        <v>3025460</v>
      </c>
      <c r="G1091" s="37">
        <v>27346.5</v>
      </c>
      <c r="H1091" s="40">
        <f>9600-9594.39</f>
        <v>5.6100000000005821</v>
      </c>
      <c r="I1091" s="16">
        <f>-H1091*G1091</f>
        <v>-153413.86500001591</v>
      </c>
      <c r="J1091" s="17">
        <v>0</v>
      </c>
      <c r="K1091" s="34">
        <v>4502328213</v>
      </c>
      <c r="L1091" s="19">
        <v>5081835171</v>
      </c>
      <c r="M1091" s="20">
        <v>5113333930</v>
      </c>
      <c r="N1091" s="44"/>
      <c r="O1091" s="23"/>
      <c r="P1091" s="23"/>
      <c r="Q1091" s="24" t="s">
        <v>31</v>
      </c>
      <c r="R1091" s="25">
        <v>44695</v>
      </c>
      <c r="S1091" s="28"/>
      <c r="T1091" s="35"/>
      <c r="U1091" s="35"/>
      <c r="V1091" s="29"/>
      <c r="W1091" s="35"/>
      <c r="X1091" s="29"/>
      <c r="Y1091" s="36"/>
      <c r="Z1091" s="29"/>
      <c r="AA1091" s="31">
        <f t="shared" si="1"/>
        <v>44695</v>
      </c>
      <c r="AB1091" s="32" t="str">
        <f t="shared" si="5"/>
        <v>mayo</v>
      </c>
    </row>
    <row r="1092" spans="1:28" ht="12.75">
      <c r="A1092" s="9" t="s">
        <v>348</v>
      </c>
      <c r="B1092" s="10">
        <v>44696</v>
      </c>
      <c r="C1092" s="11">
        <v>44701</v>
      </c>
      <c r="D1092" s="42">
        <v>20</v>
      </c>
      <c r="E1092" s="13" t="s">
        <v>1505</v>
      </c>
      <c r="F1092" s="13">
        <v>3025457</v>
      </c>
      <c r="G1092" s="14">
        <v>14075</v>
      </c>
      <c r="H1092" s="40">
        <v>9100</v>
      </c>
      <c r="I1092" s="16">
        <f t="shared" ref="I1092:I1095" si="162">H1092*G1092</f>
        <v>128082500</v>
      </c>
      <c r="J1092" s="17">
        <v>30</v>
      </c>
      <c r="K1092" s="34">
        <v>4502328214</v>
      </c>
      <c r="L1092" s="19">
        <v>5081849434</v>
      </c>
      <c r="M1092" s="20">
        <v>5113312894</v>
      </c>
      <c r="N1092" s="44"/>
      <c r="O1092" s="9" t="s">
        <v>63</v>
      </c>
      <c r="P1092" s="23"/>
      <c r="Q1092" s="24" t="s">
        <v>31</v>
      </c>
      <c r="R1092" s="25">
        <v>44696</v>
      </c>
      <c r="S1092" s="28"/>
      <c r="T1092" s="35"/>
      <c r="U1092" s="35"/>
      <c r="V1092" s="29"/>
      <c r="W1092" s="35"/>
      <c r="X1092" s="29"/>
      <c r="Y1092" s="36"/>
      <c r="Z1092" s="29"/>
      <c r="AA1092" s="31">
        <f t="shared" si="1"/>
        <v>44696</v>
      </c>
      <c r="AB1092" s="32" t="str">
        <f t="shared" si="5"/>
        <v>mayo</v>
      </c>
    </row>
    <row r="1093" spans="1:28" ht="12.75">
      <c r="A1093" s="9" t="s">
        <v>73</v>
      </c>
      <c r="B1093" s="10">
        <v>44698</v>
      </c>
      <c r="C1093" s="11">
        <v>44698</v>
      </c>
      <c r="D1093" s="42">
        <v>20</v>
      </c>
      <c r="E1093" s="13" t="s">
        <v>1506</v>
      </c>
      <c r="F1093" s="13">
        <v>3025459</v>
      </c>
      <c r="G1093" s="37">
        <v>18879.5</v>
      </c>
      <c r="H1093" s="40">
        <v>9500</v>
      </c>
      <c r="I1093" s="16">
        <f t="shared" si="162"/>
        <v>179355250</v>
      </c>
      <c r="J1093" s="17">
        <v>42</v>
      </c>
      <c r="K1093" s="34">
        <v>4502328215</v>
      </c>
      <c r="L1093" s="19">
        <v>5081849435</v>
      </c>
      <c r="M1093" s="20">
        <v>5113320902</v>
      </c>
      <c r="N1093" s="23"/>
      <c r="O1093" s="9" t="s">
        <v>63</v>
      </c>
      <c r="P1093" s="23" t="s">
        <v>1507</v>
      </c>
      <c r="Q1093" s="24" t="s">
        <v>31</v>
      </c>
      <c r="R1093" s="25">
        <v>44696</v>
      </c>
      <c r="S1093" s="28"/>
      <c r="T1093" s="35"/>
      <c r="U1093" s="35"/>
      <c r="V1093" s="29"/>
      <c r="W1093" s="35"/>
      <c r="X1093" s="29"/>
      <c r="Y1093" s="36"/>
      <c r="Z1093" s="29"/>
      <c r="AA1093" s="31">
        <f t="shared" si="1"/>
        <v>44696</v>
      </c>
      <c r="AB1093" s="32" t="str">
        <f t="shared" si="5"/>
        <v>mayo</v>
      </c>
    </row>
    <row r="1094" spans="1:28" ht="12.75">
      <c r="A1094" s="9" t="s">
        <v>289</v>
      </c>
      <c r="B1094" s="10">
        <v>44696</v>
      </c>
      <c r="C1094" s="11">
        <v>44699</v>
      </c>
      <c r="D1094" s="42">
        <v>20</v>
      </c>
      <c r="E1094" s="13" t="s">
        <v>1508</v>
      </c>
      <c r="F1094" s="13">
        <v>3025459</v>
      </c>
      <c r="G1094" s="14">
        <v>7460</v>
      </c>
      <c r="H1094" s="40">
        <v>9500</v>
      </c>
      <c r="I1094" s="16">
        <f t="shared" si="162"/>
        <v>70870000</v>
      </c>
      <c r="J1094" s="17">
        <v>15</v>
      </c>
      <c r="K1094" s="34">
        <v>4502328216</v>
      </c>
      <c r="L1094" s="19">
        <v>5081849436</v>
      </c>
      <c r="M1094" s="20">
        <v>5113307417</v>
      </c>
      <c r="N1094" s="23"/>
      <c r="O1094" s="23" t="s">
        <v>37</v>
      </c>
      <c r="P1094" s="23"/>
      <c r="Q1094" s="24" t="s">
        <v>31</v>
      </c>
      <c r="R1094" s="25">
        <v>44696</v>
      </c>
      <c r="S1094" s="28"/>
      <c r="T1094" s="35"/>
      <c r="U1094" s="35"/>
      <c r="V1094" s="29"/>
      <c r="W1094" s="35"/>
      <c r="X1094" s="29"/>
      <c r="Y1094" s="36"/>
      <c r="Z1094" s="29"/>
      <c r="AA1094" s="31">
        <f t="shared" si="1"/>
        <v>44696</v>
      </c>
      <c r="AB1094" s="32" t="str">
        <f t="shared" si="5"/>
        <v>mayo</v>
      </c>
    </row>
    <row r="1095" spans="1:28" ht="12.75">
      <c r="A1095" s="22" t="s">
        <v>404</v>
      </c>
      <c r="B1095" s="10">
        <v>44698</v>
      </c>
      <c r="C1095" s="11">
        <v>44699</v>
      </c>
      <c r="D1095" s="42">
        <v>20</v>
      </c>
      <c r="E1095" s="13" t="s">
        <v>1509</v>
      </c>
      <c r="F1095" s="13">
        <v>3025460</v>
      </c>
      <c r="G1095" s="14">
        <v>29289</v>
      </c>
      <c r="H1095" s="40">
        <v>9600</v>
      </c>
      <c r="I1095" s="16">
        <f t="shared" si="162"/>
        <v>281174400</v>
      </c>
      <c r="J1095" s="17">
        <v>61</v>
      </c>
      <c r="K1095" s="34">
        <v>4502328217</v>
      </c>
      <c r="L1095" s="19">
        <v>5081835169</v>
      </c>
      <c r="M1095" s="20">
        <v>5113307152</v>
      </c>
      <c r="N1095" s="23"/>
      <c r="O1095" s="23" t="s">
        <v>37</v>
      </c>
      <c r="P1095" s="23" t="s">
        <v>1496</v>
      </c>
      <c r="Q1095" s="24" t="s">
        <v>31</v>
      </c>
      <c r="R1095" s="25">
        <v>44696</v>
      </c>
      <c r="S1095" s="28"/>
      <c r="T1095" s="35"/>
      <c r="U1095" s="35"/>
      <c r="V1095" s="29"/>
      <c r="W1095" s="35"/>
      <c r="X1095" s="29"/>
      <c r="Y1095" s="36"/>
      <c r="Z1095" s="29"/>
      <c r="AA1095" s="31">
        <f t="shared" si="1"/>
        <v>44696</v>
      </c>
      <c r="AB1095" s="32" t="str">
        <f t="shared" si="5"/>
        <v>mayo</v>
      </c>
    </row>
    <row r="1096" spans="1:28" ht="12.75">
      <c r="A1096" s="9" t="s">
        <v>404</v>
      </c>
      <c r="B1096" s="10">
        <v>44698</v>
      </c>
      <c r="C1096" s="11">
        <v>44699</v>
      </c>
      <c r="D1096" s="42">
        <v>20</v>
      </c>
      <c r="E1096" s="13" t="s">
        <v>1510</v>
      </c>
      <c r="F1096" s="13">
        <v>3025460</v>
      </c>
      <c r="G1096" s="14">
        <v>29289</v>
      </c>
      <c r="H1096" s="40">
        <f>9600-9584.55</f>
        <v>15.450000000000728</v>
      </c>
      <c r="I1096" s="16">
        <f>-H1096*G1096</f>
        <v>-452515.05000002129</v>
      </c>
      <c r="J1096" s="17">
        <v>0</v>
      </c>
      <c r="K1096" s="34">
        <v>4502328217</v>
      </c>
      <c r="L1096" s="19">
        <v>5081835169</v>
      </c>
      <c r="M1096" s="20">
        <v>5113307155</v>
      </c>
      <c r="N1096" s="23"/>
      <c r="O1096" s="23"/>
      <c r="P1096" s="23"/>
      <c r="Q1096" s="24" t="s">
        <v>31</v>
      </c>
      <c r="R1096" s="25">
        <v>44696</v>
      </c>
      <c r="S1096" s="28"/>
      <c r="T1096" s="35"/>
      <c r="U1096" s="35"/>
      <c r="V1096" s="29"/>
      <c r="W1096" s="35"/>
      <c r="X1096" s="29"/>
      <c r="Y1096" s="36"/>
      <c r="Z1096" s="29"/>
      <c r="AA1096" s="31">
        <f t="shared" si="1"/>
        <v>44696</v>
      </c>
      <c r="AB1096" s="32" t="str">
        <f t="shared" si="5"/>
        <v>mayo</v>
      </c>
    </row>
    <row r="1097" spans="1:28" ht="12.75">
      <c r="A1097" s="9" t="s">
        <v>99</v>
      </c>
      <c r="B1097" s="10">
        <v>44696</v>
      </c>
      <c r="C1097" s="11"/>
      <c r="D1097" s="42">
        <v>20</v>
      </c>
      <c r="E1097" s="13" t="s">
        <v>1511</v>
      </c>
      <c r="F1097" s="13">
        <v>3025460</v>
      </c>
      <c r="G1097" s="14">
        <v>13759</v>
      </c>
      <c r="H1097" s="40">
        <v>9150</v>
      </c>
      <c r="I1097" s="16">
        <f t="shared" ref="I1097:I1100" si="163">H1097*G1097</f>
        <v>125894850</v>
      </c>
      <c r="J1097" s="17">
        <v>29</v>
      </c>
      <c r="K1097" s="34">
        <v>4502328218</v>
      </c>
      <c r="L1097" s="19">
        <v>5081849543</v>
      </c>
      <c r="M1097" s="20">
        <v>5113323200</v>
      </c>
      <c r="N1097" s="23"/>
      <c r="O1097" s="23" t="s">
        <v>37</v>
      </c>
      <c r="P1097" s="23"/>
      <c r="Q1097" s="24" t="s">
        <v>31</v>
      </c>
      <c r="R1097" s="25">
        <v>44696</v>
      </c>
      <c r="S1097" s="28"/>
      <c r="T1097" s="35"/>
      <c r="U1097" s="35"/>
      <c r="V1097" s="29"/>
      <c r="W1097" s="35"/>
      <c r="X1097" s="29"/>
      <c r="Y1097" s="36"/>
      <c r="Z1097" s="29"/>
      <c r="AA1097" s="31">
        <f t="shared" si="1"/>
        <v>44696</v>
      </c>
      <c r="AB1097" s="32" t="str">
        <f t="shared" si="5"/>
        <v>mayo</v>
      </c>
    </row>
    <row r="1098" spans="1:28" ht="12.75">
      <c r="A1098" s="9" t="s">
        <v>28</v>
      </c>
      <c r="B1098" s="10">
        <v>44697</v>
      </c>
      <c r="C1098" s="11">
        <v>44698</v>
      </c>
      <c r="D1098" s="42">
        <v>20</v>
      </c>
      <c r="E1098" s="13" t="s">
        <v>1512</v>
      </c>
      <c r="F1098" s="13">
        <v>3025461</v>
      </c>
      <c r="G1098" s="14">
        <v>86267</v>
      </c>
      <c r="H1098" s="15">
        <v>8500</v>
      </c>
      <c r="I1098" s="16">
        <f t="shared" si="163"/>
        <v>733269500</v>
      </c>
      <c r="J1098" s="17">
        <v>169</v>
      </c>
      <c r="K1098" s="34">
        <v>4502330763</v>
      </c>
      <c r="L1098" s="19">
        <v>5081838993</v>
      </c>
      <c r="M1098" s="20">
        <v>5113304207</v>
      </c>
      <c r="N1098" s="23" t="s">
        <v>37</v>
      </c>
      <c r="O1098" s="104" t="s">
        <v>1513</v>
      </c>
      <c r="P1098" s="23" t="s">
        <v>37</v>
      </c>
      <c r="Q1098" s="24" t="s">
        <v>1408</v>
      </c>
      <c r="R1098" s="25">
        <v>44696</v>
      </c>
      <c r="S1098" s="34">
        <v>4502330763</v>
      </c>
      <c r="T1098" s="28">
        <v>34762200</v>
      </c>
      <c r="U1098" s="28" t="s">
        <v>1514</v>
      </c>
      <c r="V1098" s="29">
        <v>5113309443</v>
      </c>
      <c r="W1098" s="28" t="s">
        <v>1515</v>
      </c>
      <c r="X1098" s="29">
        <v>5113309445</v>
      </c>
      <c r="Y1098" s="30" t="s">
        <v>1516</v>
      </c>
      <c r="Z1098" s="29">
        <v>5113309446</v>
      </c>
      <c r="AA1098" s="31">
        <f t="shared" si="1"/>
        <v>44696</v>
      </c>
      <c r="AB1098" s="32" t="str">
        <f t="shared" si="5"/>
        <v>mayo</v>
      </c>
    </row>
    <row r="1099" spans="1:28" ht="12.75">
      <c r="A1099" s="9" t="s">
        <v>54</v>
      </c>
      <c r="B1099" s="10">
        <v>44698</v>
      </c>
      <c r="C1099" s="11">
        <v>44698</v>
      </c>
      <c r="D1099" s="42">
        <v>20</v>
      </c>
      <c r="E1099" s="13" t="s">
        <v>1517</v>
      </c>
      <c r="F1099" s="13">
        <v>3025461</v>
      </c>
      <c r="G1099" s="14">
        <v>29724</v>
      </c>
      <c r="H1099" s="15">
        <v>8300</v>
      </c>
      <c r="I1099" s="16">
        <f t="shared" si="163"/>
        <v>246709200</v>
      </c>
      <c r="J1099" s="17">
        <v>60</v>
      </c>
      <c r="K1099" s="34">
        <v>4502330756</v>
      </c>
      <c r="L1099" s="19">
        <v>5081838717</v>
      </c>
      <c r="M1099" s="20">
        <v>5113304095</v>
      </c>
      <c r="N1099" s="9" t="s">
        <v>63</v>
      </c>
      <c r="O1099" s="44" t="s">
        <v>1518</v>
      </c>
      <c r="P1099" s="23" t="s">
        <v>63</v>
      </c>
      <c r="Q1099" s="24" t="s">
        <v>1408</v>
      </c>
      <c r="R1099" s="25">
        <v>44696</v>
      </c>
      <c r="S1099" s="34">
        <v>4502330756</v>
      </c>
      <c r="T1099" s="35">
        <f>3252980*4</f>
        <v>13011920</v>
      </c>
      <c r="U1099" s="28" t="s">
        <v>1519</v>
      </c>
      <c r="V1099" s="29">
        <v>5113307709</v>
      </c>
      <c r="W1099" s="35"/>
      <c r="X1099" s="29"/>
      <c r="Y1099" s="36"/>
      <c r="Z1099" s="29"/>
      <c r="AA1099" s="31">
        <f t="shared" si="1"/>
        <v>44696</v>
      </c>
      <c r="AB1099" s="32" t="str">
        <f t="shared" si="5"/>
        <v>mayo</v>
      </c>
    </row>
    <row r="1100" spans="1:28" ht="12.75">
      <c r="A1100" s="9" t="s">
        <v>39</v>
      </c>
      <c r="B1100" s="10">
        <v>44698</v>
      </c>
      <c r="C1100" s="11">
        <v>44700</v>
      </c>
      <c r="D1100" s="42">
        <v>20</v>
      </c>
      <c r="E1100" s="13" t="s">
        <v>1520</v>
      </c>
      <c r="F1100" s="13">
        <v>3025459</v>
      </c>
      <c r="G1100" s="37">
        <v>27086.5</v>
      </c>
      <c r="H1100" s="40">
        <v>9600</v>
      </c>
      <c r="I1100" s="16">
        <f t="shared" si="163"/>
        <v>260030400</v>
      </c>
      <c r="J1100" s="17">
        <v>60</v>
      </c>
      <c r="K1100" s="34">
        <v>4502328219</v>
      </c>
      <c r="L1100" s="19">
        <v>5081918071</v>
      </c>
      <c r="M1100" s="20">
        <v>5113312892</v>
      </c>
      <c r="N1100" s="23"/>
      <c r="O1100" s="23" t="s">
        <v>37</v>
      </c>
      <c r="P1100" s="23"/>
      <c r="Q1100" s="24" t="s">
        <v>31</v>
      </c>
      <c r="R1100" s="25">
        <v>44697</v>
      </c>
      <c r="S1100" s="28"/>
      <c r="T1100" s="35"/>
      <c r="U1100" s="35"/>
      <c r="V1100" s="29"/>
      <c r="W1100" s="35"/>
      <c r="X1100" s="29"/>
      <c r="Y1100" s="36"/>
      <c r="Z1100" s="29"/>
      <c r="AA1100" s="31">
        <f t="shared" si="1"/>
        <v>44697</v>
      </c>
      <c r="AB1100" s="32" t="str">
        <f t="shared" si="5"/>
        <v>mayo</v>
      </c>
    </row>
    <row r="1101" spans="1:28" ht="12.75">
      <c r="A1101" s="9" t="s">
        <v>39</v>
      </c>
      <c r="B1101" s="10">
        <v>44700</v>
      </c>
      <c r="C1101" s="11">
        <v>44700</v>
      </c>
      <c r="D1101" s="42">
        <v>20</v>
      </c>
      <c r="E1101" s="13" t="s">
        <v>424</v>
      </c>
      <c r="F1101" s="13">
        <v>3025459</v>
      </c>
      <c r="G1101" s="37">
        <v>27086.5</v>
      </c>
      <c r="H1101" s="40">
        <f>9600-9598.53</f>
        <v>1.4699999999993452</v>
      </c>
      <c r="I1101" s="16">
        <f>-H1101*G1101</f>
        <v>-39817.15499998226</v>
      </c>
      <c r="J1101" s="17">
        <v>0</v>
      </c>
      <c r="K1101" s="34">
        <v>4502328219</v>
      </c>
      <c r="L1101" s="19">
        <v>5081918071</v>
      </c>
      <c r="M1101" s="20">
        <v>5113312893</v>
      </c>
      <c r="N1101" s="23"/>
      <c r="O1101" s="23"/>
      <c r="P1101" s="23"/>
      <c r="Q1101" s="24" t="s">
        <v>31</v>
      </c>
      <c r="R1101" s="25">
        <v>44697</v>
      </c>
      <c r="S1101" s="28"/>
      <c r="T1101" s="35"/>
      <c r="U1101" s="35"/>
      <c r="V1101" s="29"/>
      <c r="W1101" s="35"/>
      <c r="X1101" s="29"/>
      <c r="Y1101" s="36"/>
      <c r="Z1101" s="29"/>
      <c r="AA1101" s="31">
        <f t="shared" si="1"/>
        <v>44697</v>
      </c>
      <c r="AB1101" s="32" t="str">
        <f t="shared" si="5"/>
        <v>mayo</v>
      </c>
    </row>
    <row r="1102" spans="1:28" ht="12.75">
      <c r="A1102" s="9" t="s">
        <v>1521</v>
      </c>
      <c r="B1102" s="10">
        <v>44700</v>
      </c>
      <c r="C1102" s="11">
        <v>44700</v>
      </c>
      <c r="D1102" s="42">
        <v>20</v>
      </c>
      <c r="E1102" s="13" t="s">
        <v>1522</v>
      </c>
      <c r="F1102" s="13">
        <v>3025461</v>
      </c>
      <c r="G1102" s="14">
        <v>20049</v>
      </c>
      <c r="H1102" s="15">
        <v>8500</v>
      </c>
      <c r="I1102" s="16">
        <f>H1102*G1102</f>
        <v>170416500</v>
      </c>
      <c r="J1102" s="17">
        <v>42</v>
      </c>
      <c r="K1102" s="34">
        <v>4502333729</v>
      </c>
      <c r="L1102" s="19">
        <v>5081898597</v>
      </c>
      <c r="M1102" s="20">
        <v>5113312143</v>
      </c>
      <c r="N1102" s="23"/>
      <c r="O1102" s="44" t="s">
        <v>1523</v>
      </c>
      <c r="P1102" s="23" t="s">
        <v>63</v>
      </c>
      <c r="Q1102" s="24" t="s">
        <v>1408</v>
      </c>
      <c r="R1102" s="25">
        <v>44697</v>
      </c>
      <c r="S1102" s="28">
        <v>4502333729</v>
      </c>
      <c r="T1102" s="28">
        <f>2792400*3</f>
        <v>8377200</v>
      </c>
      <c r="U1102" s="28" t="s">
        <v>1524</v>
      </c>
      <c r="V1102" s="29">
        <v>5113312046</v>
      </c>
      <c r="W1102" s="35"/>
      <c r="X1102" s="29"/>
      <c r="Y1102" s="36"/>
      <c r="Z1102" s="29"/>
      <c r="AA1102" s="31">
        <f t="shared" si="1"/>
        <v>44697</v>
      </c>
      <c r="AB1102" s="32" t="str">
        <f t="shared" si="5"/>
        <v>mayo</v>
      </c>
    </row>
    <row r="1103" spans="1:28" ht="12.75">
      <c r="A1103" s="22" t="s">
        <v>428</v>
      </c>
      <c r="B1103" s="10">
        <v>44697</v>
      </c>
      <c r="C1103" s="11">
        <v>44701</v>
      </c>
      <c r="D1103" s="42">
        <v>20</v>
      </c>
      <c r="E1103" s="13" t="s">
        <v>1525</v>
      </c>
      <c r="F1103" s="13">
        <v>3025461</v>
      </c>
      <c r="G1103" s="14">
        <v>13854</v>
      </c>
      <c r="H1103" s="81">
        <f>I1103/G1103</f>
        <v>9374.1879601559122</v>
      </c>
      <c r="I1103" s="39">
        <v>129870000</v>
      </c>
      <c r="J1103" s="17">
        <v>30</v>
      </c>
      <c r="K1103" s="34">
        <v>4502334105</v>
      </c>
      <c r="L1103" s="19">
        <v>5081904471</v>
      </c>
      <c r="M1103" s="20">
        <v>5113311981</v>
      </c>
      <c r="N1103" s="23"/>
      <c r="O1103" s="9" t="s">
        <v>63</v>
      </c>
      <c r="P1103" s="23"/>
      <c r="Q1103" s="24" t="s">
        <v>1408</v>
      </c>
      <c r="R1103" s="25">
        <v>44697</v>
      </c>
      <c r="S1103" s="28"/>
      <c r="T1103" s="35"/>
      <c r="U1103" s="35"/>
      <c r="V1103" s="29"/>
      <c r="W1103" s="35"/>
      <c r="X1103" s="29"/>
      <c r="Y1103" s="36"/>
      <c r="Z1103" s="29"/>
      <c r="AA1103" s="31">
        <f t="shared" si="1"/>
        <v>44697</v>
      </c>
      <c r="AB1103" s="32" t="str">
        <f t="shared" si="5"/>
        <v>mayo</v>
      </c>
    </row>
    <row r="1104" spans="1:28" ht="12.75">
      <c r="A1104" s="9" t="s">
        <v>58</v>
      </c>
      <c r="B1104" s="10">
        <v>44700</v>
      </c>
      <c r="C1104" s="11">
        <v>44700</v>
      </c>
      <c r="D1104" s="42">
        <v>20</v>
      </c>
      <c r="E1104" s="13" t="s">
        <v>1526</v>
      </c>
      <c r="F1104" s="13">
        <v>3025461</v>
      </c>
      <c r="G1104" s="14">
        <v>55143</v>
      </c>
      <c r="H1104" s="57">
        <v>9797.17</v>
      </c>
      <c r="I1104" s="16">
        <f t="shared" ref="I1104:I1106" si="164">H1104*G1104</f>
        <v>540245345.31000006</v>
      </c>
      <c r="J1104" s="17">
        <v>120</v>
      </c>
      <c r="K1104" s="34">
        <v>4502334133</v>
      </c>
      <c r="L1104" s="19">
        <v>5081904477</v>
      </c>
      <c r="M1104" s="20">
        <v>5113325223</v>
      </c>
      <c r="N1104" s="44"/>
      <c r="O1104" s="23" t="s">
        <v>37</v>
      </c>
      <c r="P1104" s="23"/>
      <c r="Q1104" s="24" t="s">
        <v>1408</v>
      </c>
      <c r="R1104" s="25">
        <v>44697</v>
      </c>
      <c r="S1104" s="28"/>
      <c r="T1104" s="35"/>
      <c r="U1104" s="35"/>
      <c r="V1104" s="29"/>
      <c r="W1104" s="35"/>
      <c r="X1104" s="29"/>
      <c r="Y1104" s="36"/>
      <c r="Z1104" s="29"/>
      <c r="AA1104" s="31">
        <f t="shared" si="1"/>
        <v>44697</v>
      </c>
      <c r="AB1104" s="32" t="str">
        <f t="shared" si="5"/>
        <v>mayo</v>
      </c>
    </row>
    <row r="1105" spans="1:28" ht="12.75">
      <c r="A1105" s="22" t="s">
        <v>1527</v>
      </c>
      <c r="B1105" s="10">
        <v>44698</v>
      </c>
      <c r="C1105" s="11"/>
      <c r="D1105" s="42">
        <v>20</v>
      </c>
      <c r="E1105" s="13" t="s">
        <v>1528</v>
      </c>
      <c r="F1105" s="13">
        <v>3025457</v>
      </c>
      <c r="G1105" s="14">
        <v>58262</v>
      </c>
      <c r="H1105" s="15">
        <v>9100</v>
      </c>
      <c r="I1105" s="16">
        <f t="shared" si="164"/>
        <v>530184200</v>
      </c>
      <c r="J1105" s="17">
        <v>140</v>
      </c>
      <c r="K1105" s="18">
        <v>4502332698</v>
      </c>
      <c r="L1105" s="19">
        <v>5081878635</v>
      </c>
      <c r="M1105" s="20">
        <v>5113322182</v>
      </c>
      <c r="N1105" s="44"/>
      <c r="O1105" s="44" t="s">
        <v>1529</v>
      </c>
      <c r="P1105" s="23"/>
      <c r="Q1105" s="24" t="s">
        <v>31</v>
      </c>
      <c r="R1105" s="25">
        <v>44698</v>
      </c>
      <c r="S1105" s="28">
        <v>4502332698</v>
      </c>
      <c r="T1105" s="28">
        <f>787200*10</f>
        <v>7872000</v>
      </c>
      <c r="U1105" s="28" t="s">
        <v>1530</v>
      </c>
      <c r="V1105" s="29">
        <v>5113309437</v>
      </c>
      <c r="W1105" s="35"/>
      <c r="X1105" s="29"/>
      <c r="Y1105" s="36"/>
      <c r="Z1105" s="29"/>
      <c r="AA1105" s="31">
        <f t="shared" si="1"/>
        <v>44698</v>
      </c>
      <c r="AB1105" s="32" t="str">
        <f t="shared" si="5"/>
        <v>mayo</v>
      </c>
    </row>
    <row r="1106" spans="1:28" ht="12.75">
      <c r="A1106" s="9" t="s">
        <v>39</v>
      </c>
      <c r="B1106" s="10">
        <v>44699</v>
      </c>
      <c r="C1106" s="11">
        <v>44701</v>
      </c>
      <c r="D1106" s="42">
        <v>20</v>
      </c>
      <c r="E1106" s="13" t="s">
        <v>1531</v>
      </c>
      <c r="F1106" s="13">
        <v>3025459</v>
      </c>
      <c r="G1106" s="14">
        <v>6248</v>
      </c>
      <c r="H1106" s="40">
        <v>9600</v>
      </c>
      <c r="I1106" s="16">
        <f t="shared" si="164"/>
        <v>59980800</v>
      </c>
      <c r="J1106" s="17">
        <v>14</v>
      </c>
      <c r="K1106" s="34">
        <v>4502328220</v>
      </c>
      <c r="L1106" s="19">
        <v>5081883883</v>
      </c>
      <c r="M1106" s="20">
        <v>5113316909</v>
      </c>
      <c r="N1106" s="23"/>
      <c r="O1106" s="23" t="s">
        <v>37</v>
      </c>
      <c r="P1106" s="23"/>
      <c r="Q1106" s="24" t="s">
        <v>31</v>
      </c>
      <c r="R1106" s="25">
        <v>44698</v>
      </c>
      <c r="S1106" s="28"/>
      <c r="T1106" s="35"/>
      <c r="U1106" s="35"/>
      <c r="V1106" s="29"/>
      <c r="W1106" s="35"/>
      <c r="X1106" s="29"/>
      <c r="Y1106" s="36"/>
      <c r="Z1106" s="29"/>
      <c r="AA1106" s="31">
        <f t="shared" si="1"/>
        <v>44698</v>
      </c>
      <c r="AB1106" s="32" t="str">
        <f t="shared" si="5"/>
        <v>mayo</v>
      </c>
    </row>
    <row r="1107" spans="1:28" ht="12.75">
      <c r="A1107" s="9" t="s">
        <v>39</v>
      </c>
      <c r="B1107" s="10">
        <v>44701</v>
      </c>
      <c r="C1107" s="11">
        <v>44701</v>
      </c>
      <c r="D1107" s="42">
        <v>20</v>
      </c>
      <c r="E1107" s="13" t="s">
        <v>434</v>
      </c>
      <c r="F1107" s="13">
        <v>3025459</v>
      </c>
      <c r="G1107" s="14">
        <v>6248</v>
      </c>
      <c r="H1107" s="40">
        <f>9600-9531.36</f>
        <v>68.639999999999418</v>
      </c>
      <c r="I1107" s="16">
        <f>-H1107*G1107</f>
        <v>-428862.71999999636</v>
      </c>
      <c r="J1107" s="17">
        <v>0</v>
      </c>
      <c r="K1107" s="34">
        <v>4502328220</v>
      </c>
      <c r="L1107" s="19">
        <v>5081883883</v>
      </c>
      <c r="M1107" s="20">
        <v>5113316910</v>
      </c>
      <c r="N1107" s="23"/>
      <c r="O1107" s="23"/>
      <c r="P1107" s="23"/>
      <c r="Q1107" s="24" t="s">
        <v>31</v>
      </c>
      <c r="R1107" s="25">
        <v>44698</v>
      </c>
      <c r="S1107" s="28"/>
      <c r="T1107" s="35"/>
      <c r="U1107" s="35"/>
      <c r="V1107" s="29"/>
      <c r="W1107" s="35"/>
      <c r="X1107" s="29"/>
      <c r="Y1107" s="36"/>
      <c r="Z1107" s="29"/>
      <c r="AA1107" s="31">
        <f t="shared" si="1"/>
        <v>44698</v>
      </c>
      <c r="AB1107" s="32" t="str">
        <f t="shared" si="5"/>
        <v>mayo</v>
      </c>
    </row>
    <row r="1108" spans="1:28" ht="12.75">
      <c r="A1108" s="22" t="s">
        <v>404</v>
      </c>
      <c r="B1108" s="10">
        <v>44700</v>
      </c>
      <c r="C1108" s="11">
        <v>44701</v>
      </c>
      <c r="D1108" s="42">
        <v>20</v>
      </c>
      <c r="E1108" s="13" t="s">
        <v>1532</v>
      </c>
      <c r="F1108" s="13">
        <v>3025459</v>
      </c>
      <c r="G1108" s="14">
        <v>7060.5</v>
      </c>
      <c r="H1108" s="40">
        <v>9600</v>
      </c>
      <c r="I1108" s="16">
        <f>H1108*G1108</f>
        <v>67780800</v>
      </c>
      <c r="J1108" s="17">
        <v>14</v>
      </c>
      <c r="K1108" s="34">
        <v>4502328221</v>
      </c>
      <c r="L1108" s="19">
        <v>5081883885</v>
      </c>
      <c r="M1108" s="20">
        <v>5113316907</v>
      </c>
      <c r="N1108" s="23"/>
      <c r="O1108" s="23" t="s">
        <v>37</v>
      </c>
      <c r="P1108" s="23"/>
      <c r="Q1108" s="24" t="s">
        <v>31</v>
      </c>
      <c r="R1108" s="25">
        <v>44698</v>
      </c>
      <c r="S1108" s="28"/>
      <c r="T1108" s="35"/>
      <c r="U1108" s="35"/>
      <c r="V1108" s="29"/>
      <c r="W1108" s="35"/>
      <c r="X1108" s="29"/>
      <c r="Y1108" s="36"/>
      <c r="Z1108" s="29"/>
      <c r="AA1108" s="31">
        <f t="shared" si="1"/>
        <v>44698</v>
      </c>
      <c r="AB1108" s="32" t="str">
        <f t="shared" si="5"/>
        <v>mayo</v>
      </c>
    </row>
    <row r="1109" spans="1:28" ht="12.75">
      <c r="A1109" s="22" t="s">
        <v>404</v>
      </c>
      <c r="B1109" s="10">
        <v>44701</v>
      </c>
      <c r="C1109" s="11">
        <v>44701</v>
      </c>
      <c r="D1109" s="42">
        <v>20</v>
      </c>
      <c r="E1109" s="13" t="s">
        <v>1533</v>
      </c>
      <c r="F1109" s="13">
        <v>3025459</v>
      </c>
      <c r="G1109" s="14">
        <v>7060.5</v>
      </c>
      <c r="H1109" s="40">
        <v>150</v>
      </c>
      <c r="I1109" s="16">
        <f>-H1109*G1109</f>
        <v>-1059075</v>
      </c>
      <c r="J1109" s="17">
        <v>0</v>
      </c>
      <c r="K1109" s="34">
        <v>4502328221</v>
      </c>
      <c r="L1109" s="19">
        <v>5081883885</v>
      </c>
      <c r="M1109" s="20">
        <v>5113316908</v>
      </c>
      <c r="N1109" s="23"/>
      <c r="O1109" s="23"/>
      <c r="P1109" s="23"/>
      <c r="Q1109" s="24" t="s">
        <v>31</v>
      </c>
      <c r="R1109" s="25">
        <v>44698</v>
      </c>
      <c r="S1109" s="28"/>
      <c r="T1109" s="35"/>
      <c r="U1109" s="35"/>
      <c r="V1109" s="29"/>
      <c r="W1109" s="35"/>
      <c r="X1109" s="29"/>
      <c r="Y1109" s="36"/>
      <c r="Z1109" s="29"/>
      <c r="AA1109" s="31">
        <f t="shared" si="1"/>
        <v>44698</v>
      </c>
      <c r="AB1109" s="32" t="str">
        <f t="shared" si="5"/>
        <v>mayo</v>
      </c>
    </row>
    <row r="1110" spans="1:28" ht="12.75">
      <c r="A1110" s="9" t="s">
        <v>96</v>
      </c>
      <c r="B1110" s="10">
        <v>44701</v>
      </c>
      <c r="C1110" s="11"/>
      <c r="D1110" s="42">
        <v>20</v>
      </c>
      <c r="E1110" s="13" t="s">
        <v>1534</v>
      </c>
      <c r="F1110" s="13">
        <v>3025459</v>
      </c>
      <c r="G1110" s="14">
        <v>12695.5</v>
      </c>
      <c r="H1110" s="40">
        <v>9200</v>
      </c>
      <c r="I1110" s="16">
        <f>H1110*G1110</f>
        <v>116798600</v>
      </c>
      <c r="J1110" s="17">
        <v>28</v>
      </c>
      <c r="K1110" s="34">
        <v>4502328222</v>
      </c>
      <c r="L1110" s="19">
        <v>5081883938</v>
      </c>
      <c r="M1110" s="20">
        <v>5113315839</v>
      </c>
      <c r="N1110" s="23"/>
      <c r="O1110" s="23" t="s">
        <v>63</v>
      </c>
      <c r="P1110" s="23"/>
      <c r="Q1110" s="24" t="s">
        <v>31</v>
      </c>
      <c r="R1110" s="25">
        <v>44698</v>
      </c>
      <c r="S1110" s="28"/>
      <c r="T1110" s="35"/>
      <c r="U1110" s="35"/>
      <c r="V1110" s="29"/>
      <c r="W1110" s="35"/>
      <c r="X1110" s="29"/>
      <c r="Y1110" s="36"/>
      <c r="Z1110" s="29"/>
      <c r="AA1110" s="31">
        <f t="shared" si="1"/>
        <v>44698</v>
      </c>
      <c r="AB1110" s="32" t="str">
        <f t="shared" si="5"/>
        <v>mayo</v>
      </c>
    </row>
    <row r="1111" spans="1:28" ht="12.75">
      <c r="A1111" s="9" t="s">
        <v>96</v>
      </c>
      <c r="B1111" s="10">
        <v>44701</v>
      </c>
      <c r="C1111" s="11"/>
      <c r="D1111" s="42">
        <v>20</v>
      </c>
      <c r="E1111" s="13" t="s">
        <v>1535</v>
      </c>
      <c r="F1111" s="13">
        <v>3025459</v>
      </c>
      <c r="G1111" s="14">
        <v>12695.5</v>
      </c>
      <c r="H1111" s="40">
        <f>9200-9193.98</f>
        <v>6.0200000000004366</v>
      </c>
      <c r="I1111" s="16">
        <f>-H1111*G1111</f>
        <v>-76426.910000005548</v>
      </c>
      <c r="J1111" s="17">
        <v>0</v>
      </c>
      <c r="K1111" s="34">
        <v>4502328222</v>
      </c>
      <c r="L1111" s="19">
        <v>5081883938</v>
      </c>
      <c r="M1111" s="20">
        <v>5113315840</v>
      </c>
      <c r="N1111" s="23"/>
      <c r="O1111" s="23"/>
      <c r="P1111" s="23"/>
      <c r="Q1111" s="24" t="s">
        <v>31</v>
      </c>
      <c r="R1111" s="25">
        <v>44698</v>
      </c>
      <c r="S1111" s="28"/>
      <c r="T1111" s="35"/>
      <c r="U1111" s="35"/>
      <c r="V1111" s="29"/>
      <c r="W1111" s="35"/>
      <c r="X1111" s="29"/>
      <c r="Y1111" s="36"/>
      <c r="Z1111" s="29"/>
      <c r="AA1111" s="31">
        <f t="shared" si="1"/>
        <v>44698</v>
      </c>
      <c r="AB1111" s="32" t="str">
        <f t="shared" si="5"/>
        <v>mayo</v>
      </c>
    </row>
    <row r="1112" spans="1:28" ht="12.75">
      <c r="A1112" s="9" t="s">
        <v>80</v>
      </c>
      <c r="B1112" s="10">
        <v>44698</v>
      </c>
      <c r="C1112" s="11">
        <v>44701</v>
      </c>
      <c r="D1112" s="42">
        <v>20</v>
      </c>
      <c r="E1112" s="13" t="s">
        <v>1536</v>
      </c>
      <c r="F1112" s="13">
        <v>3025460</v>
      </c>
      <c r="G1112" s="14">
        <v>40556</v>
      </c>
      <c r="H1112" s="57">
        <v>9250</v>
      </c>
      <c r="I1112" s="16">
        <f t="shared" ref="I1112:I1117" si="165">H1112*G1112</f>
        <v>375143000</v>
      </c>
      <c r="J1112" s="17">
        <v>84</v>
      </c>
      <c r="K1112" s="34">
        <v>4502334924</v>
      </c>
      <c r="L1112" s="19">
        <v>5081920659</v>
      </c>
      <c r="M1112" s="20">
        <v>5113315841</v>
      </c>
      <c r="N1112" s="23" t="s">
        <v>37</v>
      </c>
      <c r="O1112" s="23"/>
      <c r="P1112" s="23"/>
      <c r="Q1112" s="24" t="s">
        <v>82</v>
      </c>
      <c r="R1112" s="25">
        <v>44698</v>
      </c>
      <c r="S1112" s="28"/>
      <c r="T1112" s="35"/>
      <c r="U1112" s="35"/>
      <c r="V1112" s="29"/>
      <c r="W1112" s="35"/>
      <c r="X1112" s="29"/>
      <c r="Y1112" s="36"/>
      <c r="Z1112" s="29"/>
      <c r="AA1112" s="31">
        <f t="shared" si="1"/>
        <v>44698</v>
      </c>
      <c r="AB1112" s="32" t="str">
        <f t="shared" si="5"/>
        <v>mayo</v>
      </c>
    </row>
    <row r="1113" spans="1:28" ht="12.75">
      <c r="A1113" s="9" t="s">
        <v>83</v>
      </c>
      <c r="B1113" s="10">
        <v>44698</v>
      </c>
      <c r="C1113" s="11">
        <v>44701</v>
      </c>
      <c r="D1113" s="42">
        <v>20</v>
      </c>
      <c r="E1113" s="13" t="s">
        <v>1537</v>
      </c>
      <c r="F1113" s="13">
        <v>3025460</v>
      </c>
      <c r="G1113" s="14">
        <v>27267</v>
      </c>
      <c r="H1113" s="15">
        <v>9200</v>
      </c>
      <c r="I1113" s="16">
        <f t="shared" si="165"/>
        <v>250856400</v>
      </c>
      <c r="J1113" s="17">
        <v>56</v>
      </c>
      <c r="K1113" s="34">
        <v>4502334916</v>
      </c>
      <c r="L1113" s="19">
        <v>5081920663</v>
      </c>
      <c r="M1113" s="20">
        <v>5113318518</v>
      </c>
      <c r="N1113" s="23" t="s">
        <v>382</v>
      </c>
      <c r="O1113" s="44" t="s">
        <v>1538</v>
      </c>
      <c r="P1113" s="23"/>
      <c r="Q1113" s="24" t="s">
        <v>82</v>
      </c>
      <c r="R1113" s="25">
        <v>44698</v>
      </c>
      <c r="S1113" s="34">
        <v>4502334916</v>
      </c>
      <c r="T1113" s="28">
        <v>2783000</v>
      </c>
      <c r="U1113" s="28" t="s">
        <v>1539</v>
      </c>
      <c r="V1113" s="29" t="s">
        <v>1540</v>
      </c>
      <c r="W1113" s="28" t="s">
        <v>1541</v>
      </c>
      <c r="X1113" s="29">
        <v>5113313753</v>
      </c>
      <c r="Y1113" s="30" t="s">
        <v>1542</v>
      </c>
      <c r="Z1113" s="29">
        <v>5113313756</v>
      </c>
      <c r="AA1113" s="31">
        <f t="shared" si="1"/>
        <v>44698</v>
      </c>
      <c r="AB1113" s="32" t="str">
        <f t="shared" si="5"/>
        <v>mayo</v>
      </c>
    </row>
    <row r="1114" spans="1:28" ht="12.75">
      <c r="A1114" s="9" t="s">
        <v>85</v>
      </c>
      <c r="B1114" s="10">
        <v>44698</v>
      </c>
      <c r="C1114" s="11">
        <v>44701</v>
      </c>
      <c r="D1114" s="42">
        <v>20</v>
      </c>
      <c r="E1114" s="13" t="s">
        <v>1543</v>
      </c>
      <c r="F1114" s="13">
        <v>3025460</v>
      </c>
      <c r="G1114" s="14">
        <v>19400</v>
      </c>
      <c r="H1114" s="57">
        <v>9250</v>
      </c>
      <c r="I1114" s="16">
        <f t="shared" si="165"/>
        <v>179450000</v>
      </c>
      <c r="J1114" s="17">
        <v>42</v>
      </c>
      <c r="K1114" s="34">
        <v>4502334922</v>
      </c>
      <c r="L1114" s="19">
        <v>5081920567</v>
      </c>
      <c r="M1114" s="20">
        <v>5113313795</v>
      </c>
      <c r="N1114" s="23"/>
      <c r="O1114" s="23" t="s">
        <v>63</v>
      </c>
      <c r="P1114" s="23"/>
      <c r="Q1114" s="24" t="s">
        <v>82</v>
      </c>
      <c r="R1114" s="25">
        <v>44698</v>
      </c>
      <c r="S1114" s="28"/>
      <c r="T1114" s="35"/>
      <c r="U1114" s="35"/>
      <c r="V1114" s="29"/>
      <c r="W1114" s="35"/>
      <c r="X1114" s="29"/>
      <c r="Y1114" s="36"/>
      <c r="Z1114" s="29"/>
      <c r="AA1114" s="31">
        <f t="shared" si="1"/>
        <v>44698</v>
      </c>
      <c r="AB1114" s="32" t="str">
        <f t="shared" si="5"/>
        <v>mayo</v>
      </c>
    </row>
    <row r="1115" spans="1:28" ht="12.75">
      <c r="A1115" s="9" t="s">
        <v>87</v>
      </c>
      <c r="B1115" s="10">
        <v>44698</v>
      </c>
      <c r="C1115" s="11"/>
      <c r="D1115" s="42">
        <v>20</v>
      </c>
      <c r="E1115" s="13" t="s">
        <v>1544</v>
      </c>
      <c r="F1115" s="13">
        <v>3025460</v>
      </c>
      <c r="G1115" s="14">
        <v>20056</v>
      </c>
      <c r="H1115" s="57">
        <v>9250</v>
      </c>
      <c r="I1115" s="16">
        <f t="shared" si="165"/>
        <v>185518000</v>
      </c>
      <c r="J1115" s="17">
        <v>42</v>
      </c>
      <c r="K1115" s="34">
        <v>4502334928</v>
      </c>
      <c r="L1115" s="19">
        <v>5081920665</v>
      </c>
      <c r="M1115" s="20">
        <v>5113315843</v>
      </c>
      <c r="N1115" s="23"/>
      <c r="O1115" s="23" t="s">
        <v>63</v>
      </c>
      <c r="P1115" s="23"/>
      <c r="Q1115" s="24" t="s">
        <v>82</v>
      </c>
      <c r="R1115" s="25">
        <v>44698</v>
      </c>
      <c r="S1115" s="28"/>
      <c r="T1115" s="35"/>
      <c r="U1115" s="35"/>
      <c r="V1115" s="29"/>
      <c r="W1115" s="28"/>
      <c r="X1115" s="29"/>
      <c r="Y1115" s="36"/>
      <c r="Z1115" s="29"/>
      <c r="AA1115" s="31">
        <f t="shared" si="1"/>
        <v>44698</v>
      </c>
      <c r="AB1115" s="32" t="str">
        <f t="shared" si="5"/>
        <v>mayo</v>
      </c>
    </row>
    <row r="1116" spans="1:28" ht="12.75">
      <c r="A1116" s="9" t="s">
        <v>199</v>
      </c>
      <c r="B1116" s="10">
        <v>44698</v>
      </c>
      <c r="C1116" s="11"/>
      <c r="D1116" s="42">
        <v>20</v>
      </c>
      <c r="E1116" s="13" t="s">
        <v>1545</v>
      </c>
      <c r="F1116" s="13">
        <v>3025460</v>
      </c>
      <c r="G1116" s="14">
        <v>15582</v>
      </c>
      <c r="H1116" s="57">
        <v>9250</v>
      </c>
      <c r="I1116" s="16">
        <f t="shared" si="165"/>
        <v>144133500</v>
      </c>
      <c r="J1116" s="17">
        <v>30</v>
      </c>
      <c r="K1116" s="34">
        <v>4502334930</v>
      </c>
      <c r="L1116" s="19">
        <v>5081920809</v>
      </c>
      <c r="M1116" s="20">
        <v>5113315844</v>
      </c>
      <c r="N1116" s="23"/>
      <c r="O1116" s="23" t="s">
        <v>63</v>
      </c>
      <c r="P1116" s="23"/>
      <c r="Q1116" s="24" t="s">
        <v>82</v>
      </c>
      <c r="R1116" s="25">
        <v>44698</v>
      </c>
      <c r="S1116" s="28"/>
      <c r="T1116" s="35"/>
      <c r="U1116" s="35"/>
      <c r="V1116" s="29"/>
      <c r="W1116" s="35"/>
      <c r="X1116" s="29"/>
      <c r="Y1116" s="36"/>
      <c r="Z1116" s="29"/>
      <c r="AA1116" s="31">
        <f t="shared" si="1"/>
        <v>44698</v>
      </c>
      <c r="AB1116" s="32" t="str">
        <f t="shared" si="5"/>
        <v>mayo</v>
      </c>
    </row>
    <row r="1117" spans="1:28" ht="12.75">
      <c r="A1117" s="9" t="s">
        <v>318</v>
      </c>
      <c r="B1117" s="10">
        <v>44701</v>
      </c>
      <c r="C1117" s="11"/>
      <c r="D1117" s="42">
        <v>20</v>
      </c>
      <c r="E1117" s="13" t="s">
        <v>1546</v>
      </c>
      <c r="F1117" s="13">
        <v>3025460</v>
      </c>
      <c r="G1117" s="14">
        <v>7304</v>
      </c>
      <c r="H1117" s="57">
        <v>9200</v>
      </c>
      <c r="I1117" s="16">
        <f t="shared" si="165"/>
        <v>67196800</v>
      </c>
      <c r="J1117" s="17">
        <v>14</v>
      </c>
      <c r="K1117" s="34">
        <v>4502334932</v>
      </c>
      <c r="L1117" s="19">
        <v>5081920813</v>
      </c>
      <c r="M1117" s="20">
        <v>5113313885</v>
      </c>
      <c r="N1117" s="23"/>
      <c r="O1117" s="23"/>
      <c r="P1117" s="23"/>
      <c r="Q1117" s="24" t="s">
        <v>82</v>
      </c>
      <c r="R1117" s="25">
        <v>44698</v>
      </c>
      <c r="S1117" s="28"/>
      <c r="T1117" s="35"/>
      <c r="U1117" s="35"/>
      <c r="V1117" s="29"/>
      <c r="W1117" s="35"/>
      <c r="X1117" s="29"/>
      <c r="Y1117" s="36"/>
      <c r="Z1117" s="29"/>
      <c r="AA1117" s="31">
        <f t="shared" si="1"/>
        <v>44698</v>
      </c>
      <c r="AB1117" s="32" t="str">
        <f t="shared" si="5"/>
        <v>mayo</v>
      </c>
    </row>
    <row r="1118" spans="1:28" ht="12.75">
      <c r="A1118" s="9" t="s">
        <v>94</v>
      </c>
      <c r="B1118" s="10">
        <v>44705</v>
      </c>
      <c r="C1118" s="11">
        <v>44705</v>
      </c>
      <c r="D1118" s="42">
        <v>20</v>
      </c>
      <c r="E1118" s="13" t="s">
        <v>1547</v>
      </c>
      <c r="F1118" s="13">
        <v>3025460</v>
      </c>
      <c r="G1118" s="14">
        <v>13048</v>
      </c>
      <c r="H1118" s="81">
        <f>I1118/G1118</f>
        <v>9191.0177805027597</v>
      </c>
      <c r="I1118" s="39">
        <v>119924400</v>
      </c>
      <c r="J1118" s="17">
        <v>30</v>
      </c>
      <c r="K1118" s="34">
        <v>4502334935</v>
      </c>
      <c r="L1118" s="19">
        <v>5081920815</v>
      </c>
      <c r="M1118" s="20">
        <v>5113323197</v>
      </c>
      <c r="N1118" s="23"/>
      <c r="O1118" s="23" t="s">
        <v>63</v>
      </c>
      <c r="P1118" s="23" t="s">
        <v>1548</v>
      </c>
      <c r="Q1118" s="24" t="s">
        <v>82</v>
      </c>
      <c r="R1118" s="25">
        <v>44698</v>
      </c>
      <c r="S1118" s="28"/>
      <c r="T1118" s="35"/>
      <c r="U1118" s="35"/>
      <c r="V1118" s="29"/>
      <c r="W1118" s="35"/>
      <c r="X1118" s="29"/>
      <c r="Y1118" s="36"/>
      <c r="Z1118" s="29"/>
      <c r="AA1118" s="31">
        <f t="shared" si="1"/>
        <v>44698</v>
      </c>
      <c r="AB1118" s="32" t="str">
        <f t="shared" si="5"/>
        <v>mayo</v>
      </c>
    </row>
    <row r="1119" spans="1:28" ht="12.75">
      <c r="A1119" s="22" t="s">
        <v>404</v>
      </c>
      <c r="B1119" s="10">
        <v>44701</v>
      </c>
      <c r="C1119" s="11">
        <v>44704</v>
      </c>
      <c r="D1119" s="49">
        <v>21</v>
      </c>
      <c r="E1119" s="13" t="s">
        <v>1549</v>
      </c>
      <c r="F1119" s="13">
        <v>3025457</v>
      </c>
      <c r="G1119" s="14">
        <v>72412</v>
      </c>
      <c r="H1119" s="33">
        <v>9700</v>
      </c>
      <c r="I1119" s="16">
        <f>H1119*G1119</f>
        <v>702396400</v>
      </c>
      <c r="J1119" s="17">
        <v>149</v>
      </c>
      <c r="K1119" s="34">
        <v>4502333193</v>
      </c>
      <c r="L1119" s="19">
        <v>5081945159</v>
      </c>
      <c r="M1119" s="20">
        <v>5113322133</v>
      </c>
      <c r="N1119" s="23"/>
      <c r="O1119" s="23" t="s">
        <v>37</v>
      </c>
      <c r="P1119" s="23" t="s">
        <v>1550</v>
      </c>
      <c r="Q1119" s="24" t="s">
        <v>31</v>
      </c>
      <c r="R1119" s="25">
        <v>44700</v>
      </c>
      <c r="S1119" s="28"/>
      <c r="T1119" s="35"/>
      <c r="U1119" s="35"/>
      <c r="V1119" s="29"/>
      <c r="W1119" s="35"/>
      <c r="X1119" s="29"/>
      <c r="Y1119" s="36"/>
      <c r="Z1119" s="29"/>
      <c r="AA1119" s="31">
        <f t="shared" si="1"/>
        <v>44700</v>
      </c>
      <c r="AB1119" s="32" t="str">
        <f t="shared" si="5"/>
        <v>mayo</v>
      </c>
    </row>
    <row r="1120" spans="1:28" ht="12.75">
      <c r="A1120" s="22" t="s">
        <v>404</v>
      </c>
      <c r="B1120" s="10">
        <v>44704</v>
      </c>
      <c r="C1120" s="11">
        <v>44704</v>
      </c>
      <c r="D1120" s="49">
        <v>21</v>
      </c>
      <c r="E1120" s="13" t="s">
        <v>1551</v>
      </c>
      <c r="F1120" s="13">
        <v>3025457</v>
      </c>
      <c r="G1120" s="14">
        <v>72412</v>
      </c>
      <c r="H1120" s="33">
        <f>9700-9643.06</f>
        <v>56.940000000000509</v>
      </c>
      <c r="I1120" s="16">
        <f>-H1120*G1120</f>
        <v>-4123139.280000037</v>
      </c>
      <c r="J1120" s="17">
        <v>0</v>
      </c>
      <c r="K1120" s="34">
        <v>4502333193</v>
      </c>
      <c r="L1120" s="19">
        <v>5081945159</v>
      </c>
      <c r="M1120" s="20">
        <v>5113322136</v>
      </c>
      <c r="N1120" s="23"/>
      <c r="O1120" s="9"/>
      <c r="P1120" s="23"/>
      <c r="Q1120" s="24" t="s">
        <v>31</v>
      </c>
      <c r="R1120" s="25">
        <v>44700</v>
      </c>
      <c r="S1120" s="28"/>
      <c r="T1120" s="35"/>
      <c r="U1120" s="35"/>
      <c r="V1120" s="29"/>
      <c r="W1120" s="35"/>
      <c r="X1120" s="29"/>
      <c r="Y1120" s="36"/>
      <c r="Z1120" s="29"/>
      <c r="AA1120" s="31">
        <f t="shared" si="1"/>
        <v>44700</v>
      </c>
      <c r="AB1120" s="32" t="str">
        <f t="shared" si="5"/>
        <v>mayo</v>
      </c>
    </row>
    <row r="1121" spans="1:28" ht="12.75">
      <c r="A1121" s="9" t="s">
        <v>233</v>
      </c>
      <c r="B1121" s="10">
        <v>44700</v>
      </c>
      <c r="C1121" s="11">
        <v>44704</v>
      </c>
      <c r="D1121" s="49">
        <v>21</v>
      </c>
      <c r="E1121" s="13" t="s">
        <v>1552</v>
      </c>
      <c r="F1121" s="13">
        <v>3025457</v>
      </c>
      <c r="G1121" s="37">
        <v>28107.5</v>
      </c>
      <c r="H1121" s="33">
        <v>9350</v>
      </c>
      <c r="I1121" s="16">
        <f t="shared" ref="I1121:I1123" si="166">H1121*G1121</f>
        <v>262805125</v>
      </c>
      <c r="J1121" s="17">
        <v>59</v>
      </c>
      <c r="K1121" s="34">
        <v>4502333194</v>
      </c>
      <c r="L1121" s="19">
        <v>5081944753</v>
      </c>
      <c r="M1121" s="20">
        <v>5113319747</v>
      </c>
      <c r="N1121" s="23"/>
      <c r="O1121" s="23" t="s">
        <v>313</v>
      </c>
      <c r="P1121" s="23"/>
      <c r="Q1121" s="24" t="s">
        <v>31</v>
      </c>
      <c r="R1121" s="25">
        <v>44700</v>
      </c>
      <c r="S1121" s="28"/>
      <c r="T1121" s="35"/>
      <c r="U1121" s="35"/>
      <c r="V1121" s="29"/>
      <c r="W1121" s="35"/>
      <c r="X1121" s="29"/>
      <c r="Y1121" s="36"/>
      <c r="Z1121" s="29"/>
      <c r="AA1121" s="31">
        <f t="shared" si="1"/>
        <v>44700</v>
      </c>
      <c r="AB1121" s="32" t="str">
        <f t="shared" si="5"/>
        <v>mayo</v>
      </c>
    </row>
    <row r="1122" spans="1:28" ht="12.75">
      <c r="A1122" s="9" t="s">
        <v>58</v>
      </c>
      <c r="B1122" s="10">
        <v>44705</v>
      </c>
      <c r="C1122" s="11">
        <v>44705</v>
      </c>
      <c r="D1122" s="49">
        <v>21</v>
      </c>
      <c r="E1122" s="13" t="s">
        <v>1553</v>
      </c>
      <c r="F1122" s="13">
        <v>3025457</v>
      </c>
      <c r="G1122" s="37">
        <v>21880.5</v>
      </c>
      <c r="H1122" s="33">
        <v>9700</v>
      </c>
      <c r="I1122" s="16">
        <f t="shared" si="166"/>
        <v>212240850</v>
      </c>
      <c r="J1122" s="17">
        <v>45</v>
      </c>
      <c r="K1122" s="34">
        <v>4502333195</v>
      </c>
      <c r="L1122" s="19">
        <v>5081945160</v>
      </c>
      <c r="M1122" s="20">
        <v>5113323083</v>
      </c>
      <c r="N1122" s="44"/>
      <c r="O1122" s="23" t="s">
        <v>37</v>
      </c>
      <c r="P1122" s="23" t="s">
        <v>1548</v>
      </c>
      <c r="Q1122" s="24" t="s">
        <v>31</v>
      </c>
      <c r="R1122" s="25">
        <v>44700</v>
      </c>
      <c r="S1122" s="28"/>
      <c r="T1122" s="35"/>
      <c r="U1122" s="35"/>
      <c r="V1122" s="29"/>
      <c r="W1122" s="35"/>
      <c r="X1122" s="29"/>
      <c r="Y1122" s="36"/>
      <c r="Z1122" s="29"/>
      <c r="AA1122" s="31">
        <f t="shared" si="1"/>
        <v>44700</v>
      </c>
      <c r="AB1122" s="32" t="str">
        <f t="shared" si="5"/>
        <v>mayo</v>
      </c>
    </row>
    <row r="1123" spans="1:28" ht="12.75">
      <c r="A1123" s="9" t="s">
        <v>58</v>
      </c>
      <c r="B1123" s="10">
        <v>44705</v>
      </c>
      <c r="C1123" s="11">
        <v>44705</v>
      </c>
      <c r="D1123" s="49">
        <v>21</v>
      </c>
      <c r="E1123" s="13" t="s">
        <v>1554</v>
      </c>
      <c r="F1123" s="13">
        <v>3025457</v>
      </c>
      <c r="G1123" s="37">
        <v>7768.5</v>
      </c>
      <c r="H1123" s="33">
        <v>9700</v>
      </c>
      <c r="I1123" s="16">
        <f t="shared" si="166"/>
        <v>75354450</v>
      </c>
      <c r="J1123" s="17">
        <v>16</v>
      </c>
      <c r="K1123" s="34">
        <v>4502333195</v>
      </c>
      <c r="L1123" s="19">
        <v>5081945160</v>
      </c>
      <c r="M1123" s="20">
        <v>5113349720</v>
      </c>
      <c r="N1123" s="44"/>
      <c r="O1123" s="23" t="s">
        <v>37</v>
      </c>
      <c r="P1123" s="23" t="s">
        <v>1555</v>
      </c>
      <c r="Q1123" s="24" t="s">
        <v>31</v>
      </c>
      <c r="R1123" s="25">
        <v>44700</v>
      </c>
      <c r="S1123" s="28"/>
      <c r="T1123" s="35"/>
      <c r="U1123" s="35"/>
      <c r="V1123" s="29"/>
      <c r="W1123" s="35"/>
      <c r="X1123" s="29"/>
      <c r="Y1123" s="36"/>
      <c r="Z1123" s="29"/>
      <c r="AA1123" s="31">
        <f t="shared" si="1"/>
        <v>44700</v>
      </c>
      <c r="AB1123" s="32" t="str">
        <f t="shared" si="5"/>
        <v>mayo</v>
      </c>
    </row>
    <row r="1124" spans="1:28" ht="12.75">
      <c r="A1124" s="9" t="s">
        <v>58</v>
      </c>
      <c r="B1124" s="10">
        <v>44705</v>
      </c>
      <c r="C1124" s="11">
        <v>44705</v>
      </c>
      <c r="D1124" s="49">
        <v>21</v>
      </c>
      <c r="E1124" s="13" t="s">
        <v>1556</v>
      </c>
      <c r="F1124" s="13">
        <v>3025457</v>
      </c>
      <c r="G1124" s="37">
        <v>7768.5</v>
      </c>
      <c r="H1124" s="33">
        <v>150</v>
      </c>
      <c r="I1124" s="16">
        <f>-H1124*G1124</f>
        <v>-1165275</v>
      </c>
      <c r="J1124" s="17">
        <v>0</v>
      </c>
      <c r="K1124" s="34">
        <v>4502333195</v>
      </c>
      <c r="L1124" s="19">
        <v>5081945160</v>
      </c>
      <c r="M1124" s="20">
        <v>5113349722</v>
      </c>
      <c r="N1124" s="23"/>
      <c r="O1124" s="9"/>
      <c r="P1124" s="23"/>
      <c r="Q1124" s="24" t="s">
        <v>31</v>
      </c>
      <c r="R1124" s="25">
        <v>44700</v>
      </c>
      <c r="S1124" s="28"/>
      <c r="T1124" s="35"/>
      <c r="U1124" s="35"/>
      <c r="V1124" s="29"/>
      <c r="W1124" s="35"/>
      <c r="X1124" s="29"/>
      <c r="Y1124" s="36"/>
      <c r="Z1124" s="29"/>
      <c r="AA1124" s="31">
        <f t="shared" si="1"/>
        <v>44700</v>
      </c>
      <c r="AB1124" s="32" t="str">
        <f t="shared" si="5"/>
        <v>mayo</v>
      </c>
    </row>
    <row r="1125" spans="1:28" ht="12.75">
      <c r="A1125" s="9" t="s">
        <v>633</v>
      </c>
      <c r="B1125" s="10">
        <v>44706</v>
      </c>
      <c r="C1125" s="11"/>
      <c r="D1125" s="49">
        <v>21</v>
      </c>
      <c r="E1125" s="13" t="s">
        <v>1557</v>
      </c>
      <c r="F1125" s="13">
        <v>3025459</v>
      </c>
      <c r="G1125" s="37">
        <v>7917.5</v>
      </c>
      <c r="H1125" s="33">
        <v>9250</v>
      </c>
      <c r="I1125" s="16">
        <f t="shared" ref="I1125:I1128" si="167">H1125*G1125</f>
        <v>73236875</v>
      </c>
      <c r="J1125" s="17">
        <v>14</v>
      </c>
      <c r="K1125" s="34">
        <v>4502333196</v>
      </c>
      <c r="L1125" s="19">
        <v>5081944754</v>
      </c>
      <c r="M1125" s="20">
        <v>5113332043</v>
      </c>
      <c r="N1125" s="23"/>
      <c r="O1125" s="9" t="s">
        <v>37</v>
      </c>
      <c r="P1125" s="23" t="s">
        <v>1548</v>
      </c>
      <c r="Q1125" s="24" t="s">
        <v>31</v>
      </c>
      <c r="R1125" s="25">
        <v>44700</v>
      </c>
      <c r="S1125" s="28"/>
      <c r="T1125" s="35"/>
      <c r="U1125" s="35"/>
      <c r="V1125" s="29"/>
      <c r="W1125" s="35"/>
      <c r="X1125" s="29"/>
      <c r="Y1125" s="36"/>
      <c r="Z1125" s="29"/>
      <c r="AA1125" s="31">
        <f t="shared" si="1"/>
        <v>44700</v>
      </c>
      <c r="AB1125" s="32" t="str">
        <f t="shared" si="5"/>
        <v>mayo</v>
      </c>
    </row>
    <row r="1126" spans="1:28" ht="12.75">
      <c r="A1126" s="9" t="s">
        <v>633</v>
      </c>
      <c r="B1126" s="10">
        <v>44706</v>
      </c>
      <c r="C1126" s="11"/>
      <c r="D1126" s="49">
        <v>21</v>
      </c>
      <c r="E1126" s="13" t="s">
        <v>1558</v>
      </c>
      <c r="F1126" s="13">
        <v>3025459</v>
      </c>
      <c r="G1126" s="37">
        <v>7917.5</v>
      </c>
      <c r="H1126" s="33">
        <v>34.130000000000003</v>
      </c>
      <c r="I1126" s="16">
        <f t="shared" si="167"/>
        <v>270224.27500000002</v>
      </c>
      <c r="J1126" s="17">
        <v>0</v>
      </c>
      <c r="K1126" s="34">
        <v>4502333196</v>
      </c>
      <c r="L1126" s="19">
        <v>5081944754</v>
      </c>
      <c r="M1126" s="20">
        <v>5113332046</v>
      </c>
      <c r="N1126" s="23"/>
      <c r="O1126" s="9"/>
      <c r="P1126" s="23"/>
      <c r="Q1126" s="24" t="s">
        <v>31</v>
      </c>
      <c r="R1126" s="25">
        <v>44700</v>
      </c>
      <c r="S1126" s="28"/>
      <c r="T1126" s="35"/>
      <c r="U1126" s="35"/>
      <c r="V1126" s="29"/>
      <c r="W1126" s="35"/>
      <c r="X1126" s="29"/>
      <c r="Y1126" s="36"/>
      <c r="Z1126" s="29"/>
      <c r="AA1126" s="31">
        <f t="shared" si="1"/>
        <v>44700</v>
      </c>
      <c r="AB1126" s="32" t="str">
        <f t="shared" si="5"/>
        <v>mayo</v>
      </c>
    </row>
    <row r="1127" spans="1:28" ht="12.75">
      <c r="A1127" s="9" t="s">
        <v>485</v>
      </c>
      <c r="B1127" s="10">
        <v>44704</v>
      </c>
      <c r="C1127" s="11"/>
      <c r="D1127" s="49">
        <v>21</v>
      </c>
      <c r="E1127" s="13" t="s">
        <v>1559</v>
      </c>
      <c r="F1127" s="13">
        <v>3025459</v>
      </c>
      <c r="G1127" s="37">
        <v>6247.5</v>
      </c>
      <c r="H1127" s="33">
        <v>9500</v>
      </c>
      <c r="I1127" s="16">
        <f t="shared" si="167"/>
        <v>59351250</v>
      </c>
      <c r="J1127" s="17">
        <v>14</v>
      </c>
      <c r="K1127" s="34">
        <v>4502333197</v>
      </c>
      <c r="L1127" s="19">
        <v>5081944755</v>
      </c>
      <c r="M1127" s="20">
        <v>5113319751</v>
      </c>
      <c r="N1127" s="23"/>
      <c r="O1127" s="23" t="s">
        <v>313</v>
      </c>
      <c r="P1127" s="23" t="s">
        <v>1469</v>
      </c>
      <c r="Q1127" s="24" t="s">
        <v>31</v>
      </c>
      <c r="R1127" s="25">
        <v>44700</v>
      </c>
      <c r="S1127" s="28"/>
      <c r="T1127" s="35"/>
      <c r="U1127" s="35"/>
      <c r="V1127" s="29"/>
      <c r="W1127" s="35"/>
      <c r="X1127" s="29"/>
      <c r="Y1127" s="36"/>
      <c r="Z1127" s="29"/>
      <c r="AA1127" s="31">
        <f t="shared" si="1"/>
        <v>44700</v>
      </c>
      <c r="AB1127" s="32" t="str">
        <f t="shared" si="5"/>
        <v>mayo</v>
      </c>
    </row>
    <row r="1128" spans="1:28" ht="12.75">
      <c r="A1128" s="9" t="s">
        <v>1102</v>
      </c>
      <c r="B1128" s="10">
        <v>44704</v>
      </c>
      <c r="C1128" s="11"/>
      <c r="D1128" s="49">
        <v>21</v>
      </c>
      <c r="E1128" s="13" t="s">
        <v>1560</v>
      </c>
      <c r="F1128" s="13">
        <v>3025459</v>
      </c>
      <c r="G1128" s="14">
        <v>20358</v>
      </c>
      <c r="H1128" s="33">
        <v>9500</v>
      </c>
      <c r="I1128" s="16">
        <f t="shared" si="167"/>
        <v>193401000</v>
      </c>
      <c r="J1128" s="17">
        <v>44</v>
      </c>
      <c r="K1128" s="34">
        <v>4502333198</v>
      </c>
      <c r="L1128" s="19">
        <v>5081945161</v>
      </c>
      <c r="M1128" s="20">
        <v>5113323153</v>
      </c>
      <c r="N1128" s="44"/>
      <c r="O1128" s="9" t="s">
        <v>37</v>
      </c>
      <c r="P1128" s="23"/>
      <c r="Q1128" s="24" t="s">
        <v>31</v>
      </c>
      <c r="R1128" s="25">
        <v>44700</v>
      </c>
      <c r="S1128" s="28"/>
      <c r="T1128" s="35"/>
      <c r="U1128" s="35"/>
      <c r="V1128" s="29"/>
      <c r="W1128" s="35"/>
      <c r="X1128" s="29"/>
      <c r="Y1128" s="36"/>
      <c r="Z1128" s="29"/>
      <c r="AA1128" s="31">
        <f t="shared" si="1"/>
        <v>44700</v>
      </c>
      <c r="AB1128" s="32" t="str">
        <f t="shared" si="5"/>
        <v>mayo</v>
      </c>
    </row>
    <row r="1129" spans="1:28" ht="12.75">
      <c r="A1129" s="9" t="s">
        <v>1102</v>
      </c>
      <c r="B1129" s="10">
        <v>44704</v>
      </c>
      <c r="C1129" s="11"/>
      <c r="D1129" s="49">
        <v>21</v>
      </c>
      <c r="E1129" s="13" t="s">
        <v>1561</v>
      </c>
      <c r="F1129" s="13">
        <v>3025459</v>
      </c>
      <c r="G1129" s="14">
        <v>20358</v>
      </c>
      <c r="H1129" s="33">
        <f>9500-9402.35</f>
        <v>97.649999999999636</v>
      </c>
      <c r="I1129" s="16">
        <f>-H1129*G1129</f>
        <v>-1987958.6999999925</v>
      </c>
      <c r="J1129" s="17">
        <v>0</v>
      </c>
      <c r="K1129" s="34">
        <v>4502333198</v>
      </c>
      <c r="L1129" s="19">
        <v>5081945161</v>
      </c>
      <c r="M1129" s="20">
        <v>5113323156</v>
      </c>
      <c r="N1129" s="23"/>
      <c r="O1129" s="9"/>
      <c r="P1129" s="23"/>
      <c r="Q1129" s="24" t="s">
        <v>31</v>
      </c>
      <c r="R1129" s="25">
        <v>44700</v>
      </c>
      <c r="S1129" s="28"/>
      <c r="T1129" s="35"/>
      <c r="U1129" s="35"/>
      <c r="V1129" s="29"/>
      <c r="W1129" s="35"/>
      <c r="X1129" s="29"/>
      <c r="Y1129" s="36"/>
      <c r="Z1129" s="29"/>
      <c r="AA1129" s="31">
        <f t="shared" si="1"/>
        <v>44700</v>
      </c>
      <c r="AB1129" s="32" t="str">
        <f t="shared" si="5"/>
        <v>mayo</v>
      </c>
    </row>
    <row r="1130" spans="1:28" ht="12.75">
      <c r="A1130" s="45" t="s">
        <v>145</v>
      </c>
      <c r="B1130" s="10">
        <v>44705</v>
      </c>
      <c r="C1130" s="11"/>
      <c r="D1130" s="49">
        <v>21</v>
      </c>
      <c r="E1130" s="13" t="s">
        <v>1562</v>
      </c>
      <c r="F1130" s="13">
        <v>3025457</v>
      </c>
      <c r="G1130" s="37">
        <v>6754.5</v>
      </c>
      <c r="H1130" s="33">
        <v>9200</v>
      </c>
      <c r="I1130" s="16">
        <f t="shared" ref="I1130:I1132" si="168">H1130*G1130</f>
        <v>62141400</v>
      </c>
      <c r="J1130" s="17">
        <v>14</v>
      </c>
      <c r="K1130" s="34">
        <v>4502333199</v>
      </c>
      <c r="L1130" s="19">
        <v>5081944756</v>
      </c>
      <c r="M1130" s="20">
        <v>5113327524</v>
      </c>
      <c r="N1130" s="23"/>
      <c r="O1130" s="23" t="s">
        <v>37</v>
      </c>
      <c r="P1130" s="23" t="s">
        <v>1548</v>
      </c>
      <c r="Q1130" s="24" t="s">
        <v>31</v>
      </c>
      <c r="R1130" s="25">
        <v>44701</v>
      </c>
      <c r="S1130" s="28"/>
      <c r="T1130" s="35"/>
      <c r="U1130" s="35"/>
      <c r="V1130" s="29"/>
      <c r="W1130" s="35"/>
      <c r="X1130" s="29"/>
      <c r="Y1130" s="36"/>
      <c r="Z1130" s="29"/>
      <c r="AA1130" s="31">
        <f t="shared" si="1"/>
        <v>44701</v>
      </c>
      <c r="AB1130" s="32" t="str">
        <f t="shared" si="5"/>
        <v>mayo</v>
      </c>
    </row>
    <row r="1131" spans="1:28" ht="12.75">
      <c r="A1131" s="22" t="s">
        <v>404</v>
      </c>
      <c r="B1131" s="10">
        <v>44701</v>
      </c>
      <c r="C1131" s="11">
        <v>44704</v>
      </c>
      <c r="D1131" s="49">
        <v>21</v>
      </c>
      <c r="E1131" s="13" t="s">
        <v>1563</v>
      </c>
      <c r="F1131" s="13">
        <v>3025459</v>
      </c>
      <c r="G1131" s="37">
        <v>33861.5</v>
      </c>
      <c r="H1131" s="33">
        <v>9700</v>
      </c>
      <c r="I1131" s="16">
        <f t="shared" si="168"/>
        <v>328456550</v>
      </c>
      <c r="J1131" s="17">
        <v>70</v>
      </c>
      <c r="K1131" s="34">
        <v>4502333200</v>
      </c>
      <c r="L1131" s="19">
        <v>5081944757</v>
      </c>
      <c r="M1131" s="20">
        <v>5113322160</v>
      </c>
      <c r="N1131" s="23"/>
      <c r="O1131" s="23" t="s">
        <v>37</v>
      </c>
      <c r="P1131" s="23"/>
      <c r="Q1131" s="24" t="s">
        <v>31</v>
      </c>
      <c r="R1131" s="25">
        <v>44701</v>
      </c>
      <c r="S1131" s="28"/>
      <c r="T1131" s="35"/>
      <c r="U1131" s="35"/>
      <c r="V1131" s="29"/>
      <c r="W1131" s="35"/>
      <c r="X1131" s="29"/>
      <c r="Y1131" s="36"/>
      <c r="Z1131" s="29"/>
      <c r="AA1131" s="31">
        <f t="shared" si="1"/>
        <v>44701</v>
      </c>
      <c r="AB1131" s="32" t="str">
        <f t="shared" si="5"/>
        <v>mayo</v>
      </c>
    </row>
    <row r="1132" spans="1:28" ht="12.75">
      <c r="A1132" s="9" t="s">
        <v>1102</v>
      </c>
      <c r="B1132" s="10">
        <v>44705</v>
      </c>
      <c r="C1132" s="11">
        <v>44706</v>
      </c>
      <c r="D1132" s="49">
        <v>21</v>
      </c>
      <c r="E1132" s="13" t="s">
        <v>1564</v>
      </c>
      <c r="F1132" s="13">
        <v>3025457</v>
      </c>
      <c r="G1132" s="14">
        <v>14541</v>
      </c>
      <c r="H1132" s="33">
        <v>9500</v>
      </c>
      <c r="I1132" s="16">
        <f t="shared" si="168"/>
        <v>138139500</v>
      </c>
      <c r="J1132" s="17">
        <v>30</v>
      </c>
      <c r="K1132" s="34">
        <v>4502333201</v>
      </c>
      <c r="L1132" s="19">
        <v>5081945162</v>
      </c>
      <c r="M1132" s="20">
        <v>5113325225</v>
      </c>
      <c r="N1132" s="23"/>
      <c r="O1132" s="9" t="s">
        <v>37</v>
      </c>
      <c r="P1132" s="23" t="s">
        <v>1548</v>
      </c>
      <c r="Q1132" s="24" t="s">
        <v>31</v>
      </c>
      <c r="R1132" s="25">
        <v>44701</v>
      </c>
      <c r="S1132" s="28"/>
      <c r="T1132" s="35"/>
      <c r="U1132" s="35"/>
      <c r="V1132" s="29"/>
      <c r="W1132" s="35"/>
      <c r="X1132" s="29"/>
      <c r="Y1132" s="36"/>
      <c r="Z1132" s="29"/>
      <c r="AA1132" s="31">
        <f t="shared" si="1"/>
        <v>44701</v>
      </c>
      <c r="AB1132" s="32" t="str">
        <f t="shared" si="5"/>
        <v>mayo</v>
      </c>
    </row>
    <row r="1133" spans="1:28" ht="12.75">
      <c r="A1133" s="9" t="s">
        <v>1102</v>
      </c>
      <c r="B1133" s="10">
        <v>44705</v>
      </c>
      <c r="C1133" s="11">
        <v>44706</v>
      </c>
      <c r="D1133" s="49">
        <v>21</v>
      </c>
      <c r="E1133" s="13" t="s">
        <v>1565</v>
      </c>
      <c r="F1133" s="13">
        <v>3025457</v>
      </c>
      <c r="G1133" s="14">
        <v>14541</v>
      </c>
      <c r="H1133" s="33">
        <f>9500-9495.73</f>
        <v>4.2700000000004366</v>
      </c>
      <c r="I1133" s="16">
        <f>-H1133*G1133</f>
        <v>-62090.070000006352</v>
      </c>
      <c r="J1133" s="17">
        <v>0</v>
      </c>
      <c r="K1133" s="34">
        <v>4502333201</v>
      </c>
      <c r="L1133" s="19">
        <v>5081945162</v>
      </c>
      <c r="M1133" s="20">
        <v>5113325226</v>
      </c>
      <c r="N1133" s="23"/>
      <c r="O1133" s="9"/>
      <c r="P1133" s="23"/>
      <c r="Q1133" s="24" t="s">
        <v>31</v>
      </c>
      <c r="R1133" s="25">
        <v>44701</v>
      </c>
      <c r="S1133" s="28"/>
      <c r="T1133" s="35"/>
      <c r="U1133" s="35"/>
      <c r="V1133" s="29"/>
      <c r="W1133" s="35"/>
      <c r="X1133" s="29"/>
      <c r="Y1133" s="36"/>
      <c r="Z1133" s="29"/>
      <c r="AA1133" s="31">
        <f t="shared" si="1"/>
        <v>44701</v>
      </c>
      <c r="AB1133" s="32" t="str">
        <f t="shared" si="5"/>
        <v>mayo</v>
      </c>
    </row>
    <row r="1134" spans="1:28" ht="12.75">
      <c r="A1134" s="9" t="s">
        <v>274</v>
      </c>
      <c r="B1134" s="10">
        <v>44705</v>
      </c>
      <c r="C1134" s="11">
        <v>44705</v>
      </c>
      <c r="D1134" s="49">
        <v>21</v>
      </c>
      <c r="E1134" s="13" t="s">
        <v>1566</v>
      </c>
      <c r="F1134" s="13">
        <v>3025457</v>
      </c>
      <c r="G1134" s="37">
        <v>13950.5</v>
      </c>
      <c r="H1134" s="33">
        <v>9600</v>
      </c>
      <c r="I1134" s="16">
        <f t="shared" ref="I1134:I1136" si="169">H1134*G1134</f>
        <v>133924800</v>
      </c>
      <c r="J1134" s="17">
        <v>30</v>
      </c>
      <c r="K1134" s="34">
        <v>4502333202</v>
      </c>
      <c r="L1134" s="19">
        <v>5081945163</v>
      </c>
      <c r="M1134" s="20">
        <v>5113320899</v>
      </c>
      <c r="N1134" s="23"/>
      <c r="O1134" s="9" t="s">
        <v>63</v>
      </c>
      <c r="P1134" s="23" t="s">
        <v>1548</v>
      </c>
      <c r="Q1134" s="24" t="s">
        <v>31</v>
      </c>
      <c r="R1134" s="25">
        <v>44701</v>
      </c>
      <c r="S1134" s="28"/>
      <c r="T1134" s="35"/>
      <c r="U1134" s="35"/>
      <c r="V1134" s="29"/>
      <c r="W1134" s="35"/>
      <c r="X1134" s="29"/>
      <c r="Y1134" s="36"/>
      <c r="Z1134" s="29"/>
      <c r="AA1134" s="31">
        <f t="shared" si="1"/>
        <v>44701</v>
      </c>
      <c r="AB1134" s="32" t="str">
        <f t="shared" si="5"/>
        <v>mayo</v>
      </c>
    </row>
    <row r="1135" spans="1:28" ht="12.75">
      <c r="A1135" s="9" t="s">
        <v>168</v>
      </c>
      <c r="B1135" s="10">
        <v>44705</v>
      </c>
      <c r="C1135" s="11"/>
      <c r="D1135" s="49">
        <v>21</v>
      </c>
      <c r="E1135" s="13" t="s">
        <v>1567</v>
      </c>
      <c r="F1135" s="13">
        <v>3025457</v>
      </c>
      <c r="G1135" s="37">
        <v>13430.5</v>
      </c>
      <c r="H1135" s="33">
        <v>9600</v>
      </c>
      <c r="I1135" s="16">
        <f t="shared" si="169"/>
        <v>128932800</v>
      </c>
      <c r="J1135" s="17">
        <v>28</v>
      </c>
      <c r="K1135" s="34">
        <v>4502333203</v>
      </c>
      <c r="L1135" s="19">
        <v>5081944908</v>
      </c>
      <c r="M1135" s="20">
        <v>5113320898</v>
      </c>
      <c r="N1135" s="23"/>
      <c r="O1135" s="9" t="s">
        <v>63</v>
      </c>
      <c r="P1135" s="23" t="s">
        <v>1548</v>
      </c>
      <c r="Q1135" s="24" t="s">
        <v>31</v>
      </c>
      <c r="R1135" s="25">
        <v>44701</v>
      </c>
      <c r="S1135" s="28"/>
      <c r="T1135" s="35"/>
      <c r="U1135" s="35"/>
      <c r="V1135" s="29"/>
      <c r="W1135" s="35"/>
      <c r="X1135" s="29"/>
      <c r="Y1135" s="36"/>
      <c r="Z1135" s="29"/>
      <c r="AA1135" s="31">
        <f t="shared" si="1"/>
        <v>44701</v>
      </c>
      <c r="AB1135" s="32" t="str">
        <f t="shared" si="5"/>
        <v>mayo</v>
      </c>
    </row>
    <row r="1136" spans="1:28" ht="12.75">
      <c r="A1136" s="9" t="s">
        <v>58</v>
      </c>
      <c r="B1136" s="10">
        <v>44705</v>
      </c>
      <c r="C1136" s="11">
        <v>44705</v>
      </c>
      <c r="D1136" s="49">
        <v>21</v>
      </c>
      <c r="E1136" s="13" t="s">
        <v>1568</v>
      </c>
      <c r="F1136" s="13">
        <v>3025460</v>
      </c>
      <c r="G1136" s="37">
        <v>20941.5</v>
      </c>
      <c r="H1136" s="33">
        <v>9700</v>
      </c>
      <c r="I1136" s="16">
        <f t="shared" si="169"/>
        <v>203132550</v>
      </c>
      <c r="J1136" s="17">
        <v>43</v>
      </c>
      <c r="K1136" s="34">
        <v>4502333204</v>
      </c>
      <c r="L1136" s="19">
        <v>5081944909</v>
      </c>
      <c r="M1136" s="20">
        <v>5113323085</v>
      </c>
      <c r="N1136" s="23"/>
      <c r="O1136" s="23" t="s">
        <v>37</v>
      </c>
      <c r="P1136" s="23" t="s">
        <v>1548</v>
      </c>
      <c r="Q1136" s="24" t="s">
        <v>31</v>
      </c>
      <c r="R1136" s="25">
        <v>44701</v>
      </c>
      <c r="S1136" s="28"/>
      <c r="T1136" s="35"/>
      <c r="U1136" s="35"/>
      <c r="V1136" s="29"/>
      <c r="W1136" s="35"/>
      <c r="X1136" s="29"/>
      <c r="Y1136" s="36"/>
      <c r="Z1136" s="29"/>
      <c r="AA1136" s="31">
        <f t="shared" si="1"/>
        <v>44701</v>
      </c>
      <c r="AB1136" s="32" t="str">
        <f t="shared" si="5"/>
        <v>mayo</v>
      </c>
    </row>
    <row r="1137" spans="1:28" ht="12.75">
      <c r="A1137" s="9" t="s">
        <v>58</v>
      </c>
      <c r="B1137" s="10">
        <v>44705</v>
      </c>
      <c r="C1137" s="11">
        <v>44705</v>
      </c>
      <c r="D1137" s="49">
        <v>21</v>
      </c>
      <c r="E1137" s="13" t="s">
        <v>1569</v>
      </c>
      <c r="F1137" s="13">
        <v>3025460</v>
      </c>
      <c r="G1137" s="37">
        <v>20941.5</v>
      </c>
      <c r="H1137" s="33">
        <f>9700-9646.35</f>
        <v>53.649999999999636</v>
      </c>
      <c r="I1137" s="16">
        <f>-H1137*G1137</f>
        <v>-1123511.4749999924</v>
      </c>
      <c r="J1137" s="17">
        <v>0</v>
      </c>
      <c r="K1137" s="34">
        <v>4502333204</v>
      </c>
      <c r="L1137" s="19">
        <v>5081944909</v>
      </c>
      <c r="M1137" s="20">
        <v>5113323127</v>
      </c>
      <c r="N1137" s="23"/>
      <c r="O1137" s="9"/>
      <c r="P1137" s="23"/>
      <c r="Q1137" s="24" t="s">
        <v>31</v>
      </c>
      <c r="R1137" s="25">
        <v>44701</v>
      </c>
      <c r="S1137" s="28"/>
      <c r="T1137" s="35"/>
      <c r="U1137" s="35"/>
      <c r="V1137" s="29"/>
      <c r="W1137" s="35"/>
      <c r="X1137" s="29"/>
      <c r="Y1137" s="36"/>
      <c r="Z1137" s="29"/>
      <c r="AA1137" s="31">
        <f t="shared" si="1"/>
        <v>44701</v>
      </c>
      <c r="AB1137" s="32" t="str">
        <f t="shared" si="5"/>
        <v>mayo</v>
      </c>
    </row>
    <row r="1138" spans="1:28" ht="12.75">
      <c r="A1138" s="9" t="s">
        <v>58</v>
      </c>
      <c r="B1138" s="10">
        <v>44705</v>
      </c>
      <c r="C1138" s="11">
        <v>44705</v>
      </c>
      <c r="D1138" s="49">
        <v>21</v>
      </c>
      <c r="E1138" s="13" t="s">
        <v>1570</v>
      </c>
      <c r="F1138" s="13">
        <v>3025460</v>
      </c>
      <c r="G1138" s="37">
        <v>20072.5</v>
      </c>
      <c r="H1138" s="33">
        <v>9700</v>
      </c>
      <c r="I1138" s="16">
        <f>H1138*G1138</f>
        <v>194703250</v>
      </c>
      <c r="J1138" s="17">
        <v>45</v>
      </c>
      <c r="K1138" s="34">
        <v>4502333204</v>
      </c>
      <c r="L1138" s="19">
        <v>5081944909</v>
      </c>
      <c r="M1138" s="20">
        <v>5113323130</v>
      </c>
      <c r="N1138" s="23"/>
      <c r="O1138" s="23" t="s">
        <v>37</v>
      </c>
      <c r="P1138" s="23" t="s">
        <v>1548</v>
      </c>
      <c r="Q1138" s="24" t="s">
        <v>31</v>
      </c>
      <c r="R1138" s="25">
        <v>44701</v>
      </c>
      <c r="S1138" s="28"/>
      <c r="T1138" s="35"/>
      <c r="U1138" s="35"/>
      <c r="V1138" s="29"/>
      <c r="W1138" s="35"/>
      <c r="X1138" s="29"/>
      <c r="Y1138" s="36"/>
      <c r="Z1138" s="29"/>
      <c r="AA1138" s="31">
        <f t="shared" si="1"/>
        <v>44701</v>
      </c>
      <c r="AB1138" s="32" t="str">
        <f t="shared" si="5"/>
        <v>mayo</v>
      </c>
    </row>
    <row r="1139" spans="1:28" ht="12.75">
      <c r="A1139" s="9" t="s">
        <v>58</v>
      </c>
      <c r="B1139" s="10">
        <v>44705</v>
      </c>
      <c r="C1139" s="11">
        <v>44705</v>
      </c>
      <c r="D1139" s="49">
        <v>21</v>
      </c>
      <c r="E1139" s="13" t="s">
        <v>1571</v>
      </c>
      <c r="F1139" s="13">
        <v>3025460</v>
      </c>
      <c r="G1139" s="37">
        <v>20072.5</v>
      </c>
      <c r="H1139" s="33">
        <f>9700-9686.5</f>
        <v>13.5</v>
      </c>
      <c r="I1139" s="16">
        <f>-H1139*G1139</f>
        <v>-270978.75</v>
      </c>
      <c r="J1139" s="17">
        <v>0</v>
      </c>
      <c r="K1139" s="34">
        <v>4502333204</v>
      </c>
      <c r="L1139" s="19">
        <v>5081944909</v>
      </c>
      <c r="M1139" s="20">
        <v>5113323135</v>
      </c>
      <c r="N1139" s="23"/>
      <c r="O1139" s="9"/>
      <c r="P1139" s="23"/>
      <c r="Q1139" s="24" t="s">
        <v>31</v>
      </c>
      <c r="R1139" s="25">
        <v>44701</v>
      </c>
      <c r="S1139" s="28"/>
      <c r="T1139" s="35"/>
      <c r="U1139" s="35"/>
      <c r="V1139" s="29"/>
      <c r="W1139" s="35"/>
      <c r="X1139" s="29"/>
      <c r="Y1139" s="36"/>
      <c r="Z1139" s="29"/>
      <c r="AA1139" s="31">
        <f t="shared" si="1"/>
        <v>44701</v>
      </c>
      <c r="AB1139" s="32" t="str">
        <f t="shared" si="5"/>
        <v>mayo</v>
      </c>
    </row>
    <row r="1140" spans="1:28" ht="12.75">
      <c r="A1140" s="9" t="s">
        <v>213</v>
      </c>
      <c r="B1140" s="10">
        <v>44701</v>
      </c>
      <c r="C1140" s="11"/>
      <c r="D1140" s="49">
        <v>21</v>
      </c>
      <c r="E1140" s="13" t="s">
        <v>1572</v>
      </c>
      <c r="F1140" s="13">
        <v>3025460</v>
      </c>
      <c r="G1140" s="14">
        <v>30331</v>
      </c>
      <c r="H1140" s="33">
        <v>9300</v>
      </c>
      <c r="I1140" s="16">
        <f>H1140*G1140</f>
        <v>282078300</v>
      </c>
      <c r="J1140" s="17">
        <v>71</v>
      </c>
      <c r="K1140" s="34">
        <v>4502333205</v>
      </c>
      <c r="L1140" s="19">
        <v>5081944910</v>
      </c>
      <c r="M1140" s="20">
        <v>5113322163</v>
      </c>
      <c r="N1140" s="23"/>
      <c r="O1140" s="9" t="s">
        <v>37</v>
      </c>
      <c r="P1140" s="23"/>
      <c r="Q1140" s="24" t="s">
        <v>31</v>
      </c>
      <c r="R1140" s="25">
        <v>44701</v>
      </c>
      <c r="S1140" s="28"/>
      <c r="T1140" s="35"/>
      <c r="U1140" s="35"/>
      <c r="V1140" s="29"/>
      <c r="W1140" s="35"/>
      <c r="X1140" s="29"/>
      <c r="Y1140" s="36"/>
      <c r="Z1140" s="29"/>
      <c r="AA1140" s="31">
        <f t="shared" si="1"/>
        <v>44701</v>
      </c>
      <c r="AB1140" s="32" t="str">
        <f t="shared" si="5"/>
        <v>mayo</v>
      </c>
    </row>
    <row r="1141" spans="1:28" ht="12.75">
      <c r="A1141" s="9" t="s">
        <v>213</v>
      </c>
      <c r="B1141" s="10">
        <v>44701</v>
      </c>
      <c r="C1141" s="11"/>
      <c r="D1141" s="49">
        <v>21</v>
      </c>
      <c r="E1141" s="13" t="s">
        <v>483</v>
      </c>
      <c r="F1141" s="13">
        <v>3025460</v>
      </c>
      <c r="G1141" s="14">
        <v>30331</v>
      </c>
      <c r="H1141" s="33">
        <f>9300-9263.81</f>
        <v>36.190000000000509</v>
      </c>
      <c r="I1141" s="16">
        <f>-H1141*G1141</f>
        <v>-1097678.8900000155</v>
      </c>
      <c r="J1141" s="17">
        <v>0</v>
      </c>
      <c r="K1141" s="34">
        <v>4502333205</v>
      </c>
      <c r="L1141" s="19">
        <v>5081944910</v>
      </c>
      <c r="M1141" s="20">
        <v>5113322165</v>
      </c>
      <c r="N1141" s="23"/>
      <c r="O1141" s="9"/>
      <c r="P1141" s="23"/>
      <c r="Q1141" s="24" t="s">
        <v>31</v>
      </c>
      <c r="R1141" s="25">
        <v>44701</v>
      </c>
      <c r="S1141" s="28"/>
      <c r="T1141" s="35"/>
      <c r="U1141" s="35"/>
      <c r="V1141" s="29"/>
      <c r="W1141" s="35"/>
      <c r="X1141" s="29"/>
      <c r="Y1141" s="36"/>
      <c r="Z1141" s="29"/>
      <c r="AA1141" s="31">
        <f t="shared" si="1"/>
        <v>44701</v>
      </c>
      <c r="AB1141" s="32" t="str">
        <f t="shared" si="5"/>
        <v>mayo</v>
      </c>
    </row>
    <row r="1142" spans="1:28" ht="12.75">
      <c r="A1142" s="9" t="s">
        <v>80</v>
      </c>
      <c r="B1142" s="10">
        <v>44701</v>
      </c>
      <c r="C1142" s="11">
        <v>44705</v>
      </c>
      <c r="D1142" s="49">
        <v>21</v>
      </c>
      <c r="E1142" s="13" t="s">
        <v>1573</v>
      </c>
      <c r="F1142" s="13">
        <v>3025457</v>
      </c>
      <c r="G1142" s="14">
        <v>40952</v>
      </c>
      <c r="H1142" s="57">
        <v>9300</v>
      </c>
      <c r="I1142" s="16">
        <f t="shared" ref="I1142:I1147" si="170">H1142*G1142</f>
        <v>380853600</v>
      </c>
      <c r="J1142" s="17">
        <v>84</v>
      </c>
      <c r="K1142" s="34">
        <v>4502336387</v>
      </c>
      <c r="L1142" s="19">
        <v>5081963521</v>
      </c>
      <c r="M1142" s="20">
        <v>5113324035</v>
      </c>
      <c r="N1142" s="44"/>
      <c r="O1142" s="9" t="s">
        <v>37</v>
      </c>
      <c r="P1142" s="23"/>
      <c r="Q1142" s="24" t="s">
        <v>82</v>
      </c>
      <c r="R1142" s="25">
        <v>44701</v>
      </c>
      <c r="S1142" s="28"/>
      <c r="T1142" s="35"/>
      <c r="U1142" s="35"/>
      <c r="V1142" s="29"/>
      <c r="W1142" s="35"/>
      <c r="X1142" s="29"/>
      <c r="Y1142" s="36"/>
      <c r="Z1142" s="29"/>
      <c r="AA1142" s="31">
        <f t="shared" si="1"/>
        <v>44701</v>
      </c>
      <c r="AB1142" s="32" t="str">
        <f t="shared" si="5"/>
        <v>mayo</v>
      </c>
    </row>
    <row r="1143" spans="1:28" ht="12.75">
      <c r="A1143" s="9" t="s">
        <v>83</v>
      </c>
      <c r="B1143" s="10">
        <v>44701</v>
      </c>
      <c r="C1143" s="11">
        <v>44704</v>
      </c>
      <c r="D1143" s="49">
        <v>21</v>
      </c>
      <c r="E1143" s="13" t="s">
        <v>1574</v>
      </c>
      <c r="F1143" s="13">
        <v>3025457</v>
      </c>
      <c r="G1143" s="14">
        <v>27727</v>
      </c>
      <c r="H1143" s="15">
        <v>9250</v>
      </c>
      <c r="I1143" s="16">
        <f t="shared" si="170"/>
        <v>256474750</v>
      </c>
      <c r="J1143" s="17">
        <v>56</v>
      </c>
      <c r="K1143" s="34">
        <v>4502336058</v>
      </c>
      <c r="L1143" s="19">
        <v>5081960039</v>
      </c>
      <c r="M1143" s="20">
        <v>5113323206</v>
      </c>
      <c r="N1143" s="23" t="s">
        <v>382</v>
      </c>
      <c r="O1143" s="22" t="s">
        <v>1575</v>
      </c>
      <c r="P1143" s="23"/>
      <c r="Q1143" s="24" t="s">
        <v>82</v>
      </c>
      <c r="R1143" s="25">
        <v>44701</v>
      </c>
      <c r="S1143" s="34">
        <v>4502336058</v>
      </c>
      <c r="T1143" s="28">
        <v>2263400</v>
      </c>
      <c r="U1143" s="28" t="s">
        <v>1576</v>
      </c>
      <c r="V1143" s="29">
        <v>5113320624</v>
      </c>
      <c r="W1143" s="28" t="s">
        <v>1577</v>
      </c>
      <c r="X1143" s="29">
        <v>5113320621</v>
      </c>
      <c r="Y1143" s="30" t="s">
        <v>1578</v>
      </c>
      <c r="Z1143" s="29">
        <v>5113320622</v>
      </c>
      <c r="AA1143" s="31">
        <f t="shared" si="1"/>
        <v>44701</v>
      </c>
      <c r="AB1143" s="32" t="str">
        <f t="shared" si="5"/>
        <v>mayo</v>
      </c>
    </row>
    <row r="1144" spans="1:28" ht="12.75">
      <c r="A1144" s="9" t="s">
        <v>196</v>
      </c>
      <c r="B1144" s="10">
        <v>44701</v>
      </c>
      <c r="C1144" s="11"/>
      <c r="D1144" s="49">
        <v>21</v>
      </c>
      <c r="E1144" s="13" t="s">
        <v>1579</v>
      </c>
      <c r="F1144" s="13">
        <v>3025457</v>
      </c>
      <c r="G1144" s="14">
        <v>18549</v>
      </c>
      <c r="H1144" s="57">
        <v>9300</v>
      </c>
      <c r="I1144" s="16">
        <f t="shared" si="170"/>
        <v>172505700</v>
      </c>
      <c r="J1144" s="17">
        <v>42</v>
      </c>
      <c r="K1144" s="34">
        <v>4502336381</v>
      </c>
      <c r="L1144" s="19">
        <v>5081963395</v>
      </c>
      <c r="M1144" s="20">
        <v>5113323319</v>
      </c>
      <c r="N1144" s="23"/>
      <c r="O1144" s="9"/>
      <c r="P1144" s="9" t="s">
        <v>63</v>
      </c>
      <c r="Q1144" s="24" t="s">
        <v>82</v>
      </c>
      <c r="R1144" s="25">
        <v>44701</v>
      </c>
      <c r="S1144" s="28"/>
      <c r="T1144" s="35"/>
      <c r="U1144" s="35"/>
      <c r="V1144" s="29"/>
      <c r="W1144" s="35"/>
      <c r="X1144" s="29"/>
      <c r="Y1144" s="36"/>
      <c r="Z1144" s="29"/>
      <c r="AA1144" s="31">
        <f t="shared" si="1"/>
        <v>44701</v>
      </c>
      <c r="AB1144" s="32" t="str">
        <f t="shared" si="5"/>
        <v>mayo</v>
      </c>
    </row>
    <row r="1145" spans="1:28" ht="12.75">
      <c r="A1145" s="9" t="s">
        <v>85</v>
      </c>
      <c r="B1145" s="10">
        <v>44701</v>
      </c>
      <c r="C1145" s="11">
        <v>44705</v>
      </c>
      <c r="D1145" s="49">
        <v>21</v>
      </c>
      <c r="E1145" s="13" t="s">
        <v>1580</v>
      </c>
      <c r="F1145" s="13">
        <v>3025457</v>
      </c>
      <c r="G1145" s="37">
        <v>26744.3</v>
      </c>
      <c r="H1145" s="57">
        <v>9300</v>
      </c>
      <c r="I1145" s="16">
        <f t="shared" si="170"/>
        <v>248721990</v>
      </c>
      <c r="J1145" s="17">
        <v>56</v>
      </c>
      <c r="K1145" s="34">
        <v>4502336375</v>
      </c>
      <c r="L1145" s="19">
        <v>5081963391</v>
      </c>
      <c r="M1145" s="20">
        <v>5113320904</v>
      </c>
      <c r="N1145" s="23"/>
      <c r="O1145" s="23" t="s">
        <v>63</v>
      </c>
      <c r="P1145" s="23"/>
      <c r="Q1145" s="24" t="s">
        <v>82</v>
      </c>
      <c r="R1145" s="25">
        <v>44701</v>
      </c>
      <c r="S1145" s="28"/>
      <c r="T1145" s="35"/>
      <c r="U1145" s="35"/>
      <c r="V1145" s="29"/>
      <c r="W1145" s="35"/>
      <c r="X1145" s="29"/>
      <c r="Y1145" s="36"/>
      <c r="Z1145" s="29"/>
      <c r="AA1145" s="31">
        <f t="shared" si="1"/>
        <v>44701</v>
      </c>
      <c r="AB1145" s="32" t="str">
        <f t="shared" si="5"/>
        <v>mayo</v>
      </c>
    </row>
    <row r="1146" spans="1:28" ht="12.75">
      <c r="A1146" s="9" t="s">
        <v>1581</v>
      </c>
      <c r="B1146" s="10">
        <v>44704</v>
      </c>
      <c r="C1146" s="11"/>
      <c r="D1146" s="49">
        <v>21</v>
      </c>
      <c r="E1146" s="13" t="s">
        <v>1063</v>
      </c>
      <c r="F1146" s="13">
        <v>3025457</v>
      </c>
      <c r="G1146" s="14">
        <v>14231</v>
      </c>
      <c r="H1146" s="57">
        <v>9300</v>
      </c>
      <c r="I1146" s="16">
        <f t="shared" si="170"/>
        <v>132348300</v>
      </c>
      <c r="J1146" s="17">
        <v>28</v>
      </c>
      <c r="K1146" s="34">
        <v>4502336371</v>
      </c>
      <c r="L1146" s="19">
        <v>5081963322</v>
      </c>
      <c r="M1146" s="20">
        <v>5113319882</v>
      </c>
      <c r="N1146" s="23"/>
      <c r="O1146" s="23" t="s">
        <v>313</v>
      </c>
      <c r="P1146" s="23"/>
      <c r="Q1146" s="24" t="s">
        <v>82</v>
      </c>
      <c r="R1146" s="25">
        <v>44701</v>
      </c>
      <c r="S1146" s="28"/>
      <c r="T1146" s="35"/>
      <c r="U1146" s="35"/>
      <c r="V1146" s="29"/>
      <c r="W1146" s="35"/>
      <c r="X1146" s="29"/>
      <c r="Y1146" s="36"/>
      <c r="Z1146" s="29"/>
      <c r="AA1146" s="31">
        <f t="shared" si="1"/>
        <v>44701</v>
      </c>
      <c r="AB1146" s="32" t="str">
        <f t="shared" si="5"/>
        <v>mayo</v>
      </c>
    </row>
    <row r="1147" spans="1:28" ht="12.75">
      <c r="A1147" s="9" t="s">
        <v>58</v>
      </c>
      <c r="B1147" s="10">
        <v>44707</v>
      </c>
      <c r="C1147" s="11">
        <v>44707</v>
      </c>
      <c r="D1147" s="49">
        <v>21</v>
      </c>
      <c r="E1147" s="13" t="s">
        <v>1582</v>
      </c>
      <c r="F1147" s="13">
        <v>3025457</v>
      </c>
      <c r="G1147" s="37">
        <v>68805.5</v>
      </c>
      <c r="H1147" s="33">
        <v>9700</v>
      </c>
      <c r="I1147" s="16">
        <f t="shared" si="170"/>
        <v>667413350</v>
      </c>
      <c r="J1147" s="17">
        <v>150</v>
      </c>
      <c r="K1147" s="34">
        <v>4502333206</v>
      </c>
      <c r="L1147" s="19">
        <v>5081944911</v>
      </c>
      <c r="M1147" s="20">
        <v>5113330058</v>
      </c>
      <c r="N1147" s="23"/>
      <c r="O1147" s="23" t="s">
        <v>37</v>
      </c>
      <c r="P1147" s="23" t="s">
        <v>1548</v>
      </c>
      <c r="Q1147" s="24" t="s">
        <v>31</v>
      </c>
      <c r="R1147" s="25">
        <v>44702</v>
      </c>
      <c r="S1147" s="28"/>
      <c r="T1147" s="35"/>
      <c r="U1147" s="35"/>
      <c r="V1147" s="29"/>
      <c r="W1147" s="35"/>
      <c r="X1147" s="29"/>
      <c r="Y1147" s="36"/>
      <c r="Z1147" s="29"/>
      <c r="AA1147" s="31">
        <f t="shared" si="1"/>
        <v>44702</v>
      </c>
      <c r="AB1147" s="32" t="str">
        <f t="shared" si="5"/>
        <v>mayo</v>
      </c>
    </row>
    <row r="1148" spans="1:28" ht="12.75">
      <c r="A1148" s="9" t="s">
        <v>58</v>
      </c>
      <c r="B1148" s="10">
        <v>44707</v>
      </c>
      <c r="C1148" s="11">
        <v>44707</v>
      </c>
      <c r="D1148" s="49">
        <v>21</v>
      </c>
      <c r="E1148" s="13" t="s">
        <v>1583</v>
      </c>
      <c r="F1148" s="13">
        <v>3025457</v>
      </c>
      <c r="G1148" s="37">
        <v>68805.5</v>
      </c>
      <c r="H1148" s="33">
        <v>50</v>
      </c>
      <c r="I1148" s="16">
        <f>-H1148*G1148</f>
        <v>-3440275</v>
      </c>
      <c r="J1148" s="17">
        <v>0</v>
      </c>
      <c r="K1148" s="34">
        <v>4502333206</v>
      </c>
      <c r="L1148" s="19">
        <v>5081944911</v>
      </c>
      <c r="M1148" s="20">
        <v>5113330059</v>
      </c>
      <c r="N1148" s="44"/>
      <c r="O1148" s="9"/>
      <c r="P1148" s="23"/>
      <c r="Q1148" s="24" t="s">
        <v>31</v>
      </c>
      <c r="R1148" s="25">
        <v>44702</v>
      </c>
      <c r="S1148" s="28"/>
      <c r="T1148" s="35"/>
      <c r="U1148" s="35"/>
      <c r="V1148" s="29"/>
      <c r="W1148" s="35"/>
      <c r="X1148" s="29"/>
      <c r="Y1148" s="36"/>
      <c r="Z1148" s="29"/>
      <c r="AA1148" s="31">
        <f t="shared" si="1"/>
        <v>44702</v>
      </c>
      <c r="AB1148" s="32" t="str">
        <f t="shared" si="5"/>
        <v>mayo</v>
      </c>
    </row>
    <row r="1149" spans="1:28" ht="12.75">
      <c r="A1149" s="9" t="s">
        <v>348</v>
      </c>
      <c r="B1149" s="10">
        <v>44706</v>
      </c>
      <c r="C1149" s="11">
        <v>44706</v>
      </c>
      <c r="D1149" s="49">
        <v>21</v>
      </c>
      <c r="E1149" s="13" t="s">
        <v>1584</v>
      </c>
      <c r="F1149" s="13">
        <v>3025457</v>
      </c>
      <c r="G1149" s="14">
        <v>13910</v>
      </c>
      <c r="H1149" s="33">
        <v>9150</v>
      </c>
      <c r="I1149" s="16">
        <f>H1149*G1149</f>
        <v>127276500</v>
      </c>
      <c r="J1149" s="17">
        <v>30</v>
      </c>
      <c r="K1149" s="34">
        <v>4502333207</v>
      </c>
      <c r="L1149" s="19">
        <v>5081944912</v>
      </c>
      <c r="M1149" s="20">
        <v>5113324477</v>
      </c>
      <c r="N1149" s="44"/>
      <c r="O1149" s="9" t="s">
        <v>63</v>
      </c>
      <c r="P1149" s="23"/>
      <c r="Q1149" s="24" t="s">
        <v>31</v>
      </c>
      <c r="R1149" s="25">
        <v>44702</v>
      </c>
      <c r="S1149" s="28"/>
      <c r="T1149" s="35"/>
      <c r="U1149" s="35"/>
      <c r="V1149" s="29"/>
      <c r="W1149" s="35"/>
      <c r="X1149" s="29"/>
      <c r="Y1149" s="36"/>
      <c r="Z1149" s="29"/>
      <c r="AA1149" s="31">
        <f t="shared" si="1"/>
        <v>44702</v>
      </c>
      <c r="AB1149" s="32" t="str">
        <f t="shared" si="5"/>
        <v>mayo</v>
      </c>
    </row>
    <row r="1150" spans="1:28" ht="12.75">
      <c r="A1150" s="9" t="s">
        <v>348</v>
      </c>
      <c r="B1150" s="10">
        <v>44706</v>
      </c>
      <c r="C1150" s="11">
        <v>44706</v>
      </c>
      <c r="D1150" s="49">
        <v>21</v>
      </c>
      <c r="E1150" s="13" t="s">
        <v>1585</v>
      </c>
      <c r="F1150" s="13">
        <v>3025457</v>
      </c>
      <c r="G1150" s="14">
        <v>13910</v>
      </c>
      <c r="H1150" s="33">
        <v>100</v>
      </c>
      <c r="I1150" s="16">
        <f>-H1150*G1150</f>
        <v>-1391000</v>
      </c>
      <c r="J1150" s="17">
        <v>0</v>
      </c>
      <c r="K1150" s="34">
        <v>4502333207</v>
      </c>
      <c r="L1150" s="19">
        <v>5081944912</v>
      </c>
      <c r="M1150" s="20">
        <v>5113324478</v>
      </c>
      <c r="N1150" s="44"/>
      <c r="O1150" s="9"/>
      <c r="P1150" s="23"/>
      <c r="Q1150" s="24" t="s">
        <v>31</v>
      </c>
      <c r="R1150" s="25">
        <v>44702</v>
      </c>
      <c r="S1150" s="28"/>
      <c r="T1150" s="35"/>
      <c r="U1150" s="35"/>
      <c r="V1150" s="29"/>
      <c r="W1150" s="35"/>
      <c r="X1150" s="29"/>
      <c r="Y1150" s="36"/>
      <c r="Z1150" s="29"/>
      <c r="AA1150" s="31">
        <f t="shared" si="1"/>
        <v>44702</v>
      </c>
      <c r="AB1150" s="32" t="str">
        <f t="shared" si="5"/>
        <v>mayo</v>
      </c>
    </row>
    <row r="1151" spans="1:28" ht="12.75">
      <c r="A1151" s="9" t="s">
        <v>331</v>
      </c>
      <c r="B1151" s="10">
        <v>44702</v>
      </c>
      <c r="C1151" s="11">
        <v>44705</v>
      </c>
      <c r="D1151" s="49">
        <v>21</v>
      </c>
      <c r="E1151" s="13" t="s">
        <v>1586</v>
      </c>
      <c r="F1151" s="13">
        <v>3025457</v>
      </c>
      <c r="G1151" s="37">
        <v>6477.5</v>
      </c>
      <c r="H1151" s="33">
        <v>9150</v>
      </c>
      <c r="I1151" s="16">
        <f t="shared" ref="I1151:I1153" si="171">H1151*G1151</f>
        <v>59269125</v>
      </c>
      <c r="J1151" s="17">
        <v>15</v>
      </c>
      <c r="K1151" s="34">
        <v>4502333208</v>
      </c>
      <c r="L1151" s="19">
        <v>5081944913</v>
      </c>
      <c r="M1151" s="20">
        <v>5113323480</v>
      </c>
      <c r="N1151" s="23"/>
      <c r="O1151" s="9" t="s">
        <v>63</v>
      </c>
      <c r="P1151" s="23"/>
      <c r="Q1151" s="24" t="s">
        <v>31</v>
      </c>
      <c r="R1151" s="25">
        <v>44702</v>
      </c>
      <c r="S1151" s="28"/>
      <c r="T1151" s="35"/>
      <c r="U1151" s="35"/>
      <c r="V1151" s="29"/>
      <c r="W1151" s="35"/>
      <c r="X1151" s="29"/>
      <c r="Y1151" s="36"/>
      <c r="Z1151" s="29"/>
      <c r="AA1151" s="31">
        <f t="shared" si="1"/>
        <v>44702</v>
      </c>
      <c r="AB1151" s="32" t="str">
        <f t="shared" si="5"/>
        <v>mayo</v>
      </c>
    </row>
    <row r="1152" spans="1:28" ht="12.75">
      <c r="A1152" s="22" t="s">
        <v>428</v>
      </c>
      <c r="B1152" s="10">
        <v>44702</v>
      </c>
      <c r="C1152" s="11">
        <v>44705</v>
      </c>
      <c r="D1152" s="49">
        <v>21</v>
      </c>
      <c r="E1152" s="13" t="s">
        <v>1587</v>
      </c>
      <c r="F1152" s="13">
        <v>3025459</v>
      </c>
      <c r="G1152" s="14">
        <v>15548</v>
      </c>
      <c r="H1152" s="33">
        <v>9400</v>
      </c>
      <c r="I1152" s="16">
        <f t="shared" si="171"/>
        <v>146151200</v>
      </c>
      <c r="J1152" s="17">
        <v>30</v>
      </c>
      <c r="K1152" s="34">
        <v>4502333209</v>
      </c>
      <c r="L1152" s="19">
        <v>5081945164</v>
      </c>
      <c r="M1152" s="20">
        <v>5113323174</v>
      </c>
      <c r="N1152" s="23"/>
      <c r="O1152" s="9" t="s">
        <v>63</v>
      </c>
      <c r="P1152" s="23"/>
      <c r="Q1152" s="24" t="s">
        <v>31</v>
      </c>
      <c r="R1152" s="25">
        <v>44702</v>
      </c>
      <c r="S1152" s="28"/>
      <c r="T1152" s="35"/>
      <c r="U1152" s="35"/>
      <c r="V1152" s="29"/>
      <c r="W1152" s="35"/>
      <c r="X1152" s="29"/>
      <c r="Y1152" s="36"/>
      <c r="Z1152" s="29"/>
      <c r="AA1152" s="31">
        <f t="shared" si="1"/>
        <v>44702</v>
      </c>
      <c r="AB1152" s="32" t="str">
        <f t="shared" si="5"/>
        <v>mayo</v>
      </c>
    </row>
    <row r="1153" spans="1:28" ht="12.75">
      <c r="A1153" s="9" t="s">
        <v>1183</v>
      </c>
      <c r="B1153" s="10">
        <v>44705</v>
      </c>
      <c r="C1153" s="11">
        <v>44705</v>
      </c>
      <c r="D1153" s="49">
        <v>21</v>
      </c>
      <c r="E1153" s="13" t="s">
        <v>1588</v>
      </c>
      <c r="F1153" s="13">
        <v>3025459</v>
      </c>
      <c r="G1153" s="14">
        <v>13598</v>
      </c>
      <c r="H1153" s="33">
        <v>9500</v>
      </c>
      <c r="I1153" s="16">
        <f t="shared" si="171"/>
        <v>129181000</v>
      </c>
      <c r="J1153" s="17">
        <v>28</v>
      </c>
      <c r="K1153" s="34">
        <v>4502333210</v>
      </c>
      <c r="L1153" s="19">
        <v>5081944914</v>
      </c>
      <c r="M1153" s="20">
        <v>5113347393</v>
      </c>
      <c r="N1153" s="23"/>
      <c r="O1153" s="9" t="s">
        <v>37</v>
      </c>
      <c r="P1153" s="23" t="s">
        <v>1548</v>
      </c>
      <c r="Q1153" s="24" t="s">
        <v>31</v>
      </c>
      <c r="R1153" s="25">
        <v>44702</v>
      </c>
      <c r="S1153" s="28"/>
      <c r="T1153" s="35"/>
      <c r="U1153" s="35"/>
      <c r="V1153" s="29"/>
      <c r="W1153" s="35"/>
      <c r="X1153" s="29"/>
      <c r="Y1153" s="36"/>
      <c r="Z1153" s="29"/>
      <c r="AA1153" s="31">
        <f t="shared" si="1"/>
        <v>44702</v>
      </c>
      <c r="AB1153" s="32" t="str">
        <f t="shared" si="5"/>
        <v>mayo</v>
      </c>
    </row>
    <row r="1154" spans="1:28" ht="12.75">
      <c r="A1154" s="9" t="s">
        <v>1183</v>
      </c>
      <c r="B1154" s="10">
        <v>44705</v>
      </c>
      <c r="C1154" s="11">
        <v>44706</v>
      </c>
      <c r="D1154" s="49">
        <v>21</v>
      </c>
      <c r="E1154" s="13" t="s">
        <v>1589</v>
      </c>
      <c r="F1154" s="13">
        <v>3025459</v>
      </c>
      <c r="G1154" s="14">
        <v>13598</v>
      </c>
      <c r="H1154" s="33">
        <f>9500-9476.08</f>
        <v>23.920000000000073</v>
      </c>
      <c r="I1154" s="16">
        <f>-H1154*G1154</f>
        <v>-325264.16000000096</v>
      </c>
      <c r="J1154" s="17">
        <v>0</v>
      </c>
      <c r="K1154" s="34">
        <v>4502333210</v>
      </c>
      <c r="L1154" s="19">
        <v>5081944914</v>
      </c>
      <c r="M1154" s="20">
        <v>5113347394</v>
      </c>
      <c r="N1154" s="23"/>
      <c r="O1154" s="9"/>
      <c r="P1154" s="23" t="s">
        <v>935</v>
      </c>
      <c r="Q1154" s="24" t="s">
        <v>31</v>
      </c>
      <c r="R1154" s="25">
        <v>44702</v>
      </c>
      <c r="S1154" s="28"/>
      <c r="T1154" s="35"/>
      <c r="U1154" s="35"/>
      <c r="V1154" s="29"/>
      <c r="W1154" s="35"/>
      <c r="X1154" s="29"/>
      <c r="Y1154" s="36"/>
      <c r="Z1154" s="29"/>
      <c r="AA1154" s="31">
        <f t="shared" si="1"/>
        <v>44702</v>
      </c>
      <c r="AB1154" s="32" t="str">
        <f t="shared" si="5"/>
        <v>mayo</v>
      </c>
    </row>
    <row r="1155" spans="1:28" ht="12.75">
      <c r="A1155" s="9" t="s">
        <v>443</v>
      </c>
      <c r="B1155" s="10">
        <v>44703</v>
      </c>
      <c r="C1155" s="11"/>
      <c r="D1155" s="49">
        <v>21</v>
      </c>
      <c r="E1155" s="13" t="s">
        <v>1590</v>
      </c>
      <c r="F1155" s="13">
        <v>3025459</v>
      </c>
      <c r="G1155" s="14">
        <v>19797</v>
      </c>
      <c r="H1155" s="15">
        <v>9000</v>
      </c>
      <c r="I1155" s="16">
        <f t="shared" ref="I1155:I1156" si="172">H1155*G1155</f>
        <v>178173000</v>
      </c>
      <c r="J1155" s="17">
        <v>42</v>
      </c>
      <c r="K1155" s="34">
        <v>4502337037</v>
      </c>
      <c r="L1155" s="19">
        <v>5081978078</v>
      </c>
      <c r="M1155" s="20">
        <v>5113323172</v>
      </c>
      <c r="N1155" s="9" t="s">
        <v>63</v>
      </c>
      <c r="O1155" s="22" t="s">
        <v>1591</v>
      </c>
      <c r="P1155" s="23"/>
      <c r="Q1155" s="24" t="s">
        <v>31</v>
      </c>
      <c r="R1155" s="25">
        <v>44703</v>
      </c>
      <c r="S1155" s="28">
        <v>4902272546</v>
      </c>
      <c r="T1155" s="35">
        <f>1792800*3</f>
        <v>5378400</v>
      </c>
      <c r="U1155" s="28" t="s">
        <v>1592</v>
      </c>
      <c r="V1155" s="29">
        <v>5113331570</v>
      </c>
      <c r="W1155" s="35"/>
      <c r="X1155" s="29"/>
      <c r="Y1155" s="36"/>
      <c r="Z1155" s="29"/>
      <c r="AA1155" s="31">
        <f t="shared" si="1"/>
        <v>44703</v>
      </c>
      <c r="AB1155" s="32" t="str">
        <f t="shared" si="5"/>
        <v>mayo</v>
      </c>
    </row>
    <row r="1156" spans="1:28" ht="12.75">
      <c r="A1156" s="9" t="s">
        <v>203</v>
      </c>
      <c r="B1156" s="10">
        <v>44707</v>
      </c>
      <c r="C1156" s="11"/>
      <c r="D1156" s="49">
        <v>21</v>
      </c>
      <c r="E1156" s="13" t="s">
        <v>1593</v>
      </c>
      <c r="F1156" s="13">
        <v>3025459</v>
      </c>
      <c r="G1156" s="14">
        <v>7883</v>
      </c>
      <c r="H1156" s="33">
        <v>9550</v>
      </c>
      <c r="I1156" s="16">
        <f t="shared" si="172"/>
        <v>75282650</v>
      </c>
      <c r="J1156" s="17">
        <v>15</v>
      </c>
      <c r="K1156" s="34">
        <v>4502333211</v>
      </c>
      <c r="L1156" s="19">
        <v>5081963204</v>
      </c>
      <c r="M1156" s="20">
        <v>5113334820</v>
      </c>
      <c r="N1156" s="23"/>
      <c r="O1156" s="9" t="s">
        <v>37</v>
      </c>
      <c r="P1156" s="23" t="s">
        <v>1594</v>
      </c>
      <c r="Q1156" s="24" t="s">
        <v>31</v>
      </c>
      <c r="R1156" s="25">
        <v>44703</v>
      </c>
      <c r="S1156" s="28"/>
      <c r="T1156" s="35"/>
      <c r="U1156" s="35"/>
      <c r="V1156" s="29"/>
      <c r="W1156" s="35"/>
      <c r="X1156" s="29"/>
      <c r="Y1156" s="36"/>
      <c r="Z1156" s="29"/>
      <c r="AA1156" s="31">
        <f t="shared" si="1"/>
        <v>44703</v>
      </c>
      <c r="AB1156" s="32" t="str">
        <f t="shared" si="5"/>
        <v>mayo</v>
      </c>
    </row>
    <row r="1157" spans="1:28" ht="12.75">
      <c r="A1157" s="9" t="s">
        <v>203</v>
      </c>
      <c r="B1157" s="10">
        <v>44707</v>
      </c>
      <c r="C1157" s="11"/>
      <c r="D1157" s="49">
        <v>21</v>
      </c>
      <c r="E1157" s="13" t="s">
        <v>1595</v>
      </c>
      <c r="F1157" s="13">
        <v>3025459</v>
      </c>
      <c r="G1157" s="14">
        <v>7883</v>
      </c>
      <c r="H1157" s="33">
        <v>50</v>
      </c>
      <c r="I1157" s="16">
        <f>-H1157*G1157</f>
        <v>-394150</v>
      </c>
      <c r="J1157" s="17">
        <v>0</v>
      </c>
      <c r="K1157" s="34">
        <v>4502333211</v>
      </c>
      <c r="L1157" s="19">
        <v>5081963204</v>
      </c>
      <c r="M1157" s="20">
        <v>5113334824</v>
      </c>
      <c r="N1157" s="23"/>
      <c r="O1157" s="9"/>
      <c r="P1157" s="23"/>
      <c r="Q1157" s="24" t="s">
        <v>31</v>
      </c>
      <c r="R1157" s="25">
        <v>44703</v>
      </c>
      <c r="S1157" s="28"/>
      <c r="T1157" s="35"/>
      <c r="U1157" s="35"/>
      <c r="V1157" s="29"/>
      <c r="W1157" s="35"/>
      <c r="X1157" s="29"/>
      <c r="Y1157" s="36"/>
      <c r="Z1157" s="29"/>
      <c r="AA1157" s="31">
        <f t="shared" si="1"/>
        <v>44703</v>
      </c>
      <c r="AB1157" s="32" t="str">
        <f t="shared" si="5"/>
        <v>mayo</v>
      </c>
    </row>
    <row r="1158" spans="1:28" ht="12.75">
      <c r="A1158" s="22" t="s">
        <v>428</v>
      </c>
      <c r="B1158" s="10">
        <v>44706</v>
      </c>
      <c r="C1158" s="11">
        <v>44706</v>
      </c>
      <c r="D1158" s="49">
        <v>21</v>
      </c>
      <c r="E1158" s="13" t="s">
        <v>1596</v>
      </c>
      <c r="F1158" s="13">
        <v>3025461</v>
      </c>
      <c r="G1158" s="14">
        <v>28864</v>
      </c>
      <c r="H1158" s="57">
        <v>9634.0499999999993</v>
      </c>
      <c r="I1158" s="16">
        <f t="shared" ref="I1158:I1161" si="173">H1158*G1158</f>
        <v>278077219.19999999</v>
      </c>
      <c r="J1158" s="17">
        <v>61</v>
      </c>
      <c r="K1158" s="34">
        <v>4502338011</v>
      </c>
      <c r="L1158" s="19">
        <v>5082000475</v>
      </c>
      <c r="M1158" s="20">
        <v>5113327525</v>
      </c>
      <c r="N1158" s="23"/>
      <c r="O1158" s="9" t="s">
        <v>63</v>
      </c>
      <c r="P1158" s="23"/>
      <c r="Q1158" s="24" t="s">
        <v>1408</v>
      </c>
      <c r="R1158" s="25">
        <v>44703</v>
      </c>
      <c r="S1158" s="28"/>
      <c r="T1158" s="35"/>
      <c r="U1158" s="35"/>
      <c r="V1158" s="29"/>
      <c r="W1158" s="35"/>
      <c r="X1158" s="29"/>
      <c r="Y1158" s="36"/>
      <c r="Z1158" s="29"/>
      <c r="AA1158" s="31">
        <f t="shared" si="1"/>
        <v>44703</v>
      </c>
      <c r="AB1158" s="32" t="str">
        <f t="shared" si="5"/>
        <v>mayo</v>
      </c>
    </row>
    <row r="1159" spans="1:28" ht="12.75">
      <c r="A1159" s="9" t="s">
        <v>28</v>
      </c>
      <c r="B1159" s="10">
        <v>44708</v>
      </c>
      <c r="C1159" s="11">
        <v>44708</v>
      </c>
      <c r="D1159" s="49">
        <v>21</v>
      </c>
      <c r="E1159" s="13" t="s">
        <v>1597</v>
      </c>
      <c r="F1159" s="13">
        <v>3025461</v>
      </c>
      <c r="G1159" s="14">
        <v>84272</v>
      </c>
      <c r="H1159" s="15">
        <v>8500</v>
      </c>
      <c r="I1159" s="16">
        <f t="shared" si="173"/>
        <v>716312000</v>
      </c>
      <c r="J1159" s="17">
        <v>168</v>
      </c>
      <c r="K1159" s="34">
        <v>4502336063</v>
      </c>
      <c r="L1159" s="19">
        <v>5081960109</v>
      </c>
      <c r="M1159" s="20">
        <v>5113340155</v>
      </c>
      <c r="N1159" s="23"/>
      <c r="O1159" s="22" t="s">
        <v>1598</v>
      </c>
      <c r="P1159" s="106" t="s">
        <v>1599</v>
      </c>
      <c r="Q1159" s="24" t="s">
        <v>1408</v>
      </c>
      <c r="R1159" s="25">
        <v>44703</v>
      </c>
      <c r="S1159" s="34">
        <v>4502336063</v>
      </c>
      <c r="T1159" s="35">
        <f>2878500*12</f>
        <v>34542000</v>
      </c>
      <c r="U1159" s="28" t="s">
        <v>1600</v>
      </c>
      <c r="V1159" s="29">
        <v>5113320752</v>
      </c>
      <c r="W1159" s="28" t="s">
        <v>1601</v>
      </c>
      <c r="X1159" s="29">
        <v>5113320432</v>
      </c>
      <c r="Y1159" s="36"/>
      <c r="Z1159" s="29"/>
      <c r="AA1159" s="31">
        <f t="shared" si="1"/>
        <v>44703</v>
      </c>
      <c r="AB1159" s="32" t="str">
        <f t="shared" si="5"/>
        <v>mayo</v>
      </c>
    </row>
    <row r="1160" spans="1:28" ht="12.75">
      <c r="A1160" s="9" t="s">
        <v>976</v>
      </c>
      <c r="B1160" s="10">
        <v>44701</v>
      </c>
      <c r="C1160" s="11"/>
      <c r="D1160" s="49">
        <v>21</v>
      </c>
      <c r="E1160" s="13" t="s">
        <v>1602</v>
      </c>
      <c r="F1160" s="13">
        <v>3025461</v>
      </c>
      <c r="G1160" s="14">
        <v>7310</v>
      </c>
      <c r="H1160" s="15">
        <v>8350</v>
      </c>
      <c r="I1160" s="16">
        <f t="shared" si="173"/>
        <v>61038500</v>
      </c>
      <c r="J1160" s="17">
        <v>14</v>
      </c>
      <c r="K1160" s="34">
        <v>4502336434</v>
      </c>
      <c r="L1160" s="19">
        <v>5081963916</v>
      </c>
      <c r="M1160" s="20">
        <v>5113331670</v>
      </c>
      <c r="N1160" s="23" t="s">
        <v>37</v>
      </c>
      <c r="O1160" s="22" t="s">
        <v>1603</v>
      </c>
      <c r="P1160" s="23" t="s">
        <v>37</v>
      </c>
      <c r="Q1160" s="24" t="s">
        <v>1408</v>
      </c>
      <c r="R1160" s="25">
        <v>44703</v>
      </c>
      <c r="S1160" s="34">
        <v>4502336434</v>
      </c>
      <c r="T1160" s="28">
        <v>3597980</v>
      </c>
      <c r="U1160" s="28" t="s">
        <v>1604</v>
      </c>
      <c r="V1160" s="29">
        <v>5113320435</v>
      </c>
      <c r="W1160" s="35"/>
      <c r="X1160" s="29"/>
      <c r="Y1160" s="36"/>
      <c r="Z1160" s="29"/>
      <c r="AA1160" s="31">
        <f t="shared" si="1"/>
        <v>44703</v>
      </c>
      <c r="AB1160" s="32" t="str">
        <f t="shared" si="5"/>
        <v>mayo</v>
      </c>
    </row>
    <row r="1161" spans="1:28" ht="12.75">
      <c r="A1161" s="22" t="s">
        <v>758</v>
      </c>
      <c r="B1161" s="10">
        <v>44707</v>
      </c>
      <c r="C1161" s="11">
        <v>44708</v>
      </c>
      <c r="D1161" s="49">
        <v>21</v>
      </c>
      <c r="E1161" s="13" t="s">
        <v>798</v>
      </c>
      <c r="F1161" s="13">
        <v>3025460</v>
      </c>
      <c r="G1161" s="14">
        <v>7268</v>
      </c>
      <c r="H1161" s="57">
        <v>9400</v>
      </c>
      <c r="I1161" s="16">
        <f t="shared" si="173"/>
        <v>68319200</v>
      </c>
      <c r="J1161" s="17">
        <v>14</v>
      </c>
      <c r="K1161" s="34">
        <v>4502337549</v>
      </c>
      <c r="L1161" s="19">
        <v>5082011785</v>
      </c>
      <c r="M1161" s="20">
        <v>5113331404</v>
      </c>
      <c r="N1161" s="23"/>
      <c r="O1161" s="9" t="s">
        <v>63</v>
      </c>
      <c r="P1161" s="23"/>
      <c r="Q1161" s="24" t="s">
        <v>1605</v>
      </c>
      <c r="R1161" s="25">
        <v>44703</v>
      </c>
      <c r="S1161" s="28"/>
      <c r="T1161" s="35"/>
      <c r="U1161" s="35"/>
      <c r="V1161" s="29"/>
      <c r="W1161" s="35"/>
      <c r="X1161" s="29"/>
      <c r="Y1161" s="36"/>
      <c r="Z1161" s="29"/>
      <c r="AA1161" s="31">
        <f t="shared" si="1"/>
        <v>44703</v>
      </c>
      <c r="AB1161" s="32" t="str">
        <f t="shared" si="5"/>
        <v>mayo</v>
      </c>
    </row>
    <row r="1162" spans="1:28" ht="12.75">
      <c r="A1162" s="9" t="s">
        <v>1606</v>
      </c>
      <c r="B1162" s="10">
        <v>44706</v>
      </c>
      <c r="C1162" s="11">
        <v>44707</v>
      </c>
      <c r="D1162" s="49">
        <v>21</v>
      </c>
      <c r="E1162" s="13" t="s">
        <v>1607</v>
      </c>
      <c r="F1162" s="13">
        <v>3025460</v>
      </c>
      <c r="G1162" s="14">
        <v>29779</v>
      </c>
      <c r="H1162" s="57">
        <v>9387.09</v>
      </c>
      <c r="I1162" s="39">
        <v>279538200</v>
      </c>
      <c r="J1162" s="17">
        <v>56</v>
      </c>
      <c r="K1162" s="34">
        <v>4502338380</v>
      </c>
      <c r="L1162" s="19">
        <v>5082011912</v>
      </c>
      <c r="M1162" s="20">
        <v>5113327612</v>
      </c>
      <c r="N1162" s="23"/>
      <c r="O1162" s="9" t="s">
        <v>63</v>
      </c>
      <c r="P1162" s="23"/>
      <c r="Q1162" s="24" t="s">
        <v>1605</v>
      </c>
      <c r="R1162" s="25">
        <v>44703</v>
      </c>
      <c r="S1162" s="28"/>
      <c r="T1162" s="35"/>
      <c r="U1162" s="35"/>
      <c r="V1162" s="29"/>
      <c r="W1162" s="35"/>
      <c r="X1162" s="29"/>
      <c r="Y1162" s="36"/>
      <c r="Z1162" s="29"/>
      <c r="AA1162" s="31">
        <f t="shared" si="1"/>
        <v>44703</v>
      </c>
      <c r="AB1162" s="32" t="str">
        <f t="shared" si="5"/>
        <v>mayo</v>
      </c>
    </row>
    <row r="1163" spans="1:28" ht="12.75">
      <c r="A1163" s="9" t="s">
        <v>1608</v>
      </c>
      <c r="B1163" s="10">
        <v>44708</v>
      </c>
      <c r="C1163" s="11">
        <v>44713</v>
      </c>
      <c r="D1163" s="49">
        <v>21</v>
      </c>
      <c r="E1163" s="13" t="s">
        <v>1609</v>
      </c>
      <c r="F1163" s="13">
        <v>3025460</v>
      </c>
      <c r="G1163" s="14">
        <v>36497</v>
      </c>
      <c r="H1163" s="57">
        <v>9450</v>
      </c>
      <c r="I1163" s="16">
        <f t="shared" ref="I1163:I1165" si="174">H1163*G1163</f>
        <v>344896650</v>
      </c>
      <c r="J1163" s="17">
        <v>70</v>
      </c>
      <c r="K1163" s="34">
        <v>4502338388</v>
      </c>
      <c r="L1163" s="19">
        <v>5082011966</v>
      </c>
      <c r="M1163" s="20">
        <v>5113343800</v>
      </c>
      <c r="N1163" s="23"/>
      <c r="O1163" s="9" t="s">
        <v>63</v>
      </c>
      <c r="P1163" s="23"/>
      <c r="Q1163" s="24" t="s">
        <v>1605</v>
      </c>
      <c r="R1163" s="25">
        <v>44703</v>
      </c>
      <c r="S1163" s="28"/>
      <c r="T1163" s="35"/>
      <c r="U1163" s="35"/>
      <c r="V1163" s="29"/>
      <c r="W1163" s="35"/>
      <c r="X1163" s="29"/>
      <c r="Y1163" s="36"/>
      <c r="Z1163" s="29"/>
      <c r="AA1163" s="31">
        <f t="shared" si="1"/>
        <v>44703</v>
      </c>
      <c r="AB1163" s="32" t="str">
        <f t="shared" si="5"/>
        <v>mayo</v>
      </c>
    </row>
    <row r="1164" spans="1:28" ht="12.75">
      <c r="A1164" s="9" t="s">
        <v>58</v>
      </c>
      <c r="B1164" s="10">
        <v>44707</v>
      </c>
      <c r="C1164" s="11">
        <v>44707</v>
      </c>
      <c r="D1164" s="49">
        <v>21</v>
      </c>
      <c r="E1164" s="13" t="s">
        <v>1610</v>
      </c>
      <c r="F1164" s="13">
        <v>3025460</v>
      </c>
      <c r="G1164" s="14">
        <v>16348</v>
      </c>
      <c r="H1164" s="57">
        <v>9595.7199999999993</v>
      </c>
      <c r="I1164" s="16">
        <f t="shared" si="174"/>
        <v>156870830.56</v>
      </c>
      <c r="J1164" s="17">
        <v>28</v>
      </c>
      <c r="K1164" s="34">
        <v>4502338392</v>
      </c>
      <c r="L1164" s="19">
        <v>5082011983</v>
      </c>
      <c r="M1164" s="20">
        <v>5113330016</v>
      </c>
      <c r="N1164" s="23"/>
      <c r="O1164" s="23" t="s">
        <v>37</v>
      </c>
      <c r="P1164" s="23" t="s">
        <v>1611</v>
      </c>
      <c r="Q1164" s="24" t="s">
        <v>1605</v>
      </c>
      <c r="R1164" s="25">
        <v>44703</v>
      </c>
      <c r="S1164" s="28"/>
      <c r="T1164" s="35"/>
      <c r="U1164" s="35"/>
      <c r="V1164" s="29"/>
      <c r="W1164" s="35"/>
      <c r="X1164" s="29"/>
      <c r="Y1164" s="36"/>
      <c r="Z1164" s="29"/>
      <c r="AA1164" s="31">
        <f t="shared" si="1"/>
        <v>44703</v>
      </c>
      <c r="AB1164" s="32" t="str">
        <f t="shared" si="5"/>
        <v>mayo</v>
      </c>
    </row>
    <row r="1165" spans="1:28" ht="12.75">
      <c r="A1165" s="9" t="s">
        <v>39</v>
      </c>
      <c r="B1165" s="10">
        <v>44704</v>
      </c>
      <c r="C1165" s="11">
        <v>44706</v>
      </c>
      <c r="D1165" s="49">
        <v>21</v>
      </c>
      <c r="E1165" s="13" t="s">
        <v>1612</v>
      </c>
      <c r="F1165" s="13">
        <v>3025457</v>
      </c>
      <c r="G1165" s="37">
        <v>13962.5</v>
      </c>
      <c r="H1165" s="33">
        <v>9700</v>
      </c>
      <c r="I1165" s="16">
        <f t="shared" si="174"/>
        <v>135436250</v>
      </c>
      <c r="J1165" s="17">
        <v>30</v>
      </c>
      <c r="K1165" s="34">
        <v>4502333212</v>
      </c>
      <c r="L1165" s="19">
        <v>5081983242</v>
      </c>
      <c r="M1165" s="20">
        <v>5113347396</v>
      </c>
      <c r="N1165" s="23"/>
      <c r="O1165" s="23" t="s">
        <v>37</v>
      </c>
      <c r="P1165" s="23" t="s">
        <v>1456</v>
      </c>
      <c r="Q1165" s="24" t="s">
        <v>31</v>
      </c>
      <c r="R1165" s="25">
        <v>44704</v>
      </c>
      <c r="S1165" s="28"/>
      <c r="T1165" s="35"/>
      <c r="U1165" s="35"/>
      <c r="V1165" s="29"/>
      <c r="W1165" s="35"/>
      <c r="X1165" s="29"/>
      <c r="Y1165" s="36"/>
      <c r="Z1165" s="29"/>
      <c r="AA1165" s="31">
        <f t="shared" si="1"/>
        <v>44704</v>
      </c>
      <c r="AB1165" s="32" t="str">
        <f t="shared" si="5"/>
        <v>mayo</v>
      </c>
    </row>
    <row r="1166" spans="1:28" ht="12.75">
      <c r="A1166" s="9" t="s">
        <v>39</v>
      </c>
      <c r="B1166" s="10">
        <v>44706</v>
      </c>
      <c r="C1166" s="11">
        <v>44706</v>
      </c>
      <c r="D1166" s="49">
        <v>21</v>
      </c>
      <c r="E1166" s="13" t="s">
        <v>447</v>
      </c>
      <c r="F1166" s="13">
        <v>3025457</v>
      </c>
      <c r="G1166" s="37">
        <v>13962.5</v>
      </c>
      <c r="H1166" s="33">
        <v>50</v>
      </c>
      <c r="I1166" s="16">
        <f>-H1166*G1166</f>
        <v>-698125</v>
      </c>
      <c r="J1166" s="17">
        <v>0</v>
      </c>
      <c r="K1166" s="34">
        <v>4502333212</v>
      </c>
      <c r="L1166" s="19">
        <v>5081983242</v>
      </c>
      <c r="M1166" s="20">
        <v>5113347397</v>
      </c>
      <c r="N1166" s="23"/>
      <c r="O1166" s="9"/>
      <c r="P1166" s="23"/>
      <c r="Q1166" s="24" t="s">
        <v>31</v>
      </c>
      <c r="R1166" s="25">
        <v>44704</v>
      </c>
      <c r="S1166" s="28"/>
      <c r="T1166" s="35"/>
      <c r="U1166" s="35"/>
      <c r="V1166" s="29"/>
      <c r="W1166" s="35"/>
      <c r="X1166" s="29"/>
      <c r="Y1166" s="36"/>
      <c r="Z1166" s="29"/>
      <c r="AA1166" s="31">
        <f t="shared" si="1"/>
        <v>44704</v>
      </c>
      <c r="AB1166" s="32" t="str">
        <f t="shared" si="5"/>
        <v>mayo</v>
      </c>
    </row>
    <row r="1167" spans="1:28" ht="12.75">
      <c r="A1167" s="9" t="s">
        <v>1613</v>
      </c>
      <c r="B1167" s="10">
        <v>44706</v>
      </c>
      <c r="C1167" s="11">
        <v>44706</v>
      </c>
      <c r="D1167" s="49">
        <v>21</v>
      </c>
      <c r="E1167" s="13" t="s">
        <v>1614</v>
      </c>
      <c r="F1167" s="13">
        <v>3025459</v>
      </c>
      <c r="G1167" s="14">
        <v>27696</v>
      </c>
      <c r="H1167" s="15">
        <v>9000</v>
      </c>
      <c r="I1167" s="16">
        <f t="shared" ref="I1167:I1175" si="175">H1167*G1167</f>
        <v>249264000</v>
      </c>
      <c r="J1167" s="17">
        <v>56</v>
      </c>
      <c r="K1167" s="34">
        <v>4502336155</v>
      </c>
      <c r="L1167" s="19">
        <v>5081996890</v>
      </c>
      <c r="M1167" s="20">
        <v>5113327551</v>
      </c>
      <c r="N1167" s="9" t="s">
        <v>63</v>
      </c>
      <c r="O1167" s="22" t="s">
        <v>1615</v>
      </c>
      <c r="P1167" s="23"/>
      <c r="Q1167" s="24" t="s">
        <v>31</v>
      </c>
      <c r="R1167" s="25">
        <v>44704</v>
      </c>
      <c r="S1167" s="34">
        <v>4502336155</v>
      </c>
      <c r="T1167" s="35">
        <f>920000*4</f>
        <v>3680000</v>
      </c>
      <c r="U1167" s="28" t="s">
        <v>1616</v>
      </c>
      <c r="V1167" s="29">
        <v>5113324843</v>
      </c>
      <c r="W1167" s="35"/>
      <c r="X1167" s="29"/>
      <c r="Y1167" s="36"/>
      <c r="Z1167" s="29"/>
      <c r="AA1167" s="31">
        <f t="shared" si="1"/>
        <v>44704</v>
      </c>
      <c r="AB1167" s="32" t="str">
        <f t="shared" si="5"/>
        <v>mayo</v>
      </c>
    </row>
    <row r="1168" spans="1:28" ht="12.75">
      <c r="A1168" s="9" t="s">
        <v>160</v>
      </c>
      <c r="B1168" s="10">
        <v>44704</v>
      </c>
      <c r="C1168" s="11"/>
      <c r="D1168" s="49">
        <v>21</v>
      </c>
      <c r="E1168" s="13" t="s">
        <v>1617</v>
      </c>
      <c r="F1168" s="13">
        <v>3025460</v>
      </c>
      <c r="G1168" s="37">
        <v>6865.5</v>
      </c>
      <c r="H1168" s="33">
        <v>9300</v>
      </c>
      <c r="I1168" s="16">
        <f t="shared" si="175"/>
        <v>63849150</v>
      </c>
      <c r="J1168" s="17">
        <v>13</v>
      </c>
      <c r="K1168" s="34">
        <v>4502333213</v>
      </c>
      <c r="L1168" s="19">
        <v>5081982127</v>
      </c>
      <c r="M1168" s="20">
        <v>5113347424</v>
      </c>
      <c r="N1168" s="23" t="s">
        <v>313</v>
      </c>
      <c r="O1168" s="9"/>
      <c r="P1168" s="23" t="s">
        <v>1618</v>
      </c>
      <c r="Q1168" s="24" t="s">
        <v>31</v>
      </c>
      <c r="R1168" s="25">
        <v>44704</v>
      </c>
      <c r="S1168" s="28"/>
      <c r="T1168" s="35"/>
      <c r="U1168" s="35"/>
      <c r="V1168" s="29"/>
      <c r="W1168" s="35"/>
      <c r="X1168" s="29"/>
      <c r="Y1168" s="36"/>
      <c r="Z1168" s="29"/>
      <c r="AA1168" s="31">
        <f t="shared" si="1"/>
        <v>44704</v>
      </c>
      <c r="AB1168" s="32" t="str">
        <f t="shared" si="5"/>
        <v>mayo</v>
      </c>
    </row>
    <row r="1169" spans="1:28" ht="12.75">
      <c r="A1169" s="9" t="s">
        <v>160</v>
      </c>
      <c r="B1169" s="10">
        <v>44704</v>
      </c>
      <c r="C1169" s="11"/>
      <c r="D1169" s="49">
        <v>21</v>
      </c>
      <c r="E1169" s="13" t="s">
        <v>772</v>
      </c>
      <c r="F1169" s="13">
        <v>3025460</v>
      </c>
      <c r="G1169" s="37">
        <v>6865.5</v>
      </c>
      <c r="H1169" s="33">
        <v>150</v>
      </c>
      <c r="I1169" s="16">
        <f t="shared" si="175"/>
        <v>1029825</v>
      </c>
      <c r="J1169" s="17">
        <v>0</v>
      </c>
      <c r="K1169" s="34">
        <v>4502333213</v>
      </c>
      <c r="L1169" s="19">
        <v>5081982127</v>
      </c>
      <c r="M1169" s="20">
        <v>5113347426</v>
      </c>
      <c r="N1169" s="23"/>
      <c r="O1169" s="9"/>
      <c r="P1169" s="23"/>
      <c r="Q1169" s="24" t="s">
        <v>31</v>
      </c>
      <c r="R1169" s="25">
        <v>44704</v>
      </c>
      <c r="S1169" s="28"/>
      <c r="T1169" s="35"/>
      <c r="U1169" s="35"/>
      <c r="V1169" s="29"/>
      <c r="W1169" s="35"/>
      <c r="X1169" s="29"/>
      <c r="Y1169" s="36"/>
      <c r="Z1169" s="29"/>
      <c r="AA1169" s="31">
        <f t="shared" si="1"/>
        <v>44704</v>
      </c>
      <c r="AB1169" s="32" t="str">
        <f t="shared" si="5"/>
        <v>mayo</v>
      </c>
    </row>
    <row r="1170" spans="1:28" ht="12.75">
      <c r="A1170" s="9" t="s">
        <v>873</v>
      </c>
      <c r="B1170" s="10">
        <v>44706</v>
      </c>
      <c r="C1170" s="11">
        <v>44706</v>
      </c>
      <c r="D1170" s="49">
        <v>21</v>
      </c>
      <c r="E1170" s="13" t="s">
        <v>1619</v>
      </c>
      <c r="F1170" s="13">
        <v>3025460</v>
      </c>
      <c r="G1170" s="37">
        <v>7274.5</v>
      </c>
      <c r="H1170" s="33">
        <v>9300</v>
      </c>
      <c r="I1170" s="16">
        <f t="shared" si="175"/>
        <v>67652850</v>
      </c>
      <c r="J1170" s="17">
        <v>15</v>
      </c>
      <c r="K1170" s="34">
        <v>4502333214</v>
      </c>
      <c r="L1170" s="19">
        <v>5081983243</v>
      </c>
      <c r="M1170" s="20">
        <v>5113347401</v>
      </c>
      <c r="N1170" s="23"/>
      <c r="O1170" s="9" t="s">
        <v>313</v>
      </c>
      <c r="P1170" s="23" t="s">
        <v>1620</v>
      </c>
      <c r="Q1170" s="24" t="s">
        <v>31</v>
      </c>
      <c r="R1170" s="25">
        <v>44704</v>
      </c>
      <c r="S1170" s="28"/>
      <c r="T1170" s="35"/>
      <c r="U1170" s="35"/>
      <c r="V1170" s="29"/>
      <c r="W1170" s="35"/>
      <c r="X1170" s="29"/>
      <c r="Y1170" s="36"/>
      <c r="Z1170" s="29"/>
      <c r="AA1170" s="31">
        <f t="shared" si="1"/>
        <v>44704</v>
      </c>
      <c r="AB1170" s="32" t="str">
        <f t="shared" si="5"/>
        <v>mayo</v>
      </c>
    </row>
    <row r="1171" spans="1:28" ht="12.75">
      <c r="A1171" s="9" t="s">
        <v>873</v>
      </c>
      <c r="B1171" s="10">
        <v>44706</v>
      </c>
      <c r="C1171" s="11">
        <v>44706</v>
      </c>
      <c r="D1171" s="49">
        <v>21</v>
      </c>
      <c r="E1171" s="13" t="s">
        <v>1621</v>
      </c>
      <c r="F1171" s="13">
        <v>3025460</v>
      </c>
      <c r="G1171" s="37">
        <v>7274.5</v>
      </c>
      <c r="H1171" s="33">
        <v>100</v>
      </c>
      <c r="I1171" s="16">
        <f t="shared" si="175"/>
        <v>727450</v>
      </c>
      <c r="J1171" s="17">
        <v>0</v>
      </c>
      <c r="K1171" s="34">
        <v>4502333214</v>
      </c>
      <c r="L1171" s="19">
        <v>5081983243</v>
      </c>
      <c r="M1171" s="20">
        <v>5113347402</v>
      </c>
      <c r="N1171" s="23"/>
      <c r="O1171" s="9"/>
      <c r="P1171" s="23" t="s">
        <v>1548</v>
      </c>
      <c r="Q1171" s="24" t="s">
        <v>31</v>
      </c>
      <c r="R1171" s="25">
        <v>44704</v>
      </c>
      <c r="S1171" s="28"/>
      <c r="T1171" s="35"/>
      <c r="U1171" s="35"/>
      <c r="V1171" s="29"/>
      <c r="W1171" s="35"/>
      <c r="X1171" s="29"/>
      <c r="Y1171" s="36"/>
      <c r="Z1171" s="29"/>
      <c r="AA1171" s="31">
        <f t="shared" si="1"/>
        <v>44704</v>
      </c>
      <c r="AB1171" s="32" t="str">
        <f t="shared" si="5"/>
        <v>mayo</v>
      </c>
    </row>
    <row r="1172" spans="1:28" ht="12.75">
      <c r="A1172" s="9" t="s">
        <v>180</v>
      </c>
      <c r="B1172" s="10">
        <v>44711</v>
      </c>
      <c r="C1172" s="11">
        <v>44715</v>
      </c>
      <c r="D1172" s="49">
        <v>21</v>
      </c>
      <c r="E1172" s="13" t="s">
        <v>1622</v>
      </c>
      <c r="F1172" s="13">
        <v>3025460</v>
      </c>
      <c r="G1172" s="37">
        <v>6421.5</v>
      </c>
      <c r="H1172" s="33">
        <v>9250</v>
      </c>
      <c r="I1172" s="16">
        <f t="shared" si="175"/>
        <v>59398875</v>
      </c>
      <c r="J1172" s="17">
        <v>14</v>
      </c>
      <c r="K1172" s="34">
        <v>4502333215</v>
      </c>
      <c r="L1172" s="19">
        <v>5081982258</v>
      </c>
      <c r="M1172" s="20">
        <v>5113349870</v>
      </c>
      <c r="N1172" s="21"/>
      <c r="O1172" s="9" t="s">
        <v>63</v>
      </c>
      <c r="P1172" s="23" t="s">
        <v>1623</v>
      </c>
      <c r="Q1172" s="24" t="s">
        <v>31</v>
      </c>
      <c r="R1172" s="25">
        <v>44704</v>
      </c>
      <c r="S1172" s="28"/>
      <c r="T1172" s="35"/>
      <c r="U1172" s="35"/>
      <c r="V1172" s="29"/>
      <c r="W1172" s="35"/>
      <c r="X1172" s="29"/>
      <c r="Y1172" s="36"/>
      <c r="Z1172" s="29"/>
      <c r="AA1172" s="31">
        <f t="shared" si="1"/>
        <v>44704</v>
      </c>
      <c r="AB1172" s="32" t="str">
        <f t="shared" si="5"/>
        <v>mayo</v>
      </c>
    </row>
    <row r="1173" spans="1:28" ht="12.75">
      <c r="A1173" s="9" t="s">
        <v>941</v>
      </c>
      <c r="B1173" s="10">
        <v>44704</v>
      </c>
      <c r="C1173" s="11"/>
      <c r="D1173" s="49">
        <v>21</v>
      </c>
      <c r="E1173" s="13" t="s">
        <v>1624</v>
      </c>
      <c r="F1173" s="13">
        <v>3025460</v>
      </c>
      <c r="G1173" s="14">
        <v>6455</v>
      </c>
      <c r="H1173" s="33">
        <v>9500</v>
      </c>
      <c r="I1173" s="16">
        <f t="shared" si="175"/>
        <v>61322500</v>
      </c>
      <c r="J1173" s="17">
        <v>14</v>
      </c>
      <c r="K1173" s="34">
        <v>4502333216</v>
      </c>
      <c r="L1173" s="19">
        <v>5081982259</v>
      </c>
      <c r="M1173" s="20">
        <v>5113327554</v>
      </c>
      <c r="N1173" s="44"/>
      <c r="O1173" s="9" t="s">
        <v>63</v>
      </c>
      <c r="P1173" s="23"/>
      <c r="Q1173" s="24" t="s">
        <v>31</v>
      </c>
      <c r="R1173" s="25">
        <v>44704</v>
      </c>
      <c r="S1173" s="28"/>
      <c r="T1173" s="35"/>
      <c r="U1173" s="35"/>
      <c r="V1173" s="29"/>
      <c r="W1173" s="35"/>
      <c r="X1173" s="29"/>
      <c r="Y1173" s="36"/>
      <c r="Z1173" s="29"/>
      <c r="AA1173" s="31">
        <f t="shared" si="1"/>
        <v>44704</v>
      </c>
      <c r="AB1173" s="32" t="str">
        <f t="shared" si="5"/>
        <v>mayo</v>
      </c>
    </row>
    <row r="1174" spans="1:28" ht="12.75">
      <c r="A1174" s="9" t="s">
        <v>804</v>
      </c>
      <c r="B1174" s="10">
        <v>44706</v>
      </c>
      <c r="C1174" s="11"/>
      <c r="D1174" s="49">
        <v>21</v>
      </c>
      <c r="E1174" s="13" t="s">
        <v>1625</v>
      </c>
      <c r="F1174" s="13">
        <v>3025460</v>
      </c>
      <c r="G1174" s="37">
        <v>6283.5</v>
      </c>
      <c r="H1174" s="33">
        <v>9500</v>
      </c>
      <c r="I1174" s="16">
        <f t="shared" si="175"/>
        <v>59693250</v>
      </c>
      <c r="J1174" s="17">
        <v>15</v>
      </c>
      <c r="K1174" s="34">
        <v>4502338572</v>
      </c>
      <c r="L1174" s="19">
        <v>5082014813</v>
      </c>
      <c r="M1174" s="20">
        <v>5113328696</v>
      </c>
      <c r="N1174" s="23"/>
      <c r="O1174" s="9" t="s">
        <v>37</v>
      </c>
      <c r="P1174" s="23"/>
      <c r="Q1174" s="24" t="s">
        <v>31</v>
      </c>
      <c r="R1174" s="25">
        <v>44704</v>
      </c>
      <c r="S1174" s="28"/>
      <c r="T1174" s="35"/>
      <c r="U1174" s="35"/>
      <c r="V1174" s="29"/>
      <c r="W1174" s="35"/>
      <c r="X1174" s="29"/>
      <c r="Y1174" s="36"/>
      <c r="Z1174" s="29"/>
      <c r="AA1174" s="31">
        <f t="shared" si="1"/>
        <v>44704</v>
      </c>
      <c r="AB1174" s="32" t="str">
        <f t="shared" si="5"/>
        <v>mayo</v>
      </c>
    </row>
    <row r="1175" spans="1:28" ht="12.75">
      <c r="A1175" s="9" t="s">
        <v>1244</v>
      </c>
      <c r="B1175" s="10">
        <v>44704</v>
      </c>
      <c r="C1175" s="11">
        <v>44676</v>
      </c>
      <c r="D1175" s="49">
        <v>21</v>
      </c>
      <c r="E1175" s="13" t="s">
        <v>1626</v>
      </c>
      <c r="F1175" s="13">
        <v>3025460</v>
      </c>
      <c r="G1175" s="14">
        <v>14917</v>
      </c>
      <c r="H1175" s="33">
        <v>9400</v>
      </c>
      <c r="I1175" s="16">
        <f t="shared" si="175"/>
        <v>140219800</v>
      </c>
      <c r="J1175" s="17">
        <v>28</v>
      </c>
      <c r="K1175" s="34">
        <v>4502333218</v>
      </c>
      <c r="L1175" s="19">
        <v>5081982261</v>
      </c>
      <c r="M1175" s="20">
        <v>5113327556</v>
      </c>
      <c r="N1175" s="44"/>
      <c r="O1175" s="23" t="s">
        <v>37</v>
      </c>
      <c r="P1175" s="23"/>
      <c r="Q1175" s="24" t="s">
        <v>31</v>
      </c>
      <c r="R1175" s="25">
        <v>44704</v>
      </c>
      <c r="S1175" s="28"/>
      <c r="T1175" s="35"/>
      <c r="U1175" s="35"/>
      <c r="V1175" s="29"/>
      <c r="W1175" s="35"/>
      <c r="X1175" s="29"/>
      <c r="Y1175" s="36"/>
      <c r="Z1175" s="29"/>
      <c r="AA1175" s="31">
        <f t="shared" si="1"/>
        <v>44704</v>
      </c>
      <c r="AB1175" s="32" t="str">
        <f t="shared" si="5"/>
        <v>mayo</v>
      </c>
    </row>
    <row r="1176" spans="1:28" ht="12.75">
      <c r="A1176" s="9" t="s">
        <v>1244</v>
      </c>
      <c r="B1176" s="10">
        <v>44704</v>
      </c>
      <c r="C1176" s="11">
        <v>44676</v>
      </c>
      <c r="D1176" s="49">
        <v>21</v>
      </c>
      <c r="E1176" s="13" t="s">
        <v>127</v>
      </c>
      <c r="F1176" s="13">
        <v>3025460</v>
      </c>
      <c r="G1176" s="14">
        <v>14917</v>
      </c>
      <c r="H1176" s="33">
        <f>9400-9387.77</f>
        <v>12.229999999999563</v>
      </c>
      <c r="I1176" s="16">
        <f>-H1176*G1176</f>
        <v>-182434.90999999348</v>
      </c>
      <c r="J1176" s="17">
        <v>0</v>
      </c>
      <c r="K1176" s="34">
        <v>4502333218</v>
      </c>
      <c r="L1176" s="19">
        <v>5081982261</v>
      </c>
      <c r="M1176" s="20">
        <v>5113327607</v>
      </c>
      <c r="N1176" s="23"/>
      <c r="O1176" s="9"/>
      <c r="P1176" s="23"/>
      <c r="Q1176" s="24" t="s">
        <v>31</v>
      </c>
      <c r="R1176" s="25">
        <v>44704</v>
      </c>
      <c r="S1176" s="28"/>
      <c r="T1176" s="35"/>
      <c r="U1176" s="35"/>
      <c r="V1176" s="29"/>
      <c r="W1176" s="35"/>
      <c r="X1176" s="29"/>
      <c r="Y1176" s="36"/>
      <c r="Z1176" s="29"/>
      <c r="AA1176" s="31">
        <f t="shared" si="1"/>
        <v>44704</v>
      </c>
      <c r="AB1176" s="32" t="str">
        <f t="shared" si="5"/>
        <v>mayo</v>
      </c>
    </row>
    <row r="1177" spans="1:28" ht="12.75">
      <c r="A1177" s="9" t="s">
        <v>58</v>
      </c>
      <c r="B1177" s="10">
        <v>44707</v>
      </c>
      <c r="C1177" s="11">
        <v>44707</v>
      </c>
      <c r="D1177" s="49">
        <v>21</v>
      </c>
      <c r="E1177" s="13" t="s">
        <v>1627</v>
      </c>
      <c r="F1177" s="13">
        <v>3025461</v>
      </c>
      <c r="G1177" s="14">
        <v>35293</v>
      </c>
      <c r="H1177" s="57">
        <v>9696.7099999999991</v>
      </c>
      <c r="I1177" s="39">
        <v>342225900</v>
      </c>
      <c r="J1177" s="17">
        <v>75</v>
      </c>
      <c r="K1177" s="34">
        <v>4502338505</v>
      </c>
      <c r="L1177" s="19">
        <v>5082013752</v>
      </c>
      <c r="M1177" s="20">
        <v>5113330015</v>
      </c>
      <c r="N1177" s="23"/>
      <c r="O1177" s="23" t="s">
        <v>37</v>
      </c>
      <c r="P1177" s="23" t="s">
        <v>1611</v>
      </c>
      <c r="Q1177" s="24" t="s">
        <v>1408</v>
      </c>
      <c r="R1177" s="25">
        <v>44704</v>
      </c>
      <c r="S1177" s="28"/>
      <c r="T1177" s="35"/>
      <c r="U1177" s="35"/>
      <c r="V1177" s="29"/>
      <c r="W1177" s="35"/>
      <c r="X1177" s="29"/>
      <c r="Y1177" s="36"/>
      <c r="Z1177" s="29"/>
      <c r="AA1177" s="31">
        <f t="shared" si="1"/>
        <v>44704</v>
      </c>
      <c r="AB1177" s="32" t="str">
        <f t="shared" si="5"/>
        <v>mayo</v>
      </c>
    </row>
    <row r="1178" spans="1:28" ht="12.75">
      <c r="A1178" s="9" t="s">
        <v>49</v>
      </c>
      <c r="B1178" s="10">
        <v>44704</v>
      </c>
      <c r="C1178" s="11"/>
      <c r="D1178" s="49">
        <v>21</v>
      </c>
      <c r="E1178" s="13" t="s">
        <v>1628</v>
      </c>
      <c r="F1178" s="13">
        <v>3025461</v>
      </c>
      <c r="G1178" s="14">
        <v>12942</v>
      </c>
      <c r="H1178" s="15">
        <v>8250</v>
      </c>
      <c r="I1178" s="16">
        <f t="shared" ref="I1178:I1181" si="176">H1178*G1178</f>
        <v>106771500</v>
      </c>
      <c r="J1178" s="17">
        <v>28</v>
      </c>
      <c r="K1178" s="34">
        <v>4502336070</v>
      </c>
      <c r="L1178" s="19">
        <v>5081960182</v>
      </c>
      <c r="M1178" s="20">
        <v>5113319748</v>
      </c>
      <c r="N1178" s="9" t="s">
        <v>63</v>
      </c>
      <c r="O1178" s="22" t="s">
        <v>1217</v>
      </c>
      <c r="P1178" s="23"/>
      <c r="Q1178" s="24" t="s">
        <v>1408</v>
      </c>
      <c r="R1178" s="25">
        <v>44704</v>
      </c>
      <c r="S1178" s="34">
        <v>4502336070</v>
      </c>
      <c r="T1178" s="35">
        <f>2982600*2</f>
        <v>5965200</v>
      </c>
      <c r="U1178" s="28" t="s">
        <v>1629</v>
      </c>
      <c r="V1178" s="29">
        <v>5113320388</v>
      </c>
      <c r="W1178" s="35"/>
      <c r="X1178" s="29"/>
      <c r="Y1178" s="36"/>
      <c r="Z1178" s="29"/>
      <c r="AA1178" s="31">
        <f t="shared" si="1"/>
        <v>44704</v>
      </c>
      <c r="AB1178" s="32" t="str">
        <f t="shared" si="5"/>
        <v>mayo</v>
      </c>
    </row>
    <row r="1179" spans="1:28" ht="12.75">
      <c r="A1179" s="9" t="s">
        <v>58</v>
      </c>
      <c r="B1179" s="10">
        <v>44706</v>
      </c>
      <c r="C1179" s="11">
        <v>44706</v>
      </c>
      <c r="D1179" s="49">
        <v>21</v>
      </c>
      <c r="E1179" s="13" t="s">
        <v>1630</v>
      </c>
      <c r="F1179" s="13">
        <v>3025460</v>
      </c>
      <c r="G1179" s="14">
        <v>37884</v>
      </c>
      <c r="H1179" s="57">
        <v>9600</v>
      </c>
      <c r="I1179" s="16">
        <f t="shared" si="176"/>
        <v>363686400</v>
      </c>
      <c r="J1179" s="17">
        <v>71</v>
      </c>
      <c r="K1179" s="34">
        <v>4502338403</v>
      </c>
      <c r="L1179" s="19">
        <v>5082012157</v>
      </c>
      <c r="M1179" s="20">
        <v>5113329252</v>
      </c>
      <c r="N1179" s="23"/>
      <c r="O1179" s="23" t="s">
        <v>37</v>
      </c>
      <c r="P1179" s="23" t="s">
        <v>1548</v>
      </c>
      <c r="Q1179" s="24" t="s">
        <v>1605</v>
      </c>
      <c r="R1179" s="25">
        <v>44704</v>
      </c>
      <c r="S1179" s="28"/>
      <c r="T1179" s="35"/>
      <c r="U1179" s="35"/>
      <c r="V1179" s="29"/>
      <c r="W1179" s="35"/>
      <c r="X1179" s="29"/>
      <c r="Y1179" s="36"/>
      <c r="Z1179" s="29"/>
      <c r="AA1179" s="31">
        <f t="shared" si="1"/>
        <v>44704</v>
      </c>
      <c r="AB1179" s="32" t="str">
        <f t="shared" si="5"/>
        <v>mayo</v>
      </c>
    </row>
    <row r="1180" spans="1:28" ht="12.75">
      <c r="A1180" s="9" t="s">
        <v>443</v>
      </c>
      <c r="B1180" s="10">
        <v>44705</v>
      </c>
      <c r="C1180" s="11"/>
      <c r="D1180" s="49">
        <v>21</v>
      </c>
      <c r="E1180" s="13" t="s">
        <v>1631</v>
      </c>
      <c r="F1180" s="13">
        <v>3025457</v>
      </c>
      <c r="G1180" s="14">
        <v>20680</v>
      </c>
      <c r="H1180" s="15">
        <v>9000</v>
      </c>
      <c r="I1180" s="16">
        <f t="shared" si="176"/>
        <v>186120000</v>
      </c>
      <c r="J1180" s="17">
        <v>42</v>
      </c>
      <c r="K1180" s="34">
        <v>4502338189</v>
      </c>
      <c r="L1180" s="19">
        <v>5082002423</v>
      </c>
      <c r="M1180" s="20">
        <v>5113327608</v>
      </c>
      <c r="N1180" s="9" t="s">
        <v>63</v>
      </c>
      <c r="O1180" s="22" t="s">
        <v>1591</v>
      </c>
      <c r="P1180" s="23"/>
      <c r="Q1180" s="24" t="s">
        <v>31</v>
      </c>
      <c r="R1180" s="25">
        <v>44705</v>
      </c>
      <c r="S1180" s="28">
        <v>4902272550</v>
      </c>
      <c r="T1180" s="35">
        <f>1792800*3</f>
        <v>5378400</v>
      </c>
      <c r="U1180" s="28" t="s">
        <v>1632</v>
      </c>
      <c r="V1180" s="29">
        <v>5113331573</v>
      </c>
      <c r="W1180" s="35"/>
      <c r="X1180" s="29"/>
      <c r="Y1180" s="36"/>
      <c r="Z1180" s="29"/>
      <c r="AA1180" s="31">
        <f t="shared" si="1"/>
        <v>44705</v>
      </c>
      <c r="AB1180" s="32" t="str">
        <f t="shared" si="5"/>
        <v>mayo</v>
      </c>
    </row>
    <row r="1181" spans="1:28" ht="12.75">
      <c r="A1181" s="9" t="s">
        <v>61</v>
      </c>
      <c r="B1181" s="10">
        <v>44708</v>
      </c>
      <c r="C1181" s="11"/>
      <c r="D1181" s="49">
        <v>21</v>
      </c>
      <c r="E1181" s="13" t="s">
        <v>323</v>
      </c>
      <c r="F1181" s="13">
        <v>3025457</v>
      </c>
      <c r="G1181" s="37">
        <v>7191.5</v>
      </c>
      <c r="H1181" s="33">
        <v>9050</v>
      </c>
      <c r="I1181" s="16">
        <f t="shared" si="176"/>
        <v>65083075</v>
      </c>
      <c r="J1181" s="17">
        <v>15</v>
      </c>
      <c r="K1181" s="34">
        <v>4502333219</v>
      </c>
      <c r="L1181" s="19">
        <v>5081999362</v>
      </c>
      <c r="M1181" s="20">
        <v>5113361763</v>
      </c>
      <c r="O1181" s="9" t="s">
        <v>63</v>
      </c>
      <c r="P1181" s="23" t="s">
        <v>1633</v>
      </c>
      <c r="Q1181" s="24" t="s">
        <v>31</v>
      </c>
      <c r="R1181" s="25">
        <v>44705</v>
      </c>
      <c r="S1181" s="28"/>
      <c r="T1181" s="35"/>
      <c r="U1181" s="35"/>
      <c r="V1181" s="29"/>
      <c r="W1181" s="35"/>
      <c r="X1181" s="29"/>
      <c r="Y1181" s="36"/>
      <c r="Z1181" s="29"/>
      <c r="AA1181" s="31">
        <f t="shared" si="1"/>
        <v>44705</v>
      </c>
      <c r="AB1181" s="32" t="str">
        <f t="shared" si="5"/>
        <v>mayo</v>
      </c>
    </row>
    <row r="1182" spans="1:28" ht="12.75">
      <c r="A1182" s="9" t="s">
        <v>61</v>
      </c>
      <c r="B1182" s="10">
        <v>44708</v>
      </c>
      <c r="C1182" s="11"/>
      <c r="D1182" s="49">
        <v>21</v>
      </c>
      <c r="E1182" s="13" t="s">
        <v>1634</v>
      </c>
      <c r="F1182" s="13">
        <v>3025457</v>
      </c>
      <c r="G1182" s="37">
        <v>7191.5</v>
      </c>
      <c r="H1182" s="33">
        <f>9050-9036.23</f>
        <v>13.770000000000437</v>
      </c>
      <c r="I1182" s="16">
        <f>-H1182*G1182</f>
        <v>-99026.955000003145</v>
      </c>
      <c r="J1182" s="17">
        <v>0</v>
      </c>
      <c r="K1182" s="34">
        <v>4502333219</v>
      </c>
      <c r="L1182" s="19">
        <v>5081999362</v>
      </c>
      <c r="M1182" s="20">
        <v>5113361764</v>
      </c>
      <c r="N1182" s="44"/>
      <c r="O1182" s="9"/>
      <c r="P1182" s="23" t="s">
        <v>1635</v>
      </c>
      <c r="Q1182" s="24" t="s">
        <v>31</v>
      </c>
      <c r="R1182" s="25">
        <v>44705</v>
      </c>
      <c r="S1182" s="28"/>
      <c r="T1182" s="35"/>
      <c r="U1182" s="35"/>
      <c r="V1182" s="29"/>
      <c r="W1182" s="35"/>
      <c r="X1182" s="29"/>
      <c r="Y1182" s="36"/>
      <c r="Z1182" s="29"/>
      <c r="AA1182" s="31">
        <f t="shared" si="1"/>
        <v>44705</v>
      </c>
      <c r="AB1182" s="32" t="str">
        <f t="shared" si="5"/>
        <v>mayo</v>
      </c>
    </row>
    <row r="1183" spans="1:28" ht="12.75">
      <c r="A1183" s="9" t="s">
        <v>1636</v>
      </c>
      <c r="B1183" s="10">
        <v>44705</v>
      </c>
      <c r="C1183" s="11">
        <v>44709</v>
      </c>
      <c r="D1183" s="49">
        <v>21</v>
      </c>
      <c r="E1183" s="13" t="s">
        <v>1637</v>
      </c>
      <c r="F1183" s="13">
        <v>3025457</v>
      </c>
      <c r="G1183" s="14">
        <v>6650</v>
      </c>
      <c r="H1183" s="33">
        <v>9200</v>
      </c>
      <c r="I1183" s="16">
        <f>H1183*G1183</f>
        <v>61180000</v>
      </c>
      <c r="J1183" s="17">
        <v>15</v>
      </c>
      <c r="K1183" s="34">
        <v>4502333220</v>
      </c>
      <c r="L1183" s="19">
        <v>5081999363</v>
      </c>
      <c r="M1183" s="20">
        <v>5113340210</v>
      </c>
      <c r="N1183" s="23"/>
      <c r="O1183" s="9" t="s">
        <v>63</v>
      </c>
      <c r="P1183" s="23"/>
      <c r="Q1183" s="24" t="s">
        <v>31</v>
      </c>
      <c r="R1183" s="25">
        <v>44705</v>
      </c>
      <c r="S1183" s="28"/>
      <c r="T1183" s="35"/>
      <c r="U1183" s="35"/>
      <c r="V1183" s="29"/>
      <c r="W1183" s="35"/>
      <c r="X1183" s="29"/>
      <c r="Y1183" s="36"/>
      <c r="Z1183" s="29"/>
      <c r="AA1183" s="31">
        <f t="shared" si="1"/>
        <v>44705</v>
      </c>
      <c r="AB1183" s="32" t="str">
        <f t="shared" si="5"/>
        <v>mayo</v>
      </c>
    </row>
    <row r="1184" spans="1:28" ht="12.75">
      <c r="A1184" s="9" t="s">
        <v>1636</v>
      </c>
      <c r="B1184" s="10">
        <v>44705</v>
      </c>
      <c r="C1184" s="11">
        <v>44709</v>
      </c>
      <c r="D1184" s="49">
        <v>21</v>
      </c>
      <c r="E1184" s="13" t="s">
        <v>1638</v>
      </c>
      <c r="F1184" s="13">
        <v>3025457</v>
      </c>
      <c r="G1184" s="14">
        <v>6650</v>
      </c>
      <c r="H1184" s="33">
        <f>9200-9194.07</f>
        <v>5.930000000000291</v>
      </c>
      <c r="I1184" s="16">
        <f>-H1184*G1184</f>
        <v>-39434.500000001935</v>
      </c>
      <c r="J1184" s="17">
        <v>0</v>
      </c>
      <c r="K1184" s="34">
        <v>4502333220</v>
      </c>
      <c r="L1184" s="19">
        <v>5081999363</v>
      </c>
      <c r="M1184" s="20">
        <v>5113340214</v>
      </c>
      <c r="N1184" s="23"/>
      <c r="O1184" s="9"/>
      <c r="P1184" s="23"/>
      <c r="Q1184" s="24" t="s">
        <v>31</v>
      </c>
      <c r="R1184" s="25">
        <v>44705</v>
      </c>
      <c r="S1184" s="28"/>
      <c r="T1184" s="35"/>
      <c r="U1184" s="35"/>
      <c r="V1184" s="29"/>
      <c r="W1184" s="35"/>
      <c r="X1184" s="29"/>
      <c r="Y1184" s="36"/>
      <c r="Z1184" s="29"/>
      <c r="AA1184" s="31">
        <f t="shared" si="1"/>
        <v>44705</v>
      </c>
      <c r="AB1184" s="32" t="str">
        <f t="shared" si="5"/>
        <v>mayo</v>
      </c>
    </row>
    <row r="1185" spans="1:28" ht="12.75">
      <c r="A1185" s="22" t="s">
        <v>428</v>
      </c>
      <c r="B1185" s="10">
        <v>44705</v>
      </c>
      <c r="C1185" s="11">
        <v>44708</v>
      </c>
      <c r="D1185" s="49">
        <v>21</v>
      </c>
      <c r="E1185" s="13" t="s">
        <v>1639</v>
      </c>
      <c r="F1185" s="13">
        <v>3025457</v>
      </c>
      <c r="G1185" s="14">
        <v>29130</v>
      </c>
      <c r="H1185" s="33">
        <v>9400</v>
      </c>
      <c r="I1185" s="16">
        <f>H1185*G1185</f>
        <v>273822000</v>
      </c>
      <c r="J1185" s="17">
        <v>60</v>
      </c>
      <c r="K1185" s="34">
        <v>4502333221</v>
      </c>
      <c r="L1185" s="19">
        <v>5081999571</v>
      </c>
      <c r="M1185" s="20">
        <v>5113340238</v>
      </c>
      <c r="N1185" s="9"/>
      <c r="O1185" s="9" t="s">
        <v>63</v>
      </c>
      <c r="P1185" s="23" t="s">
        <v>1548</v>
      </c>
      <c r="Q1185" s="24" t="s">
        <v>31</v>
      </c>
      <c r="R1185" s="25">
        <v>44705</v>
      </c>
      <c r="S1185" s="28"/>
      <c r="T1185" s="35"/>
      <c r="U1185" s="35"/>
      <c r="V1185" s="29"/>
      <c r="W1185" s="35"/>
      <c r="X1185" s="29"/>
      <c r="Y1185" s="36"/>
      <c r="Z1185" s="29"/>
      <c r="AA1185" s="31">
        <f t="shared" si="1"/>
        <v>44705</v>
      </c>
      <c r="AB1185" s="32" t="str">
        <f t="shared" si="5"/>
        <v>mayo</v>
      </c>
    </row>
    <row r="1186" spans="1:28" ht="12.75">
      <c r="A1186" s="22" t="s">
        <v>428</v>
      </c>
      <c r="B1186" s="10">
        <v>44708</v>
      </c>
      <c r="C1186" s="11"/>
      <c r="D1186" s="49">
        <v>21</v>
      </c>
      <c r="E1186" s="13" t="s">
        <v>1640</v>
      </c>
      <c r="F1186" s="13">
        <v>3025457</v>
      </c>
      <c r="G1186" s="14">
        <v>29130</v>
      </c>
      <c r="H1186" s="33">
        <f>9400-9334.55</f>
        <v>65.450000000000728</v>
      </c>
      <c r="I1186" s="16">
        <f>-H1186*G1186</f>
        <v>-1906558.5000000212</v>
      </c>
      <c r="J1186" s="17">
        <v>0</v>
      </c>
      <c r="K1186" s="34">
        <v>4502333221</v>
      </c>
      <c r="L1186" s="19">
        <v>5081999571</v>
      </c>
      <c r="M1186" s="20">
        <v>5113340241</v>
      </c>
      <c r="N1186" s="23"/>
      <c r="O1186" s="9"/>
      <c r="P1186" s="23"/>
      <c r="Q1186" s="24" t="s">
        <v>31</v>
      </c>
      <c r="R1186" s="25">
        <v>44705</v>
      </c>
      <c r="S1186" s="28"/>
      <c r="T1186" s="35"/>
      <c r="U1186" s="35"/>
      <c r="V1186" s="29"/>
      <c r="W1186" s="35"/>
      <c r="X1186" s="29"/>
      <c r="Y1186" s="36"/>
      <c r="Z1186" s="29"/>
      <c r="AA1186" s="31">
        <f t="shared" si="1"/>
        <v>44705</v>
      </c>
      <c r="AB1186" s="32" t="str">
        <f t="shared" si="5"/>
        <v>mayo</v>
      </c>
    </row>
    <row r="1187" spans="1:28" ht="12.75">
      <c r="A1187" s="9" t="s">
        <v>289</v>
      </c>
      <c r="B1187" s="10">
        <v>44709</v>
      </c>
      <c r="C1187" s="11">
        <v>44712</v>
      </c>
      <c r="D1187" s="49">
        <v>21</v>
      </c>
      <c r="E1187" s="13" t="s">
        <v>1641</v>
      </c>
      <c r="F1187" s="13">
        <v>3025457</v>
      </c>
      <c r="G1187" s="14">
        <v>7382</v>
      </c>
      <c r="H1187" s="33">
        <v>9550</v>
      </c>
      <c r="I1187" s="16">
        <f>H1187*G1187</f>
        <v>70498100</v>
      </c>
      <c r="J1187" s="17">
        <v>15</v>
      </c>
      <c r="K1187" s="34">
        <v>4502333222</v>
      </c>
      <c r="L1187" s="19">
        <v>5081997357</v>
      </c>
      <c r="M1187" s="20">
        <v>5113342426</v>
      </c>
      <c r="N1187" s="23"/>
      <c r="O1187" s="23" t="s">
        <v>37</v>
      </c>
      <c r="P1187" s="23"/>
      <c r="Q1187" s="24" t="s">
        <v>31</v>
      </c>
      <c r="R1187" s="25">
        <v>44705</v>
      </c>
      <c r="S1187" s="28"/>
      <c r="T1187" s="35"/>
      <c r="U1187" s="35"/>
      <c r="V1187" s="29"/>
      <c r="W1187" s="35"/>
      <c r="X1187" s="29"/>
      <c r="Y1187" s="36"/>
      <c r="Z1187" s="29"/>
      <c r="AA1187" s="31">
        <f t="shared" si="1"/>
        <v>44705</v>
      </c>
      <c r="AB1187" s="32" t="str">
        <f t="shared" si="5"/>
        <v>mayo</v>
      </c>
    </row>
    <row r="1188" spans="1:28" ht="12.75">
      <c r="A1188" s="9" t="s">
        <v>289</v>
      </c>
      <c r="B1188" s="10">
        <v>44709</v>
      </c>
      <c r="C1188" s="11">
        <v>44712</v>
      </c>
      <c r="D1188" s="49">
        <v>21</v>
      </c>
      <c r="E1188" s="13" t="s">
        <v>1642</v>
      </c>
      <c r="F1188" s="13">
        <v>3025457</v>
      </c>
      <c r="G1188" s="14">
        <v>7382</v>
      </c>
      <c r="H1188" s="33">
        <v>50</v>
      </c>
      <c r="I1188" s="16">
        <f>-H1188*G1188</f>
        <v>-369100</v>
      </c>
      <c r="J1188" s="17">
        <v>0</v>
      </c>
      <c r="K1188" s="34">
        <v>4502333222</v>
      </c>
      <c r="L1188" s="19">
        <v>5081997357</v>
      </c>
      <c r="M1188" s="20">
        <v>5113342459</v>
      </c>
      <c r="N1188" s="23"/>
      <c r="O1188" s="9"/>
      <c r="P1188" s="23"/>
      <c r="Q1188" s="24" t="s">
        <v>31</v>
      </c>
      <c r="R1188" s="25">
        <v>44705</v>
      </c>
      <c r="S1188" s="28"/>
      <c r="T1188" s="35"/>
      <c r="U1188" s="35"/>
      <c r="V1188" s="29"/>
      <c r="W1188" s="35"/>
      <c r="X1188" s="29"/>
      <c r="Y1188" s="36"/>
      <c r="Z1188" s="29"/>
      <c r="AA1188" s="31">
        <f t="shared" si="1"/>
        <v>44705</v>
      </c>
      <c r="AB1188" s="32" t="str">
        <f t="shared" si="5"/>
        <v>mayo</v>
      </c>
    </row>
    <row r="1189" spans="1:28" ht="12.75">
      <c r="A1189" s="9" t="s">
        <v>215</v>
      </c>
      <c r="B1189" s="10">
        <v>44705</v>
      </c>
      <c r="C1189" s="11">
        <v>44709</v>
      </c>
      <c r="D1189" s="49">
        <v>21</v>
      </c>
      <c r="E1189" s="13" t="s">
        <v>1643</v>
      </c>
      <c r="F1189" s="13">
        <v>3025457</v>
      </c>
      <c r="G1189" s="37">
        <v>19496.5</v>
      </c>
      <c r="H1189" s="33">
        <v>9200</v>
      </c>
      <c r="I1189" s="16">
        <f t="shared" ref="I1189:I1195" si="177">H1189*G1189</f>
        <v>179367800</v>
      </c>
      <c r="J1189" s="17">
        <v>40</v>
      </c>
      <c r="K1189" s="34">
        <v>4502333223</v>
      </c>
      <c r="L1189" s="19">
        <v>5081997548</v>
      </c>
      <c r="M1189" s="20">
        <v>5113348871</v>
      </c>
      <c r="N1189" s="23"/>
      <c r="O1189" s="9" t="s">
        <v>37</v>
      </c>
      <c r="P1189" s="23" t="s">
        <v>1644</v>
      </c>
      <c r="Q1189" s="24" t="s">
        <v>31</v>
      </c>
      <c r="R1189" s="25">
        <v>44705</v>
      </c>
      <c r="S1189" s="28"/>
      <c r="T1189" s="35"/>
      <c r="U1189" s="35"/>
      <c r="V1189" s="29"/>
      <c r="W1189" s="35"/>
      <c r="X1189" s="29"/>
      <c r="Y1189" s="36"/>
      <c r="Z1189" s="29"/>
      <c r="AA1189" s="31">
        <f t="shared" si="1"/>
        <v>44705</v>
      </c>
      <c r="AB1189" s="32" t="str">
        <f t="shared" si="5"/>
        <v>mayo</v>
      </c>
    </row>
    <row r="1190" spans="1:28" ht="12.75">
      <c r="A1190" s="9" t="s">
        <v>215</v>
      </c>
      <c r="B1190" s="10">
        <v>44705</v>
      </c>
      <c r="C1190" s="11">
        <v>44709</v>
      </c>
      <c r="D1190" s="49">
        <v>21</v>
      </c>
      <c r="E1190" s="13" t="s">
        <v>1500</v>
      </c>
      <c r="F1190" s="13">
        <v>3025457</v>
      </c>
      <c r="G1190" s="37">
        <v>19496.5</v>
      </c>
      <c r="H1190" s="33">
        <v>100</v>
      </c>
      <c r="I1190" s="16">
        <f t="shared" si="177"/>
        <v>1949650</v>
      </c>
      <c r="J1190" s="17">
        <v>0</v>
      </c>
      <c r="K1190" s="34">
        <v>4502333223</v>
      </c>
      <c r="L1190" s="19">
        <v>5081997548</v>
      </c>
      <c r="M1190" s="20">
        <v>5113364959</v>
      </c>
      <c r="N1190" s="23"/>
      <c r="O1190" s="9"/>
      <c r="P1190" s="23"/>
      <c r="Q1190" s="24" t="s">
        <v>31</v>
      </c>
      <c r="R1190" s="25">
        <v>44705</v>
      </c>
      <c r="S1190" s="28"/>
      <c r="T1190" s="35"/>
      <c r="U1190" s="35"/>
      <c r="V1190" s="29"/>
      <c r="W1190" s="35"/>
      <c r="X1190" s="29"/>
      <c r="Y1190" s="36"/>
      <c r="Z1190" s="29"/>
      <c r="AA1190" s="31">
        <f t="shared" si="1"/>
        <v>44705</v>
      </c>
      <c r="AB1190" s="32" t="str">
        <f t="shared" si="5"/>
        <v>mayo</v>
      </c>
    </row>
    <row r="1191" spans="1:28" ht="12.75">
      <c r="A1191" s="9" t="s">
        <v>39</v>
      </c>
      <c r="B1191" s="10">
        <v>44705</v>
      </c>
      <c r="C1191" s="11">
        <v>44678</v>
      </c>
      <c r="D1191" s="49">
        <v>21</v>
      </c>
      <c r="E1191" s="13" t="s">
        <v>1645</v>
      </c>
      <c r="F1191" s="13">
        <v>3025459</v>
      </c>
      <c r="G1191" s="37">
        <v>20367.5</v>
      </c>
      <c r="H1191" s="33">
        <v>9700</v>
      </c>
      <c r="I1191" s="16">
        <f t="shared" si="177"/>
        <v>197564750</v>
      </c>
      <c r="J1191" s="17">
        <v>43</v>
      </c>
      <c r="K1191" s="34">
        <v>4502333224</v>
      </c>
      <c r="L1191" s="19">
        <v>5081999364</v>
      </c>
      <c r="M1191" s="20">
        <v>5113340280</v>
      </c>
      <c r="N1191" s="23"/>
      <c r="O1191" s="23" t="s">
        <v>37</v>
      </c>
      <c r="P1191" s="23"/>
      <c r="Q1191" s="24" t="s">
        <v>31</v>
      </c>
      <c r="R1191" s="25">
        <v>44705</v>
      </c>
      <c r="S1191" s="28"/>
      <c r="T1191" s="35"/>
      <c r="U1191" s="35"/>
      <c r="V1191" s="29"/>
      <c r="W1191" s="35"/>
      <c r="X1191" s="29"/>
      <c r="Y1191" s="36"/>
      <c r="Z1191" s="29"/>
      <c r="AA1191" s="31">
        <f t="shared" si="1"/>
        <v>44705</v>
      </c>
      <c r="AB1191" s="32" t="str">
        <f t="shared" si="5"/>
        <v>mayo</v>
      </c>
    </row>
    <row r="1192" spans="1:28" ht="12.75">
      <c r="A1192" s="9" t="s">
        <v>43</v>
      </c>
      <c r="B1192" s="10">
        <v>44705</v>
      </c>
      <c r="C1192" s="11">
        <v>44708</v>
      </c>
      <c r="D1192" s="49">
        <v>21</v>
      </c>
      <c r="E1192" s="13" t="s">
        <v>1646</v>
      </c>
      <c r="F1192" s="13">
        <v>3025460</v>
      </c>
      <c r="G1192" s="14">
        <v>20979</v>
      </c>
      <c r="H1192" s="33">
        <v>9400</v>
      </c>
      <c r="I1192" s="16">
        <f t="shared" si="177"/>
        <v>197202600</v>
      </c>
      <c r="J1192" s="17">
        <v>42</v>
      </c>
      <c r="K1192" s="34">
        <v>4502333225</v>
      </c>
      <c r="L1192" s="19">
        <v>5081997549</v>
      </c>
      <c r="M1192" s="20">
        <v>5113340284</v>
      </c>
      <c r="N1192" s="23" t="s">
        <v>37</v>
      </c>
      <c r="O1192" s="9"/>
      <c r="P1192" s="23"/>
      <c r="Q1192" s="24" t="s">
        <v>31</v>
      </c>
      <c r="R1192" s="25">
        <v>44705</v>
      </c>
      <c r="S1192" s="28"/>
      <c r="T1192" s="35"/>
      <c r="U1192" s="35"/>
      <c r="V1192" s="29"/>
      <c r="W1192" s="35"/>
      <c r="X1192" s="29"/>
      <c r="Y1192" s="36"/>
      <c r="Z1192" s="29"/>
      <c r="AA1192" s="31">
        <f t="shared" si="1"/>
        <v>44705</v>
      </c>
      <c r="AB1192" s="32" t="str">
        <f t="shared" si="5"/>
        <v>mayo</v>
      </c>
    </row>
    <row r="1193" spans="1:28" ht="12.75">
      <c r="A1193" s="9" t="s">
        <v>43</v>
      </c>
      <c r="B1193" s="10">
        <v>44705</v>
      </c>
      <c r="C1193" s="11">
        <v>44708</v>
      </c>
      <c r="D1193" s="49">
        <v>21</v>
      </c>
      <c r="E1193" s="13" t="s">
        <v>1647</v>
      </c>
      <c r="F1193" s="13">
        <v>3025460</v>
      </c>
      <c r="G1193" s="14">
        <v>20979</v>
      </c>
      <c r="H1193" s="33">
        <v>100</v>
      </c>
      <c r="I1193" s="16">
        <f t="shared" si="177"/>
        <v>2097900</v>
      </c>
      <c r="J1193" s="17">
        <v>0</v>
      </c>
      <c r="K1193" s="34">
        <v>4502333225</v>
      </c>
      <c r="L1193" s="19">
        <v>5081997549</v>
      </c>
      <c r="M1193" s="20">
        <v>5113347405</v>
      </c>
      <c r="N1193" s="23"/>
      <c r="O1193" s="9"/>
      <c r="P1193" s="23" t="s">
        <v>1648</v>
      </c>
      <c r="Q1193" s="24" t="s">
        <v>31</v>
      </c>
      <c r="R1193" s="25">
        <v>44705</v>
      </c>
      <c r="S1193" s="28"/>
      <c r="T1193" s="35"/>
      <c r="U1193" s="35"/>
      <c r="V1193" s="29"/>
      <c r="W1193" s="35"/>
      <c r="X1193" s="29"/>
      <c r="Y1193" s="36"/>
      <c r="Z1193" s="29"/>
      <c r="AA1193" s="31">
        <f t="shared" si="1"/>
        <v>44705</v>
      </c>
      <c r="AB1193" s="32" t="str">
        <f t="shared" si="5"/>
        <v>mayo</v>
      </c>
    </row>
    <row r="1194" spans="1:28" ht="12.75">
      <c r="A1194" s="9" t="s">
        <v>58</v>
      </c>
      <c r="B1194" s="10">
        <v>44708</v>
      </c>
      <c r="C1194" s="11">
        <v>44708</v>
      </c>
      <c r="D1194" s="49">
        <v>21</v>
      </c>
      <c r="E1194" s="13" t="s">
        <v>1649</v>
      </c>
      <c r="F1194" s="13">
        <v>3025462</v>
      </c>
      <c r="G1194" s="14">
        <v>12070</v>
      </c>
      <c r="H1194" s="57">
        <v>7800</v>
      </c>
      <c r="I1194" s="16">
        <f t="shared" si="177"/>
        <v>94146000</v>
      </c>
      <c r="J1194" s="17">
        <v>44</v>
      </c>
      <c r="K1194" s="34">
        <v>4502339706</v>
      </c>
      <c r="L1194" s="19">
        <v>5082036856</v>
      </c>
      <c r="M1194" s="20">
        <v>5113334325</v>
      </c>
      <c r="N1194" s="23"/>
      <c r="O1194" s="9" t="s">
        <v>37</v>
      </c>
      <c r="P1194" s="23"/>
      <c r="Q1194" s="24" t="s">
        <v>357</v>
      </c>
      <c r="R1194" s="25">
        <v>44707</v>
      </c>
      <c r="S1194" s="28"/>
      <c r="T1194" s="35"/>
      <c r="U1194" s="35"/>
      <c r="V1194" s="29"/>
      <c r="W1194" s="35"/>
      <c r="X1194" s="29"/>
      <c r="Y1194" s="36"/>
      <c r="Z1194" s="29"/>
      <c r="AA1194" s="31">
        <f t="shared" si="1"/>
        <v>44707</v>
      </c>
      <c r="AB1194" s="32" t="str">
        <f t="shared" si="5"/>
        <v>mayo</v>
      </c>
    </row>
    <row r="1195" spans="1:28" ht="12.75">
      <c r="A1195" s="9" t="s">
        <v>819</v>
      </c>
      <c r="B1195" s="10">
        <v>44711</v>
      </c>
      <c r="C1195" s="11"/>
      <c r="D1195" s="53">
        <v>22</v>
      </c>
      <c r="E1195" s="13">
        <v>6038</v>
      </c>
      <c r="F1195" s="13">
        <v>3025457</v>
      </c>
      <c r="G1195" s="14">
        <v>7752</v>
      </c>
      <c r="H1195" s="33">
        <v>9500</v>
      </c>
      <c r="I1195" s="16">
        <f t="shared" si="177"/>
        <v>73644000</v>
      </c>
      <c r="J1195" s="17">
        <v>13</v>
      </c>
      <c r="K1195" s="34">
        <v>4502338064</v>
      </c>
      <c r="L1195" s="19">
        <v>5082073377</v>
      </c>
      <c r="M1195" s="20">
        <v>5113349137</v>
      </c>
      <c r="N1195" s="23"/>
      <c r="O1195" s="9" t="s">
        <v>37</v>
      </c>
      <c r="P1195" s="23" t="s">
        <v>1650</v>
      </c>
      <c r="Q1195" s="24" t="s">
        <v>31</v>
      </c>
      <c r="R1195" s="25">
        <v>44708</v>
      </c>
      <c r="S1195" s="28"/>
      <c r="T1195" s="35"/>
      <c r="U1195" s="35"/>
      <c r="V1195" s="29"/>
      <c r="W1195" s="35"/>
      <c r="X1195" s="29"/>
      <c r="Y1195" s="36"/>
      <c r="Z1195" s="29"/>
      <c r="AA1195" s="31">
        <f t="shared" si="1"/>
        <v>44708</v>
      </c>
      <c r="AB1195" s="32" t="str">
        <f t="shared" si="5"/>
        <v>mayo</v>
      </c>
    </row>
    <row r="1196" spans="1:28" ht="12.75">
      <c r="A1196" s="9" t="s">
        <v>819</v>
      </c>
      <c r="B1196" s="10">
        <v>44711</v>
      </c>
      <c r="C1196" s="11"/>
      <c r="D1196" s="53">
        <v>22</v>
      </c>
      <c r="E1196" s="13" t="s">
        <v>1651</v>
      </c>
      <c r="F1196" s="13">
        <v>3025457</v>
      </c>
      <c r="G1196" s="14">
        <v>7752</v>
      </c>
      <c r="H1196" s="33">
        <f>9500-9394.86</f>
        <v>105.13999999999942</v>
      </c>
      <c r="I1196" s="16">
        <f>-H1196*G1196</f>
        <v>-815045.27999999549</v>
      </c>
      <c r="J1196" s="17">
        <v>0</v>
      </c>
      <c r="K1196" s="34">
        <v>4502338064</v>
      </c>
      <c r="L1196" s="19">
        <v>5082073377</v>
      </c>
      <c r="M1196" s="20">
        <v>5113349138</v>
      </c>
      <c r="N1196" s="23"/>
      <c r="O1196" s="9"/>
      <c r="P1196" s="23"/>
      <c r="Q1196" s="24" t="s">
        <v>31</v>
      </c>
      <c r="R1196" s="25">
        <v>44708</v>
      </c>
      <c r="S1196" s="28"/>
      <c r="T1196" s="35"/>
      <c r="U1196" s="35"/>
      <c r="V1196" s="29"/>
      <c r="W1196" s="35"/>
      <c r="X1196" s="29"/>
      <c r="Y1196" s="36"/>
      <c r="Z1196" s="29"/>
      <c r="AA1196" s="31">
        <f t="shared" si="1"/>
        <v>44708</v>
      </c>
      <c r="AB1196" s="32" t="str">
        <f t="shared" si="5"/>
        <v>mayo</v>
      </c>
    </row>
    <row r="1197" spans="1:28" ht="12.75">
      <c r="A1197" s="9" t="s">
        <v>1102</v>
      </c>
      <c r="B1197" s="10">
        <v>44712</v>
      </c>
      <c r="C1197" s="11">
        <v>44712</v>
      </c>
      <c r="D1197" s="53">
        <v>22</v>
      </c>
      <c r="E1197" s="13" t="s">
        <v>1652</v>
      </c>
      <c r="F1197" s="13">
        <v>3025459</v>
      </c>
      <c r="G1197" s="14">
        <v>20580</v>
      </c>
      <c r="H1197" s="33">
        <v>9500</v>
      </c>
      <c r="I1197" s="16">
        <f>H1197*G1197</f>
        <v>195510000</v>
      </c>
      <c r="J1197" s="17">
        <v>45</v>
      </c>
      <c r="K1197" s="34">
        <v>4502338065</v>
      </c>
      <c r="L1197" s="19">
        <v>5082073514</v>
      </c>
      <c r="M1197" s="20">
        <v>5113346331</v>
      </c>
      <c r="N1197" s="23"/>
      <c r="O1197" s="9" t="s">
        <v>37</v>
      </c>
      <c r="P1197" s="23"/>
      <c r="Q1197" s="24" t="s">
        <v>31</v>
      </c>
      <c r="R1197" s="25">
        <v>44708</v>
      </c>
      <c r="S1197" s="28"/>
      <c r="T1197" s="35"/>
      <c r="U1197" s="35"/>
      <c r="V1197" s="29"/>
      <c r="W1197" s="35"/>
      <c r="X1197" s="29"/>
      <c r="Y1197" s="36"/>
      <c r="Z1197" s="29"/>
      <c r="AA1197" s="31">
        <f t="shared" si="1"/>
        <v>44708</v>
      </c>
      <c r="AB1197" s="32" t="str">
        <f t="shared" si="5"/>
        <v>mayo</v>
      </c>
    </row>
    <row r="1198" spans="1:28" ht="12.75">
      <c r="A1198" s="9" t="s">
        <v>1102</v>
      </c>
      <c r="B1198" s="10">
        <v>44712</v>
      </c>
      <c r="C1198" s="11">
        <v>44712</v>
      </c>
      <c r="D1198" s="53">
        <v>22</v>
      </c>
      <c r="E1198" s="13" t="s">
        <v>1653</v>
      </c>
      <c r="F1198" s="13">
        <v>3025459</v>
      </c>
      <c r="G1198" s="14">
        <v>20580</v>
      </c>
      <c r="H1198" s="33">
        <f>9500-9473.88</f>
        <v>26.1200000000008</v>
      </c>
      <c r="I1198" s="16">
        <f>-H1198*G1198</f>
        <v>-537549.60000001651</v>
      </c>
      <c r="J1198" s="17">
        <v>0</v>
      </c>
      <c r="K1198" s="34">
        <v>4502338065</v>
      </c>
      <c r="L1198" s="19">
        <v>5082073514</v>
      </c>
      <c r="M1198" s="20">
        <v>5113346332</v>
      </c>
      <c r="N1198" s="23"/>
      <c r="O1198" s="9"/>
      <c r="P1198" s="23"/>
      <c r="Q1198" s="24" t="s">
        <v>31</v>
      </c>
      <c r="R1198" s="25">
        <v>44708</v>
      </c>
      <c r="S1198" s="28"/>
      <c r="T1198" s="35"/>
      <c r="U1198" s="35"/>
      <c r="V1198" s="29"/>
      <c r="W1198" s="35"/>
      <c r="X1198" s="29"/>
      <c r="Y1198" s="36"/>
      <c r="Z1198" s="29"/>
      <c r="AA1198" s="31">
        <f t="shared" si="1"/>
        <v>44708</v>
      </c>
      <c r="AB1198" s="32" t="str">
        <f t="shared" si="5"/>
        <v>mayo</v>
      </c>
    </row>
    <row r="1199" spans="1:28" ht="12.75">
      <c r="A1199" s="9" t="s">
        <v>233</v>
      </c>
      <c r="B1199" s="10">
        <v>44708</v>
      </c>
      <c r="C1199" s="11"/>
      <c r="D1199" s="53">
        <v>22</v>
      </c>
      <c r="E1199" s="13" t="s">
        <v>1654</v>
      </c>
      <c r="F1199" s="13">
        <v>3025459</v>
      </c>
      <c r="G1199" s="14">
        <v>7664</v>
      </c>
      <c r="H1199" s="33">
        <v>9350</v>
      </c>
      <c r="I1199" s="16">
        <f>H1199*G1199</f>
        <v>71658400</v>
      </c>
      <c r="J1199" s="17">
        <v>15</v>
      </c>
      <c r="K1199" s="34">
        <v>4502338066</v>
      </c>
      <c r="L1199" s="19">
        <v>5082073572</v>
      </c>
      <c r="M1199" s="20">
        <v>5113347418</v>
      </c>
      <c r="N1199" s="23"/>
      <c r="O1199" s="9" t="s">
        <v>37</v>
      </c>
      <c r="P1199" s="23" t="s">
        <v>1548</v>
      </c>
      <c r="Q1199" s="24" t="s">
        <v>31</v>
      </c>
      <c r="R1199" s="25">
        <v>44708</v>
      </c>
      <c r="S1199" s="28"/>
      <c r="T1199" s="35"/>
      <c r="U1199" s="35"/>
      <c r="V1199" s="29"/>
      <c r="W1199" s="35"/>
      <c r="X1199" s="29"/>
      <c r="Y1199" s="36"/>
      <c r="Z1199" s="29"/>
      <c r="AA1199" s="31">
        <f t="shared" si="1"/>
        <v>44708</v>
      </c>
      <c r="AB1199" s="32" t="str">
        <f t="shared" si="5"/>
        <v>mayo</v>
      </c>
    </row>
    <row r="1200" spans="1:28" ht="12.75">
      <c r="A1200" s="9" t="s">
        <v>233</v>
      </c>
      <c r="B1200" s="10">
        <v>44708</v>
      </c>
      <c r="C1200" s="11"/>
      <c r="D1200" s="53">
        <v>22</v>
      </c>
      <c r="E1200" s="13" t="s">
        <v>1655</v>
      </c>
      <c r="F1200" s="13">
        <v>3025459</v>
      </c>
      <c r="G1200" s="14">
        <v>7664</v>
      </c>
      <c r="H1200" s="33">
        <f>9350-9311.43</f>
        <v>38.569999999999709</v>
      </c>
      <c r="I1200" s="16">
        <f>-H1200*G1200</f>
        <v>-295600.47999999777</v>
      </c>
      <c r="J1200" s="17">
        <v>0</v>
      </c>
      <c r="K1200" s="34">
        <v>4502338066</v>
      </c>
      <c r="L1200" s="19">
        <v>5082073572</v>
      </c>
      <c r="M1200" s="20">
        <v>5113347419</v>
      </c>
      <c r="N1200" s="23"/>
      <c r="O1200" s="9"/>
      <c r="P1200" s="23"/>
      <c r="Q1200" s="24" t="s">
        <v>31</v>
      </c>
      <c r="R1200" s="25">
        <v>44708</v>
      </c>
      <c r="S1200" s="28"/>
      <c r="T1200" s="35"/>
      <c r="U1200" s="35"/>
      <c r="V1200" s="29"/>
      <c r="W1200" s="35"/>
      <c r="X1200" s="29"/>
      <c r="Y1200" s="36"/>
      <c r="Z1200" s="29"/>
      <c r="AA1200" s="31">
        <f t="shared" si="1"/>
        <v>44708</v>
      </c>
      <c r="AB1200" s="32" t="str">
        <f t="shared" si="5"/>
        <v>mayo</v>
      </c>
    </row>
    <row r="1201" spans="1:28" ht="12.75">
      <c r="A1201" s="9" t="s">
        <v>46</v>
      </c>
      <c r="B1201" s="10">
        <v>44712</v>
      </c>
      <c r="C1201" s="11">
        <v>44713</v>
      </c>
      <c r="D1201" s="53">
        <v>22</v>
      </c>
      <c r="E1201" s="13" t="s">
        <v>1656</v>
      </c>
      <c r="F1201" s="13">
        <v>3025459</v>
      </c>
      <c r="G1201" s="14">
        <v>6730</v>
      </c>
      <c r="H1201" s="33">
        <v>9400</v>
      </c>
      <c r="I1201" s="16">
        <f>H1201*G1201</f>
        <v>63262000</v>
      </c>
      <c r="J1201" s="17">
        <v>15</v>
      </c>
      <c r="K1201" s="34">
        <v>4502342159</v>
      </c>
      <c r="L1201" s="19">
        <v>5082095249</v>
      </c>
      <c r="M1201" s="20">
        <v>5113347420</v>
      </c>
      <c r="N1201" s="23"/>
      <c r="O1201" s="9" t="s">
        <v>37</v>
      </c>
      <c r="P1201" s="23"/>
      <c r="Q1201" s="24" t="s">
        <v>31</v>
      </c>
      <c r="R1201" s="25">
        <v>44708</v>
      </c>
      <c r="S1201" s="28"/>
      <c r="T1201" s="35"/>
      <c r="U1201" s="35"/>
      <c r="V1201" s="29"/>
      <c r="W1201" s="35"/>
      <c r="X1201" s="29"/>
      <c r="Y1201" s="36"/>
      <c r="Z1201" s="29"/>
      <c r="AA1201" s="31">
        <f t="shared" si="1"/>
        <v>44708</v>
      </c>
      <c r="AB1201" s="32" t="str">
        <f t="shared" si="5"/>
        <v>mayo</v>
      </c>
    </row>
    <row r="1202" spans="1:28" ht="12.75">
      <c r="A1202" s="9" t="s">
        <v>46</v>
      </c>
      <c r="B1202" s="10">
        <v>44712</v>
      </c>
      <c r="C1202" s="11">
        <v>44713</v>
      </c>
      <c r="D1202" s="53">
        <v>22</v>
      </c>
      <c r="E1202" s="13" t="s">
        <v>1657</v>
      </c>
      <c r="F1202" s="13">
        <v>3025459</v>
      </c>
      <c r="G1202" s="14">
        <v>6730</v>
      </c>
      <c r="H1202" s="33">
        <f>9400-9394.29</f>
        <v>5.7099999999991269</v>
      </c>
      <c r="I1202" s="16">
        <f>-H1202*G1202</f>
        <v>-38428.299999994124</v>
      </c>
      <c r="J1202" s="17">
        <v>0</v>
      </c>
      <c r="K1202" s="34">
        <v>4502342159</v>
      </c>
      <c r="L1202" s="19">
        <v>5082095249</v>
      </c>
      <c r="M1202" s="20">
        <v>5113347423</v>
      </c>
      <c r="N1202" s="23"/>
      <c r="O1202" s="9"/>
      <c r="P1202" s="23"/>
      <c r="Q1202" s="24" t="s">
        <v>31</v>
      </c>
      <c r="R1202" s="25">
        <v>44708</v>
      </c>
      <c r="S1202" s="28"/>
      <c r="T1202" s="35"/>
      <c r="U1202" s="35"/>
      <c r="V1202" s="29"/>
      <c r="W1202" s="35"/>
      <c r="X1202" s="29"/>
      <c r="Y1202" s="36"/>
      <c r="Z1202" s="29"/>
      <c r="AA1202" s="31">
        <f t="shared" si="1"/>
        <v>44708</v>
      </c>
      <c r="AB1202" s="32" t="str">
        <f t="shared" si="5"/>
        <v>mayo</v>
      </c>
    </row>
    <row r="1203" spans="1:28" ht="12.75">
      <c r="A1203" s="9" t="s">
        <v>983</v>
      </c>
      <c r="B1203" s="10">
        <v>44714</v>
      </c>
      <c r="C1203" s="11"/>
      <c r="D1203" s="53">
        <v>22</v>
      </c>
      <c r="E1203" s="13" t="s">
        <v>1658</v>
      </c>
      <c r="F1203" s="13">
        <v>3025457</v>
      </c>
      <c r="G1203" s="14">
        <v>13020</v>
      </c>
      <c r="H1203" s="15">
        <v>8650</v>
      </c>
      <c r="I1203" s="16">
        <f t="shared" ref="I1203:I1206" si="178">H1203*G1203</f>
        <v>112623000</v>
      </c>
      <c r="J1203" s="17">
        <v>28</v>
      </c>
      <c r="K1203" s="34">
        <v>4502341244</v>
      </c>
      <c r="L1203" s="19">
        <v>5082075593</v>
      </c>
      <c r="M1203" s="20">
        <v>5113349145</v>
      </c>
      <c r="N1203" s="23"/>
      <c r="O1203" s="22" t="s">
        <v>1659</v>
      </c>
      <c r="P1203" s="23"/>
      <c r="Q1203" s="24" t="s">
        <v>31</v>
      </c>
      <c r="R1203" s="25">
        <v>44708</v>
      </c>
      <c r="S1203" s="28">
        <v>4902277238</v>
      </c>
      <c r="T1203" s="35">
        <f>1152250*2</f>
        <v>2304500</v>
      </c>
      <c r="U1203" s="28" t="s">
        <v>1660</v>
      </c>
      <c r="V1203" s="29">
        <v>5113341783</v>
      </c>
      <c r="W1203" s="35"/>
      <c r="X1203" s="29"/>
      <c r="Y1203" s="36"/>
      <c r="Z1203" s="29"/>
      <c r="AA1203" s="31">
        <f t="shared" si="1"/>
        <v>44708</v>
      </c>
      <c r="AB1203" s="32" t="str">
        <f t="shared" si="5"/>
        <v>mayo</v>
      </c>
    </row>
    <row r="1204" spans="1:28" ht="12.75">
      <c r="A1204" s="9" t="s">
        <v>485</v>
      </c>
      <c r="B1204" s="10">
        <v>44708</v>
      </c>
      <c r="C1204" s="11">
        <v>44712</v>
      </c>
      <c r="D1204" s="53">
        <v>22</v>
      </c>
      <c r="E1204" s="13" t="s">
        <v>1661</v>
      </c>
      <c r="F1204" s="13">
        <v>3025457</v>
      </c>
      <c r="G1204" s="37">
        <v>6218.5</v>
      </c>
      <c r="H1204" s="33">
        <v>9500</v>
      </c>
      <c r="I1204" s="16">
        <f t="shared" si="178"/>
        <v>59075750</v>
      </c>
      <c r="J1204" s="17">
        <v>14</v>
      </c>
      <c r="K1204" s="34">
        <v>4502338069</v>
      </c>
      <c r="L1204" s="19">
        <v>5082073448</v>
      </c>
      <c r="M1204" s="20">
        <v>5113346143</v>
      </c>
      <c r="N1204" s="23"/>
      <c r="O1204" s="9" t="s">
        <v>313</v>
      </c>
      <c r="P1204" s="23"/>
      <c r="Q1204" s="24" t="s">
        <v>31</v>
      </c>
      <c r="R1204" s="25">
        <v>44708</v>
      </c>
      <c r="S1204" s="28"/>
      <c r="T1204" s="35"/>
      <c r="U1204" s="35"/>
      <c r="V1204" s="29"/>
      <c r="W1204" s="35"/>
      <c r="X1204" s="29"/>
      <c r="Y1204" s="36"/>
      <c r="Z1204" s="29"/>
      <c r="AA1204" s="31">
        <f t="shared" si="1"/>
        <v>44708</v>
      </c>
      <c r="AB1204" s="32" t="str">
        <f t="shared" si="5"/>
        <v>mayo</v>
      </c>
    </row>
    <row r="1205" spans="1:28" ht="12.75">
      <c r="A1205" s="9" t="s">
        <v>485</v>
      </c>
      <c r="B1205" s="10">
        <v>44712</v>
      </c>
      <c r="C1205" s="11">
        <v>44712</v>
      </c>
      <c r="D1205" s="53">
        <v>22</v>
      </c>
      <c r="E1205" s="13" t="s">
        <v>123</v>
      </c>
      <c r="F1205" s="13">
        <v>3025457</v>
      </c>
      <c r="G1205" s="37">
        <v>6218.5</v>
      </c>
      <c r="H1205" s="33">
        <v>93.61</v>
      </c>
      <c r="I1205" s="16">
        <f t="shared" si="178"/>
        <v>582113.78500000003</v>
      </c>
      <c r="J1205" s="17">
        <v>0</v>
      </c>
      <c r="K1205" s="34">
        <v>4502338069</v>
      </c>
      <c r="L1205" s="19">
        <v>5082073448</v>
      </c>
      <c r="M1205" s="20">
        <v>5113346145</v>
      </c>
      <c r="N1205" s="23"/>
      <c r="O1205" s="9"/>
      <c r="P1205" s="23" t="s">
        <v>1662</v>
      </c>
      <c r="Q1205" s="24" t="s">
        <v>31</v>
      </c>
      <c r="R1205" s="25">
        <v>44708</v>
      </c>
      <c r="S1205" s="28"/>
      <c r="T1205" s="35"/>
      <c r="U1205" s="35"/>
      <c r="V1205" s="29"/>
      <c r="W1205" s="35"/>
      <c r="X1205" s="29"/>
      <c r="Y1205" s="36"/>
      <c r="Z1205" s="29"/>
      <c r="AA1205" s="31">
        <f t="shared" si="1"/>
        <v>44708</v>
      </c>
      <c r="AB1205" s="32" t="str">
        <f t="shared" si="5"/>
        <v>mayo</v>
      </c>
    </row>
    <row r="1206" spans="1:28" ht="12.75">
      <c r="A1206" s="9" t="s">
        <v>1141</v>
      </c>
      <c r="B1206" s="10">
        <v>44713</v>
      </c>
      <c r="C1206" s="11"/>
      <c r="D1206" s="53">
        <v>22</v>
      </c>
      <c r="E1206" s="13" t="s">
        <v>1663</v>
      </c>
      <c r="F1206" s="13">
        <v>3025460</v>
      </c>
      <c r="G1206" s="14">
        <v>5421</v>
      </c>
      <c r="H1206" s="33">
        <v>9200</v>
      </c>
      <c r="I1206" s="16">
        <f t="shared" si="178"/>
        <v>49873200</v>
      </c>
      <c r="J1206" s="17">
        <v>13</v>
      </c>
      <c r="K1206" s="34">
        <v>4502338071</v>
      </c>
      <c r="L1206" s="19">
        <v>5082073214</v>
      </c>
      <c r="M1206" s="20">
        <v>5113347557</v>
      </c>
      <c r="N1206" s="23"/>
      <c r="O1206" s="9" t="s">
        <v>37</v>
      </c>
      <c r="P1206" s="23" t="s">
        <v>1611</v>
      </c>
      <c r="Q1206" s="24" t="s">
        <v>31</v>
      </c>
      <c r="R1206" s="25">
        <v>44708</v>
      </c>
      <c r="S1206" s="28"/>
      <c r="T1206" s="35"/>
      <c r="U1206" s="35"/>
      <c r="V1206" s="29"/>
      <c r="W1206" s="35"/>
      <c r="X1206" s="29"/>
      <c r="Y1206" s="36"/>
      <c r="Z1206" s="29"/>
      <c r="AA1206" s="31">
        <f t="shared" si="1"/>
        <v>44708</v>
      </c>
      <c r="AB1206" s="32" t="str">
        <f t="shared" si="5"/>
        <v>mayo</v>
      </c>
    </row>
    <row r="1207" spans="1:28" ht="12.75">
      <c r="A1207" s="9" t="s">
        <v>1141</v>
      </c>
      <c r="B1207" s="10">
        <v>44713</v>
      </c>
      <c r="C1207" s="11"/>
      <c r="D1207" s="53">
        <v>22</v>
      </c>
      <c r="E1207" s="13" t="s">
        <v>1664</v>
      </c>
      <c r="F1207" s="13">
        <v>3025460</v>
      </c>
      <c r="G1207" s="14">
        <v>5421</v>
      </c>
      <c r="H1207" s="33">
        <f>9200-9158.38</f>
        <v>41.6200000000008</v>
      </c>
      <c r="I1207" s="16">
        <f>-H1207*G1207</f>
        <v>-225622.02000000433</v>
      </c>
      <c r="J1207" s="17">
        <v>0</v>
      </c>
      <c r="K1207" s="34">
        <v>4502338071</v>
      </c>
      <c r="L1207" s="19">
        <v>5082073214</v>
      </c>
      <c r="M1207" s="20">
        <v>5113347559</v>
      </c>
      <c r="N1207" s="23"/>
      <c r="O1207" s="9"/>
      <c r="P1207" s="23"/>
      <c r="Q1207" s="24" t="s">
        <v>31</v>
      </c>
      <c r="R1207" s="25">
        <v>44708</v>
      </c>
      <c r="S1207" s="28"/>
      <c r="T1207" s="35"/>
      <c r="U1207" s="35"/>
      <c r="V1207" s="29"/>
      <c r="W1207" s="35"/>
      <c r="X1207" s="29"/>
      <c r="Y1207" s="36"/>
      <c r="Z1207" s="29"/>
      <c r="AA1207" s="31">
        <f t="shared" si="1"/>
        <v>44708</v>
      </c>
      <c r="AB1207" s="32" t="str">
        <f t="shared" si="5"/>
        <v>mayo</v>
      </c>
    </row>
    <row r="1208" spans="1:28" ht="12.75">
      <c r="A1208" s="22" t="s">
        <v>404</v>
      </c>
      <c r="B1208" s="10">
        <v>44709</v>
      </c>
      <c r="C1208" s="11">
        <v>44712</v>
      </c>
      <c r="D1208" s="53">
        <v>22</v>
      </c>
      <c r="E1208" s="13" t="s">
        <v>1665</v>
      </c>
      <c r="F1208" s="13">
        <v>3025460</v>
      </c>
      <c r="G1208" s="14">
        <v>28282</v>
      </c>
      <c r="H1208" s="33">
        <v>9700</v>
      </c>
      <c r="I1208" s="16">
        <f>H1208*G1208</f>
        <v>274335400</v>
      </c>
      <c r="J1208" s="17">
        <v>58</v>
      </c>
      <c r="K1208" s="34">
        <v>4502338073</v>
      </c>
      <c r="L1208" s="19">
        <v>5082064889</v>
      </c>
      <c r="M1208" s="20">
        <v>5113351751</v>
      </c>
      <c r="N1208" s="23"/>
      <c r="O1208" s="9" t="s">
        <v>313</v>
      </c>
      <c r="P1208" s="23" t="s">
        <v>1666</v>
      </c>
      <c r="Q1208" s="24" t="s">
        <v>31</v>
      </c>
      <c r="R1208" s="25">
        <v>44708</v>
      </c>
      <c r="S1208" s="28"/>
      <c r="T1208" s="35"/>
      <c r="U1208" s="35"/>
      <c r="V1208" s="29"/>
      <c r="W1208" s="35"/>
      <c r="X1208" s="29"/>
      <c r="Y1208" s="36"/>
      <c r="Z1208" s="29"/>
      <c r="AA1208" s="31">
        <f t="shared" si="1"/>
        <v>44708</v>
      </c>
      <c r="AB1208" s="32" t="str">
        <f t="shared" si="5"/>
        <v>mayo</v>
      </c>
    </row>
    <row r="1209" spans="1:28" ht="12.75">
      <c r="A1209" s="22" t="s">
        <v>404</v>
      </c>
      <c r="B1209" s="10">
        <v>44712</v>
      </c>
      <c r="C1209" s="11">
        <v>44712</v>
      </c>
      <c r="D1209" s="53">
        <v>22</v>
      </c>
      <c r="E1209" s="13" t="s">
        <v>48</v>
      </c>
      <c r="F1209" s="13">
        <v>3025460</v>
      </c>
      <c r="G1209" s="14">
        <v>28282</v>
      </c>
      <c r="H1209" s="33">
        <f>9700-9677.49</f>
        <v>22.510000000000218</v>
      </c>
      <c r="I1209" s="16">
        <f>-H1209*G1209</f>
        <v>-636627.82000000612</v>
      </c>
      <c r="J1209" s="17">
        <v>0</v>
      </c>
      <c r="K1209" s="34">
        <v>4502338073</v>
      </c>
      <c r="L1209" s="19">
        <v>5082064889</v>
      </c>
      <c r="M1209" s="20">
        <v>5113351754</v>
      </c>
      <c r="N1209" s="23"/>
      <c r="O1209" s="9"/>
      <c r="P1209" s="23"/>
      <c r="Q1209" s="24" t="s">
        <v>31</v>
      </c>
      <c r="R1209" s="25">
        <v>44708</v>
      </c>
      <c r="S1209" s="28"/>
      <c r="T1209" s="35"/>
      <c r="U1209" s="35"/>
      <c r="V1209" s="29"/>
      <c r="W1209" s="35"/>
      <c r="X1209" s="29"/>
      <c r="Y1209" s="36"/>
      <c r="Z1209" s="29"/>
      <c r="AA1209" s="31">
        <f t="shared" si="1"/>
        <v>44708</v>
      </c>
      <c r="AB1209" s="32" t="str">
        <f t="shared" si="5"/>
        <v>mayo</v>
      </c>
    </row>
    <row r="1210" spans="1:28" ht="12.75">
      <c r="A1210" s="22" t="s">
        <v>404</v>
      </c>
      <c r="B1210" s="10">
        <v>44709</v>
      </c>
      <c r="C1210" s="11">
        <v>44712</v>
      </c>
      <c r="D1210" s="53">
        <v>22</v>
      </c>
      <c r="E1210" s="13" t="s">
        <v>1667</v>
      </c>
      <c r="F1210" s="13">
        <v>3025460</v>
      </c>
      <c r="G1210" s="14">
        <v>6681.5</v>
      </c>
      <c r="H1210" s="33">
        <v>9700</v>
      </c>
      <c r="I1210" s="16">
        <f t="shared" ref="I1210:I1222" si="179">H1210*G1210</f>
        <v>64810550</v>
      </c>
      <c r="J1210" s="17">
        <v>43</v>
      </c>
      <c r="K1210" s="34">
        <v>4502338073</v>
      </c>
      <c r="L1210" s="19">
        <v>5082064889</v>
      </c>
      <c r="M1210" s="20">
        <v>5113351756</v>
      </c>
      <c r="N1210" s="23"/>
      <c r="O1210" s="9" t="s">
        <v>313</v>
      </c>
      <c r="P1210" s="23" t="s">
        <v>1666</v>
      </c>
      <c r="Q1210" s="24" t="s">
        <v>31</v>
      </c>
      <c r="R1210" s="25">
        <v>44708</v>
      </c>
      <c r="S1210" s="28"/>
      <c r="T1210" s="35"/>
      <c r="U1210" s="35"/>
      <c r="V1210" s="29"/>
      <c r="W1210" s="35"/>
      <c r="X1210" s="29"/>
      <c r="Y1210" s="36"/>
      <c r="Z1210" s="29"/>
      <c r="AA1210" s="31">
        <f t="shared" si="1"/>
        <v>44708</v>
      </c>
      <c r="AB1210" s="32" t="str">
        <f t="shared" si="5"/>
        <v>mayo</v>
      </c>
    </row>
    <row r="1211" spans="1:28" ht="12.75">
      <c r="A1211" s="22" t="s">
        <v>996</v>
      </c>
      <c r="B1211" s="10">
        <v>44708</v>
      </c>
      <c r="C1211" s="11">
        <v>44713</v>
      </c>
      <c r="D1211" s="53">
        <v>22</v>
      </c>
      <c r="E1211" s="13" t="s">
        <v>1668</v>
      </c>
      <c r="F1211" s="13">
        <v>3025460</v>
      </c>
      <c r="G1211" s="14">
        <v>6170</v>
      </c>
      <c r="H1211" s="33">
        <v>9600</v>
      </c>
      <c r="I1211" s="16">
        <f t="shared" si="179"/>
        <v>59232000</v>
      </c>
      <c r="J1211" s="17">
        <v>14</v>
      </c>
      <c r="K1211" s="34">
        <v>4502338074</v>
      </c>
      <c r="L1211" s="19">
        <v>5082073215</v>
      </c>
      <c r="M1211" s="20">
        <v>5113346237</v>
      </c>
      <c r="N1211" s="23"/>
      <c r="O1211" s="23" t="s">
        <v>37</v>
      </c>
      <c r="P1211" s="23"/>
      <c r="Q1211" s="24" t="s">
        <v>31</v>
      </c>
      <c r="R1211" s="25">
        <v>44708</v>
      </c>
      <c r="S1211" s="28"/>
      <c r="T1211" s="35"/>
      <c r="U1211" s="35"/>
      <c r="V1211" s="29"/>
      <c r="W1211" s="35"/>
      <c r="X1211" s="29"/>
      <c r="Y1211" s="36"/>
      <c r="Z1211" s="29"/>
      <c r="AA1211" s="31">
        <f t="shared" si="1"/>
        <v>44708</v>
      </c>
      <c r="AB1211" s="32" t="str">
        <f t="shared" si="5"/>
        <v>mayo</v>
      </c>
    </row>
    <row r="1212" spans="1:28" ht="12.75">
      <c r="A1212" s="9" t="s">
        <v>58</v>
      </c>
      <c r="B1212" s="10">
        <v>44712</v>
      </c>
      <c r="C1212" s="11">
        <v>44712</v>
      </c>
      <c r="D1212" s="53">
        <v>22</v>
      </c>
      <c r="E1212" s="13" t="s">
        <v>1669</v>
      </c>
      <c r="F1212" s="13">
        <v>3025460</v>
      </c>
      <c r="G1212" s="14">
        <v>29842</v>
      </c>
      <c r="H1212" s="33">
        <v>9700</v>
      </c>
      <c r="I1212" s="16">
        <f t="shared" si="179"/>
        <v>289467400</v>
      </c>
      <c r="J1212" s="17">
        <v>60</v>
      </c>
      <c r="K1212" s="34">
        <v>4502338075</v>
      </c>
      <c r="L1212" s="19">
        <v>5082073216</v>
      </c>
      <c r="M1212" s="20">
        <v>5113346626</v>
      </c>
      <c r="N1212" s="23"/>
      <c r="O1212" s="9" t="s">
        <v>37</v>
      </c>
      <c r="P1212" s="23"/>
      <c r="Q1212" s="24" t="s">
        <v>31</v>
      </c>
      <c r="R1212" s="25">
        <v>44708</v>
      </c>
      <c r="S1212" s="28"/>
      <c r="T1212" s="35"/>
      <c r="U1212" s="35"/>
      <c r="V1212" s="29"/>
      <c r="W1212" s="35"/>
      <c r="X1212" s="29"/>
      <c r="Y1212" s="36"/>
      <c r="Z1212" s="29"/>
      <c r="AA1212" s="31">
        <f t="shared" si="1"/>
        <v>44708</v>
      </c>
      <c r="AB1212" s="32" t="str">
        <f t="shared" si="5"/>
        <v>mayo</v>
      </c>
    </row>
    <row r="1213" spans="1:28" ht="12.75">
      <c r="A1213" s="9" t="s">
        <v>58</v>
      </c>
      <c r="B1213" s="10">
        <v>44712</v>
      </c>
      <c r="C1213" s="11">
        <v>44712</v>
      </c>
      <c r="D1213" s="53">
        <v>22</v>
      </c>
      <c r="E1213" s="13" t="s">
        <v>1670</v>
      </c>
      <c r="F1213" s="13">
        <v>3025460</v>
      </c>
      <c r="G1213" s="37">
        <v>7647.5</v>
      </c>
      <c r="H1213" s="33">
        <v>9700</v>
      </c>
      <c r="I1213" s="16">
        <f t="shared" si="179"/>
        <v>74180750</v>
      </c>
      <c r="J1213" s="17">
        <v>15</v>
      </c>
      <c r="K1213" s="34">
        <v>4502338075</v>
      </c>
      <c r="L1213" s="19">
        <v>5082073216</v>
      </c>
      <c r="M1213" s="20">
        <v>5113346694</v>
      </c>
      <c r="N1213" s="23"/>
      <c r="O1213" s="9" t="s">
        <v>37</v>
      </c>
      <c r="P1213" s="23" t="s">
        <v>1671</v>
      </c>
      <c r="Q1213" s="24" t="s">
        <v>31</v>
      </c>
      <c r="R1213" s="25">
        <v>44708</v>
      </c>
      <c r="S1213" s="28"/>
      <c r="T1213" s="35"/>
      <c r="U1213" s="35"/>
      <c r="V1213" s="29"/>
      <c r="W1213" s="35"/>
      <c r="X1213" s="29"/>
      <c r="Y1213" s="36"/>
      <c r="Z1213" s="29"/>
      <c r="AA1213" s="31">
        <f t="shared" si="1"/>
        <v>44708</v>
      </c>
      <c r="AB1213" s="32" t="str">
        <f t="shared" si="5"/>
        <v>mayo</v>
      </c>
    </row>
    <row r="1214" spans="1:28" ht="12.75">
      <c r="A1214" s="9" t="s">
        <v>28</v>
      </c>
      <c r="B1214" s="10">
        <v>44712</v>
      </c>
      <c r="C1214" s="11">
        <v>44712</v>
      </c>
      <c r="D1214" s="53">
        <v>22</v>
      </c>
      <c r="E1214" s="13" t="s">
        <v>1672</v>
      </c>
      <c r="F1214" s="13">
        <v>3025461</v>
      </c>
      <c r="G1214" s="14">
        <v>31968</v>
      </c>
      <c r="H1214" s="15">
        <v>8450</v>
      </c>
      <c r="I1214" s="16">
        <f t="shared" si="179"/>
        <v>270129600</v>
      </c>
      <c r="J1214" s="17">
        <v>70</v>
      </c>
      <c r="K1214" s="34">
        <v>4502340897</v>
      </c>
      <c r="L1214" s="19">
        <v>5082071155</v>
      </c>
      <c r="M1214" s="20">
        <v>5113342421</v>
      </c>
      <c r="N1214" s="44" t="s">
        <v>37</v>
      </c>
      <c r="O1214" s="22" t="s">
        <v>1673</v>
      </c>
      <c r="P1214" s="23"/>
      <c r="Q1214" s="24" t="s">
        <v>1408</v>
      </c>
      <c r="R1214" s="25">
        <v>44708</v>
      </c>
      <c r="S1214" s="34">
        <v>4502340897</v>
      </c>
      <c r="T1214" s="35">
        <f>3039600*5</f>
        <v>15198000</v>
      </c>
      <c r="U1214" s="28" t="s">
        <v>1674</v>
      </c>
      <c r="V1214" s="29">
        <v>5113341799</v>
      </c>
      <c r="W1214" s="35"/>
      <c r="X1214" s="29"/>
      <c r="Y1214" s="36"/>
      <c r="Z1214" s="29"/>
      <c r="AA1214" s="31">
        <f t="shared" si="1"/>
        <v>44708</v>
      </c>
      <c r="AB1214" s="32" t="str">
        <f t="shared" si="5"/>
        <v>mayo</v>
      </c>
    </row>
    <row r="1215" spans="1:28" ht="12.75">
      <c r="A1215" s="22" t="s">
        <v>428</v>
      </c>
      <c r="B1215" s="10">
        <v>44712</v>
      </c>
      <c r="C1215" s="11">
        <v>44712</v>
      </c>
      <c r="D1215" s="53">
        <v>22</v>
      </c>
      <c r="E1215" s="13" t="s">
        <v>1675</v>
      </c>
      <c r="F1215" s="13">
        <v>3025461</v>
      </c>
      <c r="G1215" s="14">
        <v>6530</v>
      </c>
      <c r="H1215" s="33">
        <v>9650</v>
      </c>
      <c r="I1215" s="16">
        <f t="shared" si="179"/>
        <v>63014500</v>
      </c>
      <c r="J1215" s="17">
        <v>14</v>
      </c>
      <c r="K1215" s="34">
        <v>4502338076</v>
      </c>
      <c r="L1215" s="19">
        <v>5082072480</v>
      </c>
      <c r="M1215" s="20">
        <v>5113346334</v>
      </c>
      <c r="N1215" s="23"/>
      <c r="O1215" s="9" t="s">
        <v>63</v>
      </c>
      <c r="P1215" s="23" t="s">
        <v>1548</v>
      </c>
      <c r="Q1215" s="24" t="s">
        <v>1408</v>
      </c>
      <c r="R1215" s="25">
        <v>44708</v>
      </c>
      <c r="S1215" s="28"/>
      <c r="T1215" s="35"/>
      <c r="U1215" s="35"/>
      <c r="V1215" s="29"/>
      <c r="W1215" s="35"/>
      <c r="X1215" s="29"/>
      <c r="Y1215" s="36"/>
      <c r="Z1215" s="29"/>
      <c r="AA1215" s="31">
        <f t="shared" si="1"/>
        <v>44708</v>
      </c>
      <c r="AB1215" s="32" t="str">
        <f t="shared" si="5"/>
        <v>mayo</v>
      </c>
    </row>
    <row r="1216" spans="1:28" ht="12.75">
      <c r="A1216" s="9" t="s">
        <v>85</v>
      </c>
      <c r="B1216" s="10">
        <v>44708</v>
      </c>
      <c r="C1216" s="11">
        <v>44712</v>
      </c>
      <c r="D1216" s="53">
        <v>22</v>
      </c>
      <c r="E1216" s="13" t="s">
        <v>1676</v>
      </c>
      <c r="F1216" s="13">
        <v>3025457</v>
      </c>
      <c r="G1216" s="14">
        <v>26799</v>
      </c>
      <c r="H1216" s="33">
        <v>9300</v>
      </c>
      <c r="I1216" s="16">
        <f t="shared" si="179"/>
        <v>249230700</v>
      </c>
      <c r="J1216" s="17">
        <v>56</v>
      </c>
      <c r="K1216" s="34">
        <v>4502338077</v>
      </c>
      <c r="L1216" s="19">
        <v>5082075422</v>
      </c>
      <c r="M1216" s="20">
        <v>5113346335</v>
      </c>
      <c r="N1216" s="23"/>
      <c r="O1216" s="23" t="s">
        <v>63</v>
      </c>
      <c r="P1216" s="23"/>
      <c r="Q1216" s="24" t="s">
        <v>82</v>
      </c>
      <c r="R1216" s="25">
        <v>44708</v>
      </c>
      <c r="S1216" s="28"/>
      <c r="T1216" s="35"/>
      <c r="U1216" s="35"/>
      <c r="V1216" s="29"/>
      <c r="W1216" s="35"/>
      <c r="X1216" s="29"/>
      <c r="Y1216" s="36"/>
      <c r="Z1216" s="29"/>
      <c r="AA1216" s="31">
        <f t="shared" si="1"/>
        <v>44708</v>
      </c>
      <c r="AB1216" s="32" t="str">
        <f t="shared" si="5"/>
        <v>mayo</v>
      </c>
    </row>
    <row r="1217" spans="1:28" ht="12.75">
      <c r="A1217" s="9" t="s">
        <v>318</v>
      </c>
      <c r="B1217" s="10">
        <v>44713</v>
      </c>
      <c r="C1217" s="11"/>
      <c r="D1217" s="53">
        <v>22</v>
      </c>
      <c r="E1217" s="13" t="s">
        <v>1677</v>
      </c>
      <c r="F1217" s="13">
        <v>3025457</v>
      </c>
      <c r="G1217" s="14">
        <v>14612</v>
      </c>
      <c r="H1217" s="33">
        <v>9300</v>
      </c>
      <c r="I1217" s="16">
        <f t="shared" si="179"/>
        <v>135891600</v>
      </c>
      <c r="J1217" s="17">
        <v>28</v>
      </c>
      <c r="K1217" s="34">
        <v>4502338078</v>
      </c>
      <c r="L1217" s="19">
        <v>5082075502</v>
      </c>
      <c r="M1217" s="20">
        <v>5113347432</v>
      </c>
      <c r="N1217" s="23"/>
      <c r="O1217" s="23" t="s">
        <v>63</v>
      </c>
      <c r="P1217" s="23"/>
      <c r="Q1217" s="24" t="s">
        <v>82</v>
      </c>
      <c r="R1217" s="25">
        <v>44708</v>
      </c>
      <c r="S1217" s="28"/>
      <c r="T1217" s="35"/>
      <c r="U1217" s="35"/>
      <c r="V1217" s="29"/>
      <c r="W1217" s="35"/>
      <c r="X1217" s="29"/>
      <c r="Y1217" s="36"/>
      <c r="Z1217" s="29"/>
      <c r="AA1217" s="31">
        <f t="shared" si="1"/>
        <v>44708</v>
      </c>
      <c r="AB1217" s="32" t="str">
        <f t="shared" si="5"/>
        <v>mayo</v>
      </c>
    </row>
    <row r="1218" spans="1:28" ht="12.75">
      <c r="A1218" s="9" t="s">
        <v>83</v>
      </c>
      <c r="B1218" s="10">
        <v>44708</v>
      </c>
      <c r="C1218" s="11">
        <v>44712</v>
      </c>
      <c r="D1218" s="53">
        <v>22</v>
      </c>
      <c r="E1218" s="13" t="s">
        <v>1678</v>
      </c>
      <c r="F1218" s="13">
        <v>3025457</v>
      </c>
      <c r="G1218" s="14">
        <v>27340</v>
      </c>
      <c r="H1218" s="15">
        <v>9250</v>
      </c>
      <c r="I1218" s="16">
        <f t="shared" si="179"/>
        <v>252895000</v>
      </c>
      <c r="J1218" s="17">
        <v>56</v>
      </c>
      <c r="K1218" s="34">
        <v>4502341245</v>
      </c>
      <c r="L1218" s="19">
        <v>5082075728</v>
      </c>
      <c r="M1218" s="20">
        <v>5113347436</v>
      </c>
      <c r="N1218" s="44" t="s">
        <v>382</v>
      </c>
      <c r="O1218" s="22" t="s">
        <v>1679</v>
      </c>
      <c r="P1218" s="86" t="s">
        <v>1680</v>
      </c>
      <c r="Q1218" s="24" t="s">
        <v>82</v>
      </c>
      <c r="R1218" s="25">
        <v>44708</v>
      </c>
      <c r="S1218" s="28">
        <v>4502341245</v>
      </c>
      <c r="T1218" s="28">
        <v>2948600</v>
      </c>
      <c r="U1218" s="28" t="s">
        <v>1681</v>
      </c>
      <c r="V1218" s="29">
        <v>5113346160</v>
      </c>
      <c r="W1218" s="28" t="s">
        <v>1682</v>
      </c>
      <c r="X1218" s="29">
        <v>5113346161</v>
      </c>
      <c r="Y1218" s="30" t="s">
        <v>1683</v>
      </c>
      <c r="Z1218" s="29">
        <v>5113346465</v>
      </c>
      <c r="AA1218" s="31">
        <f t="shared" si="1"/>
        <v>44708</v>
      </c>
      <c r="AB1218" s="32" t="str">
        <f t="shared" si="5"/>
        <v>mayo</v>
      </c>
    </row>
    <row r="1219" spans="1:28" ht="12.75">
      <c r="A1219" s="9" t="s">
        <v>196</v>
      </c>
      <c r="B1219" s="10">
        <v>44708</v>
      </c>
      <c r="C1219" s="11"/>
      <c r="D1219" s="53">
        <v>22</v>
      </c>
      <c r="E1219" s="13" t="s">
        <v>1684</v>
      </c>
      <c r="F1219" s="13">
        <v>3025457</v>
      </c>
      <c r="G1219" s="14">
        <v>20688</v>
      </c>
      <c r="H1219" s="33">
        <v>9300</v>
      </c>
      <c r="I1219" s="16">
        <f t="shared" si="179"/>
        <v>192398400</v>
      </c>
      <c r="J1219" s="17">
        <v>42</v>
      </c>
      <c r="K1219" s="34">
        <v>4502338081</v>
      </c>
      <c r="L1219" s="19">
        <v>5082075737</v>
      </c>
      <c r="M1219" s="20">
        <v>5113358042</v>
      </c>
      <c r="N1219" s="23"/>
      <c r="O1219" s="9"/>
      <c r="P1219" s="9" t="s">
        <v>63</v>
      </c>
      <c r="Q1219" s="24" t="s">
        <v>82</v>
      </c>
      <c r="R1219" s="25">
        <v>44708</v>
      </c>
      <c r="S1219" s="28"/>
      <c r="T1219" s="35"/>
      <c r="U1219" s="35"/>
      <c r="V1219" s="29"/>
      <c r="W1219" s="35"/>
      <c r="X1219" s="29"/>
      <c r="Y1219" s="36"/>
      <c r="Z1219" s="29"/>
      <c r="AA1219" s="31">
        <f t="shared" si="1"/>
        <v>44708</v>
      </c>
      <c r="AB1219" s="32" t="str">
        <f t="shared" si="5"/>
        <v>mayo</v>
      </c>
    </row>
    <row r="1220" spans="1:28" ht="12.75">
      <c r="A1220" s="9" t="s">
        <v>199</v>
      </c>
      <c r="B1220" s="10">
        <v>44708</v>
      </c>
      <c r="C1220" s="11">
        <v>44713</v>
      </c>
      <c r="D1220" s="53">
        <v>22</v>
      </c>
      <c r="E1220" s="13" t="s">
        <v>1685</v>
      </c>
      <c r="F1220" s="13">
        <v>3025457</v>
      </c>
      <c r="G1220" s="14">
        <v>15408</v>
      </c>
      <c r="H1220" s="33">
        <v>9350</v>
      </c>
      <c r="I1220" s="16">
        <f t="shared" si="179"/>
        <v>144064800</v>
      </c>
      <c r="J1220" s="17">
        <v>30</v>
      </c>
      <c r="K1220" s="34">
        <v>4502338082</v>
      </c>
      <c r="L1220" s="19">
        <v>5082075813</v>
      </c>
      <c r="M1220" s="20">
        <v>5113346330</v>
      </c>
      <c r="N1220" s="23"/>
      <c r="O1220" s="23" t="s">
        <v>63</v>
      </c>
      <c r="P1220" s="23"/>
      <c r="Q1220" s="24" t="s">
        <v>82</v>
      </c>
      <c r="R1220" s="25">
        <v>44708</v>
      </c>
      <c r="S1220" s="28"/>
      <c r="T1220" s="35"/>
      <c r="U1220" s="35"/>
      <c r="V1220" s="29"/>
      <c r="W1220" s="35"/>
      <c r="X1220" s="29"/>
      <c r="Y1220" s="36"/>
      <c r="Z1220" s="29"/>
      <c r="AA1220" s="31">
        <f t="shared" si="1"/>
        <v>44708</v>
      </c>
      <c r="AB1220" s="32" t="str">
        <f t="shared" si="5"/>
        <v>mayo</v>
      </c>
    </row>
    <row r="1221" spans="1:28" ht="12.75">
      <c r="A1221" s="9" t="s">
        <v>80</v>
      </c>
      <c r="B1221" s="10">
        <v>44708</v>
      </c>
      <c r="C1221" s="11">
        <v>44713</v>
      </c>
      <c r="D1221" s="53">
        <v>22</v>
      </c>
      <c r="E1221" s="13" t="s">
        <v>1686</v>
      </c>
      <c r="F1221" s="13">
        <v>3025457</v>
      </c>
      <c r="G1221" s="14">
        <v>19637</v>
      </c>
      <c r="H1221" s="33">
        <v>9300</v>
      </c>
      <c r="I1221" s="16">
        <f t="shared" si="179"/>
        <v>182624100</v>
      </c>
      <c r="J1221" s="17">
        <v>42</v>
      </c>
      <c r="K1221" s="34">
        <v>4502338083</v>
      </c>
      <c r="L1221" s="19">
        <v>5082075908</v>
      </c>
      <c r="M1221" s="20">
        <v>5113347450</v>
      </c>
      <c r="N1221" s="23"/>
      <c r="O1221" s="9" t="s">
        <v>37</v>
      </c>
      <c r="P1221" s="23"/>
      <c r="Q1221" s="24" t="s">
        <v>82</v>
      </c>
      <c r="R1221" s="25">
        <v>44708</v>
      </c>
      <c r="S1221" s="28"/>
      <c r="T1221" s="35"/>
      <c r="U1221" s="35"/>
      <c r="V1221" s="29"/>
      <c r="W1221" s="35"/>
      <c r="X1221" s="29"/>
      <c r="Y1221" s="36"/>
      <c r="Z1221" s="29"/>
      <c r="AA1221" s="31">
        <f t="shared" si="1"/>
        <v>44708</v>
      </c>
      <c r="AB1221" s="32" t="str">
        <f t="shared" si="5"/>
        <v>mayo</v>
      </c>
    </row>
    <row r="1222" spans="1:28" ht="12.75">
      <c r="A1222" s="9" t="s">
        <v>1102</v>
      </c>
      <c r="B1222" s="10">
        <v>44713</v>
      </c>
      <c r="C1222" s="11">
        <v>44713</v>
      </c>
      <c r="D1222" s="53">
        <v>22</v>
      </c>
      <c r="E1222" s="13" t="s">
        <v>1687</v>
      </c>
      <c r="F1222" s="13">
        <v>3025457</v>
      </c>
      <c r="G1222" s="37">
        <v>12153.5</v>
      </c>
      <c r="H1222" s="33">
        <v>9500</v>
      </c>
      <c r="I1222" s="16">
        <f t="shared" si="179"/>
        <v>115458250</v>
      </c>
      <c r="J1222" s="17">
        <v>30</v>
      </c>
      <c r="K1222" s="34">
        <v>4502338084</v>
      </c>
      <c r="L1222" s="19">
        <v>5082073422</v>
      </c>
      <c r="M1222" s="20">
        <v>5113347451</v>
      </c>
      <c r="N1222" s="23"/>
      <c r="O1222" s="9" t="s">
        <v>37</v>
      </c>
      <c r="P1222" s="23" t="s">
        <v>1662</v>
      </c>
      <c r="Q1222" s="24" t="s">
        <v>31</v>
      </c>
      <c r="R1222" s="25">
        <v>44709</v>
      </c>
      <c r="S1222" s="28"/>
      <c r="T1222" s="35"/>
      <c r="U1222" s="35"/>
      <c r="V1222" s="29"/>
      <c r="W1222" s="35"/>
      <c r="X1222" s="29"/>
      <c r="Y1222" s="36"/>
      <c r="Z1222" s="29"/>
      <c r="AA1222" s="31">
        <f t="shared" si="1"/>
        <v>44709</v>
      </c>
      <c r="AB1222" s="32" t="str">
        <f t="shared" si="5"/>
        <v>mayo</v>
      </c>
    </row>
    <row r="1223" spans="1:28" ht="12.75">
      <c r="A1223" s="9" t="s">
        <v>1102</v>
      </c>
      <c r="B1223" s="10">
        <v>44713</v>
      </c>
      <c r="C1223" s="11">
        <v>44713</v>
      </c>
      <c r="D1223" s="53">
        <v>22</v>
      </c>
      <c r="E1223" s="13" t="s">
        <v>1688</v>
      </c>
      <c r="F1223" s="13">
        <v>3025457</v>
      </c>
      <c r="G1223" s="37">
        <v>12153.5</v>
      </c>
      <c r="H1223" s="33">
        <f>9500-9460.81</f>
        <v>39.190000000000509</v>
      </c>
      <c r="I1223" s="16">
        <f>-H1223*G1223</f>
        <v>-476295.66500000621</v>
      </c>
      <c r="J1223" s="17">
        <v>0</v>
      </c>
      <c r="K1223" s="34">
        <v>4502338084</v>
      </c>
      <c r="L1223" s="19">
        <v>5082073422</v>
      </c>
      <c r="M1223" s="20">
        <v>5113347453</v>
      </c>
      <c r="N1223" s="23"/>
      <c r="O1223" s="9"/>
      <c r="P1223" s="23"/>
      <c r="Q1223" s="24" t="s">
        <v>31</v>
      </c>
      <c r="R1223" s="25">
        <v>44709</v>
      </c>
      <c r="S1223" s="28"/>
      <c r="T1223" s="35"/>
      <c r="U1223" s="35"/>
      <c r="V1223" s="29"/>
      <c r="W1223" s="35"/>
      <c r="X1223" s="29"/>
      <c r="Y1223" s="36"/>
      <c r="Z1223" s="29"/>
      <c r="AA1223" s="31">
        <f t="shared" si="1"/>
        <v>44709</v>
      </c>
      <c r="AB1223" s="32" t="str">
        <f t="shared" si="5"/>
        <v>mayo</v>
      </c>
    </row>
    <row r="1224" spans="1:28" ht="12.75">
      <c r="A1224" s="22" t="s">
        <v>404</v>
      </c>
      <c r="B1224" s="10">
        <v>44709</v>
      </c>
      <c r="C1224" s="11">
        <v>44712</v>
      </c>
      <c r="D1224" s="53">
        <v>22</v>
      </c>
      <c r="E1224" s="13" t="s">
        <v>1667</v>
      </c>
      <c r="F1224" s="13">
        <v>3025457</v>
      </c>
      <c r="G1224" s="14">
        <v>13385.5</v>
      </c>
      <c r="H1224" s="33">
        <v>9700</v>
      </c>
      <c r="I1224" s="16">
        <f t="shared" ref="I1224:I1225" si="180">H1224*G1224</f>
        <v>129839350</v>
      </c>
      <c r="J1224" s="17">
        <v>28</v>
      </c>
      <c r="K1224" s="34">
        <v>4502338085</v>
      </c>
      <c r="L1224" s="19">
        <v>5082064889</v>
      </c>
      <c r="M1224" s="20">
        <v>5113351756</v>
      </c>
      <c r="N1224" s="23"/>
      <c r="O1224" s="9" t="s">
        <v>313</v>
      </c>
      <c r="P1224" s="23"/>
      <c r="Q1224" s="24" t="s">
        <v>31</v>
      </c>
      <c r="R1224" s="25">
        <v>44709</v>
      </c>
      <c r="S1224" s="28"/>
      <c r="T1224" s="35"/>
      <c r="U1224" s="35"/>
      <c r="V1224" s="29"/>
      <c r="W1224" s="35"/>
      <c r="X1224" s="29"/>
      <c r="Y1224" s="36"/>
      <c r="Z1224" s="29"/>
      <c r="AA1224" s="31">
        <f t="shared" si="1"/>
        <v>44709</v>
      </c>
      <c r="AB1224" s="32" t="str">
        <f t="shared" si="5"/>
        <v>mayo</v>
      </c>
    </row>
    <row r="1225" spans="1:28" ht="12.75">
      <c r="A1225" s="9" t="s">
        <v>58</v>
      </c>
      <c r="B1225" s="10">
        <v>44713</v>
      </c>
      <c r="C1225" s="11">
        <v>44713</v>
      </c>
      <c r="D1225" s="53">
        <v>22</v>
      </c>
      <c r="E1225" s="13" t="s">
        <v>1689</v>
      </c>
      <c r="F1225" s="13">
        <v>3025460</v>
      </c>
      <c r="G1225" s="14">
        <v>46050</v>
      </c>
      <c r="H1225" s="33">
        <v>9700</v>
      </c>
      <c r="I1225" s="16">
        <f t="shared" si="180"/>
        <v>446685000</v>
      </c>
      <c r="J1225" s="17">
        <v>107</v>
      </c>
      <c r="K1225" s="34">
        <v>4502338087</v>
      </c>
      <c r="L1225" s="19">
        <v>5082073423</v>
      </c>
      <c r="M1225" s="20">
        <v>5113355155</v>
      </c>
      <c r="N1225" s="23"/>
      <c r="O1225" s="9" t="s">
        <v>37</v>
      </c>
      <c r="P1225" s="23"/>
      <c r="Q1225" s="24" t="s">
        <v>31</v>
      </c>
      <c r="R1225" s="25">
        <v>44709</v>
      </c>
      <c r="S1225" s="28"/>
      <c r="T1225" s="35"/>
      <c r="U1225" s="35"/>
      <c r="V1225" s="29"/>
      <c r="W1225" s="35"/>
      <c r="X1225" s="29"/>
      <c r="Y1225" s="36"/>
      <c r="Z1225" s="29"/>
      <c r="AA1225" s="31">
        <f t="shared" si="1"/>
        <v>44709</v>
      </c>
      <c r="AB1225" s="32" t="str">
        <f t="shared" si="5"/>
        <v>mayo</v>
      </c>
    </row>
    <row r="1226" spans="1:28" ht="12.75">
      <c r="A1226" s="9" t="s">
        <v>58</v>
      </c>
      <c r="B1226" s="10">
        <v>44713</v>
      </c>
      <c r="C1226" s="11">
        <v>44713</v>
      </c>
      <c r="D1226" s="53">
        <v>22</v>
      </c>
      <c r="E1226" s="13" t="s">
        <v>1690</v>
      </c>
      <c r="F1226" s="13">
        <v>3025460</v>
      </c>
      <c r="G1226" s="14">
        <v>46050</v>
      </c>
      <c r="H1226" s="33">
        <f>9700-9687.81</f>
        <v>12.190000000000509</v>
      </c>
      <c r="I1226" s="16">
        <f>-H1226*G1226</f>
        <v>-561349.5000000234</v>
      </c>
      <c r="J1226" s="17">
        <v>0</v>
      </c>
      <c r="K1226" s="34">
        <v>4502338087</v>
      </c>
      <c r="L1226" s="19">
        <v>5082073423</v>
      </c>
      <c r="M1226" s="20">
        <v>5113355156</v>
      </c>
      <c r="N1226" s="23"/>
      <c r="O1226" s="9"/>
      <c r="P1226" s="23"/>
      <c r="Q1226" s="24" t="s">
        <v>31</v>
      </c>
      <c r="R1226" s="25">
        <v>44709</v>
      </c>
      <c r="S1226" s="28"/>
      <c r="T1226" s="35"/>
      <c r="U1226" s="35"/>
      <c r="V1226" s="29"/>
      <c r="W1226" s="35"/>
      <c r="X1226" s="29"/>
      <c r="Y1226" s="36"/>
      <c r="Z1226" s="29"/>
      <c r="AA1226" s="31">
        <f t="shared" si="1"/>
        <v>44709</v>
      </c>
      <c r="AB1226" s="32" t="str">
        <f t="shared" si="5"/>
        <v>mayo</v>
      </c>
    </row>
    <row r="1227" spans="1:28" ht="12.75">
      <c r="A1227" s="9" t="s">
        <v>348</v>
      </c>
      <c r="B1227" s="10">
        <v>44714</v>
      </c>
      <c r="C1227" s="11">
        <v>44714</v>
      </c>
      <c r="D1227" s="53">
        <v>22</v>
      </c>
      <c r="E1227" s="13" t="s">
        <v>1691</v>
      </c>
      <c r="F1227" s="13">
        <v>3025457</v>
      </c>
      <c r="G1227" s="37">
        <v>6528.5</v>
      </c>
      <c r="H1227" s="33">
        <v>9200</v>
      </c>
      <c r="I1227" s="16">
        <f>H1227*G1227</f>
        <v>60062200</v>
      </c>
      <c r="J1227" s="17">
        <v>15</v>
      </c>
      <c r="K1227" s="34">
        <v>4502338088</v>
      </c>
      <c r="L1227" s="19">
        <v>5082073348</v>
      </c>
      <c r="M1227" s="20">
        <v>5113348335</v>
      </c>
      <c r="N1227" s="44"/>
      <c r="O1227" s="9"/>
      <c r="P1227" s="23"/>
      <c r="Q1227" s="24" t="s">
        <v>31</v>
      </c>
      <c r="R1227" s="25">
        <v>44710</v>
      </c>
      <c r="S1227" s="28"/>
      <c r="T1227" s="35"/>
      <c r="U1227" s="35"/>
      <c r="V1227" s="29"/>
      <c r="W1227" s="35"/>
      <c r="X1227" s="29"/>
      <c r="Y1227" s="36"/>
      <c r="Z1227" s="29"/>
      <c r="AA1227" s="31">
        <f t="shared" si="1"/>
        <v>44710</v>
      </c>
      <c r="AB1227" s="32" t="str">
        <f t="shared" si="5"/>
        <v>mayo</v>
      </c>
    </row>
    <row r="1228" spans="1:28" ht="12.75">
      <c r="A1228" s="22" t="s">
        <v>404</v>
      </c>
      <c r="B1228" s="10">
        <v>44712</v>
      </c>
      <c r="C1228" s="11">
        <v>44712</v>
      </c>
      <c r="D1228" s="53">
        <v>22</v>
      </c>
      <c r="E1228" s="13" t="s">
        <v>1692</v>
      </c>
      <c r="F1228" s="13">
        <v>3025457</v>
      </c>
      <c r="G1228" s="14">
        <v>20067</v>
      </c>
      <c r="H1228" s="33">
        <f>9700-9698.04</f>
        <v>1.9599999999991269</v>
      </c>
      <c r="I1228" s="16">
        <f>-H1228*G1228</f>
        <v>-39331.319999982479</v>
      </c>
      <c r="J1228" s="17">
        <v>0</v>
      </c>
      <c r="K1228" s="34">
        <v>4502338085</v>
      </c>
      <c r="L1228" s="19">
        <v>5082064889</v>
      </c>
      <c r="M1228" s="20">
        <v>5113351778</v>
      </c>
      <c r="N1228" s="23"/>
      <c r="O1228" s="9"/>
      <c r="P1228" s="23"/>
      <c r="Q1228" s="24" t="s">
        <v>31</v>
      </c>
      <c r="R1228" s="25">
        <v>44709</v>
      </c>
      <c r="S1228" s="28"/>
      <c r="T1228" s="35"/>
      <c r="U1228" s="35"/>
      <c r="V1228" s="29"/>
      <c r="W1228" s="35"/>
      <c r="X1228" s="29"/>
      <c r="Y1228" s="36"/>
      <c r="Z1228" s="29"/>
      <c r="AA1228" s="31">
        <f t="shared" si="1"/>
        <v>44709</v>
      </c>
      <c r="AB1228" s="32" t="str">
        <f t="shared" si="5"/>
        <v>mayo</v>
      </c>
    </row>
    <row r="1229" spans="1:28" ht="12.75">
      <c r="A1229" s="22" t="s">
        <v>404</v>
      </c>
      <c r="B1229" s="10">
        <v>44710</v>
      </c>
      <c r="C1229" s="11">
        <v>44712</v>
      </c>
      <c r="D1229" s="53">
        <v>22</v>
      </c>
      <c r="E1229" s="13" t="s">
        <v>1693</v>
      </c>
      <c r="F1229" s="13">
        <v>3025459</v>
      </c>
      <c r="G1229" s="37">
        <v>21484.5</v>
      </c>
      <c r="H1229" s="33">
        <v>9700</v>
      </c>
      <c r="I1229" s="16">
        <f t="shared" ref="I1229:I1232" si="181">H1229*G1229</f>
        <v>208399650</v>
      </c>
      <c r="J1229" s="17">
        <v>45</v>
      </c>
      <c r="K1229" s="34">
        <v>4502338089</v>
      </c>
      <c r="L1229" s="19">
        <v>5082073424</v>
      </c>
      <c r="M1229" s="20">
        <v>5113351780</v>
      </c>
      <c r="N1229" s="23"/>
      <c r="O1229" s="9" t="s">
        <v>313</v>
      </c>
      <c r="P1229" s="23"/>
      <c r="Q1229" s="24" t="s">
        <v>31</v>
      </c>
      <c r="R1229" s="25">
        <v>44710</v>
      </c>
      <c r="S1229" s="28"/>
      <c r="T1229" s="35"/>
      <c r="U1229" s="35"/>
      <c r="V1229" s="29"/>
      <c r="W1229" s="35"/>
      <c r="X1229" s="29"/>
      <c r="Y1229" s="36"/>
      <c r="Z1229" s="29"/>
      <c r="AA1229" s="31">
        <f t="shared" si="1"/>
        <v>44710</v>
      </c>
      <c r="AB1229" s="32" t="str">
        <f t="shared" si="5"/>
        <v>mayo</v>
      </c>
    </row>
    <row r="1230" spans="1:28" ht="12.75">
      <c r="A1230" s="9" t="s">
        <v>160</v>
      </c>
      <c r="B1230" s="10">
        <v>44714</v>
      </c>
      <c r="C1230" s="11"/>
      <c r="D1230" s="53">
        <v>22</v>
      </c>
      <c r="E1230" s="13" t="s">
        <v>1694</v>
      </c>
      <c r="F1230" s="13">
        <v>3025459</v>
      </c>
      <c r="G1230" s="14">
        <v>6945</v>
      </c>
      <c r="H1230" s="33">
        <v>9350</v>
      </c>
      <c r="I1230" s="16">
        <f t="shared" si="181"/>
        <v>64935750</v>
      </c>
      <c r="J1230" s="17">
        <v>14</v>
      </c>
      <c r="K1230" s="34">
        <v>4502338090</v>
      </c>
      <c r="L1230" s="19">
        <v>5082073349</v>
      </c>
      <c r="M1230" s="20">
        <v>5113349725</v>
      </c>
      <c r="N1230" s="23"/>
      <c r="O1230" s="9" t="s">
        <v>63</v>
      </c>
      <c r="P1230" s="23"/>
      <c r="Q1230" s="24" t="s">
        <v>31</v>
      </c>
      <c r="R1230" s="25">
        <v>44710</v>
      </c>
      <c r="S1230" s="28"/>
      <c r="T1230" s="35"/>
      <c r="U1230" s="35"/>
      <c r="V1230" s="29"/>
      <c r="W1230" s="35"/>
      <c r="X1230" s="29"/>
      <c r="Y1230" s="36"/>
      <c r="Z1230" s="29"/>
      <c r="AA1230" s="31">
        <f t="shared" si="1"/>
        <v>44710</v>
      </c>
      <c r="AB1230" s="32" t="str">
        <f t="shared" si="5"/>
        <v>mayo</v>
      </c>
    </row>
    <row r="1231" spans="1:28" ht="12.75">
      <c r="A1231" s="9" t="s">
        <v>160</v>
      </c>
      <c r="B1231" s="10">
        <v>44714</v>
      </c>
      <c r="C1231" s="11"/>
      <c r="D1231" s="53">
        <v>22</v>
      </c>
      <c r="E1231" s="13" t="s">
        <v>422</v>
      </c>
      <c r="F1231" s="13">
        <v>3025459</v>
      </c>
      <c r="G1231" s="14">
        <v>6945</v>
      </c>
      <c r="H1231" s="33">
        <v>100</v>
      </c>
      <c r="I1231" s="16">
        <f t="shared" si="181"/>
        <v>694500</v>
      </c>
      <c r="J1231" s="17">
        <v>0</v>
      </c>
      <c r="K1231" s="34">
        <v>4502338090</v>
      </c>
      <c r="L1231" s="19">
        <v>5082073349</v>
      </c>
      <c r="M1231" s="20">
        <v>5113349767</v>
      </c>
      <c r="N1231" s="23"/>
      <c r="O1231" s="9"/>
      <c r="P1231" s="23"/>
      <c r="Q1231" s="24" t="s">
        <v>31</v>
      </c>
      <c r="R1231" s="25">
        <v>44710</v>
      </c>
      <c r="S1231" s="28"/>
      <c r="T1231" s="35"/>
      <c r="U1231" s="35"/>
      <c r="V1231" s="29"/>
      <c r="W1231" s="35"/>
      <c r="X1231" s="29"/>
      <c r="Y1231" s="36"/>
      <c r="Z1231" s="29"/>
      <c r="AA1231" s="31">
        <f t="shared" si="1"/>
        <v>44710</v>
      </c>
      <c r="AB1231" s="32" t="str">
        <f t="shared" si="5"/>
        <v>mayo</v>
      </c>
    </row>
    <row r="1232" spans="1:28" ht="12.75">
      <c r="A1232" s="9" t="s">
        <v>233</v>
      </c>
      <c r="B1232" s="10">
        <v>44710</v>
      </c>
      <c r="C1232" s="11"/>
      <c r="D1232" s="53">
        <v>22</v>
      </c>
      <c r="E1232" s="13" t="s">
        <v>1695</v>
      </c>
      <c r="F1232" s="13">
        <v>3025460</v>
      </c>
      <c r="G1232" s="14">
        <v>12228</v>
      </c>
      <c r="H1232" s="33">
        <v>9350</v>
      </c>
      <c r="I1232" s="16">
        <f t="shared" si="181"/>
        <v>114331800</v>
      </c>
      <c r="J1232" s="17">
        <v>30</v>
      </c>
      <c r="K1232" s="34">
        <v>4502338091</v>
      </c>
      <c r="L1232" s="19">
        <v>5082073425</v>
      </c>
      <c r="M1232" s="20">
        <v>5113368462</v>
      </c>
      <c r="N1232" s="23"/>
      <c r="O1232" s="9" t="s">
        <v>37</v>
      </c>
      <c r="P1232" s="23" t="s">
        <v>1696</v>
      </c>
      <c r="Q1232" s="24" t="s">
        <v>31</v>
      </c>
      <c r="R1232" s="25">
        <v>44710</v>
      </c>
      <c r="S1232" s="28"/>
      <c r="T1232" s="35"/>
      <c r="U1232" s="35"/>
      <c r="V1232" s="29"/>
      <c r="W1232" s="35"/>
      <c r="X1232" s="29"/>
      <c r="Y1232" s="36"/>
      <c r="Z1232" s="29"/>
      <c r="AA1232" s="31">
        <f t="shared" si="1"/>
        <v>44710</v>
      </c>
      <c r="AB1232" s="32" t="str">
        <f t="shared" si="5"/>
        <v>mayo</v>
      </c>
    </row>
    <row r="1233" spans="1:28" ht="12.75">
      <c r="A1233" s="9" t="s">
        <v>233</v>
      </c>
      <c r="B1233" s="10">
        <v>44710</v>
      </c>
      <c r="C1233" s="11"/>
      <c r="D1233" s="53">
        <v>22</v>
      </c>
      <c r="E1233" s="13" t="s">
        <v>1697</v>
      </c>
      <c r="F1233" s="13">
        <v>3025460</v>
      </c>
      <c r="G1233" s="14">
        <v>12228</v>
      </c>
      <c r="H1233" s="33">
        <f>9350-9309.52</f>
        <v>40.479999999999563</v>
      </c>
      <c r="I1233" s="16">
        <f>-H1233*G1233</f>
        <v>-494989.43999999465</v>
      </c>
      <c r="J1233" s="17">
        <v>0</v>
      </c>
      <c r="K1233" s="34">
        <v>4502338091</v>
      </c>
      <c r="L1233" s="19">
        <v>5082073425</v>
      </c>
      <c r="M1233" s="20">
        <v>5113368463</v>
      </c>
      <c r="N1233" s="23"/>
      <c r="O1233" s="9"/>
      <c r="P1233" s="23"/>
      <c r="Q1233" s="24" t="s">
        <v>31</v>
      </c>
      <c r="R1233" s="25">
        <v>44710</v>
      </c>
      <c r="S1233" s="28"/>
      <c r="T1233" s="35"/>
      <c r="U1233" s="35"/>
      <c r="V1233" s="29"/>
      <c r="W1233" s="35"/>
      <c r="X1233" s="29"/>
      <c r="Y1233" s="36"/>
      <c r="Z1233" s="29"/>
      <c r="AA1233" s="31">
        <f t="shared" si="1"/>
        <v>44710</v>
      </c>
      <c r="AB1233" s="32" t="str">
        <f t="shared" si="5"/>
        <v>mayo</v>
      </c>
    </row>
    <row r="1234" spans="1:28" ht="12.75">
      <c r="A1234" s="22" t="s">
        <v>428</v>
      </c>
      <c r="B1234" s="10">
        <v>44714</v>
      </c>
      <c r="C1234" s="11">
        <v>44714</v>
      </c>
      <c r="D1234" s="53">
        <v>22</v>
      </c>
      <c r="E1234" s="13" t="s">
        <v>1698</v>
      </c>
      <c r="F1234" s="13">
        <v>3025460</v>
      </c>
      <c r="G1234" s="37">
        <v>20534.5</v>
      </c>
      <c r="H1234" s="33">
        <v>9600</v>
      </c>
      <c r="I1234" s="16">
        <f t="shared" ref="I1234:I1238" si="182">H1234*G1234</f>
        <v>197131200</v>
      </c>
      <c r="J1234" s="17">
        <v>43</v>
      </c>
      <c r="K1234" s="34">
        <v>4502338093</v>
      </c>
      <c r="L1234" s="19">
        <v>5082073426</v>
      </c>
      <c r="M1234" s="20">
        <v>5113348835</v>
      </c>
      <c r="N1234" s="23"/>
      <c r="O1234" s="9" t="s">
        <v>63</v>
      </c>
      <c r="P1234" s="23"/>
      <c r="Q1234" s="24" t="s">
        <v>31</v>
      </c>
      <c r="R1234" s="25">
        <v>44710</v>
      </c>
      <c r="S1234" s="28"/>
      <c r="T1234" s="35"/>
      <c r="U1234" s="35"/>
      <c r="V1234" s="29"/>
      <c r="W1234" s="35"/>
      <c r="X1234" s="29"/>
      <c r="Y1234" s="36"/>
      <c r="Z1234" s="29"/>
      <c r="AA1234" s="31">
        <f t="shared" si="1"/>
        <v>44710</v>
      </c>
      <c r="AB1234" s="32" t="str">
        <f t="shared" si="5"/>
        <v>mayo</v>
      </c>
    </row>
    <row r="1235" spans="1:28" ht="12.75">
      <c r="A1235" s="9" t="s">
        <v>819</v>
      </c>
      <c r="B1235" s="10">
        <v>44710</v>
      </c>
      <c r="C1235" s="11"/>
      <c r="D1235" s="53">
        <v>22</v>
      </c>
      <c r="E1235" s="13">
        <v>6035</v>
      </c>
      <c r="F1235" s="13">
        <v>3025460</v>
      </c>
      <c r="G1235" s="14">
        <v>34750</v>
      </c>
      <c r="H1235" s="33">
        <v>9400</v>
      </c>
      <c r="I1235" s="16">
        <f t="shared" si="182"/>
        <v>326650000</v>
      </c>
      <c r="J1235" s="17">
        <v>73</v>
      </c>
      <c r="K1235" s="34">
        <v>4502340959</v>
      </c>
      <c r="L1235" s="19">
        <v>5082071150</v>
      </c>
      <c r="M1235" s="20">
        <v>5113348834</v>
      </c>
      <c r="N1235" s="23"/>
      <c r="O1235" s="9" t="s">
        <v>37</v>
      </c>
      <c r="P1235" s="23"/>
      <c r="Q1235" s="24" t="s">
        <v>1605</v>
      </c>
      <c r="R1235" s="25">
        <v>44710</v>
      </c>
      <c r="S1235" s="28"/>
      <c r="T1235" s="35"/>
      <c r="U1235" s="35"/>
      <c r="V1235" s="29"/>
      <c r="W1235" s="35"/>
      <c r="X1235" s="29"/>
      <c r="Y1235" s="36"/>
      <c r="Z1235" s="29"/>
      <c r="AA1235" s="31">
        <f t="shared" si="1"/>
        <v>44710</v>
      </c>
      <c r="AB1235" s="32" t="str">
        <f t="shared" si="5"/>
        <v>mayo</v>
      </c>
    </row>
    <row r="1236" spans="1:28" ht="12.75">
      <c r="A1236" s="9" t="s">
        <v>209</v>
      </c>
      <c r="B1236" s="10">
        <v>44718</v>
      </c>
      <c r="C1236" s="11">
        <v>44718</v>
      </c>
      <c r="D1236" s="53">
        <v>22</v>
      </c>
      <c r="E1236" s="13" t="s">
        <v>1699</v>
      </c>
      <c r="F1236" s="13">
        <v>3025457</v>
      </c>
      <c r="G1236" s="14">
        <v>7371</v>
      </c>
      <c r="H1236" s="33">
        <v>9200</v>
      </c>
      <c r="I1236" s="16">
        <f t="shared" si="182"/>
        <v>67813200</v>
      </c>
      <c r="J1236" s="17">
        <v>15</v>
      </c>
      <c r="K1236" s="34">
        <v>4502338095</v>
      </c>
      <c r="L1236" s="19">
        <v>5082079369</v>
      </c>
      <c r="M1236" s="20">
        <v>5113355402</v>
      </c>
      <c r="N1236" s="21"/>
      <c r="O1236" s="9" t="s">
        <v>63</v>
      </c>
      <c r="P1236" s="23"/>
      <c r="Q1236" s="24" t="s">
        <v>31</v>
      </c>
      <c r="R1236" s="25">
        <v>44711</v>
      </c>
      <c r="S1236" s="28"/>
      <c r="T1236" s="35"/>
      <c r="U1236" s="35"/>
      <c r="V1236" s="29"/>
      <c r="W1236" s="35"/>
      <c r="X1236" s="29"/>
      <c r="Y1236" s="36"/>
      <c r="Z1236" s="29"/>
      <c r="AA1236" s="31">
        <f t="shared" si="1"/>
        <v>44711</v>
      </c>
      <c r="AB1236" s="32" t="str">
        <f t="shared" si="5"/>
        <v>mayo</v>
      </c>
    </row>
    <row r="1237" spans="1:28" ht="12.75">
      <c r="A1237" s="9" t="s">
        <v>338</v>
      </c>
      <c r="B1237" s="10">
        <v>44714</v>
      </c>
      <c r="C1237" s="11"/>
      <c r="D1237" s="53">
        <v>22</v>
      </c>
      <c r="E1237" s="13" t="s">
        <v>1700</v>
      </c>
      <c r="F1237" s="13">
        <v>3025457</v>
      </c>
      <c r="G1237" s="37">
        <v>6529.5</v>
      </c>
      <c r="H1237" s="33">
        <v>9400</v>
      </c>
      <c r="I1237" s="16">
        <f t="shared" si="182"/>
        <v>61377300</v>
      </c>
      <c r="J1237" s="17">
        <v>14</v>
      </c>
      <c r="K1237" s="34">
        <v>4502338096</v>
      </c>
      <c r="L1237" s="19">
        <v>5082079370</v>
      </c>
      <c r="M1237" s="20">
        <v>5113351503</v>
      </c>
      <c r="N1237" s="23"/>
      <c r="O1237" s="9" t="s">
        <v>63</v>
      </c>
      <c r="P1237" s="23"/>
      <c r="Q1237" s="24" t="s">
        <v>31</v>
      </c>
      <c r="R1237" s="25">
        <v>44711</v>
      </c>
      <c r="S1237" s="28"/>
      <c r="T1237" s="35"/>
      <c r="U1237" s="35"/>
      <c r="V1237" s="29"/>
      <c r="W1237" s="35"/>
      <c r="X1237" s="29"/>
      <c r="Y1237" s="36"/>
      <c r="Z1237" s="29"/>
      <c r="AA1237" s="31">
        <f t="shared" si="1"/>
        <v>44711</v>
      </c>
      <c r="AB1237" s="32" t="str">
        <f t="shared" si="5"/>
        <v>mayo</v>
      </c>
    </row>
    <row r="1238" spans="1:28" ht="12.75">
      <c r="A1238" s="9" t="s">
        <v>67</v>
      </c>
      <c r="B1238" s="10">
        <v>44714</v>
      </c>
      <c r="C1238" s="11"/>
      <c r="D1238" s="53">
        <v>22</v>
      </c>
      <c r="E1238" s="13" t="s">
        <v>1701</v>
      </c>
      <c r="F1238" s="13">
        <v>3025457</v>
      </c>
      <c r="G1238" s="14">
        <v>6501</v>
      </c>
      <c r="H1238" s="33">
        <v>9250</v>
      </c>
      <c r="I1238" s="16">
        <f t="shared" si="182"/>
        <v>60134250</v>
      </c>
      <c r="J1238" s="17">
        <v>14</v>
      </c>
      <c r="K1238" s="34">
        <v>4502338097</v>
      </c>
      <c r="L1238" s="19">
        <v>5082079371</v>
      </c>
      <c r="M1238" s="20">
        <v>5113348836</v>
      </c>
      <c r="N1238" s="23"/>
      <c r="O1238" s="9" t="s">
        <v>63</v>
      </c>
      <c r="P1238" s="23"/>
      <c r="Q1238" s="24" t="s">
        <v>31</v>
      </c>
      <c r="R1238" s="25">
        <v>44711</v>
      </c>
      <c r="S1238" s="28"/>
      <c r="T1238" s="35"/>
      <c r="U1238" s="35"/>
      <c r="V1238" s="29"/>
      <c r="W1238" s="35"/>
      <c r="X1238" s="29"/>
      <c r="Y1238" s="36"/>
      <c r="Z1238" s="29"/>
      <c r="AA1238" s="31">
        <f t="shared" si="1"/>
        <v>44711</v>
      </c>
      <c r="AB1238" s="32" t="str">
        <f t="shared" si="5"/>
        <v>mayo</v>
      </c>
    </row>
    <row r="1239" spans="1:28" ht="12.75">
      <c r="A1239" s="9" t="s">
        <v>67</v>
      </c>
      <c r="B1239" s="10">
        <v>44714</v>
      </c>
      <c r="C1239" s="11"/>
      <c r="D1239" s="53">
        <v>22</v>
      </c>
      <c r="E1239" s="13" t="s">
        <v>295</v>
      </c>
      <c r="F1239" s="13">
        <v>3025457</v>
      </c>
      <c r="G1239" s="14">
        <v>6501</v>
      </c>
      <c r="H1239" s="33">
        <v>150</v>
      </c>
      <c r="I1239" s="16">
        <f>-H1239*G1239</f>
        <v>-975150</v>
      </c>
      <c r="J1239" s="17">
        <v>0</v>
      </c>
      <c r="K1239" s="34">
        <v>4502338097</v>
      </c>
      <c r="L1239" s="19">
        <v>5082079371</v>
      </c>
      <c r="M1239" s="20">
        <v>5113348868</v>
      </c>
      <c r="N1239" s="23"/>
      <c r="O1239" s="9"/>
      <c r="P1239" s="23"/>
      <c r="Q1239" s="24" t="s">
        <v>31</v>
      </c>
      <c r="R1239" s="25">
        <v>44711</v>
      </c>
      <c r="S1239" s="28"/>
      <c r="T1239" s="35"/>
      <c r="U1239" s="35"/>
      <c r="V1239" s="29"/>
      <c r="W1239" s="35"/>
      <c r="X1239" s="29"/>
      <c r="Y1239" s="36"/>
      <c r="Z1239" s="29"/>
      <c r="AA1239" s="31">
        <f t="shared" si="1"/>
        <v>44711</v>
      </c>
      <c r="AB1239" s="32" t="str">
        <f t="shared" si="5"/>
        <v>mayo</v>
      </c>
    </row>
    <row r="1240" spans="1:28" ht="12.75">
      <c r="A1240" s="9" t="s">
        <v>642</v>
      </c>
      <c r="B1240" s="10">
        <v>44711</v>
      </c>
      <c r="C1240" s="11">
        <v>44720</v>
      </c>
      <c r="D1240" s="53">
        <v>22</v>
      </c>
      <c r="E1240" s="13" t="s">
        <v>1702</v>
      </c>
      <c r="F1240" s="13">
        <v>3025457</v>
      </c>
      <c r="G1240" s="14">
        <v>7207</v>
      </c>
      <c r="H1240" s="33">
        <v>9300</v>
      </c>
      <c r="I1240" s="16">
        <f t="shared" ref="I1240:I1241" si="183">H1240*G1240</f>
        <v>67025100</v>
      </c>
      <c r="J1240" s="17">
        <v>15</v>
      </c>
      <c r="K1240" s="34">
        <v>4502338098</v>
      </c>
      <c r="L1240" s="19">
        <v>5082079929</v>
      </c>
      <c r="M1240" s="20">
        <v>5113368363</v>
      </c>
      <c r="N1240" s="23"/>
      <c r="O1240" s="9" t="s">
        <v>37</v>
      </c>
      <c r="P1240" s="23" t="s">
        <v>1703</v>
      </c>
      <c r="Q1240" s="24" t="s">
        <v>31</v>
      </c>
      <c r="R1240" s="25">
        <v>44711</v>
      </c>
      <c r="S1240" s="28"/>
      <c r="T1240" s="35"/>
      <c r="U1240" s="35"/>
      <c r="V1240" s="29"/>
      <c r="W1240" s="35"/>
      <c r="X1240" s="29"/>
      <c r="Y1240" s="36"/>
      <c r="Z1240" s="29"/>
      <c r="AA1240" s="31">
        <f t="shared" si="1"/>
        <v>44711</v>
      </c>
      <c r="AB1240" s="32" t="str">
        <f t="shared" si="5"/>
        <v>mayo</v>
      </c>
    </row>
    <row r="1241" spans="1:28" ht="12.75">
      <c r="A1241" s="9" t="s">
        <v>203</v>
      </c>
      <c r="B1241" s="10">
        <v>44714</v>
      </c>
      <c r="C1241" s="11">
        <v>44715</v>
      </c>
      <c r="D1241" s="53">
        <v>22</v>
      </c>
      <c r="E1241" s="13" t="s">
        <v>1704</v>
      </c>
      <c r="F1241" s="13">
        <v>3025457</v>
      </c>
      <c r="G1241" s="14">
        <v>7800</v>
      </c>
      <c r="H1241" s="33">
        <v>9550</v>
      </c>
      <c r="I1241" s="16">
        <f t="shared" si="183"/>
        <v>74490000</v>
      </c>
      <c r="J1241" s="17">
        <v>15</v>
      </c>
      <c r="K1241" s="34">
        <v>4502338099</v>
      </c>
      <c r="L1241" s="19">
        <v>5082079372</v>
      </c>
      <c r="M1241" s="20">
        <v>5113355397</v>
      </c>
      <c r="N1241" s="23"/>
      <c r="O1241" s="9" t="s">
        <v>37</v>
      </c>
      <c r="P1241" s="23"/>
      <c r="Q1241" s="24" t="s">
        <v>31</v>
      </c>
      <c r="R1241" s="25">
        <v>44711</v>
      </c>
      <c r="S1241" s="28"/>
      <c r="T1241" s="35"/>
      <c r="U1241" s="35"/>
      <c r="V1241" s="29"/>
      <c r="W1241" s="35"/>
      <c r="X1241" s="29"/>
      <c r="Y1241" s="36"/>
      <c r="Z1241" s="29"/>
      <c r="AA1241" s="31">
        <f t="shared" si="1"/>
        <v>44711</v>
      </c>
      <c r="AB1241" s="32" t="str">
        <f t="shared" si="5"/>
        <v>mayo</v>
      </c>
    </row>
    <row r="1242" spans="1:28" ht="12.75">
      <c r="A1242" s="9" t="s">
        <v>203</v>
      </c>
      <c r="B1242" s="10">
        <v>44714</v>
      </c>
      <c r="C1242" s="11">
        <v>44715</v>
      </c>
      <c r="D1242" s="53">
        <v>22</v>
      </c>
      <c r="E1242" s="13" t="s">
        <v>1705</v>
      </c>
      <c r="F1242" s="13">
        <v>3025457</v>
      </c>
      <c r="G1242" s="14">
        <v>7800</v>
      </c>
      <c r="H1242" s="33">
        <v>50</v>
      </c>
      <c r="I1242" s="16">
        <f>-H1242*G1242</f>
        <v>-390000</v>
      </c>
      <c r="J1242" s="17">
        <v>0</v>
      </c>
      <c r="K1242" s="34">
        <v>4502338099</v>
      </c>
      <c r="L1242" s="19">
        <v>5082079372</v>
      </c>
      <c r="M1242" s="20">
        <v>5113355400</v>
      </c>
      <c r="N1242" s="23"/>
      <c r="O1242" s="9"/>
      <c r="P1242" s="23"/>
      <c r="Q1242" s="24" t="s">
        <v>31</v>
      </c>
      <c r="R1242" s="25">
        <v>44711</v>
      </c>
      <c r="S1242" s="28"/>
      <c r="T1242" s="35"/>
      <c r="U1242" s="35"/>
      <c r="V1242" s="29"/>
      <c r="W1242" s="35"/>
      <c r="X1242" s="29"/>
      <c r="Y1242" s="36"/>
      <c r="Z1242" s="29"/>
      <c r="AA1242" s="31">
        <f t="shared" si="1"/>
        <v>44711</v>
      </c>
      <c r="AB1242" s="32" t="str">
        <f t="shared" si="5"/>
        <v>mayo</v>
      </c>
    </row>
    <row r="1243" spans="1:28" ht="12.75">
      <c r="A1243" s="9" t="s">
        <v>289</v>
      </c>
      <c r="B1243" s="10">
        <v>44711</v>
      </c>
      <c r="C1243" s="11"/>
      <c r="D1243" s="53">
        <v>22</v>
      </c>
      <c r="E1243" s="13" t="s">
        <v>1706</v>
      </c>
      <c r="F1243" s="13">
        <v>3025457</v>
      </c>
      <c r="G1243" s="14">
        <v>7771</v>
      </c>
      <c r="H1243" s="33">
        <v>9550</v>
      </c>
      <c r="I1243" s="16">
        <f>H1243*G1243</f>
        <v>74213050</v>
      </c>
      <c r="J1243" s="17">
        <v>15</v>
      </c>
      <c r="K1243" s="34">
        <v>4502338100</v>
      </c>
      <c r="L1243" s="19">
        <v>5082079373</v>
      </c>
      <c r="M1243" s="20">
        <v>5113368312</v>
      </c>
      <c r="N1243" s="23"/>
      <c r="O1243" s="23" t="s">
        <v>37</v>
      </c>
      <c r="P1243" s="23"/>
      <c r="Q1243" s="24" t="s">
        <v>31</v>
      </c>
      <c r="R1243" s="25">
        <v>44711</v>
      </c>
      <c r="S1243" s="28"/>
      <c r="T1243" s="35"/>
      <c r="U1243" s="35"/>
      <c r="V1243" s="29"/>
      <c r="W1243" s="35"/>
      <c r="X1243" s="29"/>
      <c r="Y1243" s="36"/>
      <c r="Z1243" s="29"/>
      <c r="AA1243" s="31">
        <f t="shared" si="1"/>
        <v>44711</v>
      </c>
      <c r="AB1243" s="32" t="str">
        <f t="shared" si="5"/>
        <v>mayo</v>
      </c>
    </row>
    <row r="1244" spans="1:28" ht="12.75">
      <c r="A1244" s="9" t="s">
        <v>289</v>
      </c>
      <c r="B1244" s="10">
        <v>44715</v>
      </c>
      <c r="C1244" s="11"/>
      <c r="D1244" s="53">
        <v>22</v>
      </c>
      <c r="E1244" s="13" t="s">
        <v>1707</v>
      </c>
      <c r="F1244" s="13">
        <v>3025457</v>
      </c>
      <c r="G1244" s="14">
        <v>7771</v>
      </c>
      <c r="H1244" s="33">
        <f>9550-9442.21</f>
        <v>107.79000000000087</v>
      </c>
      <c r="I1244" s="16">
        <f>-H1244*G1244</f>
        <v>-837636.09000000684</v>
      </c>
      <c r="J1244" s="17">
        <v>0</v>
      </c>
      <c r="K1244" s="34">
        <v>4502338100</v>
      </c>
      <c r="L1244" s="19">
        <v>5082079373</v>
      </c>
      <c r="M1244" s="20">
        <v>5113368314</v>
      </c>
      <c r="N1244" s="23"/>
      <c r="O1244" s="9"/>
      <c r="P1244" s="23" t="s">
        <v>928</v>
      </c>
      <c r="Q1244" s="24" t="s">
        <v>31</v>
      </c>
      <c r="R1244" s="25">
        <v>44711</v>
      </c>
      <c r="S1244" s="28"/>
      <c r="T1244" s="35"/>
      <c r="U1244" s="35"/>
      <c r="V1244" s="29"/>
      <c r="W1244" s="35"/>
      <c r="X1244" s="29"/>
      <c r="Y1244" s="36"/>
      <c r="Z1244" s="29"/>
      <c r="AA1244" s="31">
        <f t="shared" si="1"/>
        <v>44711</v>
      </c>
      <c r="AB1244" s="32" t="str">
        <f t="shared" si="5"/>
        <v>mayo</v>
      </c>
    </row>
    <row r="1245" spans="1:28" ht="12.75">
      <c r="A1245" s="22" t="s">
        <v>404</v>
      </c>
      <c r="B1245" s="10">
        <v>44711</v>
      </c>
      <c r="C1245" s="11"/>
      <c r="D1245" s="53">
        <v>22</v>
      </c>
      <c r="E1245" s="13" t="s">
        <v>1708</v>
      </c>
      <c r="F1245" s="13">
        <v>3025459</v>
      </c>
      <c r="G1245" s="14">
        <v>31532</v>
      </c>
      <c r="H1245" s="33">
        <v>9700</v>
      </c>
      <c r="I1245" s="16">
        <f>H1245*G1245</f>
        <v>305860400</v>
      </c>
      <c r="J1245" s="17">
        <v>70</v>
      </c>
      <c r="K1245" s="34">
        <v>4502338101</v>
      </c>
      <c r="L1245" s="19">
        <v>5082079374</v>
      </c>
      <c r="M1245" s="20">
        <v>5113351781</v>
      </c>
      <c r="N1245" s="23"/>
      <c r="O1245" s="9" t="s">
        <v>313</v>
      </c>
      <c r="P1245" s="23"/>
      <c r="Q1245" s="24" t="s">
        <v>31</v>
      </c>
      <c r="R1245" s="25">
        <v>44711</v>
      </c>
      <c r="S1245" s="28"/>
      <c r="T1245" s="35"/>
      <c r="U1245" s="35"/>
      <c r="V1245" s="29"/>
      <c r="W1245" s="35"/>
      <c r="X1245" s="29"/>
      <c r="Y1245" s="36"/>
      <c r="Z1245" s="29"/>
      <c r="AA1245" s="31">
        <f t="shared" si="1"/>
        <v>44711</v>
      </c>
      <c r="AB1245" s="32" t="str">
        <f t="shared" si="5"/>
        <v>mayo</v>
      </c>
    </row>
    <row r="1246" spans="1:28" ht="12.75">
      <c r="A1246" s="22" t="s">
        <v>404</v>
      </c>
      <c r="B1246" s="10">
        <v>44714</v>
      </c>
      <c r="C1246" s="11">
        <v>44714</v>
      </c>
      <c r="D1246" s="53">
        <v>22</v>
      </c>
      <c r="E1246" s="13" t="s">
        <v>483</v>
      </c>
      <c r="F1246" s="13">
        <v>3025459</v>
      </c>
      <c r="G1246" s="14">
        <v>31532</v>
      </c>
      <c r="H1246" s="33">
        <f>9700-9695.2</f>
        <v>4.7999999999992724</v>
      </c>
      <c r="I1246" s="16">
        <f>-H1246*G1246</f>
        <v>-151353.59999997704</v>
      </c>
      <c r="J1246" s="17">
        <v>0</v>
      </c>
      <c r="K1246" s="34">
        <v>4502338101</v>
      </c>
      <c r="L1246" s="19">
        <v>5082079374</v>
      </c>
      <c r="M1246" s="20">
        <v>5113351782</v>
      </c>
      <c r="N1246" s="23"/>
      <c r="O1246" s="9"/>
      <c r="P1246" s="23"/>
      <c r="Q1246" s="24" t="s">
        <v>31</v>
      </c>
      <c r="R1246" s="25">
        <v>44711</v>
      </c>
      <c r="S1246" s="28"/>
      <c r="T1246" s="35"/>
      <c r="U1246" s="35"/>
      <c r="V1246" s="29"/>
      <c r="W1246" s="35"/>
      <c r="X1246" s="29"/>
      <c r="Y1246" s="36"/>
      <c r="Z1246" s="29"/>
      <c r="AA1246" s="31">
        <f t="shared" si="1"/>
        <v>44711</v>
      </c>
      <c r="AB1246" s="32" t="str">
        <f t="shared" si="5"/>
        <v>mayo</v>
      </c>
    </row>
    <row r="1247" spans="1:28" ht="12.75">
      <c r="A1247" s="9" t="s">
        <v>28</v>
      </c>
      <c r="B1247" s="10">
        <v>44713</v>
      </c>
      <c r="C1247" s="11">
        <v>44713</v>
      </c>
      <c r="D1247" s="53">
        <v>22</v>
      </c>
      <c r="E1247" s="13" t="s">
        <v>1709</v>
      </c>
      <c r="F1247" s="13">
        <v>3025457</v>
      </c>
      <c r="G1247" s="20">
        <v>38033</v>
      </c>
      <c r="H1247" s="57">
        <v>8898.41</v>
      </c>
      <c r="I1247" s="16">
        <f t="shared" ref="I1247:I1252" si="184">H1247*G1247</f>
        <v>338433227.52999997</v>
      </c>
      <c r="J1247" s="17">
        <v>72</v>
      </c>
      <c r="K1247" s="34">
        <v>4502342805</v>
      </c>
      <c r="L1247" s="19">
        <v>5082109108</v>
      </c>
      <c r="M1247" s="20">
        <v>5113347477</v>
      </c>
      <c r="N1247" s="23"/>
      <c r="O1247" s="9" t="s">
        <v>37</v>
      </c>
      <c r="P1247" s="23"/>
      <c r="Q1247" s="24" t="s">
        <v>671</v>
      </c>
      <c r="R1247" s="25">
        <v>44711</v>
      </c>
      <c r="S1247" s="28"/>
      <c r="T1247" s="35"/>
      <c r="U1247" s="35"/>
      <c r="V1247" s="29"/>
      <c r="W1247" s="35"/>
      <c r="X1247" s="29"/>
      <c r="Y1247" s="36"/>
      <c r="Z1247" s="29"/>
      <c r="AA1247" s="31">
        <f t="shared" si="1"/>
        <v>44711</v>
      </c>
      <c r="AB1247" s="32" t="str">
        <f t="shared" si="5"/>
        <v>mayo</v>
      </c>
    </row>
    <row r="1248" spans="1:28" ht="12.75">
      <c r="A1248" s="9" t="s">
        <v>976</v>
      </c>
      <c r="B1248" s="10">
        <v>44713</v>
      </c>
      <c r="C1248" s="11">
        <v>44715</v>
      </c>
      <c r="D1248" s="53">
        <v>22</v>
      </c>
      <c r="E1248" s="13" t="s">
        <v>1710</v>
      </c>
      <c r="F1248" s="13">
        <v>3025457</v>
      </c>
      <c r="G1248" s="14">
        <v>5846</v>
      </c>
      <c r="H1248" s="33">
        <v>8850</v>
      </c>
      <c r="I1248" s="16">
        <f t="shared" si="184"/>
        <v>51737100</v>
      </c>
      <c r="J1248" s="17">
        <v>12</v>
      </c>
      <c r="K1248" s="34">
        <v>4502338104</v>
      </c>
      <c r="L1248" s="19">
        <v>5082109114</v>
      </c>
      <c r="M1248" s="20">
        <v>5113350174</v>
      </c>
      <c r="N1248" s="23"/>
      <c r="O1248" s="23" t="s">
        <v>37</v>
      </c>
      <c r="P1248" s="23"/>
      <c r="Q1248" s="24" t="s">
        <v>671</v>
      </c>
      <c r="R1248" s="25">
        <v>44711</v>
      </c>
      <c r="S1248" s="28"/>
      <c r="T1248" s="35"/>
      <c r="U1248" s="35"/>
      <c r="V1248" s="29"/>
      <c r="W1248" s="35"/>
      <c r="X1248" s="29"/>
      <c r="Y1248" s="36"/>
      <c r="Z1248" s="29"/>
      <c r="AA1248" s="31">
        <f t="shared" si="1"/>
        <v>44711</v>
      </c>
      <c r="AB1248" s="32" t="str">
        <f t="shared" si="5"/>
        <v>mayo</v>
      </c>
    </row>
    <row r="1249" spans="1:28" ht="12.75">
      <c r="A1249" s="9" t="s">
        <v>80</v>
      </c>
      <c r="B1249" s="10">
        <v>44711</v>
      </c>
      <c r="C1249" s="11">
        <v>44714</v>
      </c>
      <c r="D1249" s="53">
        <v>22</v>
      </c>
      <c r="E1249" s="13" t="s">
        <v>1711</v>
      </c>
      <c r="F1249" s="13">
        <v>3025460</v>
      </c>
      <c r="G1249" s="14">
        <v>19089</v>
      </c>
      <c r="H1249" s="33">
        <v>9300</v>
      </c>
      <c r="I1249" s="16">
        <f t="shared" si="184"/>
        <v>177527700</v>
      </c>
      <c r="J1249" s="17">
        <v>42</v>
      </c>
      <c r="K1249" s="34">
        <v>4502338105</v>
      </c>
      <c r="L1249" s="19">
        <v>5082109117</v>
      </c>
      <c r="M1249" s="20">
        <v>5113351811</v>
      </c>
      <c r="N1249" s="23"/>
      <c r="O1249" s="9" t="s">
        <v>37</v>
      </c>
      <c r="P1249" s="23"/>
      <c r="Q1249" s="24" t="s">
        <v>82</v>
      </c>
      <c r="R1249" s="25">
        <v>44711</v>
      </c>
      <c r="S1249" s="28"/>
      <c r="T1249" s="35"/>
      <c r="U1249" s="35"/>
      <c r="V1249" s="29"/>
      <c r="W1249" s="35"/>
      <c r="X1249" s="29"/>
      <c r="Y1249" s="36"/>
      <c r="Z1249" s="29"/>
      <c r="AA1249" s="31">
        <f t="shared" si="1"/>
        <v>44711</v>
      </c>
      <c r="AB1249" s="32" t="str">
        <f t="shared" si="5"/>
        <v>mayo</v>
      </c>
    </row>
    <row r="1250" spans="1:28" ht="12.75">
      <c r="A1250" s="9" t="s">
        <v>58</v>
      </c>
      <c r="B1250" s="10">
        <v>44712</v>
      </c>
      <c r="C1250" s="11">
        <v>44712</v>
      </c>
      <c r="D1250" s="53">
        <v>22</v>
      </c>
      <c r="E1250" s="13" t="s">
        <v>1712</v>
      </c>
      <c r="F1250" s="13">
        <v>3025460</v>
      </c>
      <c r="G1250" s="14">
        <v>72026</v>
      </c>
      <c r="H1250" s="33">
        <v>9700</v>
      </c>
      <c r="I1250" s="16">
        <f t="shared" si="184"/>
        <v>698652200</v>
      </c>
      <c r="J1250" s="17">
        <v>140</v>
      </c>
      <c r="K1250" s="34">
        <v>4502338106</v>
      </c>
      <c r="L1250" s="19">
        <v>5082080310</v>
      </c>
      <c r="M1250" s="20">
        <v>5113346749</v>
      </c>
      <c r="N1250" s="23"/>
      <c r="O1250" s="9" t="s">
        <v>37</v>
      </c>
      <c r="P1250" s="23"/>
      <c r="Q1250" s="24" t="s">
        <v>1605</v>
      </c>
      <c r="R1250" s="25">
        <v>44711</v>
      </c>
      <c r="S1250" s="28"/>
      <c r="T1250" s="35"/>
      <c r="U1250" s="35"/>
      <c r="V1250" s="29"/>
      <c r="W1250" s="35"/>
      <c r="X1250" s="29"/>
      <c r="Y1250" s="36"/>
      <c r="Z1250" s="29"/>
      <c r="AA1250" s="31">
        <f t="shared" si="1"/>
        <v>44711</v>
      </c>
      <c r="AB1250" s="32" t="str">
        <f t="shared" si="5"/>
        <v>mayo</v>
      </c>
    </row>
    <row r="1251" spans="1:28" ht="12.75">
      <c r="A1251" s="9" t="s">
        <v>819</v>
      </c>
      <c r="B1251" s="10">
        <v>44711</v>
      </c>
      <c r="C1251" s="11"/>
      <c r="D1251" s="53">
        <v>22</v>
      </c>
      <c r="E1251" s="13">
        <v>6037</v>
      </c>
      <c r="F1251" s="13">
        <v>3025460</v>
      </c>
      <c r="G1251" s="14">
        <v>13349</v>
      </c>
      <c r="H1251" s="33">
        <v>9400</v>
      </c>
      <c r="I1251" s="16">
        <f t="shared" si="184"/>
        <v>125480600</v>
      </c>
      <c r="J1251" s="17">
        <v>28</v>
      </c>
      <c r="K1251" s="34">
        <v>4502338107</v>
      </c>
      <c r="L1251" s="19">
        <v>5082080371</v>
      </c>
      <c r="M1251" s="20">
        <v>5113348869</v>
      </c>
      <c r="N1251" s="23"/>
      <c r="O1251" s="9" t="s">
        <v>37</v>
      </c>
      <c r="P1251" s="23"/>
      <c r="Q1251" s="24" t="s">
        <v>1605</v>
      </c>
      <c r="R1251" s="25">
        <v>44711</v>
      </c>
      <c r="S1251" s="28"/>
      <c r="T1251" s="35"/>
      <c r="U1251" s="35"/>
      <c r="V1251" s="29"/>
      <c r="W1251" s="35"/>
      <c r="X1251" s="29"/>
      <c r="Y1251" s="36"/>
      <c r="Z1251" s="29"/>
      <c r="AA1251" s="31">
        <f t="shared" si="1"/>
        <v>44711</v>
      </c>
      <c r="AB1251" s="32" t="str">
        <f t="shared" si="5"/>
        <v>mayo</v>
      </c>
    </row>
    <row r="1252" spans="1:28" ht="12.75">
      <c r="A1252" s="9" t="s">
        <v>58</v>
      </c>
      <c r="B1252" s="10">
        <v>44715</v>
      </c>
      <c r="C1252" s="11">
        <v>44715</v>
      </c>
      <c r="D1252" s="53">
        <v>22</v>
      </c>
      <c r="E1252" s="13" t="s">
        <v>1713</v>
      </c>
      <c r="F1252" s="13">
        <v>3025457</v>
      </c>
      <c r="G1252" s="37">
        <v>36495.5</v>
      </c>
      <c r="H1252" s="33">
        <v>9700</v>
      </c>
      <c r="I1252" s="16">
        <f t="shared" si="184"/>
        <v>354006350</v>
      </c>
      <c r="J1252" s="17">
        <v>75</v>
      </c>
      <c r="K1252" s="34">
        <v>4502338108</v>
      </c>
      <c r="L1252" s="19">
        <v>5082093604</v>
      </c>
      <c r="M1252" s="20">
        <v>5113355359</v>
      </c>
      <c r="N1252" s="23"/>
      <c r="O1252" s="9" t="s">
        <v>37</v>
      </c>
      <c r="P1252" s="23"/>
      <c r="Q1252" s="24" t="s">
        <v>31</v>
      </c>
      <c r="R1252" s="25">
        <v>44712</v>
      </c>
      <c r="S1252" s="28"/>
      <c r="T1252" s="35"/>
      <c r="U1252" s="35"/>
      <c r="V1252" s="29"/>
      <c r="W1252" s="35"/>
      <c r="X1252" s="29"/>
      <c r="Y1252" s="36"/>
      <c r="Z1252" s="29"/>
      <c r="AA1252" s="31">
        <f t="shared" si="1"/>
        <v>44712</v>
      </c>
      <c r="AB1252" s="32" t="str">
        <f t="shared" si="5"/>
        <v>mayo</v>
      </c>
    </row>
    <row r="1253" spans="1:28" ht="12.75">
      <c r="A1253" s="9" t="s">
        <v>58</v>
      </c>
      <c r="B1253" s="10">
        <v>44715</v>
      </c>
      <c r="C1253" s="11">
        <v>44715</v>
      </c>
      <c r="D1253" s="53">
        <v>22</v>
      </c>
      <c r="E1253" s="13" t="s">
        <v>1714</v>
      </c>
      <c r="F1253" s="13">
        <v>3025457</v>
      </c>
      <c r="G1253" s="37">
        <v>51130.5</v>
      </c>
      <c r="H1253" s="33">
        <f>9700-9638.42</f>
        <v>61.579999999999927</v>
      </c>
      <c r="I1253" s="16">
        <f>-H1253*G1253</f>
        <v>-3148616.1899999962</v>
      </c>
      <c r="J1253" s="17">
        <v>0</v>
      </c>
      <c r="K1253" s="34">
        <v>4502338108</v>
      </c>
      <c r="L1253" s="19">
        <v>5082093604</v>
      </c>
      <c r="M1253" s="20">
        <v>5113355360</v>
      </c>
      <c r="N1253" s="23"/>
      <c r="O1253" s="9"/>
      <c r="P1253" s="23"/>
      <c r="Q1253" s="24" t="s">
        <v>31</v>
      </c>
      <c r="R1253" s="25">
        <v>44712</v>
      </c>
      <c r="S1253" s="28"/>
      <c r="T1253" s="35"/>
      <c r="U1253" s="35"/>
      <c r="V1253" s="29"/>
      <c r="W1253" s="35"/>
      <c r="X1253" s="29"/>
      <c r="Y1253" s="36"/>
      <c r="Z1253" s="29"/>
      <c r="AA1253" s="31">
        <f t="shared" si="1"/>
        <v>44712</v>
      </c>
      <c r="AB1253" s="32" t="str">
        <f t="shared" si="5"/>
        <v>mayo</v>
      </c>
    </row>
    <row r="1254" spans="1:28" ht="12.75">
      <c r="A1254" s="9" t="s">
        <v>58</v>
      </c>
      <c r="B1254" s="10">
        <v>44715</v>
      </c>
      <c r="C1254" s="11">
        <v>44715</v>
      </c>
      <c r="D1254" s="53">
        <v>22</v>
      </c>
      <c r="E1254" s="13" t="s">
        <v>1713</v>
      </c>
      <c r="F1254" s="13">
        <v>3025457</v>
      </c>
      <c r="G1254" s="110">
        <v>15013.25</v>
      </c>
      <c r="H1254" s="33">
        <v>9700</v>
      </c>
      <c r="I1254" s="16">
        <f t="shared" ref="I1254:I1257" si="185">H1254*G1254</f>
        <v>145628525</v>
      </c>
      <c r="J1254" s="17">
        <v>30</v>
      </c>
      <c r="K1254" s="34">
        <v>4502339453</v>
      </c>
      <c r="L1254" s="19">
        <v>5082093604</v>
      </c>
      <c r="M1254" s="20">
        <v>5113355359</v>
      </c>
      <c r="N1254" s="23"/>
      <c r="O1254" s="9" t="s">
        <v>37</v>
      </c>
      <c r="P1254" s="23"/>
      <c r="Q1254" s="24" t="s">
        <v>31</v>
      </c>
      <c r="R1254" s="25">
        <v>44712</v>
      </c>
      <c r="S1254" s="28"/>
      <c r="T1254" s="35"/>
      <c r="U1254" s="35"/>
      <c r="V1254" s="29"/>
      <c r="W1254" s="35"/>
      <c r="X1254" s="29"/>
      <c r="Y1254" s="36"/>
      <c r="Z1254" s="29"/>
      <c r="AA1254" s="31">
        <f t="shared" si="1"/>
        <v>44712</v>
      </c>
      <c r="AB1254" s="32" t="str">
        <f t="shared" si="5"/>
        <v>mayo</v>
      </c>
    </row>
    <row r="1255" spans="1:28" ht="12.75">
      <c r="A1255" s="9" t="s">
        <v>58</v>
      </c>
      <c r="B1255" s="10">
        <v>44715</v>
      </c>
      <c r="C1255" s="11">
        <v>44715</v>
      </c>
      <c r="D1255" s="53">
        <v>22</v>
      </c>
      <c r="E1255" s="13" t="s">
        <v>1715</v>
      </c>
      <c r="F1255" s="13">
        <v>3025459</v>
      </c>
      <c r="G1255" s="110">
        <v>15013.25</v>
      </c>
      <c r="H1255" s="33">
        <v>9700</v>
      </c>
      <c r="I1255" s="16">
        <f t="shared" si="185"/>
        <v>145628525</v>
      </c>
      <c r="J1255" s="17">
        <v>30</v>
      </c>
      <c r="K1255" s="34">
        <v>4502339453</v>
      </c>
      <c r="L1255" s="19">
        <v>5082093606</v>
      </c>
      <c r="M1255" s="20">
        <v>5113355357</v>
      </c>
      <c r="N1255" s="44"/>
      <c r="O1255" s="9" t="s">
        <v>37</v>
      </c>
      <c r="P1255" s="23"/>
      <c r="Q1255" s="24" t="s">
        <v>31</v>
      </c>
      <c r="R1255" s="25">
        <v>44712</v>
      </c>
      <c r="S1255" s="28"/>
      <c r="T1255" s="35"/>
      <c r="U1255" s="35"/>
      <c r="V1255" s="29"/>
      <c r="W1255" s="35"/>
      <c r="X1255" s="29"/>
      <c r="Y1255" s="36"/>
      <c r="Z1255" s="29"/>
      <c r="AA1255" s="31">
        <f t="shared" si="1"/>
        <v>44712</v>
      </c>
      <c r="AB1255" s="32" t="str">
        <f t="shared" si="5"/>
        <v>mayo</v>
      </c>
    </row>
    <row r="1256" spans="1:28" ht="12.75">
      <c r="A1256" s="9" t="s">
        <v>39</v>
      </c>
      <c r="B1256" s="10">
        <v>44713</v>
      </c>
      <c r="C1256" s="11">
        <v>44715</v>
      </c>
      <c r="D1256" s="53">
        <v>22</v>
      </c>
      <c r="E1256" s="13" t="s">
        <v>1716</v>
      </c>
      <c r="F1256" s="13">
        <v>3025457</v>
      </c>
      <c r="G1256" s="14">
        <v>6284</v>
      </c>
      <c r="H1256" s="33">
        <v>9700</v>
      </c>
      <c r="I1256" s="16">
        <f t="shared" si="185"/>
        <v>60954800</v>
      </c>
      <c r="J1256" s="17">
        <v>14</v>
      </c>
      <c r="K1256" s="34">
        <v>4502338110</v>
      </c>
      <c r="L1256" s="19">
        <v>5082079375</v>
      </c>
      <c r="M1256" s="20">
        <v>5113349803</v>
      </c>
      <c r="N1256" s="23"/>
      <c r="O1256" s="23" t="s">
        <v>37</v>
      </c>
      <c r="P1256" s="23"/>
      <c r="Q1256" s="24" t="s">
        <v>31</v>
      </c>
      <c r="R1256" s="25">
        <v>44712</v>
      </c>
      <c r="S1256" s="28"/>
      <c r="T1256" s="35"/>
      <c r="U1256" s="35"/>
      <c r="V1256" s="29"/>
      <c r="W1256" s="35"/>
      <c r="X1256" s="29"/>
      <c r="Y1256" s="36"/>
      <c r="Z1256" s="29"/>
      <c r="AA1256" s="31">
        <f t="shared" si="1"/>
        <v>44712</v>
      </c>
      <c r="AB1256" s="32" t="str">
        <f t="shared" si="5"/>
        <v>mayo</v>
      </c>
    </row>
    <row r="1257" spans="1:28" ht="12.75">
      <c r="A1257" s="9" t="s">
        <v>39</v>
      </c>
      <c r="B1257" s="10">
        <v>44713</v>
      </c>
      <c r="C1257" s="11">
        <v>44715</v>
      </c>
      <c r="D1257" s="53">
        <v>22</v>
      </c>
      <c r="E1257" s="13" t="s">
        <v>1716</v>
      </c>
      <c r="F1257" s="13">
        <v>3025457</v>
      </c>
      <c r="G1257" s="14">
        <v>27559</v>
      </c>
      <c r="H1257" s="33">
        <v>9700</v>
      </c>
      <c r="I1257" s="16">
        <f t="shared" si="185"/>
        <v>267322300</v>
      </c>
      <c r="J1257" s="17">
        <v>57</v>
      </c>
      <c r="K1257" s="34">
        <v>4502341031</v>
      </c>
      <c r="L1257" s="19">
        <v>5082079375</v>
      </c>
      <c r="M1257" s="20">
        <v>5113349803</v>
      </c>
      <c r="N1257" s="44"/>
      <c r="O1257" s="23" t="s">
        <v>37</v>
      </c>
      <c r="P1257" s="23"/>
      <c r="Q1257" s="24" t="s">
        <v>31</v>
      </c>
      <c r="R1257" s="25">
        <v>44712</v>
      </c>
      <c r="S1257" s="28"/>
      <c r="T1257" s="35"/>
      <c r="U1257" s="35"/>
      <c r="V1257" s="29"/>
      <c r="W1257" s="35"/>
      <c r="X1257" s="29"/>
      <c r="Y1257" s="36"/>
      <c r="Z1257" s="29"/>
      <c r="AA1257" s="31">
        <f t="shared" si="1"/>
        <v>44712</v>
      </c>
      <c r="AB1257" s="32" t="str">
        <f t="shared" si="5"/>
        <v>mayo</v>
      </c>
    </row>
    <row r="1258" spans="1:28" ht="12.75">
      <c r="A1258" s="9" t="s">
        <v>39</v>
      </c>
      <c r="B1258" s="10">
        <v>44715</v>
      </c>
      <c r="C1258" s="11">
        <v>44715</v>
      </c>
      <c r="D1258" s="53">
        <v>22</v>
      </c>
      <c r="E1258" s="13" t="s">
        <v>510</v>
      </c>
      <c r="F1258" s="13">
        <v>3025457</v>
      </c>
      <c r="G1258" s="14">
        <v>33843</v>
      </c>
      <c r="H1258" s="33">
        <f>9700-9648.09</f>
        <v>51.909999999999854</v>
      </c>
      <c r="I1258" s="16">
        <f>-H1258*G1258</f>
        <v>-1756790.129999995</v>
      </c>
      <c r="J1258" s="17">
        <v>0</v>
      </c>
      <c r="K1258" s="34">
        <v>4502341031</v>
      </c>
      <c r="L1258" s="19">
        <v>5082079375</v>
      </c>
      <c r="M1258" s="20">
        <v>5113349806</v>
      </c>
      <c r="N1258" s="44"/>
      <c r="O1258" s="9"/>
      <c r="P1258" s="23"/>
      <c r="Q1258" s="24" t="s">
        <v>31</v>
      </c>
      <c r="R1258" s="25">
        <v>44712</v>
      </c>
      <c r="S1258" s="28"/>
      <c r="T1258" s="35"/>
      <c r="U1258" s="35"/>
      <c r="V1258" s="29"/>
      <c r="W1258" s="35"/>
      <c r="X1258" s="29"/>
      <c r="Y1258" s="36"/>
      <c r="Z1258" s="29"/>
      <c r="AA1258" s="31">
        <f t="shared" si="1"/>
        <v>44712</v>
      </c>
      <c r="AB1258" s="32" t="str">
        <f t="shared" si="5"/>
        <v>mayo</v>
      </c>
    </row>
    <row r="1259" spans="1:28" ht="12.75">
      <c r="A1259" s="9" t="s">
        <v>1613</v>
      </c>
      <c r="B1259" s="10">
        <v>44567</v>
      </c>
      <c r="C1259" s="11">
        <v>44567</v>
      </c>
      <c r="D1259" s="53">
        <v>22</v>
      </c>
      <c r="E1259" s="13" t="s">
        <v>1717</v>
      </c>
      <c r="F1259" s="13">
        <v>3025461</v>
      </c>
      <c r="G1259" s="14">
        <v>21041</v>
      </c>
      <c r="H1259" s="15">
        <v>9000</v>
      </c>
      <c r="I1259" s="16">
        <f t="shared" ref="I1259:I1260" si="186">H1259*G1259</f>
        <v>189369000</v>
      </c>
      <c r="J1259" s="17">
        <v>42</v>
      </c>
      <c r="K1259" s="34">
        <v>4502341969</v>
      </c>
      <c r="L1259" s="19">
        <v>5082092463</v>
      </c>
      <c r="M1259" s="20">
        <v>5113346751</v>
      </c>
      <c r="N1259" s="9" t="s">
        <v>63</v>
      </c>
      <c r="O1259" s="22" t="s">
        <v>1718</v>
      </c>
      <c r="P1259" s="23"/>
      <c r="Q1259" s="111" t="s">
        <v>522</v>
      </c>
      <c r="R1259" s="25">
        <v>44712</v>
      </c>
      <c r="S1259" s="34">
        <v>4502341969</v>
      </c>
      <c r="T1259" s="35">
        <f>1092500*3</f>
        <v>3277500</v>
      </c>
      <c r="U1259" s="28" t="s">
        <v>1719</v>
      </c>
      <c r="V1259" s="29">
        <v>5113346055</v>
      </c>
      <c r="W1259" s="35"/>
      <c r="X1259" s="29"/>
      <c r="Y1259" s="36"/>
      <c r="Z1259" s="29"/>
      <c r="AA1259" s="31">
        <f t="shared" si="1"/>
        <v>44712</v>
      </c>
      <c r="AB1259" s="32" t="str">
        <f t="shared" si="5"/>
        <v>mayo</v>
      </c>
    </row>
    <row r="1260" spans="1:28" ht="12.75">
      <c r="A1260" s="9" t="s">
        <v>191</v>
      </c>
      <c r="B1260" s="10">
        <v>44712</v>
      </c>
      <c r="C1260" s="11"/>
      <c r="D1260" s="53">
        <v>22</v>
      </c>
      <c r="E1260" s="13" t="s">
        <v>1720</v>
      </c>
      <c r="F1260" s="13">
        <v>3025459</v>
      </c>
      <c r="G1260" s="14">
        <v>6968</v>
      </c>
      <c r="H1260" s="33">
        <v>9250</v>
      </c>
      <c r="I1260" s="16">
        <f t="shared" si="186"/>
        <v>64454000</v>
      </c>
      <c r="J1260" s="17">
        <v>15</v>
      </c>
      <c r="K1260" s="34">
        <v>4502338111</v>
      </c>
      <c r="L1260" s="19">
        <v>5082093891</v>
      </c>
      <c r="M1260" s="20">
        <v>5113351802</v>
      </c>
      <c r="N1260" s="23"/>
      <c r="O1260" s="9" t="s">
        <v>63</v>
      </c>
      <c r="P1260" s="23"/>
      <c r="Q1260" s="24" t="s">
        <v>31</v>
      </c>
      <c r="R1260" s="25">
        <v>44712</v>
      </c>
      <c r="S1260" s="28"/>
      <c r="T1260" s="35"/>
      <c r="U1260" s="35"/>
      <c r="V1260" s="29"/>
      <c r="W1260" s="35"/>
      <c r="X1260" s="29"/>
      <c r="Y1260" s="36"/>
      <c r="Z1260" s="29"/>
      <c r="AA1260" s="31">
        <f t="shared" si="1"/>
        <v>44712</v>
      </c>
      <c r="AB1260" s="32" t="str">
        <f t="shared" si="5"/>
        <v>mayo</v>
      </c>
    </row>
    <row r="1261" spans="1:28" ht="12.75">
      <c r="A1261" s="9" t="s">
        <v>191</v>
      </c>
      <c r="B1261" s="10">
        <v>44712</v>
      </c>
      <c r="C1261" s="11"/>
      <c r="D1261" s="53">
        <v>22</v>
      </c>
      <c r="E1261" s="13" t="s">
        <v>1189</v>
      </c>
      <c r="F1261" s="13">
        <v>3025459</v>
      </c>
      <c r="G1261" s="14">
        <v>6968</v>
      </c>
      <c r="H1261" s="33">
        <v>50</v>
      </c>
      <c r="I1261" s="16">
        <f>-H1261*G1261</f>
        <v>-348400</v>
      </c>
      <c r="J1261" s="17">
        <v>0</v>
      </c>
      <c r="K1261" s="34">
        <v>4502338111</v>
      </c>
      <c r="L1261" s="19">
        <v>5082093891</v>
      </c>
      <c r="M1261" s="20">
        <v>5113351804</v>
      </c>
      <c r="N1261" s="23"/>
      <c r="O1261" s="9"/>
      <c r="P1261" s="23"/>
      <c r="Q1261" s="24" t="s">
        <v>31</v>
      </c>
      <c r="R1261" s="25">
        <v>44712</v>
      </c>
      <c r="S1261" s="28"/>
      <c r="T1261" s="35"/>
      <c r="U1261" s="35"/>
      <c r="V1261" s="29"/>
      <c r="W1261" s="35"/>
      <c r="X1261" s="29"/>
      <c r="Y1261" s="36"/>
      <c r="Z1261" s="29"/>
      <c r="AA1261" s="31">
        <f t="shared" si="1"/>
        <v>44712</v>
      </c>
      <c r="AB1261" s="32" t="str">
        <f t="shared" si="5"/>
        <v>mayo</v>
      </c>
    </row>
    <row r="1262" spans="1:28" ht="12.75">
      <c r="A1262" s="9" t="s">
        <v>1721</v>
      </c>
      <c r="B1262" s="10">
        <v>44718</v>
      </c>
      <c r="C1262" s="11"/>
      <c r="D1262" s="53">
        <v>22</v>
      </c>
      <c r="E1262" s="13" t="s">
        <v>1722</v>
      </c>
      <c r="F1262" s="13">
        <v>3025459</v>
      </c>
      <c r="G1262" s="14">
        <v>6363.5</v>
      </c>
      <c r="H1262" s="33">
        <v>9200</v>
      </c>
      <c r="I1262" s="16">
        <f>H1262*G1262</f>
        <v>58544200</v>
      </c>
      <c r="J1262" s="17">
        <v>14</v>
      </c>
      <c r="K1262" s="34">
        <v>4502338112</v>
      </c>
      <c r="L1262" s="19">
        <v>5082093605</v>
      </c>
      <c r="M1262" s="20">
        <v>5113354523</v>
      </c>
      <c r="N1262" s="23"/>
      <c r="O1262" s="9" t="s">
        <v>313</v>
      </c>
      <c r="P1262" s="23" t="s">
        <v>1723</v>
      </c>
      <c r="Q1262" s="24" t="s">
        <v>31</v>
      </c>
      <c r="R1262" s="25">
        <v>44712</v>
      </c>
      <c r="S1262" s="28"/>
      <c r="T1262" s="35"/>
      <c r="U1262" s="35"/>
      <c r="V1262" s="29"/>
      <c r="W1262" s="35"/>
      <c r="X1262" s="29"/>
      <c r="Y1262" s="36"/>
      <c r="Z1262" s="29"/>
      <c r="AA1262" s="31">
        <f t="shared" si="1"/>
        <v>44712</v>
      </c>
      <c r="AB1262" s="32" t="str">
        <f t="shared" si="5"/>
        <v>mayo</v>
      </c>
    </row>
    <row r="1263" spans="1:28" ht="12.75">
      <c r="A1263" s="9" t="s">
        <v>1721</v>
      </c>
      <c r="B1263" s="112">
        <v>44715</v>
      </c>
      <c r="C1263" s="113"/>
      <c r="D1263" s="76">
        <v>22</v>
      </c>
      <c r="E1263" s="61" t="s">
        <v>134</v>
      </c>
      <c r="F1263" s="13">
        <v>3025459</v>
      </c>
      <c r="G1263" s="62">
        <v>6363.5</v>
      </c>
      <c r="H1263" s="63">
        <f>9200-9143.81</f>
        <v>56.190000000000509</v>
      </c>
      <c r="I1263" s="64">
        <f>-H1263*G1263</f>
        <v>-357565.06500000326</v>
      </c>
      <c r="J1263" s="65">
        <v>0</v>
      </c>
      <c r="K1263" s="66">
        <v>4502338112</v>
      </c>
      <c r="L1263" s="61">
        <v>5082093605</v>
      </c>
      <c r="M1263" s="20">
        <v>5113354525</v>
      </c>
      <c r="N1263" s="23"/>
      <c r="O1263" s="67"/>
      <c r="P1263" s="68"/>
      <c r="Q1263" s="24" t="s">
        <v>31</v>
      </c>
      <c r="R1263" s="74">
        <v>44712</v>
      </c>
      <c r="S1263" s="75"/>
      <c r="T1263" s="69"/>
      <c r="U1263" s="70"/>
      <c r="V1263" s="68"/>
      <c r="W1263" s="70"/>
      <c r="X1263" s="68"/>
      <c r="Y1263" s="71"/>
      <c r="Z1263" s="68"/>
      <c r="AA1263" s="72">
        <f t="shared" si="1"/>
        <v>44712</v>
      </c>
      <c r="AB1263" s="32" t="str">
        <f t="shared" si="5"/>
        <v>mayo</v>
      </c>
    </row>
    <row r="1264" spans="1:28" ht="12.75">
      <c r="A1264" s="9" t="s">
        <v>58</v>
      </c>
      <c r="B1264" s="10"/>
      <c r="C1264" s="11"/>
      <c r="D1264" s="53">
        <v>22</v>
      </c>
      <c r="E1264" s="13" t="s">
        <v>1724</v>
      </c>
      <c r="F1264" s="13">
        <v>3025462</v>
      </c>
      <c r="G1264" s="14">
        <v>5018</v>
      </c>
      <c r="H1264" s="33">
        <v>7800</v>
      </c>
      <c r="I1264" s="16">
        <f t="shared" ref="I1264:I1268" si="187">H1264*G1264</f>
        <v>39140400</v>
      </c>
      <c r="J1264" s="17">
        <v>18</v>
      </c>
      <c r="K1264" s="34">
        <v>4502338113</v>
      </c>
      <c r="L1264" s="19">
        <v>5082092350</v>
      </c>
      <c r="M1264" s="20">
        <v>5113355358</v>
      </c>
      <c r="N1264" s="44"/>
      <c r="O1264" s="9" t="s">
        <v>37</v>
      </c>
      <c r="P1264" s="23"/>
      <c r="Q1264" s="24" t="s">
        <v>357</v>
      </c>
      <c r="R1264" s="25">
        <v>44712</v>
      </c>
      <c r="S1264" s="28"/>
      <c r="T1264" s="35"/>
      <c r="U1264" s="35"/>
      <c r="V1264" s="29"/>
      <c r="W1264" s="35"/>
      <c r="X1264" s="29"/>
      <c r="Y1264" s="36"/>
      <c r="Z1264" s="29"/>
      <c r="AA1264" s="31">
        <f t="shared" si="1"/>
        <v>44712</v>
      </c>
      <c r="AB1264" s="32" t="str">
        <f t="shared" si="5"/>
        <v>mayo</v>
      </c>
    </row>
    <row r="1265" spans="1:28" ht="12.75">
      <c r="A1265" s="9" t="s">
        <v>94</v>
      </c>
      <c r="B1265" s="10">
        <v>44718</v>
      </c>
      <c r="C1265" s="11">
        <v>44718</v>
      </c>
      <c r="D1265" s="53">
        <v>22</v>
      </c>
      <c r="E1265" s="13" t="s">
        <v>1725</v>
      </c>
      <c r="F1265" s="13">
        <v>3025460</v>
      </c>
      <c r="G1265" s="14">
        <v>13531</v>
      </c>
      <c r="H1265" s="33">
        <v>9150</v>
      </c>
      <c r="I1265" s="16">
        <f t="shared" si="187"/>
        <v>123808650</v>
      </c>
      <c r="J1265" s="17">
        <v>30</v>
      </c>
      <c r="K1265" s="34">
        <v>4502338114</v>
      </c>
      <c r="L1265" s="19">
        <v>5082131248</v>
      </c>
      <c r="M1265" s="20">
        <v>5113354086</v>
      </c>
      <c r="N1265" s="23"/>
      <c r="O1265" s="23" t="s">
        <v>63</v>
      </c>
      <c r="P1265" s="23"/>
      <c r="Q1265" s="24" t="s">
        <v>82</v>
      </c>
      <c r="R1265" s="25">
        <v>44713</v>
      </c>
      <c r="S1265" s="28"/>
      <c r="T1265" s="35"/>
      <c r="U1265" s="35"/>
      <c r="V1265" s="29"/>
      <c r="W1265" s="35"/>
      <c r="X1265" s="29"/>
      <c r="Y1265" s="36"/>
      <c r="Z1265" s="29"/>
      <c r="AA1265" s="31">
        <f t="shared" si="1"/>
        <v>44713</v>
      </c>
      <c r="AB1265" s="32" t="str">
        <f t="shared" si="5"/>
        <v>junio</v>
      </c>
    </row>
    <row r="1266" spans="1:28" ht="12.75">
      <c r="A1266" s="9" t="s">
        <v>1726</v>
      </c>
      <c r="B1266" s="10">
        <v>44716</v>
      </c>
      <c r="C1266" s="11"/>
      <c r="D1266" s="53">
        <v>22</v>
      </c>
      <c r="E1266" s="13" t="s">
        <v>1727</v>
      </c>
      <c r="F1266" s="13">
        <v>3025460</v>
      </c>
      <c r="G1266" s="14">
        <v>13491</v>
      </c>
      <c r="H1266" s="33">
        <v>9100</v>
      </c>
      <c r="I1266" s="16">
        <f t="shared" si="187"/>
        <v>122768100</v>
      </c>
      <c r="J1266" s="17">
        <v>28</v>
      </c>
      <c r="K1266" s="34">
        <v>4502338115</v>
      </c>
      <c r="L1266" s="19">
        <v>5082130706</v>
      </c>
      <c r="M1266" s="20">
        <v>5113362986</v>
      </c>
      <c r="N1266" s="23"/>
      <c r="O1266" s="9" t="s">
        <v>63</v>
      </c>
      <c r="P1266" s="23"/>
      <c r="Q1266" s="24" t="s">
        <v>82</v>
      </c>
      <c r="R1266" s="25">
        <v>44713</v>
      </c>
      <c r="S1266" s="28"/>
      <c r="T1266" s="35"/>
      <c r="U1266" s="35"/>
      <c r="V1266" s="29"/>
      <c r="W1266" s="35"/>
      <c r="X1266" s="29"/>
      <c r="Y1266" s="36"/>
      <c r="Z1266" s="29"/>
      <c r="AA1266" s="31">
        <f t="shared" si="1"/>
        <v>44713</v>
      </c>
      <c r="AB1266" s="32" t="str">
        <f t="shared" si="5"/>
        <v>junio</v>
      </c>
    </row>
    <row r="1267" spans="1:28" ht="12.75">
      <c r="A1267" s="9" t="s">
        <v>1728</v>
      </c>
      <c r="B1267" s="10">
        <v>44713</v>
      </c>
      <c r="C1267" s="11">
        <v>44715</v>
      </c>
      <c r="D1267" s="53">
        <v>22</v>
      </c>
      <c r="E1267" s="13" t="s">
        <v>1729</v>
      </c>
      <c r="F1267" s="13">
        <v>3025460</v>
      </c>
      <c r="G1267" s="14">
        <v>20360</v>
      </c>
      <c r="H1267" s="33">
        <v>9148.06</v>
      </c>
      <c r="I1267" s="16">
        <f t="shared" si="187"/>
        <v>186254501.59999999</v>
      </c>
      <c r="J1267" s="17">
        <v>42</v>
      </c>
      <c r="K1267" s="34">
        <v>4502338116</v>
      </c>
      <c r="L1267" s="19">
        <v>5082130846</v>
      </c>
      <c r="M1267" s="20">
        <v>5113349867</v>
      </c>
      <c r="N1267" s="23"/>
      <c r="O1267" s="9"/>
      <c r="P1267" s="23"/>
      <c r="Q1267" s="24" t="s">
        <v>82</v>
      </c>
      <c r="R1267" s="25">
        <v>44713</v>
      </c>
      <c r="S1267" s="28"/>
      <c r="T1267" s="35"/>
      <c r="U1267" s="35"/>
      <c r="V1267" s="29"/>
      <c r="W1267" s="35"/>
      <c r="X1267" s="29"/>
      <c r="Y1267" s="36"/>
      <c r="Z1267" s="29"/>
      <c r="AA1267" s="31">
        <f t="shared" si="1"/>
        <v>44713</v>
      </c>
      <c r="AB1267" s="32" t="str">
        <f t="shared" si="5"/>
        <v>junio</v>
      </c>
    </row>
    <row r="1268" spans="1:28" ht="12.75">
      <c r="A1268" s="9" t="s">
        <v>58</v>
      </c>
      <c r="B1268" s="10">
        <v>44719</v>
      </c>
      <c r="C1268" s="11">
        <v>44719</v>
      </c>
      <c r="D1268" s="42">
        <v>23</v>
      </c>
      <c r="E1268" s="13" t="s">
        <v>1730</v>
      </c>
      <c r="F1268" s="13">
        <v>3025457</v>
      </c>
      <c r="G1268" s="37">
        <v>13650.5</v>
      </c>
      <c r="H1268" s="40">
        <v>9650</v>
      </c>
      <c r="I1268" s="16">
        <f t="shared" si="187"/>
        <v>131727325</v>
      </c>
      <c r="J1268" s="17">
        <v>30</v>
      </c>
      <c r="K1268" s="34">
        <v>4502342483</v>
      </c>
      <c r="L1268" s="19">
        <v>5082130568</v>
      </c>
      <c r="M1268" s="20">
        <v>5113356513</v>
      </c>
      <c r="N1268" s="23"/>
      <c r="O1268" s="9" t="s">
        <v>37</v>
      </c>
      <c r="P1268" s="23" t="s">
        <v>1662</v>
      </c>
      <c r="Q1268" s="24" t="s">
        <v>31</v>
      </c>
      <c r="R1268" s="25">
        <v>44714</v>
      </c>
      <c r="S1268" s="28"/>
      <c r="T1268" s="35"/>
      <c r="U1268" s="35"/>
      <c r="V1268" s="29"/>
      <c r="W1268" s="35"/>
      <c r="X1268" s="29"/>
      <c r="Y1268" s="36"/>
      <c r="Z1268" s="29"/>
      <c r="AA1268" s="31">
        <f t="shared" si="1"/>
        <v>44714</v>
      </c>
      <c r="AB1268" s="32" t="str">
        <f t="shared" si="5"/>
        <v>junio</v>
      </c>
    </row>
    <row r="1269" spans="1:28" ht="12.75">
      <c r="A1269" s="9" t="s">
        <v>58</v>
      </c>
      <c r="B1269" s="10">
        <v>44719</v>
      </c>
      <c r="C1269" s="11">
        <v>44719</v>
      </c>
      <c r="D1269" s="42">
        <v>23</v>
      </c>
      <c r="E1269" s="13" t="s">
        <v>1731</v>
      </c>
      <c r="F1269" s="13">
        <v>3025457</v>
      </c>
      <c r="G1269" s="37">
        <v>13650.5</v>
      </c>
      <c r="H1269" s="40">
        <v>200</v>
      </c>
      <c r="I1269" s="16">
        <f>-H1269*G1269</f>
        <v>-2730100</v>
      </c>
      <c r="J1269" s="17">
        <v>0</v>
      </c>
      <c r="K1269" s="34">
        <v>4502342483</v>
      </c>
      <c r="L1269" s="19">
        <v>5082130568</v>
      </c>
      <c r="M1269" s="20">
        <v>5113356515</v>
      </c>
      <c r="N1269" s="23"/>
      <c r="O1269" s="23"/>
      <c r="P1269" s="23"/>
      <c r="Q1269" s="24" t="s">
        <v>31</v>
      </c>
      <c r="R1269" s="25">
        <v>44714</v>
      </c>
      <c r="S1269" s="28"/>
      <c r="T1269" s="35"/>
      <c r="U1269" s="35"/>
      <c r="V1269" s="29"/>
      <c r="W1269" s="35"/>
      <c r="X1269" s="29"/>
      <c r="Y1269" s="36"/>
      <c r="Z1269" s="29"/>
      <c r="AA1269" s="31">
        <f t="shared" si="1"/>
        <v>44714</v>
      </c>
      <c r="AB1269" s="32" t="str">
        <f t="shared" si="5"/>
        <v>junio</v>
      </c>
    </row>
    <row r="1270" spans="1:28" ht="12.75">
      <c r="A1270" s="9" t="s">
        <v>58</v>
      </c>
      <c r="B1270" s="10">
        <v>44719</v>
      </c>
      <c r="C1270" s="11">
        <v>44719</v>
      </c>
      <c r="D1270" s="42">
        <v>23</v>
      </c>
      <c r="E1270" s="13" t="s">
        <v>1732</v>
      </c>
      <c r="F1270" s="13">
        <v>3025457</v>
      </c>
      <c r="G1270" s="14">
        <v>41916</v>
      </c>
      <c r="H1270" s="40">
        <v>9650</v>
      </c>
      <c r="I1270" s="16">
        <f>H1270*G1270</f>
        <v>404489400</v>
      </c>
      <c r="J1270" s="17">
        <v>90</v>
      </c>
      <c r="K1270" s="34">
        <v>4502342483</v>
      </c>
      <c r="L1270" s="19">
        <v>5082130568</v>
      </c>
      <c r="M1270" s="20">
        <v>5113356516</v>
      </c>
      <c r="N1270" s="23"/>
      <c r="O1270" s="9" t="s">
        <v>37</v>
      </c>
      <c r="P1270" s="23" t="s">
        <v>1733</v>
      </c>
      <c r="Q1270" s="24" t="s">
        <v>31</v>
      </c>
      <c r="R1270" s="25">
        <v>44714</v>
      </c>
      <c r="S1270" s="28"/>
      <c r="T1270" s="35"/>
      <c r="U1270" s="35"/>
      <c r="V1270" s="29"/>
      <c r="W1270" s="35"/>
      <c r="X1270" s="29"/>
      <c r="Y1270" s="36"/>
      <c r="Z1270" s="29"/>
      <c r="AA1270" s="31">
        <f t="shared" si="1"/>
        <v>44714</v>
      </c>
      <c r="AB1270" s="32" t="str">
        <f t="shared" si="5"/>
        <v>junio</v>
      </c>
    </row>
    <row r="1271" spans="1:28" ht="12.75">
      <c r="A1271" s="9" t="s">
        <v>58</v>
      </c>
      <c r="B1271" s="10">
        <v>44719</v>
      </c>
      <c r="C1271" s="11">
        <v>44719</v>
      </c>
      <c r="D1271" s="42">
        <v>23</v>
      </c>
      <c r="E1271" s="13" t="s">
        <v>1734</v>
      </c>
      <c r="F1271" s="13">
        <v>3025457</v>
      </c>
      <c r="G1271" s="14">
        <v>41916</v>
      </c>
      <c r="H1271" s="40">
        <f>9650-9644.6</f>
        <v>5.3999999999996362</v>
      </c>
      <c r="I1271" s="16">
        <f>-H1271*G1271</f>
        <v>-226346.39999998474</v>
      </c>
      <c r="J1271" s="17">
        <v>0</v>
      </c>
      <c r="K1271" s="34">
        <v>4502342483</v>
      </c>
      <c r="L1271" s="19">
        <v>5082130568</v>
      </c>
      <c r="M1271" s="20">
        <v>5113356528</v>
      </c>
      <c r="N1271" s="23"/>
      <c r="O1271" s="23"/>
      <c r="P1271" s="23"/>
      <c r="Q1271" s="24" t="s">
        <v>31</v>
      </c>
      <c r="R1271" s="25">
        <v>44714</v>
      </c>
      <c r="S1271" s="28"/>
      <c r="T1271" s="35"/>
      <c r="U1271" s="35"/>
      <c r="V1271" s="29"/>
      <c r="W1271" s="35"/>
      <c r="X1271" s="29"/>
      <c r="Y1271" s="36"/>
      <c r="Z1271" s="29"/>
      <c r="AA1271" s="31">
        <f t="shared" si="1"/>
        <v>44714</v>
      </c>
      <c r="AB1271" s="32" t="str">
        <f t="shared" si="5"/>
        <v>junio</v>
      </c>
    </row>
    <row r="1272" spans="1:28" ht="12.75">
      <c r="A1272" s="22" t="s">
        <v>719</v>
      </c>
      <c r="B1272" s="10">
        <v>44714</v>
      </c>
      <c r="C1272" s="11">
        <v>44719</v>
      </c>
      <c r="D1272" s="42">
        <v>23</v>
      </c>
      <c r="E1272" s="13" t="s">
        <v>1735</v>
      </c>
      <c r="F1272" s="13">
        <v>3025457</v>
      </c>
      <c r="G1272" s="14">
        <v>6920.5</v>
      </c>
      <c r="H1272" s="40">
        <v>9250</v>
      </c>
      <c r="I1272" s="16">
        <f>H1272*G1272</f>
        <v>64014625</v>
      </c>
      <c r="J1272" s="17">
        <v>15</v>
      </c>
      <c r="K1272" s="34">
        <v>4502342484</v>
      </c>
      <c r="L1272" s="19">
        <v>5082130569</v>
      </c>
      <c r="M1272" s="20">
        <v>5113356550</v>
      </c>
      <c r="N1272" s="23"/>
      <c r="O1272" s="9" t="s">
        <v>37</v>
      </c>
      <c r="P1272" s="23"/>
      <c r="Q1272" s="24" t="s">
        <v>31</v>
      </c>
      <c r="R1272" s="25">
        <v>44714</v>
      </c>
      <c r="S1272" s="28"/>
      <c r="T1272" s="35"/>
      <c r="U1272" s="35"/>
      <c r="V1272" s="29"/>
      <c r="W1272" s="35"/>
      <c r="X1272" s="29"/>
      <c r="Y1272" s="36"/>
      <c r="Z1272" s="29"/>
      <c r="AA1272" s="31">
        <f t="shared" si="1"/>
        <v>44714</v>
      </c>
      <c r="AB1272" s="32" t="str">
        <f t="shared" si="5"/>
        <v>junio</v>
      </c>
    </row>
    <row r="1273" spans="1:28" ht="12.75">
      <c r="A1273" s="22" t="s">
        <v>719</v>
      </c>
      <c r="B1273" s="10">
        <v>44714</v>
      </c>
      <c r="C1273" s="11">
        <v>44719</v>
      </c>
      <c r="D1273" s="42">
        <v>23</v>
      </c>
      <c r="E1273" s="13" t="s">
        <v>226</v>
      </c>
      <c r="F1273" s="13">
        <v>3025457</v>
      </c>
      <c r="G1273" s="14">
        <v>6920.5</v>
      </c>
      <c r="H1273" s="40">
        <v>100</v>
      </c>
      <c r="I1273" s="16">
        <f>-H1273*G1273</f>
        <v>-692050</v>
      </c>
      <c r="J1273" s="17">
        <v>0</v>
      </c>
      <c r="K1273" s="34">
        <v>4502342484</v>
      </c>
      <c r="L1273" s="19">
        <v>5082130569</v>
      </c>
      <c r="M1273" s="20">
        <v>5113356553</v>
      </c>
      <c r="N1273" s="23"/>
      <c r="O1273" s="23"/>
      <c r="P1273" s="23"/>
      <c r="Q1273" s="24" t="s">
        <v>31</v>
      </c>
      <c r="R1273" s="25">
        <v>44714</v>
      </c>
      <c r="S1273" s="28"/>
      <c r="T1273" s="35"/>
      <c r="U1273" s="35"/>
      <c r="V1273" s="29"/>
      <c r="W1273" s="35"/>
      <c r="X1273" s="29"/>
      <c r="Y1273" s="36"/>
      <c r="Z1273" s="29"/>
      <c r="AA1273" s="31">
        <f t="shared" si="1"/>
        <v>44714</v>
      </c>
      <c r="AB1273" s="32" t="str">
        <f t="shared" si="5"/>
        <v>junio</v>
      </c>
    </row>
    <row r="1274" spans="1:28" ht="12.75">
      <c r="A1274" s="9" t="s">
        <v>209</v>
      </c>
      <c r="B1274" s="10">
        <v>44718</v>
      </c>
      <c r="C1274" s="11"/>
      <c r="D1274" s="42">
        <v>23</v>
      </c>
      <c r="E1274" s="13" t="s">
        <v>1736</v>
      </c>
      <c r="F1274" s="13">
        <v>3025457</v>
      </c>
      <c r="G1274" s="14">
        <v>7263</v>
      </c>
      <c r="H1274" s="40">
        <v>9200</v>
      </c>
      <c r="I1274" s="16">
        <f>H1274*G1274</f>
        <v>66819600</v>
      </c>
      <c r="J1274" s="17">
        <v>15</v>
      </c>
      <c r="K1274" s="34">
        <v>4502342485</v>
      </c>
      <c r="L1274" s="19">
        <v>5082130570</v>
      </c>
      <c r="M1274" s="20">
        <v>5113355403</v>
      </c>
      <c r="N1274" s="21"/>
      <c r="O1274" s="23" t="s">
        <v>313</v>
      </c>
      <c r="P1274" s="23"/>
      <c r="Q1274" s="24" t="s">
        <v>31</v>
      </c>
      <c r="R1274" s="25">
        <v>44714</v>
      </c>
      <c r="S1274" s="28"/>
      <c r="T1274" s="35"/>
      <c r="U1274" s="35"/>
      <c r="V1274" s="29"/>
      <c r="W1274" s="35"/>
      <c r="X1274" s="29"/>
      <c r="Y1274" s="36"/>
      <c r="Z1274" s="29"/>
      <c r="AA1274" s="31">
        <f t="shared" si="1"/>
        <v>44714</v>
      </c>
      <c r="AB1274" s="32" t="str">
        <f t="shared" si="5"/>
        <v>junio</v>
      </c>
    </row>
    <row r="1275" spans="1:28" ht="12.75">
      <c r="A1275" s="9" t="s">
        <v>209</v>
      </c>
      <c r="B1275" s="10">
        <v>44718</v>
      </c>
      <c r="C1275" s="11"/>
      <c r="D1275" s="42">
        <v>23</v>
      </c>
      <c r="E1275" s="13" t="s">
        <v>1737</v>
      </c>
      <c r="F1275" s="13">
        <v>3025457</v>
      </c>
      <c r="G1275" s="14">
        <v>7263</v>
      </c>
      <c r="H1275" s="40">
        <v>50</v>
      </c>
      <c r="I1275" s="16">
        <f>-H1275*G1275</f>
        <v>-363150</v>
      </c>
      <c r="J1275" s="17">
        <v>0</v>
      </c>
      <c r="K1275" s="34">
        <v>4502342485</v>
      </c>
      <c r="L1275" s="19">
        <v>5082130570</v>
      </c>
      <c r="M1275" s="20">
        <v>5113355404</v>
      </c>
      <c r="N1275" s="23"/>
      <c r="O1275" s="23"/>
      <c r="P1275" s="23"/>
      <c r="Q1275" s="24" t="s">
        <v>31</v>
      </c>
      <c r="R1275" s="25">
        <v>44714</v>
      </c>
      <c r="S1275" s="28"/>
      <c r="T1275" s="35"/>
      <c r="U1275" s="35"/>
      <c r="V1275" s="29"/>
      <c r="W1275" s="35"/>
      <c r="X1275" s="29"/>
      <c r="Y1275" s="36"/>
      <c r="Z1275" s="29"/>
      <c r="AA1275" s="31">
        <f t="shared" si="1"/>
        <v>44714</v>
      </c>
      <c r="AB1275" s="32" t="str">
        <f t="shared" si="5"/>
        <v>junio</v>
      </c>
    </row>
    <row r="1276" spans="1:28" ht="12.75">
      <c r="A1276" s="9" t="s">
        <v>477</v>
      </c>
      <c r="B1276" s="10">
        <v>44718</v>
      </c>
      <c r="C1276" s="11">
        <v>44719</v>
      </c>
      <c r="D1276" s="42">
        <v>23</v>
      </c>
      <c r="E1276" s="13" t="s">
        <v>1738</v>
      </c>
      <c r="F1276" s="13">
        <v>3025457</v>
      </c>
      <c r="G1276" s="37">
        <v>15194.5</v>
      </c>
      <c r="H1276" s="40">
        <v>9250</v>
      </c>
      <c r="I1276" s="16">
        <f t="shared" ref="I1276:I1277" si="188">H1276*G1276</f>
        <v>140549125</v>
      </c>
      <c r="J1276" s="17">
        <v>29</v>
      </c>
      <c r="K1276" s="34">
        <v>4502342486</v>
      </c>
      <c r="L1276" s="19">
        <v>5082130571</v>
      </c>
      <c r="M1276" s="20">
        <v>5113356556</v>
      </c>
      <c r="N1276" s="21"/>
      <c r="O1276" s="9" t="s">
        <v>37</v>
      </c>
      <c r="P1276" s="23"/>
      <c r="Q1276" s="24" t="s">
        <v>31</v>
      </c>
      <c r="R1276" s="25">
        <v>44714</v>
      </c>
      <c r="S1276" s="28"/>
      <c r="T1276" s="35"/>
      <c r="U1276" s="35"/>
      <c r="V1276" s="29"/>
      <c r="W1276" s="35"/>
      <c r="X1276" s="29"/>
      <c r="Y1276" s="36"/>
      <c r="Z1276" s="29"/>
      <c r="AA1276" s="31">
        <f t="shared" si="1"/>
        <v>44714</v>
      </c>
      <c r="AB1276" s="32" t="str">
        <f t="shared" si="5"/>
        <v>junio</v>
      </c>
    </row>
    <row r="1277" spans="1:28" ht="12.75">
      <c r="A1277" s="9" t="s">
        <v>39</v>
      </c>
      <c r="B1277" s="10">
        <v>44715</v>
      </c>
      <c r="C1277" s="11">
        <v>44718</v>
      </c>
      <c r="D1277" s="42">
        <v>23</v>
      </c>
      <c r="E1277" s="13" t="s">
        <v>1739</v>
      </c>
      <c r="F1277" s="13">
        <v>3025459</v>
      </c>
      <c r="G1277" s="14">
        <v>33866</v>
      </c>
      <c r="H1277" s="40">
        <v>9600</v>
      </c>
      <c r="I1277" s="16">
        <f t="shared" si="188"/>
        <v>325113600</v>
      </c>
      <c r="J1277" s="17">
        <v>71</v>
      </c>
      <c r="K1277" s="34">
        <v>4502342487</v>
      </c>
      <c r="L1277" s="19">
        <v>5082133178</v>
      </c>
      <c r="M1277" s="20">
        <v>5113354229</v>
      </c>
      <c r="N1277" s="23"/>
      <c r="O1277" s="23" t="s">
        <v>37</v>
      </c>
      <c r="P1277" s="23"/>
      <c r="Q1277" s="24" t="s">
        <v>31</v>
      </c>
      <c r="R1277" s="25">
        <v>44714</v>
      </c>
      <c r="S1277" s="28"/>
      <c r="T1277" s="35"/>
      <c r="U1277" s="35"/>
      <c r="V1277" s="29"/>
      <c r="W1277" s="35"/>
      <c r="X1277" s="29"/>
      <c r="Y1277" s="36"/>
      <c r="Z1277" s="29"/>
      <c r="AA1277" s="31">
        <f t="shared" si="1"/>
        <v>44714</v>
      </c>
      <c r="AB1277" s="32" t="str">
        <f t="shared" si="5"/>
        <v>junio</v>
      </c>
    </row>
    <row r="1278" spans="1:28" ht="12.75">
      <c r="A1278" s="9" t="s">
        <v>39</v>
      </c>
      <c r="B1278" s="10">
        <v>44718</v>
      </c>
      <c r="C1278" s="11">
        <v>44718</v>
      </c>
      <c r="D1278" s="42">
        <v>23</v>
      </c>
      <c r="E1278" s="13" t="s">
        <v>512</v>
      </c>
      <c r="F1278" s="13">
        <v>3025459</v>
      </c>
      <c r="G1278" s="14">
        <v>33866</v>
      </c>
      <c r="H1278" s="40">
        <f>9600-9428.72</f>
        <v>171.28000000000065</v>
      </c>
      <c r="I1278" s="16">
        <f>-H1278*G1278</f>
        <v>-5800568.4800000219</v>
      </c>
      <c r="J1278" s="17">
        <v>0</v>
      </c>
      <c r="K1278" s="34">
        <v>4502342487</v>
      </c>
      <c r="L1278" s="19">
        <v>5082133178</v>
      </c>
      <c r="M1278" s="20">
        <v>5113354231</v>
      </c>
      <c r="N1278" s="23"/>
      <c r="O1278" s="23"/>
      <c r="P1278" s="23"/>
      <c r="Q1278" s="24" t="s">
        <v>31</v>
      </c>
      <c r="R1278" s="25">
        <v>44714</v>
      </c>
      <c r="S1278" s="28"/>
      <c r="T1278" s="35"/>
      <c r="U1278" s="35"/>
      <c r="V1278" s="29"/>
      <c r="W1278" s="35"/>
      <c r="X1278" s="29"/>
      <c r="Y1278" s="36"/>
      <c r="Z1278" s="29"/>
      <c r="AA1278" s="31">
        <f t="shared" si="1"/>
        <v>44714</v>
      </c>
      <c r="AB1278" s="32" t="str">
        <f t="shared" si="5"/>
        <v>junio</v>
      </c>
    </row>
    <row r="1279" spans="1:28" ht="12.75">
      <c r="A1279" s="9" t="s">
        <v>80</v>
      </c>
      <c r="B1279" s="10">
        <v>44714</v>
      </c>
      <c r="C1279" s="11"/>
      <c r="D1279" s="42">
        <v>23</v>
      </c>
      <c r="E1279" s="13" t="s">
        <v>1740</v>
      </c>
      <c r="F1279" s="13">
        <v>3025460</v>
      </c>
      <c r="G1279" s="14">
        <v>40573</v>
      </c>
      <c r="H1279" s="15">
        <v>9050</v>
      </c>
      <c r="I1279" s="16">
        <f t="shared" ref="I1279:I1283" si="189">H1279*G1279</f>
        <v>367185650</v>
      </c>
      <c r="J1279" s="17">
        <v>84</v>
      </c>
      <c r="K1279" s="34">
        <v>4502344469</v>
      </c>
      <c r="L1279" s="19">
        <v>5082134291</v>
      </c>
      <c r="M1279" s="20">
        <v>5113356508</v>
      </c>
      <c r="N1279" s="23"/>
      <c r="O1279" s="44" t="s">
        <v>1741</v>
      </c>
      <c r="P1279" s="23"/>
      <c r="Q1279" s="24" t="s">
        <v>31</v>
      </c>
      <c r="R1279" s="25">
        <v>44714</v>
      </c>
      <c r="S1279" s="28">
        <v>4902280190</v>
      </c>
      <c r="T1279" s="35">
        <v>10954800</v>
      </c>
      <c r="U1279" s="28" t="s">
        <v>1742</v>
      </c>
      <c r="V1279" s="29">
        <v>5113357647</v>
      </c>
      <c r="W1279" s="28" t="s">
        <v>1743</v>
      </c>
      <c r="X1279" s="29">
        <v>5113357606</v>
      </c>
      <c r="Y1279" s="36"/>
      <c r="Z1279" s="29"/>
      <c r="AA1279" s="31">
        <f t="shared" si="1"/>
        <v>44714</v>
      </c>
      <c r="AB1279" s="32" t="str">
        <f t="shared" si="5"/>
        <v>junio</v>
      </c>
    </row>
    <row r="1280" spans="1:28" ht="12.75">
      <c r="A1280" s="9" t="s">
        <v>58</v>
      </c>
      <c r="B1280" s="10">
        <v>44719</v>
      </c>
      <c r="C1280" s="11">
        <v>44719</v>
      </c>
      <c r="D1280" s="42">
        <v>23</v>
      </c>
      <c r="E1280" s="13" t="s">
        <v>1744</v>
      </c>
      <c r="F1280" s="13">
        <v>3025457</v>
      </c>
      <c r="G1280" s="14">
        <v>6982.5</v>
      </c>
      <c r="H1280" s="40">
        <v>9650</v>
      </c>
      <c r="I1280" s="16">
        <f t="shared" si="189"/>
        <v>67381125</v>
      </c>
      <c r="J1280" s="17">
        <v>15</v>
      </c>
      <c r="K1280" s="34">
        <v>4502342488</v>
      </c>
      <c r="L1280" s="19">
        <v>5082169141</v>
      </c>
      <c r="M1280" s="20">
        <v>5113355362</v>
      </c>
      <c r="N1280" s="23"/>
      <c r="O1280" s="9" t="s">
        <v>37</v>
      </c>
      <c r="P1280" s="23" t="s">
        <v>1662</v>
      </c>
      <c r="Q1280" s="24" t="s">
        <v>31</v>
      </c>
      <c r="R1280" s="25">
        <v>44715</v>
      </c>
      <c r="S1280" s="28"/>
      <c r="T1280" s="114"/>
      <c r="U1280" s="35"/>
      <c r="V1280" s="29"/>
      <c r="W1280" s="35"/>
      <c r="X1280" s="29"/>
      <c r="Y1280" s="36"/>
      <c r="Z1280" s="29"/>
      <c r="AA1280" s="31">
        <f t="shared" si="1"/>
        <v>44715</v>
      </c>
      <c r="AB1280" s="32" t="str">
        <f t="shared" si="5"/>
        <v>junio</v>
      </c>
    </row>
    <row r="1281" spans="1:28" ht="12.75">
      <c r="A1281" s="9" t="s">
        <v>819</v>
      </c>
      <c r="B1281" s="10">
        <v>44715</v>
      </c>
      <c r="C1281" s="11"/>
      <c r="D1281" s="42">
        <v>23</v>
      </c>
      <c r="E1281" s="13">
        <v>6040</v>
      </c>
      <c r="F1281" s="13">
        <v>3025457</v>
      </c>
      <c r="G1281" s="37">
        <v>42380.5</v>
      </c>
      <c r="H1281" s="40">
        <v>9500</v>
      </c>
      <c r="I1281" s="16">
        <f t="shared" si="189"/>
        <v>402614750</v>
      </c>
      <c r="J1281" s="17">
        <v>84</v>
      </c>
      <c r="K1281" s="34">
        <v>4502342506</v>
      </c>
      <c r="L1281" s="19">
        <v>5082117659</v>
      </c>
      <c r="M1281" s="20">
        <v>5113358071</v>
      </c>
      <c r="N1281" s="23"/>
      <c r="O1281" s="23"/>
      <c r="P1281" s="23" t="s">
        <v>1662</v>
      </c>
      <c r="Q1281" s="24" t="s">
        <v>31</v>
      </c>
      <c r="R1281" s="25">
        <v>44715</v>
      </c>
      <c r="S1281" s="28"/>
      <c r="T1281" s="35"/>
      <c r="U1281" s="35"/>
      <c r="V1281" s="29"/>
      <c r="W1281" s="35"/>
      <c r="X1281" s="29"/>
      <c r="Y1281" s="36"/>
      <c r="Z1281" s="29"/>
      <c r="AA1281" s="31">
        <f t="shared" si="1"/>
        <v>44715</v>
      </c>
      <c r="AB1281" s="32" t="str">
        <f t="shared" si="5"/>
        <v>junio</v>
      </c>
    </row>
    <row r="1282" spans="1:28" ht="12.75">
      <c r="A1282" s="9" t="s">
        <v>85</v>
      </c>
      <c r="B1282" s="10">
        <v>44715</v>
      </c>
      <c r="C1282" s="11">
        <v>44627</v>
      </c>
      <c r="D1282" s="42">
        <v>23</v>
      </c>
      <c r="E1282" s="13" t="s">
        <v>1745</v>
      </c>
      <c r="F1282" s="13">
        <v>3025459</v>
      </c>
      <c r="G1282" s="14">
        <v>26782</v>
      </c>
      <c r="H1282" s="15">
        <v>9100</v>
      </c>
      <c r="I1282" s="16">
        <f t="shared" si="189"/>
        <v>243716200</v>
      </c>
      <c r="J1282" s="17">
        <v>56</v>
      </c>
      <c r="K1282" s="34">
        <v>4502347132</v>
      </c>
      <c r="L1282" s="19">
        <v>5082197684</v>
      </c>
      <c r="M1282" s="20">
        <v>5113358045</v>
      </c>
      <c r="N1282" s="23"/>
      <c r="O1282" s="44" t="s">
        <v>1746</v>
      </c>
      <c r="P1282" s="23"/>
      <c r="Q1282" s="24" t="s">
        <v>31</v>
      </c>
      <c r="R1282" s="25">
        <v>44715</v>
      </c>
      <c r="S1282" s="28">
        <v>4902280920</v>
      </c>
      <c r="T1282" s="35">
        <f>1793900*4</f>
        <v>7175600</v>
      </c>
      <c r="U1282" s="28" t="s">
        <v>1747</v>
      </c>
      <c r="V1282" s="29">
        <v>5113357649</v>
      </c>
      <c r="W1282" s="35"/>
      <c r="X1282" s="29"/>
      <c r="Y1282" s="36"/>
      <c r="Z1282" s="29"/>
      <c r="AA1282" s="31">
        <f t="shared" si="1"/>
        <v>44715</v>
      </c>
      <c r="AB1282" s="32" t="str">
        <f t="shared" si="5"/>
        <v>junio</v>
      </c>
    </row>
    <row r="1283" spans="1:28" ht="12.75">
      <c r="A1283" s="9" t="s">
        <v>58</v>
      </c>
      <c r="B1283" s="10">
        <v>44719</v>
      </c>
      <c r="C1283" s="11">
        <v>44719</v>
      </c>
      <c r="D1283" s="42">
        <v>23</v>
      </c>
      <c r="E1283" s="13" t="s">
        <v>1744</v>
      </c>
      <c r="F1283" s="13">
        <v>3025457</v>
      </c>
      <c r="G1283" s="37">
        <v>41069.5</v>
      </c>
      <c r="H1283" s="40">
        <v>9650</v>
      </c>
      <c r="I1283" s="16">
        <f t="shared" si="189"/>
        <v>396320675</v>
      </c>
      <c r="J1283" s="17">
        <v>91</v>
      </c>
      <c r="K1283" s="34">
        <v>4502342489</v>
      </c>
      <c r="L1283" s="19">
        <v>5082169141</v>
      </c>
      <c r="M1283" s="20">
        <v>5113355362</v>
      </c>
      <c r="N1283" s="23"/>
      <c r="O1283" s="9" t="s">
        <v>37</v>
      </c>
      <c r="P1283" s="23" t="s">
        <v>1662</v>
      </c>
      <c r="Q1283" s="24" t="s">
        <v>31</v>
      </c>
      <c r="R1283" s="25">
        <v>44715</v>
      </c>
      <c r="S1283" s="28"/>
      <c r="T1283" s="35"/>
      <c r="U1283" s="35"/>
      <c r="V1283" s="29"/>
      <c r="W1283" s="35"/>
      <c r="X1283" s="29"/>
      <c r="Y1283" s="36"/>
      <c r="Z1283" s="29"/>
      <c r="AA1283" s="31">
        <f t="shared" si="1"/>
        <v>44715</v>
      </c>
      <c r="AB1283" s="32" t="str">
        <f t="shared" si="5"/>
        <v>junio</v>
      </c>
    </row>
    <row r="1284" spans="1:28" ht="12.75">
      <c r="A1284" s="9" t="s">
        <v>58</v>
      </c>
      <c r="B1284" s="10">
        <v>44719</v>
      </c>
      <c r="C1284" s="11">
        <v>44719</v>
      </c>
      <c r="D1284" s="42">
        <v>23</v>
      </c>
      <c r="E1284" s="13" t="s">
        <v>1748</v>
      </c>
      <c r="F1284" s="13">
        <v>3025457</v>
      </c>
      <c r="G1284" s="37">
        <v>48052</v>
      </c>
      <c r="H1284" s="40">
        <f>9650-9644.31</f>
        <v>5.6900000000005093</v>
      </c>
      <c r="I1284" s="16">
        <f>-H1284*G1284</f>
        <v>-273415.88000002445</v>
      </c>
      <c r="J1284" s="17">
        <v>0</v>
      </c>
      <c r="K1284" s="34">
        <v>4502342489</v>
      </c>
      <c r="L1284" s="19">
        <v>5082169141</v>
      </c>
      <c r="M1284" s="20">
        <v>5113355959</v>
      </c>
      <c r="N1284" s="23"/>
      <c r="O1284" s="23"/>
      <c r="P1284" s="23"/>
      <c r="Q1284" s="24" t="s">
        <v>31</v>
      </c>
      <c r="R1284" s="25">
        <v>44715</v>
      </c>
      <c r="S1284" s="28"/>
      <c r="T1284" s="35"/>
      <c r="U1284" s="35"/>
      <c r="V1284" s="29"/>
      <c r="W1284" s="35"/>
      <c r="X1284" s="29"/>
      <c r="Y1284" s="36"/>
      <c r="Z1284" s="29"/>
      <c r="AA1284" s="31">
        <f t="shared" si="1"/>
        <v>44715</v>
      </c>
      <c r="AB1284" s="32" t="str">
        <f t="shared" si="5"/>
        <v>junio</v>
      </c>
    </row>
    <row r="1285" spans="1:28" ht="12.75">
      <c r="A1285" s="9" t="s">
        <v>58</v>
      </c>
      <c r="B1285" s="10">
        <v>44719</v>
      </c>
      <c r="C1285" s="11">
        <v>44719</v>
      </c>
      <c r="D1285" s="42">
        <v>23</v>
      </c>
      <c r="E1285" s="13" t="s">
        <v>1749</v>
      </c>
      <c r="F1285" s="13">
        <v>3025460</v>
      </c>
      <c r="G1285" s="37">
        <v>13162.5</v>
      </c>
      <c r="H1285" s="40">
        <v>9650</v>
      </c>
      <c r="I1285" s="16">
        <f>H1285*G1285</f>
        <v>127018125</v>
      </c>
      <c r="J1285" s="17">
        <v>30</v>
      </c>
      <c r="K1285" s="34">
        <v>4502343729</v>
      </c>
      <c r="L1285" s="19">
        <v>5082169146</v>
      </c>
      <c r="M1285" s="20">
        <v>5113355963</v>
      </c>
      <c r="N1285" s="23"/>
      <c r="O1285" s="9" t="s">
        <v>37</v>
      </c>
      <c r="P1285" s="23" t="s">
        <v>1662</v>
      </c>
      <c r="Q1285" s="24" t="s">
        <v>31</v>
      </c>
      <c r="R1285" s="25">
        <v>44715</v>
      </c>
      <c r="S1285" s="28"/>
      <c r="T1285" s="35"/>
      <c r="U1285" s="35"/>
      <c r="V1285" s="29"/>
      <c r="W1285" s="35"/>
      <c r="X1285" s="29"/>
      <c r="Y1285" s="36"/>
      <c r="Z1285" s="29"/>
      <c r="AA1285" s="31">
        <f t="shared" si="1"/>
        <v>44715</v>
      </c>
      <c r="AB1285" s="32" t="str">
        <f t="shared" si="5"/>
        <v>junio</v>
      </c>
    </row>
    <row r="1286" spans="1:28" ht="12.75">
      <c r="A1286" s="9" t="s">
        <v>58</v>
      </c>
      <c r="B1286" s="10">
        <v>44719</v>
      </c>
      <c r="C1286" s="11">
        <v>44719</v>
      </c>
      <c r="D1286" s="42">
        <v>23</v>
      </c>
      <c r="E1286" s="13" t="s">
        <v>1750</v>
      </c>
      <c r="F1286" s="13">
        <v>3025460</v>
      </c>
      <c r="G1286" s="37">
        <v>13162.5</v>
      </c>
      <c r="H1286" s="40">
        <f>9650-9644.28</f>
        <v>5.7199999999993452</v>
      </c>
      <c r="I1286" s="16">
        <f>-H1286*G1286</f>
        <v>-75289.499999991385</v>
      </c>
      <c r="J1286" s="17">
        <v>0</v>
      </c>
      <c r="K1286" s="34">
        <v>4502343729</v>
      </c>
      <c r="L1286" s="19">
        <v>5082169146</v>
      </c>
      <c r="M1286" s="20">
        <v>5113355978</v>
      </c>
      <c r="N1286" s="23"/>
      <c r="O1286" s="23"/>
      <c r="P1286" s="23"/>
      <c r="Q1286" s="24" t="s">
        <v>31</v>
      </c>
      <c r="R1286" s="25">
        <v>44715</v>
      </c>
      <c r="S1286" s="28"/>
      <c r="T1286" s="35"/>
      <c r="U1286" s="35"/>
      <c r="V1286" s="29"/>
      <c r="W1286" s="35"/>
      <c r="X1286" s="29"/>
      <c r="Y1286" s="36"/>
      <c r="Z1286" s="29"/>
      <c r="AA1286" s="31">
        <f t="shared" si="1"/>
        <v>44715</v>
      </c>
      <c r="AB1286" s="32" t="str">
        <f t="shared" si="5"/>
        <v>junio</v>
      </c>
    </row>
    <row r="1287" spans="1:28" ht="12.75">
      <c r="A1287" s="22" t="s">
        <v>404</v>
      </c>
      <c r="B1287" s="10">
        <v>44715</v>
      </c>
      <c r="C1287" s="11">
        <v>44718</v>
      </c>
      <c r="D1287" s="42">
        <v>23</v>
      </c>
      <c r="E1287" s="13" t="s">
        <v>1751</v>
      </c>
      <c r="F1287" s="13">
        <v>3025460</v>
      </c>
      <c r="G1287" s="14">
        <v>25054</v>
      </c>
      <c r="H1287" s="40">
        <v>9600</v>
      </c>
      <c r="I1287" s="16">
        <f>H1287*G1287</f>
        <v>240518400</v>
      </c>
      <c r="J1287" s="17">
        <v>60</v>
      </c>
      <c r="K1287" s="34">
        <v>4502342490</v>
      </c>
      <c r="L1287" s="19">
        <v>5082178338</v>
      </c>
      <c r="M1287" s="20">
        <v>5113358333</v>
      </c>
      <c r="N1287" s="23"/>
      <c r="O1287" s="44" t="s">
        <v>313</v>
      </c>
      <c r="P1287" s="23" t="s">
        <v>1662</v>
      </c>
      <c r="Q1287" s="24" t="s">
        <v>31</v>
      </c>
      <c r="R1287" s="25">
        <v>44715</v>
      </c>
      <c r="S1287" s="28"/>
      <c r="T1287" s="35"/>
      <c r="U1287" s="35"/>
      <c r="V1287" s="29"/>
      <c r="W1287" s="35"/>
      <c r="X1287" s="29"/>
      <c r="Y1287" s="36"/>
      <c r="Z1287" s="29"/>
      <c r="AA1287" s="31">
        <f t="shared" si="1"/>
        <v>44715</v>
      </c>
      <c r="AB1287" s="32" t="str">
        <f t="shared" si="5"/>
        <v>junio</v>
      </c>
    </row>
    <row r="1288" spans="1:28" ht="12.75">
      <c r="A1288" s="22" t="s">
        <v>404</v>
      </c>
      <c r="B1288" s="10">
        <v>44718</v>
      </c>
      <c r="C1288" s="11">
        <v>44718</v>
      </c>
      <c r="D1288" s="42">
        <v>23</v>
      </c>
      <c r="E1288" s="13" t="s">
        <v>639</v>
      </c>
      <c r="F1288" s="13">
        <v>3025460</v>
      </c>
      <c r="G1288" s="14">
        <v>25054</v>
      </c>
      <c r="H1288" s="40">
        <f>9600-9534.41</f>
        <v>65.590000000000146</v>
      </c>
      <c r="I1288" s="16">
        <f>-H1288*G1288</f>
        <v>-1643291.8600000036</v>
      </c>
      <c r="J1288" s="17">
        <v>0</v>
      </c>
      <c r="K1288" s="34">
        <v>4502342490</v>
      </c>
      <c r="L1288" s="19">
        <v>5082178338</v>
      </c>
      <c r="M1288" s="20">
        <v>5113358334</v>
      </c>
      <c r="N1288" s="23"/>
      <c r="O1288" s="23"/>
      <c r="P1288" s="23"/>
      <c r="Q1288" s="24" t="s">
        <v>31</v>
      </c>
      <c r="R1288" s="25">
        <v>44715</v>
      </c>
      <c r="S1288" s="28"/>
      <c r="T1288" s="35"/>
      <c r="U1288" s="35"/>
      <c r="V1288" s="29"/>
      <c r="W1288" s="35"/>
      <c r="X1288" s="29"/>
      <c r="Y1288" s="36"/>
      <c r="Z1288" s="29"/>
      <c r="AA1288" s="31">
        <f t="shared" si="1"/>
        <v>44715</v>
      </c>
      <c r="AB1288" s="32" t="str">
        <f t="shared" si="5"/>
        <v>junio</v>
      </c>
    </row>
    <row r="1289" spans="1:28" ht="12.75">
      <c r="A1289" s="9" t="s">
        <v>65</v>
      </c>
      <c r="B1289" s="10">
        <v>44719</v>
      </c>
      <c r="C1289" s="11">
        <v>44719</v>
      </c>
      <c r="D1289" s="42">
        <v>23</v>
      </c>
      <c r="E1289" s="13" t="s">
        <v>1752</v>
      </c>
      <c r="F1289" s="13">
        <v>3025457</v>
      </c>
      <c r="G1289" s="14">
        <v>20664</v>
      </c>
      <c r="H1289" s="15">
        <v>9000</v>
      </c>
      <c r="I1289" s="16">
        <f t="shared" ref="I1289:I1291" si="190">H1289*G1289</f>
        <v>185976000</v>
      </c>
      <c r="J1289" s="17">
        <v>42</v>
      </c>
      <c r="K1289" s="34">
        <v>4502347134</v>
      </c>
      <c r="L1289" s="19">
        <v>5082197685</v>
      </c>
      <c r="M1289" s="20">
        <v>5113358067</v>
      </c>
      <c r="N1289" s="44"/>
      <c r="O1289" s="44" t="s">
        <v>1280</v>
      </c>
      <c r="P1289" s="23"/>
      <c r="Q1289" s="24" t="s">
        <v>31</v>
      </c>
      <c r="R1289" s="25">
        <v>44716</v>
      </c>
      <c r="S1289" s="28">
        <v>4902280923</v>
      </c>
      <c r="T1289" s="35">
        <f>920000*3</f>
        <v>2760000</v>
      </c>
      <c r="U1289" s="28" t="s">
        <v>1753</v>
      </c>
      <c r="V1289" s="29">
        <v>5113357324</v>
      </c>
      <c r="W1289" s="35"/>
      <c r="X1289" s="29"/>
      <c r="Y1289" s="36"/>
      <c r="Z1289" s="29"/>
      <c r="AA1289" s="31">
        <f t="shared" si="1"/>
        <v>44716</v>
      </c>
      <c r="AB1289" s="32" t="str">
        <f t="shared" si="5"/>
        <v>junio</v>
      </c>
    </row>
    <row r="1290" spans="1:28" ht="12.75">
      <c r="A1290" s="9" t="s">
        <v>196</v>
      </c>
      <c r="B1290" s="10">
        <v>44716</v>
      </c>
      <c r="C1290" s="11"/>
      <c r="D1290" s="42">
        <v>23</v>
      </c>
      <c r="E1290" s="13" t="s">
        <v>1754</v>
      </c>
      <c r="F1290" s="13">
        <v>3025457</v>
      </c>
      <c r="G1290" s="14">
        <v>20427</v>
      </c>
      <c r="H1290" s="15">
        <v>9100</v>
      </c>
      <c r="I1290" s="16">
        <f t="shared" si="190"/>
        <v>185885700</v>
      </c>
      <c r="J1290" s="17">
        <v>42</v>
      </c>
      <c r="K1290" s="34">
        <v>4502347135</v>
      </c>
      <c r="L1290" s="19">
        <v>5082197687</v>
      </c>
      <c r="M1290" s="20">
        <v>5113358043</v>
      </c>
      <c r="N1290" s="23"/>
      <c r="O1290" s="44" t="s">
        <v>1755</v>
      </c>
      <c r="P1290" s="23"/>
      <c r="Q1290" s="24" t="s">
        <v>31</v>
      </c>
      <c r="R1290" s="25">
        <v>44716</v>
      </c>
      <c r="S1290" s="28">
        <v>4902280924</v>
      </c>
      <c r="T1290" s="28">
        <f>1771100*3</f>
        <v>5313300</v>
      </c>
      <c r="U1290" s="28" t="s">
        <v>1756</v>
      </c>
      <c r="V1290" s="29">
        <v>5113357318</v>
      </c>
      <c r="W1290" s="35"/>
      <c r="X1290" s="29"/>
      <c r="Y1290" s="36"/>
      <c r="Z1290" s="29"/>
      <c r="AA1290" s="31">
        <f t="shared" si="1"/>
        <v>44716</v>
      </c>
      <c r="AB1290" s="32" t="str">
        <f t="shared" si="5"/>
        <v>junio</v>
      </c>
    </row>
    <row r="1291" spans="1:28" ht="12.75">
      <c r="A1291" s="9" t="s">
        <v>233</v>
      </c>
      <c r="B1291" s="10">
        <v>44719</v>
      </c>
      <c r="C1291" s="11">
        <v>44719</v>
      </c>
      <c r="D1291" s="42">
        <v>23</v>
      </c>
      <c r="E1291" s="13" t="s">
        <v>1757</v>
      </c>
      <c r="F1291" s="13">
        <v>3025457</v>
      </c>
      <c r="G1291" s="37">
        <v>6560.5</v>
      </c>
      <c r="H1291" s="40">
        <v>9350</v>
      </c>
      <c r="I1291" s="16">
        <f t="shared" si="190"/>
        <v>61340675</v>
      </c>
      <c r="J1291" s="17">
        <v>16</v>
      </c>
      <c r="K1291" s="34">
        <v>4502342492</v>
      </c>
      <c r="L1291" s="19">
        <v>5082178339</v>
      </c>
      <c r="M1291" s="20">
        <v>5113357020</v>
      </c>
      <c r="N1291" s="23"/>
      <c r="O1291" s="9" t="s">
        <v>37</v>
      </c>
      <c r="P1291" s="23" t="s">
        <v>1662</v>
      </c>
      <c r="Q1291" s="24" t="s">
        <v>31</v>
      </c>
      <c r="R1291" s="25">
        <v>44716</v>
      </c>
      <c r="S1291" s="28"/>
      <c r="T1291" s="35"/>
      <c r="U1291" s="35"/>
      <c r="V1291" s="29"/>
      <c r="W1291" s="35"/>
      <c r="X1291" s="29"/>
      <c r="Y1291" s="36"/>
      <c r="Z1291" s="29"/>
      <c r="AA1291" s="31">
        <f t="shared" si="1"/>
        <v>44716</v>
      </c>
      <c r="AB1291" s="32" t="str">
        <f t="shared" si="5"/>
        <v>junio</v>
      </c>
    </row>
    <row r="1292" spans="1:28" ht="12.75">
      <c r="A1292" s="9" t="s">
        <v>233</v>
      </c>
      <c r="B1292" s="10">
        <v>44719</v>
      </c>
      <c r="C1292" s="11">
        <v>44719</v>
      </c>
      <c r="D1292" s="42">
        <v>23</v>
      </c>
      <c r="E1292" s="13" t="s">
        <v>1758</v>
      </c>
      <c r="F1292" s="13">
        <v>3025457</v>
      </c>
      <c r="G1292" s="37">
        <v>6560.5</v>
      </c>
      <c r="H1292" s="40">
        <f>9350-9258.31</f>
        <v>91.690000000000509</v>
      </c>
      <c r="I1292" s="16">
        <f>-H1292*G1292</f>
        <v>-601532.24500000337</v>
      </c>
      <c r="J1292" s="17">
        <v>0</v>
      </c>
      <c r="K1292" s="34">
        <v>4502342492</v>
      </c>
      <c r="L1292" s="19">
        <v>5082178339</v>
      </c>
      <c r="M1292" s="20">
        <v>5113357022</v>
      </c>
      <c r="N1292" s="23"/>
      <c r="O1292" s="23"/>
      <c r="P1292" s="23"/>
      <c r="Q1292" s="24" t="s">
        <v>31</v>
      </c>
      <c r="R1292" s="25">
        <v>44716</v>
      </c>
      <c r="S1292" s="28"/>
      <c r="T1292" s="35"/>
      <c r="U1292" s="35"/>
      <c r="V1292" s="29"/>
      <c r="W1292" s="35"/>
      <c r="X1292" s="29"/>
      <c r="Y1292" s="36"/>
      <c r="Z1292" s="29"/>
      <c r="AA1292" s="31">
        <f t="shared" si="1"/>
        <v>44716</v>
      </c>
      <c r="AB1292" s="32" t="str">
        <f t="shared" si="5"/>
        <v>junio</v>
      </c>
    </row>
    <row r="1293" spans="1:28" ht="12.75">
      <c r="A1293" s="9" t="s">
        <v>469</v>
      </c>
      <c r="B1293" s="10">
        <v>44719</v>
      </c>
      <c r="C1293" s="11"/>
      <c r="D1293" s="42">
        <v>23</v>
      </c>
      <c r="E1293" s="13" t="s">
        <v>1759</v>
      </c>
      <c r="F1293" s="13">
        <v>3025457</v>
      </c>
      <c r="G1293" s="14">
        <v>5970</v>
      </c>
      <c r="H1293" s="40">
        <v>9200</v>
      </c>
      <c r="I1293" s="16">
        <f>H1293*G1293</f>
        <v>54924000</v>
      </c>
      <c r="J1293" s="17">
        <v>14</v>
      </c>
      <c r="K1293" s="34">
        <v>4502342493</v>
      </c>
      <c r="L1293" s="19">
        <v>5082169144</v>
      </c>
      <c r="M1293" s="20">
        <v>5113358038</v>
      </c>
      <c r="N1293" s="23"/>
      <c r="O1293" s="9" t="s">
        <v>63</v>
      </c>
      <c r="P1293" s="23"/>
      <c r="Q1293" s="24" t="s">
        <v>31</v>
      </c>
      <c r="R1293" s="25">
        <v>44716</v>
      </c>
      <c r="S1293" s="28"/>
      <c r="T1293" s="35"/>
      <c r="U1293" s="35"/>
      <c r="V1293" s="29"/>
      <c r="W1293" s="35"/>
      <c r="X1293" s="29"/>
      <c r="Y1293" s="36"/>
      <c r="Z1293" s="29"/>
      <c r="AA1293" s="31">
        <f t="shared" si="1"/>
        <v>44716</v>
      </c>
      <c r="AB1293" s="32" t="str">
        <f t="shared" si="5"/>
        <v>junio</v>
      </c>
    </row>
    <row r="1294" spans="1:28" ht="12.75">
      <c r="A1294" s="9" t="s">
        <v>469</v>
      </c>
      <c r="B1294" s="10">
        <v>44719</v>
      </c>
      <c r="C1294" s="11"/>
      <c r="D1294" s="42">
        <v>23</v>
      </c>
      <c r="E1294" s="13" t="s">
        <v>424</v>
      </c>
      <c r="F1294" s="13">
        <v>3025457</v>
      </c>
      <c r="G1294" s="14">
        <v>5970</v>
      </c>
      <c r="H1294" s="40">
        <f>9200-9193.74</f>
        <v>6.2600000000002183</v>
      </c>
      <c r="I1294" s="16">
        <f>-H1294*G1294</f>
        <v>-37372.200000001307</v>
      </c>
      <c r="J1294" s="17">
        <v>0</v>
      </c>
      <c r="K1294" s="34">
        <v>4502342493</v>
      </c>
      <c r="L1294" s="19">
        <v>5082169144</v>
      </c>
      <c r="M1294" s="20">
        <v>5113358041</v>
      </c>
      <c r="N1294" s="23"/>
      <c r="O1294" s="23"/>
      <c r="P1294" s="23"/>
      <c r="Q1294" s="24" t="s">
        <v>31</v>
      </c>
      <c r="R1294" s="25">
        <v>44716</v>
      </c>
      <c r="S1294" s="28"/>
      <c r="T1294" s="35"/>
      <c r="U1294" s="35"/>
      <c r="V1294" s="29"/>
      <c r="W1294" s="35"/>
      <c r="X1294" s="29"/>
      <c r="Y1294" s="36"/>
      <c r="Z1294" s="29"/>
      <c r="AA1294" s="31">
        <f t="shared" si="1"/>
        <v>44716</v>
      </c>
      <c r="AB1294" s="32" t="str">
        <f t="shared" si="5"/>
        <v>junio</v>
      </c>
    </row>
    <row r="1295" spans="1:28" ht="12.75">
      <c r="A1295" s="9" t="s">
        <v>266</v>
      </c>
      <c r="B1295" s="10">
        <v>44717</v>
      </c>
      <c r="C1295" s="11">
        <v>44720</v>
      </c>
      <c r="D1295" s="42">
        <v>23</v>
      </c>
      <c r="E1295" s="13" t="s">
        <v>1760</v>
      </c>
      <c r="F1295" s="13">
        <v>3025460</v>
      </c>
      <c r="G1295" s="37">
        <v>7037.5</v>
      </c>
      <c r="H1295" s="40">
        <v>9200</v>
      </c>
      <c r="I1295" s="16">
        <f>H1295*G1295</f>
        <v>64745000</v>
      </c>
      <c r="J1295" s="17">
        <v>14</v>
      </c>
      <c r="K1295" s="34">
        <v>4502342494</v>
      </c>
      <c r="L1295" s="19">
        <v>5082169145</v>
      </c>
      <c r="M1295" s="20">
        <v>5113358826</v>
      </c>
      <c r="N1295" s="23"/>
      <c r="O1295" s="9" t="s">
        <v>37</v>
      </c>
      <c r="P1295" s="23"/>
      <c r="Q1295" s="24" t="s">
        <v>31</v>
      </c>
      <c r="R1295" s="25">
        <v>44716</v>
      </c>
      <c r="S1295" s="28"/>
      <c r="T1295" s="35"/>
      <c r="U1295" s="35"/>
      <c r="V1295" s="29"/>
      <c r="W1295" s="35"/>
      <c r="X1295" s="29"/>
      <c r="Y1295" s="36"/>
      <c r="Z1295" s="29"/>
      <c r="AA1295" s="31">
        <f t="shared" si="1"/>
        <v>44716</v>
      </c>
      <c r="AB1295" s="32" t="str">
        <f t="shared" si="5"/>
        <v>junio</v>
      </c>
    </row>
    <row r="1296" spans="1:28" ht="12.75">
      <c r="A1296" s="9" t="s">
        <v>266</v>
      </c>
      <c r="B1296" s="10">
        <v>44717</v>
      </c>
      <c r="C1296" s="11">
        <v>44720</v>
      </c>
      <c r="D1296" s="42">
        <v>23</v>
      </c>
      <c r="E1296" s="13" t="s">
        <v>895</v>
      </c>
      <c r="F1296" s="13">
        <v>3025460</v>
      </c>
      <c r="G1296" s="37">
        <v>7037.5</v>
      </c>
      <c r="H1296" s="40">
        <f>9200-9162.49</f>
        <v>37.510000000000218</v>
      </c>
      <c r="I1296" s="16">
        <f>-H1296*G1296</f>
        <v>-263976.62500000151</v>
      </c>
      <c r="J1296" s="17">
        <v>0</v>
      </c>
      <c r="K1296" s="34">
        <v>4502342494</v>
      </c>
      <c r="L1296" s="19">
        <v>5082169145</v>
      </c>
      <c r="M1296" s="20">
        <v>5113358898</v>
      </c>
      <c r="N1296" s="23"/>
      <c r="O1296" s="23"/>
      <c r="P1296" s="23"/>
      <c r="Q1296" s="24" t="s">
        <v>31</v>
      </c>
      <c r="R1296" s="25">
        <v>44716</v>
      </c>
      <c r="S1296" s="28"/>
      <c r="T1296" s="35"/>
      <c r="U1296" s="35"/>
      <c r="V1296" s="29"/>
      <c r="W1296" s="35"/>
      <c r="X1296" s="29"/>
      <c r="Y1296" s="36"/>
      <c r="Z1296" s="29"/>
      <c r="AA1296" s="31">
        <f t="shared" si="1"/>
        <v>44716</v>
      </c>
      <c r="AB1296" s="32" t="str">
        <f t="shared" si="5"/>
        <v>junio</v>
      </c>
    </row>
    <row r="1297" spans="1:28" ht="12.75">
      <c r="A1297" s="22" t="s">
        <v>404</v>
      </c>
      <c r="B1297" s="10">
        <v>44716</v>
      </c>
      <c r="C1297" s="11">
        <v>44719</v>
      </c>
      <c r="D1297" s="42">
        <v>23</v>
      </c>
      <c r="E1297" s="13" t="s">
        <v>1761</v>
      </c>
      <c r="F1297" s="13">
        <v>3025460</v>
      </c>
      <c r="G1297" s="37">
        <v>20403.5</v>
      </c>
      <c r="H1297" s="40">
        <v>9600</v>
      </c>
      <c r="I1297" s="16">
        <f>H1297*G1297</f>
        <v>195873600</v>
      </c>
      <c r="J1297" s="17">
        <v>44</v>
      </c>
      <c r="K1297" s="34">
        <v>4502342495</v>
      </c>
      <c r="L1297" s="19">
        <v>5082178340</v>
      </c>
      <c r="M1297" s="20">
        <v>5113358335</v>
      </c>
      <c r="N1297" s="23"/>
      <c r="O1297" s="44" t="s">
        <v>313</v>
      </c>
      <c r="P1297" s="23" t="s">
        <v>1662</v>
      </c>
      <c r="Q1297" s="24" t="s">
        <v>31</v>
      </c>
      <c r="R1297" s="25">
        <v>44716</v>
      </c>
      <c r="S1297" s="28"/>
      <c r="T1297" s="35"/>
      <c r="U1297" s="35"/>
      <c r="V1297" s="29"/>
      <c r="W1297" s="35"/>
      <c r="X1297" s="29"/>
      <c r="Y1297" s="36"/>
      <c r="Z1297" s="29"/>
      <c r="AA1297" s="31">
        <f t="shared" si="1"/>
        <v>44716</v>
      </c>
      <c r="AB1297" s="32" t="str">
        <f t="shared" si="5"/>
        <v>junio</v>
      </c>
    </row>
    <row r="1298" spans="1:28" ht="12.75">
      <c r="A1298" s="22" t="s">
        <v>404</v>
      </c>
      <c r="B1298" s="10">
        <v>44719</v>
      </c>
      <c r="C1298" s="11">
        <v>44719</v>
      </c>
      <c r="D1298" s="42">
        <v>23</v>
      </c>
      <c r="E1298" s="13" t="s">
        <v>1762</v>
      </c>
      <c r="F1298" s="13">
        <v>3025460</v>
      </c>
      <c r="G1298" s="37">
        <v>20403.5</v>
      </c>
      <c r="H1298" s="40">
        <v>50</v>
      </c>
      <c r="I1298" s="16">
        <f>-H1298*G1298</f>
        <v>-1020175</v>
      </c>
      <c r="J1298" s="17">
        <v>0</v>
      </c>
      <c r="K1298" s="34">
        <v>4502342495</v>
      </c>
      <c r="L1298" s="19">
        <v>5082178340</v>
      </c>
      <c r="M1298" s="20">
        <v>5113358367</v>
      </c>
      <c r="N1298" s="23"/>
      <c r="O1298" s="23"/>
      <c r="P1298" s="23"/>
      <c r="Q1298" s="24" t="s">
        <v>31</v>
      </c>
      <c r="R1298" s="25">
        <v>44716</v>
      </c>
      <c r="S1298" s="28"/>
      <c r="T1298" s="35"/>
      <c r="U1298" s="35"/>
      <c r="V1298" s="29"/>
      <c r="W1298" s="35"/>
      <c r="X1298" s="29"/>
      <c r="Y1298" s="36"/>
      <c r="Z1298" s="29"/>
      <c r="AA1298" s="31">
        <f t="shared" si="1"/>
        <v>44716</v>
      </c>
      <c r="AB1298" s="32" t="str">
        <f t="shared" si="5"/>
        <v>junio</v>
      </c>
    </row>
    <row r="1299" spans="1:28" ht="12.75">
      <c r="A1299" s="9" t="s">
        <v>58</v>
      </c>
      <c r="B1299" s="10">
        <v>44719</v>
      </c>
      <c r="C1299" s="11">
        <v>44719</v>
      </c>
      <c r="D1299" s="42">
        <v>23</v>
      </c>
      <c r="E1299" s="13" t="s">
        <v>1763</v>
      </c>
      <c r="F1299" s="13">
        <v>3025457</v>
      </c>
      <c r="G1299" s="37">
        <v>27997.5</v>
      </c>
      <c r="H1299" s="40">
        <v>9650</v>
      </c>
      <c r="I1299" s="16">
        <f>H1299*G1299</f>
        <v>270175875</v>
      </c>
      <c r="J1299" s="17">
        <v>60</v>
      </c>
      <c r="K1299" s="34">
        <v>4502342497</v>
      </c>
      <c r="L1299" s="19">
        <v>5082183892</v>
      </c>
      <c r="M1299" s="20">
        <v>5113355981</v>
      </c>
      <c r="N1299" s="23"/>
      <c r="O1299" s="9" t="s">
        <v>37</v>
      </c>
      <c r="P1299" s="23" t="s">
        <v>1662</v>
      </c>
      <c r="Q1299" s="24" t="s">
        <v>31</v>
      </c>
      <c r="R1299" s="25">
        <v>44717</v>
      </c>
      <c r="S1299" s="28"/>
      <c r="T1299" s="35"/>
      <c r="U1299" s="35"/>
      <c r="V1299" s="29"/>
      <c r="W1299" s="35"/>
      <c r="X1299" s="29"/>
      <c r="Y1299" s="36"/>
      <c r="Z1299" s="29"/>
      <c r="AA1299" s="31">
        <f t="shared" si="1"/>
        <v>44717</v>
      </c>
      <c r="AB1299" s="32" t="str">
        <f t="shared" si="5"/>
        <v>junio</v>
      </c>
    </row>
    <row r="1300" spans="1:28" ht="12.75">
      <c r="A1300" s="9" t="s">
        <v>58</v>
      </c>
      <c r="B1300" s="10">
        <v>44719</v>
      </c>
      <c r="C1300" s="11">
        <v>44719</v>
      </c>
      <c r="D1300" s="42">
        <v>23</v>
      </c>
      <c r="E1300" s="13" t="s">
        <v>1764</v>
      </c>
      <c r="F1300" s="13">
        <v>3025457</v>
      </c>
      <c r="G1300" s="37">
        <v>27997.5</v>
      </c>
      <c r="H1300" s="40">
        <f>9650-9598.61</f>
        <v>51.389999999999418</v>
      </c>
      <c r="I1300" s="16">
        <f>-H1300*G1300</f>
        <v>-1438791.5249999836</v>
      </c>
      <c r="J1300" s="17">
        <v>0</v>
      </c>
      <c r="K1300" s="34">
        <v>4502342497</v>
      </c>
      <c r="L1300" s="19">
        <v>5082183892</v>
      </c>
      <c r="M1300" s="20">
        <v>5113355983</v>
      </c>
      <c r="N1300" s="23"/>
      <c r="O1300" s="23"/>
      <c r="P1300" s="23"/>
      <c r="Q1300" s="24" t="s">
        <v>31</v>
      </c>
      <c r="R1300" s="25">
        <v>44717</v>
      </c>
      <c r="S1300" s="28"/>
      <c r="T1300" s="35"/>
      <c r="U1300" s="35"/>
      <c r="V1300" s="29"/>
      <c r="W1300" s="35"/>
      <c r="X1300" s="29"/>
      <c r="Y1300" s="36"/>
      <c r="Z1300" s="29"/>
      <c r="AA1300" s="31">
        <f t="shared" si="1"/>
        <v>44717</v>
      </c>
      <c r="AB1300" s="32" t="str">
        <f t="shared" si="5"/>
        <v>junio</v>
      </c>
    </row>
    <row r="1301" spans="1:28" ht="12.75">
      <c r="A1301" s="9" t="s">
        <v>233</v>
      </c>
      <c r="B1301" s="10">
        <v>44719</v>
      </c>
      <c r="C1301" s="11">
        <v>44719</v>
      </c>
      <c r="D1301" s="42">
        <v>23</v>
      </c>
      <c r="E1301" s="13" t="s">
        <v>1765</v>
      </c>
      <c r="F1301" s="13">
        <v>3025457</v>
      </c>
      <c r="G1301" s="37">
        <v>39851.5</v>
      </c>
      <c r="H1301" s="40">
        <v>9350</v>
      </c>
      <c r="I1301" s="16">
        <f>H1301*G1301</f>
        <v>372611525</v>
      </c>
      <c r="J1301" s="17">
        <v>84</v>
      </c>
      <c r="K1301" s="34">
        <v>4502342498</v>
      </c>
      <c r="L1301" s="19">
        <v>5082183893</v>
      </c>
      <c r="M1301" s="20">
        <v>5113356275</v>
      </c>
      <c r="N1301" s="23"/>
      <c r="O1301" s="23" t="s">
        <v>63</v>
      </c>
      <c r="P1301" s="23"/>
      <c r="Q1301" s="24" t="s">
        <v>31</v>
      </c>
      <c r="R1301" s="25">
        <v>44717</v>
      </c>
      <c r="S1301" s="28"/>
      <c r="T1301" s="35"/>
      <c r="U1301" s="35"/>
      <c r="V1301" s="29"/>
      <c r="W1301" s="35"/>
      <c r="X1301" s="29"/>
      <c r="Y1301" s="36"/>
      <c r="Z1301" s="29"/>
      <c r="AA1301" s="31">
        <f t="shared" si="1"/>
        <v>44717</v>
      </c>
      <c r="AB1301" s="32" t="str">
        <f t="shared" si="5"/>
        <v>junio</v>
      </c>
    </row>
    <row r="1302" spans="1:28" ht="12.75">
      <c r="A1302" s="9" t="s">
        <v>233</v>
      </c>
      <c r="B1302" s="10">
        <v>44719</v>
      </c>
      <c r="C1302" s="11">
        <v>44719</v>
      </c>
      <c r="D1302" s="42">
        <v>23</v>
      </c>
      <c r="E1302" s="13" t="s">
        <v>1766</v>
      </c>
      <c r="F1302" s="13">
        <v>3025457</v>
      </c>
      <c r="G1302" s="37">
        <v>39851.5</v>
      </c>
      <c r="H1302" s="40">
        <f>9350-9349.02</f>
        <v>0.97999999999956344</v>
      </c>
      <c r="I1302" s="16">
        <f>-H1302*G1302</f>
        <v>-39054.469999982604</v>
      </c>
      <c r="J1302" s="17">
        <v>0</v>
      </c>
      <c r="K1302" s="34">
        <v>4502342498</v>
      </c>
      <c r="L1302" s="19">
        <v>5082183893</v>
      </c>
      <c r="M1302" s="20">
        <v>5113356276</v>
      </c>
      <c r="N1302" s="23"/>
      <c r="O1302" s="23"/>
      <c r="P1302" s="23"/>
      <c r="Q1302" s="24" t="s">
        <v>31</v>
      </c>
      <c r="R1302" s="25">
        <v>44717</v>
      </c>
      <c r="S1302" s="28"/>
      <c r="T1302" s="35"/>
      <c r="U1302" s="35"/>
      <c r="V1302" s="29"/>
      <c r="W1302" s="35"/>
      <c r="X1302" s="29"/>
      <c r="Y1302" s="36"/>
      <c r="Z1302" s="29"/>
      <c r="AA1302" s="31">
        <f t="shared" si="1"/>
        <v>44717</v>
      </c>
      <c r="AB1302" s="32" t="str">
        <f t="shared" si="5"/>
        <v>junio</v>
      </c>
    </row>
    <row r="1303" spans="1:28" ht="12.75">
      <c r="A1303" s="9" t="s">
        <v>368</v>
      </c>
      <c r="B1303" s="10">
        <v>44720</v>
      </c>
      <c r="C1303" s="11">
        <v>44720</v>
      </c>
      <c r="D1303" s="42">
        <v>23</v>
      </c>
      <c r="E1303" s="13" t="s">
        <v>1767</v>
      </c>
      <c r="F1303" s="13">
        <v>3025459</v>
      </c>
      <c r="G1303" s="14">
        <v>7105</v>
      </c>
      <c r="H1303" s="40">
        <v>9250</v>
      </c>
      <c r="I1303" s="16">
        <f t="shared" ref="I1303:I1307" si="191">H1303*G1303</f>
        <v>65721250</v>
      </c>
      <c r="J1303" s="17">
        <v>15</v>
      </c>
      <c r="K1303" s="34">
        <v>4502342499</v>
      </c>
      <c r="L1303" s="19">
        <v>5082184360</v>
      </c>
      <c r="M1303" s="20">
        <v>5113358825</v>
      </c>
      <c r="N1303" s="21"/>
      <c r="O1303" s="9" t="s">
        <v>63</v>
      </c>
      <c r="P1303" s="23" t="s">
        <v>1733</v>
      </c>
      <c r="Q1303" s="24" t="s">
        <v>31</v>
      </c>
      <c r="R1303" s="25">
        <v>44717</v>
      </c>
      <c r="S1303" s="28"/>
      <c r="T1303" s="35"/>
      <c r="U1303" s="35"/>
      <c r="V1303" s="29"/>
      <c r="W1303" s="35"/>
      <c r="X1303" s="29"/>
      <c r="Y1303" s="36"/>
      <c r="Z1303" s="29"/>
      <c r="AA1303" s="31">
        <f t="shared" si="1"/>
        <v>44717</v>
      </c>
      <c r="AB1303" s="32" t="str">
        <f t="shared" si="5"/>
        <v>junio</v>
      </c>
    </row>
    <row r="1304" spans="1:28" ht="12.75">
      <c r="A1304" s="22" t="s">
        <v>404</v>
      </c>
      <c r="B1304" s="10">
        <v>44717</v>
      </c>
      <c r="C1304" s="11">
        <v>44719</v>
      </c>
      <c r="D1304" s="42">
        <v>23</v>
      </c>
      <c r="E1304" s="13" t="s">
        <v>1768</v>
      </c>
      <c r="F1304" s="13">
        <v>3025459</v>
      </c>
      <c r="G1304" s="37">
        <v>21028.5</v>
      </c>
      <c r="H1304" s="40">
        <v>9600</v>
      </c>
      <c r="I1304" s="16">
        <f t="shared" si="191"/>
        <v>201873600</v>
      </c>
      <c r="J1304" s="17">
        <v>42</v>
      </c>
      <c r="K1304" s="34">
        <v>4502342501</v>
      </c>
      <c r="L1304" s="19">
        <v>5082184361</v>
      </c>
      <c r="M1304" s="20">
        <v>5113358368</v>
      </c>
      <c r="N1304" s="23"/>
      <c r="O1304" s="44" t="s">
        <v>313</v>
      </c>
      <c r="P1304" s="23"/>
      <c r="Q1304" s="24" t="s">
        <v>31</v>
      </c>
      <c r="R1304" s="25">
        <v>44717</v>
      </c>
      <c r="S1304" s="28"/>
      <c r="T1304" s="35"/>
      <c r="U1304" s="35"/>
      <c r="V1304" s="29"/>
      <c r="W1304" s="35"/>
      <c r="X1304" s="29"/>
      <c r="Y1304" s="36"/>
      <c r="Z1304" s="29"/>
      <c r="AA1304" s="31">
        <f t="shared" si="1"/>
        <v>44717</v>
      </c>
      <c r="AB1304" s="32" t="str">
        <f t="shared" si="5"/>
        <v>junio</v>
      </c>
    </row>
    <row r="1305" spans="1:28" ht="12.75">
      <c r="A1305" s="9" t="s">
        <v>580</v>
      </c>
      <c r="B1305" s="10">
        <v>44718</v>
      </c>
      <c r="C1305" s="11"/>
      <c r="D1305" s="42">
        <v>23</v>
      </c>
      <c r="E1305" s="13" t="s">
        <v>673</v>
      </c>
      <c r="F1305" s="13">
        <v>3025457</v>
      </c>
      <c r="G1305" s="14">
        <v>28718.5</v>
      </c>
      <c r="H1305" s="40">
        <v>9350</v>
      </c>
      <c r="I1305" s="16">
        <f t="shared" si="191"/>
        <v>268517975</v>
      </c>
      <c r="J1305" s="17">
        <v>60</v>
      </c>
      <c r="K1305" s="34">
        <v>4502342503</v>
      </c>
      <c r="L1305" s="19">
        <v>5082198707</v>
      </c>
      <c r="M1305" s="20">
        <v>5113366835</v>
      </c>
      <c r="N1305" s="23"/>
      <c r="O1305" s="9" t="s">
        <v>63</v>
      </c>
      <c r="P1305" s="23"/>
      <c r="Q1305" s="24" t="s">
        <v>31</v>
      </c>
      <c r="R1305" s="25">
        <v>44718</v>
      </c>
      <c r="S1305" s="28"/>
      <c r="T1305" s="35"/>
      <c r="U1305" s="35"/>
      <c r="V1305" s="29"/>
      <c r="W1305" s="35"/>
      <c r="X1305" s="29"/>
      <c r="Y1305" s="36"/>
      <c r="Z1305" s="29"/>
      <c r="AA1305" s="31">
        <f t="shared" si="1"/>
        <v>44718</v>
      </c>
      <c r="AB1305" s="32" t="str">
        <f t="shared" si="5"/>
        <v>junio</v>
      </c>
    </row>
    <row r="1306" spans="1:28" ht="12.75">
      <c r="A1306" s="9" t="s">
        <v>580</v>
      </c>
      <c r="B1306" s="10">
        <v>44722</v>
      </c>
      <c r="C1306" s="11"/>
      <c r="D1306" s="42">
        <v>23</v>
      </c>
      <c r="E1306" s="115" t="s">
        <v>1500</v>
      </c>
      <c r="F1306" s="13">
        <v>3025457</v>
      </c>
      <c r="G1306" s="14">
        <v>28718.5</v>
      </c>
      <c r="H1306" s="40">
        <v>48.63</v>
      </c>
      <c r="I1306" s="16">
        <f t="shared" si="191"/>
        <v>1396580.655</v>
      </c>
      <c r="J1306" s="17">
        <v>0</v>
      </c>
      <c r="K1306" s="34">
        <v>4502342503</v>
      </c>
      <c r="L1306" s="19">
        <v>5082198707</v>
      </c>
      <c r="M1306" s="20">
        <v>5113372393</v>
      </c>
      <c r="N1306" s="23"/>
      <c r="O1306" s="23"/>
      <c r="P1306" s="23" t="s">
        <v>1769</v>
      </c>
      <c r="Q1306" s="24" t="s">
        <v>31</v>
      </c>
      <c r="R1306" s="25">
        <v>44718</v>
      </c>
      <c r="S1306" s="28"/>
      <c r="T1306" s="35"/>
      <c r="U1306" s="35"/>
      <c r="V1306" s="29"/>
      <c r="W1306" s="35"/>
      <c r="X1306" s="29"/>
      <c r="Y1306" s="36"/>
      <c r="Z1306" s="29"/>
      <c r="AA1306" s="31">
        <f t="shared" si="1"/>
        <v>44718</v>
      </c>
      <c r="AB1306" s="32" t="str">
        <f t="shared" si="5"/>
        <v>junio</v>
      </c>
    </row>
    <row r="1307" spans="1:28" ht="12.75">
      <c r="A1307" s="9" t="s">
        <v>99</v>
      </c>
      <c r="B1307" s="10">
        <v>44721</v>
      </c>
      <c r="C1307" s="11">
        <v>44722</v>
      </c>
      <c r="D1307" s="42">
        <v>23</v>
      </c>
      <c r="E1307" s="13" t="s">
        <v>1770</v>
      </c>
      <c r="F1307" s="13">
        <v>3025457</v>
      </c>
      <c r="G1307" s="14">
        <v>7247</v>
      </c>
      <c r="H1307" s="40">
        <v>9250</v>
      </c>
      <c r="I1307" s="16">
        <f t="shared" si="191"/>
        <v>67034750</v>
      </c>
      <c r="J1307" s="17">
        <v>14</v>
      </c>
      <c r="K1307" s="34">
        <v>4502342504</v>
      </c>
      <c r="L1307" s="19">
        <v>5082198838</v>
      </c>
      <c r="M1307" s="20">
        <v>5113364960</v>
      </c>
      <c r="N1307" s="23"/>
      <c r="O1307" s="23" t="s">
        <v>37</v>
      </c>
      <c r="P1307" s="23"/>
      <c r="Q1307" s="24" t="s">
        <v>31</v>
      </c>
      <c r="R1307" s="25">
        <v>44718</v>
      </c>
      <c r="S1307" s="28"/>
      <c r="T1307" s="35"/>
      <c r="U1307" s="35"/>
      <c r="V1307" s="29"/>
      <c r="W1307" s="35"/>
      <c r="X1307" s="29"/>
      <c r="Y1307" s="36"/>
      <c r="Z1307" s="29"/>
      <c r="AA1307" s="31">
        <f t="shared" si="1"/>
        <v>44718</v>
      </c>
      <c r="AB1307" s="32" t="str">
        <f t="shared" si="5"/>
        <v>junio</v>
      </c>
    </row>
    <row r="1308" spans="1:28" ht="12.75">
      <c r="A1308" s="9" t="s">
        <v>99</v>
      </c>
      <c r="B1308" s="10">
        <v>44721</v>
      </c>
      <c r="C1308" s="11">
        <v>44722</v>
      </c>
      <c r="D1308" s="42">
        <v>23</v>
      </c>
      <c r="E1308" s="13" t="s">
        <v>1771</v>
      </c>
      <c r="F1308" s="13">
        <v>3025457</v>
      </c>
      <c r="G1308" s="14">
        <v>7247</v>
      </c>
      <c r="H1308" s="40">
        <f>9250-9129.65</f>
        <v>120.35000000000036</v>
      </c>
      <c r="I1308" s="16">
        <f>-H1308*G1308</f>
        <v>-872176.45000000263</v>
      </c>
      <c r="J1308" s="17">
        <v>0</v>
      </c>
      <c r="K1308" s="34">
        <v>4502342504</v>
      </c>
      <c r="L1308" s="19">
        <v>5082198838</v>
      </c>
      <c r="M1308" s="20">
        <v>5113364961</v>
      </c>
      <c r="N1308" s="23"/>
      <c r="O1308" s="23"/>
      <c r="P1308" s="23"/>
      <c r="Q1308" s="24" t="s">
        <v>31</v>
      </c>
      <c r="R1308" s="25">
        <v>44718</v>
      </c>
      <c r="S1308" s="28"/>
      <c r="T1308" s="35"/>
      <c r="U1308" s="35"/>
      <c r="V1308" s="29"/>
      <c r="W1308" s="35"/>
      <c r="X1308" s="29"/>
      <c r="Y1308" s="36"/>
      <c r="Z1308" s="29"/>
      <c r="AA1308" s="31">
        <f t="shared" si="1"/>
        <v>44718</v>
      </c>
      <c r="AB1308" s="32" t="str">
        <f t="shared" si="5"/>
        <v>junio</v>
      </c>
    </row>
    <row r="1309" spans="1:28" ht="12.75">
      <c r="A1309" s="22" t="s">
        <v>404</v>
      </c>
      <c r="B1309" s="10">
        <v>44719</v>
      </c>
      <c r="C1309" s="11">
        <v>44722</v>
      </c>
      <c r="D1309" s="42">
        <v>23</v>
      </c>
      <c r="E1309" s="13" t="s">
        <v>1772</v>
      </c>
      <c r="F1309" s="13">
        <v>3025457</v>
      </c>
      <c r="G1309" s="14">
        <v>18979.5</v>
      </c>
      <c r="H1309" s="40">
        <v>9600</v>
      </c>
      <c r="I1309" s="16">
        <f t="shared" ref="I1309:I1310" si="192">H1309*G1309</f>
        <v>182203200</v>
      </c>
      <c r="J1309" s="17">
        <v>42</v>
      </c>
      <c r="K1309" s="34">
        <v>4502342505</v>
      </c>
      <c r="L1309" s="19">
        <v>5082199155</v>
      </c>
      <c r="M1309" s="20">
        <v>5113366348</v>
      </c>
      <c r="N1309" s="23"/>
      <c r="O1309" s="44" t="s">
        <v>37</v>
      </c>
      <c r="P1309" s="23"/>
      <c r="Q1309" s="24" t="s">
        <v>31</v>
      </c>
      <c r="R1309" s="25">
        <v>44719</v>
      </c>
      <c r="S1309" s="28"/>
      <c r="T1309" s="35"/>
      <c r="U1309" s="35"/>
      <c r="V1309" s="29"/>
      <c r="W1309" s="35"/>
      <c r="X1309" s="29"/>
      <c r="Y1309" s="36"/>
      <c r="Z1309" s="29"/>
      <c r="AA1309" s="31">
        <f t="shared" si="1"/>
        <v>44719</v>
      </c>
      <c r="AB1309" s="32" t="str">
        <f t="shared" si="5"/>
        <v>junio</v>
      </c>
    </row>
    <row r="1310" spans="1:28" ht="12.75">
      <c r="A1310" s="22" t="s">
        <v>404</v>
      </c>
      <c r="B1310" s="10">
        <v>44719</v>
      </c>
      <c r="C1310" s="11">
        <v>44722</v>
      </c>
      <c r="D1310" s="42">
        <v>23</v>
      </c>
      <c r="E1310" s="13" t="s">
        <v>1772</v>
      </c>
      <c r="F1310" s="13">
        <v>3025457</v>
      </c>
      <c r="G1310" s="37">
        <v>13587.5</v>
      </c>
      <c r="H1310" s="40">
        <v>9600</v>
      </c>
      <c r="I1310" s="16">
        <f t="shared" si="192"/>
        <v>130440000</v>
      </c>
      <c r="J1310" s="17">
        <v>30</v>
      </c>
      <c r="K1310" s="34">
        <v>4502343747</v>
      </c>
      <c r="L1310" s="19">
        <v>5082199155</v>
      </c>
      <c r="M1310" s="20">
        <v>5113366348</v>
      </c>
      <c r="N1310" s="23"/>
      <c r="O1310" s="44" t="s">
        <v>37</v>
      </c>
      <c r="P1310" s="23" t="s">
        <v>1733</v>
      </c>
      <c r="Q1310" s="24" t="s">
        <v>31</v>
      </c>
      <c r="R1310" s="25">
        <v>44719</v>
      </c>
      <c r="S1310" s="28"/>
      <c r="T1310" s="35"/>
      <c r="U1310" s="35"/>
      <c r="V1310" s="29"/>
      <c r="W1310" s="35"/>
      <c r="X1310" s="29"/>
      <c r="Y1310" s="36"/>
      <c r="Z1310" s="29"/>
      <c r="AA1310" s="31">
        <f t="shared" si="1"/>
        <v>44719</v>
      </c>
      <c r="AB1310" s="32" t="str">
        <f t="shared" si="5"/>
        <v>junio</v>
      </c>
    </row>
    <row r="1311" spans="1:28" ht="12.75">
      <c r="A1311" s="22" t="s">
        <v>404</v>
      </c>
      <c r="B1311" s="10">
        <v>44722</v>
      </c>
      <c r="C1311" s="11">
        <v>44722</v>
      </c>
      <c r="D1311" s="42">
        <v>23</v>
      </c>
      <c r="E1311" s="13" t="s">
        <v>1657</v>
      </c>
      <c r="F1311" s="13">
        <v>3025457</v>
      </c>
      <c r="G1311" s="37">
        <v>32567</v>
      </c>
      <c r="H1311" s="40">
        <f>9600-9594.11</f>
        <v>5.8899999999994179</v>
      </c>
      <c r="I1311" s="16">
        <f>-H1311*G1311</f>
        <v>-191819.62999998103</v>
      </c>
      <c r="J1311" s="17">
        <v>0</v>
      </c>
      <c r="K1311" s="34">
        <v>4502343747</v>
      </c>
      <c r="L1311" s="19">
        <v>5082199155</v>
      </c>
      <c r="M1311" s="20">
        <v>5113366350</v>
      </c>
      <c r="N1311" s="23"/>
      <c r="O1311" s="23"/>
      <c r="P1311" s="23"/>
      <c r="Q1311" s="24" t="s">
        <v>31</v>
      </c>
      <c r="R1311" s="25">
        <v>44719</v>
      </c>
      <c r="S1311" s="28"/>
      <c r="T1311" s="35"/>
      <c r="U1311" s="35"/>
      <c r="V1311" s="29"/>
      <c r="W1311" s="35"/>
      <c r="X1311" s="29"/>
      <c r="Y1311" s="36"/>
      <c r="Z1311" s="29"/>
      <c r="AA1311" s="31">
        <f t="shared" si="1"/>
        <v>44719</v>
      </c>
      <c r="AB1311" s="32" t="str">
        <f t="shared" si="5"/>
        <v>junio</v>
      </c>
    </row>
    <row r="1312" spans="1:28" ht="12.75">
      <c r="A1312" s="9" t="s">
        <v>58</v>
      </c>
      <c r="B1312" s="10">
        <v>44722</v>
      </c>
      <c r="C1312" s="11">
        <v>44722</v>
      </c>
      <c r="D1312" s="42">
        <v>23</v>
      </c>
      <c r="E1312" s="13" t="s">
        <v>1773</v>
      </c>
      <c r="F1312" s="13">
        <v>3025457</v>
      </c>
      <c r="G1312" s="14">
        <v>12798</v>
      </c>
      <c r="H1312" s="40">
        <v>9650</v>
      </c>
      <c r="I1312" s="16">
        <f t="shared" ref="I1312:I1317" si="193">H1312*G1312</f>
        <v>123500700</v>
      </c>
      <c r="J1312" s="17">
        <v>28</v>
      </c>
      <c r="K1312" s="34">
        <v>4502343745</v>
      </c>
      <c r="L1312" s="19">
        <v>5082199029</v>
      </c>
      <c r="M1312" s="20">
        <v>5113365533</v>
      </c>
      <c r="N1312" s="23"/>
      <c r="O1312" s="9" t="s">
        <v>37</v>
      </c>
      <c r="P1312" s="23" t="s">
        <v>1733</v>
      </c>
      <c r="Q1312" s="24" t="s">
        <v>31</v>
      </c>
      <c r="R1312" s="25">
        <v>44719</v>
      </c>
      <c r="S1312" s="28"/>
      <c r="T1312" s="35"/>
      <c r="U1312" s="35"/>
      <c r="V1312" s="29"/>
      <c r="W1312" s="35"/>
      <c r="X1312" s="29"/>
      <c r="Y1312" s="36"/>
      <c r="Z1312" s="29"/>
      <c r="AA1312" s="31">
        <f t="shared" si="1"/>
        <v>44719</v>
      </c>
      <c r="AB1312" s="32" t="str">
        <f t="shared" si="5"/>
        <v>junio</v>
      </c>
    </row>
    <row r="1313" spans="1:28" ht="12.75">
      <c r="A1313" s="9" t="s">
        <v>58</v>
      </c>
      <c r="B1313" s="10">
        <v>44722</v>
      </c>
      <c r="C1313" s="11">
        <v>44722</v>
      </c>
      <c r="D1313" s="42">
        <v>23</v>
      </c>
      <c r="E1313" s="13" t="s">
        <v>1774</v>
      </c>
      <c r="F1313" s="13">
        <v>3025457</v>
      </c>
      <c r="G1313" s="14">
        <v>14518.5</v>
      </c>
      <c r="H1313" s="40">
        <v>9650</v>
      </c>
      <c r="I1313" s="16">
        <f t="shared" si="193"/>
        <v>140103525</v>
      </c>
      <c r="J1313" s="17">
        <v>30</v>
      </c>
      <c r="K1313" s="34">
        <v>4502343745</v>
      </c>
      <c r="L1313" s="19">
        <v>5082199029</v>
      </c>
      <c r="M1313" s="20">
        <v>5113364962</v>
      </c>
      <c r="N1313" s="23"/>
      <c r="O1313" s="9" t="s">
        <v>37</v>
      </c>
      <c r="P1313" s="23" t="s">
        <v>1733</v>
      </c>
      <c r="Q1313" s="24" t="s">
        <v>31</v>
      </c>
      <c r="R1313" s="25">
        <v>44719</v>
      </c>
      <c r="S1313" s="28"/>
      <c r="T1313" s="35"/>
      <c r="U1313" s="35"/>
      <c r="V1313" s="29"/>
      <c r="W1313" s="35"/>
      <c r="X1313" s="29"/>
      <c r="Y1313" s="36"/>
      <c r="Z1313" s="29"/>
      <c r="AA1313" s="31">
        <f t="shared" si="1"/>
        <v>44719</v>
      </c>
      <c r="AB1313" s="32" t="str">
        <f t="shared" si="5"/>
        <v>junio</v>
      </c>
    </row>
    <row r="1314" spans="1:28" ht="12.75">
      <c r="A1314" s="9" t="s">
        <v>896</v>
      </c>
      <c r="B1314" s="10">
        <v>44722</v>
      </c>
      <c r="C1314" s="11"/>
      <c r="D1314" s="42">
        <v>23</v>
      </c>
      <c r="E1314" s="13" t="s">
        <v>1775</v>
      </c>
      <c r="F1314" s="13">
        <v>3025457</v>
      </c>
      <c r="G1314" s="37">
        <v>28554.5</v>
      </c>
      <c r="H1314" s="40">
        <v>9250</v>
      </c>
      <c r="I1314" s="16">
        <f t="shared" si="193"/>
        <v>264129125</v>
      </c>
      <c r="J1314" s="17">
        <v>56</v>
      </c>
      <c r="K1314" s="34">
        <v>4502342507</v>
      </c>
      <c r="L1314" s="19">
        <v>5082199004</v>
      </c>
      <c r="M1314" s="20">
        <v>5113365954</v>
      </c>
      <c r="N1314" s="44"/>
      <c r="O1314" s="9" t="s">
        <v>37</v>
      </c>
      <c r="P1314" s="86" t="s">
        <v>1776</v>
      </c>
      <c r="Q1314" s="24" t="s">
        <v>31</v>
      </c>
      <c r="R1314" s="25">
        <v>44719</v>
      </c>
      <c r="S1314" s="28"/>
      <c r="T1314" s="35"/>
      <c r="U1314" s="35"/>
      <c r="V1314" s="29"/>
      <c r="W1314" s="35"/>
      <c r="X1314" s="29"/>
      <c r="Y1314" s="36"/>
      <c r="Z1314" s="29"/>
      <c r="AA1314" s="31">
        <f t="shared" si="1"/>
        <v>44719</v>
      </c>
      <c r="AB1314" s="32" t="str">
        <f t="shared" si="5"/>
        <v>junio</v>
      </c>
    </row>
    <row r="1315" spans="1:28" ht="12.75">
      <c r="A1315" s="9" t="s">
        <v>1244</v>
      </c>
      <c r="B1315" s="10">
        <v>44719</v>
      </c>
      <c r="C1315" s="11">
        <v>44722</v>
      </c>
      <c r="D1315" s="42">
        <v>23</v>
      </c>
      <c r="E1315" s="13" t="s">
        <v>1777</v>
      </c>
      <c r="F1315" s="13">
        <v>3025457</v>
      </c>
      <c r="G1315" s="14">
        <v>14109</v>
      </c>
      <c r="H1315" s="40">
        <v>9400</v>
      </c>
      <c r="I1315" s="16">
        <f t="shared" si="193"/>
        <v>132624600</v>
      </c>
      <c r="J1315" s="17">
        <v>28</v>
      </c>
      <c r="K1315" s="34">
        <v>4502342508</v>
      </c>
      <c r="L1315" s="19">
        <v>5082199006</v>
      </c>
      <c r="M1315" s="20">
        <v>5113365048</v>
      </c>
      <c r="N1315" s="23"/>
      <c r="O1315" s="23" t="s">
        <v>37</v>
      </c>
      <c r="P1315" s="23" t="s">
        <v>1733</v>
      </c>
      <c r="Q1315" s="24" t="s">
        <v>31</v>
      </c>
      <c r="R1315" s="25">
        <v>44719</v>
      </c>
      <c r="S1315" s="28"/>
      <c r="T1315" s="35"/>
      <c r="U1315" s="35"/>
      <c r="V1315" s="29"/>
      <c r="W1315" s="35"/>
      <c r="X1315" s="29"/>
      <c r="Y1315" s="36"/>
      <c r="Z1315" s="29"/>
      <c r="AA1315" s="31">
        <f t="shared" si="1"/>
        <v>44719</v>
      </c>
      <c r="AB1315" s="32" t="str">
        <f t="shared" si="5"/>
        <v>junio</v>
      </c>
    </row>
    <row r="1316" spans="1:28" ht="12.75">
      <c r="A1316" s="9" t="s">
        <v>1244</v>
      </c>
      <c r="B1316" s="10">
        <v>44719</v>
      </c>
      <c r="C1316" s="11">
        <v>44722</v>
      </c>
      <c r="D1316" s="42">
        <v>23</v>
      </c>
      <c r="E1316" s="13" t="s">
        <v>1778</v>
      </c>
      <c r="F1316" s="13">
        <v>3025457</v>
      </c>
      <c r="G1316" s="14">
        <v>14109</v>
      </c>
      <c r="H1316" s="40">
        <v>50</v>
      </c>
      <c r="I1316" s="16">
        <f t="shared" si="193"/>
        <v>705450</v>
      </c>
      <c r="J1316" s="17">
        <v>0</v>
      </c>
      <c r="K1316" s="34">
        <v>4502342508</v>
      </c>
      <c r="L1316" s="19">
        <v>5082199006</v>
      </c>
      <c r="M1316" s="20">
        <v>5113365050</v>
      </c>
      <c r="N1316" s="23"/>
      <c r="O1316" s="23"/>
      <c r="P1316" s="23" t="s">
        <v>1733</v>
      </c>
      <c r="Q1316" s="24" t="s">
        <v>31</v>
      </c>
      <c r="R1316" s="25">
        <v>44719</v>
      </c>
      <c r="S1316" s="28"/>
      <c r="T1316" s="35"/>
      <c r="U1316" s="35"/>
      <c r="V1316" s="29"/>
      <c r="W1316" s="35"/>
      <c r="X1316" s="29"/>
      <c r="Y1316" s="36"/>
      <c r="Z1316" s="29"/>
      <c r="AA1316" s="31">
        <f t="shared" si="1"/>
        <v>44719</v>
      </c>
      <c r="AB1316" s="32" t="str">
        <f t="shared" si="5"/>
        <v>junio</v>
      </c>
    </row>
    <row r="1317" spans="1:28" ht="12.75">
      <c r="A1317" s="9" t="s">
        <v>276</v>
      </c>
      <c r="B1317" s="10">
        <v>44726</v>
      </c>
      <c r="C1317" s="11"/>
      <c r="D1317" s="42">
        <v>23</v>
      </c>
      <c r="E1317" s="13" t="s">
        <v>1779</v>
      </c>
      <c r="F1317" s="13">
        <v>3025457</v>
      </c>
      <c r="G1317" s="37">
        <v>13970.5</v>
      </c>
      <c r="H1317" s="40">
        <v>9100</v>
      </c>
      <c r="I1317" s="16">
        <f t="shared" si="193"/>
        <v>127131550</v>
      </c>
      <c r="J1317" s="17">
        <v>28</v>
      </c>
      <c r="K1317" s="34">
        <v>4502342509</v>
      </c>
      <c r="L1317" s="19">
        <v>5082199007</v>
      </c>
      <c r="M1317" s="20">
        <v>5113369550</v>
      </c>
      <c r="N1317" s="23"/>
      <c r="O1317" s="9" t="s">
        <v>63</v>
      </c>
      <c r="P1317" s="23" t="s">
        <v>1780</v>
      </c>
      <c r="Q1317" s="24" t="s">
        <v>31</v>
      </c>
      <c r="R1317" s="25">
        <v>44719</v>
      </c>
      <c r="S1317" s="28"/>
      <c r="T1317" s="35"/>
      <c r="U1317" s="35"/>
      <c r="V1317" s="29"/>
      <c r="W1317" s="35"/>
      <c r="X1317" s="29"/>
      <c r="Y1317" s="36"/>
      <c r="Z1317" s="29"/>
      <c r="AA1317" s="31">
        <f t="shared" si="1"/>
        <v>44719</v>
      </c>
      <c r="AB1317" s="32" t="str">
        <f t="shared" si="5"/>
        <v>junio</v>
      </c>
    </row>
    <row r="1318" spans="1:28" ht="12.75">
      <c r="A1318" s="9" t="s">
        <v>276</v>
      </c>
      <c r="B1318" s="10">
        <v>44726</v>
      </c>
      <c r="C1318" s="11"/>
      <c r="D1318" s="42">
        <v>23</v>
      </c>
      <c r="E1318" s="13" t="s">
        <v>1781</v>
      </c>
      <c r="F1318" s="13">
        <v>3025457</v>
      </c>
      <c r="G1318" s="37">
        <v>13970.5</v>
      </c>
      <c r="H1318" s="40">
        <f>9100-9080.26</f>
        <v>19.739999999999782</v>
      </c>
      <c r="I1318" s="16">
        <f>-H1318*G1318</f>
        <v>-275777.66999999696</v>
      </c>
      <c r="J1318" s="17">
        <v>0</v>
      </c>
      <c r="K1318" s="34">
        <v>4502342509</v>
      </c>
      <c r="L1318" s="19">
        <v>5082199007</v>
      </c>
      <c r="M1318" s="20">
        <v>5113369551</v>
      </c>
      <c r="N1318" s="23"/>
      <c r="O1318" s="23"/>
      <c r="P1318" s="23"/>
      <c r="Q1318" s="24" t="s">
        <v>31</v>
      </c>
      <c r="R1318" s="25">
        <v>44719</v>
      </c>
      <c r="S1318" s="28"/>
      <c r="T1318" s="35"/>
      <c r="U1318" s="35"/>
      <c r="V1318" s="29"/>
      <c r="W1318" s="35"/>
      <c r="X1318" s="29"/>
      <c r="Y1318" s="36"/>
      <c r="Z1318" s="29"/>
      <c r="AA1318" s="31">
        <f t="shared" si="1"/>
        <v>44719</v>
      </c>
      <c r="AB1318" s="32" t="str">
        <f t="shared" si="5"/>
        <v>junio</v>
      </c>
    </row>
    <row r="1319" spans="1:28" ht="12.75">
      <c r="A1319" s="9" t="s">
        <v>1102</v>
      </c>
      <c r="B1319" s="10">
        <v>44722</v>
      </c>
      <c r="C1319" s="11"/>
      <c r="D1319" s="42">
        <v>23</v>
      </c>
      <c r="E1319" s="13" t="s">
        <v>1782</v>
      </c>
      <c r="F1319" s="13">
        <v>3025457</v>
      </c>
      <c r="G1319" s="37">
        <v>13567.5</v>
      </c>
      <c r="H1319" s="40">
        <v>9500</v>
      </c>
      <c r="I1319" s="16">
        <f>H1319*G1319</f>
        <v>128891250</v>
      </c>
      <c r="J1319" s="17">
        <v>30</v>
      </c>
      <c r="K1319" s="34">
        <v>4502343750</v>
      </c>
      <c r="L1319" s="19">
        <v>5082199156</v>
      </c>
      <c r="M1319" s="20">
        <v>5113367048</v>
      </c>
      <c r="N1319" s="23"/>
      <c r="O1319" s="9" t="s">
        <v>37</v>
      </c>
      <c r="P1319" s="23" t="s">
        <v>1733</v>
      </c>
      <c r="Q1319" s="24" t="s">
        <v>31</v>
      </c>
      <c r="R1319" s="25">
        <v>44719</v>
      </c>
      <c r="S1319" s="28"/>
      <c r="T1319" s="35"/>
      <c r="U1319" s="35"/>
      <c r="V1319" s="29"/>
      <c r="W1319" s="35"/>
      <c r="X1319" s="29"/>
      <c r="Y1319" s="36"/>
      <c r="Z1319" s="29"/>
      <c r="AA1319" s="31">
        <f t="shared" si="1"/>
        <v>44719</v>
      </c>
      <c r="AB1319" s="32" t="str">
        <f t="shared" si="5"/>
        <v>junio</v>
      </c>
    </row>
    <row r="1320" spans="1:28" ht="12.75">
      <c r="A1320" s="9" t="s">
        <v>1102</v>
      </c>
      <c r="B1320" s="10">
        <v>44722</v>
      </c>
      <c r="C1320" s="11"/>
      <c r="D1320" s="42">
        <v>23</v>
      </c>
      <c r="E1320" s="13" t="s">
        <v>1783</v>
      </c>
      <c r="F1320" s="13">
        <v>3025457</v>
      </c>
      <c r="G1320" s="37">
        <v>13567.5</v>
      </c>
      <c r="H1320" s="40">
        <f>9500-9480.85</f>
        <v>19.149999999999636</v>
      </c>
      <c r="I1320" s="16">
        <f>-H1320*G1320</f>
        <v>-259817.62499999505</v>
      </c>
      <c r="J1320" s="17">
        <v>0</v>
      </c>
      <c r="K1320" s="34">
        <v>4502343750</v>
      </c>
      <c r="L1320" s="19">
        <v>5082199156</v>
      </c>
      <c r="M1320" s="20">
        <v>5113367050</v>
      </c>
      <c r="N1320" s="23"/>
      <c r="O1320" s="23"/>
      <c r="P1320" s="23"/>
      <c r="Q1320" s="24" t="s">
        <v>31</v>
      </c>
      <c r="R1320" s="25">
        <v>44719</v>
      </c>
      <c r="S1320" s="28"/>
      <c r="T1320" s="35"/>
      <c r="U1320" s="35"/>
      <c r="V1320" s="29"/>
      <c r="W1320" s="35"/>
      <c r="X1320" s="29"/>
      <c r="Y1320" s="36"/>
      <c r="Z1320" s="29"/>
      <c r="AA1320" s="31">
        <f t="shared" si="1"/>
        <v>44719</v>
      </c>
      <c r="AB1320" s="32" t="str">
        <f t="shared" si="5"/>
        <v>junio</v>
      </c>
    </row>
    <row r="1321" spans="1:28" ht="12.75">
      <c r="A1321" s="9" t="s">
        <v>83</v>
      </c>
      <c r="B1321" s="10">
        <v>44720</v>
      </c>
      <c r="C1321" s="11">
        <v>44722</v>
      </c>
      <c r="D1321" s="42">
        <v>23</v>
      </c>
      <c r="E1321" s="13" t="s">
        <v>1784</v>
      </c>
      <c r="F1321" s="13">
        <v>3025459</v>
      </c>
      <c r="G1321" s="14">
        <v>20960</v>
      </c>
      <c r="H1321" s="15">
        <v>9100</v>
      </c>
      <c r="I1321" s="16">
        <f t="shared" ref="I1321:I1322" si="194">H1321*G1321</f>
        <v>190736000</v>
      </c>
      <c r="J1321" s="17">
        <v>42</v>
      </c>
      <c r="K1321" s="34">
        <v>4502347137</v>
      </c>
      <c r="L1321" s="19">
        <v>5082197788</v>
      </c>
      <c r="M1321" s="20">
        <v>5113361849</v>
      </c>
      <c r="N1321" s="44" t="s">
        <v>382</v>
      </c>
      <c r="O1321" s="44" t="s">
        <v>1785</v>
      </c>
      <c r="P1321" s="44" t="s">
        <v>1786</v>
      </c>
      <c r="Q1321" s="24" t="s">
        <v>31</v>
      </c>
      <c r="R1321" s="25">
        <v>44719</v>
      </c>
      <c r="S1321" s="28">
        <v>4902280925</v>
      </c>
      <c r="T1321" s="27">
        <v>5359500</v>
      </c>
      <c r="U1321" s="28" t="s">
        <v>1787</v>
      </c>
      <c r="V1321" s="29">
        <v>5113372560</v>
      </c>
      <c r="W1321" s="35"/>
      <c r="X1321" s="29"/>
      <c r="Y1321" s="36"/>
      <c r="Z1321" s="29"/>
      <c r="AA1321" s="31">
        <f t="shared" si="1"/>
        <v>44719</v>
      </c>
      <c r="AB1321" s="32" t="str">
        <f t="shared" si="5"/>
        <v>junio</v>
      </c>
    </row>
    <row r="1322" spans="1:28" ht="12.75">
      <c r="A1322" s="9" t="s">
        <v>111</v>
      </c>
      <c r="B1322" s="10">
        <v>44719</v>
      </c>
      <c r="C1322" s="11">
        <v>44726</v>
      </c>
      <c r="D1322" s="42">
        <v>23</v>
      </c>
      <c r="E1322" s="13" t="s">
        <v>1788</v>
      </c>
      <c r="F1322" s="13">
        <v>3025459</v>
      </c>
      <c r="G1322" s="14">
        <v>6444</v>
      </c>
      <c r="H1322" s="40">
        <v>9200</v>
      </c>
      <c r="I1322" s="16">
        <f t="shared" si="194"/>
        <v>59284800</v>
      </c>
      <c r="J1322" s="17">
        <v>14</v>
      </c>
      <c r="K1322" s="34">
        <v>4502343458</v>
      </c>
      <c r="L1322" s="19">
        <v>5082199028</v>
      </c>
      <c r="M1322" s="20">
        <v>5113368808</v>
      </c>
      <c r="N1322" s="23"/>
      <c r="O1322" s="9" t="s">
        <v>37</v>
      </c>
      <c r="P1322" s="23" t="s">
        <v>1789</v>
      </c>
      <c r="Q1322" s="24" t="s">
        <v>31</v>
      </c>
      <c r="R1322" s="25">
        <v>44719</v>
      </c>
      <c r="S1322" s="28"/>
      <c r="T1322" s="35"/>
      <c r="U1322" s="35"/>
      <c r="V1322" s="29"/>
      <c r="W1322" s="35"/>
      <c r="X1322" s="29"/>
      <c r="Y1322" s="36"/>
      <c r="Z1322" s="29"/>
      <c r="AA1322" s="31">
        <f t="shared" si="1"/>
        <v>44719</v>
      </c>
      <c r="AB1322" s="32" t="str">
        <f t="shared" si="5"/>
        <v>junio</v>
      </c>
    </row>
    <row r="1323" spans="1:28" ht="12.75">
      <c r="A1323" s="9" t="s">
        <v>111</v>
      </c>
      <c r="B1323" s="10">
        <v>44719</v>
      </c>
      <c r="C1323" s="11">
        <v>44726</v>
      </c>
      <c r="D1323" s="42">
        <v>23</v>
      </c>
      <c r="E1323" s="13" t="s">
        <v>1790</v>
      </c>
      <c r="F1323" s="13">
        <v>3025459</v>
      </c>
      <c r="G1323" s="14">
        <v>6444</v>
      </c>
      <c r="H1323" s="40">
        <v>50</v>
      </c>
      <c r="I1323" s="16">
        <f>-H1323*G1323</f>
        <v>-322200</v>
      </c>
      <c r="J1323" s="17">
        <v>0</v>
      </c>
      <c r="K1323" s="34">
        <v>4502343458</v>
      </c>
      <c r="L1323" s="19">
        <v>5082199028</v>
      </c>
      <c r="M1323" s="20">
        <v>5113368809</v>
      </c>
      <c r="N1323" s="23"/>
      <c r="O1323" s="23"/>
      <c r="P1323" s="23"/>
      <c r="Q1323" s="24" t="s">
        <v>31</v>
      </c>
      <c r="R1323" s="25">
        <v>44719</v>
      </c>
      <c r="S1323" s="28"/>
      <c r="T1323" s="35"/>
      <c r="U1323" s="35"/>
      <c r="V1323" s="29"/>
      <c r="W1323" s="35"/>
      <c r="X1323" s="29"/>
      <c r="Y1323" s="36"/>
      <c r="Z1323" s="29"/>
      <c r="AA1323" s="31">
        <f t="shared" si="1"/>
        <v>44719</v>
      </c>
      <c r="AB1323" s="32" t="str">
        <f t="shared" si="5"/>
        <v>junio</v>
      </c>
    </row>
    <row r="1324" spans="1:28" ht="12.75">
      <c r="A1324" s="22" t="s">
        <v>404</v>
      </c>
      <c r="B1324" s="10">
        <v>44722</v>
      </c>
      <c r="C1324" s="11">
        <v>44725</v>
      </c>
      <c r="D1324" s="49">
        <v>24</v>
      </c>
      <c r="E1324" s="13" t="s">
        <v>1791</v>
      </c>
      <c r="F1324" s="13">
        <v>3025457</v>
      </c>
      <c r="G1324" s="14">
        <v>49212</v>
      </c>
      <c r="H1324" s="33">
        <v>9500</v>
      </c>
      <c r="I1324" s="16">
        <f t="shared" ref="I1324:I1325" si="195">H1324*G1324</f>
        <v>467514000</v>
      </c>
      <c r="J1324" s="17">
        <v>101</v>
      </c>
      <c r="K1324" s="34">
        <v>4502347616</v>
      </c>
      <c r="L1324" s="19">
        <v>5082232964</v>
      </c>
      <c r="M1324" s="20">
        <v>5113369784</v>
      </c>
      <c r="N1324" s="23"/>
      <c r="O1324" s="44" t="s">
        <v>37</v>
      </c>
      <c r="P1324" s="23" t="s">
        <v>1733</v>
      </c>
      <c r="Q1324" s="24" t="s">
        <v>31</v>
      </c>
      <c r="R1324" s="25">
        <v>44721</v>
      </c>
      <c r="S1324" s="28"/>
      <c r="T1324" s="35"/>
      <c r="U1324" s="35"/>
      <c r="V1324" s="29"/>
      <c r="W1324" s="35"/>
      <c r="X1324" s="29"/>
      <c r="Y1324" s="36"/>
      <c r="Z1324" s="29"/>
      <c r="AA1324" s="31">
        <f t="shared" si="1"/>
        <v>44721</v>
      </c>
      <c r="AB1324" s="32" t="str">
        <f t="shared" si="5"/>
        <v>junio</v>
      </c>
    </row>
    <row r="1325" spans="1:28" ht="12.75">
      <c r="A1325" s="22" t="s">
        <v>404</v>
      </c>
      <c r="B1325" s="10">
        <v>44722</v>
      </c>
      <c r="C1325" s="11">
        <v>44725</v>
      </c>
      <c r="D1325" s="49">
        <v>24</v>
      </c>
      <c r="E1325" s="13" t="s">
        <v>1791</v>
      </c>
      <c r="F1325" s="13">
        <v>3025457</v>
      </c>
      <c r="G1325" s="37">
        <v>21620.5</v>
      </c>
      <c r="H1325" s="33">
        <v>9500</v>
      </c>
      <c r="I1325" s="16">
        <f t="shared" si="195"/>
        <v>205394750</v>
      </c>
      <c r="J1325" s="17">
        <v>42</v>
      </c>
      <c r="K1325" s="34">
        <v>4502348648</v>
      </c>
      <c r="L1325" s="19">
        <v>5082232964</v>
      </c>
      <c r="M1325" s="20">
        <v>5113369784</v>
      </c>
      <c r="N1325" s="44"/>
      <c r="O1325" s="44" t="s">
        <v>37</v>
      </c>
      <c r="P1325" s="23" t="s">
        <v>1733</v>
      </c>
      <c r="Q1325" s="24" t="s">
        <v>31</v>
      </c>
      <c r="R1325" s="25">
        <v>44721</v>
      </c>
      <c r="S1325" s="28"/>
      <c r="T1325" s="35"/>
      <c r="U1325" s="35"/>
      <c r="V1325" s="29"/>
      <c r="W1325" s="35"/>
      <c r="X1325" s="29"/>
      <c r="Y1325" s="36"/>
      <c r="Z1325" s="29"/>
      <c r="AA1325" s="31">
        <f t="shared" si="1"/>
        <v>44721</v>
      </c>
      <c r="AB1325" s="32" t="str">
        <f t="shared" si="5"/>
        <v>junio</v>
      </c>
    </row>
    <row r="1326" spans="1:28" ht="12.75">
      <c r="A1326" s="22" t="s">
        <v>404</v>
      </c>
      <c r="B1326" s="10">
        <v>44725</v>
      </c>
      <c r="C1326" s="11">
        <v>44725</v>
      </c>
      <c r="D1326" s="49">
        <v>24</v>
      </c>
      <c r="E1326" s="13" t="s">
        <v>1792</v>
      </c>
      <c r="F1326" s="13">
        <v>3025457</v>
      </c>
      <c r="G1326" s="37">
        <v>70832.5</v>
      </c>
      <c r="H1326" s="33">
        <f>9500-9499.15</f>
        <v>0.8500000000003638</v>
      </c>
      <c r="I1326" s="16">
        <f>-H1326*G1326</f>
        <v>-60207.625000025771</v>
      </c>
      <c r="J1326" s="17">
        <v>0</v>
      </c>
      <c r="K1326" s="34">
        <v>4502348648</v>
      </c>
      <c r="L1326" s="19">
        <v>5082232964</v>
      </c>
      <c r="M1326" s="20">
        <v>5113369786</v>
      </c>
      <c r="N1326" s="44"/>
      <c r="O1326" s="9"/>
      <c r="P1326" s="23"/>
      <c r="Q1326" s="24" t="s">
        <v>31</v>
      </c>
      <c r="R1326" s="25">
        <v>44721</v>
      </c>
      <c r="S1326" s="28"/>
      <c r="T1326" s="35"/>
      <c r="U1326" s="35"/>
      <c r="V1326" s="29"/>
      <c r="W1326" s="35"/>
      <c r="X1326" s="29"/>
      <c r="Y1326" s="36"/>
      <c r="Z1326" s="29"/>
      <c r="AA1326" s="31">
        <f t="shared" si="1"/>
        <v>44721</v>
      </c>
      <c r="AB1326" s="32" t="str">
        <f t="shared" si="5"/>
        <v>junio</v>
      </c>
    </row>
    <row r="1327" spans="1:28" ht="12.75">
      <c r="A1327" s="9" t="s">
        <v>196</v>
      </c>
      <c r="B1327" s="10">
        <v>44721</v>
      </c>
      <c r="C1327" s="11"/>
      <c r="D1327" s="49">
        <v>24</v>
      </c>
      <c r="E1327" s="13" t="s">
        <v>1793</v>
      </c>
      <c r="F1327" s="13">
        <v>3025457</v>
      </c>
      <c r="G1327" s="14">
        <v>21799</v>
      </c>
      <c r="H1327" s="15">
        <v>8950</v>
      </c>
      <c r="I1327" s="16">
        <f t="shared" ref="I1327:I1332" si="196">H1327*G1327</f>
        <v>195101050</v>
      </c>
      <c r="J1327" s="17">
        <v>42</v>
      </c>
      <c r="K1327" s="34">
        <v>4502349043</v>
      </c>
      <c r="L1327" s="19">
        <v>5082233026</v>
      </c>
      <c r="M1327" s="20">
        <v>5113369702</v>
      </c>
      <c r="N1327" s="23"/>
      <c r="O1327" s="22" t="s">
        <v>1794</v>
      </c>
      <c r="P1327" s="23" t="s">
        <v>1795</v>
      </c>
      <c r="Q1327" s="24" t="s">
        <v>31</v>
      </c>
      <c r="R1327" s="25">
        <v>44721</v>
      </c>
      <c r="S1327" s="28">
        <v>4902284894</v>
      </c>
      <c r="T1327" s="28">
        <f>1638223*3</f>
        <v>4914669</v>
      </c>
      <c r="U1327" s="28" t="s">
        <v>1796</v>
      </c>
      <c r="V1327" s="29">
        <v>5113372562</v>
      </c>
      <c r="W1327" s="35"/>
      <c r="X1327" s="29"/>
      <c r="Y1327" s="36"/>
      <c r="Z1327" s="29"/>
      <c r="AA1327" s="31">
        <f t="shared" si="1"/>
        <v>44721</v>
      </c>
      <c r="AB1327" s="32" t="str">
        <f t="shared" si="5"/>
        <v>junio</v>
      </c>
    </row>
    <row r="1328" spans="1:28" ht="12.75">
      <c r="A1328" s="9" t="s">
        <v>58</v>
      </c>
      <c r="B1328" s="10">
        <v>44725</v>
      </c>
      <c r="C1328" s="11">
        <v>44725</v>
      </c>
      <c r="D1328" s="49">
        <v>24</v>
      </c>
      <c r="E1328" s="13" t="s">
        <v>1797</v>
      </c>
      <c r="F1328" s="13">
        <v>3025459</v>
      </c>
      <c r="G1328" s="14">
        <v>24524</v>
      </c>
      <c r="H1328" s="33">
        <v>9600</v>
      </c>
      <c r="I1328" s="16">
        <f t="shared" si="196"/>
        <v>235430400</v>
      </c>
      <c r="J1328" s="17">
        <v>45</v>
      </c>
      <c r="K1328" s="34">
        <v>4502347617</v>
      </c>
      <c r="L1328" s="19">
        <v>5082232966</v>
      </c>
      <c r="M1328" s="20">
        <v>5113368538</v>
      </c>
      <c r="N1328" s="44"/>
      <c r="O1328" s="9" t="s">
        <v>37</v>
      </c>
      <c r="P1328" s="23" t="s">
        <v>1733</v>
      </c>
      <c r="Q1328" s="24" t="s">
        <v>31</v>
      </c>
      <c r="R1328" s="25">
        <v>44721</v>
      </c>
      <c r="S1328" s="28"/>
      <c r="T1328" s="35"/>
      <c r="U1328" s="35"/>
      <c r="V1328" s="29"/>
      <c r="W1328" s="35"/>
      <c r="X1328" s="29"/>
      <c r="Y1328" s="36"/>
      <c r="Z1328" s="29"/>
      <c r="AA1328" s="31">
        <f t="shared" si="1"/>
        <v>44721</v>
      </c>
      <c r="AB1328" s="32" t="str">
        <f t="shared" si="5"/>
        <v>junio</v>
      </c>
    </row>
    <row r="1329" spans="1:28" ht="12.75">
      <c r="A1329" s="9" t="s">
        <v>73</v>
      </c>
      <c r="B1329" s="10">
        <v>44726</v>
      </c>
      <c r="C1329" s="11">
        <v>44726</v>
      </c>
      <c r="D1329" s="49">
        <v>24</v>
      </c>
      <c r="E1329" s="13" t="s">
        <v>1798</v>
      </c>
      <c r="F1329" s="13">
        <v>3025459</v>
      </c>
      <c r="G1329" s="37">
        <v>6828.5</v>
      </c>
      <c r="H1329" s="33">
        <v>9500</v>
      </c>
      <c r="I1329" s="16">
        <f t="shared" si="196"/>
        <v>64870750</v>
      </c>
      <c r="J1329" s="17">
        <v>14</v>
      </c>
      <c r="K1329" s="34">
        <v>4502347618</v>
      </c>
      <c r="L1329" s="19">
        <v>5082232967</v>
      </c>
      <c r="M1329" s="20">
        <v>5113368539</v>
      </c>
      <c r="N1329" s="23"/>
      <c r="O1329" s="9" t="s">
        <v>63</v>
      </c>
      <c r="P1329" s="23"/>
      <c r="Q1329" s="24" t="s">
        <v>31</v>
      </c>
      <c r="R1329" s="25">
        <v>44721</v>
      </c>
      <c r="S1329" s="28"/>
      <c r="T1329" s="35"/>
      <c r="U1329" s="35"/>
      <c r="V1329" s="29"/>
      <c r="W1329" s="35"/>
      <c r="X1329" s="29"/>
      <c r="Y1329" s="36"/>
      <c r="Z1329" s="29"/>
      <c r="AA1329" s="31">
        <f t="shared" si="1"/>
        <v>44721</v>
      </c>
      <c r="AB1329" s="32" t="str">
        <f t="shared" si="5"/>
        <v>junio</v>
      </c>
    </row>
    <row r="1330" spans="1:28" ht="12.75">
      <c r="A1330" s="9" t="s">
        <v>230</v>
      </c>
      <c r="B1330" s="10">
        <v>44726</v>
      </c>
      <c r="C1330" s="11"/>
      <c r="D1330" s="49">
        <v>24</v>
      </c>
      <c r="E1330" s="13" t="s">
        <v>1799</v>
      </c>
      <c r="F1330" s="13">
        <v>3025457</v>
      </c>
      <c r="G1330" s="14">
        <v>14043.5</v>
      </c>
      <c r="H1330" s="33">
        <v>9150</v>
      </c>
      <c r="I1330" s="16">
        <f t="shared" si="196"/>
        <v>128498025</v>
      </c>
      <c r="J1330" s="17">
        <v>30</v>
      </c>
      <c r="K1330" s="34">
        <v>4502347619</v>
      </c>
      <c r="L1330" s="19">
        <v>5082259564</v>
      </c>
      <c r="M1330" s="20">
        <v>5113371373</v>
      </c>
      <c r="N1330" s="21"/>
      <c r="O1330" s="9" t="s">
        <v>37</v>
      </c>
      <c r="P1330" s="23"/>
      <c r="Q1330" s="24" t="s">
        <v>31</v>
      </c>
      <c r="R1330" s="25">
        <v>44722</v>
      </c>
      <c r="S1330" s="28"/>
      <c r="T1330" s="35"/>
      <c r="U1330" s="35"/>
      <c r="V1330" s="29"/>
      <c r="W1330" s="35"/>
      <c r="X1330" s="29"/>
      <c r="Y1330" s="36"/>
      <c r="Z1330" s="29"/>
      <c r="AA1330" s="31">
        <f t="shared" si="1"/>
        <v>44722</v>
      </c>
      <c r="AB1330" s="32" t="str">
        <f t="shared" si="5"/>
        <v>junio</v>
      </c>
    </row>
    <row r="1331" spans="1:28" ht="12.75">
      <c r="A1331" s="9" t="s">
        <v>58</v>
      </c>
      <c r="B1331" s="10">
        <v>44725</v>
      </c>
      <c r="C1331" s="11">
        <v>44725</v>
      </c>
      <c r="D1331" s="49">
        <v>24</v>
      </c>
      <c r="E1331" s="13" t="s">
        <v>1800</v>
      </c>
      <c r="F1331" s="13">
        <v>3025457</v>
      </c>
      <c r="G1331" s="37">
        <v>33989.5</v>
      </c>
      <c r="H1331" s="33">
        <v>9600</v>
      </c>
      <c r="I1331" s="16">
        <f t="shared" si="196"/>
        <v>326299200</v>
      </c>
      <c r="J1331" s="17">
        <v>75</v>
      </c>
      <c r="K1331" s="34">
        <v>4502347620</v>
      </c>
      <c r="L1331" s="19">
        <v>5082260201</v>
      </c>
      <c r="M1331" s="20">
        <v>5113368543</v>
      </c>
      <c r="N1331" s="44"/>
      <c r="O1331" s="9" t="s">
        <v>37</v>
      </c>
      <c r="P1331" s="23"/>
      <c r="Q1331" s="24" t="s">
        <v>31</v>
      </c>
      <c r="R1331" s="25">
        <v>44722</v>
      </c>
      <c r="S1331" s="28"/>
      <c r="T1331" s="35"/>
      <c r="U1331" s="35"/>
      <c r="V1331" s="29"/>
      <c r="W1331" s="35"/>
      <c r="X1331" s="29"/>
      <c r="Y1331" s="36"/>
      <c r="Z1331" s="29"/>
      <c r="AA1331" s="31">
        <f t="shared" si="1"/>
        <v>44722</v>
      </c>
      <c r="AB1331" s="32" t="str">
        <f t="shared" si="5"/>
        <v>junio</v>
      </c>
    </row>
    <row r="1332" spans="1:28" ht="12.75">
      <c r="A1332" s="9" t="s">
        <v>58</v>
      </c>
      <c r="B1332" s="10">
        <v>44725</v>
      </c>
      <c r="C1332" s="11">
        <v>44725</v>
      </c>
      <c r="D1332" s="49">
        <v>24</v>
      </c>
      <c r="E1332" s="13" t="s">
        <v>1801</v>
      </c>
      <c r="F1332" s="13">
        <v>3025457</v>
      </c>
      <c r="G1332" s="14">
        <v>13974</v>
      </c>
      <c r="H1332" s="33">
        <v>9600</v>
      </c>
      <c r="I1332" s="16">
        <f t="shared" si="196"/>
        <v>134150400</v>
      </c>
      <c r="J1332" s="17">
        <v>31</v>
      </c>
      <c r="K1332" s="34">
        <v>4502347620</v>
      </c>
      <c r="L1332" s="19">
        <v>5082260201</v>
      </c>
      <c r="M1332" s="20">
        <v>5113368567</v>
      </c>
      <c r="N1332" s="44"/>
      <c r="O1332" s="9" t="s">
        <v>37</v>
      </c>
      <c r="P1332" s="23"/>
      <c r="Q1332" s="24" t="s">
        <v>31</v>
      </c>
      <c r="R1332" s="25">
        <v>44722</v>
      </c>
      <c r="S1332" s="28"/>
      <c r="T1332" s="35"/>
      <c r="U1332" s="35"/>
      <c r="V1332" s="29"/>
      <c r="W1332" s="35"/>
      <c r="X1332" s="29"/>
      <c r="Y1332" s="36"/>
      <c r="Z1332" s="29"/>
      <c r="AA1332" s="31">
        <f t="shared" si="1"/>
        <v>44722</v>
      </c>
      <c r="AB1332" s="32" t="str">
        <f t="shared" si="5"/>
        <v>junio</v>
      </c>
    </row>
    <row r="1333" spans="1:28" ht="12.75">
      <c r="A1333" s="9" t="s">
        <v>58</v>
      </c>
      <c r="B1333" s="10">
        <v>44726</v>
      </c>
      <c r="C1333" s="11">
        <v>44726</v>
      </c>
      <c r="D1333" s="49">
        <v>24</v>
      </c>
      <c r="E1333" s="13" t="s">
        <v>1802</v>
      </c>
      <c r="F1333" s="13">
        <v>3025457</v>
      </c>
      <c r="G1333" s="14">
        <v>13974</v>
      </c>
      <c r="H1333" s="33">
        <f>9600-9491.91</f>
        <v>108.09000000000015</v>
      </c>
      <c r="I1333" s="16">
        <f>-H1333*G1333</f>
        <v>-1510449.660000002</v>
      </c>
      <c r="J1333" s="17">
        <v>0</v>
      </c>
      <c r="K1333" s="34">
        <v>4502347620</v>
      </c>
      <c r="L1333" s="19">
        <v>5082260201</v>
      </c>
      <c r="M1333" s="20">
        <v>5113368810</v>
      </c>
      <c r="N1333" s="44"/>
      <c r="O1333" s="9"/>
      <c r="P1333" s="23"/>
      <c r="Q1333" s="24" t="s">
        <v>31</v>
      </c>
      <c r="R1333" s="25">
        <v>44722</v>
      </c>
      <c r="S1333" s="28"/>
      <c r="T1333" s="35"/>
      <c r="U1333" s="35"/>
      <c r="V1333" s="29"/>
      <c r="W1333" s="35"/>
      <c r="X1333" s="29"/>
      <c r="Y1333" s="36"/>
      <c r="Z1333" s="29"/>
      <c r="AA1333" s="31">
        <f t="shared" si="1"/>
        <v>44722</v>
      </c>
      <c r="AB1333" s="32" t="str">
        <f t="shared" si="5"/>
        <v>junio</v>
      </c>
    </row>
    <row r="1334" spans="1:28" ht="12.75">
      <c r="A1334" s="9" t="s">
        <v>580</v>
      </c>
      <c r="B1334" s="10">
        <v>44725</v>
      </c>
      <c r="C1334" s="11">
        <v>44725</v>
      </c>
      <c r="D1334" s="49">
        <v>24</v>
      </c>
      <c r="E1334" s="13" t="s">
        <v>1803</v>
      </c>
      <c r="F1334" s="13">
        <v>3025457</v>
      </c>
      <c r="G1334" s="37">
        <v>13517.5</v>
      </c>
      <c r="H1334" s="33">
        <v>9200</v>
      </c>
      <c r="I1334" s="16">
        <f t="shared" ref="I1334:I1336" si="197">H1334*G1334</f>
        <v>124361000</v>
      </c>
      <c r="J1334" s="17">
        <v>30</v>
      </c>
      <c r="K1334" s="34">
        <v>4502351037</v>
      </c>
      <c r="L1334" s="19">
        <v>5082276774</v>
      </c>
      <c r="M1334" s="20">
        <v>5113367110</v>
      </c>
      <c r="N1334" s="23"/>
      <c r="O1334" s="9" t="s">
        <v>63</v>
      </c>
      <c r="P1334" s="23" t="s">
        <v>1804</v>
      </c>
      <c r="Q1334" s="24" t="s">
        <v>31</v>
      </c>
      <c r="R1334" s="25">
        <v>44722</v>
      </c>
      <c r="S1334" s="28"/>
      <c r="T1334" s="35"/>
      <c r="U1334" s="35"/>
      <c r="V1334" s="29"/>
      <c r="W1334" s="35"/>
      <c r="X1334" s="29"/>
      <c r="Y1334" s="36"/>
      <c r="Z1334" s="29"/>
      <c r="AA1334" s="31">
        <f t="shared" si="1"/>
        <v>44722</v>
      </c>
      <c r="AB1334" s="32" t="str">
        <f t="shared" si="5"/>
        <v>junio</v>
      </c>
    </row>
    <row r="1335" spans="1:28" ht="12.75">
      <c r="A1335" s="9" t="s">
        <v>580</v>
      </c>
      <c r="B1335" s="10"/>
      <c r="C1335" s="11"/>
      <c r="D1335" s="49">
        <v>24</v>
      </c>
      <c r="E1335" s="13" t="s">
        <v>1805</v>
      </c>
      <c r="F1335" s="13">
        <v>3025457</v>
      </c>
      <c r="G1335" s="37">
        <v>13517.5</v>
      </c>
      <c r="H1335" s="33">
        <v>97.07</v>
      </c>
      <c r="I1335" s="16">
        <f t="shared" si="197"/>
        <v>1312143.7249999999</v>
      </c>
      <c r="J1335" s="17">
        <v>0</v>
      </c>
      <c r="K1335" s="34">
        <v>4502351037</v>
      </c>
      <c r="L1335" s="19">
        <v>5082276774</v>
      </c>
      <c r="M1335" s="20">
        <v>5113366850</v>
      </c>
      <c r="N1335" s="44"/>
      <c r="O1335" s="9"/>
      <c r="P1335" s="23" t="s">
        <v>1804</v>
      </c>
      <c r="Q1335" s="24" t="s">
        <v>31</v>
      </c>
      <c r="R1335" s="25">
        <v>44722</v>
      </c>
      <c r="S1335" s="28"/>
      <c r="T1335" s="35"/>
      <c r="U1335" s="35"/>
      <c r="V1335" s="29"/>
      <c r="W1335" s="35"/>
      <c r="X1335" s="29"/>
      <c r="Y1335" s="36"/>
      <c r="Z1335" s="29"/>
      <c r="AA1335" s="31">
        <f t="shared" si="1"/>
        <v>44722</v>
      </c>
      <c r="AB1335" s="32" t="str">
        <f t="shared" si="5"/>
        <v>junio</v>
      </c>
    </row>
    <row r="1336" spans="1:28" ht="12.75">
      <c r="A1336" s="9" t="s">
        <v>1102</v>
      </c>
      <c r="B1336" s="10">
        <v>44725</v>
      </c>
      <c r="C1336" s="11">
        <v>44725</v>
      </c>
      <c r="D1336" s="49">
        <v>24</v>
      </c>
      <c r="E1336" s="13" t="s">
        <v>1806</v>
      </c>
      <c r="F1336" s="13">
        <v>3025457</v>
      </c>
      <c r="G1336" s="37">
        <v>21643.5</v>
      </c>
      <c r="H1336" s="33">
        <v>9400</v>
      </c>
      <c r="I1336" s="16">
        <f t="shared" si="197"/>
        <v>203448900</v>
      </c>
      <c r="J1336" s="17">
        <v>45</v>
      </c>
      <c r="K1336" s="34">
        <v>4502347623</v>
      </c>
      <c r="L1336" s="19">
        <v>5082260202</v>
      </c>
      <c r="M1336" s="20">
        <v>5113368308</v>
      </c>
      <c r="N1336" s="23"/>
      <c r="O1336" s="9" t="s">
        <v>37</v>
      </c>
      <c r="P1336" s="23" t="s">
        <v>1733</v>
      </c>
      <c r="Q1336" s="24" t="s">
        <v>31</v>
      </c>
      <c r="R1336" s="25">
        <v>44722</v>
      </c>
      <c r="S1336" s="28"/>
      <c r="T1336" s="35"/>
      <c r="U1336" s="35"/>
      <c r="V1336" s="29"/>
      <c r="W1336" s="35"/>
      <c r="X1336" s="29"/>
      <c r="Y1336" s="36"/>
      <c r="Z1336" s="29"/>
      <c r="AA1336" s="31">
        <f t="shared" si="1"/>
        <v>44722</v>
      </c>
      <c r="AB1336" s="32" t="str">
        <f t="shared" si="5"/>
        <v>junio</v>
      </c>
    </row>
    <row r="1337" spans="1:28" ht="12.75">
      <c r="A1337" s="9" t="s">
        <v>1102</v>
      </c>
      <c r="B1337" s="10">
        <v>44725</v>
      </c>
      <c r="C1337" s="11">
        <v>44725</v>
      </c>
      <c r="D1337" s="49">
        <v>24</v>
      </c>
      <c r="E1337" s="13" t="s">
        <v>1807</v>
      </c>
      <c r="F1337" s="13">
        <v>3025457</v>
      </c>
      <c r="G1337" s="37">
        <v>21643.5</v>
      </c>
      <c r="H1337" s="33">
        <f>9400-9395.44</f>
        <v>4.5599999999994907</v>
      </c>
      <c r="I1337" s="16">
        <f>-H1337*G1337</f>
        <v>-98694.35999998897</v>
      </c>
      <c r="J1337" s="17">
        <v>0</v>
      </c>
      <c r="K1337" s="34">
        <v>4502347623</v>
      </c>
      <c r="L1337" s="19">
        <v>5082260202</v>
      </c>
      <c r="M1337" s="20">
        <v>5113368309</v>
      </c>
      <c r="N1337" s="23"/>
      <c r="O1337" s="9"/>
      <c r="P1337" s="23"/>
      <c r="Q1337" s="24" t="s">
        <v>31</v>
      </c>
      <c r="R1337" s="25">
        <v>44722</v>
      </c>
      <c r="S1337" s="28"/>
      <c r="T1337" s="35"/>
      <c r="U1337" s="35"/>
      <c r="V1337" s="29"/>
      <c r="W1337" s="35"/>
      <c r="X1337" s="29"/>
      <c r="Y1337" s="36"/>
      <c r="Z1337" s="29"/>
      <c r="AA1337" s="31">
        <f t="shared" si="1"/>
        <v>44722</v>
      </c>
      <c r="AB1337" s="32" t="str">
        <f t="shared" si="5"/>
        <v>junio</v>
      </c>
    </row>
    <row r="1338" spans="1:28" ht="12.75">
      <c r="A1338" s="9" t="s">
        <v>58</v>
      </c>
      <c r="B1338" s="10">
        <v>44725</v>
      </c>
      <c r="C1338" s="11">
        <v>44725</v>
      </c>
      <c r="D1338" s="49">
        <v>24</v>
      </c>
      <c r="E1338" s="13" t="s">
        <v>1808</v>
      </c>
      <c r="F1338" s="13">
        <v>3025457</v>
      </c>
      <c r="G1338" s="14">
        <v>8291.5</v>
      </c>
      <c r="H1338" s="33">
        <v>9650</v>
      </c>
      <c r="I1338" s="16">
        <f t="shared" ref="I1338:I1339" si="198">H1338*G1338</f>
        <v>80012975</v>
      </c>
      <c r="J1338" s="17">
        <v>15</v>
      </c>
      <c r="K1338" s="34">
        <v>4502349665</v>
      </c>
      <c r="L1338" s="19">
        <v>5082259711</v>
      </c>
      <c r="M1338" s="20">
        <v>5113374822</v>
      </c>
      <c r="N1338" s="44"/>
      <c r="O1338" s="9" t="s">
        <v>37</v>
      </c>
      <c r="P1338" s="23"/>
      <c r="Q1338" s="24" t="s">
        <v>31</v>
      </c>
      <c r="R1338" s="25">
        <v>44722</v>
      </c>
      <c r="S1338" s="28"/>
      <c r="T1338" s="35"/>
      <c r="U1338" s="35"/>
      <c r="V1338" s="29"/>
      <c r="W1338" s="35"/>
      <c r="X1338" s="29"/>
      <c r="Y1338" s="36"/>
      <c r="Z1338" s="29"/>
      <c r="AA1338" s="31">
        <f t="shared" si="1"/>
        <v>44722</v>
      </c>
      <c r="AB1338" s="32" t="str">
        <f t="shared" si="5"/>
        <v>junio</v>
      </c>
    </row>
    <row r="1339" spans="1:28" ht="12.75">
      <c r="A1339" s="9" t="s">
        <v>58</v>
      </c>
      <c r="B1339" s="10">
        <v>44725</v>
      </c>
      <c r="C1339" s="11">
        <v>44725</v>
      </c>
      <c r="D1339" s="49">
        <v>24</v>
      </c>
      <c r="E1339" s="13" t="s">
        <v>1808</v>
      </c>
      <c r="F1339" s="13">
        <v>3025457</v>
      </c>
      <c r="G1339" s="14">
        <v>14293</v>
      </c>
      <c r="H1339" s="33">
        <v>9650</v>
      </c>
      <c r="I1339" s="16">
        <f t="shared" si="198"/>
        <v>137927450</v>
      </c>
      <c r="J1339" s="17">
        <v>30</v>
      </c>
      <c r="K1339" s="34">
        <v>4502347624</v>
      </c>
      <c r="L1339" s="19">
        <v>5082259711</v>
      </c>
      <c r="M1339" s="20">
        <v>5113374822</v>
      </c>
      <c r="N1339" s="44"/>
      <c r="O1339" s="9" t="s">
        <v>37</v>
      </c>
      <c r="P1339" s="23"/>
      <c r="Q1339" s="24" t="s">
        <v>31</v>
      </c>
      <c r="R1339" s="25">
        <v>44723</v>
      </c>
      <c r="S1339" s="28"/>
      <c r="T1339" s="35"/>
      <c r="U1339" s="35"/>
      <c r="V1339" s="29"/>
      <c r="W1339" s="35"/>
      <c r="X1339" s="29"/>
      <c r="Y1339" s="36"/>
      <c r="Z1339" s="29"/>
      <c r="AA1339" s="31">
        <f t="shared" si="1"/>
        <v>44723</v>
      </c>
      <c r="AB1339" s="32" t="str">
        <f t="shared" si="5"/>
        <v>junio</v>
      </c>
    </row>
    <row r="1340" spans="1:28" ht="12.75">
      <c r="A1340" s="9" t="s">
        <v>58</v>
      </c>
      <c r="B1340" s="10">
        <v>44728</v>
      </c>
      <c r="C1340" s="11">
        <v>44728</v>
      </c>
      <c r="D1340" s="49">
        <v>24</v>
      </c>
      <c r="E1340" s="13" t="s">
        <v>1809</v>
      </c>
      <c r="F1340" s="13">
        <v>3025457</v>
      </c>
      <c r="G1340" s="14">
        <v>22584.5</v>
      </c>
      <c r="H1340" s="33">
        <v>50</v>
      </c>
      <c r="I1340" s="16">
        <f>-H1340*G1340</f>
        <v>-1129225</v>
      </c>
      <c r="J1340" s="17">
        <v>0</v>
      </c>
      <c r="K1340" s="34">
        <v>4502347624</v>
      </c>
      <c r="L1340" s="19">
        <v>5082259711</v>
      </c>
      <c r="M1340" s="20">
        <v>5113374823</v>
      </c>
      <c r="N1340" s="44"/>
      <c r="O1340" s="9"/>
      <c r="P1340" s="23"/>
      <c r="Q1340" s="24" t="s">
        <v>31</v>
      </c>
      <c r="R1340" s="25">
        <v>44723</v>
      </c>
      <c r="S1340" s="28"/>
      <c r="T1340" s="35"/>
      <c r="U1340" s="35"/>
      <c r="V1340" s="29"/>
      <c r="W1340" s="35"/>
      <c r="X1340" s="29"/>
      <c r="Y1340" s="36"/>
      <c r="Z1340" s="29"/>
      <c r="AA1340" s="31">
        <f t="shared" si="1"/>
        <v>44723</v>
      </c>
      <c r="AB1340" s="32" t="str">
        <f t="shared" si="5"/>
        <v>junio</v>
      </c>
    </row>
    <row r="1341" spans="1:28" ht="12.75">
      <c r="A1341" s="9" t="s">
        <v>58</v>
      </c>
      <c r="B1341" s="10">
        <v>44725</v>
      </c>
      <c r="C1341" s="11">
        <v>44725</v>
      </c>
      <c r="D1341" s="49">
        <v>24</v>
      </c>
      <c r="E1341" s="13" t="s">
        <v>1810</v>
      </c>
      <c r="F1341" s="13">
        <v>3025457</v>
      </c>
      <c r="G1341" s="14">
        <v>50575</v>
      </c>
      <c r="H1341" s="33">
        <v>9650</v>
      </c>
      <c r="I1341" s="16">
        <f t="shared" ref="I1341:I1345" si="199">H1341*G1341</f>
        <v>488048750</v>
      </c>
      <c r="J1341" s="17">
        <v>105</v>
      </c>
      <c r="K1341" s="34">
        <v>4502347624</v>
      </c>
      <c r="L1341" s="19">
        <v>5082259711</v>
      </c>
      <c r="M1341" s="20">
        <v>5113368590</v>
      </c>
      <c r="N1341" s="44"/>
      <c r="O1341" s="9" t="s">
        <v>37</v>
      </c>
      <c r="P1341" s="23"/>
      <c r="Q1341" s="24" t="s">
        <v>31</v>
      </c>
      <c r="R1341" s="25">
        <v>44723</v>
      </c>
      <c r="S1341" s="28"/>
      <c r="T1341" s="35"/>
      <c r="U1341" s="35"/>
      <c r="V1341" s="29"/>
      <c r="W1341" s="35"/>
      <c r="X1341" s="29"/>
      <c r="Y1341" s="36"/>
      <c r="Z1341" s="29"/>
      <c r="AA1341" s="31">
        <f t="shared" si="1"/>
        <v>44723</v>
      </c>
      <c r="AB1341" s="32" t="str">
        <f t="shared" si="5"/>
        <v>junio</v>
      </c>
    </row>
    <row r="1342" spans="1:28" ht="12.75">
      <c r="A1342" s="9" t="s">
        <v>94</v>
      </c>
      <c r="B1342" s="10">
        <v>44725</v>
      </c>
      <c r="C1342" s="11">
        <v>44726</v>
      </c>
      <c r="D1342" s="49">
        <v>24</v>
      </c>
      <c r="E1342" s="13" t="s">
        <v>1811</v>
      </c>
      <c r="F1342" s="13">
        <v>3025457</v>
      </c>
      <c r="G1342" s="14">
        <v>18927</v>
      </c>
      <c r="H1342" s="15">
        <v>8900</v>
      </c>
      <c r="I1342" s="16">
        <f t="shared" si="199"/>
        <v>168450300</v>
      </c>
      <c r="J1342" s="17">
        <v>42</v>
      </c>
      <c r="K1342" s="34">
        <v>4502349082</v>
      </c>
      <c r="L1342" s="19">
        <v>5082233728</v>
      </c>
      <c r="M1342" s="20">
        <v>5113368594</v>
      </c>
      <c r="N1342" s="9" t="s">
        <v>63</v>
      </c>
      <c r="O1342" s="22" t="s">
        <v>678</v>
      </c>
      <c r="P1342" s="23"/>
      <c r="Q1342" s="24" t="s">
        <v>31</v>
      </c>
      <c r="R1342" s="25">
        <v>44722</v>
      </c>
      <c r="S1342" s="28">
        <v>4902285301</v>
      </c>
      <c r="T1342" s="35">
        <f>1623900*3</f>
        <v>4871700</v>
      </c>
      <c r="U1342" s="28" t="s">
        <v>1812</v>
      </c>
      <c r="V1342" s="29">
        <v>5113372563</v>
      </c>
      <c r="W1342" s="35"/>
      <c r="X1342" s="29"/>
      <c r="Y1342" s="36"/>
      <c r="Z1342" s="29"/>
      <c r="AA1342" s="31">
        <f t="shared" si="1"/>
        <v>44722</v>
      </c>
      <c r="AB1342" s="32" t="str">
        <f t="shared" si="5"/>
        <v>junio</v>
      </c>
    </row>
    <row r="1343" spans="1:28" ht="12.75">
      <c r="A1343" s="9" t="s">
        <v>58</v>
      </c>
      <c r="B1343" s="10">
        <v>44725</v>
      </c>
      <c r="C1343" s="11">
        <v>44725</v>
      </c>
      <c r="D1343" s="49">
        <v>24</v>
      </c>
      <c r="E1343" s="13" t="s">
        <v>1813</v>
      </c>
      <c r="F1343" s="13">
        <v>3025457</v>
      </c>
      <c r="G1343" s="37">
        <v>7675.5</v>
      </c>
      <c r="H1343" s="33">
        <v>9650</v>
      </c>
      <c r="I1343" s="16">
        <f t="shared" si="199"/>
        <v>74068575</v>
      </c>
      <c r="J1343" s="17">
        <v>13</v>
      </c>
      <c r="K1343" s="34">
        <v>4502350184</v>
      </c>
      <c r="L1343" s="19">
        <v>5082269972</v>
      </c>
      <c r="M1343" s="20">
        <v>5113369857</v>
      </c>
      <c r="N1343" s="44"/>
      <c r="O1343" s="9" t="s">
        <v>37</v>
      </c>
      <c r="P1343" s="23"/>
      <c r="Q1343" s="24" t="s">
        <v>31</v>
      </c>
      <c r="R1343" s="25">
        <v>44723</v>
      </c>
      <c r="S1343" s="28"/>
      <c r="T1343" s="35"/>
      <c r="U1343" s="35"/>
      <c r="V1343" s="29"/>
      <c r="W1343" s="35"/>
      <c r="X1343" s="29"/>
      <c r="Y1343" s="36"/>
      <c r="Z1343" s="29"/>
      <c r="AA1343" s="31">
        <f t="shared" si="1"/>
        <v>44723</v>
      </c>
      <c r="AB1343" s="32" t="str">
        <f t="shared" si="5"/>
        <v>junio</v>
      </c>
    </row>
    <row r="1344" spans="1:28" ht="12.75">
      <c r="A1344" s="9" t="s">
        <v>58</v>
      </c>
      <c r="B1344" s="10">
        <v>44728</v>
      </c>
      <c r="C1344" s="11">
        <v>44728</v>
      </c>
      <c r="D1344" s="49">
        <v>24</v>
      </c>
      <c r="E1344" s="13" t="s">
        <v>1814</v>
      </c>
      <c r="F1344" s="13">
        <v>3025457</v>
      </c>
      <c r="G1344" s="37">
        <v>7675.5</v>
      </c>
      <c r="H1344" s="33">
        <v>32.590000000000003</v>
      </c>
      <c r="I1344" s="16">
        <f t="shared" si="199"/>
        <v>250144.54500000001</v>
      </c>
      <c r="J1344" s="17">
        <v>0</v>
      </c>
      <c r="K1344" s="34">
        <v>4502350184</v>
      </c>
      <c r="L1344" s="19">
        <v>5082269972</v>
      </c>
      <c r="M1344" s="20">
        <v>5113374817</v>
      </c>
      <c r="N1344" s="44"/>
      <c r="O1344" s="9"/>
      <c r="P1344" s="23"/>
      <c r="Q1344" s="24" t="s">
        <v>31</v>
      </c>
      <c r="R1344" s="25">
        <v>44723</v>
      </c>
      <c r="S1344" s="28"/>
      <c r="T1344" s="35"/>
      <c r="U1344" s="35"/>
      <c r="V1344" s="29"/>
      <c r="W1344" s="35"/>
      <c r="X1344" s="29"/>
      <c r="Y1344" s="36"/>
      <c r="Z1344" s="29"/>
      <c r="AA1344" s="31">
        <f t="shared" si="1"/>
        <v>44723</v>
      </c>
      <c r="AB1344" s="32" t="str">
        <f t="shared" si="5"/>
        <v>junio</v>
      </c>
    </row>
    <row r="1345" spans="1:28" ht="12.75">
      <c r="A1345" s="9" t="s">
        <v>61</v>
      </c>
      <c r="B1345" s="10">
        <v>44725</v>
      </c>
      <c r="C1345" s="11"/>
      <c r="D1345" s="49">
        <v>24</v>
      </c>
      <c r="E1345" s="13" t="s">
        <v>1815</v>
      </c>
      <c r="F1345" s="13">
        <v>3025457</v>
      </c>
      <c r="G1345" s="37">
        <v>13985.5</v>
      </c>
      <c r="H1345" s="33">
        <v>9000</v>
      </c>
      <c r="I1345" s="16">
        <f t="shared" si="199"/>
        <v>125869500</v>
      </c>
      <c r="J1345" s="17">
        <v>30</v>
      </c>
      <c r="K1345" s="34">
        <v>4502347625</v>
      </c>
      <c r="L1345" s="19">
        <v>5082259712</v>
      </c>
      <c r="M1345" s="20">
        <v>5113368337</v>
      </c>
      <c r="N1345" s="44"/>
      <c r="O1345" s="9" t="s">
        <v>63</v>
      </c>
      <c r="P1345" s="93" t="s">
        <v>1816</v>
      </c>
      <c r="Q1345" s="24" t="s">
        <v>31</v>
      </c>
      <c r="R1345" s="25">
        <v>44723</v>
      </c>
      <c r="S1345" s="28"/>
      <c r="T1345" s="35"/>
      <c r="U1345" s="35"/>
      <c r="V1345" s="29"/>
      <c r="W1345" s="35"/>
      <c r="X1345" s="29"/>
      <c r="Y1345" s="36"/>
      <c r="Z1345" s="29"/>
      <c r="AA1345" s="31">
        <f t="shared" si="1"/>
        <v>44723</v>
      </c>
      <c r="AB1345" s="32" t="str">
        <f t="shared" si="5"/>
        <v>junio</v>
      </c>
    </row>
    <row r="1346" spans="1:28" ht="12.75">
      <c r="A1346" s="9" t="s">
        <v>61</v>
      </c>
      <c r="B1346" s="10">
        <v>44725</v>
      </c>
      <c r="C1346" s="11"/>
      <c r="D1346" s="49">
        <v>24</v>
      </c>
      <c r="E1346" s="13" t="s">
        <v>1337</v>
      </c>
      <c r="F1346" s="13">
        <v>3025457</v>
      </c>
      <c r="G1346" s="37">
        <v>13985.5</v>
      </c>
      <c r="H1346" s="33">
        <v>100</v>
      </c>
      <c r="I1346" s="16">
        <f>-H1346*G1346</f>
        <v>-1398550</v>
      </c>
      <c r="J1346" s="17">
        <v>0</v>
      </c>
      <c r="K1346" s="34">
        <v>4502347625</v>
      </c>
      <c r="L1346" s="19">
        <v>5082259712</v>
      </c>
      <c r="M1346" s="20">
        <v>5113368338</v>
      </c>
      <c r="N1346" s="44"/>
      <c r="O1346" s="9"/>
      <c r="P1346" s="93" t="s">
        <v>1816</v>
      </c>
      <c r="Q1346" s="24" t="s">
        <v>31</v>
      </c>
      <c r="R1346" s="25">
        <v>44723</v>
      </c>
      <c r="S1346" s="28"/>
      <c r="T1346" s="35"/>
      <c r="U1346" s="35"/>
      <c r="V1346" s="29"/>
      <c r="W1346" s="35"/>
      <c r="X1346" s="29"/>
      <c r="Y1346" s="36"/>
      <c r="Z1346" s="29"/>
      <c r="AA1346" s="31">
        <f t="shared" si="1"/>
        <v>44723</v>
      </c>
      <c r="AB1346" s="32" t="str">
        <f t="shared" si="5"/>
        <v>junio</v>
      </c>
    </row>
    <row r="1347" spans="1:28" ht="12.75">
      <c r="A1347" s="9" t="s">
        <v>39</v>
      </c>
      <c r="B1347" s="10">
        <v>44725</v>
      </c>
      <c r="C1347" s="11">
        <v>44725</v>
      </c>
      <c r="D1347" s="49">
        <v>24</v>
      </c>
      <c r="E1347" s="13" t="s">
        <v>1817</v>
      </c>
      <c r="F1347" s="13">
        <v>3025457</v>
      </c>
      <c r="G1347" s="14">
        <v>22161</v>
      </c>
      <c r="H1347" s="33">
        <v>9500</v>
      </c>
      <c r="I1347" s="16">
        <f t="shared" ref="I1347:I1349" si="200">H1347*G1347</f>
        <v>210529500</v>
      </c>
      <c r="J1347" s="17">
        <v>42</v>
      </c>
      <c r="K1347" s="34">
        <v>4502347626</v>
      </c>
      <c r="L1347" s="19">
        <v>5082269578</v>
      </c>
      <c r="M1347" s="20">
        <v>5113369780</v>
      </c>
      <c r="N1347" s="23"/>
      <c r="O1347" s="23" t="s">
        <v>37</v>
      </c>
      <c r="P1347" s="23" t="s">
        <v>1733</v>
      </c>
      <c r="Q1347" s="24" t="s">
        <v>31</v>
      </c>
      <c r="R1347" s="25">
        <v>44723</v>
      </c>
      <c r="S1347" s="28"/>
      <c r="T1347" s="35"/>
      <c r="U1347" s="35"/>
      <c r="V1347" s="29"/>
      <c r="W1347" s="35"/>
      <c r="X1347" s="29"/>
      <c r="Y1347" s="36"/>
      <c r="Z1347" s="29"/>
      <c r="AA1347" s="31">
        <f t="shared" si="1"/>
        <v>44723</v>
      </c>
      <c r="AB1347" s="32" t="str">
        <f t="shared" si="5"/>
        <v>junio</v>
      </c>
    </row>
    <row r="1348" spans="1:28" ht="12.75">
      <c r="A1348" s="9" t="s">
        <v>39</v>
      </c>
      <c r="B1348" s="10">
        <v>44725</v>
      </c>
      <c r="C1348" s="11">
        <v>44725</v>
      </c>
      <c r="D1348" s="49">
        <v>24</v>
      </c>
      <c r="E1348" s="13" t="s">
        <v>546</v>
      </c>
      <c r="F1348" s="13">
        <v>3025457</v>
      </c>
      <c r="G1348" s="14">
        <v>22161</v>
      </c>
      <c r="H1348" s="33">
        <v>50</v>
      </c>
      <c r="I1348" s="16">
        <f t="shared" si="200"/>
        <v>1108050</v>
      </c>
      <c r="J1348" s="17">
        <v>0</v>
      </c>
      <c r="K1348" s="34">
        <v>4502347626</v>
      </c>
      <c r="L1348" s="19">
        <v>5082269578</v>
      </c>
      <c r="M1348" s="20">
        <v>5113369783</v>
      </c>
      <c r="N1348" s="23"/>
      <c r="O1348" s="9"/>
      <c r="P1348" s="23" t="s">
        <v>1733</v>
      </c>
      <c r="Q1348" s="24" t="s">
        <v>31</v>
      </c>
      <c r="R1348" s="25">
        <v>44723</v>
      </c>
      <c r="S1348" s="28"/>
      <c r="T1348" s="35"/>
      <c r="U1348" s="35"/>
      <c r="V1348" s="29"/>
      <c r="W1348" s="35"/>
      <c r="X1348" s="29"/>
      <c r="Y1348" s="36"/>
      <c r="Z1348" s="29"/>
      <c r="AA1348" s="31">
        <f t="shared" si="1"/>
        <v>44723</v>
      </c>
      <c r="AB1348" s="32" t="str">
        <f t="shared" si="5"/>
        <v>junio</v>
      </c>
    </row>
    <row r="1349" spans="1:28" ht="12.75">
      <c r="A1349" s="9" t="s">
        <v>338</v>
      </c>
      <c r="B1349" s="10">
        <v>44725</v>
      </c>
      <c r="C1349" s="11"/>
      <c r="D1349" s="49">
        <v>24</v>
      </c>
      <c r="E1349" s="13" t="s">
        <v>1818</v>
      </c>
      <c r="F1349" s="13">
        <v>3025457</v>
      </c>
      <c r="G1349" s="37">
        <v>12700.5</v>
      </c>
      <c r="H1349" s="33">
        <v>9200</v>
      </c>
      <c r="I1349" s="16">
        <f t="shared" si="200"/>
        <v>116844600</v>
      </c>
      <c r="J1349" s="17">
        <v>27</v>
      </c>
      <c r="K1349" s="34">
        <v>4502347627</v>
      </c>
      <c r="L1349" s="19">
        <v>5082259713</v>
      </c>
      <c r="M1349" s="20">
        <v>5113371816</v>
      </c>
      <c r="N1349" s="23"/>
      <c r="O1349" s="9" t="s">
        <v>63</v>
      </c>
      <c r="P1349" s="23"/>
      <c r="Q1349" s="24" t="s">
        <v>31</v>
      </c>
      <c r="R1349" s="25">
        <v>44723</v>
      </c>
      <c r="S1349" s="28"/>
      <c r="T1349" s="35"/>
      <c r="U1349" s="35"/>
      <c r="V1349" s="29"/>
      <c r="W1349" s="35"/>
      <c r="X1349" s="29"/>
      <c r="Y1349" s="36"/>
      <c r="Z1349" s="29"/>
      <c r="AA1349" s="31">
        <f t="shared" si="1"/>
        <v>44723</v>
      </c>
      <c r="AB1349" s="32" t="str">
        <f t="shared" si="5"/>
        <v>junio</v>
      </c>
    </row>
    <row r="1350" spans="1:28" ht="12.75">
      <c r="A1350" s="9" t="s">
        <v>338</v>
      </c>
      <c r="B1350" s="10">
        <v>44726</v>
      </c>
      <c r="C1350" s="11"/>
      <c r="D1350" s="49">
        <v>24</v>
      </c>
      <c r="E1350" s="13" t="s">
        <v>1819</v>
      </c>
      <c r="F1350" s="13">
        <v>3025457</v>
      </c>
      <c r="G1350" s="37">
        <v>12700.5</v>
      </c>
      <c r="H1350" s="33">
        <v>50</v>
      </c>
      <c r="I1350" s="16">
        <f>-H1350*G1350</f>
        <v>-635025</v>
      </c>
      <c r="J1350" s="17">
        <v>0</v>
      </c>
      <c r="K1350" s="34">
        <v>4502347627</v>
      </c>
      <c r="L1350" s="19">
        <v>5082259713</v>
      </c>
      <c r="M1350" s="20">
        <v>5113371947</v>
      </c>
      <c r="N1350" s="23"/>
      <c r="O1350" s="9"/>
      <c r="P1350" s="23"/>
      <c r="Q1350" s="24" t="s">
        <v>31</v>
      </c>
      <c r="R1350" s="25">
        <v>44723</v>
      </c>
      <c r="S1350" s="28"/>
      <c r="T1350" s="35"/>
      <c r="U1350" s="35"/>
      <c r="V1350" s="29"/>
      <c r="W1350" s="35"/>
      <c r="X1350" s="29"/>
      <c r="Y1350" s="36"/>
      <c r="Z1350" s="29"/>
      <c r="AA1350" s="31">
        <f t="shared" si="1"/>
        <v>44723</v>
      </c>
      <c r="AB1350" s="32" t="str">
        <f t="shared" si="5"/>
        <v>junio</v>
      </c>
    </row>
    <row r="1351" spans="1:28" ht="12.75">
      <c r="A1351" s="9" t="s">
        <v>65</v>
      </c>
      <c r="B1351" s="10">
        <v>44726</v>
      </c>
      <c r="C1351" s="11">
        <v>44726</v>
      </c>
      <c r="D1351" s="49">
        <v>24</v>
      </c>
      <c r="E1351" s="13" t="s">
        <v>1820</v>
      </c>
      <c r="F1351" s="13">
        <v>3025459</v>
      </c>
      <c r="G1351" s="14">
        <v>27298</v>
      </c>
      <c r="H1351" s="15">
        <v>8900</v>
      </c>
      <c r="I1351" s="16">
        <f t="shared" ref="I1351:I1352" si="201">H1351*G1351</f>
        <v>242952200</v>
      </c>
      <c r="J1351" s="17">
        <v>56</v>
      </c>
      <c r="K1351" s="34">
        <v>4502350563</v>
      </c>
      <c r="L1351" s="19">
        <v>5082270479</v>
      </c>
      <c r="M1351" s="20">
        <v>5113369697</v>
      </c>
      <c r="N1351" s="44"/>
      <c r="O1351" s="22" t="s">
        <v>1615</v>
      </c>
      <c r="P1351" s="23"/>
      <c r="Q1351" s="24" t="s">
        <v>31</v>
      </c>
      <c r="R1351" s="25">
        <v>44724</v>
      </c>
      <c r="S1351" s="28">
        <v>4902285321</v>
      </c>
      <c r="T1351" s="35">
        <f>920000*4</f>
        <v>3680000</v>
      </c>
      <c r="U1351" s="28" t="s">
        <v>1821</v>
      </c>
      <c r="V1351" s="29">
        <v>5113372418</v>
      </c>
      <c r="W1351" s="35"/>
      <c r="X1351" s="29"/>
      <c r="Y1351" s="36"/>
      <c r="Z1351" s="29"/>
      <c r="AA1351" s="31">
        <f t="shared" si="1"/>
        <v>44724</v>
      </c>
      <c r="AB1351" s="32" t="str">
        <f t="shared" si="5"/>
        <v>junio</v>
      </c>
    </row>
    <row r="1352" spans="1:28" ht="12.75">
      <c r="A1352" s="9" t="s">
        <v>111</v>
      </c>
      <c r="B1352" s="10">
        <v>44726</v>
      </c>
      <c r="C1352" s="11">
        <v>44726</v>
      </c>
      <c r="D1352" s="49">
        <v>24</v>
      </c>
      <c r="E1352" s="13" t="s">
        <v>1822</v>
      </c>
      <c r="F1352" s="13">
        <v>3025459</v>
      </c>
      <c r="G1352" s="14">
        <v>6833</v>
      </c>
      <c r="H1352" s="33">
        <v>9100</v>
      </c>
      <c r="I1352" s="16">
        <f t="shared" si="201"/>
        <v>62180300</v>
      </c>
      <c r="J1352" s="17">
        <v>14</v>
      </c>
      <c r="K1352" s="34">
        <v>4502347628</v>
      </c>
      <c r="L1352" s="19">
        <v>5082269579</v>
      </c>
      <c r="M1352" s="20">
        <v>5113371419</v>
      </c>
      <c r="N1352" s="23"/>
      <c r="O1352" s="9" t="s">
        <v>37</v>
      </c>
      <c r="P1352" s="23" t="s">
        <v>1733</v>
      </c>
      <c r="Q1352" s="24" t="s">
        <v>31</v>
      </c>
      <c r="R1352" s="25">
        <v>44724</v>
      </c>
      <c r="S1352" s="28"/>
      <c r="T1352" s="35"/>
      <c r="U1352" s="35"/>
      <c r="V1352" s="29"/>
      <c r="W1352" s="35"/>
      <c r="X1352" s="29"/>
      <c r="Y1352" s="36"/>
      <c r="Z1352" s="29"/>
      <c r="AA1352" s="31">
        <f t="shared" si="1"/>
        <v>44724</v>
      </c>
      <c r="AB1352" s="32" t="str">
        <f t="shared" si="5"/>
        <v>junio</v>
      </c>
    </row>
    <row r="1353" spans="1:28" ht="12.75">
      <c r="A1353" s="9" t="s">
        <v>111</v>
      </c>
      <c r="B1353" s="10">
        <v>44726</v>
      </c>
      <c r="C1353" s="11">
        <v>44726</v>
      </c>
      <c r="D1353" s="49">
        <v>24</v>
      </c>
      <c r="E1353" s="13" t="s">
        <v>1823</v>
      </c>
      <c r="F1353" s="13">
        <v>3025459</v>
      </c>
      <c r="G1353" s="14">
        <v>6833</v>
      </c>
      <c r="H1353" s="33">
        <v>100</v>
      </c>
      <c r="I1353" s="16">
        <f>-H1353*G1353</f>
        <v>-683300</v>
      </c>
      <c r="J1353" s="17">
        <v>0</v>
      </c>
      <c r="K1353" s="34">
        <v>4502347628</v>
      </c>
      <c r="L1353" s="19">
        <v>5082269579</v>
      </c>
      <c r="M1353" s="20">
        <v>5113371420</v>
      </c>
      <c r="N1353" s="23"/>
      <c r="O1353" s="9"/>
      <c r="P1353" s="23"/>
      <c r="Q1353" s="24" t="s">
        <v>31</v>
      </c>
      <c r="R1353" s="25">
        <v>44724</v>
      </c>
      <c r="S1353" s="28"/>
      <c r="T1353" s="35"/>
      <c r="U1353" s="35"/>
      <c r="V1353" s="29"/>
      <c r="W1353" s="35"/>
      <c r="X1353" s="29"/>
      <c r="Y1353" s="36"/>
      <c r="Z1353" s="29"/>
      <c r="AA1353" s="31">
        <f t="shared" si="1"/>
        <v>44724</v>
      </c>
      <c r="AB1353" s="32" t="str">
        <f t="shared" si="5"/>
        <v>junio</v>
      </c>
    </row>
    <row r="1354" spans="1:28" ht="12.75">
      <c r="A1354" s="9" t="s">
        <v>642</v>
      </c>
      <c r="B1354" s="10">
        <v>44725</v>
      </c>
      <c r="C1354" s="11">
        <v>44733</v>
      </c>
      <c r="D1354" s="49">
        <v>24</v>
      </c>
      <c r="E1354" s="13" t="s">
        <v>1824</v>
      </c>
      <c r="F1354" s="13">
        <v>3025457</v>
      </c>
      <c r="G1354" s="14">
        <v>20506</v>
      </c>
      <c r="H1354" s="33">
        <v>9200</v>
      </c>
      <c r="I1354" s="16">
        <f>H1354*G1354</f>
        <v>188655200</v>
      </c>
      <c r="J1354" s="17">
        <v>43</v>
      </c>
      <c r="K1354" s="34">
        <v>4502347629</v>
      </c>
      <c r="L1354" s="19">
        <v>5082290466</v>
      </c>
      <c r="M1354" s="20">
        <v>5113389431</v>
      </c>
      <c r="N1354" s="23"/>
      <c r="O1354" s="9" t="s">
        <v>37</v>
      </c>
      <c r="P1354" s="23" t="s">
        <v>1825</v>
      </c>
      <c r="Q1354" s="24" t="s">
        <v>31</v>
      </c>
      <c r="R1354" s="25">
        <v>44725</v>
      </c>
      <c r="S1354" s="28"/>
      <c r="T1354" s="35"/>
      <c r="U1354" s="35"/>
      <c r="V1354" s="29"/>
      <c r="W1354" s="35"/>
      <c r="X1354" s="29"/>
      <c r="Y1354" s="36"/>
      <c r="Z1354" s="29"/>
      <c r="AA1354" s="31">
        <f t="shared" si="1"/>
        <v>44725</v>
      </c>
      <c r="AB1354" s="32" t="str">
        <f t="shared" si="5"/>
        <v>junio</v>
      </c>
    </row>
    <row r="1355" spans="1:28" ht="12.75">
      <c r="A1355" s="9" t="s">
        <v>642</v>
      </c>
      <c r="B1355" s="10">
        <v>44725</v>
      </c>
      <c r="C1355" s="11"/>
      <c r="D1355" s="49">
        <v>24</v>
      </c>
      <c r="E1355" s="13" t="s">
        <v>1826</v>
      </c>
      <c r="F1355" s="13">
        <v>3025457</v>
      </c>
      <c r="G1355" s="14">
        <v>20506</v>
      </c>
      <c r="H1355" s="33">
        <f>9200-9028.47</f>
        <v>171.53000000000065</v>
      </c>
      <c r="I1355" s="16">
        <f>-H1355*G1355</f>
        <v>-3517394.1800000132</v>
      </c>
      <c r="J1355" s="17">
        <v>0</v>
      </c>
      <c r="K1355" s="34">
        <v>4502347629</v>
      </c>
      <c r="L1355" s="19">
        <v>5082290466</v>
      </c>
      <c r="M1355" s="20">
        <v>5113389434</v>
      </c>
      <c r="N1355" s="23"/>
      <c r="O1355" s="9"/>
      <c r="P1355" s="23" t="s">
        <v>1827</v>
      </c>
      <c r="Q1355" s="24" t="s">
        <v>31</v>
      </c>
      <c r="R1355" s="25">
        <v>44725</v>
      </c>
      <c r="S1355" s="28"/>
      <c r="T1355" s="35"/>
      <c r="U1355" s="35"/>
      <c r="V1355" s="29"/>
      <c r="W1355" s="35"/>
      <c r="X1355" s="29"/>
      <c r="Y1355" s="36"/>
      <c r="Z1355" s="29"/>
      <c r="AA1355" s="31">
        <f t="shared" si="1"/>
        <v>44725</v>
      </c>
      <c r="AB1355" s="32" t="str">
        <f t="shared" si="5"/>
        <v>junio</v>
      </c>
    </row>
    <row r="1356" spans="1:28" ht="12.75">
      <c r="A1356" s="9" t="s">
        <v>289</v>
      </c>
      <c r="B1356" s="10">
        <v>44725</v>
      </c>
      <c r="C1356" s="11">
        <v>44728</v>
      </c>
      <c r="D1356" s="49">
        <v>24</v>
      </c>
      <c r="E1356" s="13" t="s">
        <v>1828</v>
      </c>
      <c r="F1356" s="13">
        <v>3025457</v>
      </c>
      <c r="G1356" s="37">
        <v>7485.5</v>
      </c>
      <c r="H1356" s="33">
        <v>9450</v>
      </c>
      <c r="I1356" s="16">
        <f>H1356*G1356</f>
        <v>70737975</v>
      </c>
      <c r="J1356" s="17">
        <v>15</v>
      </c>
      <c r="K1356" s="34">
        <v>4502347630</v>
      </c>
      <c r="L1356" s="19">
        <v>5082288581</v>
      </c>
      <c r="M1356" s="20">
        <v>5113381391</v>
      </c>
      <c r="N1356" s="23"/>
      <c r="O1356" s="23" t="s">
        <v>37</v>
      </c>
      <c r="P1356" s="23"/>
      <c r="Q1356" s="24" t="s">
        <v>31</v>
      </c>
      <c r="R1356" s="25">
        <v>44725</v>
      </c>
      <c r="S1356" s="28"/>
      <c r="T1356" s="35"/>
      <c r="U1356" s="35"/>
      <c r="V1356" s="29"/>
      <c r="W1356" s="35"/>
      <c r="X1356" s="29"/>
      <c r="Y1356" s="36"/>
      <c r="Z1356" s="29"/>
      <c r="AA1356" s="31">
        <f t="shared" si="1"/>
        <v>44725</v>
      </c>
      <c r="AB1356" s="32" t="str">
        <f t="shared" si="5"/>
        <v>junio</v>
      </c>
    </row>
    <row r="1357" spans="1:28" ht="12.75">
      <c r="A1357" s="9" t="s">
        <v>289</v>
      </c>
      <c r="B1357" s="10">
        <v>44728</v>
      </c>
      <c r="C1357" s="11">
        <v>44728</v>
      </c>
      <c r="D1357" s="49">
        <v>24</v>
      </c>
      <c r="E1357" s="13" t="s">
        <v>1829</v>
      </c>
      <c r="F1357" s="13">
        <v>3025457</v>
      </c>
      <c r="G1357" s="37">
        <v>7485.5</v>
      </c>
      <c r="H1357" s="33">
        <v>150</v>
      </c>
      <c r="I1357" s="16">
        <f>-H1357*G1357</f>
        <v>-1122825</v>
      </c>
      <c r="J1357" s="17">
        <v>0</v>
      </c>
      <c r="K1357" s="34">
        <v>4502347630</v>
      </c>
      <c r="L1357" s="19">
        <v>5082288581</v>
      </c>
      <c r="M1357" s="20">
        <v>5113381394</v>
      </c>
      <c r="N1357" s="44"/>
      <c r="O1357" s="9"/>
      <c r="P1357" s="23"/>
      <c r="Q1357" s="24" t="s">
        <v>31</v>
      </c>
      <c r="R1357" s="25">
        <v>44725</v>
      </c>
      <c r="S1357" s="28"/>
      <c r="T1357" s="35"/>
      <c r="U1357" s="35"/>
      <c r="V1357" s="29"/>
      <c r="W1357" s="35"/>
      <c r="X1357" s="29"/>
      <c r="Y1357" s="36"/>
      <c r="Z1357" s="29"/>
      <c r="AA1357" s="31">
        <f t="shared" si="1"/>
        <v>44725</v>
      </c>
      <c r="AB1357" s="32" t="str">
        <f t="shared" si="5"/>
        <v>junio</v>
      </c>
    </row>
    <row r="1358" spans="1:28" ht="12.75">
      <c r="A1358" s="9" t="s">
        <v>80</v>
      </c>
      <c r="B1358" s="10">
        <v>44726</v>
      </c>
      <c r="C1358" s="11">
        <v>44726</v>
      </c>
      <c r="D1358" s="49">
        <v>24</v>
      </c>
      <c r="E1358" s="13" t="s">
        <v>1830</v>
      </c>
      <c r="F1358" s="13">
        <v>3025457</v>
      </c>
      <c r="G1358" s="14">
        <v>20159</v>
      </c>
      <c r="H1358" s="15">
        <v>8950</v>
      </c>
      <c r="I1358" s="16">
        <f t="shared" ref="I1358:I1359" si="202">H1358*G1358</f>
        <v>180423050</v>
      </c>
      <c r="J1358" s="17">
        <v>42</v>
      </c>
      <c r="K1358" s="34">
        <v>4502351717</v>
      </c>
      <c r="L1358" s="19">
        <v>5082290107</v>
      </c>
      <c r="M1358" s="20">
        <v>5113377744</v>
      </c>
      <c r="N1358" s="23"/>
      <c r="O1358" s="88" t="s">
        <v>1057</v>
      </c>
      <c r="P1358" s="9" t="s">
        <v>37</v>
      </c>
      <c r="Q1358" s="24" t="s">
        <v>31</v>
      </c>
      <c r="R1358" s="25">
        <v>44725</v>
      </c>
      <c r="S1358" s="28">
        <v>4902285329</v>
      </c>
      <c r="T1358" s="28">
        <v>4792500</v>
      </c>
      <c r="U1358" s="28" t="s">
        <v>1831</v>
      </c>
      <c r="V1358" s="29">
        <v>5113381402</v>
      </c>
      <c r="W1358" s="35"/>
      <c r="X1358" s="29"/>
      <c r="Y1358" s="36"/>
      <c r="Z1358" s="29"/>
      <c r="AA1358" s="31">
        <f t="shared" si="1"/>
        <v>44725</v>
      </c>
      <c r="AB1358" s="32" t="str">
        <f t="shared" si="5"/>
        <v>junio</v>
      </c>
    </row>
    <row r="1359" spans="1:28" ht="12.75">
      <c r="A1359" s="9" t="s">
        <v>276</v>
      </c>
      <c r="B1359" s="10">
        <v>44729</v>
      </c>
      <c r="C1359" s="11"/>
      <c r="D1359" s="49">
        <v>24</v>
      </c>
      <c r="E1359" s="13" t="s">
        <v>640</v>
      </c>
      <c r="F1359" s="13">
        <v>3025459</v>
      </c>
      <c r="G1359" s="37">
        <v>14496.5</v>
      </c>
      <c r="H1359" s="33">
        <v>9000</v>
      </c>
      <c r="I1359" s="16">
        <f t="shared" si="202"/>
        <v>130468500</v>
      </c>
      <c r="J1359" s="17">
        <v>28</v>
      </c>
      <c r="K1359" s="34">
        <v>4502347631</v>
      </c>
      <c r="L1359" s="19">
        <v>5082288735</v>
      </c>
      <c r="M1359" s="20">
        <v>5113381043</v>
      </c>
      <c r="N1359" s="23"/>
      <c r="O1359" s="9" t="s">
        <v>63</v>
      </c>
      <c r="P1359" s="23"/>
      <c r="Q1359" s="24" t="s">
        <v>31</v>
      </c>
      <c r="R1359" s="25">
        <v>44725</v>
      </c>
      <c r="S1359" s="28"/>
      <c r="T1359" s="35"/>
      <c r="U1359" s="35"/>
      <c r="V1359" s="29"/>
      <c r="W1359" s="35"/>
      <c r="X1359" s="29"/>
      <c r="Y1359" s="36"/>
      <c r="Z1359" s="29"/>
      <c r="AA1359" s="31">
        <f t="shared" si="1"/>
        <v>44725</v>
      </c>
      <c r="AB1359" s="32" t="str">
        <f t="shared" si="5"/>
        <v>junio</v>
      </c>
    </row>
    <row r="1360" spans="1:28" ht="12.75">
      <c r="A1360" s="9" t="s">
        <v>276</v>
      </c>
      <c r="B1360" s="10">
        <v>44729</v>
      </c>
      <c r="C1360" s="11"/>
      <c r="D1360" s="49">
        <v>24</v>
      </c>
      <c r="E1360" s="13" t="s">
        <v>1832</v>
      </c>
      <c r="F1360" s="13">
        <v>3025459</v>
      </c>
      <c r="G1360" s="37">
        <v>14496.5</v>
      </c>
      <c r="H1360" s="33">
        <f>9000-8929.62</f>
        <v>70.3799999999992</v>
      </c>
      <c r="I1360" s="16">
        <f>-H1360*G1360</f>
        <v>-1020263.6699999884</v>
      </c>
      <c r="J1360" s="17">
        <v>0</v>
      </c>
      <c r="K1360" s="34">
        <v>4502347631</v>
      </c>
      <c r="L1360" s="19">
        <v>5082288735</v>
      </c>
      <c r="M1360" s="20">
        <v>5113381044</v>
      </c>
      <c r="N1360" s="23"/>
      <c r="O1360" s="9"/>
      <c r="P1360" s="23"/>
      <c r="Q1360" s="24" t="s">
        <v>31</v>
      </c>
      <c r="R1360" s="25">
        <v>44725</v>
      </c>
      <c r="S1360" s="28"/>
      <c r="T1360" s="35"/>
      <c r="U1360" s="35"/>
      <c r="V1360" s="29"/>
      <c r="W1360" s="35"/>
      <c r="X1360" s="29"/>
      <c r="Y1360" s="36"/>
      <c r="Z1360" s="29"/>
      <c r="AA1360" s="31">
        <f t="shared" si="1"/>
        <v>44725</v>
      </c>
      <c r="AB1360" s="32" t="str">
        <f t="shared" si="5"/>
        <v>junio</v>
      </c>
    </row>
    <row r="1361" spans="1:28" ht="12.75">
      <c r="A1361" s="9" t="s">
        <v>209</v>
      </c>
      <c r="B1361" s="10">
        <v>44728</v>
      </c>
      <c r="C1361" s="11">
        <v>44728</v>
      </c>
      <c r="D1361" s="49">
        <v>24</v>
      </c>
      <c r="E1361" s="13" t="s">
        <v>1833</v>
      </c>
      <c r="F1361" s="13">
        <v>3025459</v>
      </c>
      <c r="G1361" s="14">
        <v>14765</v>
      </c>
      <c r="H1361" s="33">
        <v>9100</v>
      </c>
      <c r="I1361" s="16">
        <f>H1361*G1361</f>
        <v>134361500</v>
      </c>
      <c r="J1361" s="17">
        <v>30</v>
      </c>
      <c r="K1361" s="34">
        <v>4502347632</v>
      </c>
      <c r="L1361" s="19">
        <v>5082324605</v>
      </c>
      <c r="M1361" s="20">
        <v>5113374920</v>
      </c>
      <c r="N1361" s="44"/>
      <c r="O1361" s="23" t="s">
        <v>313</v>
      </c>
      <c r="P1361" s="23" t="s">
        <v>1733</v>
      </c>
      <c r="Q1361" s="24" t="s">
        <v>31</v>
      </c>
      <c r="R1361" s="25">
        <v>44725</v>
      </c>
      <c r="S1361" s="28"/>
      <c r="T1361" s="35"/>
      <c r="U1361" s="35"/>
      <c r="V1361" s="29"/>
      <c r="W1361" s="35"/>
      <c r="X1361" s="29"/>
      <c r="Y1361" s="36"/>
      <c r="Z1361" s="29"/>
      <c r="AA1361" s="31">
        <f t="shared" si="1"/>
        <v>44725</v>
      </c>
      <c r="AB1361" s="32" t="str">
        <f t="shared" si="5"/>
        <v>junio</v>
      </c>
    </row>
    <row r="1362" spans="1:28" ht="12.75">
      <c r="A1362" s="9" t="s">
        <v>209</v>
      </c>
      <c r="B1362" s="10">
        <v>44728</v>
      </c>
      <c r="C1362" s="11">
        <v>44728</v>
      </c>
      <c r="D1362" s="49">
        <v>24</v>
      </c>
      <c r="E1362" s="13" t="s">
        <v>1834</v>
      </c>
      <c r="F1362" s="13">
        <v>3025459</v>
      </c>
      <c r="G1362" s="14">
        <v>14765</v>
      </c>
      <c r="H1362" s="33">
        <v>50</v>
      </c>
      <c r="I1362" s="16">
        <f>-H1362*G1362</f>
        <v>-738250</v>
      </c>
      <c r="J1362" s="17">
        <v>0</v>
      </c>
      <c r="K1362" s="34">
        <v>4502347632</v>
      </c>
      <c r="L1362" s="19">
        <v>5082324605</v>
      </c>
      <c r="M1362" s="20">
        <v>5113374921</v>
      </c>
      <c r="N1362" s="44"/>
      <c r="O1362" s="9"/>
      <c r="P1362" s="23" t="s">
        <v>1733</v>
      </c>
      <c r="Q1362" s="24" t="s">
        <v>31</v>
      </c>
      <c r="R1362" s="25">
        <v>44725</v>
      </c>
      <c r="S1362" s="28"/>
      <c r="T1362" s="35"/>
      <c r="U1362" s="35"/>
      <c r="V1362" s="29"/>
      <c r="W1362" s="35"/>
      <c r="X1362" s="29"/>
      <c r="Y1362" s="36"/>
      <c r="Z1362" s="29"/>
      <c r="AA1362" s="31">
        <f t="shared" si="1"/>
        <v>44725</v>
      </c>
      <c r="AB1362" s="32" t="str">
        <f t="shared" si="5"/>
        <v>junio</v>
      </c>
    </row>
    <row r="1363" spans="1:28" ht="12.75">
      <c r="A1363" s="9" t="s">
        <v>85</v>
      </c>
      <c r="B1363" s="10">
        <v>44726</v>
      </c>
      <c r="C1363" s="11">
        <v>44726</v>
      </c>
      <c r="D1363" s="49">
        <v>24</v>
      </c>
      <c r="E1363" s="13" t="s">
        <v>1835</v>
      </c>
      <c r="F1363" s="13">
        <v>3025457</v>
      </c>
      <c r="G1363" s="14">
        <v>6830</v>
      </c>
      <c r="H1363" s="15">
        <v>8950</v>
      </c>
      <c r="I1363" s="16">
        <f t="shared" ref="I1363:I1366" si="203">H1363*G1363</f>
        <v>61128500</v>
      </c>
      <c r="J1363" s="17">
        <v>14</v>
      </c>
      <c r="K1363" s="34">
        <v>4502352711</v>
      </c>
      <c r="L1363" s="19">
        <v>5082310391</v>
      </c>
      <c r="M1363" s="20">
        <v>5113373518</v>
      </c>
      <c r="N1363" s="44" t="s">
        <v>63</v>
      </c>
      <c r="O1363" s="22" t="s">
        <v>1836</v>
      </c>
      <c r="P1363" s="23"/>
      <c r="Q1363" s="24" t="s">
        <v>31</v>
      </c>
      <c r="R1363" s="25">
        <v>44726</v>
      </c>
      <c r="S1363" s="28">
        <v>4902285335</v>
      </c>
      <c r="T1363" s="28">
        <v>1793900</v>
      </c>
      <c r="U1363" s="28" t="s">
        <v>1837</v>
      </c>
      <c r="V1363" s="29">
        <v>5113374306</v>
      </c>
      <c r="W1363" s="35"/>
      <c r="X1363" s="29"/>
      <c r="Y1363" s="36"/>
      <c r="Z1363" s="29"/>
      <c r="AA1363" s="31">
        <f t="shared" si="1"/>
        <v>44726</v>
      </c>
      <c r="AB1363" s="32" t="str">
        <f t="shared" si="5"/>
        <v>junio</v>
      </c>
    </row>
    <row r="1364" spans="1:28" ht="12.75">
      <c r="A1364" s="9" t="s">
        <v>80</v>
      </c>
      <c r="B1364" s="10">
        <v>44725</v>
      </c>
      <c r="C1364" s="11">
        <v>44726</v>
      </c>
      <c r="D1364" s="49">
        <v>24</v>
      </c>
      <c r="E1364" s="13" t="s">
        <v>1838</v>
      </c>
      <c r="F1364" s="13">
        <v>3025459</v>
      </c>
      <c r="G1364" s="14">
        <v>20007</v>
      </c>
      <c r="H1364" s="15">
        <v>8950</v>
      </c>
      <c r="I1364" s="16">
        <f t="shared" si="203"/>
        <v>179062650</v>
      </c>
      <c r="J1364" s="17">
        <v>42</v>
      </c>
      <c r="K1364" s="34">
        <v>4502352717</v>
      </c>
      <c r="L1364" s="19">
        <v>5082310395</v>
      </c>
      <c r="M1364" s="20">
        <v>5113377746</v>
      </c>
      <c r="N1364" s="23"/>
      <c r="O1364" s="22" t="s">
        <v>1839</v>
      </c>
      <c r="P1364" s="9" t="s">
        <v>37</v>
      </c>
      <c r="Q1364" s="24" t="s">
        <v>31</v>
      </c>
      <c r="R1364" s="25">
        <v>44726</v>
      </c>
      <c r="S1364" s="28">
        <v>4902285337</v>
      </c>
      <c r="T1364" s="35">
        <f>1776100*3</f>
        <v>5328300</v>
      </c>
      <c r="U1364" s="28" t="s">
        <v>1840</v>
      </c>
      <c r="V1364" s="29">
        <v>5113372684</v>
      </c>
      <c r="W1364" s="35"/>
      <c r="X1364" s="29"/>
      <c r="Y1364" s="36"/>
      <c r="Z1364" s="29"/>
      <c r="AA1364" s="31">
        <f t="shared" si="1"/>
        <v>44726</v>
      </c>
      <c r="AB1364" s="32" t="str">
        <f t="shared" si="5"/>
        <v>junio</v>
      </c>
    </row>
    <row r="1365" spans="1:28" ht="12.75">
      <c r="A1365" s="9" t="s">
        <v>85</v>
      </c>
      <c r="B1365" s="10">
        <v>44726</v>
      </c>
      <c r="C1365" s="11">
        <v>44726</v>
      </c>
      <c r="D1365" s="49">
        <v>24</v>
      </c>
      <c r="E1365" s="13" t="s">
        <v>1835</v>
      </c>
      <c r="F1365" s="13">
        <v>3025459</v>
      </c>
      <c r="G1365" s="14">
        <v>13660</v>
      </c>
      <c r="H1365" s="15">
        <v>8950</v>
      </c>
      <c r="I1365" s="16">
        <f t="shared" si="203"/>
        <v>122257000</v>
      </c>
      <c r="J1365" s="17">
        <v>28</v>
      </c>
      <c r="K1365" s="34">
        <v>4502352729</v>
      </c>
      <c r="L1365" s="19">
        <v>5082310391</v>
      </c>
      <c r="M1365" s="20">
        <v>5113373518</v>
      </c>
      <c r="N1365" s="44" t="s">
        <v>63</v>
      </c>
      <c r="O1365" s="22" t="s">
        <v>1084</v>
      </c>
      <c r="P1365" s="23"/>
      <c r="Q1365" s="24" t="s">
        <v>31</v>
      </c>
      <c r="R1365" s="25">
        <v>44726</v>
      </c>
      <c r="S1365" s="28">
        <v>4902285340</v>
      </c>
      <c r="T1365" s="35">
        <f>1793900*2</f>
        <v>3587800</v>
      </c>
      <c r="U1365" s="28" t="s">
        <v>1837</v>
      </c>
      <c r="V1365" s="29">
        <v>5113374306</v>
      </c>
      <c r="W1365" s="35"/>
      <c r="X1365" s="29"/>
      <c r="Y1365" s="36"/>
      <c r="Z1365" s="29"/>
      <c r="AA1365" s="31">
        <f t="shared" si="1"/>
        <v>44726</v>
      </c>
      <c r="AB1365" s="32" t="str">
        <f t="shared" si="5"/>
        <v>junio</v>
      </c>
    </row>
    <row r="1366" spans="1:28" ht="12.75">
      <c r="A1366" s="9" t="s">
        <v>247</v>
      </c>
      <c r="B1366" s="10">
        <v>44733</v>
      </c>
      <c r="C1366" s="11">
        <v>44733</v>
      </c>
      <c r="D1366" s="53">
        <v>25</v>
      </c>
      <c r="E1366" s="13" t="s">
        <v>1841</v>
      </c>
      <c r="F1366" s="13">
        <v>3025457</v>
      </c>
      <c r="G1366" s="14">
        <v>14403</v>
      </c>
      <c r="H1366" s="33">
        <v>9100</v>
      </c>
      <c r="I1366" s="16">
        <f t="shared" si="203"/>
        <v>131067300</v>
      </c>
      <c r="J1366" s="17">
        <v>28</v>
      </c>
      <c r="K1366" s="34">
        <v>4502352909</v>
      </c>
      <c r="L1366" s="19">
        <v>5082361825</v>
      </c>
      <c r="M1366" s="20">
        <v>5113382353</v>
      </c>
      <c r="N1366" s="23"/>
      <c r="O1366" s="9" t="s">
        <v>63</v>
      </c>
      <c r="P1366" s="23"/>
      <c r="Q1366" s="24" t="s">
        <v>31</v>
      </c>
      <c r="R1366" s="25">
        <v>44729</v>
      </c>
      <c r="S1366" s="28"/>
      <c r="T1366" s="35"/>
      <c r="U1366" s="35"/>
      <c r="V1366" s="29"/>
      <c r="W1366" s="35"/>
      <c r="X1366" s="29"/>
      <c r="Y1366" s="36"/>
      <c r="Z1366" s="29"/>
      <c r="AA1366" s="31">
        <f t="shared" si="1"/>
        <v>44729</v>
      </c>
      <c r="AB1366" s="32" t="str">
        <f t="shared" si="5"/>
        <v>junio</v>
      </c>
    </row>
    <row r="1367" spans="1:28" ht="12.75">
      <c r="A1367" s="9" t="s">
        <v>247</v>
      </c>
      <c r="B1367" s="10">
        <v>44733</v>
      </c>
      <c r="C1367" s="11">
        <v>44733</v>
      </c>
      <c r="D1367" s="53">
        <v>25</v>
      </c>
      <c r="E1367" s="13" t="s">
        <v>300</v>
      </c>
      <c r="F1367" s="13">
        <v>3025457</v>
      </c>
      <c r="G1367" s="14">
        <v>14403</v>
      </c>
      <c r="H1367" s="33">
        <f>9100-9095.56</f>
        <v>4.4400000000005093</v>
      </c>
      <c r="I1367" s="16">
        <f>-H1367*G1367</f>
        <v>-63949.320000007334</v>
      </c>
      <c r="J1367" s="17">
        <v>0</v>
      </c>
      <c r="K1367" s="34">
        <v>4502352909</v>
      </c>
      <c r="L1367" s="19">
        <v>5082361825</v>
      </c>
      <c r="M1367" s="20">
        <v>5113382355</v>
      </c>
      <c r="N1367" s="23"/>
      <c r="O1367" s="9"/>
      <c r="P1367" s="23"/>
      <c r="Q1367" s="24" t="s">
        <v>31</v>
      </c>
      <c r="R1367" s="25">
        <v>44729</v>
      </c>
      <c r="S1367" s="28"/>
      <c r="T1367" s="35"/>
      <c r="U1367" s="35"/>
      <c r="V1367" s="29"/>
      <c r="W1367" s="35"/>
      <c r="X1367" s="29"/>
      <c r="Y1367" s="36"/>
      <c r="Z1367" s="29"/>
      <c r="AA1367" s="31">
        <f t="shared" si="1"/>
        <v>44729</v>
      </c>
      <c r="AB1367" s="32" t="str">
        <f t="shared" si="5"/>
        <v>junio</v>
      </c>
    </row>
    <row r="1368" spans="1:28" ht="12.75">
      <c r="A1368" s="9" t="s">
        <v>873</v>
      </c>
      <c r="B1368" s="10">
        <v>44734</v>
      </c>
      <c r="C1368" s="11">
        <v>44734</v>
      </c>
      <c r="D1368" s="53">
        <v>25</v>
      </c>
      <c r="E1368" s="13" t="s">
        <v>1842</v>
      </c>
      <c r="F1368" s="13">
        <v>3025457</v>
      </c>
      <c r="G1368" s="14">
        <v>34336</v>
      </c>
      <c r="H1368" s="33">
        <v>9200</v>
      </c>
      <c r="I1368" s="16">
        <f t="shared" ref="I1368:I1369" si="204">H1368*G1368</f>
        <v>315891200</v>
      </c>
      <c r="J1368" s="17">
        <v>71</v>
      </c>
      <c r="K1368" s="34">
        <v>4502352910</v>
      </c>
      <c r="L1368" s="19">
        <v>5082362350</v>
      </c>
      <c r="M1368" s="20">
        <v>5113385924</v>
      </c>
      <c r="N1368" s="23"/>
      <c r="O1368" s="9" t="s">
        <v>313</v>
      </c>
      <c r="P1368" s="23" t="s">
        <v>1843</v>
      </c>
      <c r="Q1368" s="24" t="s">
        <v>31</v>
      </c>
      <c r="R1368" s="25">
        <v>44729</v>
      </c>
      <c r="S1368" s="28"/>
      <c r="T1368" s="35"/>
      <c r="U1368" s="35"/>
      <c r="V1368" s="29"/>
      <c r="W1368" s="35"/>
      <c r="X1368" s="29"/>
      <c r="Y1368" s="36"/>
      <c r="Z1368" s="29"/>
      <c r="AA1368" s="31">
        <f t="shared" si="1"/>
        <v>44729</v>
      </c>
      <c r="AB1368" s="32" t="str">
        <f t="shared" si="5"/>
        <v>junio</v>
      </c>
    </row>
    <row r="1369" spans="1:28" ht="12.75">
      <c r="A1369" s="9" t="s">
        <v>58</v>
      </c>
      <c r="B1369" s="10">
        <v>44733</v>
      </c>
      <c r="C1369" s="11">
        <v>44733</v>
      </c>
      <c r="D1369" s="53">
        <v>25</v>
      </c>
      <c r="E1369" s="13" t="s">
        <v>1844</v>
      </c>
      <c r="F1369" s="13">
        <v>3025457</v>
      </c>
      <c r="G1369" s="14">
        <v>64877</v>
      </c>
      <c r="H1369" s="33">
        <v>9525</v>
      </c>
      <c r="I1369" s="16">
        <f t="shared" si="204"/>
        <v>617953425</v>
      </c>
      <c r="J1369" s="17">
        <v>134</v>
      </c>
      <c r="K1369" s="34">
        <v>4502352911</v>
      </c>
      <c r="L1369" s="19">
        <v>5082361826</v>
      </c>
      <c r="M1369" s="20">
        <v>5113384299</v>
      </c>
      <c r="N1369" s="23"/>
      <c r="O1369" s="9" t="s">
        <v>37</v>
      </c>
      <c r="P1369" s="23"/>
      <c r="Q1369" s="24" t="s">
        <v>31</v>
      </c>
      <c r="R1369" s="25">
        <v>44729</v>
      </c>
      <c r="S1369" s="28"/>
      <c r="T1369" s="35"/>
      <c r="U1369" s="35"/>
      <c r="V1369" s="29"/>
      <c r="W1369" s="35"/>
      <c r="X1369" s="29"/>
      <c r="Y1369" s="36"/>
      <c r="Z1369" s="29"/>
      <c r="AA1369" s="31">
        <f t="shared" si="1"/>
        <v>44729</v>
      </c>
      <c r="AB1369" s="32" t="str">
        <f t="shared" si="5"/>
        <v>junio</v>
      </c>
    </row>
    <row r="1370" spans="1:28" ht="12.75">
      <c r="A1370" s="9" t="s">
        <v>58</v>
      </c>
      <c r="B1370" s="10">
        <v>44733</v>
      </c>
      <c r="C1370" s="11">
        <v>44733</v>
      </c>
      <c r="D1370" s="53">
        <v>25</v>
      </c>
      <c r="E1370" s="13" t="s">
        <v>1845</v>
      </c>
      <c r="F1370" s="13">
        <v>3025457</v>
      </c>
      <c r="G1370" s="14">
        <v>64877</v>
      </c>
      <c r="H1370" s="33">
        <f>9525-9520.85</f>
        <v>4.1499999999996362</v>
      </c>
      <c r="I1370" s="16">
        <f>-H1370*G1370</f>
        <v>-269239.54999997641</v>
      </c>
      <c r="J1370" s="17">
        <v>0</v>
      </c>
      <c r="K1370" s="34">
        <v>4502352911</v>
      </c>
      <c r="L1370" s="19">
        <v>5082361826</v>
      </c>
      <c r="M1370" s="20">
        <v>5113384300</v>
      </c>
      <c r="N1370" s="23"/>
      <c r="O1370" s="9"/>
      <c r="P1370" s="23"/>
      <c r="Q1370" s="24" t="s">
        <v>31</v>
      </c>
      <c r="R1370" s="25">
        <v>44729</v>
      </c>
      <c r="S1370" s="28"/>
      <c r="T1370" s="35"/>
      <c r="U1370" s="35"/>
      <c r="V1370" s="29"/>
      <c r="W1370" s="35"/>
      <c r="X1370" s="29"/>
      <c r="Y1370" s="36"/>
      <c r="Z1370" s="29"/>
      <c r="AA1370" s="31">
        <f t="shared" si="1"/>
        <v>44729</v>
      </c>
      <c r="AB1370" s="32" t="str">
        <f t="shared" si="5"/>
        <v>junio</v>
      </c>
    </row>
    <row r="1371" spans="1:28" ht="12.75">
      <c r="A1371" s="9" t="s">
        <v>58</v>
      </c>
      <c r="B1371" s="10">
        <v>44733</v>
      </c>
      <c r="C1371" s="11">
        <v>44733</v>
      </c>
      <c r="D1371" s="53">
        <v>25</v>
      </c>
      <c r="E1371" s="13" t="s">
        <v>1846</v>
      </c>
      <c r="F1371" s="13">
        <v>3025457</v>
      </c>
      <c r="G1371" s="37">
        <v>7150.5</v>
      </c>
      <c r="H1371" s="33">
        <v>9525</v>
      </c>
      <c r="I1371" s="16">
        <f>H1371*G1371</f>
        <v>68108512.5</v>
      </c>
      <c r="J1371" s="17">
        <v>15</v>
      </c>
      <c r="K1371" s="34">
        <v>4502352911</v>
      </c>
      <c r="L1371" s="19">
        <v>5082361826</v>
      </c>
      <c r="M1371" s="20">
        <v>5113384301</v>
      </c>
      <c r="N1371" s="23"/>
      <c r="O1371" s="9" t="s">
        <v>37</v>
      </c>
      <c r="P1371" s="23"/>
      <c r="Q1371" s="24" t="s">
        <v>31</v>
      </c>
      <c r="R1371" s="25">
        <v>44729</v>
      </c>
      <c r="S1371" s="28"/>
      <c r="T1371" s="35"/>
      <c r="U1371" s="35"/>
      <c r="V1371" s="29"/>
      <c r="W1371" s="35"/>
      <c r="X1371" s="29"/>
      <c r="Y1371" s="36"/>
      <c r="Z1371" s="29"/>
      <c r="AA1371" s="31">
        <f t="shared" si="1"/>
        <v>44729</v>
      </c>
      <c r="AB1371" s="32" t="str">
        <f t="shared" si="5"/>
        <v>junio</v>
      </c>
    </row>
    <row r="1372" spans="1:28" ht="12.75">
      <c r="A1372" s="9" t="s">
        <v>58</v>
      </c>
      <c r="B1372" s="10">
        <v>44733</v>
      </c>
      <c r="C1372" s="11">
        <v>44733</v>
      </c>
      <c r="D1372" s="53">
        <v>25</v>
      </c>
      <c r="E1372" s="13" t="s">
        <v>1847</v>
      </c>
      <c r="F1372" s="13">
        <v>3025457</v>
      </c>
      <c r="G1372" s="37">
        <v>7150.5</v>
      </c>
      <c r="H1372" s="33">
        <f>9525-9413.07</f>
        <v>111.93000000000029</v>
      </c>
      <c r="I1372" s="16">
        <f>-H1372*G1372</f>
        <v>-800355.46500000206</v>
      </c>
      <c r="J1372" s="17">
        <v>0</v>
      </c>
      <c r="K1372" s="34">
        <v>4502352911</v>
      </c>
      <c r="L1372" s="19">
        <v>5082361826</v>
      </c>
      <c r="M1372" s="20">
        <v>5113384302</v>
      </c>
      <c r="N1372" s="23"/>
      <c r="O1372" s="9"/>
      <c r="P1372" s="23"/>
      <c r="Q1372" s="24" t="s">
        <v>31</v>
      </c>
      <c r="R1372" s="25">
        <v>44729</v>
      </c>
      <c r="S1372" s="28"/>
      <c r="T1372" s="35"/>
      <c r="U1372" s="35"/>
      <c r="V1372" s="29"/>
      <c r="W1372" s="35"/>
      <c r="X1372" s="29"/>
      <c r="Y1372" s="36"/>
      <c r="Z1372" s="29"/>
      <c r="AA1372" s="31">
        <f t="shared" si="1"/>
        <v>44729</v>
      </c>
      <c r="AB1372" s="32" t="str">
        <f t="shared" si="5"/>
        <v>junio</v>
      </c>
    </row>
    <row r="1373" spans="1:28" ht="12.75">
      <c r="A1373" s="22" t="s">
        <v>404</v>
      </c>
      <c r="B1373" s="10">
        <v>44730</v>
      </c>
      <c r="C1373" s="11">
        <v>44733</v>
      </c>
      <c r="D1373" s="53">
        <v>25</v>
      </c>
      <c r="E1373" s="13" t="s">
        <v>1848</v>
      </c>
      <c r="F1373" s="13">
        <v>3025459</v>
      </c>
      <c r="G1373" s="14">
        <v>21378.5</v>
      </c>
      <c r="H1373" s="33">
        <v>9450</v>
      </c>
      <c r="I1373" s="16">
        <f t="shared" ref="I1373:I1374" si="205">H1373*G1373</f>
        <v>202026825</v>
      </c>
      <c r="J1373" s="17">
        <v>42</v>
      </c>
      <c r="K1373" s="34">
        <v>4502352912</v>
      </c>
      <c r="L1373" s="19">
        <v>5082362351</v>
      </c>
      <c r="M1373" s="20">
        <v>5113384347</v>
      </c>
      <c r="N1373" s="23"/>
      <c r="O1373" s="44" t="s">
        <v>37</v>
      </c>
      <c r="P1373" s="23"/>
      <c r="Q1373" s="24" t="s">
        <v>31</v>
      </c>
      <c r="R1373" s="25">
        <v>44729</v>
      </c>
      <c r="S1373" s="28"/>
      <c r="T1373" s="35"/>
      <c r="U1373" s="35"/>
      <c r="V1373" s="29"/>
      <c r="W1373" s="35"/>
      <c r="X1373" s="29"/>
      <c r="Y1373" s="36"/>
      <c r="Z1373" s="29"/>
      <c r="AA1373" s="31">
        <f t="shared" si="1"/>
        <v>44729</v>
      </c>
      <c r="AB1373" s="32" t="str">
        <f t="shared" si="5"/>
        <v>junio</v>
      </c>
    </row>
    <row r="1374" spans="1:28" ht="12.75">
      <c r="A1374" s="22" t="s">
        <v>404</v>
      </c>
      <c r="B1374" s="10">
        <v>44730</v>
      </c>
      <c r="C1374" s="11">
        <v>44733</v>
      </c>
      <c r="D1374" s="53">
        <v>25</v>
      </c>
      <c r="E1374" s="13" t="s">
        <v>1848</v>
      </c>
      <c r="F1374" s="13">
        <v>3025457</v>
      </c>
      <c r="G1374" s="14">
        <v>21461.5</v>
      </c>
      <c r="H1374" s="33">
        <v>9450</v>
      </c>
      <c r="I1374" s="16">
        <f t="shared" si="205"/>
        <v>202811175</v>
      </c>
      <c r="J1374" s="17">
        <v>42</v>
      </c>
      <c r="K1374" s="34">
        <v>4502353720</v>
      </c>
      <c r="L1374" s="19">
        <v>5082362351</v>
      </c>
      <c r="M1374" s="20">
        <v>5113384347</v>
      </c>
      <c r="N1374" s="23"/>
      <c r="O1374" s="44" t="s">
        <v>37</v>
      </c>
      <c r="P1374" s="23"/>
      <c r="Q1374" s="24" t="s">
        <v>31</v>
      </c>
      <c r="R1374" s="25">
        <v>44729</v>
      </c>
      <c r="S1374" s="28"/>
      <c r="T1374" s="35"/>
      <c r="U1374" s="35"/>
      <c r="V1374" s="29"/>
      <c r="W1374" s="35"/>
      <c r="X1374" s="29"/>
      <c r="Y1374" s="36"/>
      <c r="Z1374" s="29"/>
      <c r="AA1374" s="31">
        <f t="shared" si="1"/>
        <v>44729</v>
      </c>
      <c r="AB1374" s="32" t="str">
        <f t="shared" si="5"/>
        <v>junio</v>
      </c>
    </row>
    <row r="1375" spans="1:28" ht="12.75">
      <c r="A1375" s="22" t="s">
        <v>404</v>
      </c>
      <c r="B1375" s="10">
        <v>44733</v>
      </c>
      <c r="C1375" s="11">
        <v>44733</v>
      </c>
      <c r="D1375" s="53">
        <v>25</v>
      </c>
      <c r="E1375" s="13" t="s">
        <v>41</v>
      </c>
      <c r="F1375" s="13">
        <v>3025457</v>
      </c>
      <c r="G1375" s="14">
        <v>42840</v>
      </c>
      <c r="H1375" s="33">
        <f>9450-9448.52</f>
        <v>1.4799999999995634</v>
      </c>
      <c r="I1375" s="16">
        <f>-H1375*G1375</f>
        <v>-63403.199999981298</v>
      </c>
      <c r="J1375" s="17">
        <v>0</v>
      </c>
      <c r="K1375" s="34">
        <v>4502353720</v>
      </c>
      <c r="L1375" s="19">
        <v>5082362351</v>
      </c>
      <c r="M1375" s="20">
        <v>5113384348</v>
      </c>
      <c r="N1375" s="23"/>
      <c r="O1375" s="9"/>
      <c r="P1375" s="23"/>
      <c r="Q1375" s="24" t="s">
        <v>31</v>
      </c>
      <c r="R1375" s="25">
        <v>44729</v>
      </c>
      <c r="S1375" s="28"/>
      <c r="T1375" s="35"/>
      <c r="U1375" s="35"/>
      <c r="V1375" s="29"/>
      <c r="W1375" s="35"/>
      <c r="X1375" s="29"/>
      <c r="Y1375" s="36"/>
      <c r="Z1375" s="29"/>
      <c r="AA1375" s="31">
        <f t="shared" si="1"/>
        <v>44729</v>
      </c>
      <c r="AB1375" s="32" t="str">
        <f t="shared" si="5"/>
        <v>junio</v>
      </c>
    </row>
    <row r="1376" spans="1:28" ht="12.75">
      <c r="A1376" s="22" t="s">
        <v>404</v>
      </c>
      <c r="B1376" s="10">
        <v>44730</v>
      </c>
      <c r="C1376" s="11">
        <v>44733</v>
      </c>
      <c r="D1376" s="53">
        <v>25</v>
      </c>
      <c r="E1376" s="13" t="s">
        <v>1849</v>
      </c>
      <c r="F1376" s="13">
        <v>3025457</v>
      </c>
      <c r="G1376" s="14">
        <v>22026.5</v>
      </c>
      <c r="H1376" s="33">
        <v>9450</v>
      </c>
      <c r="I1376" s="16">
        <f t="shared" ref="I1376:I1377" si="206">H1376*G1376</f>
        <v>208150425</v>
      </c>
      <c r="J1376" s="17">
        <v>45</v>
      </c>
      <c r="K1376" s="34">
        <v>4502352913</v>
      </c>
      <c r="L1376" s="19">
        <v>5082378909</v>
      </c>
      <c r="M1376" s="20">
        <v>5113384350</v>
      </c>
      <c r="N1376" s="23"/>
      <c r="O1376" s="44" t="s">
        <v>37</v>
      </c>
      <c r="P1376" s="23"/>
      <c r="Q1376" s="24" t="s">
        <v>31</v>
      </c>
      <c r="R1376" s="25">
        <v>44730</v>
      </c>
      <c r="S1376" s="28"/>
      <c r="T1376" s="35"/>
      <c r="U1376" s="35"/>
      <c r="V1376" s="29"/>
      <c r="W1376" s="35"/>
      <c r="X1376" s="29"/>
      <c r="Y1376" s="36"/>
      <c r="Z1376" s="29"/>
      <c r="AA1376" s="31">
        <f t="shared" si="1"/>
        <v>44730</v>
      </c>
      <c r="AB1376" s="32" t="str">
        <f t="shared" si="5"/>
        <v>junio</v>
      </c>
    </row>
    <row r="1377" spans="1:28" ht="12.75">
      <c r="A1377" s="9" t="s">
        <v>39</v>
      </c>
      <c r="B1377" s="10">
        <v>44730</v>
      </c>
      <c r="C1377" s="11">
        <v>44733</v>
      </c>
      <c r="D1377" s="53">
        <v>25</v>
      </c>
      <c r="E1377" s="13" t="s">
        <v>1850</v>
      </c>
      <c r="F1377" s="13">
        <v>3025457</v>
      </c>
      <c r="G1377" s="14">
        <v>21772</v>
      </c>
      <c r="H1377" s="33">
        <v>9450</v>
      </c>
      <c r="I1377" s="16">
        <f t="shared" si="206"/>
        <v>205745400</v>
      </c>
      <c r="J1377" s="17">
        <v>42</v>
      </c>
      <c r="K1377" s="34">
        <v>4502352914</v>
      </c>
      <c r="L1377" s="19">
        <v>5082378112</v>
      </c>
      <c r="M1377" s="20">
        <v>5113384351</v>
      </c>
      <c r="N1377" s="23"/>
      <c r="O1377" s="23" t="s">
        <v>37</v>
      </c>
      <c r="P1377" s="23"/>
      <c r="Q1377" s="24" t="s">
        <v>31</v>
      </c>
      <c r="R1377" s="25">
        <v>44730</v>
      </c>
      <c r="S1377" s="28"/>
      <c r="T1377" s="35"/>
      <c r="U1377" s="35"/>
      <c r="V1377" s="29"/>
      <c r="W1377" s="35"/>
      <c r="X1377" s="29"/>
      <c r="Y1377" s="36"/>
      <c r="Z1377" s="29"/>
      <c r="AA1377" s="31">
        <f t="shared" si="1"/>
        <v>44730</v>
      </c>
      <c r="AB1377" s="32" t="str">
        <f t="shared" si="5"/>
        <v>junio</v>
      </c>
    </row>
    <row r="1378" spans="1:28" ht="12.75">
      <c r="A1378" s="9" t="s">
        <v>39</v>
      </c>
      <c r="B1378" s="10">
        <v>44733</v>
      </c>
      <c r="C1378" s="11">
        <v>44733</v>
      </c>
      <c r="D1378" s="53">
        <v>25</v>
      </c>
      <c r="E1378" s="13" t="s">
        <v>539</v>
      </c>
      <c r="F1378" s="13">
        <v>3025457</v>
      </c>
      <c r="G1378" s="14">
        <v>21772</v>
      </c>
      <c r="H1378" s="33">
        <f>9450-9344.38</f>
        <v>105.6200000000008</v>
      </c>
      <c r="I1378" s="16">
        <f>-H1378*G1378</f>
        <v>-2299558.6400000174</v>
      </c>
      <c r="J1378" s="17">
        <v>0</v>
      </c>
      <c r="K1378" s="34">
        <v>4502352914</v>
      </c>
      <c r="L1378" s="19">
        <v>5082378112</v>
      </c>
      <c r="M1378" s="20">
        <v>5113384353</v>
      </c>
      <c r="N1378" s="23"/>
      <c r="O1378" s="9"/>
      <c r="P1378" s="23"/>
      <c r="Q1378" s="24" t="s">
        <v>31</v>
      </c>
      <c r="R1378" s="25">
        <v>44730</v>
      </c>
      <c r="S1378" s="28"/>
      <c r="T1378" s="35"/>
      <c r="U1378" s="35"/>
      <c r="V1378" s="29"/>
      <c r="W1378" s="35"/>
      <c r="X1378" s="29"/>
      <c r="Y1378" s="36"/>
      <c r="Z1378" s="29"/>
      <c r="AA1378" s="31">
        <f t="shared" si="1"/>
        <v>44730</v>
      </c>
      <c r="AB1378" s="32" t="str">
        <f t="shared" si="5"/>
        <v>junio</v>
      </c>
    </row>
    <row r="1379" spans="1:28" ht="12.75">
      <c r="A1379" s="9" t="s">
        <v>43</v>
      </c>
      <c r="B1379" s="10">
        <v>44730</v>
      </c>
      <c r="C1379" s="11">
        <v>44733</v>
      </c>
      <c r="D1379" s="53">
        <v>25</v>
      </c>
      <c r="E1379" s="13" t="s">
        <v>1851</v>
      </c>
      <c r="F1379" s="13">
        <v>3025457</v>
      </c>
      <c r="G1379" s="14">
        <v>21567</v>
      </c>
      <c r="H1379" s="33">
        <v>9150</v>
      </c>
      <c r="I1379" s="16">
        <f t="shared" ref="I1379:I1381" si="207">H1379*G1379</f>
        <v>197338050</v>
      </c>
      <c r="J1379" s="17">
        <v>42</v>
      </c>
      <c r="K1379" s="34">
        <v>4502352915</v>
      </c>
      <c r="L1379" s="19">
        <v>5082378115</v>
      </c>
      <c r="M1379" s="20">
        <v>5113384525</v>
      </c>
      <c r="N1379" s="23"/>
      <c r="O1379" s="47" t="s">
        <v>37</v>
      </c>
      <c r="P1379" s="23"/>
      <c r="Q1379" s="24" t="s">
        <v>31</v>
      </c>
      <c r="R1379" s="25">
        <v>44730</v>
      </c>
      <c r="S1379" s="28"/>
      <c r="T1379" s="35"/>
      <c r="U1379" s="35"/>
      <c r="V1379" s="29"/>
      <c r="W1379" s="35"/>
      <c r="X1379" s="29"/>
      <c r="Y1379" s="36"/>
      <c r="Z1379" s="29"/>
      <c r="AA1379" s="31">
        <f t="shared" si="1"/>
        <v>44730</v>
      </c>
      <c r="AB1379" s="32" t="str">
        <f t="shared" si="5"/>
        <v>junio</v>
      </c>
    </row>
    <row r="1380" spans="1:28" ht="12.75">
      <c r="A1380" s="9" t="s">
        <v>43</v>
      </c>
      <c r="B1380" s="10">
        <v>44730</v>
      </c>
      <c r="C1380" s="11">
        <v>44733</v>
      </c>
      <c r="D1380" s="53">
        <v>25</v>
      </c>
      <c r="E1380" s="13" t="s">
        <v>1852</v>
      </c>
      <c r="F1380" s="13">
        <v>3025457</v>
      </c>
      <c r="G1380" s="14">
        <v>21567</v>
      </c>
      <c r="H1380" s="33">
        <v>100</v>
      </c>
      <c r="I1380" s="16">
        <f t="shared" si="207"/>
        <v>2156700</v>
      </c>
      <c r="J1380" s="17">
        <v>0</v>
      </c>
      <c r="K1380" s="34">
        <v>4502352915</v>
      </c>
      <c r="L1380" s="19">
        <v>5082378115</v>
      </c>
      <c r="M1380" s="20">
        <v>5113387489</v>
      </c>
      <c r="N1380" s="23"/>
      <c r="O1380" s="9"/>
      <c r="P1380" s="23" t="s">
        <v>1853</v>
      </c>
      <c r="Q1380" s="24" t="s">
        <v>31</v>
      </c>
      <c r="R1380" s="25">
        <v>44730</v>
      </c>
      <c r="S1380" s="28"/>
      <c r="T1380" s="35"/>
      <c r="U1380" s="35"/>
      <c r="V1380" s="29"/>
      <c r="W1380" s="35"/>
      <c r="X1380" s="29"/>
      <c r="Y1380" s="36"/>
      <c r="Z1380" s="29"/>
      <c r="AA1380" s="31">
        <f t="shared" si="1"/>
        <v>44730</v>
      </c>
      <c r="AB1380" s="32" t="str">
        <f t="shared" si="5"/>
        <v>junio</v>
      </c>
    </row>
    <row r="1381" spans="1:28" ht="12.75">
      <c r="A1381" s="9" t="s">
        <v>58</v>
      </c>
      <c r="B1381" s="10">
        <v>44733</v>
      </c>
      <c r="C1381" s="11">
        <v>44733</v>
      </c>
      <c r="D1381" s="53">
        <v>25</v>
      </c>
      <c r="E1381" s="13" t="s">
        <v>1854</v>
      </c>
      <c r="F1381" s="13">
        <v>3025457</v>
      </c>
      <c r="G1381" s="14">
        <v>41253.5</v>
      </c>
      <c r="H1381" s="33">
        <v>9525</v>
      </c>
      <c r="I1381" s="16">
        <f t="shared" si="207"/>
        <v>392939587.5</v>
      </c>
      <c r="J1381" s="17">
        <v>91</v>
      </c>
      <c r="K1381" s="34">
        <v>4502352916</v>
      </c>
      <c r="L1381" s="19">
        <v>5082378910</v>
      </c>
      <c r="M1381" s="20">
        <v>5113384305</v>
      </c>
      <c r="N1381" s="23"/>
      <c r="O1381" s="9" t="s">
        <v>37</v>
      </c>
      <c r="P1381" s="23"/>
      <c r="Q1381" s="24" t="s">
        <v>31</v>
      </c>
      <c r="R1381" s="25">
        <v>44730</v>
      </c>
      <c r="S1381" s="28"/>
      <c r="T1381" s="35"/>
      <c r="U1381" s="35"/>
      <c r="V1381" s="29"/>
      <c r="W1381" s="35"/>
      <c r="X1381" s="29"/>
      <c r="Y1381" s="36"/>
      <c r="Z1381" s="29"/>
      <c r="AA1381" s="31">
        <f t="shared" si="1"/>
        <v>44730</v>
      </c>
      <c r="AB1381" s="32" t="str">
        <f t="shared" si="5"/>
        <v>junio</v>
      </c>
    </row>
    <row r="1382" spans="1:28" ht="12.75">
      <c r="A1382" s="9" t="s">
        <v>58</v>
      </c>
      <c r="B1382" s="10">
        <v>44733</v>
      </c>
      <c r="C1382" s="11">
        <v>44733</v>
      </c>
      <c r="D1382" s="53">
        <v>25</v>
      </c>
      <c r="E1382" s="13" t="s">
        <v>1855</v>
      </c>
      <c r="F1382" s="13">
        <v>3025457</v>
      </c>
      <c r="G1382" s="14">
        <v>41253.5</v>
      </c>
      <c r="H1382" s="33">
        <f>9525-9458.4</f>
        <v>66.600000000000364</v>
      </c>
      <c r="I1382" s="16">
        <f>-H1382*G1382</f>
        <v>-2747483.100000015</v>
      </c>
      <c r="J1382" s="17">
        <v>0</v>
      </c>
      <c r="K1382" s="34">
        <v>4502352916</v>
      </c>
      <c r="L1382" s="19">
        <v>5082378910</v>
      </c>
      <c r="M1382" s="20">
        <v>5113384340</v>
      </c>
      <c r="N1382" s="23"/>
      <c r="O1382" s="9"/>
      <c r="P1382" s="23"/>
      <c r="Q1382" s="24" t="s">
        <v>31</v>
      </c>
      <c r="R1382" s="25">
        <v>44730</v>
      </c>
      <c r="S1382" s="28"/>
      <c r="T1382" s="35"/>
      <c r="U1382" s="35"/>
      <c r="V1382" s="29"/>
      <c r="W1382" s="35"/>
      <c r="X1382" s="29"/>
      <c r="Y1382" s="36"/>
      <c r="Z1382" s="29"/>
      <c r="AA1382" s="31">
        <f t="shared" si="1"/>
        <v>44730</v>
      </c>
      <c r="AB1382" s="32" t="str">
        <f t="shared" si="5"/>
        <v>junio</v>
      </c>
    </row>
    <row r="1383" spans="1:28" ht="12.75">
      <c r="A1383" s="9" t="s">
        <v>58</v>
      </c>
      <c r="B1383" s="10">
        <v>44733</v>
      </c>
      <c r="C1383" s="11">
        <v>44733</v>
      </c>
      <c r="D1383" s="53">
        <v>25</v>
      </c>
      <c r="E1383" s="13" t="s">
        <v>1856</v>
      </c>
      <c r="F1383" s="13">
        <v>3025457</v>
      </c>
      <c r="G1383" s="14">
        <v>20343</v>
      </c>
      <c r="H1383" s="33">
        <v>9525</v>
      </c>
      <c r="I1383" s="16">
        <f t="shared" ref="I1383:I1384" si="208">H1383*G1383</f>
        <v>193767075</v>
      </c>
      <c r="J1383" s="17">
        <v>45</v>
      </c>
      <c r="K1383" s="34">
        <v>4502352916</v>
      </c>
      <c r="L1383" s="19">
        <v>5082378910</v>
      </c>
      <c r="M1383" s="20">
        <v>5113384341</v>
      </c>
      <c r="N1383" s="23"/>
      <c r="O1383" s="9" t="s">
        <v>37</v>
      </c>
      <c r="P1383" s="23"/>
      <c r="Q1383" s="24" t="s">
        <v>31</v>
      </c>
      <c r="R1383" s="25">
        <v>44730</v>
      </c>
      <c r="S1383" s="28"/>
      <c r="T1383" s="35"/>
      <c r="U1383" s="35"/>
      <c r="V1383" s="29"/>
      <c r="W1383" s="35"/>
      <c r="X1383" s="29"/>
      <c r="Y1383" s="36"/>
      <c r="Z1383" s="29"/>
      <c r="AA1383" s="31">
        <f t="shared" si="1"/>
        <v>44730</v>
      </c>
      <c r="AB1383" s="32" t="str">
        <f t="shared" si="5"/>
        <v>junio</v>
      </c>
    </row>
    <row r="1384" spans="1:28" ht="12.75">
      <c r="A1384" s="9" t="s">
        <v>1102</v>
      </c>
      <c r="B1384" s="10">
        <v>44736</v>
      </c>
      <c r="C1384" s="11">
        <v>44736</v>
      </c>
      <c r="D1384" s="53">
        <v>25</v>
      </c>
      <c r="E1384" s="13" t="s">
        <v>1857</v>
      </c>
      <c r="F1384" s="13">
        <v>3025457</v>
      </c>
      <c r="G1384" s="14">
        <v>7799</v>
      </c>
      <c r="H1384" s="33">
        <v>9400</v>
      </c>
      <c r="I1384" s="16">
        <f t="shared" si="208"/>
        <v>73310600</v>
      </c>
      <c r="J1384" s="17">
        <v>15</v>
      </c>
      <c r="K1384" s="34">
        <v>4502352917</v>
      </c>
      <c r="L1384" s="19">
        <v>5082378116</v>
      </c>
      <c r="M1384" s="20">
        <v>5113397393</v>
      </c>
      <c r="N1384" s="23"/>
      <c r="O1384" s="9" t="s">
        <v>37</v>
      </c>
      <c r="P1384" s="23"/>
      <c r="Q1384" s="24" t="s">
        <v>31</v>
      </c>
      <c r="R1384" s="25">
        <v>44731</v>
      </c>
      <c r="S1384" s="28"/>
      <c r="T1384" s="35"/>
      <c r="U1384" s="35"/>
      <c r="V1384" s="29"/>
      <c r="W1384" s="35"/>
      <c r="X1384" s="29"/>
      <c r="Y1384" s="36"/>
      <c r="Z1384" s="29"/>
      <c r="AA1384" s="31">
        <f t="shared" si="1"/>
        <v>44731</v>
      </c>
      <c r="AB1384" s="32" t="str">
        <f t="shared" si="5"/>
        <v>junio</v>
      </c>
    </row>
    <row r="1385" spans="1:28" ht="12.75">
      <c r="A1385" s="9" t="s">
        <v>1102</v>
      </c>
      <c r="B1385" s="10">
        <v>44736</v>
      </c>
      <c r="C1385" s="11">
        <v>44736</v>
      </c>
      <c r="D1385" s="53">
        <v>25</v>
      </c>
      <c r="E1385" s="13" t="s">
        <v>1858</v>
      </c>
      <c r="F1385" s="13">
        <v>3025457</v>
      </c>
      <c r="G1385" s="14">
        <v>7799</v>
      </c>
      <c r="H1385" s="33">
        <f>9400-9323.18</f>
        <v>76.819999999999709</v>
      </c>
      <c r="I1385" s="16">
        <f>-H1385*G1385</f>
        <v>-599119.17999999772</v>
      </c>
      <c r="J1385" s="17">
        <v>0</v>
      </c>
      <c r="K1385" s="34">
        <v>4502352917</v>
      </c>
      <c r="L1385" s="19">
        <v>5082378116</v>
      </c>
      <c r="M1385" s="20">
        <v>5113397421</v>
      </c>
      <c r="N1385" s="23"/>
      <c r="O1385" s="9"/>
      <c r="P1385" s="23"/>
      <c r="Q1385" s="24" t="s">
        <v>31</v>
      </c>
      <c r="R1385" s="25">
        <v>44731</v>
      </c>
      <c r="S1385" s="28"/>
      <c r="T1385" s="35"/>
      <c r="U1385" s="35"/>
      <c r="V1385" s="29"/>
      <c r="W1385" s="35"/>
      <c r="X1385" s="29"/>
      <c r="Y1385" s="36"/>
      <c r="Z1385" s="29"/>
      <c r="AA1385" s="31">
        <f t="shared" si="1"/>
        <v>44731</v>
      </c>
      <c r="AB1385" s="32" t="str">
        <f t="shared" si="5"/>
        <v>junio</v>
      </c>
    </row>
    <row r="1386" spans="1:28" ht="12.75">
      <c r="A1386" s="22" t="s">
        <v>1102</v>
      </c>
      <c r="B1386" s="10">
        <v>44733</v>
      </c>
      <c r="C1386" s="11">
        <v>44734</v>
      </c>
      <c r="D1386" s="53">
        <v>25</v>
      </c>
      <c r="E1386" s="13" t="s">
        <v>1859</v>
      </c>
      <c r="F1386" s="13">
        <v>3025457</v>
      </c>
      <c r="G1386" s="14">
        <v>7126</v>
      </c>
      <c r="H1386" s="33">
        <v>9400</v>
      </c>
      <c r="I1386" s="16">
        <f>H1386*G1386</f>
        <v>66984400</v>
      </c>
      <c r="J1386" s="17">
        <v>15</v>
      </c>
      <c r="K1386" s="34">
        <v>4502354883</v>
      </c>
      <c r="L1386" s="19">
        <v>5082378912</v>
      </c>
      <c r="M1386" s="20">
        <v>5113384770</v>
      </c>
      <c r="N1386" s="23"/>
      <c r="O1386" s="9" t="s">
        <v>37</v>
      </c>
      <c r="P1386" s="23"/>
      <c r="Q1386" s="24" t="s">
        <v>31</v>
      </c>
      <c r="R1386" s="25">
        <v>44732</v>
      </c>
      <c r="S1386" s="28"/>
      <c r="T1386" s="35"/>
      <c r="U1386" s="35"/>
      <c r="V1386" s="29"/>
      <c r="W1386" s="35"/>
      <c r="X1386" s="29"/>
      <c r="Y1386" s="36"/>
      <c r="Z1386" s="29"/>
      <c r="AA1386" s="31">
        <f t="shared" si="1"/>
        <v>44732</v>
      </c>
      <c r="AB1386" s="32" t="str">
        <f t="shared" si="5"/>
        <v>junio</v>
      </c>
    </row>
    <row r="1387" spans="1:28" ht="12.75">
      <c r="A1387" s="9" t="s">
        <v>1102</v>
      </c>
      <c r="B1387" s="10">
        <v>44733</v>
      </c>
      <c r="C1387" s="11">
        <v>44734</v>
      </c>
      <c r="D1387" s="53">
        <v>25</v>
      </c>
      <c r="E1387" s="13" t="s">
        <v>1860</v>
      </c>
      <c r="F1387" s="13">
        <v>3025457</v>
      </c>
      <c r="G1387" s="14">
        <v>7126</v>
      </c>
      <c r="H1387" s="33">
        <f>9400-9207.81</f>
        <v>192.19000000000051</v>
      </c>
      <c r="I1387" s="16">
        <f>-H1387*G1387</f>
        <v>-1369545.9400000037</v>
      </c>
      <c r="J1387" s="17">
        <v>0</v>
      </c>
      <c r="K1387" s="34">
        <v>4502354883</v>
      </c>
      <c r="L1387" s="19">
        <v>5082378912</v>
      </c>
      <c r="M1387" s="20">
        <v>5113384774</v>
      </c>
      <c r="N1387" s="23"/>
      <c r="O1387" s="9"/>
      <c r="P1387" s="23"/>
      <c r="Q1387" s="24" t="s">
        <v>31</v>
      </c>
      <c r="R1387" s="25">
        <v>44732</v>
      </c>
      <c r="S1387" s="28"/>
      <c r="T1387" s="35"/>
      <c r="U1387" s="35"/>
      <c r="V1387" s="29"/>
      <c r="W1387" s="35"/>
      <c r="X1387" s="29"/>
      <c r="Y1387" s="36"/>
      <c r="Z1387" s="29"/>
      <c r="AA1387" s="31">
        <f t="shared" si="1"/>
        <v>44732</v>
      </c>
      <c r="AB1387" s="32" t="str">
        <f t="shared" si="5"/>
        <v>junio</v>
      </c>
    </row>
    <row r="1388" spans="1:28" ht="12.75">
      <c r="A1388" s="9" t="s">
        <v>203</v>
      </c>
      <c r="B1388" s="10">
        <v>44733</v>
      </c>
      <c r="C1388" s="11">
        <v>44733</v>
      </c>
      <c r="D1388" s="53">
        <v>25</v>
      </c>
      <c r="E1388" s="13" t="s">
        <v>1861</v>
      </c>
      <c r="F1388" s="13">
        <v>3025457</v>
      </c>
      <c r="G1388" s="14">
        <v>7525.5</v>
      </c>
      <c r="H1388" s="33">
        <v>9450</v>
      </c>
      <c r="I1388" s="16">
        <f t="shared" ref="I1388:I1395" si="209">H1388*G1388</f>
        <v>71115975</v>
      </c>
      <c r="J1388" s="17">
        <v>15</v>
      </c>
      <c r="K1388" s="34">
        <v>4502352918</v>
      </c>
      <c r="L1388" s="19">
        <v>5082378117</v>
      </c>
      <c r="M1388" s="20">
        <v>5113388672</v>
      </c>
      <c r="N1388" s="23"/>
      <c r="O1388" s="9" t="s">
        <v>37</v>
      </c>
      <c r="P1388" s="23"/>
      <c r="Q1388" s="24" t="s">
        <v>31</v>
      </c>
      <c r="R1388" s="25">
        <v>44731</v>
      </c>
      <c r="S1388" s="28"/>
      <c r="T1388" s="35"/>
      <c r="U1388" s="35"/>
      <c r="V1388" s="29"/>
      <c r="W1388" s="35"/>
      <c r="X1388" s="29"/>
      <c r="Y1388" s="36"/>
      <c r="Z1388" s="29"/>
      <c r="AA1388" s="31">
        <f t="shared" si="1"/>
        <v>44731</v>
      </c>
      <c r="AB1388" s="32" t="str">
        <f t="shared" si="5"/>
        <v>junio</v>
      </c>
    </row>
    <row r="1389" spans="1:28" ht="12.75">
      <c r="A1389" s="9" t="s">
        <v>264</v>
      </c>
      <c r="B1389" s="10">
        <v>44733</v>
      </c>
      <c r="C1389" s="11">
        <v>44733</v>
      </c>
      <c r="D1389" s="53">
        <v>25</v>
      </c>
      <c r="E1389" s="13" t="s">
        <v>1862</v>
      </c>
      <c r="F1389" s="13">
        <v>3025459</v>
      </c>
      <c r="G1389" s="14">
        <v>26042</v>
      </c>
      <c r="H1389" s="15">
        <v>8900</v>
      </c>
      <c r="I1389" s="16">
        <f t="shared" si="209"/>
        <v>231773800</v>
      </c>
      <c r="J1389" s="17">
        <v>56</v>
      </c>
      <c r="K1389" s="34">
        <v>4502355764</v>
      </c>
      <c r="L1389" s="19">
        <v>5082382634</v>
      </c>
      <c r="M1389" s="20">
        <v>5113385479</v>
      </c>
      <c r="N1389" s="9" t="s">
        <v>63</v>
      </c>
      <c r="O1389" s="22" t="s">
        <v>1615</v>
      </c>
      <c r="P1389" s="23"/>
      <c r="Q1389" s="24" t="s">
        <v>31</v>
      </c>
      <c r="R1389" s="25">
        <v>44731</v>
      </c>
      <c r="S1389" s="28">
        <v>4902289898</v>
      </c>
      <c r="T1389" s="35">
        <f>920000*4</f>
        <v>3680000</v>
      </c>
      <c r="U1389" s="28" t="s">
        <v>1863</v>
      </c>
      <c r="V1389" s="29">
        <v>5113389091</v>
      </c>
      <c r="W1389" s="35"/>
      <c r="X1389" s="29"/>
      <c r="Y1389" s="36"/>
      <c r="Z1389" s="29"/>
      <c r="AA1389" s="31">
        <f t="shared" si="1"/>
        <v>44731</v>
      </c>
      <c r="AB1389" s="32" t="str">
        <f t="shared" si="5"/>
        <v>junio</v>
      </c>
    </row>
    <row r="1390" spans="1:28" ht="12.75">
      <c r="A1390" s="9" t="s">
        <v>67</v>
      </c>
      <c r="B1390" s="10">
        <v>44732</v>
      </c>
      <c r="C1390" s="11"/>
      <c r="D1390" s="53">
        <v>25</v>
      </c>
      <c r="E1390" s="13" t="s">
        <v>1864</v>
      </c>
      <c r="F1390" s="13">
        <v>3025457</v>
      </c>
      <c r="G1390" s="14">
        <v>6538</v>
      </c>
      <c r="H1390" s="33">
        <v>9050</v>
      </c>
      <c r="I1390" s="16">
        <f t="shared" si="209"/>
        <v>59168900</v>
      </c>
      <c r="J1390" s="17">
        <v>14</v>
      </c>
      <c r="K1390" s="34">
        <v>4502352919</v>
      </c>
      <c r="L1390" s="19">
        <v>5082378591</v>
      </c>
      <c r="M1390" s="20">
        <v>5113388210</v>
      </c>
      <c r="N1390" s="23"/>
      <c r="O1390" s="9" t="s">
        <v>63</v>
      </c>
      <c r="P1390" s="23"/>
      <c r="Q1390" s="24" t="s">
        <v>31</v>
      </c>
      <c r="R1390" s="25">
        <v>44732</v>
      </c>
      <c r="S1390" s="28"/>
      <c r="T1390" s="35"/>
      <c r="U1390" s="35"/>
      <c r="V1390" s="29"/>
      <c r="W1390" s="35"/>
      <c r="X1390" s="29"/>
      <c r="Y1390" s="36"/>
      <c r="Z1390" s="29"/>
      <c r="AA1390" s="31">
        <f t="shared" si="1"/>
        <v>44732</v>
      </c>
      <c r="AB1390" s="32" t="str">
        <f t="shared" si="5"/>
        <v>junio</v>
      </c>
    </row>
    <row r="1391" spans="1:28" ht="12.75">
      <c r="A1391" s="9" t="s">
        <v>1865</v>
      </c>
      <c r="B1391" s="10">
        <v>44736</v>
      </c>
      <c r="C1391" s="11">
        <v>44736</v>
      </c>
      <c r="D1391" s="53">
        <v>25</v>
      </c>
      <c r="E1391" s="13" t="s">
        <v>1866</v>
      </c>
      <c r="F1391" s="13">
        <v>3025457</v>
      </c>
      <c r="G1391" s="37">
        <v>6555.5</v>
      </c>
      <c r="H1391" s="33">
        <v>9100</v>
      </c>
      <c r="I1391" s="16">
        <f t="shared" si="209"/>
        <v>59655050</v>
      </c>
      <c r="J1391" s="17">
        <v>14</v>
      </c>
      <c r="K1391" s="34">
        <v>4502352920</v>
      </c>
      <c r="L1391" s="19">
        <v>5082378592</v>
      </c>
      <c r="M1391" s="20">
        <v>5113402017</v>
      </c>
      <c r="N1391" s="23"/>
      <c r="O1391" s="9" t="s">
        <v>1867</v>
      </c>
      <c r="P1391" s="116" t="s">
        <v>313</v>
      </c>
      <c r="Q1391" s="24" t="s">
        <v>31</v>
      </c>
      <c r="R1391" s="25">
        <v>44732</v>
      </c>
      <c r="S1391" s="28"/>
      <c r="T1391" s="35"/>
      <c r="U1391" s="35"/>
      <c r="V1391" s="29"/>
      <c r="W1391" s="35"/>
      <c r="X1391" s="29"/>
      <c r="Y1391" s="36"/>
      <c r="Z1391" s="29"/>
      <c r="AA1391" s="31">
        <f t="shared" si="1"/>
        <v>44732</v>
      </c>
      <c r="AB1391" s="32" t="str">
        <f t="shared" si="5"/>
        <v>junio</v>
      </c>
    </row>
    <row r="1392" spans="1:28" ht="12.75">
      <c r="A1392" s="9" t="s">
        <v>1865</v>
      </c>
      <c r="B1392" s="10">
        <v>44736</v>
      </c>
      <c r="C1392" s="11">
        <v>44736</v>
      </c>
      <c r="D1392" s="53">
        <v>25</v>
      </c>
      <c r="E1392" s="13" t="s">
        <v>1868</v>
      </c>
      <c r="F1392" s="13">
        <v>3025457</v>
      </c>
      <c r="G1392" s="37">
        <v>6555.5</v>
      </c>
      <c r="H1392" s="33">
        <v>50</v>
      </c>
      <c r="I1392" s="16">
        <f t="shared" si="209"/>
        <v>327775</v>
      </c>
      <c r="J1392" s="17">
        <v>0</v>
      </c>
      <c r="K1392" s="34">
        <v>4502352920</v>
      </c>
      <c r="L1392" s="19">
        <v>5082378592</v>
      </c>
      <c r="M1392" s="20">
        <v>5113402019</v>
      </c>
      <c r="N1392" s="23"/>
      <c r="O1392" s="9"/>
      <c r="P1392" s="23" t="s">
        <v>1869</v>
      </c>
      <c r="Q1392" s="24" t="s">
        <v>31</v>
      </c>
      <c r="R1392" s="25">
        <v>44732</v>
      </c>
      <c r="S1392" s="28"/>
      <c r="T1392" s="35"/>
      <c r="U1392" s="35"/>
      <c r="V1392" s="29"/>
      <c r="W1392" s="35"/>
      <c r="X1392" s="29"/>
      <c r="Y1392" s="36"/>
      <c r="Z1392" s="29"/>
      <c r="AA1392" s="31">
        <f t="shared" si="1"/>
        <v>44732</v>
      </c>
      <c r="AB1392" s="32" t="str">
        <f t="shared" si="5"/>
        <v>junio</v>
      </c>
    </row>
    <row r="1393" spans="1:28" ht="12.75">
      <c r="A1393" s="22" t="s">
        <v>501</v>
      </c>
      <c r="B1393" s="10">
        <v>44734</v>
      </c>
      <c r="C1393" s="11">
        <v>44734</v>
      </c>
      <c r="D1393" s="53">
        <v>25</v>
      </c>
      <c r="E1393" s="13" t="s">
        <v>1870</v>
      </c>
      <c r="F1393" s="13">
        <v>3025457</v>
      </c>
      <c r="G1393" s="37">
        <v>6518.5</v>
      </c>
      <c r="H1393" s="33">
        <v>9150</v>
      </c>
      <c r="I1393" s="16">
        <f t="shared" si="209"/>
        <v>59644275</v>
      </c>
      <c r="J1393" s="17">
        <v>14</v>
      </c>
      <c r="K1393" s="34">
        <v>4502352921</v>
      </c>
      <c r="L1393" s="19">
        <v>5082378593</v>
      </c>
      <c r="M1393" s="20">
        <v>5113388676</v>
      </c>
      <c r="N1393" s="23"/>
      <c r="O1393" s="9"/>
      <c r="P1393" s="23"/>
      <c r="Q1393" s="24" t="s">
        <v>31</v>
      </c>
      <c r="R1393" s="25">
        <v>44732</v>
      </c>
      <c r="S1393" s="28"/>
      <c r="T1393" s="35"/>
      <c r="U1393" s="35"/>
      <c r="V1393" s="29"/>
      <c r="W1393" s="35"/>
      <c r="X1393" s="29"/>
      <c r="Y1393" s="36"/>
      <c r="Z1393" s="29"/>
      <c r="AA1393" s="31">
        <f t="shared" si="1"/>
        <v>44732</v>
      </c>
      <c r="AB1393" s="32" t="str">
        <f t="shared" si="5"/>
        <v>junio</v>
      </c>
    </row>
    <row r="1394" spans="1:28" ht="12.75">
      <c r="A1394" s="22" t="s">
        <v>501</v>
      </c>
      <c r="B1394" s="10">
        <v>44734</v>
      </c>
      <c r="C1394" s="11">
        <v>44734</v>
      </c>
      <c r="D1394" s="53">
        <v>25</v>
      </c>
      <c r="E1394" s="13" t="s">
        <v>1871</v>
      </c>
      <c r="F1394" s="13">
        <v>3025457</v>
      </c>
      <c r="G1394" s="37">
        <v>6518.5</v>
      </c>
      <c r="H1394" s="33">
        <v>43.95</v>
      </c>
      <c r="I1394" s="16">
        <f t="shared" si="209"/>
        <v>286488.07500000001</v>
      </c>
      <c r="J1394" s="17">
        <v>0</v>
      </c>
      <c r="K1394" s="34">
        <v>4502352921</v>
      </c>
      <c r="L1394" s="19">
        <v>5082378593</v>
      </c>
      <c r="M1394" s="20">
        <v>5113388697</v>
      </c>
      <c r="N1394" s="23"/>
      <c r="O1394" s="9"/>
      <c r="P1394" s="23"/>
      <c r="Q1394" s="24" t="s">
        <v>31</v>
      </c>
      <c r="R1394" s="25">
        <v>44732</v>
      </c>
      <c r="S1394" s="28"/>
      <c r="T1394" s="35"/>
      <c r="U1394" s="35"/>
      <c r="V1394" s="29"/>
      <c r="W1394" s="35"/>
      <c r="X1394" s="29"/>
      <c r="Y1394" s="36"/>
      <c r="Z1394" s="29"/>
      <c r="AA1394" s="31">
        <f t="shared" si="1"/>
        <v>44732</v>
      </c>
      <c r="AB1394" s="32" t="str">
        <f t="shared" si="5"/>
        <v>junio</v>
      </c>
    </row>
    <row r="1395" spans="1:28" ht="12.75">
      <c r="A1395" s="9" t="s">
        <v>274</v>
      </c>
      <c r="B1395" s="10">
        <v>44735</v>
      </c>
      <c r="C1395" s="11">
        <v>44735</v>
      </c>
      <c r="D1395" s="53">
        <v>25</v>
      </c>
      <c r="E1395" s="13" t="s">
        <v>1872</v>
      </c>
      <c r="F1395" s="13">
        <v>3025457</v>
      </c>
      <c r="G1395" s="37">
        <v>20726.5</v>
      </c>
      <c r="H1395" s="33">
        <v>9450</v>
      </c>
      <c r="I1395" s="16">
        <f t="shared" si="209"/>
        <v>195865425</v>
      </c>
      <c r="J1395" s="17">
        <v>45</v>
      </c>
      <c r="K1395" s="34">
        <v>4502352922</v>
      </c>
      <c r="L1395" s="19">
        <v>5082378911</v>
      </c>
      <c r="M1395" s="20">
        <v>5113390565</v>
      </c>
      <c r="N1395" s="23"/>
      <c r="O1395" s="9" t="s">
        <v>63</v>
      </c>
      <c r="P1395" s="23"/>
      <c r="Q1395" s="24" t="s">
        <v>31</v>
      </c>
      <c r="R1395" s="25">
        <v>44732</v>
      </c>
      <c r="S1395" s="28"/>
      <c r="T1395" s="35"/>
      <c r="U1395" s="35"/>
      <c r="V1395" s="29"/>
      <c r="W1395" s="35"/>
      <c r="X1395" s="29"/>
      <c r="Y1395" s="36"/>
      <c r="Z1395" s="29"/>
      <c r="AA1395" s="31">
        <f t="shared" si="1"/>
        <v>44732</v>
      </c>
      <c r="AB1395" s="32" t="str">
        <f t="shared" si="5"/>
        <v>junio</v>
      </c>
    </row>
    <row r="1396" spans="1:28" ht="12.75">
      <c r="A1396" s="9" t="s">
        <v>274</v>
      </c>
      <c r="B1396" s="10">
        <v>44735</v>
      </c>
      <c r="C1396" s="11">
        <v>44735</v>
      </c>
      <c r="D1396" s="53">
        <v>25</v>
      </c>
      <c r="E1396" s="13" t="s">
        <v>537</v>
      </c>
      <c r="F1396" s="13">
        <v>3025457</v>
      </c>
      <c r="G1396" s="37">
        <v>20726.5</v>
      </c>
      <c r="H1396" s="33">
        <f>9450-9448.15</f>
        <v>1.8500000000003638</v>
      </c>
      <c r="I1396" s="16">
        <f>-H1396*G1396</f>
        <v>-38344.025000007539</v>
      </c>
      <c r="J1396" s="17">
        <v>0</v>
      </c>
      <c r="K1396" s="34">
        <v>4502352922</v>
      </c>
      <c r="L1396" s="19">
        <v>5082378911</v>
      </c>
      <c r="M1396" s="20">
        <v>5113390612</v>
      </c>
      <c r="N1396" s="23"/>
      <c r="O1396" s="9"/>
      <c r="P1396" s="23"/>
      <c r="Q1396" s="24" t="s">
        <v>31</v>
      </c>
      <c r="R1396" s="25">
        <v>44732</v>
      </c>
      <c r="S1396" s="28"/>
      <c r="T1396" s="35"/>
      <c r="U1396" s="35"/>
      <c r="V1396" s="29"/>
      <c r="W1396" s="35"/>
      <c r="X1396" s="29"/>
      <c r="Y1396" s="36"/>
      <c r="Z1396" s="29"/>
      <c r="AA1396" s="31">
        <f t="shared" si="1"/>
        <v>44732</v>
      </c>
      <c r="AB1396" s="32" t="str">
        <f t="shared" si="5"/>
        <v>junio</v>
      </c>
    </row>
    <row r="1397" spans="1:28" ht="12.75">
      <c r="A1397" s="9" t="s">
        <v>168</v>
      </c>
      <c r="B1397" s="10">
        <v>44734</v>
      </c>
      <c r="C1397" s="11">
        <v>44734</v>
      </c>
      <c r="D1397" s="53">
        <v>25</v>
      </c>
      <c r="E1397" s="13" t="s">
        <v>1873</v>
      </c>
      <c r="F1397" s="13">
        <v>3025457</v>
      </c>
      <c r="G1397" s="14">
        <v>13789</v>
      </c>
      <c r="H1397" s="33">
        <v>9450</v>
      </c>
      <c r="I1397" s="16">
        <f t="shared" ref="I1397:I1399" si="210">H1397*G1397</f>
        <v>130306050</v>
      </c>
      <c r="J1397" s="17">
        <v>28</v>
      </c>
      <c r="K1397" s="34">
        <v>4502352923</v>
      </c>
      <c r="L1397" s="19">
        <v>5082378594</v>
      </c>
      <c r="M1397" s="20">
        <v>5113389460</v>
      </c>
      <c r="N1397" s="23"/>
      <c r="O1397" s="9" t="s">
        <v>63</v>
      </c>
      <c r="P1397" s="23"/>
      <c r="Q1397" s="24" t="s">
        <v>31</v>
      </c>
      <c r="R1397" s="25">
        <v>44732</v>
      </c>
      <c r="S1397" s="28"/>
      <c r="T1397" s="35"/>
      <c r="U1397" s="35"/>
      <c r="V1397" s="29"/>
      <c r="W1397" s="35"/>
      <c r="X1397" s="29"/>
      <c r="Y1397" s="36"/>
      <c r="Z1397" s="29"/>
      <c r="AA1397" s="31">
        <f t="shared" si="1"/>
        <v>44732</v>
      </c>
      <c r="AB1397" s="32" t="str">
        <f t="shared" si="5"/>
        <v>junio</v>
      </c>
    </row>
    <row r="1398" spans="1:28" ht="12.75">
      <c r="A1398" s="9" t="s">
        <v>80</v>
      </c>
      <c r="B1398" s="10">
        <v>44732</v>
      </c>
      <c r="C1398" s="11">
        <v>44734</v>
      </c>
      <c r="D1398" s="53">
        <v>25</v>
      </c>
      <c r="E1398" s="13" t="s">
        <v>1874</v>
      </c>
      <c r="F1398" s="13">
        <v>3025459</v>
      </c>
      <c r="G1398" s="14">
        <v>19312</v>
      </c>
      <c r="H1398" s="15">
        <v>8900</v>
      </c>
      <c r="I1398" s="16">
        <f t="shared" si="210"/>
        <v>171876800</v>
      </c>
      <c r="J1398" s="17">
        <v>42</v>
      </c>
      <c r="K1398" s="34">
        <v>4502355778</v>
      </c>
      <c r="L1398" s="19">
        <v>5082382854</v>
      </c>
      <c r="M1398" s="20">
        <v>5113419294</v>
      </c>
      <c r="N1398" s="23"/>
      <c r="O1398" s="22" t="s">
        <v>272</v>
      </c>
      <c r="P1398" s="9" t="s">
        <v>37</v>
      </c>
      <c r="Q1398" s="24" t="s">
        <v>31</v>
      </c>
      <c r="R1398" s="25">
        <v>44732</v>
      </c>
      <c r="S1398" s="28">
        <v>4902289899</v>
      </c>
      <c r="T1398" s="35">
        <f>1793900*3</f>
        <v>5381700</v>
      </c>
      <c r="U1398" s="28" t="s">
        <v>1875</v>
      </c>
      <c r="V1398" s="29">
        <v>5113385237</v>
      </c>
      <c r="W1398" s="35"/>
      <c r="X1398" s="29"/>
      <c r="Y1398" s="36"/>
      <c r="Z1398" s="29"/>
      <c r="AA1398" s="31">
        <f t="shared" si="1"/>
        <v>44732</v>
      </c>
      <c r="AB1398" s="32" t="str">
        <f t="shared" si="5"/>
        <v>junio</v>
      </c>
    </row>
    <row r="1399" spans="1:28" ht="12.75">
      <c r="A1399" s="9" t="s">
        <v>73</v>
      </c>
      <c r="B1399" s="10">
        <v>44734</v>
      </c>
      <c r="C1399" s="11">
        <v>44735</v>
      </c>
      <c r="D1399" s="53">
        <v>25</v>
      </c>
      <c r="E1399" s="13" t="s">
        <v>1876</v>
      </c>
      <c r="F1399" s="13">
        <v>3025459</v>
      </c>
      <c r="G1399" s="14">
        <v>6481</v>
      </c>
      <c r="H1399" s="33">
        <v>9450</v>
      </c>
      <c r="I1399" s="16">
        <f t="shared" si="210"/>
        <v>61245450</v>
      </c>
      <c r="J1399" s="17">
        <v>14</v>
      </c>
      <c r="K1399" s="34">
        <v>4502352924</v>
      </c>
      <c r="L1399" s="19">
        <v>5082378595</v>
      </c>
      <c r="M1399" s="20">
        <v>5113411347</v>
      </c>
      <c r="N1399" s="23"/>
      <c r="O1399" s="9" t="s">
        <v>63</v>
      </c>
      <c r="P1399" s="23" t="s">
        <v>1877</v>
      </c>
      <c r="Q1399" s="24" t="s">
        <v>31</v>
      </c>
      <c r="R1399" s="25">
        <v>44732</v>
      </c>
      <c r="S1399" s="28"/>
      <c r="T1399" s="35"/>
      <c r="U1399" s="35"/>
      <c r="V1399" s="29"/>
      <c r="W1399" s="35"/>
      <c r="X1399" s="29"/>
      <c r="Y1399" s="36"/>
      <c r="Z1399" s="29"/>
      <c r="AA1399" s="31">
        <f t="shared" si="1"/>
        <v>44732</v>
      </c>
      <c r="AB1399" s="32" t="str">
        <f t="shared" si="5"/>
        <v>junio</v>
      </c>
    </row>
    <row r="1400" spans="1:28" ht="12.75">
      <c r="A1400" s="9" t="s">
        <v>73</v>
      </c>
      <c r="B1400" s="10">
        <v>44734</v>
      </c>
      <c r="C1400" s="11">
        <v>44735</v>
      </c>
      <c r="D1400" s="53">
        <v>25</v>
      </c>
      <c r="E1400" s="13" t="s">
        <v>1878</v>
      </c>
      <c r="F1400" s="13">
        <v>3025459</v>
      </c>
      <c r="G1400" s="14">
        <v>6481</v>
      </c>
      <c r="H1400" s="33">
        <v>50</v>
      </c>
      <c r="I1400" s="16">
        <f>-H1400*G1400</f>
        <v>-324050</v>
      </c>
      <c r="J1400" s="17">
        <v>0</v>
      </c>
      <c r="K1400" s="34">
        <v>4502352924</v>
      </c>
      <c r="L1400" s="19">
        <v>5082378595</v>
      </c>
      <c r="M1400" s="20">
        <v>5113411348</v>
      </c>
      <c r="N1400" s="23"/>
      <c r="O1400" s="9"/>
      <c r="P1400" s="23"/>
      <c r="Q1400" s="24" t="s">
        <v>31</v>
      </c>
      <c r="R1400" s="25">
        <v>44732</v>
      </c>
      <c r="S1400" s="28"/>
      <c r="T1400" s="35"/>
      <c r="U1400" s="35"/>
      <c r="V1400" s="29"/>
      <c r="W1400" s="35"/>
      <c r="X1400" s="29"/>
      <c r="Y1400" s="36"/>
      <c r="Z1400" s="29"/>
      <c r="AA1400" s="31">
        <f t="shared" si="1"/>
        <v>44732</v>
      </c>
      <c r="AB1400" s="32" t="str">
        <f t="shared" si="5"/>
        <v>junio</v>
      </c>
    </row>
    <row r="1401" spans="1:28" ht="12.75">
      <c r="A1401" s="22" t="s">
        <v>719</v>
      </c>
      <c r="B1401" s="10">
        <v>44735</v>
      </c>
      <c r="C1401" s="11">
        <v>44735</v>
      </c>
      <c r="D1401" s="53">
        <v>25</v>
      </c>
      <c r="E1401" s="13" t="s">
        <v>1879</v>
      </c>
      <c r="F1401" s="13">
        <v>3025457</v>
      </c>
      <c r="G1401" s="37">
        <v>13801.5</v>
      </c>
      <c r="H1401" s="33">
        <v>9100</v>
      </c>
      <c r="I1401" s="16">
        <f>H1401*G1401</f>
        <v>125593650</v>
      </c>
      <c r="J1401" s="17">
        <v>30</v>
      </c>
      <c r="K1401" s="34">
        <v>4502352925</v>
      </c>
      <c r="L1401" s="19">
        <v>5082455252</v>
      </c>
      <c r="M1401" s="20">
        <v>5113396784</v>
      </c>
      <c r="N1401" s="23"/>
      <c r="O1401" s="9" t="s">
        <v>37</v>
      </c>
      <c r="P1401" s="23"/>
      <c r="Q1401" s="24" t="s">
        <v>31</v>
      </c>
      <c r="R1401" s="25">
        <v>44733</v>
      </c>
      <c r="S1401" s="28"/>
      <c r="T1401" s="35"/>
      <c r="U1401" s="35"/>
      <c r="V1401" s="29"/>
      <c r="W1401" s="35"/>
      <c r="X1401" s="29"/>
      <c r="Y1401" s="36"/>
      <c r="Z1401" s="29"/>
      <c r="AA1401" s="31">
        <f t="shared" si="1"/>
        <v>44733</v>
      </c>
      <c r="AB1401" s="32" t="str">
        <f t="shared" si="5"/>
        <v>junio</v>
      </c>
    </row>
    <row r="1402" spans="1:28" ht="12.75">
      <c r="A1402" s="22" t="s">
        <v>719</v>
      </c>
      <c r="B1402" s="10">
        <v>44735</v>
      </c>
      <c r="C1402" s="11">
        <v>44735</v>
      </c>
      <c r="D1402" s="53">
        <v>25</v>
      </c>
      <c r="E1402" s="13" t="s">
        <v>1664</v>
      </c>
      <c r="F1402" s="13">
        <v>3025457</v>
      </c>
      <c r="G1402" s="37">
        <v>13801.5</v>
      </c>
      <c r="H1402" s="33">
        <f>9100-9094.53</f>
        <v>5.4699999999993452</v>
      </c>
      <c r="I1402" s="16">
        <f>-H1402*G1402</f>
        <v>-75494.204999990965</v>
      </c>
      <c r="J1402" s="17">
        <v>0</v>
      </c>
      <c r="K1402" s="34">
        <v>4502352925</v>
      </c>
      <c r="L1402" s="19">
        <v>5082455252</v>
      </c>
      <c r="M1402" s="20">
        <v>5113396785</v>
      </c>
      <c r="N1402" s="23"/>
      <c r="O1402" s="9"/>
      <c r="P1402" s="23"/>
      <c r="Q1402" s="24" t="s">
        <v>31</v>
      </c>
      <c r="R1402" s="25">
        <v>44733</v>
      </c>
      <c r="S1402" s="28"/>
      <c r="T1402" s="35"/>
      <c r="U1402" s="35"/>
      <c r="V1402" s="29"/>
      <c r="W1402" s="35"/>
      <c r="X1402" s="29"/>
      <c r="Y1402" s="36"/>
      <c r="Z1402" s="29"/>
      <c r="AA1402" s="31">
        <f t="shared" si="1"/>
        <v>44733</v>
      </c>
      <c r="AB1402" s="32" t="str">
        <f t="shared" si="5"/>
        <v>junio</v>
      </c>
    </row>
    <row r="1403" spans="1:28" ht="12.75">
      <c r="A1403" s="9" t="s">
        <v>80</v>
      </c>
      <c r="B1403" s="10">
        <v>44733</v>
      </c>
      <c r="C1403" s="11">
        <v>44734</v>
      </c>
      <c r="D1403" s="53">
        <v>25</v>
      </c>
      <c r="E1403" s="13" t="s">
        <v>1880</v>
      </c>
      <c r="F1403" s="13">
        <v>3025459</v>
      </c>
      <c r="G1403" s="14">
        <v>20023</v>
      </c>
      <c r="H1403" s="15">
        <v>8900</v>
      </c>
      <c r="I1403" s="16">
        <f t="shared" ref="I1403:I1411" si="211">H1403*G1403</f>
        <v>178204700</v>
      </c>
      <c r="J1403" s="17">
        <v>42</v>
      </c>
      <c r="K1403" s="34">
        <v>4502355792</v>
      </c>
      <c r="L1403" s="19">
        <v>5082383011</v>
      </c>
      <c r="M1403" s="20">
        <v>5113419296</v>
      </c>
      <c r="N1403" s="23"/>
      <c r="O1403" s="22" t="s">
        <v>1057</v>
      </c>
      <c r="P1403" s="9" t="s">
        <v>37</v>
      </c>
      <c r="Q1403" s="24" t="s">
        <v>31</v>
      </c>
      <c r="R1403" s="25">
        <v>44733</v>
      </c>
      <c r="S1403" s="28">
        <v>4902289902</v>
      </c>
      <c r="T1403" s="28">
        <v>4792500</v>
      </c>
      <c r="U1403" s="28" t="s">
        <v>1881</v>
      </c>
      <c r="V1403" s="29">
        <v>5113403739</v>
      </c>
      <c r="W1403" s="35"/>
      <c r="X1403" s="29"/>
      <c r="Y1403" s="36"/>
      <c r="Z1403" s="29"/>
      <c r="AA1403" s="31">
        <f t="shared" si="1"/>
        <v>44733</v>
      </c>
      <c r="AB1403" s="32" t="str">
        <f t="shared" si="5"/>
        <v>junio</v>
      </c>
    </row>
    <row r="1404" spans="1:28" ht="12.75">
      <c r="A1404" s="9" t="s">
        <v>96</v>
      </c>
      <c r="B1404" s="10">
        <v>44742</v>
      </c>
      <c r="C1404" s="11">
        <v>44748</v>
      </c>
      <c r="D1404" s="53">
        <v>25</v>
      </c>
      <c r="E1404" s="13" t="s">
        <v>1882</v>
      </c>
      <c r="F1404" s="13">
        <v>3025459</v>
      </c>
      <c r="G1404" s="14">
        <v>7043.5</v>
      </c>
      <c r="H1404" s="33">
        <v>9100</v>
      </c>
      <c r="I1404" s="16">
        <f t="shared" si="211"/>
        <v>64095850</v>
      </c>
      <c r="J1404" s="17">
        <v>14</v>
      </c>
      <c r="K1404" s="34">
        <v>4502352926</v>
      </c>
      <c r="L1404" s="19">
        <v>5082399719</v>
      </c>
      <c r="M1404" s="20">
        <v>5113419801</v>
      </c>
      <c r="N1404" s="23"/>
      <c r="O1404" s="9"/>
      <c r="P1404" s="23" t="s">
        <v>1883</v>
      </c>
      <c r="Q1404" s="24" t="s">
        <v>31</v>
      </c>
      <c r="R1404" s="25">
        <v>44733</v>
      </c>
      <c r="S1404" s="28"/>
      <c r="T1404" s="35"/>
      <c r="U1404" s="35"/>
      <c r="V1404" s="29"/>
      <c r="W1404" s="35"/>
      <c r="X1404" s="29"/>
      <c r="Y1404" s="36"/>
      <c r="Z1404" s="29"/>
      <c r="AA1404" s="31">
        <f t="shared" si="1"/>
        <v>44733</v>
      </c>
      <c r="AB1404" s="32" t="str">
        <f t="shared" si="5"/>
        <v>junio</v>
      </c>
    </row>
    <row r="1405" spans="1:28" ht="12.75">
      <c r="A1405" s="9" t="s">
        <v>58</v>
      </c>
      <c r="B1405" s="10">
        <v>44735</v>
      </c>
      <c r="C1405" s="11">
        <v>44735</v>
      </c>
      <c r="D1405" s="53">
        <v>25</v>
      </c>
      <c r="E1405" s="13" t="s">
        <v>1884</v>
      </c>
      <c r="F1405" s="13">
        <v>3025462</v>
      </c>
      <c r="G1405" s="14">
        <v>9836</v>
      </c>
      <c r="H1405" s="33">
        <v>7800</v>
      </c>
      <c r="I1405" s="16">
        <f t="shared" si="211"/>
        <v>76720800</v>
      </c>
      <c r="J1405" s="17">
        <v>40</v>
      </c>
      <c r="K1405" s="34">
        <v>4502357316</v>
      </c>
      <c r="L1405" s="19">
        <v>5082417203</v>
      </c>
      <c r="M1405" s="20">
        <v>5113389465</v>
      </c>
      <c r="N1405" s="23"/>
      <c r="O1405" s="9" t="s">
        <v>37</v>
      </c>
      <c r="P1405" s="23"/>
      <c r="Q1405" s="24" t="s">
        <v>357</v>
      </c>
      <c r="R1405" s="25">
        <v>44734</v>
      </c>
      <c r="S1405" s="28"/>
      <c r="T1405" s="35"/>
      <c r="U1405" s="35"/>
      <c r="V1405" s="29"/>
      <c r="W1405" s="35"/>
      <c r="X1405" s="29"/>
      <c r="Y1405" s="36"/>
      <c r="Z1405" s="29"/>
      <c r="AA1405" s="31">
        <f t="shared" si="1"/>
        <v>44734</v>
      </c>
      <c r="AB1405" s="32" t="str">
        <f t="shared" si="5"/>
        <v>junio</v>
      </c>
    </row>
    <row r="1406" spans="1:28" ht="12.75">
      <c r="A1406" s="45" t="s">
        <v>145</v>
      </c>
      <c r="B1406" s="10">
        <v>44740</v>
      </c>
      <c r="C1406" s="11">
        <v>44740</v>
      </c>
      <c r="D1406" s="42">
        <v>26</v>
      </c>
      <c r="E1406" s="13" t="s">
        <v>1885</v>
      </c>
      <c r="F1406" s="13">
        <v>3025457</v>
      </c>
      <c r="G1406" s="37">
        <v>6852.5</v>
      </c>
      <c r="H1406" s="40">
        <v>9050</v>
      </c>
      <c r="I1406" s="16">
        <f t="shared" si="211"/>
        <v>62015125</v>
      </c>
      <c r="J1406" s="17">
        <v>14</v>
      </c>
      <c r="K1406" s="34">
        <v>4502356789</v>
      </c>
      <c r="L1406" s="19">
        <v>5082457331</v>
      </c>
      <c r="M1406" s="20">
        <v>5113402748</v>
      </c>
      <c r="N1406" s="23"/>
      <c r="O1406" s="23" t="s">
        <v>37</v>
      </c>
      <c r="P1406" s="23"/>
      <c r="Q1406" s="24" t="s">
        <v>31</v>
      </c>
      <c r="R1406" s="25">
        <v>44736</v>
      </c>
      <c r="S1406" s="28"/>
      <c r="T1406" s="35"/>
      <c r="U1406" s="35"/>
      <c r="V1406" s="29"/>
      <c r="W1406" s="35"/>
      <c r="X1406" s="29"/>
      <c r="Y1406" s="36"/>
      <c r="Z1406" s="29"/>
      <c r="AA1406" s="31">
        <f t="shared" si="1"/>
        <v>44736</v>
      </c>
      <c r="AB1406" s="32" t="str">
        <f t="shared" si="5"/>
        <v>junio</v>
      </c>
    </row>
    <row r="1407" spans="1:28" ht="12.75">
      <c r="A1407" s="45" t="s">
        <v>145</v>
      </c>
      <c r="B1407" s="10">
        <v>44740</v>
      </c>
      <c r="C1407" s="11">
        <v>44740</v>
      </c>
      <c r="D1407" s="42">
        <v>26</v>
      </c>
      <c r="E1407" s="13" t="s">
        <v>1886</v>
      </c>
      <c r="F1407" s="13">
        <v>3025457</v>
      </c>
      <c r="G1407" s="37">
        <v>6852.5</v>
      </c>
      <c r="H1407" s="40">
        <v>50</v>
      </c>
      <c r="I1407" s="16">
        <f t="shared" si="211"/>
        <v>342625</v>
      </c>
      <c r="J1407" s="17">
        <v>0</v>
      </c>
      <c r="K1407" s="34">
        <v>4502356789</v>
      </c>
      <c r="L1407" s="19">
        <v>5082457331</v>
      </c>
      <c r="M1407" s="20">
        <v>5113402752</v>
      </c>
      <c r="N1407" s="23"/>
      <c r="O1407" s="9"/>
      <c r="P1407" s="23"/>
      <c r="Q1407" s="24" t="s">
        <v>31</v>
      </c>
      <c r="R1407" s="25">
        <v>44736</v>
      </c>
      <c r="S1407" s="28"/>
      <c r="T1407" s="35"/>
      <c r="U1407" s="35"/>
      <c r="V1407" s="29"/>
      <c r="W1407" s="35"/>
      <c r="X1407" s="29"/>
      <c r="Y1407" s="36"/>
      <c r="Z1407" s="29"/>
      <c r="AA1407" s="31">
        <f t="shared" si="1"/>
        <v>44736</v>
      </c>
      <c r="AB1407" s="32" t="str">
        <f t="shared" si="5"/>
        <v>junio</v>
      </c>
    </row>
    <row r="1408" spans="1:28" ht="12.75">
      <c r="A1408" s="9" t="s">
        <v>485</v>
      </c>
      <c r="B1408" s="10">
        <v>44741</v>
      </c>
      <c r="C1408" s="11"/>
      <c r="D1408" s="42">
        <v>26</v>
      </c>
      <c r="E1408" s="13" t="s">
        <v>1887</v>
      </c>
      <c r="F1408" s="13">
        <v>3025457</v>
      </c>
      <c r="G1408" s="14">
        <v>12543</v>
      </c>
      <c r="H1408" s="40">
        <v>9350</v>
      </c>
      <c r="I1408" s="16">
        <f t="shared" si="211"/>
        <v>117277050</v>
      </c>
      <c r="J1408" s="17">
        <v>28</v>
      </c>
      <c r="K1408" s="34">
        <v>4502356790</v>
      </c>
      <c r="L1408" s="19">
        <v>5082457332</v>
      </c>
      <c r="M1408" s="20">
        <v>5113411352</v>
      </c>
      <c r="N1408" s="23"/>
      <c r="O1408" s="9" t="s">
        <v>313</v>
      </c>
      <c r="P1408" s="23"/>
      <c r="Q1408" s="24" t="s">
        <v>31</v>
      </c>
      <c r="R1408" s="25">
        <v>44736</v>
      </c>
      <c r="S1408" s="28"/>
      <c r="T1408" s="35"/>
      <c r="U1408" s="35"/>
      <c r="V1408" s="29"/>
      <c r="W1408" s="35"/>
      <c r="X1408" s="29"/>
      <c r="Y1408" s="36"/>
      <c r="Z1408" s="29"/>
      <c r="AA1408" s="31">
        <f t="shared" si="1"/>
        <v>44736</v>
      </c>
      <c r="AB1408" s="32" t="str">
        <f t="shared" si="5"/>
        <v>junio</v>
      </c>
    </row>
    <row r="1409" spans="1:28" ht="12.75">
      <c r="A1409" s="9" t="s">
        <v>94</v>
      </c>
      <c r="B1409" s="10">
        <v>44740</v>
      </c>
      <c r="C1409" s="11">
        <v>44740</v>
      </c>
      <c r="D1409" s="42">
        <v>26</v>
      </c>
      <c r="E1409" s="13" t="s">
        <v>1888</v>
      </c>
      <c r="F1409" s="13">
        <v>3025457</v>
      </c>
      <c r="G1409" s="14">
        <v>12792</v>
      </c>
      <c r="H1409" s="15">
        <v>8800</v>
      </c>
      <c r="I1409" s="16">
        <f t="shared" si="211"/>
        <v>112569600</v>
      </c>
      <c r="J1409" s="17">
        <v>28</v>
      </c>
      <c r="K1409" s="34">
        <v>4502358727</v>
      </c>
      <c r="L1409" s="19">
        <v>5082455559</v>
      </c>
      <c r="M1409" s="20">
        <v>5113402128</v>
      </c>
      <c r="N1409" s="23"/>
      <c r="O1409" s="22" t="s">
        <v>1046</v>
      </c>
      <c r="P1409" s="23"/>
      <c r="Q1409" s="24" t="s">
        <v>31</v>
      </c>
      <c r="R1409" s="25">
        <v>44736</v>
      </c>
      <c r="S1409" s="28">
        <v>4902293381</v>
      </c>
      <c r="T1409" s="35">
        <f>1623900*2</f>
        <v>3247800</v>
      </c>
      <c r="U1409" s="28" t="s">
        <v>1889</v>
      </c>
      <c r="V1409" s="29">
        <v>5113396711</v>
      </c>
      <c r="W1409" s="35"/>
      <c r="X1409" s="29"/>
      <c r="Y1409" s="36"/>
      <c r="Z1409" s="29"/>
      <c r="AA1409" s="31">
        <f t="shared" si="1"/>
        <v>44736</v>
      </c>
      <c r="AB1409" s="32" t="str">
        <f t="shared" si="5"/>
        <v>junio</v>
      </c>
    </row>
    <row r="1410" spans="1:28" ht="12.75">
      <c r="A1410" s="92" t="s">
        <v>404</v>
      </c>
      <c r="B1410" s="10">
        <v>44740</v>
      </c>
      <c r="C1410" s="11">
        <v>44740</v>
      </c>
      <c r="D1410" s="42">
        <v>26</v>
      </c>
      <c r="E1410" s="13" t="s">
        <v>1890</v>
      </c>
      <c r="F1410" s="13">
        <v>3025457</v>
      </c>
      <c r="G1410" s="14">
        <v>21381</v>
      </c>
      <c r="H1410" s="40">
        <v>9400</v>
      </c>
      <c r="I1410" s="16">
        <f t="shared" si="211"/>
        <v>200981400</v>
      </c>
      <c r="J1410" s="17">
        <v>43</v>
      </c>
      <c r="K1410" s="34">
        <v>4502361363</v>
      </c>
      <c r="L1410" s="19">
        <v>5082515491</v>
      </c>
      <c r="M1410" s="20">
        <v>5113409004</v>
      </c>
      <c r="N1410" s="23"/>
      <c r="O1410" s="9" t="s">
        <v>37</v>
      </c>
      <c r="P1410" s="23"/>
      <c r="Q1410" s="24" t="s">
        <v>31</v>
      </c>
      <c r="R1410" s="25">
        <v>44736</v>
      </c>
      <c r="S1410" s="28"/>
      <c r="T1410" s="35"/>
      <c r="U1410" s="35"/>
      <c r="V1410" s="29"/>
      <c r="W1410" s="35"/>
      <c r="X1410" s="29"/>
      <c r="Y1410" s="36"/>
      <c r="Z1410" s="29"/>
      <c r="AA1410" s="31">
        <f t="shared" si="1"/>
        <v>44736</v>
      </c>
      <c r="AB1410" s="32" t="str">
        <f t="shared" si="5"/>
        <v>junio</v>
      </c>
    </row>
    <row r="1411" spans="1:28" ht="12.75">
      <c r="A1411" s="9" t="s">
        <v>58</v>
      </c>
      <c r="B1411" s="10">
        <v>44741</v>
      </c>
      <c r="C1411" s="11">
        <v>44741</v>
      </c>
      <c r="D1411" s="42">
        <v>26</v>
      </c>
      <c r="E1411" s="13" t="s">
        <v>1891</v>
      </c>
      <c r="F1411" s="13">
        <v>3025457</v>
      </c>
      <c r="G1411" s="37">
        <v>64784.5</v>
      </c>
      <c r="H1411" s="40">
        <v>9425</v>
      </c>
      <c r="I1411" s="16">
        <f t="shared" si="211"/>
        <v>610593912.5</v>
      </c>
      <c r="J1411" s="17">
        <v>135</v>
      </c>
      <c r="K1411" s="34">
        <v>4502356792</v>
      </c>
      <c r="L1411" s="19">
        <v>5082457333</v>
      </c>
      <c r="M1411" s="20">
        <v>5113406962</v>
      </c>
      <c r="N1411" s="23"/>
      <c r="O1411" s="9" t="s">
        <v>37</v>
      </c>
      <c r="P1411" s="23"/>
      <c r="Q1411" s="24" t="s">
        <v>31</v>
      </c>
      <c r="R1411" s="25">
        <v>44736</v>
      </c>
      <c r="S1411" s="28"/>
      <c r="T1411" s="35"/>
      <c r="U1411" s="35"/>
      <c r="V1411" s="29"/>
      <c r="W1411" s="35"/>
      <c r="X1411" s="29"/>
      <c r="Y1411" s="36"/>
      <c r="Z1411" s="29"/>
      <c r="AA1411" s="31">
        <f t="shared" si="1"/>
        <v>44736</v>
      </c>
      <c r="AB1411" s="32" t="str">
        <f t="shared" si="5"/>
        <v>junio</v>
      </c>
    </row>
    <row r="1412" spans="1:28" ht="12.75">
      <c r="A1412" s="9" t="s">
        <v>58</v>
      </c>
      <c r="B1412" s="10">
        <v>44741</v>
      </c>
      <c r="C1412" s="11">
        <v>44741</v>
      </c>
      <c r="D1412" s="42">
        <v>26</v>
      </c>
      <c r="E1412" s="13" t="s">
        <v>1892</v>
      </c>
      <c r="F1412" s="13">
        <v>3025457</v>
      </c>
      <c r="G1412" s="37">
        <v>64784.5</v>
      </c>
      <c r="H1412" s="40">
        <f>9425-9419.06</f>
        <v>5.9400000000005093</v>
      </c>
      <c r="I1412" s="16">
        <f>-H1412*G1412</f>
        <v>-384819.930000033</v>
      </c>
      <c r="J1412" s="17">
        <v>0</v>
      </c>
      <c r="K1412" s="34">
        <v>4502356792</v>
      </c>
      <c r="L1412" s="19">
        <v>5082457333</v>
      </c>
      <c r="M1412" s="20">
        <v>5113406964</v>
      </c>
      <c r="N1412" s="23"/>
      <c r="O1412" s="9"/>
      <c r="P1412" s="23"/>
      <c r="Q1412" s="24" t="s">
        <v>31</v>
      </c>
      <c r="R1412" s="25">
        <v>44736</v>
      </c>
      <c r="S1412" s="28"/>
      <c r="T1412" s="35"/>
      <c r="U1412" s="35"/>
      <c r="V1412" s="29"/>
      <c r="W1412" s="35"/>
      <c r="X1412" s="29"/>
      <c r="Y1412" s="36"/>
      <c r="Z1412" s="29"/>
      <c r="AA1412" s="31">
        <f t="shared" si="1"/>
        <v>44736</v>
      </c>
      <c r="AB1412" s="32" t="str">
        <f t="shared" si="5"/>
        <v>junio</v>
      </c>
    </row>
    <row r="1413" spans="1:28" ht="12.75">
      <c r="A1413" s="9" t="s">
        <v>73</v>
      </c>
      <c r="B1413" s="10">
        <v>44742</v>
      </c>
      <c r="C1413" s="11">
        <v>44742</v>
      </c>
      <c r="D1413" s="42">
        <v>26</v>
      </c>
      <c r="E1413" s="13" t="s">
        <v>1893</v>
      </c>
      <c r="F1413" s="13">
        <v>3025457</v>
      </c>
      <c r="G1413" s="37">
        <v>6629.5</v>
      </c>
      <c r="H1413" s="40">
        <v>9400</v>
      </c>
      <c r="I1413" s="16">
        <f t="shared" ref="I1413:I1417" si="212">H1413*G1413</f>
        <v>62317300</v>
      </c>
      <c r="J1413" s="17">
        <v>14</v>
      </c>
      <c r="K1413" s="34">
        <v>4502356794</v>
      </c>
      <c r="L1413" s="19">
        <v>5082457334</v>
      </c>
      <c r="M1413" s="20">
        <v>5113413576</v>
      </c>
      <c r="N1413" s="23"/>
      <c r="O1413" s="9" t="s">
        <v>63</v>
      </c>
      <c r="P1413" s="23" t="s">
        <v>1877</v>
      </c>
      <c r="Q1413" s="24" t="s">
        <v>31</v>
      </c>
      <c r="R1413" s="25">
        <v>44736</v>
      </c>
      <c r="S1413" s="28"/>
      <c r="T1413" s="35"/>
      <c r="U1413" s="35"/>
      <c r="V1413" s="29"/>
      <c r="W1413" s="35"/>
      <c r="X1413" s="29"/>
      <c r="Y1413" s="36"/>
      <c r="Z1413" s="29"/>
      <c r="AA1413" s="31">
        <f t="shared" si="1"/>
        <v>44736</v>
      </c>
      <c r="AB1413" s="32" t="str">
        <f t="shared" si="5"/>
        <v>junio</v>
      </c>
    </row>
    <row r="1414" spans="1:28" ht="12.75">
      <c r="A1414" s="9" t="s">
        <v>348</v>
      </c>
      <c r="B1414" s="10">
        <v>44741</v>
      </c>
      <c r="C1414" s="11">
        <v>44741</v>
      </c>
      <c r="D1414" s="42">
        <v>26</v>
      </c>
      <c r="E1414" s="13" t="s">
        <v>1894</v>
      </c>
      <c r="F1414" s="13">
        <v>3025457</v>
      </c>
      <c r="G1414" s="14">
        <v>6756</v>
      </c>
      <c r="H1414" s="40">
        <v>9000</v>
      </c>
      <c r="I1414" s="16">
        <f t="shared" si="212"/>
        <v>60804000</v>
      </c>
      <c r="J1414" s="17">
        <v>15</v>
      </c>
      <c r="K1414" s="34">
        <v>4502356795</v>
      </c>
      <c r="L1414" s="19">
        <v>5082457335</v>
      </c>
      <c r="M1414" s="20">
        <v>5113407014</v>
      </c>
      <c r="N1414" s="44"/>
      <c r="O1414" s="9" t="s">
        <v>63</v>
      </c>
      <c r="P1414" s="23"/>
      <c r="Q1414" s="24" t="s">
        <v>31</v>
      </c>
      <c r="R1414" s="25">
        <v>44736</v>
      </c>
      <c r="S1414" s="28"/>
      <c r="T1414" s="35"/>
      <c r="U1414" s="35"/>
      <c r="V1414" s="29"/>
      <c r="W1414" s="35"/>
      <c r="X1414" s="29"/>
      <c r="Y1414" s="36"/>
      <c r="Z1414" s="29"/>
      <c r="AA1414" s="31">
        <f t="shared" si="1"/>
        <v>44736</v>
      </c>
      <c r="AB1414" s="32" t="str">
        <f t="shared" si="5"/>
        <v>junio</v>
      </c>
    </row>
    <row r="1415" spans="1:28" ht="12.75">
      <c r="A1415" s="9" t="s">
        <v>471</v>
      </c>
      <c r="B1415" s="10">
        <v>44736</v>
      </c>
      <c r="C1415" s="11">
        <v>44740</v>
      </c>
      <c r="D1415" s="42">
        <v>26</v>
      </c>
      <c r="E1415" s="13" t="s">
        <v>1895</v>
      </c>
      <c r="F1415" s="13">
        <v>3025457</v>
      </c>
      <c r="G1415" s="37">
        <v>7029.5</v>
      </c>
      <c r="H1415" s="40">
        <v>9000</v>
      </c>
      <c r="I1415" s="16">
        <f t="shared" si="212"/>
        <v>63265500</v>
      </c>
      <c r="J1415" s="17">
        <v>14</v>
      </c>
      <c r="K1415" s="34">
        <v>4502356796</v>
      </c>
      <c r="L1415" s="19">
        <v>5082457336</v>
      </c>
      <c r="M1415" s="20">
        <v>5113426806</v>
      </c>
      <c r="N1415" s="44"/>
      <c r="O1415" s="9" t="s">
        <v>63</v>
      </c>
      <c r="P1415" s="23" t="s">
        <v>1896</v>
      </c>
      <c r="Q1415" s="24" t="s">
        <v>31</v>
      </c>
      <c r="R1415" s="25">
        <v>44736</v>
      </c>
      <c r="S1415" s="28"/>
      <c r="T1415" s="35"/>
      <c r="U1415" s="35"/>
      <c r="V1415" s="29"/>
      <c r="W1415" s="35"/>
      <c r="X1415" s="29"/>
      <c r="Y1415" s="36"/>
      <c r="Z1415" s="29"/>
      <c r="AA1415" s="31">
        <f t="shared" si="1"/>
        <v>44736</v>
      </c>
      <c r="AB1415" s="32" t="str">
        <f t="shared" si="5"/>
        <v>junio</v>
      </c>
    </row>
    <row r="1416" spans="1:28" ht="12.75">
      <c r="A1416" s="9" t="s">
        <v>471</v>
      </c>
      <c r="B1416" s="10">
        <v>44736</v>
      </c>
      <c r="C1416" s="11">
        <v>44740</v>
      </c>
      <c r="D1416" s="42">
        <v>26</v>
      </c>
      <c r="E1416" s="13" t="s">
        <v>571</v>
      </c>
      <c r="F1416" s="13">
        <v>3025457</v>
      </c>
      <c r="G1416" s="37">
        <v>7029.5</v>
      </c>
      <c r="H1416" s="40">
        <v>50</v>
      </c>
      <c r="I1416" s="16">
        <f t="shared" si="212"/>
        <v>351475</v>
      </c>
      <c r="J1416" s="17">
        <v>0</v>
      </c>
      <c r="K1416" s="34">
        <v>4502356796</v>
      </c>
      <c r="L1416" s="19">
        <v>5082457336</v>
      </c>
      <c r="M1416" s="20">
        <v>5113429566</v>
      </c>
      <c r="N1416" s="44"/>
      <c r="O1416" s="117" t="s">
        <v>1897</v>
      </c>
      <c r="P1416" s="23" t="s">
        <v>1898</v>
      </c>
      <c r="Q1416" s="24" t="s">
        <v>31</v>
      </c>
      <c r="R1416" s="25">
        <v>44736</v>
      </c>
      <c r="S1416" s="28"/>
      <c r="T1416" s="35"/>
      <c r="U1416" s="35"/>
      <c r="V1416" s="29"/>
      <c r="W1416" s="35"/>
      <c r="X1416" s="29"/>
      <c r="Y1416" s="36"/>
      <c r="Z1416" s="29"/>
      <c r="AA1416" s="31">
        <f t="shared" si="1"/>
        <v>44736</v>
      </c>
      <c r="AB1416" s="32" t="str">
        <f t="shared" si="5"/>
        <v>junio</v>
      </c>
    </row>
    <row r="1417" spans="1:28" ht="12.75">
      <c r="A1417" s="9" t="s">
        <v>61</v>
      </c>
      <c r="B1417" s="10">
        <v>44741</v>
      </c>
      <c r="C1417" s="11"/>
      <c r="D1417" s="42">
        <v>26</v>
      </c>
      <c r="E1417" s="13" t="s">
        <v>1622</v>
      </c>
      <c r="F1417" s="13">
        <v>3025457</v>
      </c>
      <c r="G1417" s="14">
        <v>14465</v>
      </c>
      <c r="H1417" s="40">
        <v>8950</v>
      </c>
      <c r="I1417" s="16">
        <f t="shared" si="212"/>
        <v>129461750</v>
      </c>
      <c r="J1417" s="17">
        <v>30</v>
      </c>
      <c r="K1417" s="34">
        <v>4502356797</v>
      </c>
      <c r="L1417" s="19">
        <v>5082457337</v>
      </c>
      <c r="M1417" s="20">
        <v>5113417158</v>
      </c>
      <c r="N1417" s="23"/>
      <c r="O1417" s="9" t="s">
        <v>63</v>
      </c>
      <c r="P1417" s="23" t="s">
        <v>1899</v>
      </c>
      <c r="Q1417" s="24" t="s">
        <v>31</v>
      </c>
      <c r="R1417" s="25">
        <v>44736</v>
      </c>
      <c r="S1417" s="28"/>
      <c r="T1417" s="35"/>
      <c r="U1417" s="35"/>
      <c r="V1417" s="29"/>
      <c r="W1417" s="35"/>
      <c r="X1417" s="29"/>
      <c r="Y1417" s="36"/>
      <c r="Z1417" s="29"/>
      <c r="AA1417" s="31">
        <f t="shared" si="1"/>
        <v>44736</v>
      </c>
      <c r="AB1417" s="32" t="str">
        <f t="shared" si="5"/>
        <v>junio</v>
      </c>
    </row>
    <row r="1418" spans="1:28" ht="12.75">
      <c r="A1418" s="9" t="s">
        <v>61</v>
      </c>
      <c r="B1418" s="10">
        <v>44742</v>
      </c>
      <c r="C1418" s="11"/>
      <c r="D1418" s="42">
        <v>26</v>
      </c>
      <c r="E1418" s="13" t="s">
        <v>465</v>
      </c>
      <c r="F1418" s="13">
        <v>3025457</v>
      </c>
      <c r="G1418" s="14">
        <v>14465</v>
      </c>
      <c r="H1418" s="40">
        <f>8950-8831.47</f>
        <v>118.53000000000065</v>
      </c>
      <c r="I1418" s="16">
        <f>-H1418*G1418</f>
        <v>-1714536.4500000095</v>
      </c>
      <c r="J1418" s="17">
        <v>0</v>
      </c>
      <c r="K1418" s="34">
        <v>4502356797</v>
      </c>
      <c r="L1418" s="19">
        <v>5082457337</v>
      </c>
      <c r="M1418" s="20">
        <v>5113417160</v>
      </c>
      <c r="N1418" s="23"/>
      <c r="O1418" s="9"/>
      <c r="P1418" s="23"/>
      <c r="Q1418" s="24" t="s">
        <v>31</v>
      </c>
      <c r="R1418" s="25">
        <v>44736</v>
      </c>
      <c r="S1418" s="28"/>
      <c r="T1418" s="35"/>
      <c r="U1418" s="35"/>
      <c r="V1418" s="29"/>
      <c r="W1418" s="35"/>
      <c r="X1418" s="29"/>
      <c r="Y1418" s="36"/>
      <c r="Z1418" s="29"/>
      <c r="AA1418" s="31">
        <f t="shared" si="1"/>
        <v>44736</v>
      </c>
      <c r="AB1418" s="32" t="str">
        <f t="shared" si="5"/>
        <v>junio</v>
      </c>
    </row>
    <row r="1419" spans="1:28" ht="12.75">
      <c r="A1419" s="9" t="s">
        <v>443</v>
      </c>
      <c r="B1419" s="10">
        <v>44737</v>
      </c>
      <c r="C1419" s="11"/>
      <c r="D1419" s="42">
        <v>26</v>
      </c>
      <c r="E1419" s="13" t="s">
        <v>1900</v>
      </c>
      <c r="F1419" s="13">
        <v>3025457</v>
      </c>
      <c r="G1419" s="14">
        <v>15049</v>
      </c>
      <c r="H1419" s="15">
        <v>8800</v>
      </c>
      <c r="I1419" s="16">
        <f t="shared" ref="I1419:I1420" si="213">H1419*G1419</f>
        <v>132431200</v>
      </c>
      <c r="J1419" s="17">
        <v>28</v>
      </c>
      <c r="K1419" s="34">
        <v>4502358731</v>
      </c>
      <c r="L1419" s="19">
        <v>5082456058</v>
      </c>
      <c r="M1419" s="20">
        <v>5113415003</v>
      </c>
      <c r="N1419" s="9" t="s">
        <v>63</v>
      </c>
      <c r="O1419" s="22" t="s">
        <v>1901</v>
      </c>
      <c r="P1419" s="23"/>
      <c r="Q1419" s="24" t="s">
        <v>31</v>
      </c>
      <c r="R1419" s="25">
        <v>44737</v>
      </c>
      <c r="S1419" s="28">
        <v>4902294548</v>
      </c>
      <c r="T1419" s="27">
        <f>1638500*2</f>
        <v>3277000</v>
      </c>
      <c r="U1419" s="28" t="s">
        <v>1902</v>
      </c>
      <c r="V1419" s="29">
        <v>5113406734</v>
      </c>
      <c r="W1419" s="35"/>
      <c r="X1419" s="29"/>
      <c r="Y1419" s="36"/>
      <c r="Z1419" s="29"/>
      <c r="AA1419" s="31">
        <f t="shared" si="1"/>
        <v>44737</v>
      </c>
      <c r="AB1419" s="32" t="str">
        <f t="shared" si="5"/>
        <v>junio</v>
      </c>
    </row>
    <row r="1420" spans="1:28" ht="12.75">
      <c r="A1420" s="9" t="s">
        <v>58</v>
      </c>
      <c r="B1420" s="10">
        <v>44741</v>
      </c>
      <c r="C1420" s="11">
        <v>44741</v>
      </c>
      <c r="D1420" s="42">
        <v>26</v>
      </c>
      <c r="E1420" s="13" t="s">
        <v>1903</v>
      </c>
      <c r="F1420" s="13">
        <v>3025457</v>
      </c>
      <c r="G1420" s="14">
        <v>21150</v>
      </c>
      <c r="H1420" s="40">
        <v>9425</v>
      </c>
      <c r="I1420" s="16">
        <f t="shared" si="213"/>
        <v>199338750</v>
      </c>
      <c r="J1420" s="17">
        <v>45</v>
      </c>
      <c r="K1420" s="34">
        <v>4502356799</v>
      </c>
      <c r="L1420" s="19">
        <v>5082471483</v>
      </c>
      <c r="M1420" s="20">
        <v>5113406966</v>
      </c>
      <c r="N1420" s="23"/>
      <c r="O1420" s="9" t="s">
        <v>37</v>
      </c>
      <c r="P1420" s="23"/>
      <c r="Q1420" s="24" t="s">
        <v>31</v>
      </c>
      <c r="R1420" s="25">
        <v>44737</v>
      </c>
      <c r="S1420" s="28"/>
      <c r="T1420" s="35"/>
      <c r="U1420" s="35"/>
      <c r="V1420" s="29"/>
      <c r="W1420" s="35"/>
      <c r="X1420" s="29"/>
      <c r="Y1420" s="36"/>
      <c r="Z1420" s="29"/>
      <c r="AA1420" s="31">
        <f t="shared" si="1"/>
        <v>44737</v>
      </c>
      <c r="AB1420" s="32" t="str">
        <f t="shared" si="5"/>
        <v>junio</v>
      </c>
    </row>
    <row r="1421" spans="1:28" ht="12.75">
      <c r="A1421" s="9" t="s">
        <v>58</v>
      </c>
      <c r="B1421" s="10">
        <v>44741</v>
      </c>
      <c r="C1421" s="11">
        <v>44741</v>
      </c>
      <c r="D1421" s="42">
        <v>26</v>
      </c>
      <c r="E1421" s="13" t="s">
        <v>1904</v>
      </c>
      <c r="F1421" s="13">
        <v>3025457</v>
      </c>
      <c r="G1421" s="14">
        <v>21150</v>
      </c>
      <c r="H1421" s="40">
        <f>9425-9371.27</f>
        <v>53.729999999999563</v>
      </c>
      <c r="I1421" s="16">
        <f>-H1421*G1421</f>
        <v>-1136389.4999999907</v>
      </c>
      <c r="J1421" s="17">
        <v>0</v>
      </c>
      <c r="K1421" s="34">
        <v>4502356799</v>
      </c>
      <c r="L1421" s="19">
        <v>5082471483</v>
      </c>
      <c r="M1421" s="20">
        <v>5113407009</v>
      </c>
      <c r="N1421" s="23"/>
      <c r="O1421" s="9"/>
      <c r="P1421" s="23"/>
      <c r="Q1421" s="24" t="s">
        <v>31</v>
      </c>
      <c r="R1421" s="25">
        <v>44737</v>
      </c>
      <c r="S1421" s="28"/>
      <c r="T1421" s="35"/>
      <c r="U1421" s="35"/>
      <c r="V1421" s="29"/>
      <c r="W1421" s="35"/>
      <c r="X1421" s="29"/>
      <c r="Y1421" s="36"/>
      <c r="Z1421" s="29"/>
      <c r="AA1421" s="31">
        <f t="shared" si="1"/>
        <v>44737</v>
      </c>
      <c r="AB1421" s="32" t="str">
        <f t="shared" si="5"/>
        <v>junio</v>
      </c>
    </row>
    <row r="1422" spans="1:28" ht="12.75">
      <c r="A1422" s="22" t="s">
        <v>404</v>
      </c>
      <c r="B1422" s="10">
        <v>44740</v>
      </c>
      <c r="C1422" s="11">
        <v>44740</v>
      </c>
      <c r="D1422" s="42">
        <v>26</v>
      </c>
      <c r="E1422" s="13" t="s">
        <v>1905</v>
      </c>
      <c r="F1422" s="13">
        <v>3025459</v>
      </c>
      <c r="G1422" s="37">
        <v>7180.5</v>
      </c>
      <c r="H1422" s="40">
        <v>9400</v>
      </c>
      <c r="I1422" s="16">
        <f>H1422*G1422</f>
        <v>67496700</v>
      </c>
      <c r="J1422" s="17">
        <v>15</v>
      </c>
      <c r="K1422" s="34">
        <v>4502356800</v>
      </c>
      <c r="L1422" s="19">
        <v>5082472892</v>
      </c>
      <c r="M1422" s="20">
        <v>5113405079</v>
      </c>
      <c r="N1422" s="23"/>
      <c r="O1422" s="44" t="s">
        <v>37</v>
      </c>
      <c r="P1422" s="23"/>
      <c r="Q1422" s="24" t="s">
        <v>31</v>
      </c>
      <c r="R1422" s="25">
        <v>44737</v>
      </c>
      <c r="S1422" s="28"/>
      <c r="T1422" s="35"/>
      <c r="U1422" s="35"/>
      <c r="V1422" s="29"/>
      <c r="W1422" s="35"/>
      <c r="X1422" s="29"/>
      <c r="Y1422" s="36"/>
      <c r="Z1422" s="29"/>
      <c r="AA1422" s="31">
        <f t="shared" si="1"/>
        <v>44737</v>
      </c>
      <c r="AB1422" s="32" t="str">
        <f t="shared" si="5"/>
        <v>junio</v>
      </c>
    </row>
    <row r="1423" spans="1:28" ht="12.75">
      <c r="A1423" s="22" t="s">
        <v>404</v>
      </c>
      <c r="B1423" s="10">
        <v>44740</v>
      </c>
      <c r="C1423" s="11">
        <v>44740</v>
      </c>
      <c r="D1423" s="42">
        <v>26</v>
      </c>
      <c r="E1423" s="13" t="s">
        <v>60</v>
      </c>
      <c r="F1423" s="13">
        <v>3025459</v>
      </c>
      <c r="G1423" s="37">
        <v>7180.5</v>
      </c>
      <c r="H1423" s="40">
        <v>100</v>
      </c>
      <c r="I1423" s="16">
        <f>-H1423*G1423</f>
        <v>-718050</v>
      </c>
      <c r="J1423" s="17">
        <v>0</v>
      </c>
      <c r="K1423" s="34">
        <v>4502356800</v>
      </c>
      <c r="L1423" s="19">
        <v>5082472892</v>
      </c>
      <c r="M1423" s="20">
        <v>5113405083</v>
      </c>
      <c r="N1423" s="23"/>
      <c r="O1423" s="9"/>
      <c r="P1423" s="23"/>
      <c r="Q1423" s="24" t="s">
        <v>31</v>
      </c>
      <c r="R1423" s="25">
        <v>44737</v>
      </c>
      <c r="S1423" s="28"/>
      <c r="T1423" s="35"/>
      <c r="U1423" s="35"/>
      <c r="V1423" s="29"/>
      <c r="W1423" s="35"/>
      <c r="X1423" s="29"/>
      <c r="Y1423" s="36"/>
      <c r="Z1423" s="29"/>
      <c r="AA1423" s="31">
        <f t="shared" si="1"/>
        <v>44737</v>
      </c>
      <c r="AB1423" s="32" t="str">
        <f t="shared" si="5"/>
        <v>junio</v>
      </c>
    </row>
    <row r="1424" spans="1:28" ht="12.75">
      <c r="A1424" s="9" t="s">
        <v>39</v>
      </c>
      <c r="B1424" s="10">
        <v>44737</v>
      </c>
      <c r="C1424" s="11">
        <v>44740</v>
      </c>
      <c r="D1424" s="42">
        <v>26</v>
      </c>
      <c r="E1424" s="13" t="s">
        <v>1906</v>
      </c>
      <c r="F1424" s="13">
        <v>3025459</v>
      </c>
      <c r="G1424" s="37">
        <v>6487.5</v>
      </c>
      <c r="H1424" s="40">
        <v>9400</v>
      </c>
      <c r="I1424" s="16">
        <f>H1424*G1424</f>
        <v>60982500</v>
      </c>
      <c r="J1424" s="17">
        <v>15</v>
      </c>
      <c r="K1424" s="34">
        <v>4502356801</v>
      </c>
      <c r="L1424" s="19">
        <v>5082472893</v>
      </c>
      <c r="M1424" s="20">
        <v>5113405020</v>
      </c>
      <c r="N1424" s="23"/>
      <c r="O1424" s="23" t="s">
        <v>37</v>
      </c>
      <c r="P1424" s="23"/>
      <c r="Q1424" s="24" t="s">
        <v>31</v>
      </c>
      <c r="R1424" s="25">
        <v>44737</v>
      </c>
      <c r="S1424" s="28"/>
      <c r="T1424" s="35"/>
      <c r="U1424" s="35"/>
      <c r="V1424" s="29"/>
      <c r="W1424" s="35"/>
      <c r="X1424" s="29"/>
      <c r="Y1424" s="36"/>
      <c r="Z1424" s="29"/>
      <c r="AA1424" s="31">
        <f t="shared" si="1"/>
        <v>44737</v>
      </c>
      <c r="AB1424" s="32" t="str">
        <f t="shared" si="5"/>
        <v>junio</v>
      </c>
    </row>
    <row r="1425" spans="1:28" ht="12.75">
      <c r="A1425" s="9" t="s">
        <v>39</v>
      </c>
      <c r="B1425" s="10">
        <v>44740</v>
      </c>
      <c r="C1425" s="11">
        <v>44740</v>
      </c>
      <c r="D1425" s="42">
        <v>26</v>
      </c>
      <c r="E1425" s="13" t="s">
        <v>605</v>
      </c>
      <c r="F1425" s="13">
        <v>3025459</v>
      </c>
      <c r="G1425" s="37">
        <v>6487.5</v>
      </c>
      <c r="H1425" s="40">
        <f>9400-9388.47</f>
        <v>11.530000000000655</v>
      </c>
      <c r="I1425" s="16">
        <f>-H1425*G1425</f>
        <v>-74800.875000004249</v>
      </c>
      <c r="J1425" s="17">
        <v>0</v>
      </c>
      <c r="K1425" s="34">
        <v>4502356801</v>
      </c>
      <c r="L1425" s="19">
        <v>5082472893</v>
      </c>
      <c r="M1425" s="20">
        <v>5113405077</v>
      </c>
      <c r="N1425" s="23"/>
      <c r="O1425" s="9"/>
      <c r="P1425" s="23"/>
      <c r="Q1425" s="24" t="s">
        <v>31</v>
      </c>
      <c r="R1425" s="25">
        <v>44737</v>
      </c>
      <c r="S1425" s="28"/>
      <c r="T1425" s="35"/>
      <c r="U1425" s="35"/>
      <c r="V1425" s="29"/>
      <c r="W1425" s="35"/>
      <c r="X1425" s="29"/>
      <c r="Y1425" s="36"/>
      <c r="Z1425" s="29"/>
      <c r="AA1425" s="31">
        <f t="shared" si="1"/>
        <v>44737</v>
      </c>
      <c r="AB1425" s="32" t="str">
        <f t="shared" si="5"/>
        <v>junio</v>
      </c>
    </row>
    <row r="1426" spans="1:28" ht="12.75">
      <c r="A1426" s="9" t="s">
        <v>58</v>
      </c>
      <c r="B1426" s="10">
        <v>44741</v>
      </c>
      <c r="C1426" s="11">
        <v>44741</v>
      </c>
      <c r="D1426" s="42">
        <v>26</v>
      </c>
      <c r="E1426" s="13" t="s">
        <v>1907</v>
      </c>
      <c r="F1426" s="13">
        <v>3025459</v>
      </c>
      <c r="G1426" s="14">
        <v>15346</v>
      </c>
      <c r="H1426" s="40">
        <v>9425</v>
      </c>
      <c r="I1426" s="16">
        <f>H1426*G1426</f>
        <v>144636050</v>
      </c>
      <c r="J1426" s="17">
        <v>30</v>
      </c>
      <c r="K1426" s="34">
        <v>4502356802</v>
      </c>
      <c r="L1426" s="19">
        <v>5082471485</v>
      </c>
      <c r="M1426" s="20">
        <v>5113407010</v>
      </c>
      <c r="N1426" s="23"/>
      <c r="O1426" s="9" t="s">
        <v>37</v>
      </c>
      <c r="P1426" s="23"/>
      <c r="Q1426" s="24" t="s">
        <v>31</v>
      </c>
      <c r="R1426" s="25">
        <v>44737</v>
      </c>
      <c r="S1426" s="28"/>
      <c r="T1426" s="35"/>
      <c r="U1426" s="35"/>
      <c r="V1426" s="29"/>
      <c r="W1426" s="35"/>
      <c r="X1426" s="29"/>
      <c r="Y1426" s="36"/>
      <c r="Z1426" s="29"/>
      <c r="AA1426" s="31">
        <f t="shared" si="1"/>
        <v>44737</v>
      </c>
      <c r="AB1426" s="32" t="str">
        <f t="shared" si="5"/>
        <v>junio</v>
      </c>
    </row>
    <row r="1427" spans="1:28" ht="12.75">
      <c r="A1427" s="9" t="s">
        <v>58</v>
      </c>
      <c r="B1427" s="10">
        <v>44741</v>
      </c>
      <c r="C1427" s="11">
        <v>44741</v>
      </c>
      <c r="D1427" s="42">
        <v>26</v>
      </c>
      <c r="E1427" s="13" t="s">
        <v>1908</v>
      </c>
      <c r="F1427" s="13">
        <v>3025459</v>
      </c>
      <c r="G1427" s="14">
        <v>15346</v>
      </c>
      <c r="H1427" s="40">
        <f>9425-9350.66</f>
        <v>74.340000000000146</v>
      </c>
      <c r="I1427" s="16">
        <f>-H1427*G1427</f>
        <v>-1140821.6400000022</v>
      </c>
      <c r="J1427" s="17">
        <v>0</v>
      </c>
      <c r="K1427" s="34">
        <v>4502356802</v>
      </c>
      <c r="L1427" s="19">
        <v>5082471485</v>
      </c>
      <c r="M1427" s="20">
        <v>5113407012</v>
      </c>
      <c r="N1427" s="23"/>
      <c r="O1427" s="9"/>
      <c r="P1427" s="23"/>
      <c r="Q1427" s="24" t="s">
        <v>31</v>
      </c>
      <c r="R1427" s="25">
        <v>44737</v>
      </c>
      <c r="S1427" s="28"/>
      <c r="T1427" s="35"/>
      <c r="U1427" s="35"/>
      <c r="V1427" s="29"/>
      <c r="W1427" s="35"/>
      <c r="X1427" s="29"/>
      <c r="Y1427" s="36"/>
      <c r="Z1427" s="29"/>
      <c r="AA1427" s="31">
        <f t="shared" si="1"/>
        <v>44737</v>
      </c>
      <c r="AB1427" s="32" t="str">
        <f t="shared" si="5"/>
        <v>junio</v>
      </c>
    </row>
    <row r="1428" spans="1:28" ht="12.75">
      <c r="A1428" s="9" t="s">
        <v>58</v>
      </c>
      <c r="B1428" s="10">
        <v>44741</v>
      </c>
      <c r="C1428" s="11">
        <v>44741</v>
      </c>
      <c r="D1428" s="42">
        <v>26</v>
      </c>
      <c r="E1428" s="13" t="s">
        <v>1909</v>
      </c>
      <c r="F1428" s="13">
        <v>3025459</v>
      </c>
      <c r="G1428" s="37">
        <v>6974.5</v>
      </c>
      <c r="H1428" s="40">
        <v>9425</v>
      </c>
      <c r="I1428" s="16">
        <f t="shared" ref="I1428:I1430" si="214">H1428*G1428</f>
        <v>65734662.5</v>
      </c>
      <c r="J1428" s="17">
        <v>15</v>
      </c>
      <c r="K1428" s="34">
        <v>4502356802</v>
      </c>
      <c r="L1428" s="19">
        <v>5082471485</v>
      </c>
      <c r="M1428" s="20">
        <v>5113407013</v>
      </c>
      <c r="N1428" s="23"/>
      <c r="O1428" s="9" t="s">
        <v>37</v>
      </c>
      <c r="P1428" s="23"/>
      <c r="Q1428" s="24" t="s">
        <v>31</v>
      </c>
      <c r="R1428" s="25">
        <v>44737</v>
      </c>
      <c r="S1428" s="28"/>
      <c r="T1428" s="35"/>
      <c r="U1428" s="35"/>
      <c r="V1428" s="29"/>
      <c r="W1428" s="35"/>
      <c r="X1428" s="29"/>
      <c r="Y1428" s="36"/>
      <c r="Z1428" s="29"/>
      <c r="AA1428" s="31">
        <f t="shared" si="1"/>
        <v>44737</v>
      </c>
      <c r="AB1428" s="32" t="str">
        <f t="shared" si="5"/>
        <v>junio</v>
      </c>
    </row>
    <row r="1429" spans="1:28" ht="12.75">
      <c r="A1429" s="9" t="s">
        <v>28</v>
      </c>
      <c r="B1429" s="10">
        <v>44741</v>
      </c>
      <c r="C1429" s="11">
        <v>44741</v>
      </c>
      <c r="D1429" s="42">
        <v>26</v>
      </c>
      <c r="E1429" s="13" t="s">
        <v>1910</v>
      </c>
      <c r="F1429" s="13">
        <v>3025457</v>
      </c>
      <c r="G1429" s="14">
        <v>13612</v>
      </c>
      <c r="H1429" s="15">
        <v>8100</v>
      </c>
      <c r="I1429" s="16">
        <f t="shared" si="214"/>
        <v>110257200</v>
      </c>
      <c r="J1429" s="17">
        <v>28</v>
      </c>
      <c r="K1429" s="34">
        <v>4502359900</v>
      </c>
      <c r="L1429" s="19">
        <v>5082480491</v>
      </c>
      <c r="M1429" s="20">
        <v>5113404623</v>
      </c>
      <c r="N1429" s="23" t="s">
        <v>63</v>
      </c>
      <c r="O1429" s="22" t="s">
        <v>1217</v>
      </c>
      <c r="P1429" s="23" t="s">
        <v>1911</v>
      </c>
      <c r="Q1429" s="24" t="s">
        <v>31</v>
      </c>
      <c r="R1429" s="25">
        <v>44738</v>
      </c>
      <c r="S1429" s="28">
        <v>4902294666</v>
      </c>
      <c r="T1429" s="35">
        <f>2982600*2</f>
        <v>5965200</v>
      </c>
      <c r="U1429" s="28" t="s">
        <v>1912</v>
      </c>
      <c r="V1429" s="29">
        <v>5113406693</v>
      </c>
      <c r="W1429" s="35"/>
      <c r="X1429" s="29"/>
      <c r="Y1429" s="36"/>
      <c r="Z1429" s="29"/>
      <c r="AA1429" s="31">
        <f t="shared" si="1"/>
        <v>44738</v>
      </c>
      <c r="AB1429" s="32" t="str">
        <f t="shared" si="5"/>
        <v>junio</v>
      </c>
    </row>
    <row r="1430" spans="1:28" ht="12.75">
      <c r="A1430" s="9" t="s">
        <v>642</v>
      </c>
      <c r="B1430" s="10">
        <v>44738</v>
      </c>
      <c r="C1430" s="11"/>
      <c r="D1430" s="42">
        <v>26</v>
      </c>
      <c r="E1430" s="13" t="s">
        <v>1913</v>
      </c>
      <c r="F1430" s="13">
        <v>3025457</v>
      </c>
      <c r="G1430" s="37">
        <v>13900.5</v>
      </c>
      <c r="H1430" s="40">
        <v>9050</v>
      </c>
      <c r="I1430" s="16">
        <f t="shared" si="214"/>
        <v>125799525</v>
      </c>
      <c r="J1430" s="17">
        <v>30</v>
      </c>
      <c r="K1430" s="34">
        <v>4502356803</v>
      </c>
      <c r="L1430" s="19">
        <v>5082482112</v>
      </c>
      <c r="M1430" s="20">
        <v>5113431492</v>
      </c>
      <c r="N1430" s="23"/>
      <c r="O1430" s="9" t="s">
        <v>37</v>
      </c>
      <c r="P1430" s="23"/>
      <c r="Q1430" s="24" t="s">
        <v>31</v>
      </c>
      <c r="R1430" s="25">
        <v>44738</v>
      </c>
      <c r="S1430" s="28"/>
      <c r="T1430" s="35"/>
      <c r="U1430" s="35"/>
      <c r="V1430" s="29"/>
      <c r="W1430" s="35"/>
      <c r="X1430" s="29"/>
      <c r="Y1430" s="36"/>
      <c r="Z1430" s="29"/>
      <c r="AA1430" s="31">
        <f t="shared" si="1"/>
        <v>44738</v>
      </c>
      <c r="AB1430" s="32" t="str">
        <f t="shared" si="5"/>
        <v>junio</v>
      </c>
    </row>
    <row r="1431" spans="1:28" ht="12.75">
      <c r="A1431" s="9" t="s">
        <v>642</v>
      </c>
      <c r="B1431" s="10">
        <v>44754</v>
      </c>
      <c r="C1431" s="11"/>
      <c r="D1431" s="42">
        <v>26</v>
      </c>
      <c r="E1431" s="13" t="s">
        <v>1914</v>
      </c>
      <c r="F1431" s="13">
        <v>3025457</v>
      </c>
      <c r="G1431" s="37">
        <v>13900.5</v>
      </c>
      <c r="H1431" s="40">
        <v>50</v>
      </c>
      <c r="I1431" s="16">
        <f>-H1431*G1431</f>
        <v>-695025</v>
      </c>
      <c r="J1431" s="17">
        <v>0</v>
      </c>
      <c r="K1431" s="34">
        <v>4502356803</v>
      </c>
      <c r="L1431" s="19">
        <v>5082482112</v>
      </c>
      <c r="M1431" s="20">
        <v>5113431497</v>
      </c>
      <c r="N1431" s="23"/>
      <c r="O1431" s="9"/>
      <c r="P1431" s="23" t="s">
        <v>1915</v>
      </c>
      <c r="Q1431" s="24" t="s">
        <v>31</v>
      </c>
      <c r="R1431" s="25">
        <v>44738</v>
      </c>
      <c r="S1431" s="28"/>
      <c r="T1431" s="35"/>
      <c r="U1431" s="35"/>
      <c r="V1431" s="29"/>
      <c r="W1431" s="35"/>
      <c r="X1431" s="29"/>
      <c r="Y1431" s="36"/>
      <c r="Z1431" s="29"/>
      <c r="AA1431" s="31">
        <f t="shared" si="1"/>
        <v>44738</v>
      </c>
      <c r="AB1431" s="32" t="str">
        <f t="shared" si="5"/>
        <v>junio</v>
      </c>
    </row>
    <row r="1432" spans="1:28" ht="12.75">
      <c r="A1432" s="9" t="s">
        <v>43</v>
      </c>
      <c r="B1432" s="10">
        <v>44799</v>
      </c>
      <c r="C1432" s="11">
        <v>44740</v>
      </c>
      <c r="D1432" s="42">
        <v>26</v>
      </c>
      <c r="E1432" s="13" t="s">
        <v>1916</v>
      </c>
      <c r="F1432" s="13">
        <v>3025457</v>
      </c>
      <c r="G1432" s="37">
        <v>14612.5</v>
      </c>
      <c r="H1432" s="40">
        <v>9100</v>
      </c>
      <c r="I1432" s="16">
        <f t="shared" ref="I1432:I1438" si="215">H1432*G1432</f>
        <v>132973750</v>
      </c>
      <c r="J1432" s="17">
        <v>28</v>
      </c>
      <c r="K1432" s="34">
        <v>4502356804</v>
      </c>
      <c r="L1432" s="19">
        <v>5082475687</v>
      </c>
      <c r="M1432" s="20">
        <v>5113403148</v>
      </c>
      <c r="N1432" s="23"/>
      <c r="O1432" s="47" t="s">
        <v>37</v>
      </c>
      <c r="P1432" s="23"/>
      <c r="Q1432" s="24" t="s">
        <v>31</v>
      </c>
      <c r="R1432" s="25">
        <v>44738</v>
      </c>
      <c r="S1432" s="28"/>
      <c r="T1432" s="35"/>
      <c r="U1432" s="35"/>
      <c r="V1432" s="29"/>
      <c r="W1432" s="35"/>
      <c r="X1432" s="29"/>
      <c r="Y1432" s="36"/>
      <c r="Z1432" s="29"/>
      <c r="AA1432" s="31">
        <f t="shared" si="1"/>
        <v>44738</v>
      </c>
      <c r="AB1432" s="32" t="str">
        <f t="shared" si="5"/>
        <v>junio</v>
      </c>
    </row>
    <row r="1433" spans="1:28" ht="12.75">
      <c r="A1433" s="9" t="s">
        <v>43</v>
      </c>
      <c r="B1433" s="10">
        <v>44799</v>
      </c>
      <c r="C1433" s="11">
        <v>44740</v>
      </c>
      <c r="D1433" s="42">
        <v>26</v>
      </c>
      <c r="E1433" s="13" t="s">
        <v>1917</v>
      </c>
      <c r="F1433" s="13">
        <v>3025457</v>
      </c>
      <c r="G1433" s="37">
        <v>14612.5</v>
      </c>
      <c r="H1433" s="40">
        <v>50</v>
      </c>
      <c r="I1433" s="16">
        <f t="shared" si="215"/>
        <v>730625</v>
      </c>
      <c r="J1433" s="17">
        <v>0</v>
      </c>
      <c r="K1433" s="34">
        <v>4502356804</v>
      </c>
      <c r="L1433" s="19">
        <v>5082475687</v>
      </c>
      <c r="M1433" s="20">
        <v>5113403150</v>
      </c>
      <c r="N1433" s="23"/>
      <c r="O1433" s="9"/>
      <c r="P1433" s="23"/>
      <c r="Q1433" s="24" t="s">
        <v>31</v>
      </c>
      <c r="R1433" s="25">
        <v>44738</v>
      </c>
      <c r="S1433" s="28"/>
      <c r="T1433" s="35"/>
      <c r="U1433" s="35"/>
      <c r="V1433" s="29"/>
      <c r="W1433" s="35"/>
      <c r="X1433" s="29"/>
      <c r="Y1433" s="36"/>
      <c r="Z1433" s="29"/>
      <c r="AA1433" s="31">
        <f t="shared" si="1"/>
        <v>44738</v>
      </c>
      <c r="AB1433" s="32" t="str">
        <f t="shared" si="5"/>
        <v>junio</v>
      </c>
    </row>
    <row r="1434" spans="1:28" ht="12.75">
      <c r="A1434" s="9" t="s">
        <v>80</v>
      </c>
      <c r="B1434" s="10">
        <v>44738</v>
      </c>
      <c r="C1434" s="11">
        <v>44741</v>
      </c>
      <c r="D1434" s="42">
        <v>26</v>
      </c>
      <c r="E1434" s="13" t="s">
        <v>1918</v>
      </c>
      <c r="F1434" s="13">
        <v>3025459</v>
      </c>
      <c r="G1434" s="14">
        <v>33101</v>
      </c>
      <c r="H1434" s="15">
        <v>8800</v>
      </c>
      <c r="I1434" s="16">
        <f t="shared" si="215"/>
        <v>291288800</v>
      </c>
      <c r="J1434" s="17">
        <v>70</v>
      </c>
      <c r="K1434" s="34">
        <v>4502360022</v>
      </c>
      <c r="L1434" s="19">
        <v>5082483921</v>
      </c>
      <c r="M1434" s="20">
        <v>5113410140</v>
      </c>
      <c r="N1434" s="23" t="s">
        <v>37</v>
      </c>
      <c r="O1434" s="22" t="s">
        <v>1919</v>
      </c>
      <c r="P1434" s="23"/>
      <c r="Q1434" s="24" t="s">
        <v>31</v>
      </c>
      <c r="R1434" s="25">
        <v>44738</v>
      </c>
      <c r="S1434" s="28">
        <v>4902294672</v>
      </c>
      <c r="T1434" s="28" t="s">
        <v>1920</v>
      </c>
      <c r="U1434" s="28" t="s">
        <v>1921</v>
      </c>
      <c r="V1434" s="29">
        <v>5113406691</v>
      </c>
      <c r="W1434" s="28" t="s">
        <v>1922</v>
      </c>
      <c r="X1434" s="29">
        <v>5113411401</v>
      </c>
      <c r="Y1434" s="36"/>
      <c r="Z1434" s="29"/>
      <c r="AA1434" s="31">
        <f t="shared" si="1"/>
        <v>44738</v>
      </c>
      <c r="AB1434" s="32" t="str">
        <f t="shared" si="5"/>
        <v>junio</v>
      </c>
    </row>
    <row r="1435" spans="1:28" ht="12.75">
      <c r="A1435" s="9" t="s">
        <v>1923</v>
      </c>
      <c r="B1435" s="10">
        <v>44739</v>
      </c>
      <c r="C1435" s="11">
        <v>44743</v>
      </c>
      <c r="D1435" s="42">
        <v>26</v>
      </c>
      <c r="E1435" s="13" t="s">
        <v>1924</v>
      </c>
      <c r="F1435" s="13">
        <v>3025457</v>
      </c>
      <c r="G1435" s="37">
        <v>13663.5</v>
      </c>
      <c r="H1435" s="40">
        <v>9050</v>
      </c>
      <c r="I1435" s="16">
        <f t="shared" si="215"/>
        <v>123654675</v>
      </c>
      <c r="J1435" s="17">
        <v>30</v>
      </c>
      <c r="K1435" s="34">
        <v>4502356805</v>
      </c>
      <c r="L1435" s="19">
        <v>5082481395</v>
      </c>
      <c r="M1435" s="20">
        <v>5113417163</v>
      </c>
      <c r="N1435" s="23"/>
      <c r="O1435" s="9" t="s">
        <v>63</v>
      </c>
      <c r="P1435" s="23"/>
      <c r="Q1435" s="24" t="s">
        <v>31</v>
      </c>
      <c r="R1435" s="25">
        <v>44739</v>
      </c>
      <c r="S1435" s="28"/>
      <c r="T1435" s="35"/>
      <c r="U1435" s="35"/>
      <c r="V1435" s="29"/>
      <c r="W1435" s="35"/>
      <c r="X1435" s="29"/>
      <c r="Y1435" s="36"/>
      <c r="Z1435" s="29"/>
      <c r="AA1435" s="31">
        <f t="shared" si="1"/>
        <v>44739</v>
      </c>
      <c r="AB1435" s="32" t="str">
        <f t="shared" si="5"/>
        <v>junio</v>
      </c>
    </row>
    <row r="1436" spans="1:28" ht="12.75">
      <c r="A1436" s="9" t="s">
        <v>96</v>
      </c>
      <c r="B1436" s="10">
        <v>44748</v>
      </c>
      <c r="C1436" s="11">
        <v>44748</v>
      </c>
      <c r="D1436" s="42">
        <v>26</v>
      </c>
      <c r="E1436" s="13" t="s">
        <v>1925</v>
      </c>
      <c r="F1436" s="13">
        <v>3025457</v>
      </c>
      <c r="G1436" s="14">
        <v>6387</v>
      </c>
      <c r="H1436" s="40">
        <v>9050</v>
      </c>
      <c r="I1436" s="16">
        <f t="shared" si="215"/>
        <v>57802350</v>
      </c>
      <c r="J1436" s="17">
        <v>14</v>
      </c>
      <c r="K1436" s="34">
        <v>4502356806</v>
      </c>
      <c r="L1436" s="19">
        <v>5082481397</v>
      </c>
      <c r="M1436" s="20">
        <v>5113419802</v>
      </c>
      <c r="N1436" s="23"/>
      <c r="O1436" s="9"/>
      <c r="P1436" s="23" t="s">
        <v>1883</v>
      </c>
      <c r="Q1436" s="24" t="s">
        <v>31</v>
      </c>
      <c r="R1436" s="25">
        <v>44739</v>
      </c>
      <c r="S1436" s="28"/>
      <c r="T1436" s="35"/>
      <c r="U1436" s="35"/>
      <c r="V1436" s="29"/>
      <c r="W1436" s="35"/>
      <c r="X1436" s="29"/>
      <c r="Y1436" s="36"/>
      <c r="Z1436" s="29"/>
      <c r="AA1436" s="31">
        <f t="shared" si="1"/>
        <v>44739</v>
      </c>
      <c r="AB1436" s="32" t="str">
        <f t="shared" si="5"/>
        <v>junio</v>
      </c>
    </row>
    <row r="1437" spans="1:28" ht="12.75">
      <c r="A1437" s="9" t="s">
        <v>96</v>
      </c>
      <c r="B1437" s="10">
        <v>44748</v>
      </c>
      <c r="C1437" s="11">
        <v>44748</v>
      </c>
      <c r="D1437" s="42">
        <v>26</v>
      </c>
      <c r="E1437" s="13" t="s">
        <v>1926</v>
      </c>
      <c r="F1437" s="13">
        <v>3025457</v>
      </c>
      <c r="G1437" s="14">
        <v>6387</v>
      </c>
      <c r="H1437" s="40">
        <v>50.19</v>
      </c>
      <c r="I1437" s="16">
        <f t="shared" si="215"/>
        <v>320563.52999999997</v>
      </c>
      <c r="J1437" s="17">
        <v>0</v>
      </c>
      <c r="K1437" s="34">
        <v>4502356806</v>
      </c>
      <c r="L1437" s="19">
        <v>5082481397</v>
      </c>
      <c r="M1437" s="20">
        <v>5113419828</v>
      </c>
      <c r="N1437" s="23"/>
      <c r="O1437" s="9"/>
      <c r="P1437" s="23"/>
      <c r="Q1437" s="24" t="s">
        <v>31</v>
      </c>
      <c r="R1437" s="25">
        <v>44739</v>
      </c>
      <c r="S1437" s="28"/>
      <c r="T1437" s="35"/>
      <c r="U1437" s="35"/>
      <c r="V1437" s="29"/>
      <c r="W1437" s="35"/>
      <c r="X1437" s="29"/>
      <c r="Y1437" s="36"/>
      <c r="Z1437" s="29"/>
      <c r="AA1437" s="31">
        <f t="shared" si="1"/>
        <v>44739</v>
      </c>
      <c r="AB1437" s="32" t="str">
        <f t="shared" si="5"/>
        <v>junio</v>
      </c>
    </row>
    <row r="1438" spans="1:28" ht="12.75">
      <c r="A1438" s="9" t="s">
        <v>1141</v>
      </c>
      <c r="B1438" s="10">
        <v>44742</v>
      </c>
      <c r="C1438" s="11">
        <v>44743</v>
      </c>
      <c r="D1438" s="42">
        <v>26</v>
      </c>
      <c r="E1438" s="13" t="s">
        <v>1927</v>
      </c>
      <c r="F1438" s="13">
        <v>3025457</v>
      </c>
      <c r="G1438" s="14">
        <v>6953</v>
      </c>
      <c r="H1438" s="40">
        <v>9000</v>
      </c>
      <c r="I1438" s="16">
        <f t="shared" si="215"/>
        <v>62577000</v>
      </c>
      <c r="J1438" s="17">
        <v>14</v>
      </c>
      <c r="K1438" s="34">
        <v>4502356807</v>
      </c>
      <c r="L1438" s="19">
        <v>5082481468</v>
      </c>
      <c r="M1438" s="20">
        <v>5113417164</v>
      </c>
      <c r="N1438" s="23"/>
      <c r="O1438" s="9" t="s">
        <v>37</v>
      </c>
      <c r="P1438" s="23"/>
      <c r="Q1438" s="24" t="s">
        <v>31</v>
      </c>
      <c r="R1438" s="25">
        <v>44739</v>
      </c>
      <c r="S1438" s="28"/>
      <c r="T1438" s="35"/>
      <c r="U1438" s="35"/>
      <c r="V1438" s="29"/>
      <c r="W1438" s="35"/>
      <c r="X1438" s="29"/>
      <c r="Y1438" s="36"/>
      <c r="Z1438" s="29"/>
      <c r="AA1438" s="31">
        <f t="shared" si="1"/>
        <v>44739</v>
      </c>
      <c r="AB1438" s="32" t="str">
        <f t="shared" si="5"/>
        <v>junio</v>
      </c>
    </row>
    <row r="1439" spans="1:28" ht="12.75">
      <c r="A1439" s="9" t="s">
        <v>1141</v>
      </c>
      <c r="B1439" s="10">
        <v>44742</v>
      </c>
      <c r="C1439" s="11">
        <v>44743</v>
      </c>
      <c r="D1439" s="42">
        <v>26</v>
      </c>
      <c r="E1439" s="13" t="s">
        <v>1928</v>
      </c>
      <c r="F1439" s="13">
        <v>3025457</v>
      </c>
      <c r="G1439" s="14">
        <v>6953</v>
      </c>
      <c r="H1439" s="40">
        <f>9000-8981.77</f>
        <v>18.229999999999563</v>
      </c>
      <c r="I1439" s="16">
        <f>-H1439*G1439</f>
        <v>-126753.18999999696</v>
      </c>
      <c r="J1439" s="17">
        <v>0</v>
      </c>
      <c r="K1439" s="34">
        <v>4502356807</v>
      </c>
      <c r="L1439" s="19">
        <v>5082481468</v>
      </c>
      <c r="M1439" s="20">
        <v>5113417165</v>
      </c>
      <c r="N1439" s="23"/>
      <c r="O1439" s="9"/>
      <c r="P1439" s="23"/>
      <c r="Q1439" s="24" t="s">
        <v>31</v>
      </c>
      <c r="R1439" s="25">
        <v>44739</v>
      </c>
      <c r="S1439" s="28"/>
      <c r="T1439" s="35"/>
      <c r="U1439" s="35"/>
      <c r="V1439" s="29"/>
      <c r="W1439" s="35"/>
      <c r="X1439" s="29"/>
      <c r="Y1439" s="36"/>
      <c r="Z1439" s="29"/>
      <c r="AA1439" s="31">
        <f t="shared" si="1"/>
        <v>44739</v>
      </c>
      <c r="AB1439" s="32" t="str">
        <f t="shared" si="5"/>
        <v>junio</v>
      </c>
    </row>
    <row r="1440" spans="1:28" ht="12.75">
      <c r="A1440" s="9" t="s">
        <v>245</v>
      </c>
      <c r="B1440" s="10">
        <v>44739</v>
      </c>
      <c r="C1440" s="11">
        <v>44742</v>
      </c>
      <c r="D1440" s="42">
        <v>26</v>
      </c>
      <c r="E1440" s="13" t="s">
        <v>1929</v>
      </c>
      <c r="F1440" s="13">
        <v>3025457</v>
      </c>
      <c r="G1440" s="37">
        <v>6933.5</v>
      </c>
      <c r="H1440" s="40">
        <v>9000</v>
      </c>
      <c r="I1440" s="16">
        <f t="shared" ref="I1440:I1449" si="216">H1440*G1440</f>
        <v>62401500</v>
      </c>
      <c r="J1440" s="17">
        <v>14</v>
      </c>
      <c r="K1440" s="34">
        <v>4502356808</v>
      </c>
      <c r="L1440" s="19">
        <v>5082481469</v>
      </c>
      <c r="M1440" s="20">
        <v>5113410795</v>
      </c>
      <c r="N1440" s="23"/>
      <c r="O1440" s="9" t="s">
        <v>37</v>
      </c>
      <c r="P1440" s="23"/>
      <c r="Q1440" s="24" t="s">
        <v>31</v>
      </c>
      <c r="R1440" s="25">
        <v>44739</v>
      </c>
      <c r="S1440" s="28"/>
      <c r="T1440" s="35"/>
      <c r="U1440" s="35"/>
      <c r="V1440" s="29"/>
      <c r="W1440" s="35"/>
      <c r="X1440" s="29"/>
      <c r="Y1440" s="36"/>
      <c r="Z1440" s="29"/>
      <c r="AA1440" s="31">
        <f t="shared" si="1"/>
        <v>44739</v>
      </c>
      <c r="AB1440" s="32" t="str">
        <f t="shared" si="5"/>
        <v>junio</v>
      </c>
    </row>
    <row r="1441" spans="1:28" ht="12.75">
      <c r="A1441" s="9" t="s">
        <v>245</v>
      </c>
      <c r="B1441" s="10">
        <v>44739</v>
      </c>
      <c r="C1441" s="11">
        <v>44742</v>
      </c>
      <c r="D1441" s="42">
        <v>26</v>
      </c>
      <c r="E1441" s="13">
        <v>8</v>
      </c>
      <c r="F1441" s="13">
        <v>3025457</v>
      </c>
      <c r="G1441" s="37">
        <v>6933.5</v>
      </c>
      <c r="H1441" s="40">
        <v>50</v>
      </c>
      <c r="I1441" s="16">
        <f t="shared" si="216"/>
        <v>346675</v>
      </c>
      <c r="J1441" s="17">
        <v>0</v>
      </c>
      <c r="K1441" s="34">
        <v>4502356808</v>
      </c>
      <c r="L1441" s="19">
        <v>5082481469</v>
      </c>
      <c r="M1441" s="20">
        <v>5113410839</v>
      </c>
      <c r="N1441" s="23"/>
      <c r="O1441" s="9"/>
      <c r="P1441" s="23"/>
      <c r="Q1441" s="24" t="s">
        <v>31</v>
      </c>
      <c r="R1441" s="25">
        <v>44739</v>
      </c>
      <c r="S1441" s="28"/>
      <c r="T1441" s="35"/>
      <c r="U1441" s="35"/>
      <c r="V1441" s="29"/>
      <c r="W1441" s="35"/>
      <c r="X1441" s="29"/>
      <c r="Y1441" s="36"/>
      <c r="Z1441" s="29"/>
      <c r="AA1441" s="31">
        <f t="shared" si="1"/>
        <v>44739</v>
      </c>
      <c r="AB1441" s="32" t="str">
        <f t="shared" si="5"/>
        <v>junio</v>
      </c>
    </row>
    <row r="1442" spans="1:28" ht="12.75">
      <c r="A1442" s="9" t="s">
        <v>58</v>
      </c>
      <c r="B1442" s="10">
        <v>44747</v>
      </c>
      <c r="C1442" s="11">
        <v>44747</v>
      </c>
      <c r="D1442" s="42">
        <v>26</v>
      </c>
      <c r="E1442" s="13" t="s">
        <v>1930</v>
      </c>
      <c r="F1442" s="13">
        <v>3025462</v>
      </c>
      <c r="G1442" s="14">
        <v>10986</v>
      </c>
      <c r="H1442" s="57">
        <v>7800</v>
      </c>
      <c r="I1442" s="16">
        <f t="shared" si="216"/>
        <v>85690800</v>
      </c>
      <c r="J1442" s="17">
        <v>40</v>
      </c>
      <c r="K1442" s="34">
        <v>4502361376</v>
      </c>
      <c r="L1442" s="19">
        <v>5082515701</v>
      </c>
      <c r="M1442" s="20">
        <v>5113419293</v>
      </c>
      <c r="N1442" s="23"/>
      <c r="O1442" s="9" t="s">
        <v>37</v>
      </c>
      <c r="P1442" s="23"/>
      <c r="Q1442" s="24" t="s">
        <v>357</v>
      </c>
      <c r="R1442" s="25">
        <v>44739</v>
      </c>
      <c r="S1442" s="28"/>
      <c r="T1442" s="35"/>
      <c r="U1442" s="35"/>
      <c r="V1442" s="29"/>
      <c r="W1442" s="35"/>
      <c r="X1442" s="29"/>
      <c r="Y1442" s="36"/>
      <c r="Z1442" s="29"/>
      <c r="AA1442" s="31">
        <f t="shared" si="1"/>
        <v>44739</v>
      </c>
      <c r="AB1442" s="32" t="str">
        <f t="shared" si="5"/>
        <v>junio</v>
      </c>
    </row>
    <row r="1443" spans="1:28" ht="12.75">
      <c r="A1443" s="45" t="s">
        <v>145</v>
      </c>
      <c r="B1443" s="10">
        <v>44742</v>
      </c>
      <c r="C1443" s="11">
        <v>44748</v>
      </c>
      <c r="D1443" s="42">
        <v>26</v>
      </c>
      <c r="E1443" s="13" t="s">
        <v>1931</v>
      </c>
      <c r="F1443" s="13">
        <v>3025457</v>
      </c>
      <c r="G1443" s="37">
        <v>6670.5</v>
      </c>
      <c r="H1443" s="40">
        <v>9050</v>
      </c>
      <c r="I1443" s="16">
        <f t="shared" si="216"/>
        <v>60368025</v>
      </c>
      <c r="J1443" s="17">
        <v>14</v>
      </c>
      <c r="K1443" s="34">
        <v>4502356809</v>
      </c>
      <c r="L1443" s="19">
        <v>5082493543</v>
      </c>
      <c r="M1443" s="20">
        <v>5113419275</v>
      </c>
      <c r="N1443" s="23"/>
      <c r="O1443" s="23" t="s">
        <v>37</v>
      </c>
      <c r="P1443" s="23"/>
      <c r="Q1443" s="24" t="s">
        <v>31</v>
      </c>
      <c r="R1443" s="25">
        <v>44740</v>
      </c>
      <c r="S1443" s="28"/>
      <c r="T1443" s="35"/>
      <c r="U1443" s="35"/>
      <c r="V1443" s="29"/>
      <c r="W1443" s="35"/>
      <c r="X1443" s="29"/>
      <c r="Y1443" s="36"/>
      <c r="Z1443" s="29"/>
      <c r="AA1443" s="31">
        <f t="shared" si="1"/>
        <v>44740</v>
      </c>
      <c r="AB1443" s="32" t="str">
        <f t="shared" si="5"/>
        <v>junio</v>
      </c>
    </row>
    <row r="1444" spans="1:28" ht="12.75">
      <c r="A1444" s="45" t="s">
        <v>145</v>
      </c>
      <c r="B1444" s="10">
        <v>44742</v>
      </c>
      <c r="C1444" s="11">
        <v>44748</v>
      </c>
      <c r="D1444" s="42">
        <v>26</v>
      </c>
      <c r="E1444" s="13" t="s">
        <v>1932</v>
      </c>
      <c r="F1444" s="13">
        <v>3025457</v>
      </c>
      <c r="G1444" s="37">
        <v>6670.5</v>
      </c>
      <c r="H1444" s="40">
        <v>50</v>
      </c>
      <c r="I1444" s="16">
        <f t="shared" si="216"/>
        <v>333525</v>
      </c>
      <c r="J1444" s="17">
        <v>0</v>
      </c>
      <c r="K1444" s="34">
        <v>4502356809</v>
      </c>
      <c r="L1444" s="19">
        <v>5082493543</v>
      </c>
      <c r="M1444" s="20">
        <v>5113419287</v>
      </c>
      <c r="N1444" s="23"/>
      <c r="O1444" s="9"/>
      <c r="P1444" s="23"/>
      <c r="Q1444" s="24" t="s">
        <v>31</v>
      </c>
      <c r="R1444" s="25">
        <v>44740</v>
      </c>
      <c r="S1444" s="28"/>
      <c r="T1444" s="35"/>
      <c r="U1444" s="35"/>
      <c r="V1444" s="29"/>
      <c r="W1444" s="35"/>
      <c r="X1444" s="29"/>
      <c r="Y1444" s="36"/>
      <c r="Z1444" s="29"/>
      <c r="AA1444" s="31">
        <f t="shared" si="1"/>
        <v>44740</v>
      </c>
      <c r="AB1444" s="32" t="str">
        <f t="shared" si="5"/>
        <v>junio</v>
      </c>
    </row>
    <row r="1445" spans="1:28" ht="12.75">
      <c r="A1445" s="9" t="s">
        <v>85</v>
      </c>
      <c r="B1445" s="10">
        <v>44740</v>
      </c>
      <c r="C1445" s="11">
        <v>44741</v>
      </c>
      <c r="D1445" s="42">
        <v>26</v>
      </c>
      <c r="E1445" s="13" t="s">
        <v>1933</v>
      </c>
      <c r="F1445" s="13">
        <v>3025457</v>
      </c>
      <c r="G1445" s="14">
        <v>13620</v>
      </c>
      <c r="H1445" s="15">
        <v>8800</v>
      </c>
      <c r="I1445" s="16">
        <f t="shared" si="216"/>
        <v>119856000</v>
      </c>
      <c r="J1445" s="17">
        <v>28</v>
      </c>
      <c r="K1445" s="34">
        <v>4502359905</v>
      </c>
      <c r="L1445" s="19">
        <v>5082480590</v>
      </c>
      <c r="M1445" s="20">
        <v>5113404602</v>
      </c>
      <c r="N1445" s="44" t="s">
        <v>63</v>
      </c>
      <c r="O1445" s="22" t="s">
        <v>1084</v>
      </c>
      <c r="P1445" s="23"/>
      <c r="Q1445" s="24" t="s">
        <v>31</v>
      </c>
      <c r="R1445" s="25">
        <v>44740</v>
      </c>
      <c r="S1445" s="28">
        <v>4902294674</v>
      </c>
      <c r="T1445" s="35">
        <f>1793900*2</f>
        <v>3587800</v>
      </c>
      <c r="U1445" s="28" t="s">
        <v>1934</v>
      </c>
      <c r="V1445" s="29">
        <v>5113404704</v>
      </c>
      <c r="W1445" s="35"/>
      <c r="X1445" s="29"/>
      <c r="Y1445" s="36"/>
      <c r="Z1445" s="29"/>
      <c r="AA1445" s="31">
        <f t="shared" si="1"/>
        <v>44740</v>
      </c>
      <c r="AB1445" s="32" t="str">
        <f t="shared" si="5"/>
        <v>junio</v>
      </c>
    </row>
    <row r="1446" spans="1:28" ht="12.75">
      <c r="A1446" s="9" t="s">
        <v>196</v>
      </c>
      <c r="B1446" s="10">
        <v>44740</v>
      </c>
      <c r="C1446" s="11"/>
      <c r="D1446" s="42">
        <v>26</v>
      </c>
      <c r="E1446" s="13" t="s">
        <v>1935</v>
      </c>
      <c r="F1446" s="13">
        <v>3025457</v>
      </c>
      <c r="G1446" s="14">
        <v>14560</v>
      </c>
      <c r="H1446" s="15">
        <v>8800</v>
      </c>
      <c r="I1446" s="16">
        <f t="shared" si="216"/>
        <v>128128000</v>
      </c>
      <c r="J1446" s="17">
        <v>28</v>
      </c>
      <c r="K1446" s="34">
        <v>4502359923</v>
      </c>
      <c r="L1446" s="19">
        <v>5082480805</v>
      </c>
      <c r="M1446" s="20">
        <v>5113415002</v>
      </c>
      <c r="N1446" s="23"/>
      <c r="O1446" s="22" t="s">
        <v>829</v>
      </c>
      <c r="P1446" s="23"/>
      <c r="Q1446" s="24" t="s">
        <v>31</v>
      </c>
      <c r="R1446" s="25">
        <v>44740</v>
      </c>
      <c r="S1446" s="28">
        <v>4902294689</v>
      </c>
      <c r="T1446" s="35">
        <f>1771100*2</f>
        <v>3542200</v>
      </c>
      <c r="U1446" s="28" t="s">
        <v>1936</v>
      </c>
      <c r="V1446" s="29">
        <v>5113404702</v>
      </c>
      <c r="W1446" s="35"/>
      <c r="X1446" s="29"/>
      <c r="Y1446" s="36"/>
      <c r="Z1446" s="29"/>
      <c r="AA1446" s="31">
        <f t="shared" si="1"/>
        <v>44740</v>
      </c>
      <c r="AB1446" s="32" t="str">
        <f t="shared" si="5"/>
        <v>junio</v>
      </c>
    </row>
    <row r="1447" spans="1:28" ht="12.75">
      <c r="A1447" s="9" t="s">
        <v>213</v>
      </c>
      <c r="B1447" s="10">
        <v>44740</v>
      </c>
      <c r="C1447" s="11"/>
      <c r="D1447" s="42">
        <v>26</v>
      </c>
      <c r="E1447" s="13" t="s">
        <v>1937</v>
      </c>
      <c r="F1447" s="13">
        <v>3025457</v>
      </c>
      <c r="G1447" s="14">
        <v>14323</v>
      </c>
      <c r="H1447" s="40">
        <v>9050</v>
      </c>
      <c r="I1447" s="16">
        <f t="shared" si="216"/>
        <v>129623150</v>
      </c>
      <c r="J1447" s="17">
        <v>30</v>
      </c>
      <c r="K1447" s="34">
        <v>4502356810</v>
      </c>
      <c r="L1447" s="19">
        <v>5082493864</v>
      </c>
      <c r="M1447" s="20">
        <v>5113423554</v>
      </c>
      <c r="N1447" s="23"/>
      <c r="O1447" s="9" t="s">
        <v>37</v>
      </c>
      <c r="P1447" s="23" t="s">
        <v>1938</v>
      </c>
      <c r="Q1447" s="24" t="s">
        <v>31</v>
      </c>
      <c r="R1447" s="25">
        <v>44740</v>
      </c>
      <c r="S1447" s="28"/>
      <c r="T1447" s="35"/>
      <c r="U1447" s="35"/>
      <c r="V1447" s="29"/>
      <c r="W1447" s="35"/>
      <c r="X1447" s="29"/>
      <c r="Y1447" s="36"/>
      <c r="Z1447" s="29"/>
      <c r="AA1447" s="31">
        <f t="shared" si="1"/>
        <v>44740</v>
      </c>
      <c r="AB1447" s="32" t="str">
        <f t="shared" si="5"/>
        <v>junio</v>
      </c>
    </row>
    <row r="1448" spans="1:28" ht="12.75">
      <c r="A1448" s="9" t="s">
        <v>213</v>
      </c>
      <c r="B1448" s="10">
        <v>44740</v>
      </c>
      <c r="C1448" s="11"/>
      <c r="D1448" s="42">
        <v>26</v>
      </c>
      <c r="E1448" s="13" t="s">
        <v>569</v>
      </c>
      <c r="F1448" s="13">
        <v>3025457</v>
      </c>
      <c r="G1448" s="14">
        <v>14323</v>
      </c>
      <c r="H1448" s="40">
        <v>50</v>
      </c>
      <c r="I1448" s="16">
        <f t="shared" si="216"/>
        <v>716150</v>
      </c>
      <c r="J1448" s="17">
        <v>0</v>
      </c>
      <c r="K1448" s="34">
        <v>4502356810</v>
      </c>
      <c r="L1448" s="19">
        <v>5082493864</v>
      </c>
      <c r="M1448" s="20">
        <v>5113423555</v>
      </c>
      <c r="N1448" s="23"/>
      <c r="O1448" s="9"/>
      <c r="P1448" s="23"/>
      <c r="Q1448" s="24" t="s">
        <v>31</v>
      </c>
      <c r="R1448" s="25">
        <v>44740</v>
      </c>
      <c r="S1448" s="28"/>
      <c r="T1448" s="35"/>
      <c r="U1448" s="35"/>
      <c r="V1448" s="29"/>
      <c r="W1448" s="35"/>
      <c r="X1448" s="29"/>
      <c r="Y1448" s="36"/>
      <c r="Z1448" s="29"/>
      <c r="AA1448" s="31">
        <f t="shared" si="1"/>
        <v>44740</v>
      </c>
      <c r="AB1448" s="32" t="str">
        <f t="shared" si="5"/>
        <v>junio</v>
      </c>
    </row>
    <row r="1449" spans="1:28" ht="12.75">
      <c r="A1449" s="9" t="s">
        <v>99</v>
      </c>
      <c r="B1449" s="10">
        <v>44742</v>
      </c>
      <c r="C1449" s="11">
        <v>44748</v>
      </c>
      <c r="D1449" s="42">
        <v>26</v>
      </c>
      <c r="E1449" s="13" t="s">
        <v>1939</v>
      </c>
      <c r="F1449" s="13">
        <v>3025457</v>
      </c>
      <c r="G1449" s="14">
        <v>6451</v>
      </c>
      <c r="H1449" s="40">
        <v>9000</v>
      </c>
      <c r="I1449" s="16">
        <f t="shared" si="216"/>
        <v>58059000</v>
      </c>
      <c r="J1449" s="17">
        <v>15</v>
      </c>
      <c r="K1449" s="34">
        <v>4502356811</v>
      </c>
      <c r="L1449" s="19">
        <v>5082493865</v>
      </c>
      <c r="M1449" s="20">
        <v>5113420031</v>
      </c>
      <c r="N1449" s="23"/>
      <c r="O1449" s="23" t="s">
        <v>37</v>
      </c>
      <c r="P1449" s="23"/>
      <c r="Q1449" s="24" t="s">
        <v>31</v>
      </c>
      <c r="R1449" s="25">
        <v>44740</v>
      </c>
      <c r="S1449" s="28"/>
      <c r="T1449" s="35"/>
      <c r="U1449" s="35"/>
      <c r="V1449" s="29"/>
      <c r="W1449" s="35"/>
      <c r="X1449" s="29"/>
      <c r="Y1449" s="36"/>
      <c r="Z1449" s="29"/>
      <c r="AA1449" s="31">
        <f t="shared" si="1"/>
        <v>44740</v>
      </c>
      <c r="AB1449" s="32" t="str">
        <f t="shared" si="5"/>
        <v>junio</v>
      </c>
    </row>
    <row r="1450" spans="1:28" ht="12.75">
      <c r="A1450" s="9" t="s">
        <v>99</v>
      </c>
      <c r="B1450" s="10">
        <v>44743</v>
      </c>
      <c r="C1450" s="11">
        <v>44748</v>
      </c>
      <c r="D1450" s="42">
        <v>26</v>
      </c>
      <c r="E1450" s="13" t="s">
        <v>1940</v>
      </c>
      <c r="F1450" s="13">
        <v>3025457</v>
      </c>
      <c r="G1450" s="14">
        <v>6451</v>
      </c>
      <c r="H1450" s="40">
        <f>9000-8981.73</f>
        <v>18.270000000000437</v>
      </c>
      <c r="I1450" s="16">
        <f>-H1450*G1450</f>
        <v>-117859.77000000281</v>
      </c>
      <c r="J1450" s="17">
        <v>0</v>
      </c>
      <c r="K1450" s="34">
        <v>4502356811</v>
      </c>
      <c r="L1450" s="19">
        <v>5082493865</v>
      </c>
      <c r="M1450" s="20">
        <v>5113420033</v>
      </c>
      <c r="N1450" s="23"/>
      <c r="O1450" s="9"/>
      <c r="P1450" s="23"/>
      <c r="Q1450" s="24" t="s">
        <v>31</v>
      </c>
      <c r="R1450" s="25">
        <v>44740</v>
      </c>
      <c r="S1450" s="28"/>
      <c r="T1450" s="35"/>
      <c r="U1450" s="35"/>
      <c r="V1450" s="29"/>
      <c r="W1450" s="35"/>
      <c r="X1450" s="29"/>
      <c r="Y1450" s="36"/>
      <c r="Z1450" s="29"/>
      <c r="AA1450" s="31">
        <f t="shared" si="1"/>
        <v>44740</v>
      </c>
      <c r="AB1450" s="32" t="str">
        <f t="shared" si="5"/>
        <v>junio</v>
      </c>
    </row>
    <row r="1451" spans="1:28" ht="12.75">
      <c r="A1451" s="9" t="s">
        <v>250</v>
      </c>
      <c r="B1451" s="10">
        <v>44746</v>
      </c>
      <c r="C1451" s="11">
        <v>44747</v>
      </c>
      <c r="D1451" s="42">
        <v>26</v>
      </c>
      <c r="E1451" s="13" t="s">
        <v>1941</v>
      </c>
      <c r="F1451" s="13">
        <v>3025457</v>
      </c>
      <c r="G1451" s="37">
        <v>8094.5</v>
      </c>
      <c r="H1451" s="40">
        <v>9000</v>
      </c>
      <c r="I1451" s="16">
        <f t="shared" ref="I1451:I1453" si="217">H1451*G1451</f>
        <v>72850500</v>
      </c>
      <c r="J1451" s="17">
        <v>15</v>
      </c>
      <c r="K1451" s="34">
        <v>4502356812</v>
      </c>
      <c r="L1451" s="19">
        <v>5082493544</v>
      </c>
      <c r="M1451" s="20">
        <v>5113419289</v>
      </c>
      <c r="N1451" s="21"/>
      <c r="O1451" s="9" t="s">
        <v>37</v>
      </c>
      <c r="P1451" s="23"/>
      <c r="Q1451" s="24" t="s">
        <v>31</v>
      </c>
      <c r="R1451" s="25">
        <v>44740</v>
      </c>
      <c r="S1451" s="28"/>
      <c r="T1451" s="35"/>
      <c r="U1451" s="35"/>
      <c r="V1451" s="29"/>
      <c r="W1451" s="35"/>
      <c r="X1451" s="29"/>
      <c r="Y1451" s="36"/>
      <c r="Z1451" s="29"/>
      <c r="AA1451" s="31">
        <f t="shared" si="1"/>
        <v>44740</v>
      </c>
      <c r="AB1451" s="32" t="str">
        <f t="shared" si="5"/>
        <v>junio</v>
      </c>
    </row>
    <row r="1452" spans="1:28" ht="12.75">
      <c r="A1452" s="9" t="s">
        <v>250</v>
      </c>
      <c r="B1452" s="10">
        <v>44746</v>
      </c>
      <c r="C1452" s="11">
        <v>44747</v>
      </c>
      <c r="D1452" s="42">
        <v>26</v>
      </c>
      <c r="E1452" s="13" t="s">
        <v>251</v>
      </c>
      <c r="F1452" s="13">
        <v>3025457</v>
      </c>
      <c r="G1452" s="37">
        <v>8094.5</v>
      </c>
      <c r="H1452" s="40">
        <v>42.55</v>
      </c>
      <c r="I1452" s="16">
        <f t="shared" si="217"/>
        <v>344420.97499999998</v>
      </c>
      <c r="J1452" s="17">
        <v>0</v>
      </c>
      <c r="K1452" s="34">
        <v>4502356812</v>
      </c>
      <c r="L1452" s="19">
        <v>5082493544</v>
      </c>
      <c r="M1452" s="20">
        <v>5113420035</v>
      </c>
      <c r="N1452" s="21"/>
      <c r="O1452" s="9"/>
      <c r="P1452" s="23"/>
      <c r="Q1452" s="24" t="s">
        <v>31</v>
      </c>
      <c r="R1452" s="25">
        <v>44740</v>
      </c>
      <c r="S1452" s="28"/>
      <c r="T1452" s="35"/>
      <c r="U1452" s="35"/>
      <c r="V1452" s="29"/>
      <c r="W1452" s="35"/>
      <c r="X1452" s="29"/>
      <c r="Y1452" s="36"/>
      <c r="Z1452" s="29"/>
      <c r="AA1452" s="31">
        <f t="shared" si="1"/>
        <v>44740</v>
      </c>
      <c r="AB1452" s="32" t="str">
        <f t="shared" si="5"/>
        <v>junio</v>
      </c>
    </row>
    <row r="1453" spans="1:28" ht="12.75">
      <c r="A1453" s="9" t="s">
        <v>58</v>
      </c>
      <c r="B1453" s="10">
        <v>44748</v>
      </c>
      <c r="C1453" s="11">
        <v>44748</v>
      </c>
      <c r="D1453" s="49">
        <v>27</v>
      </c>
      <c r="E1453" s="13" t="s">
        <v>1942</v>
      </c>
      <c r="F1453" s="13">
        <v>3025457</v>
      </c>
      <c r="G1453" s="14">
        <v>55228</v>
      </c>
      <c r="H1453" s="33">
        <v>9350</v>
      </c>
      <c r="I1453" s="16">
        <f t="shared" si="217"/>
        <v>516381800</v>
      </c>
      <c r="J1453" s="17">
        <v>120</v>
      </c>
      <c r="K1453" s="34">
        <v>4502361050</v>
      </c>
      <c r="L1453" s="19">
        <v>5082554786</v>
      </c>
      <c r="M1453" s="20">
        <v>5113420167</v>
      </c>
      <c r="N1453" s="23"/>
      <c r="O1453" s="9" t="s">
        <v>37</v>
      </c>
      <c r="P1453" s="23"/>
      <c r="Q1453" s="24" t="s">
        <v>31</v>
      </c>
      <c r="R1453" s="25">
        <v>44743</v>
      </c>
      <c r="S1453" s="28"/>
      <c r="T1453" s="35"/>
      <c r="U1453" s="35"/>
      <c r="V1453" s="29"/>
      <c r="W1453" s="35"/>
      <c r="X1453" s="29"/>
      <c r="Y1453" s="36"/>
      <c r="Z1453" s="29"/>
      <c r="AA1453" s="31">
        <f t="shared" si="1"/>
        <v>44743</v>
      </c>
      <c r="AB1453" s="32" t="str">
        <f t="shared" si="5"/>
        <v>julio</v>
      </c>
    </row>
    <row r="1454" spans="1:28" ht="12.75">
      <c r="A1454" s="9" t="s">
        <v>58</v>
      </c>
      <c r="B1454" s="10">
        <v>44748</v>
      </c>
      <c r="C1454" s="11">
        <v>44748</v>
      </c>
      <c r="D1454" s="49">
        <v>27</v>
      </c>
      <c r="E1454" s="13" t="s">
        <v>1943</v>
      </c>
      <c r="F1454" s="13">
        <v>3025457</v>
      </c>
      <c r="G1454" s="14">
        <v>55228</v>
      </c>
      <c r="H1454" s="33">
        <f>9350-9344.45</f>
        <v>5.5499999999992724</v>
      </c>
      <c r="I1454" s="16">
        <f>-H1454*G1454</f>
        <v>-306515.3999999598</v>
      </c>
      <c r="J1454" s="17">
        <v>0</v>
      </c>
      <c r="K1454" s="34">
        <v>4502361050</v>
      </c>
      <c r="L1454" s="19">
        <v>5082554786</v>
      </c>
      <c r="M1454" s="20">
        <v>5113420169</v>
      </c>
      <c r="N1454" s="23"/>
      <c r="O1454" s="9"/>
      <c r="P1454" s="23"/>
      <c r="Q1454" s="24" t="s">
        <v>31</v>
      </c>
      <c r="R1454" s="25">
        <v>44743</v>
      </c>
      <c r="S1454" s="28"/>
      <c r="T1454" s="35"/>
      <c r="U1454" s="35"/>
      <c r="V1454" s="29"/>
      <c r="W1454" s="35"/>
      <c r="X1454" s="29"/>
      <c r="Y1454" s="36"/>
      <c r="Z1454" s="29"/>
      <c r="AA1454" s="31">
        <f t="shared" si="1"/>
        <v>44743</v>
      </c>
      <c r="AB1454" s="32" t="str">
        <f t="shared" si="5"/>
        <v>julio</v>
      </c>
    </row>
    <row r="1455" spans="1:28" ht="12.75">
      <c r="A1455" s="9" t="s">
        <v>73</v>
      </c>
      <c r="B1455" s="10">
        <v>44747</v>
      </c>
      <c r="C1455" s="11">
        <v>44747</v>
      </c>
      <c r="D1455" s="49">
        <v>27</v>
      </c>
      <c r="E1455" s="13" t="s">
        <v>1944</v>
      </c>
      <c r="F1455" s="13">
        <v>3025457</v>
      </c>
      <c r="G1455" s="37">
        <v>13153.5</v>
      </c>
      <c r="H1455" s="33">
        <v>9350</v>
      </c>
      <c r="I1455" s="16">
        <f>H1455*G1455</f>
        <v>122985225</v>
      </c>
      <c r="J1455" s="17">
        <v>28</v>
      </c>
      <c r="K1455" s="34">
        <v>4502361051</v>
      </c>
      <c r="L1455" s="19">
        <v>5082554787</v>
      </c>
      <c r="M1455" s="20">
        <v>5113423412</v>
      </c>
      <c r="N1455" s="23"/>
      <c r="O1455" s="9" t="s">
        <v>63</v>
      </c>
      <c r="P1455" s="23"/>
      <c r="Q1455" s="24" t="s">
        <v>31</v>
      </c>
      <c r="R1455" s="25">
        <v>44743</v>
      </c>
      <c r="S1455" s="28"/>
      <c r="T1455" s="35"/>
      <c r="U1455" s="35"/>
      <c r="V1455" s="29"/>
      <c r="W1455" s="35"/>
      <c r="X1455" s="29"/>
      <c r="Y1455" s="36"/>
      <c r="Z1455" s="29"/>
      <c r="AA1455" s="31">
        <f t="shared" si="1"/>
        <v>44743</v>
      </c>
      <c r="AB1455" s="32" t="str">
        <f t="shared" si="5"/>
        <v>julio</v>
      </c>
    </row>
    <row r="1456" spans="1:28" ht="12.75">
      <c r="A1456" s="9" t="s">
        <v>73</v>
      </c>
      <c r="B1456" s="10">
        <v>44747</v>
      </c>
      <c r="C1456" s="11">
        <v>44747</v>
      </c>
      <c r="D1456" s="49">
        <v>27</v>
      </c>
      <c r="E1456" s="13" t="s">
        <v>1945</v>
      </c>
      <c r="F1456" s="13">
        <v>3025457</v>
      </c>
      <c r="G1456" s="37">
        <v>13153.5</v>
      </c>
      <c r="H1456" s="33">
        <v>50</v>
      </c>
      <c r="I1456" s="16">
        <f>-H1456*G1456</f>
        <v>-657675</v>
      </c>
      <c r="J1456" s="17">
        <v>0</v>
      </c>
      <c r="K1456" s="34">
        <v>4502361051</v>
      </c>
      <c r="L1456" s="19">
        <v>5082554787</v>
      </c>
      <c r="M1456" s="20">
        <v>5113423414</v>
      </c>
      <c r="N1456" s="23"/>
      <c r="O1456" s="9"/>
      <c r="P1456" s="23" t="s">
        <v>1938</v>
      </c>
      <c r="Q1456" s="24" t="s">
        <v>31</v>
      </c>
      <c r="R1456" s="25">
        <v>44743</v>
      </c>
      <c r="S1456" s="28"/>
      <c r="T1456" s="35"/>
      <c r="U1456" s="35"/>
      <c r="V1456" s="29"/>
      <c r="W1456" s="35"/>
      <c r="X1456" s="29"/>
      <c r="Y1456" s="36"/>
      <c r="Z1456" s="29"/>
      <c r="AA1456" s="31">
        <f t="shared" si="1"/>
        <v>44743</v>
      </c>
      <c r="AB1456" s="32" t="str">
        <f t="shared" si="5"/>
        <v>julio</v>
      </c>
    </row>
    <row r="1457" spans="1:28" ht="12.75">
      <c r="A1457" s="9" t="s">
        <v>289</v>
      </c>
      <c r="B1457" s="10">
        <v>44743</v>
      </c>
      <c r="C1457" s="11"/>
      <c r="D1457" s="49">
        <v>27</v>
      </c>
      <c r="E1457" s="13" t="s">
        <v>1946</v>
      </c>
      <c r="F1457" s="13">
        <v>3025457</v>
      </c>
      <c r="G1457" s="14">
        <v>7345</v>
      </c>
      <c r="H1457" s="33">
        <v>9350</v>
      </c>
      <c r="I1457" s="16">
        <f>H1457*G1457</f>
        <v>68675750</v>
      </c>
      <c r="J1457" s="17">
        <v>15</v>
      </c>
      <c r="K1457" s="34">
        <v>4502361052</v>
      </c>
      <c r="L1457" s="19">
        <v>5082554968</v>
      </c>
      <c r="M1457" s="20">
        <v>5113430391</v>
      </c>
      <c r="N1457" s="44"/>
      <c r="O1457" s="23" t="s">
        <v>37</v>
      </c>
      <c r="P1457" s="23" t="s">
        <v>1938</v>
      </c>
      <c r="Q1457" s="24" t="s">
        <v>31</v>
      </c>
      <c r="R1457" s="25">
        <v>44743</v>
      </c>
      <c r="S1457" s="28"/>
      <c r="T1457" s="35"/>
      <c r="U1457" s="35"/>
      <c r="V1457" s="29"/>
      <c r="W1457" s="35"/>
      <c r="X1457" s="29"/>
      <c r="Y1457" s="36"/>
      <c r="Z1457" s="29"/>
      <c r="AA1457" s="31">
        <f t="shared" si="1"/>
        <v>44743</v>
      </c>
      <c r="AB1457" s="32" t="str">
        <f t="shared" si="5"/>
        <v>julio</v>
      </c>
    </row>
    <row r="1458" spans="1:28" ht="12.75">
      <c r="A1458" s="9" t="s">
        <v>289</v>
      </c>
      <c r="B1458" s="10">
        <v>44748</v>
      </c>
      <c r="C1458" s="11">
        <v>44749</v>
      </c>
      <c r="D1458" s="49">
        <v>27</v>
      </c>
      <c r="E1458" s="13" t="s">
        <v>1947</v>
      </c>
      <c r="F1458" s="13">
        <v>3025457</v>
      </c>
      <c r="G1458" s="14">
        <v>7345</v>
      </c>
      <c r="H1458" s="33">
        <v>100</v>
      </c>
      <c r="I1458" s="16">
        <f>-H1458*G1458</f>
        <v>-734500</v>
      </c>
      <c r="J1458" s="17">
        <v>0</v>
      </c>
      <c r="K1458" s="34">
        <v>4502361052</v>
      </c>
      <c r="L1458" s="19">
        <v>5082554968</v>
      </c>
      <c r="M1458" s="20">
        <v>5113430392</v>
      </c>
      <c r="N1458" s="44"/>
      <c r="O1458" s="9"/>
      <c r="P1458" s="23"/>
      <c r="Q1458" s="24" t="s">
        <v>31</v>
      </c>
      <c r="R1458" s="25">
        <v>44743</v>
      </c>
      <c r="S1458" s="28"/>
      <c r="T1458" s="35"/>
      <c r="U1458" s="35"/>
      <c r="V1458" s="29"/>
      <c r="W1458" s="35"/>
      <c r="X1458" s="29"/>
      <c r="Y1458" s="36"/>
      <c r="Z1458" s="29"/>
      <c r="AA1458" s="31">
        <f t="shared" si="1"/>
        <v>44743</v>
      </c>
      <c r="AB1458" s="32" t="str">
        <f t="shared" si="5"/>
        <v>julio</v>
      </c>
    </row>
    <row r="1459" spans="1:28" ht="12.75">
      <c r="A1459" s="9" t="s">
        <v>1102</v>
      </c>
      <c r="B1459" s="10">
        <v>44747</v>
      </c>
      <c r="C1459" s="11">
        <v>44749</v>
      </c>
      <c r="D1459" s="49">
        <v>27</v>
      </c>
      <c r="E1459" s="13" t="s">
        <v>1948</v>
      </c>
      <c r="F1459" s="13">
        <v>3025457</v>
      </c>
      <c r="G1459" s="14">
        <v>6050.5</v>
      </c>
      <c r="H1459" s="33">
        <v>9350</v>
      </c>
      <c r="I1459" s="16">
        <f>H1459*G1459</f>
        <v>56572175</v>
      </c>
      <c r="J1459" s="17">
        <v>15</v>
      </c>
      <c r="K1459" s="34">
        <v>4502361053</v>
      </c>
      <c r="L1459" s="19">
        <v>5082555114</v>
      </c>
      <c r="M1459" s="20">
        <v>5113424524</v>
      </c>
      <c r="N1459" s="23"/>
      <c r="O1459" s="9" t="s">
        <v>37</v>
      </c>
      <c r="P1459" s="23"/>
      <c r="Q1459" s="24" t="s">
        <v>31</v>
      </c>
      <c r="R1459" s="25">
        <v>44743</v>
      </c>
      <c r="S1459" s="28"/>
      <c r="T1459" s="35"/>
      <c r="U1459" s="35"/>
      <c r="V1459" s="29"/>
      <c r="W1459" s="35"/>
      <c r="X1459" s="29"/>
      <c r="Y1459" s="36"/>
      <c r="Z1459" s="29"/>
      <c r="AA1459" s="31">
        <f t="shared" si="1"/>
        <v>44743</v>
      </c>
      <c r="AB1459" s="32" t="str">
        <f t="shared" si="5"/>
        <v>julio</v>
      </c>
    </row>
    <row r="1460" spans="1:28" ht="12.75">
      <c r="A1460" s="9" t="s">
        <v>1102</v>
      </c>
      <c r="B1460" s="10">
        <v>44747</v>
      </c>
      <c r="C1460" s="11">
        <v>44749</v>
      </c>
      <c r="D1460" s="49">
        <v>27</v>
      </c>
      <c r="E1460" s="13" t="s">
        <v>1949</v>
      </c>
      <c r="F1460" s="13">
        <v>3025457</v>
      </c>
      <c r="G1460" s="14">
        <v>6050.5</v>
      </c>
      <c r="H1460" s="33">
        <f>9350-9130.53</f>
        <v>219.46999999999935</v>
      </c>
      <c r="I1460" s="16">
        <f>-H1460*G1460</f>
        <v>-1327903.2349999961</v>
      </c>
      <c r="J1460" s="17">
        <v>0</v>
      </c>
      <c r="K1460" s="34">
        <v>4502361053</v>
      </c>
      <c r="L1460" s="19">
        <v>5082555114</v>
      </c>
      <c r="M1460" s="20">
        <v>5113424538</v>
      </c>
      <c r="N1460" s="23"/>
      <c r="O1460" s="9"/>
      <c r="P1460" s="23"/>
      <c r="Q1460" s="24" t="s">
        <v>31</v>
      </c>
      <c r="R1460" s="25">
        <v>44743</v>
      </c>
      <c r="S1460" s="28"/>
      <c r="T1460" s="35"/>
      <c r="U1460" s="35"/>
      <c r="V1460" s="29"/>
      <c r="W1460" s="35"/>
      <c r="X1460" s="29"/>
      <c r="Y1460" s="36"/>
      <c r="Z1460" s="29"/>
      <c r="AA1460" s="31">
        <f t="shared" si="1"/>
        <v>44743</v>
      </c>
      <c r="AB1460" s="32" t="str">
        <f t="shared" si="5"/>
        <v>julio</v>
      </c>
    </row>
    <row r="1461" spans="1:28" ht="12.75">
      <c r="A1461" s="9" t="s">
        <v>471</v>
      </c>
      <c r="B1461" s="10">
        <v>44743</v>
      </c>
      <c r="C1461" s="11">
        <v>44747</v>
      </c>
      <c r="D1461" s="49">
        <v>27</v>
      </c>
      <c r="E1461" s="13" t="s">
        <v>1950</v>
      </c>
      <c r="F1461" s="13">
        <v>3025457</v>
      </c>
      <c r="G1461" s="14">
        <v>13612.5</v>
      </c>
      <c r="H1461" s="33">
        <v>8950</v>
      </c>
      <c r="I1461" s="16">
        <f t="shared" ref="I1461:I1462" si="218">H1461*G1461</f>
        <v>121831875</v>
      </c>
      <c r="J1461" s="17">
        <v>28</v>
      </c>
      <c r="K1461" s="34">
        <v>4502361054</v>
      </c>
      <c r="L1461" s="19">
        <v>5082554969</v>
      </c>
      <c r="M1461" s="20">
        <v>5113418851</v>
      </c>
      <c r="N1461" s="23"/>
      <c r="O1461" s="9" t="s">
        <v>63</v>
      </c>
      <c r="P1461" s="23"/>
      <c r="Q1461" s="24" t="s">
        <v>31</v>
      </c>
      <c r="R1461" s="25">
        <v>44743</v>
      </c>
      <c r="S1461" s="28"/>
      <c r="T1461" s="35"/>
      <c r="U1461" s="35"/>
      <c r="V1461" s="29"/>
      <c r="W1461" s="35"/>
      <c r="X1461" s="29"/>
      <c r="Y1461" s="36"/>
      <c r="Z1461" s="29"/>
      <c r="AA1461" s="31">
        <f t="shared" si="1"/>
        <v>44743</v>
      </c>
      <c r="AB1461" s="32" t="str">
        <f t="shared" si="5"/>
        <v>julio</v>
      </c>
    </row>
    <row r="1462" spans="1:28" ht="12.75">
      <c r="A1462" s="9" t="s">
        <v>61</v>
      </c>
      <c r="B1462" s="10">
        <v>44747</v>
      </c>
      <c r="C1462" s="11"/>
      <c r="D1462" s="49">
        <v>27</v>
      </c>
      <c r="E1462" s="13" t="s">
        <v>1951</v>
      </c>
      <c r="F1462" s="13">
        <v>3025457</v>
      </c>
      <c r="G1462" s="37">
        <v>6673.5</v>
      </c>
      <c r="H1462" s="33">
        <v>8950</v>
      </c>
      <c r="I1462" s="16">
        <f t="shared" si="218"/>
        <v>59727825</v>
      </c>
      <c r="J1462" s="17">
        <v>15</v>
      </c>
      <c r="K1462" s="34">
        <v>4502361055</v>
      </c>
      <c r="L1462" s="19">
        <v>5082554970</v>
      </c>
      <c r="M1462" s="20">
        <v>5113418796</v>
      </c>
      <c r="N1462" s="23"/>
      <c r="O1462" s="9" t="s">
        <v>63</v>
      </c>
      <c r="P1462" s="23"/>
      <c r="Q1462" s="24" t="s">
        <v>31</v>
      </c>
      <c r="R1462" s="25">
        <v>44743</v>
      </c>
      <c r="S1462" s="28"/>
      <c r="T1462" s="35"/>
      <c r="U1462" s="35"/>
      <c r="V1462" s="29"/>
      <c r="W1462" s="35"/>
      <c r="X1462" s="29"/>
      <c r="Y1462" s="36"/>
      <c r="Z1462" s="29"/>
      <c r="AA1462" s="31">
        <f t="shared" si="1"/>
        <v>44743</v>
      </c>
      <c r="AB1462" s="32" t="str">
        <f t="shared" si="5"/>
        <v>julio</v>
      </c>
    </row>
    <row r="1463" spans="1:28" ht="12.75">
      <c r="A1463" s="9" t="s">
        <v>61</v>
      </c>
      <c r="B1463" s="10">
        <v>44747</v>
      </c>
      <c r="C1463" s="11"/>
      <c r="D1463" s="49">
        <v>27</v>
      </c>
      <c r="E1463" s="13" t="s">
        <v>1342</v>
      </c>
      <c r="F1463" s="13">
        <v>3025457</v>
      </c>
      <c r="G1463" s="37">
        <v>6673.5</v>
      </c>
      <c r="H1463" s="33">
        <f>8950-8828.98</f>
        <v>121.02000000000044</v>
      </c>
      <c r="I1463" s="16">
        <f>-H1463*G1463</f>
        <v>-807626.97000000288</v>
      </c>
      <c r="J1463" s="17">
        <v>0</v>
      </c>
      <c r="K1463" s="34">
        <v>4502361055</v>
      </c>
      <c r="L1463" s="19">
        <v>5082554970</v>
      </c>
      <c r="M1463" s="20">
        <v>5113418847</v>
      </c>
      <c r="N1463" s="23"/>
      <c r="O1463" s="9"/>
      <c r="P1463" s="23"/>
      <c r="Q1463" s="24" t="s">
        <v>31</v>
      </c>
      <c r="R1463" s="25">
        <v>44743</v>
      </c>
      <c r="S1463" s="28"/>
      <c r="T1463" s="35"/>
      <c r="U1463" s="35"/>
      <c r="V1463" s="29"/>
      <c r="W1463" s="35"/>
      <c r="X1463" s="29"/>
      <c r="Y1463" s="36"/>
      <c r="Z1463" s="29"/>
      <c r="AA1463" s="31">
        <f t="shared" si="1"/>
        <v>44743</v>
      </c>
      <c r="AB1463" s="32" t="str">
        <f t="shared" si="5"/>
        <v>julio</v>
      </c>
    </row>
    <row r="1464" spans="1:28" ht="12.75">
      <c r="A1464" s="9" t="s">
        <v>213</v>
      </c>
      <c r="B1464" s="10">
        <v>44743</v>
      </c>
      <c r="C1464" s="11"/>
      <c r="D1464" s="49">
        <v>27</v>
      </c>
      <c r="E1464" s="13" t="s">
        <v>1952</v>
      </c>
      <c r="F1464" s="13">
        <v>3025457</v>
      </c>
      <c r="G1464" s="14">
        <v>14205</v>
      </c>
      <c r="H1464" s="33">
        <v>9000</v>
      </c>
      <c r="I1464" s="16">
        <f>H1464*G1464</f>
        <v>127845000</v>
      </c>
      <c r="J1464" s="17">
        <v>30</v>
      </c>
      <c r="K1464" s="34">
        <v>4502361056</v>
      </c>
      <c r="L1464" s="19">
        <v>5082555115</v>
      </c>
      <c r="M1464" s="20">
        <v>5113423618</v>
      </c>
      <c r="N1464" s="23"/>
      <c r="O1464" s="9" t="s">
        <v>37</v>
      </c>
      <c r="P1464" s="23"/>
      <c r="Q1464" s="24" t="s">
        <v>31</v>
      </c>
      <c r="R1464" s="25">
        <v>44743</v>
      </c>
      <c r="S1464" s="28"/>
      <c r="T1464" s="35"/>
      <c r="U1464" s="35"/>
      <c r="V1464" s="29"/>
      <c r="W1464" s="35"/>
      <c r="X1464" s="29"/>
      <c r="Y1464" s="36"/>
      <c r="Z1464" s="29"/>
      <c r="AA1464" s="31">
        <f t="shared" si="1"/>
        <v>44743</v>
      </c>
      <c r="AB1464" s="32" t="str">
        <f t="shared" si="5"/>
        <v>julio</v>
      </c>
    </row>
    <row r="1465" spans="1:28" ht="12.75">
      <c r="A1465" s="9" t="s">
        <v>213</v>
      </c>
      <c r="B1465" s="10">
        <v>44743</v>
      </c>
      <c r="C1465" s="11"/>
      <c r="D1465" s="49">
        <v>27</v>
      </c>
      <c r="E1465" s="13" t="s">
        <v>639</v>
      </c>
      <c r="F1465" s="13">
        <v>3025457</v>
      </c>
      <c r="G1465" s="14">
        <v>14205</v>
      </c>
      <c r="H1465" s="33">
        <v>50</v>
      </c>
      <c r="I1465" s="16">
        <f>-H1465*G1465</f>
        <v>-710250</v>
      </c>
      <c r="J1465" s="17">
        <v>0</v>
      </c>
      <c r="K1465" s="34">
        <v>4502361056</v>
      </c>
      <c r="L1465" s="19">
        <v>5082555115</v>
      </c>
      <c r="M1465" s="20">
        <v>5113423619</v>
      </c>
      <c r="N1465" s="23"/>
      <c r="O1465" s="9"/>
      <c r="P1465" s="23"/>
      <c r="Q1465" s="24" t="s">
        <v>31</v>
      </c>
      <c r="R1465" s="25">
        <v>44743</v>
      </c>
      <c r="S1465" s="28"/>
      <c r="T1465" s="35"/>
      <c r="U1465" s="35"/>
      <c r="V1465" s="29"/>
      <c r="W1465" s="35"/>
      <c r="X1465" s="29"/>
      <c r="Y1465" s="36"/>
      <c r="Z1465" s="29"/>
      <c r="AA1465" s="31">
        <f t="shared" si="1"/>
        <v>44743</v>
      </c>
      <c r="AB1465" s="32" t="str">
        <f t="shared" si="5"/>
        <v>julio</v>
      </c>
    </row>
    <row r="1466" spans="1:28" ht="12.75">
      <c r="A1466" s="9" t="s">
        <v>1953</v>
      </c>
      <c r="B1466" s="10">
        <v>44749</v>
      </c>
      <c r="C1466" s="11"/>
      <c r="D1466" s="49">
        <v>27</v>
      </c>
      <c r="E1466" s="13" t="s">
        <v>491</v>
      </c>
      <c r="F1466" s="13">
        <v>3025457</v>
      </c>
      <c r="G1466" s="37">
        <v>14990.5</v>
      </c>
      <c r="H1466" s="33">
        <v>9000</v>
      </c>
      <c r="I1466" s="16">
        <f t="shared" ref="I1466:I1467" si="219">H1466*G1466</f>
        <v>134914500</v>
      </c>
      <c r="J1466" s="17">
        <v>30</v>
      </c>
      <c r="K1466" s="34">
        <v>4502361058</v>
      </c>
      <c r="L1466" s="19">
        <v>5082555116</v>
      </c>
      <c r="M1466" s="20">
        <v>5113448847</v>
      </c>
      <c r="N1466" s="23"/>
      <c r="O1466" s="9" t="s">
        <v>37</v>
      </c>
      <c r="P1466" s="23" t="s">
        <v>1954</v>
      </c>
      <c r="Q1466" s="24" t="s">
        <v>31</v>
      </c>
      <c r="R1466" s="25">
        <v>44743</v>
      </c>
      <c r="S1466" s="28"/>
      <c r="T1466" s="35"/>
      <c r="U1466" s="35"/>
      <c r="V1466" s="29"/>
      <c r="W1466" s="35"/>
      <c r="X1466" s="29"/>
      <c r="Y1466" s="36"/>
      <c r="Z1466" s="29"/>
      <c r="AA1466" s="31">
        <f t="shared" si="1"/>
        <v>44743</v>
      </c>
      <c r="AB1466" s="32" t="str">
        <f t="shared" si="5"/>
        <v>julio</v>
      </c>
    </row>
    <row r="1467" spans="1:28" ht="12.75">
      <c r="A1467" s="9" t="s">
        <v>125</v>
      </c>
      <c r="B1467" s="10">
        <v>44743</v>
      </c>
      <c r="C1467" s="11"/>
      <c r="D1467" s="49">
        <v>27</v>
      </c>
      <c r="E1467" s="13" t="s">
        <v>1955</v>
      </c>
      <c r="F1467" s="13">
        <v>3025457</v>
      </c>
      <c r="G1467" s="14">
        <v>7032</v>
      </c>
      <c r="H1467" s="33">
        <v>9050</v>
      </c>
      <c r="I1467" s="16">
        <f t="shared" si="219"/>
        <v>63639600</v>
      </c>
      <c r="J1467" s="17">
        <v>14</v>
      </c>
      <c r="K1467" s="34">
        <v>4502361059</v>
      </c>
      <c r="L1467" s="19">
        <v>5082554971</v>
      </c>
      <c r="M1467" s="20">
        <v>5113423458</v>
      </c>
      <c r="N1467" s="23"/>
      <c r="O1467" s="9" t="s">
        <v>63</v>
      </c>
      <c r="P1467" s="23"/>
      <c r="Q1467" s="24" t="s">
        <v>31</v>
      </c>
      <c r="R1467" s="25">
        <v>44743</v>
      </c>
      <c r="S1467" s="28"/>
      <c r="T1467" s="35"/>
      <c r="U1467" s="35"/>
      <c r="V1467" s="29"/>
      <c r="W1467" s="35"/>
      <c r="X1467" s="29"/>
      <c r="Y1467" s="36"/>
      <c r="Z1467" s="29"/>
      <c r="AA1467" s="31">
        <f t="shared" si="1"/>
        <v>44743</v>
      </c>
      <c r="AB1467" s="32" t="str">
        <f t="shared" si="5"/>
        <v>julio</v>
      </c>
    </row>
    <row r="1468" spans="1:28" ht="12.75">
      <c r="A1468" s="9" t="s">
        <v>125</v>
      </c>
      <c r="B1468" s="10">
        <v>44743</v>
      </c>
      <c r="C1468" s="11"/>
      <c r="D1468" s="49">
        <v>27</v>
      </c>
      <c r="E1468" s="13" t="s">
        <v>514</v>
      </c>
      <c r="F1468" s="13">
        <v>3025457</v>
      </c>
      <c r="G1468" s="14">
        <v>7032</v>
      </c>
      <c r="H1468" s="33">
        <f>9050-9041.4</f>
        <v>8.6000000000003638</v>
      </c>
      <c r="I1468" s="16">
        <f>-H1468*G1468</f>
        <v>-60475.200000002558</v>
      </c>
      <c r="J1468" s="17">
        <v>0</v>
      </c>
      <c r="K1468" s="34">
        <v>4502361059</v>
      </c>
      <c r="L1468" s="19">
        <v>5082554971</v>
      </c>
      <c r="M1468" s="20">
        <v>5113423459</v>
      </c>
      <c r="N1468" s="23"/>
      <c r="O1468" s="9" t="s">
        <v>1956</v>
      </c>
      <c r="P1468" s="23" t="s">
        <v>1957</v>
      </c>
      <c r="Q1468" s="24" t="s">
        <v>31</v>
      </c>
      <c r="R1468" s="25">
        <v>44743</v>
      </c>
      <c r="S1468" s="28"/>
      <c r="T1468" s="35"/>
      <c r="U1468" s="35"/>
      <c r="V1468" s="29"/>
      <c r="W1468" s="35"/>
      <c r="X1468" s="29"/>
      <c r="Y1468" s="36"/>
      <c r="Z1468" s="29"/>
      <c r="AA1468" s="31">
        <f t="shared" si="1"/>
        <v>44743</v>
      </c>
      <c r="AB1468" s="32" t="str">
        <f t="shared" si="5"/>
        <v>julio</v>
      </c>
    </row>
    <row r="1469" spans="1:28" ht="12.75">
      <c r="A1469" s="9" t="s">
        <v>196</v>
      </c>
      <c r="B1469" s="10">
        <v>44743</v>
      </c>
      <c r="C1469" s="11"/>
      <c r="D1469" s="49">
        <v>27</v>
      </c>
      <c r="E1469" s="13" t="s">
        <v>1958</v>
      </c>
      <c r="F1469" s="13">
        <v>3025459</v>
      </c>
      <c r="G1469" s="14">
        <v>14588</v>
      </c>
      <c r="H1469" s="15">
        <v>8750</v>
      </c>
      <c r="I1469" s="16">
        <f t="shared" ref="I1469:I1470" si="220">H1469*G1469</f>
        <v>127645000</v>
      </c>
      <c r="J1469" s="17">
        <v>28</v>
      </c>
      <c r="K1469" s="34">
        <v>4502363056</v>
      </c>
      <c r="L1469" s="19">
        <v>5082555372</v>
      </c>
      <c r="M1469" s="20">
        <v>5113422246</v>
      </c>
      <c r="N1469" s="23"/>
      <c r="O1469" s="22" t="s">
        <v>1050</v>
      </c>
      <c r="P1469" s="23"/>
      <c r="Q1469" s="24" t="s">
        <v>31</v>
      </c>
      <c r="R1469" s="25">
        <v>44743</v>
      </c>
      <c r="S1469" s="28">
        <v>4902297570</v>
      </c>
      <c r="T1469" s="35">
        <f>1638223*2</f>
        <v>3276446</v>
      </c>
      <c r="U1469" s="28" t="s">
        <v>1959</v>
      </c>
      <c r="V1469" s="29">
        <v>5113418064</v>
      </c>
      <c r="W1469" s="35"/>
      <c r="X1469" s="29"/>
      <c r="Y1469" s="36"/>
      <c r="Z1469" s="29"/>
      <c r="AA1469" s="31">
        <f t="shared" si="1"/>
        <v>44743</v>
      </c>
      <c r="AB1469" s="32" t="str">
        <f t="shared" si="5"/>
        <v>julio</v>
      </c>
    </row>
    <row r="1470" spans="1:28" ht="12.75">
      <c r="A1470" s="9" t="s">
        <v>111</v>
      </c>
      <c r="B1470" s="10">
        <v>44749</v>
      </c>
      <c r="C1470" s="11">
        <v>44750</v>
      </c>
      <c r="D1470" s="49">
        <v>27</v>
      </c>
      <c r="E1470" s="13" t="s">
        <v>1960</v>
      </c>
      <c r="F1470" s="13">
        <v>3025459</v>
      </c>
      <c r="G1470" s="37">
        <v>6980.5</v>
      </c>
      <c r="H1470" s="33">
        <v>9000</v>
      </c>
      <c r="I1470" s="16">
        <f t="shared" si="220"/>
        <v>62824500</v>
      </c>
      <c r="J1470" s="17">
        <v>14</v>
      </c>
      <c r="K1470" s="34">
        <v>4502361061</v>
      </c>
      <c r="L1470" s="19">
        <v>5082554972</v>
      </c>
      <c r="M1470" s="20">
        <v>5113423892</v>
      </c>
      <c r="N1470" s="23"/>
      <c r="O1470" s="9" t="s">
        <v>37</v>
      </c>
      <c r="P1470" s="23"/>
      <c r="Q1470" s="24" t="s">
        <v>31</v>
      </c>
      <c r="R1470" s="25">
        <v>44743</v>
      </c>
      <c r="S1470" s="28"/>
      <c r="T1470" s="35"/>
      <c r="U1470" s="35"/>
      <c r="V1470" s="29"/>
      <c r="W1470" s="35"/>
      <c r="X1470" s="29"/>
      <c r="Y1470" s="36"/>
      <c r="Z1470" s="29"/>
      <c r="AA1470" s="31">
        <f t="shared" si="1"/>
        <v>44743</v>
      </c>
      <c r="AB1470" s="32" t="str">
        <f t="shared" si="5"/>
        <v>julio</v>
      </c>
    </row>
    <row r="1471" spans="1:28" ht="12.75">
      <c r="A1471" s="9" t="s">
        <v>111</v>
      </c>
      <c r="B1471" s="10">
        <v>44749</v>
      </c>
      <c r="C1471" s="11">
        <v>44750</v>
      </c>
      <c r="D1471" s="49">
        <v>27</v>
      </c>
      <c r="E1471" s="13" t="s">
        <v>1961</v>
      </c>
      <c r="F1471" s="13">
        <v>3025459</v>
      </c>
      <c r="G1471" s="37">
        <v>6980.5</v>
      </c>
      <c r="H1471" s="33">
        <v>50</v>
      </c>
      <c r="I1471" s="16">
        <f>-H1471*G1471</f>
        <v>-349025</v>
      </c>
      <c r="J1471" s="17">
        <v>0</v>
      </c>
      <c r="K1471" s="34">
        <v>4502361061</v>
      </c>
      <c r="L1471" s="19">
        <v>5082554972</v>
      </c>
      <c r="M1471" s="20">
        <v>5113423895</v>
      </c>
      <c r="N1471" s="23"/>
      <c r="O1471" s="9"/>
      <c r="P1471" s="23"/>
      <c r="Q1471" s="24" t="s">
        <v>31</v>
      </c>
      <c r="R1471" s="25">
        <v>44743</v>
      </c>
      <c r="S1471" s="28"/>
      <c r="T1471" s="35"/>
      <c r="U1471" s="35"/>
      <c r="V1471" s="29"/>
      <c r="W1471" s="35"/>
      <c r="X1471" s="29"/>
      <c r="Y1471" s="36"/>
      <c r="Z1471" s="29"/>
      <c r="AA1471" s="31">
        <f t="shared" si="1"/>
        <v>44743</v>
      </c>
      <c r="AB1471" s="32" t="str">
        <f t="shared" si="5"/>
        <v>julio</v>
      </c>
    </row>
    <row r="1472" spans="1:28" ht="12.75">
      <c r="A1472" s="9" t="s">
        <v>338</v>
      </c>
      <c r="B1472" s="10">
        <v>44748</v>
      </c>
      <c r="C1472" s="11"/>
      <c r="D1472" s="49">
        <v>27</v>
      </c>
      <c r="E1472" s="13" t="s">
        <v>1962</v>
      </c>
      <c r="F1472" s="13">
        <v>3025457</v>
      </c>
      <c r="G1472" s="14">
        <v>13147</v>
      </c>
      <c r="H1472" s="33">
        <v>9000</v>
      </c>
      <c r="I1472" s="16">
        <f>H1472*G1472</f>
        <v>118323000</v>
      </c>
      <c r="J1472" s="17">
        <v>28</v>
      </c>
      <c r="K1472" s="34">
        <v>4502361062</v>
      </c>
      <c r="L1472" s="19">
        <v>5082570170</v>
      </c>
      <c r="M1472" s="20">
        <v>5113420426</v>
      </c>
      <c r="N1472" s="23"/>
      <c r="O1472" s="9" t="s">
        <v>63</v>
      </c>
      <c r="P1472" s="23"/>
      <c r="Q1472" s="24" t="s">
        <v>31</v>
      </c>
      <c r="R1472" s="25">
        <v>44744</v>
      </c>
      <c r="S1472" s="28"/>
      <c r="T1472" s="35"/>
      <c r="U1472" s="35"/>
      <c r="V1472" s="29"/>
      <c r="W1472" s="35"/>
      <c r="X1472" s="29"/>
      <c r="Y1472" s="36"/>
      <c r="Z1472" s="29"/>
      <c r="AA1472" s="31">
        <f t="shared" si="1"/>
        <v>44744</v>
      </c>
      <c r="AB1472" s="32" t="str">
        <f t="shared" si="5"/>
        <v>julio</v>
      </c>
    </row>
    <row r="1473" spans="1:28" ht="12.75">
      <c r="A1473" s="9" t="s">
        <v>338</v>
      </c>
      <c r="B1473" s="10">
        <v>44748</v>
      </c>
      <c r="C1473" s="11"/>
      <c r="D1473" s="49">
        <v>27</v>
      </c>
      <c r="E1473" s="13" t="s">
        <v>1963</v>
      </c>
      <c r="F1473" s="13">
        <v>3025457</v>
      </c>
      <c r="G1473" s="14">
        <v>13147</v>
      </c>
      <c r="H1473" s="33">
        <v>100</v>
      </c>
      <c r="I1473" s="16">
        <f>-H1473*G1473</f>
        <v>-1314700</v>
      </c>
      <c r="J1473" s="17">
        <v>0</v>
      </c>
      <c r="K1473" s="34">
        <v>4502361062</v>
      </c>
      <c r="L1473" s="19">
        <v>5082570170</v>
      </c>
      <c r="M1473" s="20">
        <v>5113420847</v>
      </c>
      <c r="N1473" s="23"/>
      <c r="O1473" s="9"/>
      <c r="P1473" s="23"/>
      <c r="Q1473" s="24" t="s">
        <v>31</v>
      </c>
      <c r="R1473" s="25">
        <v>44744</v>
      </c>
      <c r="S1473" s="28"/>
      <c r="T1473" s="35"/>
      <c r="U1473" s="35"/>
      <c r="V1473" s="29"/>
      <c r="W1473" s="35"/>
      <c r="X1473" s="29"/>
      <c r="Y1473" s="36"/>
      <c r="Z1473" s="29"/>
      <c r="AA1473" s="31">
        <f t="shared" si="1"/>
        <v>44744</v>
      </c>
      <c r="AB1473" s="32" t="str">
        <f t="shared" si="5"/>
        <v>julio</v>
      </c>
    </row>
    <row r="1474" spans="1:28" ht="12.75">
      <c r="A1474" s="9" t="s">
        <v>58</v>
      </c>
      <c r="B1474" s="10">
        <v>44748</v>
      </c>
      <c r="C1474" s="11">
        <v>44748</v>
      </c>
      <c r="D1474" s="49">
        <v>27</v>
      </c>
      <c r="E1474" s="13" t="s">
        <v>1964</v>
      </c>
      <c r="F1474" s="13">
        <v>3025457</v>
      </c>
      <c r="G1474" s="14">
        <v>30510</v>
      </c>
      <c r="H1474" s="33">
        <v>9350</v>
      </c>
      <c r="I1474" s="16">
        <f>H1474*G1474</f>
        <v>285268500</v>
      </c>
      <c r="J1474" s="17">
        <v>60</v>
      </c>
      <c r="K1474" s="34">
        <v>4502361063</v>
      </c>
      <c r="L1474" s="19">
        <v>5082570171</v>
      </c>
      <c r="M1474" s="20">
        <v>5113420171</v>
      </c>
      <c r="N1474" s="23"/>
      <c r="O1474" s="9" t="s">
        <v>37</v>
      </c>
      <c r="P1474" s="23"/>
      <c r="Q1474" s="24" t="s">
        <v>31</v>
      </c>
      <c r="R1474" s="25">
        <v>44744</v>
      </c>
      <c r="S1474" s="28"/>
      <c r="T1474" s="35"/>
      <c r="U1474" s="35"/>
      <c r="V1474" s="29"/>
      <c r="W1474" s="35"/>
      <c r="X1474" s="29"/>
      <c r="Y1474" s="36"/>
      <c r="Z1474" s="29"/>
      <c r="AA1474" s="31">
        <f t="shared" si="1"/>
        <v>44744</v>
      </c>
      <c r="AB1474" s="32" t="str">
        <f t="shared" si="5"/>
        <v>julio</v>
      </c>
    </row>
    <row r="1475" spans="1:28" ht="12.75">
      <c r="A1475" s="9" t="s">
        <v>58</v>
      </c>
      <c r="B1475" s="10">
        <v>44748</v>
      </c>
      <c r="C1475" s="11">
        <v>44748</v>
      </c>
      <c r="D1475" s="49">
        <v>27</v>
      </c>
      <c r="E1475" s="13" t="s">
        <v>1965</v>
      </c>
      <c r="F1475" s="13">
        <v>3025457</v>
      </c>
      <c r="G1475" s="14">
        <v>30510</v>
      </c>
      <c r="H1475" s="33">
        <v>150</v>
      </c>
      <c r="I1475" s="16">
        <f>-H1475*G1475</f>
        <v>-4576500</v>
      </c>
      <c r="J1475" s="17">
        <v>0</v>
      </c>
      <c r="K1475" s="34">
        <v>4502361063</v>
      </c>
      <c r="L1475" s="19">
        <v>5082570171</v>
      </c>
      <c r="M1475" s="20">
        <v>5113420173</v>
      </c>
      <c r="N1475" s="23"/>
      <c r="O1475" s="9"/>
      <c r="P1475" s="23"/>
      <c r="Q1475" s="24" t="s">
        <v>31</v>
      </c>
      <c r="R1475" s="25">
        <v>44744</v>
      </c>
      <c r="S1475" s="28"/>
      <c r="T1475" s="35"/>
      <c r="U1475" s="35"/>
      <c r="V1475" s="29"/>
      <c r="W1475" s="35"/>
      <c r="X1475" s="29"/>
      <c r="Y1475" s="36"/>
      <c r="Z1475" s="29"/>
      <c r="AA1475" s="31">
        <f t="shared" si="1"/>
        <v>44744</v>
      </c>
      <c r="AB1475" s="32" t="str">
        <f t="shared" si="5"/>
        <v>julio</v>
      </c>
    </row>
    <row r="1476" spans="1:28" ht="12.75">
      <c r="A1476" s="9" t="s">
        <v>58</v>
      </c>
      <c r="B1476" s="10">
        <v>44748</v>
      </c>
      <c r="C1476" s="11">
        <v>44748</v>
      </c>
      <c r="D1476" s="49">
        <v>27</v>
      </c>
      <c r="E1476" s="13" t="s">
        <v>1966</v>
      </c>
      <c r="F1476" s="13">
        <v>3025457</v>
      </c>
      <c r="G1476" s="14">
        <v>7328</v>
      </c>
      <c r="H1476" s="33">
        <v>9350</v>
      </c>
      <c r="I1476" s="16">
        <f t="shared" ref="I1476:I1478" si="221">H1476*G1476</f>
        <v>68516800</v>
      </c>
      <c r="J1476" s="17">
        <v>15</v>
      </c>
      <c r="K1476" s="34">
        <v>4502361063</v>
      </c>
      <c r="L1476" s="19">
        <v>5082570171</v>
      </c>
      <c r="M1476" s="20">
        <v>5113420174</v>
      </c>
      <c r="N1476" s="23"/>
      <c r="O1476" s="9" t="s">
        <v>37</v>
      </c>
      <c r="P1476" s="23"/>
      <c r="Q1476" s="24" t="s">
        <v>31</v>
      </c>
      <c r="R1476" s="25">
        <v>44744</v>
      </c>
      <c r="S1476" s="28"/>
      <c r="T1476" s="35"/>
      <c r="U1476" s="35"/>
      <c r="V1476" s="29"/>
      <c r="W1476" s="35"/>
      <c r="X1476" s="29"/>
      <c r="Y1476" s="36"/>
      <c r="Z1476" s="29"/>
      <c r="AA1476" s="31">
        <f t="shared" si="1"/>
        <v>44744</v>
      </c>
      <c r="AB1476" s="32" t="str">
        <f t="shared" si="5"/>
        <v>julio</v>
      </c>
    </row>
    <row r="1477" spans="1:28" ht="12.75">
      <c r="A1477" s="9" t="s">
        <v>199</v>
      </c>
      <c r="B1477" s="10">
        <v>44749</v>
      </c>
      <c r="C1477" s="11">
        <v>44749</v>
      </c>
      <c r="D1477" s="49">
        <v>27</v>
      </c>
      <c r="E1477" s="13" t="s">
        <v>1967</v>
      </c>
      <c r="F1477" s="13">
        <v>3025457</v>
      </c>
      <c r="G1477" s="14">
        <v>14705</v>
      </c>
      <c r="H1477" s="15">
        <v>8750</v>
      </c>
      <c r="I1477" s="16">
        <f t="shared" si="221"/>
        <v>128668750</v>
      </c>
      <c r="J1477" s="17">
        <v>28</v>
      </c>
      <c r="K1477" s="34">
        <v>4502363709</v>
      </c>
      <c r="L1477" s="19">
        <v>5082570662</v>
      </c>
      <c r="M1477" s="20">
        <v>5113423410</v>
      </c>
      <c r="N1477" s="23" t="s">
        <v>475</v>
      </c>
      <c r="O1477" s="22" t="s">
        <v>1968</v>
      </c>
      <c r="P1477" s="23" t="s">
        <v>63</v>
      </c>
      <c r="Q1477" s="24" t="s">
        <v>31</v>
      </c>
      <c r="R1477" s="25">
        <v>44744</v>
      </c>
      <c r="S1477" s="28">
        <v>4902298847</v>
      </c>
      <c r="T1477" s="118">
        <f>1648800*2</f>
        <v>3297600</v>
      </c>
      <c r="U1477" s="28" t="s">
        <v>1969</v>
      </c>
      <c r="V1477" s="29">
        <v>5113419532</v>
      </c>
      <c r="W1477" s="35"/>
      <c r="X1477" s="29"/>
      <c r="Y1477" s="36"/>
      <c r="Z1477" s="29"/>
      <c r="AA1477" s="31">
        <f t="shared" si="1"/>
        <v>44744</v>
      </c>
      <c r="AB1477" s="32" t="str">
        <f t="shared" si="5"/>
        <v>julio</v>
      </c>
    </row>
    <row r="1478" spans="1:28" ht="12.75">
      <c r="A1478" s="9" t="s">
        <v>348</v>
      </c>
      <c r="B1478" s="10">
        <v>44744</v>
      </c>
      <c r="C1478" s="11">
        <v>44749</v>
      </c>
      <c r="D1478" s="49">
        <v>27</v>
      </c>
      <c r="E1478" s="13" t="s">
        <v>1970</v>
      </c>
      <c r="F1478" s="13">
        <v>3025457</v>
      </c>
      <c r="G1478" s="14">
        <v>13863</v>
      </c>
      <c r="H1478" s="33">
        <v>8950</v>
      </c>
      <c r="I1478" s="16">
        <f t="shared" si="221"/>
        <v>124073850</v>
      </c>
      <c r="J1478" s="17">
        <v>31</v>
      </c>
      <c r="K1478" s="34">
        <v>4502361064</v>
      </c>
      <c r="L1478" s="19">
        <v>5082570172</v>
      </c>
      <c r="M1478" s="20">
        <v>5113422053</v>
      </c>
      <c r="N1478" s="44"/>
      <c r="O1478" s="9" t="s">
        <v>63</v>
      </c>
      <c r="P1478" s="23"/>
      <c r="Q1478" s="24" t="s">
        <v>31</v>
      </c>
      <c r="R1478" s="25">
        <v>44744</v>
      </c>
      <c r="S1478" s="28"/>
      <c r="T1478" s="35"/>
      <c r="U1478" s="35"/>
      <c r="V1478" s="29"/>
      <c r="W1478" s="35"/>
      <c r="X1478" s="29"/>
      <c r="Y1478" s="36"/>
      <c r="Z1478" s="29"/>
      <c r="AA1478" s="31">
        <f t="shared" si="1"/>
        <v>44744</v>
      </c>
      <c r="AB1478" s="32" t="str">
        <f t="shared" si="5"/>
        <v>julio</v>
      </c>
    </row>
    <row r="1479" spans="1:28" ht="12.75">
      <c r="A1479" s="9" t="s">
        <v>348</v>
      </c>
      <c r="B1479" s="10">
        <v>44749</v>
      </c>
      <c r="C1479" s="11">
        <v>44749</v>
      </c>
      <c r="D1479" s="49">
        <v>27</v>
      </c>
      <c r="E1479" s="13" t="s">
        <v>1971</v>
      </c>
      <c r="F1479" s="13">
        <v>3025457</v>
      </c>
      <c r="G1479" s="14">
        <v>13863</v>
      </c>
      <c r="H1479" s="33">
        <v>100</v>
      </c>
      <c r="I1479" s="16">
        <f>-H1479*G1479</f>
        <v>-1386300</v>
      </c>
      <c r="J1479" s="17">
        <v>0</v>
      </c>
      <c r="K1479" s="34">
        <v>4502361064</v>
      </c>
      <c r="L1479" s="19">
        <v>5082570172</v>
      </c>
      <c r="M1479" s="20">
        <v>5113422054</v>
      </c>
      <c r="N1479" s="44"/>
      <c r="O1479" s="9"/>
      <c r="P1479" s="23"/>
      <c r="Q1479" s="24" t="s">
        <v>31</v>
      </c>
      <c r="R1479" s="25">
        <v>44744</v>
      </c>
      <c r="S1479" s="28"/>
      <c r="T1479" s="35"/>
      <c r="U1479" s="35"/>
      <c r="V1479" s="29"/>
      <c r="W1479" s="35"/>
      <c r="X1479" s="29"/>
      <c r="Y1479" s="36"/>
      <c r="Z1479" s="29"/>
      <c r="AA1479" s="31">
        <f t="shared" si="1"/>
        <v>44744</v>
      </c>
      <c r="AB1479" s="32" t="str">
        <f t="shared" si="5"/>
        <v>julio</v>
      </c>
    </row>
    <row r="1480" spans="1:28" ht="12.75">
      <c r="A1480" s="9" t="s">
        <v>348</v>
      </c>
      <c r="B1480" s="10">
        <v>44750</v>
      </c>
      <c r="C1480" s="11">
        <v>44750</v>
      </c>
      <c r="D1480" s="49">
        <v>27</v>
      </c>
      <c r="E1480" s="13" t="s">
        <v>1972</v>
      </c>
      <c r="F1480" s="13">
        <v>3025457</v>
      </c>
      <c r="G1480" s="14">
        <v>13592</v>
      </c>
      <c r="H1480" s="33">
        <v>8950</v>
      </c>
      <c r="I1480" s="16">
        <f>H1480*G1480</f>
        <v>121648400</v>
      </c>
      <c r="J1480" s="17">
        <v>29</v>
      </c>
      <c r="K1480" s="34">
        <v>4502361065</v>
      </c>
      <c r="L1480" s="19">
        <v>5082570173</v>
      </c>
      <c r="M1480" s="20">
        <v>5113423482</v>
      </c>
      <c r="N1480" s="44"/>
      <c r="O1480" s="9" t="s">
        <v>63</v>
      </c>
      <c r="P1480" s="23"/>
      <c r="Q1480" s="24" t="s">
        <v>31</v>
      </c>
      <c r="R1480" s="25">
        <v>44745</v>
      </c>
      <c r="S1480" s="28"/>
      <c r="T1480" s="35"/>
      <c r="U1480" s="35"/>
      <c r="V1480" s="29"/>
      <c r="W1480" s="35"/>
      <c r="X1480" s="29"/>
      <c r="Y1480" s="36"/>
      <c r="Z1480" s="29"/>
      <c r="AA1480" s="31">
        <f t="shared" si="1"/>
        <v>44745</v>
      </c>
      <c r="AB1480" s="32" t="str">
        <f t="shared" si="5"/>
        <v>julio</v>
      </c>
    </row>
    <row r="1481" spans="1:28" ht="12.75">
      <c r="A1481" s="9" t="s">
        <v>348</v>
      </c>
      <c r="B1481" s="10">
        <v>44750</v>
      </c>
      <c r="C1481" s="11">
        <v>44750</v>
      </c>
      <c r="D1481" s="49">
        <v>27</v>
      </c>
      <c r="E1481" s="13" t="s">
        <v>1973</v>
      </c>
      <c r="F1481" s="13">
        <v>3025457</v>
      </c>
      <c r="G1481" s="14">
        <v>13592</v>
      </c>
      <c r="H1481" s="33">
        <v>100</v>
      </c>
      <c r="I1481" s="16">
        <f>-H1481*G1481</f>
        <v>-1359200</v>
      </c>
      <c r="J1481" s="17">
        <v>0</v>
      </c>
      <c r="K1481" s="34">
        <v>4502361065</v>
      </c>
      <c r="L1481" s="19">
        <v>5082570173</v>
      </c>
      <c r="M1481" s="20">
        <v>5113423483</v>
      </c>
      <c r="N1481" s="44"/>
      <c r="O1481" s="9"/>
      <c r="P1481" s="23"/>
      <c r="Q1481" s="24" t="s">
        <v>31</v>
      </c>
      <c r="R1481" s="25">
        <v>44745</v>
      </c>
      <c r="S1481" s="28"/>
      <c r="T1481" s="35"/>
      <c r="U1481" s="35"/>
      <c r="V1481" s="29"/>
      <c r="W1481" s="35"/>
      <c r="X1481" s="29"/>
      <c r="Y1481" s="36"/>
      <c r="Z1481" s="29"/>
      <c r="AA1481" s="31">
        <f t="shared" si="1"/>
        <v>44745</v>
      </c>
      <c r="AB1481" s="32" t="str">
        <f t="shared" si="5"/>
        <v>julio</v>
      </c>
    </row>
    <row r="1482" spans="1:28" ht="12.75">
      <c r="A1482" s="9" t="s">
        <v>80</v>
      </c>
      <c r="B1482" s="10">
        <v>44745</v>
      </c>
      <c r="C1482" s="11">
        <v>44747</v>
      </c>
      <c r="D1482" s="49">
        <v>27</v>
      </c>
      <c r="E1482" s="13" t="s">
        <v>1974</v>
      </c>
      <c r="F1482" s="13">
        <v>3025457</v>
      </c>
      <c r="G1482" s="14">
        <v>20122</v>
      </c>
      <c r="H1482" s="15">
        <v>8750</v>
      </c>
      <c r="I1482" s="16">
        <f t="shared" ref="I1482:I1483" si="222">H1482*G1482</f>
        <v>176067500</v>
      </c>
      <c r="J1482" s="17">
        <v>42</v>
      </c>
      <c r="K1482" s="34">
        <v>4502363711</v>
      </c>
      <c r="L1482" s="19">
        <v>5082570667</v>
      </c>
      <c r="M1482" s="20">
        <v>5113423553</v>
      </c>
      <c r="N1482" s="23" t="s">
        <v>37</v>
      </c>
      <c r="O1482" s="22" t="s">
        <v>1057</v>
      </c>
      <c r="P1482" s="23" t="s">
        <v>37</v>
      </c>
      <c r="Q1482" s="24" t="s">
        <v>31</v>
      </c>
      <c r="R1482" s="25">
        <v>44745</v>
      </c>
      <c r="S1482" s="28">
        <v>4902298849</v>
      </c>
      <c r="T1482" s="28">
        <v>4792500</v>
      </c>
      <c r="U1482" s="28" t="s">
        <v>1975</v>
      </c>
      <c r="V1482" s="29">
        <v>5113435720</v>
      </c>
      <c r="W1482" s="35"/>
      <c r="X1482" s="29"/>
      <c r="Y1482" s="36"/>
      <c r="Z1482" s="29"/>
      <c r="AA1482" s="31">
        <f t="shared" si="1"/>
        <v>44745</v>
      </c>
      <c r="AB1482" s="32" t="str">
        <f t="shared" si="5"/>
        <v>julio</v>
      </c>
    </row>
    <row r="1483" spans="1:28" ht="12.75">
      <c r="A1483" s="9" t="s">
        <v>233</v>
      </c>
      <c r="B1483" s="10">
        <v>44746</v>
      </c>
      <c r="C1483" s="11"/>
      <c r="D1483" s="49">
        <v>27</v>
      </c>
      <c r="E1483" s="13" t="s">
        <v>1976</v>
      </c>
      <c r="F1483" s="13">
        <v>3025459</v>
      </c>
      <c r="G1483" s="37">
        <v>14931.5</v>
      </c>
      <c r="H1483" s="33">
        <v>9000</v>
      </c>
      <c r="I1483" s="16">
        <f t="shared" si="222"/>
        <v>134383500</v>
      </c>
      <c r="J1483" s="17">
        <v>29</v>
      </c>
      <c r="K1483" s="34">
        <v>4502361066</v>
      </c>
      <c r="L1483" s="19">
        <v>5082570277</v>
      </c>
      <c r="M1483" s="20">
        <v>5113422050</v>
      </c>
      <c r="N1483" s="23"/>
      <c r="O1483" s="9" t="s">
        <v>37</v>
      </c>
      <c r="P1483" s="23"/>
      <c r="Q1483" s="24" t="s">
        <v>31</v>
      </c>
      <c r="R1483" s="25">
        <v>44746</v>
      </c>
      <c r="S1483" s="28"/>
      <c r="T1483" s="35"/>
      <c r="U1483" s="35"/>
      <c r="V1483" s="29"/>
      <c r="W1483" s="35"/>
      <c r="X1483" s="29"/>
      <c r="Y1483" s="36"/>
      <c r="Z1483" s="29"/>
      <c r="AA1483" s="31">
        <f t="shared" si="1"/>
        <v>44746</v>
      </c>
      <c r="AB1483" s="32" t="str">
        <f t="shared" si="5"/>
        <v>julio</v>
      </c>
    </row>
    <row r="1484" spans="1:28" ht="12.75">
      <c r="A1484" s="9" t="s">
        <v>233</v>
      </c>
      <c r="B1484" s="10">
        <v>44746</v>
      </c>
      <c r="C1484" s="11"/>
      <c r="D1484" s="49">
        <v>27</v>
      </c>
      <c r="E1484" s="13">
        <v>1096797</v>
      </c>
      <c r="F1484" s="13">
        <v>3025459</v>
      </c>
      <c r="G1484" s="37">
        <v>14931.5</v>
      </c>
      <c r="H1484" s="33">
        <f>9000-8859.87</f>
        <v>140.1299999999992</v>
      </c>
      <c r="I1484" s="16">
        <f>-H1484*G1484</f>
        <v>-2092351.0949999881</v>
      </c>
      <c r="J1484" s="17">
        <v>0</v>
      </c>
      <c r="K1484" s="34">
        <v>4502361066</v>
      </c>
      <c r="L1484" s="19">
        <v>5082570277</v>
      </c>
      <c r="M1484" s="20">
        <v>5113422051</v>
      </c>
      <c r="N1484" s="23"/>
      <c r="O1484" s="9"/>
      <c r="P1484" s="23"/>
      <c r="Q1484" s="24" t="s">
        <v>31</v>
      </c>
      <c r="R1484" s="25">
        <v>44746</v>
      </c>
      <c r="S1484" s="28"/>
      <c r="T1484" s="35"/>
      <c r="U1484" s="35"/>
      <c r="V1484" s="29"/>
      <c r="W1484" s="35"/>
      <c r="X1484" s="29"/>
      <c r="Y1484" s="36"/>
      <c r="Z1484" s="29"/>
      <c r="AA1484" s="31">
        <f t="shared" si="1"/>
        <v>44746</v>
      </c>
      <c r="AB1484" s="32" t="str">
        <f t="shared" si="5"/>
        <v>julio</v>
      </c>
    </row>
    <row r="1485" spans="1:28" ht="12.75">
      <c r="A1485" s="9" t="s">
        <v>58</v>
      </c>
      <c r="B1485" s="10">
        <v>44749</v>
      </c>
      <c r="C1485" s="11">
        <v>44749</v>
      </c>
      <c r="D1485" s="49">
        <v>27</v>
      </c>
      <c r="E1485" s="13" t="s">
        <v>1977</v>
      </c>
      <c r="F1485" s="13">
        <v>3025459</v>
      </c>
      <c r="G1485" s="14">
        <v>14063</v>
      </c>
      <c r="H1485" s="33">
        <v>9350</v>
      </c>
      <c r="I1485" s="16">
        <f>H1485*G1485</f>
        <v>131489050</v>
      </c>
      <c r="J1485" s="17">
        <v>31</v>
      </c>
      <c r="K1485" s="34">
        <v>4502361068</v>
      </c>
      <c r="L1485" s="19">
        <v>5082570438</v>
      </c>
      <c r="M1485" s="20">
        <v>5113423978</v>
      </c>
      <c r="N1485" s="23"/>
      <c r="O1485" s="9" t="s">
        <v>37</v>
      </c>
      <c r="P1485" s="23"/>
      <c r="Q1485" s="24" t="s">
        <v>31</v>
      </c>
      <c r="R1485" s="25">
        <v>44746</v>
      </c>
      <c r="S1485" s="28"/>
      <c r="T1485" s="35"/>
      <c r="U1485" s="35"/>
      <c r="V1485" s="29"/>
      <c r="W1485" s="35"/>
      <c r="X1485" s="29"/>
      <c r="Y1485" s="36"/>
      <c r="Z1485" s="29"/>
      <c r="AA1485" s="31">
        <f t="shared" si="1"/>
        <v>44746</v>
      </c>
      <c r="AB1485" s="32" t="str">
        <f t="shared" si="5"/>
        <v>julio</v>
      </c>
    </row>
    <row r="1486" spans="1:28" ht="12.75">
      <c r="A1486" s="9" t="s">
        <v>58</v>
      </c>
      <c r="B1486" s="10">
        <v>44749</v>
      </c>
      <c r="C1486" s="11">
        <v>44749</v>
      </c>
      <c r="D1486" s="49">
        <v>27</v>
      </c>
      <c r="E1486" s="13" t="s">
        <v>1978</v>
      </c>
      <c r="F1486" s="13">
        <v>3025459</v>
      </c>
      <c r="G1486" s="14">
        <v>14063</v>
      </c>
      <c r="H1486" s="33">
        <f>9350-9183.65</f>
        <v>166.35000000000036</v>
      </c>
      <c r="I1486" s="16">
        <f>-H1486*G1486</f>
        <v>-2339380.0500000049</v>
      </c>
      <c r="J1486" s="17">
        <v>0</v>
      </c>
      <c r="K1486" s="34">
        <v>4502361068</v>
      </c>
      <c r="L1486" s="19">
        <v>5082570438</v>
      </c>
      <c r="M1486" s="20">
        <v>5113423979</v>
      </c>
      <c r="N1486" s="23"/>
      <c r="O1486" s="9"/>
      <c r="P1486" s="23"/>
      <c r="Q1486" s="24" t="s">
        <v>31</v>
      </c>
      <c r="R1486" s="25">
        <v>44746</v>
      </c>
      <c r="S1486" s="28"/>
      <c r="T1486" s="35"/>
      <c r="U1486" s="35"/>
      <c r="V1486" s="29"/>
      <c r="W1486" s="35"/>
      <c r="X1486" s="29"/>
      <c r="Y1486" s="36"/>
      <c r="Z1486" s="29"/>
      <c r="AA1486" s="31">
        <f t="shared" si="1"/>
        <v>44746</v>
      </c>
      <c r="AB1486" s="32" t="str">
        <f t="shared" si="5"/>
        <v>julio</v>
      </c>
    </row>
    <row r="1487" spans="1:28" ht="12.75">
      <c r="A1487" s="9" t="s">
        <v>80</v>
      </c>
      <c r="B1487" s="10">
        <v>44747</v>
      </c>
      <c r="C1487" s="11">
        <v>44748</v>
      </c>
      <c r="D1487" s="49">
        <v>27</v>
      </c>
      <c r="E1487" s="13" t="s">
        <v>1979</v>
      </c>
      <c r="F1487" s="13">
        <v>3025457</v>
      </c>
      <c r="G1487" s="14">
        <v>20175</v>
      </c>
      <c r="H1487" s="15">
        <v>8750</v>
      </c>
      <c r="I1487" s="16">
        <f t="shared" ref="I1487:I1490" si="223">H1487*G1487</f>
        <v>176531250</v>
      </c>
      <c r="J1487" s="17">
        <v>42</v>
      </c>
      <c r="K1487" s="34">
        <v>4502364997</v>
      </c>
      <c r="L1487" s="19">
        <v>5082592201</v>
      </c>
      <c r="M1487" s="20">
        <v>5113432343</v>
      </c>
      <c r="N1487" s="23" t="s">
        <v>37</v>
      </c>
      <c r="O1487" s="22" t="s">
        <v>1980</v>
      </c>
      <c r="P1487" s="23" t="s">
        <v>37</v>
      </c>
      <c r="Q1487" s="24" t="s">
        <v>31</v>
      </c>
      <c r="R1487" s="25">
        <v>44747</v>
      </c>
      <c r="S1487" s="28">
        <v>4902298853</v>
      </c>
      <c r="T1487" s="35">
        <v>4473000</v>
      </c>
      <c r="U1487" s="28" t="s">
        <v>1981</v>
      </c>
      <c r="V1487" s="29">
        <v>5113431305</v>
      </c>
      <c r="W1487" s="35"/>
      <c r="X1487" s="29"/>
      <c r="Y1487" s="36"/>
      <c r="Z1487" s="29"/>
      <c r="AA1487" s="31">
        <f t="shared" si="1"/>
        <v>44747</v>
      </c>
      <c r="AB1487" s="32" t="str">
        <f t="shared" si="5"/>
        <v>julio</v>
      </c>
    </row>
    <row r="1488" spans="1:28" ht="12.75">
      <c r="A1488" s="9" t="s">
        <v>85</v>
      </c>
      <c r="B1488" s="10">
        <v>44747</v>
      </c>
      <c r="C1488" s="11">
        <v>44750</v>
      </c>
      <c r="D1488" s="49">
        <v>27</v>
      </c>
      <c r="E1488" s="13" t="s">
        <v>1982</v>
      </c>
      <c r="F1488" s="13">
        <v>3025457</v>
      </c>
      <c r="G1488" s="14">
        <v>13847</v>
      </c>
      <c r="H1488" s="15">
        <v>8750</v>
      </c>
      <c r="I1488" s="16">
        <f t="shared" si="223"/>
        <v>121161250</v>
      </c>
      <c r="J1488" s="17">
        <v>28</v>
      </c>
      <c r="K1488" s="34">
        <v>4502364669</v>
      </c>
      <c r="L1488" s="19">
        <v>5082588559</v>
      </c>
      <c r="M1488" s="20">
        <v>5113426712</v>
      </c>
      <c r="N1488" s="44" t="s">
        <v>63</v>
      </c>
      <c r="O1488" s="22" t="s">
        <v>1084</v>
      </c>
      <c r="P1488" s="23"/>
      <c r="Q1488" s="24" t="s">
        <v>31</v>
      </c>
      <c r="R1488" s="25">
        <v>44747</v>
      </c>
      <c r="S1488" s="28">
        <v>4902298854</v>
      </c>
      <c r="T1488" s="35">
        <f>1793900*2</f>
        <v>3587800</v>
      </c>
      <c r="U1488" s="28" t="s">
        <v>1983</v>
      </c>
      <c r="V1488" s="29">
        <v>5113419805</v>
      </c>
      <c r="W1488" s="35"/>
      <c r="X1488" s="29"/>
      <c r="Y1488" s="36"/>
      <c r="Z1488" s="29"/>
      <c r="AA1488" s="31">
        <f t="shared" si="1"/>
        <v>44747</v>
      </c>
      <c r="AB1488" s="32" t="str">
        <f t="shared" si="5"/>
        <v>julio</v>
      </c>
    </row>
    <row r="1489" spans="1:28" ht="12.75">
      <c r="A1489" s="9" t="s">
        <v>1984</v>
      </c>
      <c r="B1489" s="10">
        <v>44749</v>
      </c>
      <c r="C1489" s="11">
        <v>44749</v>
      </c>
      <c r="D1489" s="49">
        <v>27</v>
      </c>
      <c r="E1489" s="13" t="s">
        <v>1985</v>
      </c>
      <c r="F1489" s="13">
        <v>3025457</v>
      </c>
      <c r="G1489" s="14">
        <v>13022</v>
      </c>
      <c r="H1489" s="33">
        <v>9100</v>
      </c>
      <c r="I1489" s="16">
        <f t="shared" si="223"/>
        <v>118500200</v>
      </c>
      <c r="J1489" s="17">
        <v>28</v>
      </c>
      <c r="K1489" s="34">
        <v>4502364771</v>
      </c>
      <c r="L1489" s="19">
        <v>5082603241</v>
      </c>
      <c r="M1489" s="20">
        <v>5113423462</v>
      </c>
      <c r="N1489" s="23"/>
      <c r="O1489" s="22" t="s">
        <v>63</v>
      </c>
      <c r="P1489" s="23"/>
      <c r="Q1489" s="24" t="s">
        <v>31</v>
      </c>
      <c r="R1489" s="25">
        <v>44747</v>
      </c>
      <c r="S1489" s="28"/>
      <c r="T1489" s="35"/>
      <c r="U1489" s="35"/>
      <c r="V1489" s="29"/>
      <c r="W1489" s="35"/>
      <c r="X1489" s="29"/>
      <c r="Y1489" s="36"/>
      <c r="Z1489" s="29"/>
      <c r="AA1489" s="31">
        <f t="shared" si="1"/>
        <v>44747</v>
      </c>
      <c r="AB1489" s="32" t="str">
        <f t="shared" si="5"/>
        <v>julio</v>
      </c>
    </row>
    <row r="1490" spans="1:28" ht="12.75">
      <c r="A1490" s="45" t="s">
        <v>145</v>
      </c>
      <c r="B1490" s="10">
        <v>44750</v>
      </c>
      <c r="C1490" s="11">
        <v>44750</v>
      </c>
      <c r="D1490" s="49">
        <v>27</v>
      </c>
      <c r="E1490" s="13" t="s">
        <v>1986</v>
      </c>
      <c r="F1490" s="13">
        <v>3025457</v>
      </c>
      <c r="G1490" s="37">
        <v>6928.5</v>
      </c>
      <c r="H1490" s="33">
        <v>9050</v>
      </c>
      <c r="I1490" s="16">
        <f t="shared" si="223"/>
        <v>62702925</v>
      </c>
      <c r="J1490" s="17">
        <v>14</v>
      </c>
      <c r="K1490" s="34">
        <v>4502361069</v>
      </c>
      <c r="L1490" s="19">
        <v>5082587159</v>
      </c>
      <c r="M1490" s="20">
        <v>5113426826</v>
      </c>
      <c r="N1490" s="23"/>
      <c r="O1490" s="23" t="s">
        <v>37</v>
      </c>
      <c r="P1490" s="23"/>
      <c r="Q1490" s="24" t="s">
        <v>31</v>
      </c>
      <c r="R1490" s="25">
        <v>44747</v>
      </c>
      <c r="S1490" s="28"/>
      <c r="T1490" s="35"/>
      <c r="U1490" s="35"/>
      <c r="V1490" s="29"/>
      <c r="W1490" s="35"/>
      <c r="X1490" s="29"/>
      <c r="Y1490" s="36"/>
      <c r="Z1490" s="29"/>
      <c r="AA1490" s="31">
        <f t="shared" si="1"/>
        <v>44747</v>
      </c>
      <c r="AB1490" s="32" t="str">
        <f t="shared" si="5"/>
        <v>julio</v>
      </c>
    </row>
    <row r="1491" spans="1:28" ht="12.75">
      <c r="A1491" s="45" t="s">
        <v>145</v>
      </c>
      <c r="B1491" s="10">
        <v>44750</v>
      </c>
      <c r="C1491" s="11"/>
      <c r="D1491" s="49">
        <v>27</v>
      </c>
      <c r="E1491" s="13" t="s">
        <v>1987</v>
      </c>
      <c r="F1491" s="13">
        <v>3025457</v>
      </c>
      <c r="G1491" s="37">
        <v>6928.5</v>
      </c>
      <c r="H1491" s="33">
        <v>50</v>
      </c>
      <c r="I1491" s="16">
        <f>-H1491*G1491</f>
        <v>-346425</v>
      </c>
      <c r="J1491" s="17">
        <v>0</v>
      </c>
      <c r="K1491" s="34">
        <v>4502361069</v>
      </c>
      <c r="L1491" s="19">
        <v>5082587159</v>
      </c>
      <c r="M1491" s="20">
        <v>5113426830</v>
      </c>
      <c r="N1491" s="23"/>
      <c r="O1491" s="9"/>
      <c r="P1491" s="23"/>
      <c r="Q1491" s="24" t="s">
        <v>31</v>
      </c>
      <c r="R1491" s="25">
        <v>44747</v>
      </c>
      <c r="S1491" s="28"/>
      <c r="T1491" s="35"/>
      <c r="U1491" s="35"/>
      <c r="V1491" s="29"/>
      <c r="W1491" s="35"/>
      <c r="X1491" s="29"/>
      <c r="Y1491" s="36"/>
      <c r="Z1491" s="29"/>
      <c r="AA1491" s="31">
        <f t="shared" si="1"/>
        <v>44747</v>
      </c>
      <c r="AB1491" s="32" t="str">
        <f t="shared" si="5"/>
        <v>julio</v>
      </c>
    </row>
    <row r="1492" spans="1:28" ht="12.75">
      <c r="A1492" s="9" t="s">
        <v>39</v>
      </c>
      <c r="B1492" s="10">
        <v>44747</v>
      </c>
      <c r="C1492" s="11">
        <v>44749</v>
      </c>
      <c r="D1492" s="49">
        <v>27</v>
      </c>
      <c r="E1492" s="13" t="s">
        <v>1988</v>
      </c>
      <c r="F1492" s="13">
        <v>3025457</v>
      </c>
      <c r="G1492" s="14">
        <v>7171</v>
      </c>
      <c r="H1492" s="33">
        <v>9350</v>
      </c>
      <c r="I1492" s="16">
        <f>H1492*G1492</f>
        <v>67048850</v>
      </c>
      <c r="J1492" s="17">
        <v>15</v>
      </c>
      <c r="K1492" s="34">
        <v>4502361070</v>
      </c>
      <c r="L1492" s="19">
        <v>5082588706</v>
      </c>
      <c r="M1492" s="20">
        <v>5113424469</v>
      </c>
      <c r="N1492" s="23"/>
      <c r="O1492" s="23" t="s">
        <v>37</v>
      </c>
      <c r="P1492" s="23"/>
      <c r="Q1492" s="24" t="s">
        <v>31</v>
      </c>
      <c r="R1492" s="25">
        <v>44747</v>
      </c>
      <c r="S1492" s="28"/>
      <c r="T1492" s="35"/>
      <c r="U1492" s="35"/>
      <c r="V1492" s="29"/>
      <c r="W1492" s="35"/>
      <c r="X1492" s="29"/>
      <c r="Y1492" s="36"/>
      <c r="Z1492" s="29"/>
      <c r="AA1492" s="31">
        <f t="shared" si="1"/>
        <v>44747</v>
      </c>
      <c r="AB1492" s="32" t="str">
        <f t="shared" si="5"/>
        <v>julio</v>
      </c>
    </row>
    <row r="1493" spans="1:28" ht="12.75">
      <c r="A1493" s="9" t="s">
        <v>39</v>
      </c>
      <c r="B1493" s="10">
        <v>44749</v>
      </c>
      <c r="C1493" s="11">
        <v>44749</v>
      </c>
      <c r="D1493" s="49">
        <v>27</v>
      </c>
      <c r="E1493" s="13" t="s">
        <v>418</v>
      </c>
      <c r="F1493" s="13">
        <v>3025457</v>
      </c>
      <c r="G1493" s="14">
        <v>7171</v>
      </c>
      <c r="H1493" s="33">
        <v>100</v>
      </c>
      <c r="I1493" s="16">
        <f>-H1493*G1493</f>
        <v>-717100</v>
      </c>
      <c r="J1493" s="17">
        <v>0</v>
      </c>
      <c r="K1493" s="34">
        <v>4502361070</v>
      </c>
      <c r="L1493" s="19">
        <v>5082588706</v>
      </c>
      <c r="M1493" s="20">
        <v>5113424471</v>
      </c>
      <c r="N1493" s="23"/>
      <c r="O1493" s="9"/>
      <c r="P1493" s="23"/>
      <c r="Q1493" s="24" t="s">
        <v>31</v>
      </c>
      <c r="R1493" s="25">
        <v>44747</v>
      </c>
      <c r="S1493" s="28"/>
      <c r="T1493" s="35"/>
      <c r="U1493" s="35"/>
      <c r="V1493" s="29"/>
      <c r="W1493" s="35"/>
      <c r="X1493" s="29"/>
      <c r="Y1493" s="36"/>
      <c r="Z1493" s="29"/>
      <c r="AA1493" s="31">
        <f t="shared" si="1"/>
        <v>44747</v>
      </c>
      <c r="AB1493" s="32" t="str">
        <f t="shared" si="5"/>
        <v>julio</v>
      </c>
    </row>
    <row r="1494" spans="1:28" ht="12.75">
      <c r="A1494" s="9" t="s">
        <v>39</v>
      </c>
      <c r="B1494" s="10">
        <v>44749</v>
      </c>
      <c r="C1494" s="11">
        <v>44749</v>
      </c>
      <c r="D1494" s="49">
        <v>27</v>
      </c>
      <c r="E1494" s="13" t="s">
        <v>1989</v>
      </c>
      <c r="F1494" s="13">
        <v>3025459</v>
      </c>
      <c r="G1494" s="14">
        <v>6701</v>
      </c>
      <c r="H1494" s="33">
        <v>9350</v>
      </c>
      <c r="I1494" s="16">
        <f>H1494*G1494</f>
        <v>62654350</v>
      </c>
      <c r="J1494" s="17">
        <v>15</v>
      </c>
      <c r="K1494" s="34">
        <v>4502361071</v>
      </c>
      <c r="L1494" s="19">
        <v>5082588707</v>
      </c>
      <c r="M1494" s="20">
        <v>5113424473</v>
      </c>
      <c r="N1494" s="23"/>
      <c r="O1494" s="23" t="s">
        <v>37</v>
      </c>
      <c r="P1494" s="23"/>
      <c r="Q1494" s="24" t="s">
        <v>31</v>
      </c>
      <c r="R1494" s="25">
        <v>44747</v>
      </c>
      <c r="S1494" s="28"/>
      <c r="T1494" s="35"/>
      <c r="U1494" s="35"/>
      <c r="V1494" s="29"/>
      <c r="W1494" s="35"/>
      <c r="X1494" s="29"/>
      <c r="Y1494" s="36"/>
      <c r="Z1494" s="29"/>
      <c r="AA1494" s="31">
        <f t="shared" si="1"/>
        <v>44747</v>
      </c>
      <c r="AB1494" s="32" t="str">
        <f t="shared" si="5"/>
        <v>julio</v>
      </c>
    </row>
    <row r="1495" spans="1:28" ht="12.75">
      <c r="A1495" s="9" t="s">
        <v>39</v>
      </c>
      <c r="B1495" s="10">
        <v>44749</v>
      </c>
      <c r="C1495" s="11">
        <v>44749</v>
      </c>
      <c r="D1495" s="49">
        <v>27</v>
      </c>
      <c r="E1495" s="13" t="s">
        <v>1990</v>
      </c>
      <c r="F1495" s="13">
        <v>3025459</v>
      </c>
      <c r="G1495" s="14">
        <v>6701</v>
      </c>
      <c r="H1495" s="33">
        <f>9350-9294.04</f>
        <v>55.959999999999127</v>
      </c>
      <c r="I1495" s="16">
        <f>-H1495*G1495</f>
        <v>-374987.95999999414</v>
      </c>
      <c r="J1495" s="17">
        <v>0</v>
      </c>
      <c r="K1495" s="34">
        <v>4502361071</v>
      </c>
      <c r="L1495" s="19">
        <v>5082588707</v>
      </c>
      <c r="M1495" s="20">
        <v>5113424474</v>
      </c>
      <c r="N1495" s="23"/>
      <c r="O1495" s="9"/>
      <c r="P1495" s="23"/>
      <c r="Q1495" s="24" t="s">
        <v>31</v>
      </c>
      <c r="R1495" s="25">
        <v>44747</v>
      </c>
      <c r="S1495" s="28"/>
      <c r="T1495" s="35"/>
      <c r="U1495" s="35"/>
      <c r="V1495" s="29"/>
      <c r="W1495" s="35"/>
      <c r="X1495" s="29"/>
      <c r="Y1495" s="36"/>
      <c r="Z1495" s="29"/>
      <c r="AA1495" s="31">
        <f t="shared" si="1"/>
        <v>44747</v>
      </c>
      <c r="AB1495" s="32" t="str">
        <f t="shared" si="5"/>
        <v>julio</v>
      </c>
    </row>
    <row r="1496" spans="1:28" ht="12.75">
      <c r="A1496" s="22" t="s">
        <v>404</v>
      </c>
      <c r="B1496" s="10">
        <v>44747</v>
      </c>
      <c r="C1496" s="11">
        <v>44749</v>
      </c>
      <c r="D1496" s="49">
        <v>27</v>
      </c>
      <c r="E1496" s="13" t="s">
        <v>1991</v>
      </c>
      <c r="F1496" s="13">
        <v>3025459</v>
      </c>
      <c r="G1496" s="14">
        <v>28245</v>
      </c>
      <c r="H1496" s="33">
        <v>9350</v>
      </c>
      <c r="I1496" s="16">
        <f>H1496*G1496</f>
        <v>264090750</v>
      </c>
      <c r="J1496" s="17">
        <v>60</v>
      </c>
      <c r="K1496" s="34">
        <v>4502366636</v>
      </c>
      <c r="L1496" s="19">
        <v>5082624713</v>
      </c>
      <c r="M1496" s="20">
        <v>5113424475</v>
      </c>
      <c r="N1496" s="23"/>
      <c r="O1496" s="44" t="s">
        <v>37</v>
      </c>
      <c r="P1496" s="23"/>
      <c r="Q1496" s="24" t="s">
        <v>31</v>
      </c>
      <c r="R1496" s="25">
        <v>44747</v>
      </c>
      <c r="S1496" s="28"/>
      <c r="T1496" s="35"/>
      <c r="U1496" s="35"/>
      <c r="V1496" s="29"/>
      <c r="W1496" s="35"/>
      <c r="X1496" s="29"/>
      <c r="Y1496" s="36"/>
      <c r="Z1496" s="29"/>
      <c r="AA1496" s="31">
        <f t="shared" si="1"/>
        <v>44747</v>
      </c>
      <c r="AB1496" s="32" t="str">
        <f t="shared" si="5"/>
        <v>julio</v>
      </c>
    </row>
    <row r="1497" spans="1:28" ht="12.75">
      <c r="A1497" s="22" t="s">
        <v>404</v>
      </c>
      <c r="B1497" s="10">
        <v>44749</v>
      </c>
      <c r="C1497" s="11">
        <v>44749</v>
      </c>
      <c r="D1497" s="49">
        <v>27</v>
      </c>
      <c r="E1497" s="13" t="s">
        <v>202</v>
      </c>
      <c r="F1497" s="13">
        <v>3025459</v>
      </c>
      <c r="G1497" s="14">
        <v>28245</v>
      </c>
      <c r="H1497" s="33">
        <v>100</v>
      </c>
      <c r="I1497" s="16">
        <f>-H1497*G1497</f>
        <v>-2824500</v>
      </c>
      <c r="J1497" s="17">
        <v>0</v>
      </c>
      <c r="K1497" s="34">
        <v>4502366636</v>
      </c>
      <c r="L1497" s="19">
        <v>5082624713</v>
      </c>
      <c r="M1497" s="20">
        <v>5113424476</v>
      </c>
      <c r="N1497" s="23"/>
      <c r="O1497" s="9"/>
      <c r="P1497" s="23"/>
      <c r="Q1497" s="24" t="s">
        <v>31</v>
      </c>
      <c r="R1497" s="25">
        <v>44747</v>
      </c>
      <c r="S1497" s="28"/>
      <c r="T1497" s="35"/>
      <c r="U1497" s="35"/>
      <c r="V1497" s="29"/>
      <c r="W1497" s="35"/>
      <c r="X1497" s="29"/>
      <c r="Y1497" s="36"/>
      <c r="Z1497" s="29"/>
      <c r="AA1497" s="31">
        <f t="shared" si="1"/>
        <v>44747</v>
      </c>
      <c r="AB1497" s="32" t="str">
        <f t="shared" si="5"/>
        <v>julio</v>
      </c>
    </row>
    <row r="1498" spans="1:28" ht="12.75">
      <c r="A1498" s="9" t="s">
        <v>58</v>
      </c>
      <c r="B1498" s="10">
        <v>44749</v>
      </c>
      <c r="C1498" s="11">
        <v>44749</v>
      </c>
      <c r="D1498" s="49">
        <v>27</v>
      </c>
      <c r="E1498" s="13" t="s">
        <v>1992</v>
      </c>
      <c r="F1498" s="13">
        <v>3025462</v>
      </c>
      <c r="G1498" s="14">
        <v>5528</v>
      </c>
      <c r="H1498" s="57">
        <v>7800</v>
      </c>
      <c r="I1498" s="16">
        <f t="shared" ref="I1498:I1499" si="224">H1498*G1498</f>
        <v>43118400</v>
      </c>
      <c r="J1498" s="17">
        <v>20</v>
      </c>
      <c r="K1498" s="34">
        <v>4502365223</v>
      </c>
      <c r="L1498" s="19">
        <v>5082601191</v>
      </c>
      <c r="M1498" s="20">
        <v>5113423980</v>
      </c>
      <c r="N1498" s="23"/>
      <c r="O1498" s="9" t="s">
        <v>37</v>
      </c>
      <c r="P1498" s="23"/>
      <c r="Q1498" s="24" t="s">
        <v>357</v>
      </c>
      <c r="R1498" s="25">
        <v>44748</v>
      </c>
      <c r="S1498" s="28"/>
      <c r="T1498" s="35"/>
      <c r="U1498" s="35"/>
      <c r="V1498" s="29"/>
      <c r="W1498" s="35"/>
      <c r="X1498" s="29"/>
      <c r="Y1498" s="36"/>
      <c r="Z1498" s="29"/>
      <c r="AA1498" s="31">
        <f t="shared" si="1"/>
        <v>44748</v>
      </c>
      <c r="AB1498" s="32" t="str">
        <f t="shared" si="5"/>
        <v>julio</v>
      </c>
    </row>
    <row r="1499" spans="1:28" ht="12.75">
      <c r="A1499" s="9" t="s">
        <v>39</v>
      </c>
      <c r="B1499" s="10">
        <v>44750</v>
      </c>
      <c r="C1499" s="11">
        <v>44753</v>
      </c>
      <c r="D1499" s="53">
        <v>28</v>
      </c>
      <c r="E1499" s="13" t="s">
        <v>1993</v>
      </c>
      <c r="F1499" s="13">
        <v>3025457</v>
      </c>
      <c r="G1499" s="14">
        <v>7087</v>
      </c>
      <c r="H1499" s="33">
        <v>9250</v>
      </c>
      <c r="I1499" s="16">
        <f t="shared" si="224"/>
        <v>65554750</v>
      </c>
      <c r="J1499" s="17">
        <v>15</v>
      </c>
      <c r="K1499" s="34">
        <v>4502364822</v>
      </c>
      <c r="L1499" s="19">
        <v>5082622602</v>
      </c>
      <c r="M1499" s="20">
        <v>5113429483</v>
      </c>
      <c r="N1499" s="23"/>
      <c r="O1499" s="23" t="s">
        <v>37</v>
      </c>
      <c r="P1499" s="23"/>
      <c r="Q1499" s="24" t="s">
        <v>31</v>
      </c>
      <c r="R1499" s="25">
        <v>44749</v>
      </c>
      <c r="S1499" s="28"/>
      <c r="T1499" s="35"/>
      <c r="U1499" s="35"/>
      <c r="V1499" s="29"/>
      <c r="W1499" s="35"/>
      <c r="X1499" s="29"/>
      <c r="Y1499" s="36"/>
      <c r="Z1499" s="29"/>
      <c r="AA1499" s="31">
        <f t="shared" si="1"/>
        <v>44749</v>
      </c>
      <c r="AB1499" s="32" t="str">
        <f t="shared" si="5"/>
        <v>julio</v>
      </c>
    </row>
    <row r="1500" spans="1:28" ht="12.75">
      <c r="A1500" s="9" t="s">
        <v>39</v>
      </c>
      <c r="B1500" s="10">
        <v>44753</v>
      </c>
      <c r="C1500" s="11">
        <v>44753</v>
      </c>
      <c r="D1500" s="53">
        <v>28</v>
      </c>
      <c r="E1500" s="13" t="s">
        <v>554</v>
      </c>
      <c r="F1500" s="13">
        <v>3025457</v>
      </c>
      <c r="G1500" s="14">
        <v>7087</v>
      </c>
      <c r="H1500" s="33">
        <v>50</v>
      </c>
      <c r="I1500" s="16">
        <f>-H1500*G1500</f>
        <v>-354350</v>
      </c>
      <c r="J1500" s="17">
        <v>0</v>
      </c>
      <c r="K1500" s="34">
        <v>4502364822</v>
      </c>
      <c r="L1500" s="19">
        <v>5082622602</v>
      </c>
      <c r="M1500" s="20">
        <v>5113429485</v>
      </c>
      <c r="N1500" s="23"/>
      <c r="O1500" s="9"/>
      <c r="P1500" s="23"/>
      <c r="Q1500" s="24" t="s">
        <v>31</v>
      </c>
      <c r="R1500" s="25">
        <v>44749</v>
      </c>
      <c r="S1500" s="28"/>
      <c r="T1500" s="35"/>
      <c r="U1500" s="35"/>
      <c r="V1500" s="29"/>
      <c r="W1500" s="35"/>
      <c r="X1500" s="29"/>
      <c r="Y1500" s="36"/>
      <c r="Z1500" s="29"/>
      <c r="AA1500" s="31">
        <f t="shared" si="1"/>
        <v>44749</v>
      </c>
      <c r="AB1500" s="32" t="str">
        <f t="shared" si="5"/>
        <v>julio</v>
      </c>
    </row>
    <row r="1501" spans="1:28" ht="12.75">
      <c r="A1501" s="9" t="s">
        <v>80</v>
      </c>
      <c r="B1501" s="10">
        <v>44748</v>
      </c>
      <c r="C1501" s="11">
        <v>44753</v>
      </c>
      <c r="D1501" s="53">
        <v>28</v>
      </c>
      <c r="E1501" s="13" t="s">
        <v>1994</v>
      </c>
      <c r="F1501" s="13">
        <v>3025459</v>
      </c>
      <c r="G1501" s="14">
        <v>19732</v>
      </c>
      <c r="H1501" s="15">
        <v>8650</v>
      </c>
      <c r="I1501" s="16">
        <f t="shared" ref="I1501:I1502" si="225">H1501*G1501</f>
        <v>170681800</v>
      </c>
      <c r="J1501" s="17">
        <v>42</v>
      </c>
      <c r="K1501" s="34">
        <v>4502366266</v>
      </c>
      <c r="L1501" s="19">
        <v>5082621185</v>
      </c>
      <c r="M1501" s="20">
        <v>5113444674</v>
      </c>
      <c r="N1501" s="23" t="s">
        <v>37</v>
      </c>
      <c r="O1501" s="22" t="s">
        <v>1057</v>
      </c>
      <c r="P1501" s="23"/>
      <c r="Q1501" s="24" t="s">
        <v>31</v>
      </c>
      <c r="R1501" s="25">
        <v>44749</v>
      </c>
      <c r="S1501" s="28">
        <v>4902301826</v>
      </c>
      <c r="T1501" s="28">
        <v>4792500</v>
      </c>
      <c r="U1501" s="28" t="s">
        <v>1995</v>
      </c>
      <c r="V1501" s="29">
        <v>5113435718</v>
      </c>
      <c r="W1501" s="35"/>
      <c r="X1501" s="29"/>
      <c r="Y1501" s="36"/>
      <c r="Z1501" s="29"/>
      <c r="AA1501" s="31">
        <f t="shared" si="1"/>
        <v>44749</v>
      </c>
      <c r="AB1501" s="32" t="str">
        <f t="shared" si="5"/>
        <v>julio</v>
      </c>
    </row>
    <row r="1502" spans="1:28" ht="12.75">
      <c r="A1502" s="9" t="s">
        <v>73</v>
      </c>
      <c r="B1502" s="10">
        <v>44753</v>
      </c>
      <c r="C1502" s="11">
        <v>44753</v>
      </c>
      <c r="D1502" s="53">
        <v>28</v>
      </c>
      <c r="E1502" s="13" t="s">
        <v>1996</v>
      </c>
      <c r="F1502" s="13">
        <v>3025459</v>
      </c>
      <c r="G1502" s="14">
        <v>12840.5</v>
      </c>
      <c r="H1502" s="33">
        <v>9250</v>
      </c>
      <c r="I1502" s="16">
        <f t="shared" si="225"/>
        <v>118774625</v>
      </c>
      <c r="J1502" s="17">
        <v>28</v>
      </c>
      <c r="K1502" s="34">
        <v>4502364823</v>
      </c>
      <c r="L1502" s="19">
        <v>5082622603</v>
      </c>
      <c r="M1502" s="20">
        <v>5113437955</v>
      </c>
      <c r="N1502" s="23"/>
      <c r="O1502" s="9" t="s">
        <v>63</v>
      </c>
      <c r="P1502" s="23" t="s">
        <v>1997</v>
      </c>
      <c r="Q1502" s="24" t="s">
        <v>31</v>
      </c>
      <c r="R1502" s="25">
        <v>44749</v>
      </c>
      <c r="S1502" s="28"/>
      <c r="T1502" s="35"/>
      <c r="U1502" s="35"/>
      <c r="V1502" s="29"/>
      <c r="W1502" s="35"/>
      <c r="X1502" s="29"/>
      <c r="Y1502" s="36"/>
      <c r="Z1502" s="29"/>
      <c r="AA1502" s="31">
        <f t="shared" si="1"/>
        <v>44749</v>
      </c>
      <c r="AB1502" s="32" t="str">
        <f t="shared" si="5"/>
        <v>julio</v>
      </c>
    </row>
    <row r="1503" spans="1:28" ht="12.75">
      <c r="A1503" s="9" t="s">
        <v>73</v>
      </c>
      <c r="B1503" s="10">
        <v>44753</v>
      </c>
      <c r="C1503" s="11">
        <v>44753</v>
      </c>
      <c r="D1503" s="53">
        <v>28</v>
      </c>
      <c r="E1503" s="13" t="s">
        <v>1998</v>
      </c>
      <c r="F1503" s="13">
        <v>3025459</v>
      </c>
      <c r="G1503" s="14">
        <v>12840.5</v>
      </c>
      <c r="H1503" s="33">
        <v>50</v>
      </c>
      <c r="I1503" s="16">
        <f>-H1503*G1503</f>
        <v>-642025</v>
      </c>
      <c r="J1503" s="17">
        <v>0</v>
      </c>
      <c r="K1503" s="34">
        <v>4502364823</v>
      </c>
      <c r="L1503" s="19">
        <v>5082622603</v>
      </c>
      <c r="M1503" s="20">
        <v>5113437956</v>
      </c>
      <c r="N1503" s="23"/>
      <c r="O1503" s="9"/>
      <c r="P1503" s="23"/>
      <c r="Q1503" s="24" t="s">
        <v>31</v>
      </c>
      <c r="R1503" s="25">
        <v>44749</v>
      </c>
      <c r="S1503" s="28"/>
      <c r="T1503" s="35"/>
      <c r="U1503" s="35"/>
      <c r="V1503" s="29"/>
      <c r="W1503" s="35"/>
      <c r="X1503" s="29"/>
      <c r="Y1503" s="36"/>
      <c r="Z1503" s="29"/>
      <c r="AA1503" s="31">
        <f t="shared" si="1"/>
        <v>44749</v>
      </c>
      <c r="AB1503" s="32" t="str">
        <f t="shared" si="5"/>
        <v>julio</v>
      </c>
    </row>
    <row r="1504" spans="1:28" ht="12.75">
      <c r="A1504" s="9" t="s">
        <v>233</v>
      </c>
      <c r="B1504" s="10">
        <v>44749</v>
      </c>
      <c r="C1504" s="11"/>
      <c r="D1504" s="53">
        <v>28</v>
      </c>
      <c r="E1504" s="13" t="s">
        <v>1999</v>
      </c>
      <c r="F1504" s="13">
        <v>3025460</v>
      </c>
      <c r="G1504" s="37">
        <v>33044.5</v>
      </c>
      <c r="H1504" s="33">
        <v>8850</v>
      </c>
      <c r="I1504" s="16">
        <f t="shared" ref="I1504:I1505" si="226">H1504*G1504</f>
        <v>292443825</v>
      </c>
      <c r="J1504" s="17">
        <v>70</v>
      </c>
      <c r="K1504" s="34">
        <v>4502364825</v>
      </c>
      <c r="L1504" s="19">
        <v>5082622604</v>
      </c>
      <c r="M1504" s="20">
        <v>5113429486</v>
      </c>
      <c r="N1504" s="23"/>
      <c r="O1504" s="9" t="s">
        <v>37</v>
      </c>
      <c r="P1504" s="23"/>
      <c r="Q1504" s="24" t="s">
        <v>31</v>
      </c>
      <c r="R1504" s="25">
        <v>44749</v>
      </c>
      <c r="S1504" s="28"/>
      <c r="T1504" s="35"/>
      <c r="U1504" s="35"/>
      <c r="V1504" s="29"/>
      <c r="W1504" s="35"/>
      <c r="X1504" s="29"/>
      <c r="Y1504" s="36"/>
      <c r="Z1504" s="29"/>
      <c r="AA1504" s="31">
        <f t="shared" si="1"/>
        <v>44749</v>
      </c>
      <c r="AB1504" s="32" t="str">
        <f t="shared" si="5"/>
        <v>julio</v>
      </c>
    </row>
    <row r="1505" spans="1:28" ht="12.75">
      <c r="A1505" s="9" t="s">
        <v>642</v>
      </c>
      <c r="B1505" s="10">
        <v>44749</v>
      </c>
      <c r="C1505" s="11"/>
      <c r="D1505" s="53">
        <v>28</v>
      </c>
      <c r="E1505" s="13" t="s">
        <v>2000</v>
      </c>
      <c r="F1505" s="13">
        <v>3025460</v>
      </c>
      <c r="G1505" s="14">
        <v>21538</v>
      </c>
      <c r="H1505" s="33">
        <v>8850</v>
      </c>
      <c r="I1505" s="16">
        <f t="shared" si="226"/>
        <v>190611300</v>
      </c>
      <c r="J1505" s="17">
        <v>45</v>
      </c>
      <c r="K1505" s="34">
        <v>4502364827</v>
      </c>
      <c r="L1505" s="19">
        <v>5082622890</v>
      </c>
      <c r="M1505" s="20">
        <v>5113439778</v>
      </c>
      <c r="N1505" s="23"/>
      <c r="O1505" s="9" t="s">
        <v>37</v>
      </c>
      <c r="P1505" s="23" t="s">
        <v>2001</v>
      </c>
      <c r="Q1505" s="24" t="s">
        <v>31</v>
      </c>
      <c r="R1505" s="25">
        <v>44749</v>
      </c>
      <c r="S1505" s="28"/>
      <c r="T1505" s="35"/>
      <c r="U1505" s="35"/>
      <c r="V1505" s="29"/>
      <c r="W1505" s="35"/>
      <c r="X1505" s="29"/>
      <c r="Y1505" s="36"/>
      <c r="Z1505" s="29"/>
      <c r="AA1505" s="31">
        <f t="shared" si="1"/>
        <v>44749</v>
      </c>
      <c r="AB1505" s="32" t="str">
        <f t="shared" si="5"/>
        <v>julio</v>
      </c>
    </row>
    <row r="1506" spans="1:28" ht="12.75">
      <c r="A1506" s="9" t="s">
        <v>642</v>
      </c>
      <c r="B1506" s="10">
        <v>44749</v>
      </c>
      <c r="C1506" s="11"/>
      <c r="D1506" s="53">
        <v>28</v>
      </c>
      <c r="E1506" s="13" t="s">
        <v>2002</v>
      </c>
      <c r="F1506" s="13">
        <v>3025460</v>
      </c>
      <c r="G1506" s="14">
        <v>21538</v>
      </c>
      <c r="H1506" s="33">
        <v>50</v>
      </c>
      <c r="I1506" s="16">
        <f>-H1506*G1506</f>
        <v>-1076900</v>
      </c>
      <c r="J1506" s="17">
        <v>0</v>
      </c>
      <c r="K1506" s="34">
        <v>4502364827</v>
      </c>
      <c r="L1506" s="19">
        <v>5082622890</v>
      </c>
      <c r="M1506" s="20">
        <v>5113439785</v>
      </c>
      <c r="N1506" s="23"/>
      <c r="O1506" s="9"/>
      <c r="P1506" s="23" t="s">
        <v>2003</v>
      </c>
      <c r="Q1506" s="24" t="s">
        <v>31</v>
      </c>
      <c r="R1506" s="25">
        <v>44749</v>
      </c>
      <c r="S1506" s="28"/>
      <c r="T1506" s="35"/>
      <c r="U1506" s="35"/>
      <c r="V1506" s="29"/>
      <c r="W1506" s="35"/>
      <c r="X1506" s="29"/>
      <c r="Y1506" s="36"/>
      <c r="Z1506" s="29"/>
      <c r="AA1506" s="31">
        <f t="shared" si="1"/>
        <v>44749</v>
      </c>
      <c r="AB1506" s="32" t="str">
        <f t="shared" si="5"/>
        <v>julio</v>
      </c>
    </row>
    <row r="1507" spans="1:28" ht="12.75">
      <c r="A1507" s="22" t="s">
        <v>719</v>
      </c>
      <c r="B1507" s="10">
        <v>44749</v>
      </c>
      <c r="C1507" s="11">
        <v>44754</v>
      </c>
      <c r="D1507" s="53">
        <v>28</v>
      </c>
      <c r="E1507" s="13" t="s">
        <v>2004</v>
      </c>
      <c r="F1507" s="13">
        <v>3025460</v>
      </c>
      <c r="G1507" s="37">
        <v>7702.5</v>
      </c>
      <c r="H1507" s="33">
        <v>8900</v>
      </c>
      <c r="I1507" s="16">
        <f t="shared" ref="I1507:I1510" si="227">H1507*G1507</f>
        <v>68552250</v>
      </c>
      <c r="J1507" s="17">
        <v>14</v>
      </c>
      <c r="K1507" s="34">
        <v>4502364829</v>
      </c>
      <c r="L1507" s="19">
        <v>5082622891</v>
      </c>
      <c r="M1507" s="20">
        <v>5113430388</v>
      </c>
      <c r="N1507" s="23"/>
      <c r="O1507" s="9" t="s">
        <v>37</v>
      </c>
      <c r="P1507" s="23"/>
      <c r="Q1507" s="24" t="s">
        <v>31</v>
      </c>
      <c r="R1507" s="25">
        <v>44749</v>
      </c>
      <c r="S1507" s="28"/>
      <c r="T1507" s="35"/>
      <c r="U1507" s="35"/>
      <c r="V1507" s="29"/>
      <c r="W1507" s="35"/>
      <c r="X1507" s="29"/>
      <c r="Y1507" s="36"/>
      <c r="Z1507" s="29"/>
      <c r="AA1507" s="31">
        <f t="shared" si="1"/>
        <v>44749</v>
      </c>
      <c r="AB1507" s="32" t="str">
        <f t="shared" si="5"/>
        <v>julio</v>
      </c>
    </row>
    <row r="1508" spans="1:28" ht="12.75">
      <c r="A1508" s="22" t="s">
        <v>719</v>
      </c>
      <c r="B1508" s="10">
        <v>44749</v>
      </c>
      <c r="C1508" s="11">
        <v>44754</v>
      </c>
      <c r="D1508" s="53">
        <v>28</v>
      </c>
      <c r="E1508" s="13" t="s">
        <v>123</v>
      </c>
      <c r="F1508" s="13">
        <v>3025460</v>
      </c>
      <c r="G1508" s="37">
        <v>7702.5</v>
      </c>
      <c r="H1508" s="33">
        <v>50</v>
      </c>
      <c r="I1508" s="16">
        <f t="shared" si="227"/>
        <v>385125</v>
      </c>
      <c r="J1508" s="17">
        <v>0</v>
      </c>
      <c r="K1508" s="34">
        <v>4502364829</v>
      </c>
      <c r="L1508" s="19">
        <v>5082622891</v>
      </c>
      <c r="M1508" s="20">
        <v>5113430389</v>
      </c>
      <c r="N1508" s="23"/>
      <c r="O1508" s="9"/>
      <c r="P1508" s="23"/>
      <c r="Q1508" s="24" t="s">
        <v>31</v>
      </c>
      <c r="R1508" s="25">
        <v>44749</v>
      </c>
      <c r="S1508" s="28"/>
      <c r="T1508" s="35"/>
      <c r="U1508" s="35"/>
      <c r="V1508" s="29"/>
      <c r="W1508" s="35"/>
      <c r="X1508" s="29"/>
      <c r="Y1508" s="36"/>
      <c r="Z1508" s="29"/>
      <c r="AA1508" s="31">
        <f t="shared" si="1"/>
        <v>44749</v>
      </c>
      <c r="AB1508" s="32" t="str">
        <f t="shared" si="5"/>
        <v>julio</v>
      </c>
    </row>
    <row r="1509" spans="1:28" ht="12.75">
      <c r="A1509" s="9" t="s">
        <v>1412</v>
      </c>
      <c r="B1509" s="10">
        <v>44749</v>
      </c>
      <c r="C1509" s="11">
        <v>44753</v>
      </c>
      <c r="D1509" s="53">
        <v>28</v>
      </c>
      <c r="E1509" s="13" t="s">
        <v>1626</v>
      </c>
      <c r="F1509" s="13">
        <v>3025460</v>
      </c>
      <c r="G1509" s="14">
        <v>19829</v>
      </c>
      <c r="H1509" s="33">
        <v>8950</v>
      </c>
      <c r="I1509" s="16">
        <f t="shared" si="227"/>
        <v>177469550</v>
      </c>
      <c r="J1509" s="17">
        <v>42</v>
      </c>
      <c r="K1509" s="34">
        <v>4502364830</v>
      </c>
      <c r="L1509" s="19">
        <v>5082622605</v>
      </c>
      <c r="M1509" s="20">
        <v>5113431504</v>
      </c>
      <c r="N1509" s="23"/>
      <c r="O1509" s="23" t="s">
        <v>37</v>
      </c>
      <c r="P1509" s="23"/>
      <c r="Q1509" s="24" t="s">
        <v>31</v>
      </c>
      <c r="R1509" s="25">
        <v>44749</v>
      </c>
      <c r="S1509" s="28"/>
      <c r="T1509" s="35"/>
      <c r="U1509" s="35"/>
      <c r="V1509" s="29"/>
      <c r="W1509" s="35"/>
      <c r="X1509" s="29"/>
      <c r="Y1509" s="36"/>
      <c r="Z1509" s="29"/>
      <c r="AA1509" s="31">
        <f t="shared" si="1"/>
        <v>44749</v>
      </c>
      <c r="AB1509" s="32" t="str">
        <f t="shared" si="5"/>
        <v>julio</v>
      </c>
    </row>
    <row r="1510" spans="1:28" ht="12.75">
      <c r="A1510" s="9" t="s">
        <v>135</v>
      </c>
      <c r="B1510" s="10">
        <v>44756</v>
      </c>
      <c r="C1510" s="11"/>
      <c r="D1510" s="53">
        <v>28</v>
      </c>
      <c r="E1510" s="13" t="s">
        <v>2005</v>
      </c>
      <c r="F1510" s="13">
        <v>3025460</v>
      </c>
      <c r="G1510" s="37">
        <v>10753.5</v>
      </c>
      <c r="H1510" s="33">
        <v>9250</v>
      </c>
      <c r="I1510" s="16">
        <f t="shared" si="227"/>
        <v>99469875</v>
      </c>
      <c r="J1510" s="17">
        <v>26</v>
      </c>
      <c r="K1510" s="34">
        <v>4502364831</v>
      </c>
      <c r="L1510" s="19">
        <v>5082622606</v>
      </c>
      <c r="M1510" s="20">
        <v>5113442683</v>
      </c>
      <c r="N1510" s="23"/>
      <c r="O1510" s="23" t="s">
        <v>37</v>
      </c>
      <c r="P1510" s="23" t="s">
        <v>2001</v>
      </c>
      <c r="Q1510" s="24" t="s">
        <v>31</v>
      </c>
      <c r="R1510" s="25">
        <v>44749</v>
      </c>
      <c r="S1510" s="28"/>
      <c r="T1510" s="35"/>
      <c r="U1510" s="35"/>
      <c r="V1510" s="29"/>
      <c r="W1510" s="35"/>
      <c r="X1510" s="29"/>
      <c r="Y1510" s="36"/>
      <c r="Z1510" s="29"/>
      <c r="AA1510" s="31">
        <f t="shared" si="1"/>
        <v>44749</v>
      </c>
      <c r="AB1510" s="32" t="str">
        <f t="shared" si="5"/>
        <v>julio</v>
      </c>
    </row>
    <row r="1511" spans="1:28" ht="12.75">
      <c r="A1511" s="9" t="s">
        <v>135</v>
      </c>
      <c r="B1511" s="10">
        <v>44756</v>
      </c>
      <c r="C1511" s="11"/>
      <c r="D1511" s="53">
        <v>28</v>
      </c>
      <c r="E1511" s="13" t="s">
        <v>244</v>
      </c>
      <c r="F1511" s="13">
        <v>3025460</v>
      </c>
      <c r="G1511" s="37">
        <v>10753.5</v>
      </c>
      <c r="H1511" s="33">
        <f>9250-9224.88</f>
        <v>25.1200000000008</v>
      </c>
      <c r="I1511" s="16">
        <f>-H1511*G1511</f>
        <v>-270127.9200000086</v>
      </c>
      <c r="J1511" s="17">
        <v>0</v>
      </c>
      <c r="K1511" s="34">
        <v>4502364831</v>
      </c>
      <c r="L1511" s="19">
        <v>5082622606</v>
      </c>
      <c r="M1511" s="20">
        <v>5113442685</v>
      </c>
      <c r="N1511" s="23"/>
      <c r="O1511" s="9"/>
      <c r="P1511" s="23"/>
      <c r="Q1511" s="24" t="s">
        <v>31</v>
      </c>
      <c r="R1511" s="25">
        <v>44749</v>
      </c>
      <c r="S1511" s="28"/>
      <c r="T1511" s="35"/>
      <c r="U1511" s="35"/>
      <c r="V1511" s="29"/>
      <c r="W1511" s="35"/>
      <c r="X1511" s="29"/>
      <c r="Y1511" s="36"/>
      <c r="Z1511" s="29"/>
      <c r="AA1511" s="31">
        <f t="shared" si="1"/>
        <v>44749</v>
      </c>
      <c r="AB1511" s="32" t="str">
        <f t="shared" si="5"/>
        <v>julio</v>
      </c>
    </row>
    <row r="1512" spans="1:28" ht="12.75">
      <c r="A1512" s="9" t="s">
        <v>196</v>
      </c>
      <c r="B1512" s="10">
        <v>44749</v>
      </c>
      <c r="C1512" s="11"/>
      <c r="D1512" s="53">
        <v>28</v>
      </c>
      <c r="E1512" s="13" t="s">
        <v>2006</v>
      </c>
      <c r="F1512" s="13">
        <v>3025460</v>
      </c>
      <c r="G1512" s="14">
        <v>28803</v>
      </c>
      <c r="H1512" s="15">
        <v>8650</v>
      </c>
      <c r="I1512" s="16">
        <f t="shared" ref="I1512:I1515" si="228">H1512*G1512</f>
        <v>249145950</v>
      </c>
      <c r="J1512" s="17">
        <v>56</v>
      </c>
      <c r="K1512" s="34">
        <v>4502366269</v>
      </c>
      <c r="L1512" s="19">
        <v>5082621186</v>
      </c>
      <c r="M1512" s="20">
        <v>5113430246</v>
      </c>
      <c r="N1512" s="23"/>
      <c r="O1512" s="22" t="s">
        <v>1003</v>
      </c>
      <c r="P1512" s="23"/>
      <c r="Q1512" s="24" t="s">
        <v>31</v>
      </c>
      <c r="R1512" s="25">
        <v>44749</v>
      </c>
      <c r="S1512" s="28">
        <v>4902301828</v>
      </c>
      <c r="T1512" s="35">
        <f>1771100*4</f>
        <v>7084400</v>
      </c>
      <c r="U1512" s="28" t="s">
        <v>2007</v>
      </c>
      <c r="V1512" s="29">
        <v>5113435682</v>
      </c>
      <c r="W1512" s="28" t="s">
        <v>2008</v>
      </c>
      <c r="X1512" s="29">
        <v>5113435684</v>
      </c>
      <c r="Y1512" s="36"/>
      <c r="Z1512" s="29"/>
      <c r="AA1512" s="31">
        <f t="shared" si="1"/>
        <v>44749</v>
      </c>
      <c r="AB1512" s="32" t="str">
        <f t="shared" si="5"/>
        <v>julio</v>
      </c>
    </row>
    <row r="1513" spans="1:28" ht="12.75">
      <c r="A1513" s="9" t="s">
        <v>28</v>
      </c>
      <c r="B1513" s="10">
        <v>44753</v>
      </c>
      <c r="C1513" s="11">
        <v>44753</v>
      </c>
      <c r="D1513" s="53">
        <v>28</v>
      </c>
      <c r="E1513" s="13" t="s">
        <v>2009</v>
      </c>
      <c r="F1513" s="13">
        <v>3025457</v>
      </c>
      <c r="G1513" s="14">
        <v>29850</v>
      </c>
      <c r="H1513" s="57">
        <v>8650</v>
      </c>
      <c r="I1513" s="16">
        <f t="shared" si="228"/>
        <v>258202500</v>
      </c>
      <c r="J1513" s="17">
        <v>58</v>
      </c>
      <c r="K1513" s="34">
        <v>4502367807</v>
      </c>
      <c r="L1513" s="19">
        <v>5082662474</v>
      </c>
      <c r="M1513" s="20">
        <v>5113429619</v>
      </c>
      <c r="N1513" s="23" t="s">
        <v>63</v>
      </c>
      <c r="O1513" s="9"/>
      <c r="P1513" s="23"/>
      <c r="Q1513" s="24" t="s">
        <v>671</v>
      </c>
      <c r="R1513" s="25">
        <v>44749</v>
      </c>
      <c r="S1513" s="28"/>
      <c r="T1513" s="35"/>
      <c r="U1513" s="35"/>
      <c r="V1513" s="29"/>
      <c r="W1513" s="35"/>
      <c r="X1513" s="29"/>
      <c r="Y1513" s="36"/>
      <c r="Z1513" s="29"/>
      <c r="AA1513" s="31">
        <f t="shared" si="1"/>
        <v>44749</v>
      </c>
      <c r="AB1513" s="32" t="str">
        <f t="shared" si="5"/>
        <v>julio</v>
      </c>
    </row>
    <row r="1514" spans="1:28" ht="12.75">
      <c r="A1514" s="9" t="s">
        <v>96</v>
      </c>
      <c r="B1514" s="10">
        <v>44755</v>
      </c>
      <c r="C1514" s="11"/>
      <c r="D1514" s="53">
        <v>28</v>
      </c>
      <c r="E1514" s="13" t="s">
        <v>2010</v>
      </c>
      <c r="F1514" s="13">
        <v>3025457</v>
      </c>
      <c r="G1514" s="14">
        <v>5999</v>
      </c>
      <c r="H1514" s="33">
        <v>8950</v>
      </c>
      <c r="I1514" s="16">
        <f t="shared" si="228"/>
        <v>53691050</v>
      </c>
      <c r="J1514" s="17">
        <v>13</v>
      </c>
      <c r="K1514" s="34">
        <v>4502364832</v>
      </c>
      <c r="L1514" s="19">
        <v>5082627984</v>
      </c>
      <c r="M1514" s="20">
        <v>5113437192</v>
      </c>
      <c r="N1514" s="23"/>
      <c r="O1514" s="23" t="s">
        <v>63</v>
      </c>
      <c r="P1514" s="23" t="s">
        <v>2001</v>
      </c>
      <c r="Q1514" s="24" t="s">
        <v>31</v>
      </c>
      <c r="R1514" s="25">
        <v>44750</v>
      </c>
      <c r="S1514" s="28"/>
      <c r="T1514" s="35"/>
      <c r="U1514" s="35"/>
      <c r="V1514" s="29"/>
      <c r="W1514" s="35"/>
      <c r="X1514" s="29"/>
      <c r="Y1514" s="36"/>
      <c r="Z1514" s="29"/>
      <c r="AA1514" s="31">
        <f t="shared" si="1"/>
        <v>44750</v>
      </c>
      <c r="AB1514" s="32" t="str">
        <f t="shared" si="5"/>
        <v>julio</v>
      </c>
    </row>
    <row r="1515" spans="1:28" ht="12.75">
      <c r="A1515" s="9" t="s">
        <v>580</v>
      </c>
      <c r="B1515" s="10">
        <v>44664</v>
      </c>
      <c r="C1515" s="11">
        <v>44756</v>
      </c>
      <c r="D1515" s="53">
        <v>28</v>
      </c>
      <c r="E1515" s="13" t="s">
        <v>2011</v>
      </c>
      <c r="F1515" s="13">
        <v>3025457</v>
      </c>
      <c r="G1515" s="14">
        <v>25574</v>
      </c>
      <c r="H1515" s="33">
        <v>8850</v>
      </c>
      <c r="I1515" s="16">
        <f t="shared" si="228"/>
        <v>226329900</v>
      </c>
      <c r="J1515" s="17">
        <v>57</v>
      </c>
      <c r="K1515" s="34">
        <v>4502370642</v>
      </c>
      <c r="L1515" s="19">
        <v>5082717714</v>
      </c>
      <c r="M1515" s="20">
        <v>5113437125</v>
      </c>
      <c r="N1515" s="44"/>
      <c r="O1515" s="9" t="s">
        <v>63</v>
      </c>
      <c r="P1515" s="23" t="s">
        <v>2001</v>
      </c>
      <c r="Q1515" s="24" t="s">
        <v>31</v>
      </c>
      <c r="R1515" s="25">
        <v>44750</v>
      </c>
      <c r="S1515" s="28"/>
      <c r="T1515" s="35"/>
      <c r="U1515" s="35"/>
      <c r="V1515" s="29"/>
      <c r="W1515" s="35"/>
      <c r="X1515" s="29"/>
      <c r="Y1515" s="36"/>
      <c r="Z1515" s="29"/>
      <c r="AA1515" s="31">
        <f t="shared" si="1"/>
        <v>44750</v>
      </c>
      <c r="AB1515" s="32" t="str">
        <f t="shared" si="5"/>
        <v>julio</v>
      </c>
    </row>
    <row r="1516" spans="1:28" ht="12.75">
      <c r="A1516" s="9" t="s">
        <v>580</v>
      </c>
      <c r="B1516" s="10">
        <v>44756</v>
      </c>
      <c r="C1516" s="11"/>
      <c r="D1516" s="53">
        <v>28</v>
      </c>
      <c r="E1516" s="13" t="s">
        <v>514</v>
      </c>
      <c r="F1516" s="13">
        <v>3025457</v>
      </c>
      <c r="G1516" s="14">
        <v>25574</v>
      </c>
      <c r="H1516" s="33">
        <f>8850-8840.98</f>
        <v>9.0200000000004366</v>
      </c>
      <c r="I1516" s="16">
        <f>-H1516*G1516</f>
        <v>-230677.48000001116</v>
      </c>
      <c r="J1516" s="17">
        <v>0</v>
      </c>
      <c r="K1516" s="34">
        <v>4502370642</v>
      </c>
      <c r="L1516" s="19">
        <v>5082717714</v>
      </c>
      <c r="M1516" s="20">
        <v>5113437126</v>
      </c>
      <c r="N1516" s="44"/>
      <c r="O1516" s="9"/>
      <c r="P1516" s="23"/>
      <c r="Q1516" s="24" t="s">
        <v>31</v>
      </c>
      <c r="R1516" s="25">
        <v>44750</v>
      </c>
      <c r="S1516" s="28"/>
      <c r="T1516" s="35"/>
      <c r="U1516" s="35"/>
      <c r="V1516" s="29"/>
      <c r="W1516" s="35"/>
      <c r="X1516" s="29"/>
      <c r="Y1516" s="36"/>
      <c r="Z1516" s="29"/>
      <c r="AA1516" s="31">
        <f t="shared" si="1"/>
        <v>44750</v>
      </c>
      <c r="AB1516" s="32" t="str">
        <f t="shared" si="5"/>
        <v>julio</v>
      </c>
    </row>
    <row r="1517" spans="1:28" ht="12.75">
      <c r="A1517" s="9" t="s">
        <v>274</v>
      </c>
      <c r="B1517" s="10">
        <v>44754</v>
      </c>
      <c r="C1517" s="11">
        <v>44754</v>
      </c>
      <c r="D1517" s="53">
        <v>28</v>
      </c>
      <c r="E1517" s="13" t="s">
        <v>2012</v>
      </c>
      <c r="F1517" s="13">
        <v>3025457</v>
      </c>
      <c r="G1517" s="14">
        <v>6557</v>
      </c>
      <c r="H1517" s="33">
        <v>9250</v>
      </c>
      <c r="I1517" s="16">
        <f>H1517*G1517</f>
        <v>60652250</v>
      </c>
      <c r="J1517" s="17">
        <v>15</v>
      </c>
      <c r="K1517" s="34">
        <v>4502364834</v>
      </c>
      <c r="L1517" s="19">
        <v>5082628228</v>
      </c>
      <c r="M1517" s="20">
        <v>5113432474</v>
      </c>
      <c r="N1517" s="23"/>
      <c r="O1517" s="9" t="s">
        <v>63</v>
      </c>
      <c r="P1517" s="23"/>
      <c r="Q1517" s="24" t="s">
        <v>31</v>
      </c>
      <c r="R1517" s="25">
        <v>44750</v>
      </c>
      <c r="S1517" s="28"/>
      <c r="T1517" s="35"/>
      <c r="U1517" s="35"/>
      <c r="V1517" s="29"/>
      <c r="W1517" s="35"/>
      <c r="X1517" s="29"/>
      <c r="Y1517" s="36"/>
      <c r="Z1517" s="29"/>
      <c r="AA1517" s="31">
        <f t="shared" si="1"/>
        <v>44750</v>
      </c>
      <c r="AB1517" s="32" t="str">
        <f t="shared" si="5"/>
        <v>julio</v>
      </c>
    </row>
    <row r="1518" spans="1:28" ht="12.75">
      <c r="A1518" s="9" t="s">
        <v>274</v>
      </c>
      <c r="B1518" s="10">
        <v>44754</v>
      </c>
      <c r="C1518" s="11">
        <v>44754</v>
      </c>
      <c r="D1518" s="53">
        <v>28</v>
      </c>
      <c r="E1518" s="13" t="s">
        <v>667</v>
      </c>
      <c r="F1518" s="13">
        <v>3025457</v>
      </c>
      <c r="G1518" s="14">
        <v>6557</v>
      </c>
      <c r="H1518" s="33">
        <v>50</v>
      </c>
      <c r="I1518" s="16">
        <f>-H1518*G1518</f>
        <v>-327850</v>
      </c>
      <c r="J1518" s="17">
        <v>0</v>
      </c>
      <c r="K1518" s="34">
        <v>4502364834</v>
      </c>
      <c r="L1518" s="19">
        <v>5082628228</v>
      </c>
      <c r="M1518" s="20">
        <v>5113432475</v>
      </c>
      <c r="N1518" s="23"/>
      <c r="O1518" s="9"/>
      <c r="P1518" s="23"/>
      <c r="Q1518" s="24" t="s">
        <v>31</v>
      </c>
      <c r="R1518" s="25">
        <v>44750</v>
      </c>
      <c r="S1518" s="28"/>
      <c r="T1518" s="35"/>
      <c r="U1518" s="35"/>
      <c r="V1518" s="29"/>
      <c r="W1518" s="35"/>
      <c r="X1518" s="29"/>
      <c r="Y1518" s="36"/>
      <c r="Z1518" s="29"/>
      <c r="AA1518" s="31">
        <f t="shared" si="1"/>
        <v>44750</v>
      </c>
      <c r="AB1518" s="32" t="str">
        <f t="shared" si="5"/>
        <v>julio</v>
      </c>
    </row>
    <row r="1519" spans="1:28" ht="12.75">
      <c r="A1519" s="9" t="s">
        <v>67</v>
      </c>
      <c r="B1519" s="10">
        <v>44755</v>
      </c>
      <c r="C1519" s="11"/>
      <c r="D1519" s="53">
        <v>28</v>
      </c>
      <c r="E1519" s="13" t="s">
        <v>2013</v>
      </c>
      <c r="F1519" s="13">
        <v>3025457</v>
      </c>
      <c r="G1519" s="37">
        <v>6473.5</v>
      </c>
      <c r="H1519" s="33">
        <v>8850</v>
      </c>
      <c r="I1519" s="16">
        <f>H1519*G1519</f>
        <v>57290475</v>
      </c>
      <c r="J1519" s="17">
        <v>14</v>
      </c>
      <c r="K1519" s="34">
        <v>4502364835</v>
      </c>
      <c r="L1519" s="19">
        <v>5082627986</v>
      </c>
      <c r="M1519" s="20">
        <v>5113433128</v>
      </c>
      <c r="N1519" s="23"/>
      <c r="O1519" s="9" t="s">
        <v>63</v>
      </c>
      <c r="P1519" s="23"/>
      <c r="Q1519" s="24" t="s">
        <v>31</v>
      </c>
      <c r="R1519" s="25">
        <v>44750</v>
      </c>
      <c r="S1519" s="28"/>
      <c r="T1519" s="35"/>
      <c r="U1519" s="35"/>
      <c r="V1519" s="29"/>
      <c r="W1519" s="35"/>
      <c r="X1519" s="29"/>
      <c r="Y1519" s="36"/>
      <c r="Z1519" s="29"/>
      <c r="AA1519" s="31">
        <f t="shared" si="1"/>
        <v>44750</v>
      </c>
      <c r="AB1519" s="32" t="str">
        <f t="shared" si="5"/>
        <v>julio</v>
      </c>
    </row>
    <row r="1520" spans="1:28" ht="12.75">
      <c r="A1520" s="9" t="s">
        <v>67</v>
      </c>
      <c r="B1520" s="10">
        <v>44755</v>
      </c>
      <c r="C1520" s="11"/>
      <c r="D1520" s="53">
        <v>28</v>
      </c>
      <c r="E1520" s="13" t="s">
        <v>514</v>
      </c>
      <c r="F1520" s="13">
        <v>3025457</v>
      </c>
      <c r="G1520" s="37">
        <v>6473.5</v>
      </c>
      <c r="H1520" s="33">
        <v>100</v>
      </c>
      <c r="I1520" s="16">
        <f>-H1520*G1520</f>
        <v>-647350</v>
      </c>
      <c r="J1520" s="17">
        <v>0</v>
      </c>
      <c r="K1520" s="34">
        <v>4502364835</v>
      </c>
      <c r="L1520" s="19">
        <v>5082627986</v>
      </c>
      <c r="M1520" s="20">
        <v>5113433129</v>
      </c>
      <c r="N1520" s="23"/>
      <c r="O1520" s="9"/>
      <c r="P1520" s="23"/>
      <c r="Q1520" s="24" t="s">
        <v>31</v>
      </c>
      <c r="R1520" s="25">
        <v>44750</v>
      </c>
      <c r="S1520" s="28"/>
      <c r="T1520" s="35"/>
      <c r="U1520" s="35"/>
      <c r="V1520" s="29"/>
      <c r="W1520" s="35"/>
      <c r="X1520" s="29"/>
      <c r="Y1520" s="36"/>
      <c r="Z1520" s="29"/>
      <c r="AA1520" s="31">
        <f t="shared" si="1"/>
        <v>44750</v>
      </c>
      <c r="AB1520" s="32" t="str">
        <f t="shared" si="5"/>
        <v>julio</v>
      </c>
    </row>
    <row r="1521" spans="1:28" ht="12.75">
      <c r="A1521" s="9" t="s">
        <v>80</v>
      </c>
      <c r="B1521" s="10">
        <v>44750</v>
      </c>
      <c r="C1521" s="11">
        <v>44753</v>
      </c>
      <c r="D1521" s="53">
        <v>28</v>
      </c>
      <c r="E1521" s="13" t="s">
        <v>2014</v>
      </c>
      <c r="F1521" s="13">
        <v>3025459</v>
      </c>
      <c r="G1521" s="14">
        <v>20341</v>
      </c>
      <c r="H1521" s="15">
        <v>8650</v>
      </c>
      <c r="I1521" s="16">
        <f t="shared" ref="I1521:I1522" si="229">H1521*G1521</f>
        <v>175949650</v>
      </c>
      <c r="J1521" s="17">
        <v>42</v>
      </c>
      <c r="K1521" s="34">
        <v>4502366868</v>
      </c>
      <c r="L1521" s="19">
        <v>5082628137</v>
      </c>
      <c r="M1521" s="20">
        <v>5113444728</v>
      </c>
      <c r="N1521" s="23" t="s">
        <v>37</v>
      </c>
      <c r="O1521" s="22" t="s">
        <v>2015</v>
      </c>
      <c r="P1521" s="23"/>
      <c r="Q1521" s="24" t="s">
        <v>31</v>
      </c>
      <c r="R1521" s="25">
        <v>44750</v>
      </c>
      <c r="S1521" s="28">
        <v>4902301830</v>
      </c>
      <c r="T1521" s="35">
        <f>1857700*3</f>
        <v>5573100</v>
      </c>
      <c r="U1521" s="28" t="s">
        <v>2016</v>
      </c>
      <c r="V1521" s="29">
        <v>5113435648</v>
      </c>
      <c r="W1521" s="35"/>
      <c r="X1521" s="29"/>
      <c r="Y1521" s="36"/>
      <c r="Z1521" s="29"/>
      <c r="AA1521" s="31">
        <f t="shared" si="1"/>
        <v>44750</v>
      </c>
      <c r="AB1521" s="32" t="str">
        <f t="shared" si="5"/>
        <v>julio</v>
      </c>
    </row>
    <row r="1522" spans="1:28" ht="12.75">
      <c r="A1522" s="22" t="s">
        <v>404</v>
      </c>
      <c r="B1522" s="10">
        <v>44750</v>
      </c>
      <c r="C1522" s="11">
        <v>44753</v>
      </c>
      <c r="D1522" s="53">
        <v>28</v>
      </c>
      <c r="E1522" s="13" t="s">
        <v>2017</v>
      </c>
      <c r="F1522" s="13">
        <v>3025459</v>
      </c>
      <c r="G1522" s="14">
        <v>13466</v>
      </c>
      <c r="H1522" s="33">
        <v>9250</v>
      </c>
      <c r="I1522" s="16">
        <f t="shared" si="229"/>
        <v>124560500</v>
      </c>
      <c r="J1522" s="17">
        <v>30</v>
      </c>
      <c r="K1522" s="34">
        <v>4502364836</v>
      </c>
      <c r="L1522" s="19">
        <v>5082628148</v>
      </c>
      <c r="M1522" s="20">
        <v>5113430629</v>
      </c>
      <c r="N1522" s="23"/>
      <c r="O1522" s="44" t="s">
        <v>37</v>
      </c>
      <c r="P1522" s="23"/>
      <c r="Q1522" s="24" t="s">
        <v>31</v>
      </c>
      <c r="R1522" s="25">
        <v>44750</v>
      </c>
      <c r="S1522" s="28"/>
      <c r="T1522" s="35"/>
      <c r="U1522" s="35"/>
      <c r="V1522" s="29"/>
      <c r="W1522" s="35"/>
      <c r="X1522" s="29"/>
      <c r="Y1522" s="36"/>
      <c r="Z1522" s="29"/>
      <c r="AA1522" s="31">
        <f t="shared" si="1"/>
        <v>44750</v>
      </c>
      <c r="AB1522" s="32" t="str">
        <f t="shared" si="5"/>
        <v>julio</v>
      </c>
    </row>
    <row r="1523" spans="1:28" ht="12.75">
      <c r="A1523" s="22" t="s">
        <v>404</v>
      </c>
      <c r="B1523" s="10">
        <v>44753</v>
      </c>
      <c r="C1523" s="11">
        <v>44753</v>
      </c>
      <c r="D1523" s="53">
        <v>28</v>
      </c>
      <c r="E1523" s="13" t="s">
        <v>269</v>
      </c>
      <c r="F1523" s="13">
        <v>3025459</v>
      </c>
      <c r="G1523" s="14">
        <v>13466</v>
      </c>
      <c r="H1523" s="33">
        <v>100</v>
      </c>
      <c r="I1523" s="16">
        <f>-H1523*G1523</f>
        <v>-1346600</v>
      </c>
      <c r="J1523" s="17">
        <v>0</v>
      </c>
      <c r="K1523" s="34">
        <v>4502364836</v>
      </c>
      <c r="L1523" s="19">
        <v>5082628148</v>
      </c>
      <c r="M1523" s="20">
        <v>5113430631</v>
      </c>
      <c r="N1523" s="23"/>
      <c r="O1523" s="9"/>
      <c r="P1523" s="23"/>
      <c r="Q1523" s="24" t="s">
        <v>31</v>
      </c>
      <c r="R1523" s="25">
        <v>44750</v>
      </c>
      <c r="S1523" s="28"/>
      <c r="T1523" s="35"/>
      <c r="U1523" s="35"/>
      <c r="V1523" s="29"/>
      <c r="W1523" s="35"/>
      <c r="X1523" s="29"/>
      <c r="Y1523" s="36"/>
      <c r="Z1523" s="29"/>
      <c r="AA1523" s="31">
        <f t="shared" si="1"/>
        <v>44750</v>
      </c>
      <c r="AB1523" s="32" t="str">
        <f t="shared" si="5"/>
        <v>julio</v>
      </c>
    </row>
    <row r="1524" spans="1:28" ht="12.75">
      <c r="A1524" s="9" t="s">
        <v>213</v>
      </c>
      <c r="B1524" s="10">
        <v>44750</v>
      </c>
      <c r="C1524" s="11"/>
      <c r="D1524" s="53">
        <v>28</v>
      </c>
      <c r="E1524" s="13" t="s">
        <v>2018</v>
      </c>
      <c r="F1524" s="13">
        <v>3025460</v>
      </c>
      <c r="G1524" s="14">
        <v>6830</v>
      </c>
      <c r="H1524" s="33">
        <v>8850</v>
      </c>
      <c r="I1524" s="16">
        <f>H1524*G1524</f>
        <v>60445500</v>
      </c>
      <c r="J1524" s="17">
        <v>15</v>
      </c>
      <c r="K1524" s="34">
        <v>4502364837</v>
      </c>
      <c r="L1524" s="19">
        <v>5082628229</v>
      </c>
      <c r="M1524" s="20">
        <v>5113436521</v>
      </c>
      <c r="N1524" s="23"/>
      <c r="O1524" s="9" t="s">
        <v>37</v>
      </c>
      <c r="P1524" s="23" t="s">
        <v>2019</v>
      </c>
      <c r="Q1524" s="24" t="s">
        <v>31</v>
      </c>
      <c r="R1524" s="25">
        <v>44750</v>
      </c>
      <c r="S1524" s="28"/>
      <c r="T1524" s="35"/>
      <c r="U1524" s="35"/>
      <c r="V1524" s="29"/>
      <c r="W1524" s="35"/>
      <c r="X1524" s="29"/>
      <c r="Y1524" s="36"/>
      <c r="Z1524" s="29"/>
      <c r="AA1524" s="31">
        <f t="shared" si="1"/>
        <v>44750</v>
      </c>
      <c r="AB1524" s="32" t="str">
        <f t="shared" si="5"/>
        <v>julio</v>
      </c>
    </row>
    <row r="1525" spans="1:28" ht="12.75">
      <c r="A1525" s="9" t="s">
        <v>213</v>
      </c>
      <c r="B1525" s="10">
        <v>44750</v>
      </c>
      <c r="C1525" s="11"/>
      <c r="D1525" s="53">
        <v>28</v>
      </c>
      <c r="E1525" s="13" t="s">
        <v>1762</v>
      </c>
      <c r="F1525" s="13">
        <v>3025460</v>
      </c>
      <c r="G1525" s="14">
        <v>6830</v>
      </c>
      <c r="H1525" s="33">
        <v>100</v>
      </c>
      <c r="I1525" s="16">
        <f>-H1525*G1525</f>
        <v>-683000</v>
      </c>
      <c r="J1525" s="17">
        <v>0</v>
      </c>
      <c r="K1525" s="34">
        <v>4502364837</v>
      </c>
      <c r="L1525" s="19">
        <v>5082628229</v>
      </c>
      <c r="M1525" s="20">
        <v>5113436522</v>
      </c>
      <c r="N1525" s="23"/>
      <c r="O1525" s="9"/>
      <c r="P1525" s="23"/>
      <c r="Q1525" s="24" t="s">
        <v>31</v>
      </c>
      <c r="R1525" s="25">
        <v>44750</v>
      </c>
      <c r="S1525" s="28"/>
      <c r="T1525" s="35"/>
      <c r="U1525" s="35"/>
      <c r="V1525" s="29"/>
      <c r="W1525" s="35"/>
      <c r="X1525" s="29"/>
      <c r="Y1525" s="36"/>
      <c r="Z1525" s="29"/>
      <c r="AA1525" s="31">
        <f t="shared" si="1"/>
        <v>44750</v>
      </c>
      <c r="AB1525" s="32" t="str">
        <f t="shared" si="5"/>
        <v>julio</v>
      </c>
    </row>
    <row r="1526" spans="1:28" ht="12.75">
      <c r="A1526" s="9" t="s">
        <v>368</v>
      </c>
      <c r="B1526" s="10">
        <v>44750</v>
      </c>
      <c r="C1526" s="11">
        <v>44754</v>
      </c>
      <c r="D1526" s="53">
        <v>28</v>
      </c>
      <c r="E1526" s="13" t="s">
        <v>2020</v>
      </c>
      <c r="F1526" s="13">
        <v>3025460</v>
      </c>
      <c r="G1526" s="14">
        <v>6732</v>
      </c>
      <c r="H1526" s="33">
        <v>8850</v>
      </c>
      <c r="I1526" s="16">
        <f t="shared" ref="I1526:I1527" si="230">H1526*G1526</f>
        <v>59578200</v>
      </c>
      <c r="J1526" s="17">
        <v>15</v>
      </c>
      <c r="K1526" s="34">
        <v>4502364838</v>
      </c>
      <c r="L1526" s="19">
        <v>5082628150</v>
      </c>
      <c r="M1526" s="20">
        <v>5113431505</v>
      </c>
      <c r="N1526" s="23"/>
      <c r="O1526" s="9" t="s">
        <v>63</v>
      </c>
      <c r="P1526" s="23"/>
      <c r="Q1526" s="24" t="s">
        <v>31</v>
      </c>
      <c r="R1526" s="25">
        <v>44750</v>
      </c>
      <c r="S1526" s="28"/>
      <c r="T1526" s="35"/>
      <c r="U1526" s="35"/>
      <c r="V1526" s="29"/>
      <c r="W1526" s="35"/>
      <c r="X1526" s="29"/>
      <c r="Y1526" s="36"/>
      <c r="Z1526" s="29"/>
      <c r="AA1526" s="31">
        <f t="shared" si="1"/>
        <v>44750</v>
      </c>
      <c r="AB1526" s="32" t="str">
        <f t="shared" si="5"/>
        <v>julio</v>
      </c>
    </row>
    <row r="1527" spans="1:28" ht="12.75">
      <c r="A1527" s="9" t="s">
        <v>180</v>
      </c>
      <c r="B1527" s="10">
        <v>44754</v>
      </c>
      <c r="C1527" s="11">
        <v>44754</v>
      </c>
      <c r="D1527" s="53">
        <v>28</v>
      </c>
      <c r="E1527" s="13" t="s">
        <v>973</v>
      </c>
      <c r="F1527" s="13">
        <v>3025460</v>
      </c>
      <c r="G1527" s="14">
        <v>5590</v>
      </c>
      <c r="H1527" s="33">
        <v>8950</v>
      </c>
      <c r="I1527" s="16">
        <f t="shared" si="230"/>
        <v>50030500</v>
      </c>
      <c r="J1527" s="17">
        <v>14</v>
      </c>
      <c r="K1527" s="34">
        <v>4502364839</v>
      </c>
      <c r="L1527" s="19">
        <v>5082628152</v>
      </c>
      <c r="M1527" s="20">
        <v>5113432467</v>
      </c>
      <c r="N1527" s="21"/>
      <c r="O1527" s="9" t="s">
        <v>63</v>
      </c>
      <c r="P1527" s="23"/>
      <c r="Q1527" s="24" t="s">
        <v>31</v>
      </c>
      <c r="R1527" s="25">
        <v>44750</v>
      </c>
      <c r="S1527" s="28"/>
      <c r="T1527" s="35"/>
      <c r="U1527" s="35"/>
      <c r="V1527" s="29"/>
      <c r="W1527" s="35"/>
      <c r="X1527" s="29"/>
      <c r="Y1527" s="36"/>
      <c r="Z1527" s="29"/>
      <c r="AA1527" s="31">
        <f t="shared" si="1"/>
        <v>44750</v>
      </c>
      <c r="AB1527" s="32" t="str">
        <f t="shared" si="5"/>
        <v>julio</v>
      </c>
    </row>
    <row r="1528" spans="1:28" ht="12.75">
      <c r="A1528" s="9" t="s">
        <v>180</v>
      </c>
      <c r="B1528" s="10">
        <v>44754</v>
      </c>
      <c r="C1528" s="11">
        <v>44754</v>
      </c>
      <c r="D1528" s="53">
        <v>28</v>
      </c>
      <c r="E1528" s="13" t="s">
        <v>2021</v>
      </c>
      <c r="F1528" s="13">
        <v>3025460</v>
      </c>
      <c r="G1528" s="14">
        <v>5590</v>
      </c>
      <c r="H1528" s="33">
        <f>8950-8844.96</f>
        <v>105.04000000000087</v>
      </c>
      <c r="I1528" s="16">
        <f>-H1528*G1528</f>
        <v>-587173.60000000487</v>
      </c>
      <c r="J1528" s="17">
        <v>0</v>
      </c>
      <c r="K1528" s="34">
        <v>4502364839</v>
      </c>
      <c r="L1528" s="19">
        <v>5082628152</v>
      </c>
      <c r="M1528" s="20">
        <v>5113432469</v>
      </c>
      <c r="N1528" s="21"/>
      <c r="O1528" s="9"/>
      <c r="P1528" s="23"/>
      <c r="Q1528" s="24" t="s">
        <v>31</v>
      </c>
      <c r="R1528" s="25">
        <v>44750</v>
      </c>
      <c r="S1528" s="28"/>
      <c r="T1528" s="35"/>
      <c r="U1528" s="35"/>
      <c r="V1528" s="29"/>
      <c r="W1528" s="35"/>
      <c r="X1528" s="29"/>
      <c r="Y1528" s="36"/>
      <c r="Z1528" s="29"/>
      <c r="AA1528" s="31">
        <f t="shared" si="1"/>
        <v>44750</v>
      </c>
      <c r="AB1528" s="32" t="str">
        <f t="shared" si="5"/>
        <v>julio</v>
      </c>
    </row>
    <row r="1529" spans="1:28" ht="12.75">
      <c r="A1529" s="9" t="s">
        <v>633</v>
      </c>
      <c r="B1529" s="10">
        <v>44754</v>
      </c>
      <c r="C1529" s="11">
        <v>44754</v>
      </c>
      <c r="D1529" s="53">
        <v>28</v>
      </c>
      <c r="E1529" s="13" t="s">
        <v>2022</v>
      </c>
      <c r="F1529" s="13">
        <v>3025460</v>
      </c>
      <c r="G1529" s="37">
        <v>7078.5</v>
      </c>
      <c r="H1529" s="33">
        <v>8850</v>
      </c>
      <c r="I1529" s="16">
        <f>H1529*G1529</f>
        <v>62644725</v>
      </c>
      <c r="J1529" s="17">
        <v>14</v>
      </c>
      <c r="K1529" s="34">
        <v>4502364840</v>
      </c>
      <c r="L1529" s="19">
        <v>5082628153</v>
      </c>
      <c r="M1529" s="20">
        <v>5113433654</v>
      </c>
      <c r="N1529" s="23"/>
      <c r="O1529" s="9" t="s">
        <v>37</v>
      </c>
      <c r="P1529" s="23"/>
      <c r="Q1529" s="24" t="s">
        <v>31</v>
      </c>
      <c r="R1529" s="25">
        <v>44750</v>
      </c>
      <c r="S1529" s="28"/>
      <c r="T1529" s="35"/>
      <c r="U1529" s="35"/>
      <c r="V1529" s="29"/>
      <c r="W1529" s="35"/>
      <c r="X1529" s="29"/>
      <c r="Y1529" s="36"/>
      <c r="Z1529" s="29"/>
      <c r="AA1529" s="31">
        <f t="shared" si="1"/>
        <v>44750</v>
      </c>
      <c r="AB1529" s="32" t="str">
        <f t="shared" si="5"/>
        <v>julio</v>
      </c>
    </row>
    <row r="1530" spans="1:28" ht="12.75">
      <c r="A1530" s="9" t="s">
        <v>633</v>
      </c>
      <c r="B1530" s="10">
        <v>44754</v>
      </c>
      <c r="C1530" s="11">
        <v>44754</v>
      </c>
      <c r="D1530" s="53">
        <v>28</v>
      </c>
      <c r="E1530" s="13" t="s">
        <v>902</v>
      </c>
      <c r="F1530" s="13">
        <v>3025460</v>
      </c>
      <c r="G1530" s="37">
        <v>7078.5</v>
      </c>
      <c r="H1530" s="33">
        <v>50</v>
      </c>
      <c r="I1530" s="16">
        <f>-H1530*G1530</f>
        <v>-353925</v>
      </c>
      <c r="J1530" s="17">
        <v>0</v>
      </c>
      <c r="K1530" s="34">
        <v>4502364840</v>
      </c>
      <c r="L1530" s="19">
        <v>5082628153</v>
      </c>
      <c r="M1530" s="20">
        <v>5113433656</v>
      </c>
      <c r="N1530" s="23"/>
      <c r="O1530" s="9"/>
      <c r="P1530" s="23"/>
      <c r="Q1530" s="24" t="s">
        <v>31</v>
      </c>
      <c r="R1530" s="25">
        <v>44750</v>
      </c>
      <c r="S1530" s="28"/>
      <c r="T1530" s="35"/>
      <c r="U1530" s="35"/>
      <c r="V1530" s="29"/>
      <c r="W1530" s="35"/>
      <c r="X1530" s="29"/>
      <c r="Y1530" s="36"/>
      <c r="Z1530" s="29"/>
      <c r="AA1530" s="31">
        <f t="shared" si="1"/>
        <v>44750</v>
      </c>
      <c r="AB1530" s="32" t="str">
        <f t="shared" si="5"/>
        <v>julio</v>
      </c>
    </row>
    <row r="1531" spans="1:28" ht="12.75">
      <c r="A1531" s="9" t="s">
        <v>348</v>
      </c>
      <c r="B1531" s="10">
        <v>44750</v>
      </c>
      <c r="C1531" s="11">
        <v>44754</v>
      </c>
      <c r="D1531" s="53">
        <v>28</v>
      </c>
      <c r="E1531" s="13" t="s">
        <v>2023</v>
      </c>
      <c r="F1531" s="13">
        <v>3025460</v>
      </c>
      <c r="G1531" s="14">
        <v>18671.5</v>
      </c>
      <c r="H1531" s="33">
        <v>8850</v>
      </c>
      <c r="I1531" s="16">
        <f>H1531*G1531</f>
        <v>165242775</v>
      </c>
      <c r="J1531" s="17">
        <v>45</v>
      </c>
      <c r="K1531" s="34">
        <v>4502364841</v>
      </c>
      <c r="L1531" s="19">
        <v>5082628154</v>
      </c>
      <c r="M1531" s="20">
        <v>5113431445</v>
      </c>
      <c r="N1531" s="44"/>
      <c r="O1531" s="9" t="s">
        <v>63</v>
      </c>
      <c r="P1531" s="23"/>
      <c r="Q1531" s="24" t="s">
        <v>31</v>
      </c>
      <c r="R1531" s="25">
        <v>44750</v>
      </c>
      <c r="S1531" s="28"/>
      <c r="T1531" s="35"/>
      <c r="U1531" s="35"/>
      <c r="V1531" s="29"/>
      <c r="W1531" s="35"/>
      <c r="X1531" s="29"/>
      <c r="Y1531" s="36"/>
      <c r="Z1531" s="29"/>
      <c r="AA1531" s="31">
        <f t="shared" si="1"/>
        <v>44750</v>
      </c>
      <c r="AB1531" s="32" t="str">
        <f t="shared" si="5"/>
        <v>julio</v>
      </c>
    </row>
    <row r="1532" spans="1:28" ht="12.75">
      <c r="A1532" s="9" t="s">
        <v>348</v>
      </c>
      <c r="B1532" s="10">
        <v>44750</v>
      </c>
      <c r="C1532" s="11">
        <v>44754</v>
      </c>
      <c r="D1532" s="53">
        <v>28</v>
      </c>
      <c r="E1532" s="13" t="s">
        <v>2024</v>
      </c>
      <c r="F1532" s="13">
        <v>3025460</v>
      </c>
      <c r="G1532" s="14">
        <v>18671.5</v>
      </c>
      <c r="H1532" s="33">
        <f>8850-8629.24</f>
        <v>220.76000000000022</v>
      </c>
      <c r="I1532" s="16">
        <f>-H1532*G1532</f>
        <v>-4121920.340000004</v>
      </c>
      <c r="J1532" s="17">
        <v>0</v>
      </c>
      <c r="K1532" s="34">
        <v>4502364841</v>
      </c>
      <c r="L1532" s="19">
        <v>5082628154</v>
      </c>
      <c r="M1532" s="20">
        <v>5113431446</v>
      </c>
      <c r="N1532" s="44"/>
      <c r="O1532" s="9"/>
      <c r="P1532" s="23"/>
      <c r="Q1532" s="24" t="s">
        <v>31</v>
      </c>
      <c r="R1532" s="25">
        <v>44750</v>
      </c>
      <c r="S1532" s="28"/>
      <c r="T1532" s="35"/>
      <c r="U1532" s="35"/>
      <c r="V1532" s="29"/>
      <c r="W1532" s="35"/>
      <c r="X1532" s="29"/>
      <c r="Y1532" s="36"/>
      <c r="Z1532" s="29"/>
      <c r="AA1532" s="31">
        <f t="shared" si="1"/>
        <v>44750</v>
      </c>
      <c r="AB1532" s="32" t="str">
        <f t="shared" si="5"/>
        <v>julio</v>
      </c>
    </row>
    <row r="1533" spans="1:28" ht="12.75">
      <c r="A1533" s="9" t="s">
        <v>83</v>
      </c>
      <c r="B1533" s="10">
        <v>44754</v>
      </c>
      <c r="C1533" s="11">
        <v>44754</v>
      </c>
      <c r="D1533" s="53">
        <v>28</v>
      </c>
      <c r="E1533" s="13" t="s">
        <v>2025</v>
      </c>
      <c r="F1533" s="13">
        <v>3025457</v>
      </c>
      <c r="G1533" s="14">
        <v>13710</v>
      </c>
      <c r="H1533" s="57">
        <v>8850</v>
      </c>
      <c r="I1533" s="16">
        <f t="shared" ref="I1533:I1538" si="231">H1533*G1533</f>
        <v>121333500</v>
      </c>
      <c r="J1533" s="17">
        <v>28</v>
      </c>
      <c r="K1533" s="34">
        <v>4502368268</v>
      </c>
      <c r="L1533" s="19">
        <v>5082673688</v>
      </c>
      <c r="M1533" s="20">
        <v>5113432342</v>
      </c>
      <c r="N1533" s="44" t="s">
        <v>382</v>
      </c>
      <c r="O1533" s="9"/>
      <c r="P1533" s="23"/>
      <c r="Q1533" s="24" t="s">
        <v>82</v>
      </c>
      <c r="R1533" s="25">
        <v>44750</v>
      </c>
      <c r="S1533" s="28"/>
      <c r="T1533" s="35"/>
      <c r="U1533" s="35"/>
      <c r="V1533" s="29"/>
      <c r="W1533" s="35"/>
      <c r="X1533" s="29"/>
      <c r="Y1533" s="36"/>
      <c r="Z1533" s="29"/>
      <c r="AA1533" s="31">
        <f t="shared" si="1"/>
        <v>44750</v>
      </c>
      <c r="AB1533" s="32" t="str">
        <f t="shared" si="5"/>
        <v>julio</v>
      </c>
    </row>
    <row r="1534" spans="1:28" ht="12.75">
      <c r="A1534" s="9" t="s">
        <v>199</v>
      </c>
      <c r="B1534" s="10">
        <v>44754</v>
      </c>
      <c r="C1534" s="11">
        <v>44754</v>
      </c>
      <c r="D1534" s="53">
        <v>28</v>
      </c>
      <c r="E1534" s="13" t="s">
        <v>2026</v>
      </c>
      <c r="F1534" s="13">
        <v>3025457</v>
      </c>
      <c r="G1534" s="14">
        <v>15332</v>
      </c>
      <c r="H1534" s="57">
        <v>8850</v>
      </c>
      <c r="I1534" s="16">
        <f t="shared" si="231"/>
        <v>135688200</v>
      </c>
      <c r="J1534" s="17">
        <v>30</v>
      </c>
      <c r="K1534" s="34">
        <v>4502368271</v>
      </c>
      <c r="L1534" s="19">
        <v>5082673576</v>
      </c>
      <c r="M1534" s="20">
        <v>5113430927</v>
      </c>
      <c r="N1534" s="23" t="s">
        <v>475</v>
      </c>
      <c r="O1534" s="23" t="s">
        <v>63</v>
      </c>
      <c r="P1534" s="23"/>
      <c r="Q1534" s="24" t="s">
        <v>82</v>
      </c>
      <c r="R1534" s="25">
        <v>44750</v>
      </c>
      <c r="S1534" s="28"/>
      <c r="T1534" s="35"/>
      <c r="U1534" s="35"/>
      <c r="V1534" s="29"/>
      <c r="W1534" s="35"/>
      <c r="X1534" s="29"/>
      <c r="Y1534" s="36"/>
      <c r="Z1534" s="29"/>
      <c r="AA1534" s="31">
        <f t="shared" si="1"/>
        <v>44750</v>
      </c>
      <c r="AB1534" s="32" t="str">
        <f t="shared" si="5"/>
        <v>julio</v>
      </c>
    </row>
    <row r="1535" spans="1:28" ht="12.75">
      <c r="A1535" s="9" t="s">
        <v>94</v>
      </c>
      <c r="B1535" s="10">
        <v>44754</v>
      </c>
      <c r="C1535" s="11">
        <v>44754</v>
      </c>
      <c r="D1535" s="53">
        <v>28</v>
      </c>
      <c r="E1535" s="13" t="s">
        <v>631</v>
      </c>
      <c r="F1535" s="13">
        <v>3025457</v>
      </c>
      <c r="G1535" s="14">
        <v>12549</v>
      </c>
      <c r="H1535" s="57">
        <v>8838.01</v>
      </c>
      <c r="I1535" s="16">
        <f t="shared" si="231"/>
        <v>110908187.49000001</v>
      </c>
      <c r="J1535" s="17">
        <v>30</v>
      </c>
      <c r="K1535" s="34">
        <v>4502368272</v>
      </c>
      <c r="L1535" s="19">
        <v>5082673697</v>
      </c>
      <c r="M1535" s="20">
        <v>5113430245</v>
      </c>
      <c r="N1535" s="23"/>
      <c r="O1535" s="9" t="s">
        <v>63</v>
      </c>
      <c r="P1535" s="23"/>
      <c r="Q1535" s="24" t="s">
        <v>82</v>
      </c>
      <c r="R1535" s="25">
        <v>44750</v>
      </c>
      <c r="S1535" s="28"/>
      <c r="T1535" s="35"/>
      <c r="U1535" s="35"/>
      <c r="V1535" s="29"/>
      <c r="W1535" s="35"/>
      <c r="X1535" s="29"/>
      <c r="Y1535" s="36"/>
      <c r="Z1535" s="29"/>
      <c r="AA1535" s="31">
        <f t="shared" si="1"/>
        <v>44750</v>
      </c>
      <c r="AB1535" s="32" t="str">
        <f t="shared" si="5"/>
        <v>julio</v>
      </c>
    </row>
    <row r="1536" spans="1:28" ht="12.75">
      <c r="A1536" s="9" t="s">
        <v>976</v>
      </c>
      <c r="B1536" s="10">
        <v>44750</v>
      </c>
      <c r="C1536" s="11">
        <v>44754</v>
      </c>
      <c r="D1536" s="53">
        <v>28</v>
      </c>
      <c r="E1536" s="13" t="s">
        <v>2027</v>
      </c>
      <c r="F1536" s="13">
        <v>3025457</v>
      </c>
      <c r="G1536" s="14">
        <v>5909</v>
      </c>
      <c r="H1536" s="57">
        <v>8800</v>
      </c>
      <c r="I1536" s="16">
        <f t="shared" si="231"/>
        <v>51999200</v>
      </c>
      <c r="J1536" s="17">
        <v>14</v>
      </c>
      <c r="K1536" s="34">
        <v>4502368300</v>
      </c>
      <c r="L1536" s="19">
        <v>5082695018</v>
      </c>
      <c r="M1536" s="20">
        <v>5113436523</v>
      </c>
      <c r="N1536" s="23"/>
      <c r="O1536" s="23" t="s">
        <v>37</v>
      </c>
      <c r="P1536" s="23" t="s">
        <v>2028</v>
      </c>
      <c r="Q1536" s="24" t="s">
        <v>671</v>
      </c>
      <c r="R1536" s="25">
        <v>44750</v>
      </c>
      <c r="S1536" s="28"/>
      <c r="T1536" s="35"/>
      <c r="U1536" s="35"/>
      <c r="V1536" s="29"/>
      <c r="W1536" s="35"/>
      <c r="X1536" s="29"/>
      <c r="Y1536" s="36"/>
      <c r="Z1536" s="29"/>
      <c r="AA1536" s="31">
        <f t="shared" si="1"/>
        <v>44750</v>
      </c>
      <c r="AB1536" s="32" t="str">
        <f t="shared" si="5"/>
        <v>julio</v>
      </c>
    </row>
    <row r="1537" spans="1:28" ht="12.75">
      <c r="A1537" s="9" t="s">
        <v>85</v>
      </c>
      <c r="B1537" s="10">
        <v>44754</v>
      </c>
      <c r="C1537" s="11">
        <v>44754</v>
      </c>
      <c r="D1537" s="53">
        <v>28</v>
      </c>
      <c r="E1537" s="13" t="s">
        <v>2029</v>
      </c>
      <c r="F1537" s="13">
        <v>3025457</v>
      </c>
      <c r="G1537" s="14">
        <v>27825</v>
      </c>
      <c r="H1537" s="15">
        <v>8650</v>
      </c>
      <c r="I1537" s="16">
        <f t="shared" si="231"/>
        <v>240686250</v>
      </c>
      <c r="J1537" s="17">
        <v>56</v>
      </c>
      <c r="K1537" s="34">
        <v>4502367512</v>
      </c>
      <c r="L1537" s="19">
        <v>5082658491</v>
      </c>
      <c r="M1537" s="20">
        <v>5113431502</v>
      </c>
      <c r="N1537" s="44" t="s">
        <v>63</v>
      </c>
      <c r="O1537" s="22" t="s">
        <v>2030</v>
      </c>
      <c r="P1537" s="23"/>
      <c r="Q1537" s="24" t="s">
        <v>31</v>
      </c>
      <c r="R1537" s="25">
        <v>44751</v>
      </c>
      <c r="S1537" s="28">
        <v>4902301833</v>
      </c>
      <c r="T1537" s="27">
        <f>1793900*4</f>
        <v>7175600</v>
      </c>
      <c r="U1537" s="28" t="s">
        <v>2031</v>
      </c>
      <c r="V1537" s="29">
        <v>5113435655</v>
      </c>
      <c r="W1537" s="35"/>
      <c r="X1537" s="29"/>
      <c r="Y1537" s="36"/>
      <c r="Z1537" s="29"/>
      <c r="AA1537" s="31">
        <f t="shared" si="1"/>
        <v>44751</v>
      </c>
      <c r="AB1537" s="32" t="str">
        <f t="shared" si="5"/>
        <v>julio</v>
      </c>
    </row>
    <row r="1538" spans="1:28" ht="12.75">
      <c r="A1538" s="9" t="s">
        <v>111</v>
      </c>
      <c r="B1538" s="10">
        <v>44754</v>
      </c>
      <c r="C1538" s="11">
        <v>44754</v>
      </c>
      <c r="D1538" s="53">
        <v>28</v>
      </c>
      <c r="E1538" s="13" t="s">
        <v>2032</v>
      </c>
      <c r="F1538" s="13">
        <v>3025457</v>
      </c>
      <c r="G1538" s="14">
        <v>13082.5</v>
      </c>
      <c r="H1538" s="33">
        <v>8850</v>
      </c>
      <c r="I1538" s="16">
        <f t="shared" si="231"/>
        <v>115780125</v>
      </c>
      <c r="J1538" s="17">
        <v>28</v>
      </c>
      <c r="K1538" s="34">
        <v>4502364844</v>
      </c>
      <c r="L1538" s="19">
        <v>5082657864</v>
      </c>
      <c r="M1538" s="20">
        <v>5113432471</v>
      </c>
      <c r="N1538" s="23"/>
      <c r="O1538" s="9" t="s">
        <v>63</v>
      </c>
      <c r="P1538" s="23"/>
      <c r="Q1538" s="24" t="s">
        <v>31</v>
      </c>
      <c r="R1538" s="25">
        <v>44751</v>
      </c>
      <c r="S1538" s="28"/>
      <c r="T1538" s="35"/>
      <c r="U1538" s="35"/>
      <c r="V1538" s="29"/>
      <c r="W1538" s="35"/>
      <c r="X1538" s="29"/>
      <c r="Y1538" s="36"/>
      <c r="Z1538" s="29"/>
      <c r="AA1538" s="31">
        <f t="shared" si="1"/>
        <v>44751</v>
      </c>
      <c r="AB1538" s="32" t="str">
        <f t="shared" si="5"/>
        <v>julio</v>
      </c>
    </row>
    <row r="1539" spans="1:28" ht="12.75">
      <c r="A1539" s="9" t="s">
        <v>111</v>
      </c>
      <c r="B1539" s="10">
        <v>44754</v>
      </c>
      <c r="C1539" s="11">
        <v>44754</v>
      </c>
      <c r="D1539" s="53">
        <v>28</v>
      </c>
      <c r="E1539" s="13" t="s">
        <v>2033</v>
      </c>
      <c r="F1539" s="13">
        <v>3025457</v>
      </c>
      <c r="G1539" s="14">
        <v>13082.5</v>
      </c>
      <c r="H1539" s="33">
        <v>50</v>
      </c>
      <c r="I1539" s="16">
        <f>-H1539*G1539</f>
        <v>-654125</v>
      </c>
      <c r="J1539" s="17">
        <v>0</v>
      </c>
      <c r="K1539" s="34">
        <v>4502364844</v>
      </c>
      <c r="L1539" s="19">
        <v>5082657864</v>
      </c>
      <c r="M1539" s="20">
        <v>5113432472</v>
      </c>
      <c r="N1539" s="23"/>
      <c r="O1539" s="9"/>
      <c r="P1539" s="23"/>
      <c r="Q1539" s="24" t="s">
        <v>31</v>
      </c>
      <c r="R1539" s="25">
        <v>44751</v>
      </c>
      <c r="S1539" s="28"/>
      <c r="T1539" s="35"/>
      <c r="U1539" s="35"/>
      <c r="V1539" s="29"/>
      <c r="W1539" s="35"/>
      <c r="X1539" s="29"/>
      <c r="Y1539" s="36"/>
      <c r="Z1539" s="29"/>
      <c r="AA1539" s="31">
        <f t="shared" si="1"/>
        <v>44751</v>
      </c>
      <c r="AB1539" s="32" t="str">
        <f t="shared" si="5"/>
        <v>julio</v>
      </c>
    </row>
    <row r="1540" spans="1:28" ht="12.75">
      <c r="A1540" s="9" t="s">
        <v>58</v>
      </c>
      <c r="B1540" s="10">
        <v>44754</v>
      </c>
      <c r="C1540" s="11">
        <v>44754</v>
      </c>
      <c r="D1540" s="53">
        <v>28</v>
      </c>
      <c r="E1540" s="13" t="s">
        <v>2034</v>
      </c>
      <c r="F1540" s="13">
        <v>3025460</v>
      </c>
      <c r="G1540" s="14">
        <v>58092</v>
      </c>
      <c r="H1540" s="33">
        <v>9250</v>
      </c>
      <c r="I1540" s="16">
        <f>H1540*G1540</f>
        <v>537351000</v>
      </c>
      <c r="J1540" s="17">
        <v>120</v>
      </c>
      <c r="K1540" s="34">
        <v>4502364845</v>
      </c>
      <c r="L1540" s="19">
        <v>5082657865</v>
      </c>
      <c r="M1540" s="20">
        <v>5113432476</v>
      </c>
      <c r="N1540" s="23"/>
      <c r="O1540" s="9" t="s">
        <v>37</v>
      </c>
      <c r="P1540" s="23"/>
      <c r="Q1540" s="24" t="s">
        <v>31</v>
      </c>
      <c r="R1540" s="25">
        <v>44751</v>
      </c>
      <c r="S1540" s="28"/>
      <c r="T1540" s="35"/>
      <c r="U1540" s="35"/>
      <c r="V1540" s="29"/>
      <c r="W1540" s="35"/>
      <c r="X1540" s="29"/>
      <c r="Y1540" s="36"/>
      <c r="Z1540" s="29"/>
      <c r="AA1540" s="31">
        <f t="shared" si="1"/>
        <v>44751</v>
      </c>
      <c r="AB1540" s="32" t="str">
        <f t="shared" si="5"/>
        <v>julio</v>
      </c>
    </row>
    <row r="1541" spans="1:28" ht="12.75">
      <c r="A1541" s="9" t="s">
        <v>58</v>
      </c>
      <c r="B1541" s="10">
        <v>44754</v>
      </c>
      <c r="C1541" s="11">
        <v>44754</v>
      </c>
      <c r="D1541" s="53">
        <v>28</v>
      </c>
      <c r="E1541" s="13" t="s">
        <v>2035</v>
      </c>
      <c r="F1541" s="13">
        <v>3025460</v>
      </c>
      <c r="G1541" s="14">
        <v>58092</v>
      </c>
      <c r="H1541" s="33">
        <f>9250-9248.7</f>
        <v>1.2999999999992724</v>
      </c>
      <c r="I1541" s="16">
        <f>-H1541*G1541</f>
        <v>-75519.599999957733</v>
      </c>
      <c r="J1541" s="17">
        <v>0</v>
      </c>
      <c r="K1541" s="34">
        <v>4502364845</v>
      </c>
      <c r="L1541" s="19">
        <v>5082657865</v>
      </c>
      <c r="M1541" s="20">
        <v>5113432517</v>
      </c>
      <c r="N1541" s="23"/>
      <c r="O1541" s="9"/>
      <c r="P1541" s="23"/>
      <c r="Q1541" s="24" t="s">
        <v>31</v>
      </c>
      <c r="R1541" s="25">
        <v>44751</v>
      </c>
      <c r="S1541" s="28"/>
      <c r="T1541" s="35"/>
      <c r="U1541" s="35"/>
      <c r="V1541" s="29"/>
      <c r="W1541" s="35"/>
      <c r="X1541" s="29"/>
      <c r="Y1541" s="36"/>
      <c r="Z1541" s="29"/>
      <c r="AA1541" s="31">
        <f t="shared" si="1"/>
        <v>44751</v>
      </c>
      <c r="AB1541" s="32" t="str">
        <f t="shared" si="5"/>
        <v>julio</v>
      </c>
    </row>
    <row r="1542" spans="1:28" ht="12.75">
      <c r="A1542" s="22" t="s">
        <v>404</v>
      </c>
      <c r="B1542" s="10">
        <v>44752</v>
      </c>
      <c r="C1542" s="11">
        <v>44755</v>
      </c>
      <c r="D1542" s="53">
        <v>28</v>
      </c>
      <c r="E1542" s="13" t="s">
        <v>2036</v>
      </c>
      <c r="F1542" s="13">
        <v>3025457</v>
      </c>
      <c r="G1542" s="14">
        <v>13116.5</v>
      </c>
      <c r="H1542" s="33">
        <v>9250</v>
      </c>
      <c r="I1542" s="16">
        <f>H1542*G1542</f>
        <v>121327625</v>
      </c>
      <c r="J1542" s="17">
        <v>30</v>
      </c>
      <c r="K1542" s="34">
        <v>4502364846</v>
      </c>
      <c r="L1542" s="19">
        <v>5082657866</v>
      </c>
      <c r="M1542" s="20">
        <v>5113436518</v>
      </c>
      <c r="N1542" s="23"/>
      <c r="O1542" s="44" t="s">
        <v>37</v>
      </c>
      <c r="P1542" s="23" t="s">
        <v>2028</v>
      </c>
      <c r="Q1542" s="24" t="s">
        <v>31</v>
      </c>
      <c r="R1542" s="25">
        <v>44752</v>
      </c>
      <c r="S1542" s="28"/>
      <c r="T1542" s="35"/>
      <c r="U1542" s="35"/>
      <c r="V1542" s="29"/>
      <c r="W1542" s="35"/>
      <c r="X1542" s="29"/>
      <c r="Y1542" s="36"/>
      <c r="Z1542" s="29"/>
      <c r="AA1542" s="31">
        <f t="shared" si="1"/>
        <v>44752</v>
      </c>
      <c r="AB1542" s="32" t="str">
        <f t="shared" si="5"/>
        <v>julio</v>
      </c>
    </row>
    <row r="1543" spans="1:28" ht="12.75">
      <c r="A1543" s="22" t="s">
        <v>404</v>
      </c>
      <c r="B1543" s="10">
        <v>44755</v>
      </c>
      <c r="C1543" s="11">
        <v>44755</v>
      </c>
      <c r="D1543" s="53">
        <v>28</v>
      </c>
      <c r="E1543" s="13" t="s">
        <v>103</v>
      </c>
      <c r="F1543" s="13">
        <v>3025457</v>
      </c>
      <c r="G1543" s="14">
        <v>13116.5</v>
      </c>
      <c r="H1543" s="33">
        <f>9250-9093.96</f>
        <v>156.04000000000087</v>
      </c>
      <c r="I1543" s="16">
        <f>-H1543*G1543</f>
        <v>-2046698.6600000116</v>
      </c>
      <c r="J1543" s="17">
        <v>0</v>
      </c>
      <c r="K1543" s="34">
        <v>4502364846</v>
      </c>
      <c r="L1543" s="19">
        <v>5082657866</v>
      </c>
      <c r="M1543" s="20">
        <v>5113436520</v>
      </c>
      <c r="N1543" s="23"/>
      <c r="O1543" s="9"/>
      <c r="P1543" s="23"/>
      <c r="Q1543" s="24" t="s">
        <v>31</v>
      </c>
      <c r="R1543" s="25">
        <v>44752</v>
      </c>
      <c r="S1543" s="28"/>
      <c r="T1543" s="35"/>
      <c r="U1543" s="35"/>
      <c r="V1543" s="29"/>
      <c r="W1543" s="35"/>
      <c r="X1543" s="29"/>
      <c r="Y1543" s="36"/>
      <c r="Z1543" s="29"/>
      <c r="AA1543" s="31">
        <f t="shared" si="1"/>
        <v>44752</v>
      </c>
      <c r="AB1543" s="32" t="str">
        <f t="shared" si="5"/>
        <v>julio</v>
      </c>
    </row>
    <row r="1544" spans="1:28" ht="12.75">
      <c r="A1544" s="9" t="s">
        <v>58</v>
      </c>
      <c r="B1544" s="10">
        <v>44755</v>
      </c>
      <c r="C1544" s="11">
        <v>44755</v>
      </c>
      <c r="D1544" s="53">
        <v>28</v>
      </c>
      <c r="E1544" s="13" t="s">
        <v>2037</v>
      </c>
      <c r="F1544" s="13">
        <v>3025459</v>
      </c>
      <c r="G1544" s="14">
        <v>20629</v>
      </c>
      <c r="H1544" s="33">
        <v>9250</v>
      </c>
      <c r="I1544" s="16">
        <f>H1544*G1544</f>
        <v>190818250</v>
      </c>
      <c r="J1544" s="17">
        <v>44</v>
      </c>
      <c r="K1544" s="34">
        <v>4502364847</v>
      </c>
      <c r="L1544" s="19">
        <v>5082657867</v>
      </c>
      <c r="M1544" s="20">
        <v>5113437233</v>
      </c>
      <c r="N1544" s="23"/>
      <c r="O1544" s="9" t="s">
        <v>37</v>
      </c>
      <c r="P1544" s="23"/>
      <c r="Q1544" s="24" t="s">
        <v>31</v>
      </c>
      <c r="R1544" s="25">
        <v>44752</v>
      </c>
      <c r="S1544" s="28"/>
      <c r="T1544" s="35"/>
      <c r="U1544" s="35"/>
      <c r="V1544" s="29"/>
      <c r="W1544" s="35"/>
      <c r="X1544" s="29"/>
      <c r="Y1544" s="36"/>
      <c r="Z1544" s="29"/>
      <c r="AA1544" s="31">
        <f t="shared" si="1"/>
        <v>44752</v>
      </c>
      <c r="AB1544" s="32" t="str">
        <f t="shared" si="5"/>
        <v>julio</v>
      </c>
    </row>
    <row r="1545" spans="1:28" ht="12.75">
      <c r="A1545" s="9" t="s">
        <v>58</v>
      </c>
      <c r="B1545" s="10">
        <v>44755</v>
      </c>
      <c r="C1545" s="11">
        <v>44755</v>
      </c>
      <c r="D1545" s="53">
        <v>28</v>
      </c>
      <c r="E1545" s="13" t="s">
        <v>2038</v>
      </c>
      <c r="F1545" s="13">
        <v>3025459</v>
      </c>
      <c r="G1545" s="14">
        <v>20629</v>
      </c>
      <c r="H1545" s="33">
        <f>9250-9131.67</f>
        <v>118.32999999999993</v>
      </c>
      <c r="I1545" s="16">
        <f>-H1545*G1545</f>
        <v>-2441029.5699999984</v>
      </c>
      <c r="J1545" s="17">
        <v>0</v>
      </c>
      <c r="K1545" s="34">
        <v>4502364847</v>
      </c>
      <c r="L1545" s="19">
        <v>5082657867</v>
      </c>
      <c r="M1545" s="20">
        <v>5113437235</v>
      </c>
      <c r="N1545" s="23"/>
      <c r="O1545" s="9"/>
      <c r="P1545" s="23"/>
      <c r="Q1545" s="24" t="s">
        <v>31</v>
      </c>
      <c r="R1545" s="25">
        <v>44752</v>
      </c>
      <c r="S1545" s="28"/>
      <c r="T1545" s="35"/>
      <c r="U1545" s="35"/>
      <c r="V1545" s="29"/>
      <c r="W1545" s="35"/>
      <c r="X1545" s="29"/>
      <c r="Y1545" s="36"/>
      <c r="Z1545" s="29"/>
      <c r="AA1545" s="31">
        <f t="shared" si="1"/>
        <v>44752</v>
      </c>
      <c r="AB1545" s="32" t="str">
        <f t="shared" si="5"/>
        <v>julio</v>
      </c>
    </row>
    <row r="1546" spans="1:28" ht="12.75">
      <c r="A1546" s="9" t="s">
        <v>1102</v>
      </c>
      <c r="B1546" s="10">
        <v>44755</v>
      </c>
      <c r="C1546" s="11"/>
      <c r="D1546" s="53">
        <v>28</v>
      </c>
      <c r="E1546" s="13" t="s">
        <v>2039</v>
      </c>
      <c r="F1546" s="13">
        <v>3025460</v>
      </c>
      <c r="G1546" s="37">
        <v>7928.5</v>
      </c>
      <c r="H1546" s="33">
        <v>9250</v>
      </c>
      <c r="I1546" s="16">
        <f>H1546*G1546</f>
        <v>73338625</v>
      </c>
      <c r="J1546" s="17">
        <v>15</v>
      </c>
      <c r="K1546" s="34">
        <v>4502364848</v>
      </c>
      <c r="L1546" s="19">
        <v>5082658144</v>
      </c>
      <c r="M1546" s="20">
        <v>5113437344</v>
      </c>
      <c r="N1546" s="23"/>
      <c r="O1546" s="9" t="s">
        <v>37</v>
      </c>
      <c r="P1546" s="23"/>
      <c r="Q1546" s="24" t="s">
        <v>31</v>
      </c>
      <c r="R1546" s="25">
        <v>44752</v>
      </c>
      <c r="S1546" s="28"/>
      <c r="T1546" s="35"/>
      <c r="U1546" s="35"/>
      <c r="V1546" s="29"/>
      <c r="W1546" s="35"/>
      <c r="X1546" s="29"/>
      <c r="Y1546" s="36"/>
      <c r="Z1546" s="29"/>
      <c r="AA1546" s="31">
        <f t="shared" si="1"/>
        <v>44752</v>
      </c>
      <c r="AB1546" s="32" t="str">
        <f t="shared" si="5"/>
        <v>julio</v>
      </c>
    </row>
    <row r="1547" spans="1:28" ht="12.75">
      <c r="A1547" s="9" t="s">
        <v>1102</v>
      </c>
      <c r="B1547" s="10">
        <v>44755</v>
      </c>
      <c r="C1547" s="11"/>
      <c r="D1547" s="53">
        <v>28</v>
      </c>
      <c r="E1547" s="13" t="s">
        <v>2040</v>
      </c>
      <c r="F1547" s="13">
        <v>3025460</v>
      </c>
      <c r="G1547" s="37">
        <v>7928.5</v>
      </c>
      <c r="H1547" s="33">
        <f>9250-9103.27</f>
        <v>146.72999999999956</v>
      </c>
      <c r="I1547" s="16">
        <f>-H1547*G1547</f>
        <v>-1163348.8049999964</v>
      </c>
      <c r="J1547" s="17">
        <v>0</v>
      </c>
      <c r="K1547" s="34">
        <v>4502364848</v>
      </c>
      <c r="L1547" s="19">
        <v>5082658144</v>
      </c>
      <c r="M1547" s="20">
        <v>5113437345</v>
      </c>
      <c r="N1547" s="23"/>
      <c r="O1547" s="9"/>
      <c r="P1547" s="23"/>
      <c r="Q1547" s="24" t="s">
        <v>31</v>
      </c>
      <c r="R1547" s="25">
        <v>44752</v>
      </c>
      <c r="S1547" s="28"/>
      <c r="T1547" s="35"/>
      <c r="U1547" s="35"/>
      <c r="V1547" s="29"/>
      <c r="W1547" s="35"/>
      <c r="X1547" s="29"/>
      <c r="Y1547" s="36"/>
      <c r="Z1547" s="29"/>
      <c r="AA1547" s="31">
        <f t="shared" si="1"/>
        <v>44752</v>
      </c>
      <c r="AB1547" s="32" t="str">
        <f t="shared" si="5"/>
        <v>julio</v>
      </c>
    </row>
    <row r="1548" spans="1:28" ht="12.75">
      <c r="A1548" s="9" t="s">
        <v>567</v>
      </c>
      <c r="B1548" s="10">
        <v>44760</v>
      </c>
      <c r="C1548" s="11">
        <v>44760</v>
      </c>
      <c r="D1548" s="53">
        <v>28</v>
      </c>
      <c r="E1548" s="13" t="s">
        <v>2041</v>
      </c>
      <c r="F1548" s="13">
        <v>3025457</v>
      </c>
      <c r="G1548" s="37">
        <v>15049.5</v>
      </c>
      <c r="H1548" s="33">
        <v>8850</v>
      </c>
      <c r="I1548" s="16">
        <f t="shared" ref="I1548:I1549" si="232">H1548*G1548</f>
        <v>133188075</v>
      </c>
      <c r="J1548" s="17">
        <v>30</v>
      </c>
      <c r="K1548" s="34">
        <v>4502364849</v>
      </c>
      <c r="L1548" s="19">
        <v>5082694121</v>
      </c>
      <c r="M1548" s="20">
        <v>5113442717</v>
      </c>
      <c r="N1548" s="23"/>
      <c r="O1548" s="9" t="s">
        <v>63</v>
      </c>
      <c r="P1548" s="23"/>
      <c r="Q1548" s="24" t="s">
        <v>31</v>
      </c>
      <c r="R1548" s="25">
        <v>44753</v>
      </c>
      <c r="S1548" s="28"/>
      <c r="T1548" s="35"/>
      <c r="U1548" s="35"/>
      <c r="V1548" s="29"/>
      <c r="W1548" s="35"/>
      <c r="X1548" s="29"/>
      <c r="Y1548" s="36"/>
      <c r="Z1548" s="29"/>
      <c r="AA1548" s="31">
        <f t="shared" si="1"/>
        <v>44753</v>
      </c>
      <c r="AB1548" s="32" t="str">
        <f t="shared" si="5"/>
        <v>julio</v>
      </c>
    </row>
    <row r="1549" spans="1:28" ht="12.75">
      <c r="A1549" s="9" t="s">
        <v>35</v>
      </c>
      <c r="B1549" s="10">
        <v>44760</v>
      </c>
      <c r="C1549" s="11">
        <v>44760</v>
      </c>
      <c r="D1549" s="53">
        <v>28</v>
      </c>
      <c r="E1549" s="13" t="s">
        <v>1658</v>
      </c>
      <c r="F1549" s="13">
        <v>3025457</v>
      </c>
      <c r="G1549" s="14">
        <v>6798</v>
      </c>
      <c r="H1549" s="33">
        <v>8750</v>
      </c>
      <c r="I1549" s="16">
        <f t="shared" si="232"/>
        <v>59482500</v>
      </c>
      <c r="J1549" s="17">
        <v>14</v>
      </c>
      <c r="K1549" s="34">
        <v>4502367868</v>
      </c>
      <c r="L1549" s="19">
        <v>5082695446</v>
      </c>
      <c r="M1549" s="20">
        <v>5113448785</v>
      </c>
      <c r="N1549" s="21"/>
      <c r="O1549" s="9" t="s">
        <v>37</v>
      </c>
      <c r="P1549" s="23"/>
      <c r="Q1549" s="24" t="s">
        <v>31</v>
      </c>
      <c r="R1549" s="25">
        <v>44753</v>
      </c>
      <c r="S1549" s="28"/>
      <c r="T1549" s="35"/>
      <c r="U1549" s="35"/>
      <c r="V1549" s="29"/>
      <c r="W1549" s="35"/>
      <c r="X1549" s="29"/>
      <c r="Y1549" s="36"/>
      <c r="Z1549" s="29"/>
      <c r="AA1549" s="31">
        <f t="shared" si="1"/>
        <v>44753</v>
      </c>
      <c r="AB1549" s="32" t="str">
        <f t="shared" si="5"/>
        <v>julio</v>
      </c>
    </row>
    <row r="1550" spans="1:28" ht="12.75">
      <c r="A1550" s="119" t="s">
        <v>35</v>
      </c>
      <c r="B1550" s="10">
        <v>44760</v>
      </c>
      <c r="C1550" s="11">
        <v>44760</v>
      </c>
      <c r="D1550" s="53">
        <v>28</v>
      </c>
      <c r="E1550" s="13" t="s">
        <v>2042</v>
      </c>
      <c r="F1550" s="13">
        <v>3025457</v>
      </c>
      <c r="G1550" s="14">
        <v>6798</v>
      </c>
      <c r="H1550" s="33">
        <v>50</v>
      </c>
      <c r="I1550" s="16">
        <f>-H1550*G1550</f>
        <v>-339900</v>
      </c>
      <c r="J1550" s="17">
        <v>0</v>
      </c>
      <c r="K1550" s="34">
        <v>4502367868</v>
      </c>
      <c r="L1550" s="19">
        <v>5082695446</v>
      </c>
      <c r="M1550" s="20">
        <v>5113448786</v>
      </c>
      <c r="N1550" s="23"/>
      <c r="O1550" s="9"/>
      <c r="P1550" s="23"/>
      <c r="Q1550" s="24" t="s">
        <v>31</v>
      </c>
      <c r="R1550" s="25">
        <v>44753</v>
      </c>
      <c r="S1550" s="28"/>
      <c r="T1550" s="35"/>
      <c r="U1550" s="35"/>
      <c r="V1550" s="29"/>
      <c r="W1550" s="35"/>
      <c r="X1550" s="29"/>
      <c r="Y1550" s="36"/>
      <c r="Z1550" s="29"/>
      <c r="AA1550" s="31">
        <f t="shared" si="1"/>
        <v>44753</v>
      </c>
      <c r="AB1550" s="32" t="str">
        <f t="shared" si="5"/>
        <v>julio</v>
      </c>
    </row>
    <row r="1551" spans="1:28" ht="12.75">
      <c r="A1551" s="9" t="s">
        <v>58</v>
      </c>
      <c r="B1551" s="10">
        <v>44755</v>
      </c>
      <c r="C1551" s="11">
        <v>44755</v>
      </c>
      <c r="D1551" s="53">
        <v>28</v>
      </c>
      <c r="E1551" s="13" t="s">
        <v>2043</v>
      </c>
      <c r="F1551" s="13">
        <v>3025459</v>
      </c>
      <c r="G1551" s="14">
        <v>14391.5</v>
      </c>
      <c r="H1551" s="33">
        <v>9250</v>
      </c>
      <c r="I1551" s="16">
        <f t="shared" ref="I1551:I1552" si="233">H1551*G1551</f>
        <v>133121375</v>
      </c>
      <c r="J1551" s="17">
        <v>30</v>
      </c>
      <c r="K1551" s="34">
        <v>4502364847</v>
      </c>
      <c r="L1551" s="19">
        <v>5082657867</v>
      </c>
      <c r="M1551" s="20">
        <v>5113435276</v>
      </c>
      <c r="N1551" s="23"/>
      <c r="O1551" s="9" t="s">
        <v>37</v>
      </c>
      <c r="P1551" s="23"/>
      <c r="Q1551" s="24" t="s">
        <v>31</v>
      </c>
      <c r="R1551" s="25">
        <v>44752</v>
      </c>
      <c r="S1551" s="28"/>
      <c r="T1551" s="35"/>
      <c r="U1551" s="35"/>
      <c r="V1551" s="29"/>
      <c r="W1551" s="35"/>
      <c r="X1551" s="29"/>
      <c r="Y1551" s="36"/>
      <c r="Z1551" s="29"/>
      <c r="AA1551" s="31">
        <f t="shared" si="1"/>
        <v>44752</v>
      </c>
      <c r="AB1551" s="32" t="str">
        <f t="shared" si="5"/>
        <v>julio</v>
      </c>
    </row>
    <row r="1552" spans="1:28" ht="12.75">
      <c r="A1552" s="9" t="s">
        <v>58</v>
      </c>
      <c r="B1552" s="10">
        <v>44756</v>
      </c>
      <c r="C1552" s="11">
        <v>44756</v>
      </c>
      <c r="D1552" s="53">
        <v>28</v>
      </c>
      <c r="E1552" s="13" t="s">
        <v>2044</v>
      </c>
      <c r="F1552" s="13">
        <v>3025459</v>
      </c>
      <c r="G1552" s="37">
        <v>23910.5</v>
      </c>
      <c r="H1552" s="33">
        <v>9250</v>
      </c>
      <c r="I1552" s="16">
        <f t="shared" si="233"/>
        <v>221172125</v>
      </c>
      <c r="J1552" s="17">
        <v>47</v>
      </c>
      <c r="K1552" s="34">
        <v>4502364850</v>
      </c>
      <c r="L1552" s="19">
        <v>5082694122</v>
      </c>
      <c r="M1552" s="20">
        <v>5113437299</v>
      </c>
      <c r="N1552" s="23"/>
      <c r="O1552" s="9" t="s">
        <v>37</v>
      </c>
      <c r="P1552" s="23"/>
      <c r="Q1552" s="24" t="s">
        <v>31</v>
      </c>
      <c r="R1552" s="25">
        <v>44753</v>
      </c>
      <c r="S1552" s="28"/>
      <c r="T1552" s="35"/>
      <c r="U1552" s="35"/>
      <c r="V1552" s="29"/>
      <c r="W1552" s="35"/>
      <c r="X1552" s="29"/>
      <c r="Y1552" s="36"/>
      <c r="Z1552" s="29"/>
      <c r="AA1552" s="31">
        <f t="shared" si="1"/>
        <v>44753</v>
      </c>
      <c r="AB1552" s="32" t="str">
        <f t="shared" si="5"/>
        <v>julio</v>
      </c>
    </row>
    <row r="1553" spans="1:28" ht="12.75">
      <c r="A1553" s="9" t="s">
        <v>58</v>
      </c>
      <c r="B1553" s="10">
        <v>44756</v>
      </c>
      <c r="C1553" s="11">
        <v>44756</v>
      </c>
      <c r="D1553" s="53">
        <v>28</v>
      </c>
      <c r="E1553" s="13" t="s">
        <v>2045</v>
      </c>
      <c r="F1553" s="13">
        <v>3025459</v>
      </c>
      <c r="G1553" s="37">
        <v>23910.5</v>
      </c>
      <c r="H1553" s="33">
        <f>9250-9083.82</f>
        <v>166.18000000000029</v>
      </c>
      <c r="I1553" s="16">
        <f>-H1553*G1553</f>
        <v>-3973446.8900000071</v>
      </c>
      <c r="J1553" s="17">
        <v>0</v>
      </c>
      <c r="K1553" s="34">
        <v>4502364850</v>
      </c>
      <c r="L1553" s="19">
        <v>5082694122</v>
      </c>
      <c r="M1553" s="20">
        <v>5113437302</v>
      </c>
      <c r="N1553" s="23"/>
      <c r="O1553" s="9"/>
      <c r="P1553" s="23"/>
      <c r="Q1553" s="24" t="s">
        <v>31</v>
      </c>
      <c r="R1553" s="25">
        <v>44753</v>
      </c>
      <c r="S1553" s="28"/>
      <c r="T1553" s="35"/>
      <c r="U1553" s="35"/>
      <c r="V1553" s="29"/>
      <c r="W1553" s="35"/>
      <c r="X1553" s="29"/>
      <c r="Y1553" s="36"/>
      <c r="Z1553" s="29"/>
      <c r="AA1553" s="31">
        <f t="shared" si="1"/>
        <v>44753</v>
      </c>
      <c r="AB1553" s="32" t="str">
        <f t="shared" si="5"/>
        <v>julio</v>
      </c>
    </row>
    <row r="1554" spans="1:28" ht="12.75">
      <c r="A1554" s="9" t="s">
        <v>58</v>
      </c>
      <c r="B1554" s="10">
        <v>44756</v>
      </c>
      <c r="C1554" s="11">
        <v>44756</v>
      </c>
      <c r="D1554" s="53">
        <v>28</v>
      </c>
      <c r="E1554" s="13" t="s">
        <v>2046</v>
      </c>
      <c r="F1554" s="13">
        <v>3025459</v>
      </c>
      <c r="G1554" s="14">
        <v>7448</v>
      </c>
      <c r="H1554" s="33">
        <v>9250</v>
      </c>
      <c r="I1554" s="16">
        <f>H1554*G1554</f>
        <v>68894000</v>
      </c>
      <c r="J1554" s="17">
        <v>14</v>
      </c>
      <c r="K1554" s="34">
        <v>4502364850</v>
      </c>
      <c r="L1554" s="19">
        <v>5082694122</v>
      </c>
      <c r="M1554" s="20">
        <v>5113437297</v>
      </c>
      <c r="N1554" s="23"/>
      <c r="O1554" s="9" t="s">
        <v>37</v>
      </c>
      <c r="P1554" s="23"/>
      <c r="Q1554" s="24" t="s">
        <v>31</v>
      </c>
      <c r="R1554" s="25">
        <v>44753</v>
      </c>
      <c r="S1554" s="28"/>
      <c r="T1554" s="35"/>
      <c r="U1554" s="35"/>
      <c r="V1554" s="29"/>
      <c r="W1554" s="35"/>
      <c r="X1554" s="29"/>
      <c r="Y1554" s="36"/>
      <c r="Z1554" s="29"/>
      <c r="AA1554" s="31">
        <f t="shared" si="1"/>
        <v>44753</v>
      </c>
      <c r="AB1554" s="32" t="str">
        <f t="shared" si="5"/>
        <v>julio</v>
      </c>
    </row>
    <row r="1555" spans="1:28" ht="12.75">
      <c r="A1555" s="9" t="s">
        <v>58</v>
      </c>
      <c r="B1555" s="10">
        <v>44756</v>
      </c>
      <c r="C1555" s="11">
        <v>44756</v>
      </c>
      <c r="D1555" s="53">
        <v>28</v>
      </c>
      <c r="E1555" s="13" t="s">
        <v>2047</v>
      </c>
      <c r="F1555" s="13">
        <v>3025459</v>
      </c>
      <c r="G1555" s="14">
        <v>7448</v>
      </c>
      <c r="H1555" s="33">
        <f>9250-9214.98</f>
        <v>35.020000000000437</v>
      </c>
      <c r="I1555" s="16">
        <f>-H1555*G1555</f>
        <v>-260828.96000000325</v>
      </c>
      <c r="J1555" s="17">
        <v>0</v>
      </c>
      <c r="K1555" s="34">
        <v>4502364850</v>
      </c>
      <c r="L1555" s="19">
        <v>5082694122</v>
      </c>
      <c r="M1555" s="20">
        <v>5113437298</v>
      </c>
      <c r="N1555" s="23"/>
      <c r="O1555" s="9"/>
      <c r="P1555" s="23"/>
      <c r="Q1555" s="24" t="s">
        <v>31</v>
      </c>
      <c r="R1555" s="25">
        <v>44753</v>
      </c>
      <c r="S1555" s="28"/>
      <c r="T1555" s="35"/>
      <c r="U1555" s="35"/>
      <c r="V1555" s="29"/>
      <c r="W1555" s="35"/>
      <c r="X1555" s="29"/>
      <c r="Y1555" s="36"/>
      <c r="Z1555" s="29"/>
      <c r="AA1555" s="31">
        <f t="shared" si="1"/>
        <v>44753</v>
      </c>
      <c r="AB1555" s="32" t="str">
        <f t="shared" si="5"/>
        <v>julio</v>
      </c>
    </row>
    <row r="1556" spans="1:28" ht="12.75">
      <c r="A1556" s="9" t="s">
        <v>116</v>
      </c>
      <c r="B1556" s="10">
        <v>44748</v>
      </c>
      <c r="C1556" s="11"/>
      <c r="D1556" s="53">
        <v>28</v>
      </c>
      <c r="E1556" s="13" t="s">
        <v>2048</v>
      </c>
      <c r="F1556" s="13">
        <v>3025662</v>
      </c>
      <c r="G1556" s="14">
        <v>12728</v>
      </c>
      <c r="H1556" s="57">
        <v>7903</v>
      </c>
      <c r="I1556" s="16">
        <f t="shared" ref="I1556:I1557" si="234">H1556*G1556</f>
        <v>100589384</v>
      </c>
      <c r="J1556" s="17">
        <v>30</v>
      </c>
      <c r="K1556" s="34">
        <v>4502366308</v>
      </c>
      <c r="L1556" s="19">
        <v>5082621375</v>
      </c>
      <c r="M1556" s="20">
        <v>5113437231</v>
      </c>
      <c r="N1556" s="23" t="s">
        <v>37</v>
      </c>
      <c r="O1556" s="22" t="s">
        <v>2049</v>
      </c>
      <c r="P1556" s="23" t="s">
        <v>37</v>
      </c>
      <c r="Q1556" s="24" t="s">
        <v>357</v>
      </c>
      <c r="R1556" s="25">
        <v>44753</v>
      </c>
      <c r="S1556" s="28">
        <v>4502366308</v>
      </c>
      <c r="T1556" s="35">
        <f>570200*2</f>
        <v>1140400</v>
      </c>
      <c r="U1556" s="28" t="s">
        <v>2050</v>
      </c>
      <c r="V1556" s="29">
        <v>5113435838</v>
      </c>
      <c r="W1556" s="35"/>
      <c r="X1556" s="29"/>
      <c r="Y1556" s="36"/>
      <c r="Z1556" s="29"/>
      <c r="AA1556" s="31">
        <f t="shared" si="1"/>
        <v>44753</v>
      </c>
      <c r="AB1556" s="32" t="str">
        <f t="shared" si="5"/>
        <v>julio</v>
      </c>
    </row>
    <row r="1557" spans="1:28" ht="12.75">
      <c r="A1557" s="107" t="s">
        <v>245</v>
      </c>
      <c r="B1557" s="10">
        <v>44754</v>
      </c>
      <c r="C1557" s="11">
        <v>44756</v>
      </c>
      <c r="D1557" s="53">
        <v>28</v>
      </c>
      <c r="E1557" s="13" t="s">
        <v>2051</v>
      </c>
      <c r="F1557" s="13">
        <v>3025457</v>
      </c>
      <c r="G1557" s="37">
        <v>6825.5</v>
      </c>
      <c r="H1557" s="33">
        <v>8850</v>
      </c>
      <c r="I1557" s="16">
        <f t="shared" si="234"/>
        <v>60405675</v>
      </c>
      <c r="J1557" s="17">
        <v>14</v>
      </c>
      <c r="K1557" s="34">
        <v>4502371020</v>
      </c>
      <c r="L1557" s="19">
        <v>5082730582</v>
      </c>
      <c r="M1557" s="20">
        <v>5113438346</v>
      </c>
      <c r="N1557" s="9" t="s">
        <v>63</v>
      </c>
      <c r="O1557" s="9"/>
      <c r="P1557" s="23"/>
      <c r="Q1557" s="24" t="s">
        <v>31</v>
      </c>
      <c r="R1557" s="25">
        <v>44754</v>
      </c>
      <c r="S1557" s="28"/>
      <c r="T1557" s="35"/>
      <c r="U1557" s="35"/>
      <c r="V1557" s="29"/>
      <c r="W1557" s="35"/>
      <c r="X1557" s="29"/>
      <c r="Y1557" s="36"/>
      <c r="Z1557" s="29"/>
      <c r="AA1557" s="31">
        <f t="shared" si="1"/>
        <v>44754</v>
      </c>
      <c r="AB1557" s="32" t="str">
        <f t="shared" si="5"/>
        <v>julio</v>
      </c>
    </row>
    <row r="1558" spans="1:28" ht="12.75">
      <c r="A1558" s="9" t="s">
        <v>245</v>
      </c>
      <c r="B1558" s="10">
        <v>44754</v>
      </c>
      <c r="C1558" s="11">
        <v>44756</v>
      </c>
      <c r="D1558" s="53">
        <v>28</v>
      </c>
      <c r="E1558" s="13">
        <v>9</v>
      </c>
      <c r="F1558" s="13">
        <v>3025457</v>
      </c>
      <c r="G1558" s="37">
        <v>6825.5</v>
      </c>
      <c r="H1558" s="33">
        <v>50</v>
      </c>
      <c r="I1558" s="16">
        <f>-H1558*G1558</f>
        <v>-341275</v>
      </c>
      <c r="J1558" s="17">
        <v>0</v>
      </c>
      <c r="K1558" s="34">
        <v>4502371020</v>
      </c>
      <c r="L1558" s="19">
        <v>5082730582</v>
      </c>
      <c r="M1558" s="20">
        <v>5113438360</v>
      </c>
      <c r="N1558" s="9"/>
      <c r="O1558" s="9"/>
      <c r="P1558" s="23"/>
      <c r="Q1558" s="24" t="s">
        <v>31</v>
      </c>
      <c r="R1558" s="25">
        <v>44754</v>
      </c>
      <c r="S1558" s="28"/>
      <c r="T1558" s="35"/>
      <c r="U1558" s="35"/>
      <c r="V1558" s="29"/>
      <c r="W1558" s="35"/>
      <c r="X1558" s="29"/>
      <c r="Y1558" s="36"/>
      <c r="Z1558" s="29"/>
      <c r="AA1558" s="31">
        <f t="shared" si="1"/>
        <v>44754</v>
      </c>
      <c r="AB1558" s="32" t="str">
        <f t="shared" si="5"/>
        <v>julio</v>
      </c>
    </row>
    <row r="1559" spans="1:28" ht="12.75">
      <c r="A1559" s="9" t="s">
        <v>443</v>
      </c>
      <c r="B1559" s="10">
        <v>44754</v>
      </c>
      <c r="C1559" s="11">
        <v>44756</v>
      </c>
      <c r="D1559" s="53">
        <v>28</v>
      </c>
      <c r="E1559" s="13" t="s">
        <v>2052</v>
      </c>
      <c r="F1559" s="13">
        <v>3025457</v>
      </c>
      <c r="G1559" s="14">
        <v>15005</v>
      </c>
      <c r="H1559" s="15">
        <v>8650</v>
      </c>
      <c r="I1559" s="16">
        <f t="shared" ref="I1559:I1562" si="235">H1559*G1559</f>
        <v>129793250</v>
      </c>
      <c r="J1559" s="17">
        <v>28</v>
      </c>
      <c r="K1559" s="34">
        <v>4502367998</v>
      </c>
      <c r="L1559" s="19">
        <v>5082664320</v>
      </c>
      <c r="M1559" s="20">
        <v>5113437007</v>
      </c>
      <c r="N1559" s="9" t="s">
        <v>63</v>
      </c>
      <c r="O1559" s="22" t="s">
        <v>2053</v>
      </c>
      <c r="P1559" s="23"/>
      <c r="Q1559" s="24" t="s">
        <v>31</v>
      </c>
      <c r="R1559" s="25">
        <v>44754</v>
      </c>
      <c r="S1559" s="28">
        <v>4902301834</v>
      </c>
      <c r="T1559" s="28">
        <f>1840900*2</f>
        <v>3681800</v>
      </c>
      <c r="U1559" s="28" t="s">
        <v>2054</v>
      </c>
      <c r="V1559" s="29">
        <v>5113436512</v>
      </c>
      <c r="W1559" s="35"/>
      <c r="X1559" s="29"/>
      <c r="Y1559" s="36"/>
      <c r="Z1559" s="29"/>
      <c r="AA1559" s="31">
        <f t="shared" si="1"/>
        <v>44754</v>
      </c>
      <c r="AB1559" s="32" t="str">
        <f t="shared" si="5"/>
        <v>julio</v>
      </c>
    </row>
    <row r="1560" spans="1:28" ht="12.75">
      <c r="A1560" s="9" t="s">
        <v>116</v>
      </c>
      <c r="B1560" s="10">
        <v>44748</v>
      </c>
      <c r="C1560" s="11">
        <v>44749</v>
      </c>
      <c r="D1560" s="53">
        <v>28</v>
      </c>
      <c r="E1560" s="13" t="s">
        <v>2055</v>
      </c>
      <c r="F1560" s="13">
        <v>3025457</v>
      </c>
      <c r="G1560" s="14">
        <v>190271</v>
      </c>
      <c r="H1560" s="57">
        <v>9635</v>
      </c>
      <c r="I1560" s="16">
        <f t="shared" si="235"/>
        <v>1833261085</v>
      </c>
      <c r="J1560" s="17">
        <v>364</v>
      </c>
      <c r="K1560" s="34">
        <v>4502365447</v>
      </c>
      <c r="L1560" s="19">
        <v>5082603723</v>
      </c>
      <c r="M1560" s="20">
        <v>5113437230</v>
      </c>
      <c r="N1560" s="23" t="s">
        <v>37</v>
      </c>
      <c r="O1560" s="22" t="s">
        <v>2056</v>
      </c>
      <c r="P1560" s="23" t="s">
        <v>37</v>
      </c>
      <c r="Q1560" s="24" t="s">
        <v>357</v>
      </c>
      <c r="R1560" s="25">
        <v>44754</v>
      </c>
      <c r="S1560" s="28">
        <v>4902302392</v>
      </c>
      <c r="T1560" s="35">
        <f t="shared" ref="T1560:T1561" si="236">570200*5</f>
        <v>2851000</v>
      </c>
      <c r="U1560" s="28" t="s">
        <v>2057</v>
      </c>
      <c r="V1560" s="29">
        <v>5113436511</v>
      </c>
      <c r="W1560" s="35"/>
      <c r="X1560" s="29"/>
      <c r="Y1560" s="36"/>
      <c r="Z1560" s="29"/>
      <c r="AA1560" s="31">
        <f t="shared" si="1"/>
        <v>44754</v>
      </c>
      <c r="AB1560" s="32" t="str">
        <f t="shared" si="5"/>
        <v>julio</v>
      </c>
    </row>
    <row r="1561" spans="1:28" ht="12.75">
      <c r="A1561" s="9" t="s">
        <v>116</v>
      </c>
      <c r="B1561" s="10">
        <v>44748</v>
      </c>
      <c r="C1561" s="11">
        <v>44749</v>
      </c>
      <c r="D1561" s="53">
        <v>28</v>
      </c>
      <c r="E1561" s="13" t="s">
        <v>2055</v>
      </c>
      <c r="F1561" s="13">
        <v>3025457</v>
      </c>
      <c r="G1561" s="14">
        <v>190271</v>
      </c>
      <c r="H1561" s="57">
        <v>9635</v>
      </c>
      <c r="I1561" s="16">
        <f t="shared" si="235"/>
        <v>1833261085</v>
      </c>
      <c r="J1561" s="17">
        <v>70</v>
      </c>
      <c r="K1561" s="34">
        <v>4502365447</v>
      </c>
      <c r="L1561" s="19">
        <v>5082603723</v>
      </c>
      <c r="M1561" s="20">
        <v>5113437230</v>
      </c>
      <c r="N1561" s="23" t="s">
        <v>37</v>
      </c>
      <c r="O1561" s="22" t="s">
        <v>2056</v>
      </c>
      <c r="P1561" s="23"/>
      <c r="Q1561" s="24" t="s">
        <v>357</v>
      </c>
      <c r="R1561" s="25">
        <v>44755</v>
      </c>
      <c r="S1561" s="28">
        <v>4902302392</v>
      </c>
      <c r="T1561" s="35">
        <f t="shared" si="236"/>
        <v>2851000</v>
      </c>
      <c r="U1561" s="28" t="s">
        <v>2058</v>
      </c>
      <c r="V1561" s="29">
        <v>5113441736</v>
      </c>
      <c r="W1561" s="35"/>
      <c r="X1561" s="29"/>
      <c r="Y1561" s="36"/>
      <c r="Z1561" s="29"/>
      <c r="AA1561" s="31">
        <f t="shared" si="1"/>
        <v>44755</v>
      </c>
      <c r="AB1561" s="32" t="str">
        <f t="shared" si="5"/>
        <v>julio</v>
      </c>
    </row>
    <row r="1562" spans="1:28" ht="12.75">
      <c r="A1562" s="22" t="s">
        <v>404</v>
      </c>
      <c r="B1562" s="10">
        <v>44757</v>
      </c>
      <c r="C1562" s="11">
        <v>44760</v>
      </c>
      <c r="D1562" s="42">
        <v>29</v>
      </c>
      <c r="E1562" s="13" t="s">
        <v>2059</v>
      </c>
      <c r="F1562" s="13">
        <v>3025457</v>
      </c>
      <c r="G1562" s="37">
        <v>13638.5</v>
      </c>
      <c r="H1562" s="40">
        <v>9150</v>
      </c>
      <c r="I1562" s="16">
        <f t="shared" si="235"/>
        <v>124792275</v>
      </c>
      <c r="J1562" s="17">
        <v>30</v>
      </c>
      <c r="K1562" s="34">
        <v>4502369704</v>
      </c>
      <c r="L1562" s="19">
        <v>5082733163</v>
      </c>
      <c r="M1562" s="20">
        <v>5113450920</v>
      </c>
      <c r="N1562" s="23"/>
      <c r="O1562" s="23" t="s">
        <v>37</v>
      </c>
      <c r="P1562" s="23"/>
      <c r="Q1562" s="24" t="s">
        <v>31</v>
      </c>
      <c r="R1562" s="25">
        <v>44756</v>
      </c>
      <c r="S1562" s="28"/>
      <c r="T1562" s="35"/>
      <c r="U1562" s="35"/>
      <c r="V1562" s="29"/>
      <c r="W1562" s="35"/>
      <c r="X1562" s="29"/>
      <c r="Y1562" s="36"/>
      <c r="Z1562" s="29"/>
      <c r="AA1562" s="31">
        <f t="shared" si="1"/>
        <v>44756</v>
      </c>
      <c r="AB1562" s="32" t="str">
        <f t="shared" si="5"/>
        <v>julio</v>
      </c>
    </row>
    <row r="1563" spans="1:28" ht="12.75">
      <c r="A1563" s="22" t="s">
        <v>404</v>
      </c>
      <c r="B1563" s="10">
        <v>44760</v>
      </c>
      <c r="C1563" s="11">
        <v>44760</v>
      </c>
      <c r="D1563" s="42">
        <v>29</v>
      </c>
      <c r="E1563" s="13" t="s">
        <v>79</v>
      </c>
      <c r="F1563" s="13">
        <v>3025457</v>
      </c>
      <c r="G1563" s="37">
        <v>13638.5</v>
      </c>
      <c r="H1563" s="40">
        <v>150</v>
      </c>
      <c r="I1563" s="16">
        <f>-H1563*G1563</f>
        <v>-2045775</v>
      </c>
      <c r="J1563" s="17">
        <v>0</v>
      </c>
      <c r="K1563" s="34">
        <v>4502369704</v>
      </c>
      <c r="L1563" s="19">
        <v>5082733163</v>
      </c>
      <c r="M1563" s="20">
        <v>5113450922</v>
      </c>
      <c r="N1563" s="23"/>
      <c r="O1563" s="9"/>
      <c r="P1563" s="23"/>
      <c r="Q1563" s="24" t="s">
        <v>31</v>
      </c>
      <c r="R1563" s="25">
        <v>44756</v>
      </c>
      <c r="S1563" s="28"/>
      <c r="T1563" s="35"/>
      <c r="U1563" s="35"/>
      <c r="V1563" s="29"/>
      <c r="W1563" s="35"/>
      <c r="X1563" s="29"/>
      <c r="Y1563" s="36"/>
      <c r="Z1563" s="29"/>
      <c r="AA1563" s="31">
        <f t="shared" si="1"/>
        <v>44756</v>
      </c>
      <c r="AB1563" s="32" t="str">
        <f t="shared" si="5"/>
        <v>julio</v>
      </c>
    </row>
    <row r="1564" spans="1:28" ht="12.75">
      <c r="A1564" s="22" t="s">
        <v>719</v>
      </c>
      <c r="B1564" s="10">
        <v>44756</v>
      </c>
      <c r="C1564" s="11">
        <v>44761</v>
      </c>
      <c r="D1564" s="42">
        <v>29</v>
      </c>
      <c r="E1564" s="13" t="s">
        <v>2060</v>
      </c>
      <c r="F1564" s="13">
        <v>3025457</v>
      </c>
      <c r="G1564" s="37">
        <v>13839.5</v>
      </c>
      <c r="H1564" s="40">
        <v>8750</v>
      </c>
      <c r="I1564" s="16">
        <f>H1564*G1564</f>
        <v>121095625</v>
      </c>
      <c r="J1564" s="17">
        <v>30</v>
      </c>
      <c r="K1564" s="34">
        <v>4502369705</v>
      </c>
      <c r="L1564" s="19">
        <v>5082733164</v>
      </c>
      <c r="M1564" s="20">
        <v>5113448712</v>
      </c>
      <c r="N1564" s="23"/>
      <c r="O1564" s="9" t="s">
        <v>37</v>
      </c>
      <c r="P1564" s="23"/>
      <c r="Q1564" s="24" t="s">
        <v>31</v>
      </c>
      <c r="R1564" s="25">
        <v>44756</v>
      </c>
      <c r="S1564" s="28"/>
      <c r="T1564" s="35"/>
      <c r="U1564" s="35"/>
      <c r="V1564" s="29"/>
      <c r="W1564" s="35"/>
      <c r="X1564" s="29"/>
      <c r="Y1564" s="36"/>
      <c r="Z1564" s="29"/>
      <c r="AA1564" s="31">
        <f t="shared" si="1"/>
        <v>44756</v>
      </c>
      <c r="AB1564" s="32" t="str">
        <f t="shared" si="5"/>
        <v>julio</v>
      </c>
    </row>
    <row r="1565" spans="1:28" ht="12.75">
      <c r="A1565" s="22" t="s">
        <v>719</v>
      </c>
      <c r="B1565" s="10">
        <v>44756</v>
      </c>
      <c r="C1565" s="11">
        <v>44761</v>
      </c>
      <c r="D1565" s="42">
        <v>29</v>
      </c>
      <c r="E1565" s="13" t="s">
        <v>1928</v>
      </c>
      <c r="F1565" s="13">
        <v>3025457</v>
      </c>
      <c r="G1565" s="37">
        <v>13839.5</v>
      </c>
      <c r="H1565" s="40">
        <f>8750-8697.19</f>
        <v>52.809999999999491</v>
      </c>
      <c r="I1565" s="16">
        <f>-H1565*G1565</f>
        <v>-730863.99499999289</v>
      </c>
      <c r="J1565" s="17">
        <v>0</v>
      </c>
      <c r="K1565" s="34">
        <v>4502369705</v>
      </c>
      <c r="L1565" s="19">
        <v>5082733164</v>
      </c>
      <c r="M1565" s="20">
        <v>5113448714</v>
      </c>
      <c r="N1565" s="23"/>
      <c r="O1565" s="9"/>
      <c r="P1565" s="23"/>
      <c r="Q1565" s="24" t="s">
        <v>31</v>
      </c>
      <c r="R1565" s="25">
        <v>44756</v>
      </c>
      <c r="S1565" s="28"/>
      <c r="T1565" s="35"/>
      <c r="U1565" s="35"/>
      <c r="V1565" s="29"/>
      <c r="W1565" s="35"/>
      <c r="X1565" s="29"/>
      <c r="Y1565" s="36"/>
      <c r="Z1565" s="29"/>
      <c r="AA1565" s="31">
        <f t="shared" si="1"/>
        <v>44756</v>
      </c>
      <c r="AB1565" s="32" t="str">
        <f t="shared" si="5"/>
        <v>julio</v>
      </c>
    </row>
    <row r="1566" spans="1:28" ht="12.75">
      <c r="A1566" s="9" t="s">
        <v>642</v>
      </c>
      <c r="B1566" s="10">
        <v>44756</v>
      </c>
      <c r="C1566" s="11"/>
      <c r="D1566" s="42">
        <v>29</v>
      </c>
      <c r="E1566" s="13" t="s">
        <v>2061</v>
      </c>
      <c r="F1566" s="13">
        <v>3025457</v>
      </c>
      <c r="G1566" s="37">
        <v>14379.5</v>
      </c>
      <c r="H1566" s="40">
        <v>8750</v>
      </c>
      <c r="I1566" s="16">
        <f>H1566*G1566</f>
        <v>125820625</v>
      </c>
      <c r="J1566" s="17">
        <v>30</v>
      </c>
      <c r="K1566" s="34">
        <v>4502369706</v>
      </c>
      <c r="L1566" s="19">
        <v>5082736092</v>
      </c>
      <c r="M1566" s="20">
        <v>5113460727</v>
      </c>
      <c r="N1566" s="23"/>
      <c r="O1566" s="9" t="s">
        <v>37</v>
      </c>
      <c r="P1566" s="23" t="s">
        <v>2062</v>
      </c>
      <c r="Q1566" s="24" t="s">
        <v>31</v>
      </c>
      <c r="R1566" s="25">
        <v>44756</v>
      </c>
      <c r="S1566" s="28"/>
      <c r="T1566" s="35"/>
      <c r="U1566" s="35"/>
      <c r="V1566" s="29"/>
      <c r="W1566" s="35"/>
      <c r="X1566" s="29"/>
      <c r="Y1566" s="36"/>
      <c r="Z1566" s="29"/>
      <c r="AA1566" s="31">
        <f t="shared" si="1"/>
        <v>44756</v>
      </c>
      <c r="AB1566" s="32" t="str">
        <f t="shared" si="5"/>
        <v>julio</v>
      </c>
    </row>
    <row r="1567" spans="1:28" ht="12.75">
      <c r="A1567" s="9" t="s">
        <v>642</v>
      </c>
      <c r="B1567" s="10">
        <v>44756</v>
      </c>
      <c r="C1567" s="11"/>
      <c r="D1567" s="42">
        <v>29</v>
      </c>
      <c r="E1567" s="13" t="s">
        <v>2063</v>
      </c>
      <c r="F1567" s="13">
        <v>3025457</v>
      </c>
      <c r="G1567" s="37">
        <v>14379.5</v>
      </c>
      <c r="H1567" s="40">
        <v>150</v>
      </c>
      <c r="I1567" s="16">
        <f>-H1567*G1567</f>
        <v>-2156925</v>
      </c>
      <c r="J1567" s="17">
        <v>0</v>
      </c>
      <c r="K1567" s="34">
        <v>4502369706</v>
      </c>
      <c r="L1567" s="19">
        <v>5082736092</v>
      </c>
      <c r="M1567" s="20">
        <v>5113460729</v>
      </c>
      <c r="N1567" s="23"/>
      <c r="O1567" s="9"/>
      <c r="P1567" s="23"/>
      <c r="Q1567" s="24" t="s">
        <v>31</v>
      </c>
      <c r="R1567" s="25">
        <v>44756</v>
      </c>
      <c r="S1567" s="28"/>
      <c r="T1567" s="35"/>
      <c r="U1567" s="35"/>
      <c r="V1567" s="29"/>
      <c r="W1567" s="35"/>
      <c r="X1567" s="29"/>
      <c r="Y1567" s="36"/>
      <c r="Z1567" s="29"/>
      <c r="AA1567" s="31">
        <f t="shared" si="1"/>
        <v>44756</v>
      </c>
      <c r="AB1567" s="32" t="str">
        <f t="shared" si="5"/>
        <v>julio</v>
      </c>
    </row>
    <row r="1568" spans="1:28" ht="12.75">
      <c r="A1568" s="9" t="s">
        <v>2064</v>
      </c>
      <c r="B1568" s="10">
        <v>44756</v>
      </c>
      <c r="C1568" s="11">
        <v>44761</v>
      </c>
      <c r="D1568" s="42">
        <v>29</v>
      </c>
      <c r="E1568" s="13" t="s">
        <v>1063</v>
      </c>
      <c r="F1568" s="13">
        <v>3025457</v>
      </c>
      <c r="G1568" s="14">
        <v>7583</v>
      </c>
      <c r="H1568" s="40">
        <v>8750</v>
      </c>
      <c r="I1568" s="16">
        <f>H1568*G1568</f>
        <v>66351250</v>
      </c>
      <c r="J1568" s="17">
        <v>14</v>
      </c>
      <c r="K1568" s="34">
        <v>4502369707</v>
      </c>
      <c r="L1568" s="19">
        <v>5082733166</v>
      </c>
      <c r="M1568" s="20">
        <v>5113448782</v>
      </c>
      <c r="N1568" s="23"/>
      <c r="O1568" s="9" t="s">
        <v>63</v>
      </c>
      <c r="P1568" s="23"/>
      <c r="Q1568" s="24" t="s">
        <v>31</v>
      </c>
      <c r="R1568" s="25">
        <v>44756</v>
      </c>
      <c r="S1568" s="28"/>
      <c r="T1568" s="35"/>
      <c r="U1568" s="35"/>
      <c r="V1568" s="29"/>
      <c r="W1568" s="35"/>
      <c r="X1568" s="29"/>
      <c r="Y1568" s="36"/>
      <c r="Z1568" s="29"/>
      <c r="AA1568" s="31">
        <f t="shared" si="1"/>
        <v>44756</v>
      </c>
      <c r="AB1568" s="32" t="str">
        <f t="shared" si="5"/>
        <v>julio</v>
      </c>
    </row>
    <row r="1569" spans="1:28" ht="12.75">
      <c r="A1569" s="9" t="s">
        <v>2064</v>
      </c>
      <c r="B1569" s="10">
        <v>44756</v>
      </c>
      <c r="C1569" s="11">
        <v>44761</v>
      </c>
      <c r="D1569" s="42">
        <v>29</v>
      </c>
      <c r="E1569" s="13" t="s">
        <v>1207</v>
      </c>
      <c r="F1569" s="13">
        <v>3025457</v>
      </c>
      <c r="G1569" s="14">
        <v>7583</v>
      </c>
      <c r="H1569" s="40">
        <f>8750-8733.72</f>
        <v>16.280000000000655</v>
      </c>
      <c r="I1569" s="16">
        <f>-H1569*G1569</f>
        <v>-123451.24000000497</v>
      </c>
      <c r="J1569" s="17">
        <v>0</v>
      </c>
      <c r="K1569" s="34">
        <v>4502369707</v>
      </c>
      <c r="L1569" s="19">
        <v>5082733166</v>
      </c>
      <c r="M1569" s="20">
        <v>5113448783</v>
      </c>
      <c r="N1569" s="23"/>
      <c r="O1569" s="9"/>
      <c r="P1569" s="23"/>
      <c r="Q1569" s="24" t="s">
        <v>31</v>
      </c>
      <c r="R1569" s="25">
        <v>44756</v>
      </c>
      <c r="S1569" s="28"/>
      <c r="T1569" s="35"/>
      <c r="U1569" s="35"/>
      <c r="V1569" s="29"/>
      <c r="W1569" s="35"/>
      <c r="X1569" s="29"/>
      <c r="Y1569" s="36"/>
      <c r="Z1569" s="29"/>
      <c r="AA1569" s="31">
        <f t="shared" si="1"/>
        <v>44756</v>
      </c>
      <c r="AB1569" s="32" t="str">
        <f t="shared" si="5"/>
        <v>julio</v>
      </c>
    </row>
    <row r="1570" spans="1:28" ht="12.75">
      <c r="A1570" s="9" t="s">
        <v>58</v>
      </c>
      <c r="B1570" s="10">
        <v>44761</v>
      </c>
      <c r="C1570" s="11">
        <v>44761</v>
      </c>
      <c r="D1570" s="42">
        <v>29</v>
      </c>
      <c r="E1570" s="13" t="s">
        <v>2065</v>
      </c>
      <c r="F1570" s="13">
        <v>3025457</v>
      </c>
      <c r="G1570" s="37">
        <v>45620.5</v>
      </c>
      <c r="H1570" s="40">
        <v>9150</v>
      </c>
      <c r="I1570" s="16">
        <f>H1570*G1570</f>
        <v>417427575</v>
      </c>
      <c r="J1570" s="17">
        <v>90</v>
      </c>
      <c r="K1570" s="34">
        <v>4502369708</v>
      </c>
      <c r="L1570" s="19">
        <v>5082733209</v>
      </c>
      <c r="M1570" s="20">
        <v>5113448715</v>
      </c>
      <c r="N1570" s="23"/>
      <c r="O1570" s="9" t="s">
        <v>37</v>
      </c>
      <c r="P1570" s="23"/>
      <c r="Q1570" s="24" t="s">
        <v>31</v>
      </c>
      <c r="R1570" s="25">
        <v>44756</v>
      </c>
      <c r="S1570" s="28"/>
      <c r="T1570" s="35"/>
      <c r="U1570" s="35"/>
      <c r="V1570" s="29"/>
      <c r="W1570" s="35"/>
      <c r="X1570" s="29"/>
      <c r="Y1570" s="36"/>
      <c r="Z1570" s="29"/>
      <c r="AA1570" s="31">
        <f t="shared" si="1"/>
        <v>44756</v>
      </c>
      <c r="AB1570" s="32" t="str">
        <f t="shared" si="5"/>
        <v>julio</v>
      </c>
    </row>
    <row r="1571" spans="1:28" ht="12.75">
      <c r="A1571" s="9" t="s">
        <v>58</v>
      </c>
      <c r="B1571" s="10">
        <v>44761</v>
      </c>
      <c r="C1571" s="11">
        <v>44761</v>
      </c>
      <c r="D1571" s="42">
        <v>29</v>
      </c>
      <c r="E1571" s="13" t="s">
        <v>2066</v>
      </c>
      <c r="F1571" s="13">
        <v>3025457</v>
      </c>
      <c r="G1571" s="37">
        <v>45620.5</v>
      </c>
      <c r="H1571" s="40">
        <f>9150-9149.18</f>
        <v>0.81999999999970896</v>
      </c>
      <c r="I1571" s="16">
        <f>-H1571*G1571</f>
        <v>-37408.809999986726</v>
      </c>
      <c r="J1571" s="17">
        <v>0</v>
      </c>
      <c r="K1571" s="34">
        <v>4502369708</v>
      </c>
      <c r="L1571" s="19">
        <v>5082733209</v>
      </c>
      <c r="M1571" s="20">
        <v>5113448716</v>
      </c>
      <c r="N1571" s="23"/>
      <c r="O1571" s="9"/>
      <c r="P1571" s="23"/>
      <c r="Q1571" s="24" t="s">
        <v>31</v>
      </c>
      <c r="R1571" s="25">
        <v>44756</v>
      </c>
      <c r="S1571" s="28"/>
      <c r="T1571" s="35"/>
      <c r="U1571" s="35"/>
      <c r="V1571" s="29"/>
      <c r="W1571" s="35"/>
      <c r="X1571" s="29"/>
      <c r="Y1571" s="36"/>
      <c r="Z1571" s="29"/>
      <c r="AA1571" s="31">
        <f t="shared" si="1"/>
        <v>44756</v>
      </c>
      <c r="AB1571" s="32" t="str">
        <f t="shared" si="5"/>
        <v>julio</v>
      </c>
    </row>
    <row r="1572" spans="1:28" ht="12.75">
      <c r="A1572" s="9" t="s">
        <v>58</v>
      </c>
      <c r="B1572" s="10">
        <v>44761</v>
      </c>
      <c r="C1572" s="11">
        <v>44761</v>
      </c>
      <c r="D1572" s="42">
        <v>29</v>
      </c>
      <c r="E1572" s="13" t="s">
        <v>2067</v>
      </c>
      <c r="F1572" s="13">
        <v>3025457</v>
      </c>
      <c r="G1572" s="37">
        <v>14455.5</v>
      </c>
      <c r="H1572" s="40">
        <v>9150</v>
      </c>
      <c r="I1572" s="16">
        <f>H1572*G1572</f>
        <v>132267825</v>
      </c>
      <c r="J1572" s="17">
        <v>30</v>
      </c>
      <c r="K1572" s="34">
        <v>4502369708</v>
      </c>
      <c r="L1572" s="19">
        <v>5082733209</v>
      </c>
      <c r="M1572" s="20">
        <v>5113448758</v>
      </c>
      <c r="N1572" s="23"/>
      <c r="O1572" s="9" t="s">
        <v>37</v>
      </c>
      <c r="P1572" s="23"/>
      <c r="Q1572" s="24" t="s">
        <v>31</v>
      </c>
      <c r="R1572" s="25">
        <v>44756</v>
      </c>
      <c r="S1572" s="28"/>
      <c r="T1572" s="35"/>
      <c r="U1572" s="35"/>
      <c r="V1572" s="29"/>
      <c r="W1572" s="35"/>
      <c r="X1572" s="29"/>
      <c r="Y1572" s="36"/>
      <c r="Z1572" s="29"/>
      <c r="AA1572" s="31">
        <f t="shared" si="1"/>
        <v>44756</v>
      </c>
      <c r="AB1572" s="32" t="str">
        <f t="shared" si="5"/>
        <v>julio</v>
      </c>
    </row>
    <row r="1573" spans="1:28" ht="12.75">
      <c r="A1573" s="9" t="s">
        <v>58</v>
      </c>
      <c r="B1573" s="10">
        <v>44761</v>
      </c>
      <c r="C1573" s="11">
        <v>44761</v>
      </c>
      <c r="D1573" s="42">
        <v>29</v>
      </c>
      <c r="E1573" s="13" t="s">
        <v>2068</v>
      </c>
      <c r="F1573" s="13">
        <v>3025457</v>
      </c>
      <c r="G1573" s="37">
        <v>14455.5</v>
      </c>
      <c r="H1573" s="40">
        <v>150</v>
      </c>
      <c r="I1573" s="16">
        <f>-H1573*G1573</f>
        <v>-2168325</v>
      </c>
      <c r="J1573" s="17">
        <v>0</v>
      </c>
      <c r="K1573" s="34">
        <v>4502369708</v>
      </c>
      <c r="L1573" s="19">
        <v>5082733209</v>
      </c>
      <c r="M1573" s="20">
        <v>5113448760</v>
      </c>
      <c r="N1573" s="23"/>
      <c r="O1573" s="9"/>
      <c r="P1573" s="23"/>
      <c r="Q1573" s="24" t="s">
        <v>31</v>
      </c>
      <c r="R1573" s="25">
        <v>44756</v>
      </c>
      <c r="S1573" s="28"/>
      <c r="T1573" s="35"/>
      <c r="U1573" s="35"/>
      <c r="V1573" s="29"/>
      <c r="W1573" s="35"/>
      <c r="X1573" s="29"/>
      <c r="Y1573" s="36"/>
      <c r="Z1573" s="29"/>
      <c r="AA1573" s="31">
        <f t="shared" si="1"/>
        <v>44756</v>
      </c>
      <c r="AB1573" s="32" t="str">
        <f t="shared" si="5"/>
        <v>julio</v>
      </c>
    </row>
    <row r="1574" spans="1:28" ht="12.75">
      <c r="A1574" s="9" t="s">
        <v>348</v>
      </c>
      <c r="B1574" s="10">
        <v>44756</v>
      </c>
      <c r="C1574" s="11">
        <v>44761</v>
      </c>
      <c r="D1574" s="42">
        <v>29</v>
      </c>
      <c r="E1574" s="13" t="s">
        <v>2069</v>
      </c>
      <c r="F1574" s="13">
        <v>3025457</v>
      </c>
      <c r="G1574" s="14">
        <v>18162</v>
      </c>
      <c r="H1574" s="40">
        <v>8750</v>
      </c>
      <c r="I1574" s="16">
        <f>H1574*G1574</f>
        <v>158917500</v>
      </c>
      <c r="J1574" s="17">
        <v>45</v>
      </c>
      <c r="K1574" s="34">
        <v>4502369709</v>
      </c>
      <c r="L1574" s="19">
        <v>5082733212</v>
      </c>
      <c r="M1574" s="20">
        <v>5113445866</v>
      </c>
      <c r="N1574" s="44"/>
      <c r="O1574" s="9" t="s">
        <v>63</v>
      </c>
      <c r="P1574" s="23"/>
      <c r="Q1574" s="24" t="s">
        <v>31</v>
      </c>
      <c r="R1574" s="25">
        <v>44756</v>
      </c>
      <c r="S1574" s="28"/>
      <c r="T1574" s="35"/>
      <c r="U1574" s="35"/>
      <c r="V1574" s="29"/>
      <c r="W1574" s="35"/>
      <c r="X1574" s="29"/>
      <c r="Y1574" s="36"/>
      <c r="Z1574" s="29"/>
      <c r="AA1574" s="31">
        <f t="shared" si="1"/>
        <v>44756</v>
      </c>
      <c r="AB1574" s="32" t="str">
        <f t="shared" si="5"/>
        <v>julio</v>
      </c>
    </row>
    <row r="1575" spans="1:28" ht="12.75">
      <c r="A1575" s="9" t="s">
        <v>348</v>
      </c>
      <c r="B1575" s="10">
        <v>44756</v>
      </c>
      <c r="C1575" s="11">
        <v>44761</v>
      </c>
      <c r="D1575" s="42">
        <v>29</v>
      </c>
      <c r="E1575" s="13" t="s">
        <v>2070</v>
      </c>
      <c r="F1575" s="13">
        <v>3025457</v>
      </c>
      <c r="G1575" s="14">
        <v>18162</v>
      </c>
      <c r="H1575" s="40">
        <f>8750-8566.41</f>
        <v>183.59000000000015</v>
      </c>
      <c r="I1575" s="16">
        <f>-H1575*G1575</f>
        <v>-3334361.5800000029</v>
      </c>
      <c r="J1575" s="17">
        <v>0</v>
      </c>
      <c r="K1575" s="34">
        <v>4502369709</v>
      </c>
      <c r="L1575" s="19">
        <v>5082733212</v>
      </c>
      <c r="M1575" s="20">
        <v>5113445869</v>
      </c>
      <c r="N1575" s="44"/>
      <c r="O1575" s="9"/>
      <c r="P1575" s="23"/>
      <c r="Q1575" s="24" t="s">
        <v>31</v>
      </c>
      <c r="R1575" s="25">
        <v>44756</v>
      </c>
      <c r="S1575" s="28"/>
      <c r="T1575" s="35"/>
      <c r="U1575" s="35"/>
      <c r="V1575" s="29"/>
      <c r="W1575" s="35"/>
      <c r="X1575" s="29"/>
      <c r="Y1575" s="36"/>
      <c r="Z1575" s="29"/>
      <c r="AA1575" s="31">
        <f t="shared" si="1"/>
        <v>44756</v>
      </c>
      <c r="AB1575" s="32" t="str">
        <f t="shared" si="5"/>
        <v>julio</v>
      </c>
    </row>
    <row r="1576" spans="1:28" ht="12.75">
      <c r="A1576" s="9" t="s">
        <v>331</v>
      </c>
      <c r="B1576" s="10">
        <v>44761</v>
      </c>
      <c r="C1576" s="11">
        <v>44761</v>
      </c>
      <c r="D1576" s="42">
        <v>29</v>
      </c>
      <c r="E1576" s="13" t="s">
        <v>2071</v>
      </c>
      <c r="F1576" s="13">
        <v>3025457</v>
      </c>
      <c r="G1576" s="14">
        <v>6476</v>
      </c>
      <c r="H1576" s="40">
        <v>8750</v>
      </c>
      <c r="I1576" s="16">
        <f>H1576*G1576</f>
        <v>56665000</v>
      </c>
      <c r="J1576" s="17">
        <v>15</v>
      </c>
      <c r="K1576" s="34">
        <v>4502369710</v>
      </c>
      <c r="L1576" s="19">
        <v>5082733214</v>
      </c>
      <c r="M1576" s="20">
        <v>5113445858</v>
      </c>
      <c r="N1576" s="23"/>
      <c r="O1576" s="9" t="s">
        <v>63</v>
      </c>
      <c r="P1576" s="23"/>
      <c r="Q1576" s="24" t="s">
        <v>31</v>
      </c>
      <c r="R1576" s="25">
        <v>44756</v>
      </c>
      <c r="S1576" s="28"/>
      <c r="T1576" s="35"/>
      <c r="U1576" s="35"/>
      <c r="V1576" s="29"/>
      <c r="W1576" s="35"/>
      <c r="X1576" s="29"/>
      <c r="Y1576" s="36"/>
      <c r="Z1576" s="29"/>
      <c r="AA1576" s="31">
        <f t="shared" si="1"/>
        <v>44756</v>
      </c>
      <c r="AB1576" s="32" t="str">
        <f t="shared" si="5"/>
        <v>julio</v>
      </c>
    </row>
    <row r="1577" spans="1:28" ht="12.75">
      <c r="A1577" s="9" t="s">
        <v>331</v>
      </c>
      <c r="B1577" s="10">
        <v>44761</v>
      </c>
      <c r="C1577" s="11">
        <v>44761</v>
      </c>
      <c r="D1577" s="42">
        <v>29</v>
      </c>
      <c r="E1577" s="13" t="s">
        <v>69</v>
      </c>
      <c r="F1577" s="13">
        <v>3025457</v>
      </c>
      <c r="G1577" s="14">
        <v>6476</v>
      </c>
      <c r="H1577" s="40">
        <f>8750-8638.23</f>
        <v>111.77000000000044</v>
      </c>
      <c r="I1577" s="16">
        <f>-H1577*G1577</f>
        <v>-723822.52000000281</v>
      </c>
      <c r="J1577" s="17">
        <v>0</v>
      </c>
      <c r="K1577" s="34">
        <v>4502369710</v>
      </c>
      <c r="L1577" s="19">
        <v>5082733214</v>
      </c>
      <c r="M1577" s="20">
        <v>5113445860</v>
      </c>
      <c r="N1577" s="23"/>
      <c r="O1577" s="9"/>
      <c r="P1577" s="23"/>
      <c r="Q1577" s="24" t="s">
        <v>31</v>
      </c>
      <c r="R1577" s="25">
        <v>44756</v>
      </c>
      <c r="S1577" s="28"/>
      <c r="T1577" s="35"/>
      <c r="U1577" s="35"/>
      <c r="V1577" s="29"/>
      <c r="W1577" s="35"/>
      <c r="X1577" s="29"/>
      <c r="Y1577" s="36"/>
      <c r="Z1577" s="29"/>
      <c r="AA1577" s="31">
        <f t="shared" si="1"/>
        <v>44756</v>
      </c>
      <c r="AB1577" s="32" t="str">
        <f t="shared" si="5"/>
        <v>julio</v>
      </c>
    </row>
    <row r="1578" spans="1:28" ht="12.75">
      <c r="A1578" s="9" t="s">
        <v>2072</v>
      </c>
      <c r="B1578" s="10">
        <v>44756</v>
      </c>
      <c r="C1578" s="11">
        <v>44764</v>
      </c>
      <c r="D1578" s="42">
        <v>29</v>
      </c>
      <c r="E1578" s="13" t="s">
        <v>984</v>
      </c>
      <c r="F1578" s="13">
        <v>3025457</v>
      </c>
      <c r="G1578" s="14">
        <v>21738</v>
      </c>
      <c r="H1578" s="40">
        <v>8850</v>
      </c>
      <c r="I1578" s="16">
        <f t="shared" ref="I1578:I1580" si="237">H1578*G1578</f>
        <v>192381300</v>
      </c>
      <c r="J1578" s="17">
        <v>42</v>
      </c>
      <c r="K1578" s="34">
        <v>4502369712</v>
      </c>
      <c r="L1578" s="19">
        <v>5082733215</v>
      </c>
      <c r="M1578" s="20">
        <v>5113453923</v>
      </c>
      <c r="N1578" s="23"/>
      <c r="O1578" s="9" t="s">
        <v>37</v>
      </c>
      <c r="P1578" s="23" t="s">
        <v>2073</v>
      </c>
      <c r="Q1578" s="24" t="s">
        <v>31</v>
      </c>
      <c r="R1578" s="25">
        <v>44756</v>
      </c>
      <c r="S1578" s="28"/>
      <c r="T1578" s="35"/>
      <c r="U1578" s="35"/>
      <c r="V1578" s="29"/>
      <c r="W1578" s="35"/>
      <c r="X1578" s="29"/>
      <c r="Y1578" s="36"/>
      <c r="Z1578" s="29"/>
      <c r="AA1578" s="31">
        <f t="shared" si="1"/>
        <v>44756</v>
      </c>
      <c r="AB1578" s="32" t="str">
        <f t="shared" si="5"/>
        <v>julio</v>
      </c>
    </row>
    <row r="1579" spans="1:28" ht="12.75">
      <c r="A1579" s="45" t="s">
        <v>145</v>
      </c>
      <c r="B1579" s="10">
        <v>44760</v>
      </c>
      <c r="C1579" s="11">
        <v>44761</v>
      </c>
      <c r="D1579" s="42">
        <v>29</v>
      </c>
      <c r="E1579" s="13" t="s">
        <v>2074</v>
      </c>
      <c r="F1579" s="13">
        <v>3025457</v>
      </c>
      <c r="G1579" s="37">
        <v>6410.5</v>
      </c>
      <c r="H1579" s="40">
        <v>8850</v>
      </c>
      <c r="I1579" s="16">
        <f t="shared" si="237"/>
        <v>56732925</v>
      </c>
      <c r="J1579" s="17">
        <v>14</v>
      </c>
      <c r="K1579" s="34">
        <v>4502370307</v>
      </c>
      <c r="L1579" s="19">
        <v>5082733216</v>
      </c>
      <c r="M1579" s="20">
        <v>5113446257</v>
      </c>
      <c r="N1579" s="23"/>
      <c r="O1579" s="23" t="s">
        <v>37</v>
      </c>
      <c r="P1579" s="23"/>
      <c r="Q1579" s="24" t="s">
        <v>31</v>
      </c>
      <c r="R1579" s="25">
        <v>44756</v>
      </c>
      <c r="S1579" s="28"/>
      <c r="T1579" s="35"/>
      <c r="U1579" s="35"/>
      <c r="V1579" s="29"/>
      <c r="W1579" s="35"/>
      <c r="X1579" s="29"/>
      <c r="Y1579" s="36"/>
      <c r="Z1579" s="29"/>
      <c r="AA1579" s="31">
        <f t="shared" si="1"/>
        <v>44756</v>
      </c>
      <c r="AB1579" s="32" t="str">
        <f t="shared" si="5"/>
        <v>julio</v>
      </c>
    </row>
    <row r="1580" spans="1:28" ht="12.75">
      <c r="A1580" s="9" t="s">
        <v>58</v>
      </c>
      <c r="B1580" s="10">
        <v>44761</v>
      </c>
      <c r="C1580" s="11">
        <v>44761</v>
      </c>
      <c r="D1580" s="42">
        <v>29</v>
      </c>
      <c r="E1580" s="13" t="s">
        <v>2075</v>
      </c>
      <c r="F1580" s="13">
        <v>3025457</v>
      </c>
      <c r="G1580" s="14">
        <v>6266</v>
      </c>
      <c r="H1580" s="40">
        <v>9150</v>
      </c>
      <c r="I1580" s="16">
        <f t="shared" si="237"/>
        <v>57333900</v>
      </c>
      <c r="J1580" s="17">
        <v>12</v>
      </c>
      <c r="K1580" s="34">
        <v>4502369714</v>
      </c>
      <c r="L1580" s="19">
        <v>5082766421</v>
      </c>
      <c r="M1580" s="20">
        <v>5113449484</v>
      </c>
      <c r="N1580" s="23"/>
      <c r="O1580" s="9" t="s">
        <v>37</v>
      </c>
      <c r="P1580" s="23"/>
      <c r="Q1580" s="24" t="s">
        <v>31</v>
      </c>
      <c r="R1580" s="25">
        <v>44757</v>
      </c>
      <c r="S1580" s="28"/>
      <c r="T1580" s="35"/>
      <c r="U1580" s="35"/>
      <c r="V1580" s="29"/>
      <c r="W1580" s="35"/>
      <c r="X1580" s="29"/>
      <c r="Y1580" s="36"/>
      <c r="Z1580" s="29"/>
      <c r="AA1580" s="31">
        <f t="shared" si="1"/>
        <v>44757</v>
      </c>
      <c r="AB1580" s="32" t="str">
        <f t="shared" si="5"/>
        <v>julio</v>
      </c>
    </row>
    <row r="1581" spans="1:28" ht="12.75">
      <c r="A1581" s="9" t="s">
        <v>58</v>
      </c>
      <c r="B1581" s="10">
        <v>44761</v>
      </c>
      <c r="C1581" s="11">
        <v>44761</v>
      </c>
      <c r="D1581" s="42">
        <v>29</v>
      </c>
      <c r="E1581" s="13" t="s">
        <v>2076</v>
      </c>
      <c r="F1581" s="13">
        <v>3025457</v>
      </c>
      <c r="G1581" s="14">
        <v>6266</v>
      </c>
      <c r="H1581" s="40">
        <f>9150-8959.22</f>
        <v>190.78000000000065</v>
      </c>
      <c r="I1581" s="16">
        <f>-H1581*G1581</f>
        <v>-1195427.4800000042</v>
      </c>
      <c r="J1581" s="17">
        <v>0</v>
      </c>
      <c r="K1581" s="34">
        <v>4502369714</v>
      </c>
      <c r="L1581" s="19">
        <v>5082766421</v>
      </c>
      <c r="M1581" s="20">
        <v>5113449485</v>
      </c>
      <c r="N1581" s="23"/>
      <c r="O1581" s="9"/>
      <c r="P1581" s="23"/>
      <c r="Q1581" s="24" t="s">
        <v>31</v>
      </c>
      <c r="R1581" s="25">
        <v>44757</v>
      </c>
      <c r="S1581" s="28"/>
      <c r="T1581" s="35"/>
      <c r="U1581" s="35"/>
      <c r="V1581" s="29"/>
      <c r="W1581" s="35"/>
      <c r="X1581" s="29"/>
      <c r="Y1581" s="36"/>
      <c r="Z1581" s="29"/>
      <c r="AA1581" s="31">
        <f t="shared" si="1"/>
        <v>44757</v>
      </c>
      <c r="AB1581" s="32" t="str">
        <f t="shared" si="5"/>
        <v>julio</v>
      </c>
    </row>
    <row r="1582" spans="1:28" ht="12.75">
      <c r="A1582" s="9" t="s">
        <v>58</v>
      </c>
      <c r="B1582" s="10">
        <v>44761</v>
      </c>
      <c r="C1582" s="11">
        <v>44761</v>
      </c>
      <c r="D1582" s="42">
        <v>29</v>
      </c>
      <c r="E1582" s="13" t="s">
        <v>2077</v>
      </c>
      <c r="F1582" s="13">
        <v>3025457</v>
      </c>
      <c r="G1582" s="14">
        <v>44019</v>
      </c>
      <c r="H1582" s="40">
        <v>9150</v>
      </c>
      <c r="I1582" s="16">
        <f>H1582*G1582</f>
        <v>402773850</v>
      </c>
      <c r="J1582" s="17">
        <v>93</v>
      </c>
      <c r="K1582" s="34">
        <v>4502369714</v>
      </c>
      <c r="L1582" s="19">
        <v>5082766421</v>
      </c>
      <c r="M1582" s="20">
        <v>5113450245</v>
      </c>
      <c r="N1582" s="23"/>
      <c r="O1582" s="9" t="s">
        <v>37</v>
      </c>
      <c r="P1582" s="23"/>
      <c r="Q1582" s="24" t="s">
        <v>31</v>
      </c>
      <c r="R1582" s="25">
        <v>44757</v>
      </c>
      <c r="S1582" s="28"/>
      <c r="T1582" s="35"/>
      <c r="U1582" s="35"/>
      <c r="V1582" s="29"/>
      <c r="W1582" s="35"/>
      <c r="X1582" s="29"/>
      <c r="Y1582" s="36"/>
      <c r="Z1582" s="29"/>
      <c r="AA1582" s="31">
        <f t="shared" si="1"/>
        <v>44757</v>
      </c>
      <c r="AB1582" s="32" t="str">
        <f t="shared" si="5"/>
        <v>julio</v>
      </c>
    </row>
    <row r="1583" spans="1:28" ht="12.75">
      <c r="A1583" s="9" t="s">
        <v>58</v>
      </c>
      <c r="B1583" s="10">
        <v>44763</v>
      </c>
      <c r="C1583" s="11">
        <v>44763</v>
      </c>
      <c r="D1583" s="42">
        <v>29</v>
      </c>
      <c r="E1583" s="13" t="s">
        <v>2078</v>
      </c>
      <c r="F1583" s="13">
        <v>3025457</v>
      </c>
      <c r="G1583" s="14">
        <v>44019</v>
      </c>
      <c r="H1583" s="40">
        <f>9150-9049.11</f>
        <v>100.88999999999942</v>
      </c>
      <c r="I1583" s="16">
        <f>-H1583*G1583</f>
        <v>-4441076.9099999741</v>
      </c>
      <c r="J1583" s="17">
        <v>0</v>
      </c>
      <c r="K1583" s="34">
        <v>4502369714</v>
      </c>
      <c r="L1583" s="19">
        <v>5082766421</v>
      </c>
      <c r="M1583" s="20">
        <v>5113450377</v>
      </c>
      <c r="N1583" s="23"/>
      <c r="O1583" s="9"/>
      <c r="P1583" s="23"/>
      <c r="Q1583" s="24" t="s">
        <v>31</v>
      </c>
      <c r="R1583" s="25">
        <v>44757</v>
      </c>
      <c r="S1583" s="28"/>
      <c r="T1583" s="35"/>
      <c r="U1583" s="35"/>
      <c r="V1583" s="29"/>
      <c r="W1583" s="35"/>
      <c r="X1583" s="29"/>
      <c r="Y1583" s="36"/>
      <c r="Z1583" s="29"/>
      <c r="AA1583" s="31">
        <f t="shared" si="1"/>
        <v>44757</v>
      </c>
      <c r="AB1583" s="32" t="str">
        <f t="shared" si="5"/>
        <v>julio</v>
      </c>
    </row>
    <row r="1584" spans="1:28" ht="12.75">
      <c r="A1584" s="9" t="s">
        <v>73</v>
      </c>
      <c r="B1584" s="10">
        <v>44761</v>
      </c>
      <c r="C1584" s="11">
        <v>44761</v>
      </c>
      <c r="D1584" s="42">
        <v>29</v>
      </c>
      <c r="E1584" s="13" t="s">
        <v>2079</v>
      </c>
      <c r="F1584" s="13">
        <v>3025457</v>
      </c>
      <c r="G1584" s="14">
        <v>12782</v>
      </c>
      <c r="H1584" s="40">
        <v>9150</v>
      </c>
      <c r="I1584" s="16">
        <f>H1584*G1584</f>
        <v>116955300</v>
      </c>
      <c r="J1584" s="17">
        <v>28</v>
      </c>
      <c r="K1584" s="34">
        <v>4502369716</v>
      </c>
      <c r="L1584" s="19">
        <v>5082766422</v>
      </c>
      <c r="M1584" s="20">
        <v>5113448764</v>
      </c>
      <c r="N1584" s="23"/>
      <c r="O1584" s="9" t="s">
        <v>63</v>
      </c>
      <c r="P1584" s="23"/>
      <c r="Q1584" s="24" t="s">
        <v>31</v>
      </c>
      <c r="R1584" s="25">
        <v>44757</v>
      </c>
      <c r="S1584" s="28"/>
      <c r="T1584" s="35"/>
      <c r="U1584" s="35"/>
      <c r="V1584" s="29"/>
      <c r="W1584" s="35"/>
      <c r="X1584" s="29"/>
      <c r="Y1584" s="36"/>
      <c r="Z1584" s="29"/>
      <c r="AA1584" s="31">
        <f t="shared" si="1"/>
        <v>44757</v>
      </c>
      <c r="AB1584" s="32" t="str">
        <f t="shared" si="5"/>
        <v>julio</v>
      </c>
    </row>
    <row r="1585" spans="1:28" ht="12.75">
      <c r="A1585" s="9" t="s">
        <v>73</v>
      </c>
      <c r="B1585" s="10">
        <v>44761</v>
      </c>
      <c r="C1585" s="11">
        <v>44761</v>
      </c>
      <c r="D1585" s="42">
        <v>29</v>
      </c>
      <c r="E1585" s="13" t="s">
        <v>2080</v>
      </c>
      <c r="F1585" s="13">
        <v>3025457</v>
      </c>
      <c r="G1585" s="14">
        <v>12782</v>
      </c>
      <c r="H1585" s="40">
        <v>50</v>
      </c>
      <c r="I1585" s="16">
        <f>-H1585*G1585</f>
        <v>-639100</v>
      </c>
      <c r="J1585" s="17">
        <v>0</v>
      </c>
      <c r="K1585" s="34">
        <v>4502369716</v>
      </c>
      <c r="L1585" s="19">
        <v>5082766422</v>
      </c>
      <c r="M1585" s="20">
        <v>5113448766</v>
      </c>
      <c r="N1585" s="23"/>
      <c r="O1585" s="9"/>
      <c r="P1585" s="23"/>
      <c r="Q1585" s="24" t="s">
        <v>31</v>
      </c>
      <c r="R1585" s="25">
        <v>44757</v>
      </c>
      <c r="S1585" s="28"/>
      <c r="T1585" s="35"/>
      <c r="U1585" s="35"/>
      <c r="V1585" s="29"/>
      <c r="W1585" s="35"/>
      <c r="X1585" s="29"/>
      <c r="Y1585" s="36"/>
      <c r="Z1585" s="29"/>
      <c r="AA1585" s="31">
        <f t="shared" si="1"/>
        <v>44757</v>
      </c>
      <c r="AB1585" s="32" t="str">
        <f t="shared" si="5"/>
        <v>julio</v>
      </c>
    </row>
    <row r="1586" spans="1:28" ht="12.75">
      <c r="A1586" s="9" t="s">
        <v>1102</v>
      </c>
      <c r="B1586" s="10">
        <v>44761</v>
      </c>
      <c r="C1586" s="11"/>
      <c r="D1586" s="42">
        <v>29</v>
      </c>
      <c r="E1586" s="13" t="s">
        <v>2081</v>
      </c>
      <c r="F1586" s="13">
        <v>3025457</v>
      </c>
      <c r="G1586" s="37">
        <v>6547.5</v>
      </c>
      <c r="H1586" s="40">
        <v>9150</v>
      </c>
      <c r="I1586" s="16">
        <f>H1586*G1586</f>
        <v>59909625</v>
      </c>
      <c r="J1586" s="17">
        <v>15</v>
      </c>
      <c r="K1586" s="34">
        <v>4502369717</v>
      </c>
      <c r="L1586" s="19">
        <v>5082766995</v>
      </c>
      <c r="M1586" s="20">
        <v>5113449906</v>
      </c>
      <c r="N1586" s="23"/>
      <c r="O1586" s="9" t="s">
        <v>37</v>
      </c>
      <c r="P1586" s="23"/>
      <c r="Q1586" s="24" t="s">
        <v>31</v>
      </c>
      <c r="R1586" s="25">
        <v>44757</v>
      </c>
      <c r="S1586" s="28"/>
      <c r="T1586" s="35"/>
      <c r="U1586" s="35"/>
      <c r="V1586" s="29"/>
      <c r="W1586" s="35"/>
      <c r="X1586" s="29"/>
      <c r="Y1586" s="36"/>
      <c r="Z1586" s="29"/>
      <c r="AA1586" s="31">
        <f t="shared" si="1"/>
        <v>44757</v>
      </c>
      <c r="AB1586" s="32" t="str">
        <f t="shared" si="5"/>
        <v>julio</v>
      </c>
    </row>
    <row r="1587" spans="1:28" ht="12.75">
      <c r="A1587" s="9" t="s">
        <v>1102</v>
      </c>
      <c r="B1587" s="10">
        <v>44761</v>
      </c>
      <c r="C1587" s="11"/>
      <c r="D1587" s="42">
        <v>29</v>
      </c>
      <c r="E1587" s="13" t="s">
        <v>2082</v>
      </c>
      <c r="F1587" s="13">
        <v>3025457</v>
      </c>
      <c r="G1587" s="37">
        <v>6547.5</v>
      </c>
      <c r="H1587" s="40">
        <f>9150-8982.34</f>
        <v>167.65999999999985</v>
      </c>
      <c r="I1587" s="16">
        <f>-H1587*G1587</f>
        <v>-1097753.8499999992</v>
      </c>
      <c r="J1587" s="17">
        <v>0</v>
      </c>
      <c r="K1587" s="34">
        <v>4502369717</v>
      </c>
      <c r="L1587" s="19">
        <v>5082766995</v>
      </c>
      <c r="M1587" s="20">
        <v>5113449957</v>
      </c>
      <c r="N1587" s="23"/>
      <c r="O1587" s="9"/>
      <c r="P1587" s="23"/>
      <c r="Q1587" s="24" t="s">
        <v>31</v>
      </c>
      <c r="R1587" s="25">
        <v>44757</v>
      </c>
      <c r="S1587" s="28"/>
      <c r="T1587" s="35"/>
      <c r="U1587" s="35"/>
      <c r="V1587" s="29"/>
      <c r="W1587" s="35"/>
      <c r="X1587" s="29"/>
      <c r="Y1587" s="36"/>
      <c r="Z1587" s="29"/>
      <c r="AA1587" s="31">
        <f t="shared" si="1"/>
        <v>44757</v>
      </c>
      <c r="AB1587" s="32" t="str">
        <f t="shared" si="5"/>
        <v>julio</v>
      </c>
    </row>
    <row r="1588" spans="1:28" ht="12.75">
      <c r="A1588" s="9" t="s">
        <v>873</v>
      </c>
      <c r="B1588" s="10">
        <v>44761</v>
      </c>
      <c r="C1588" s="11">
        <v>44764</v>
      </c>
      <c r="D1588" s="42">
        <v>29</v>
      </c>
      <c r="E1588" s="13" t="s">
        <v>2083</v>
      </c>
      <c r="F1588" s="13">
        <v>3025457</v>
      </c>
      <c r="G1588" s="37">
        <v>7894.5</v>
      </c>
      <c r="H1588" s="40">
        <v>8850</v>
      </c>
      <c r="I1588" s="16">
        <f t="shared" ref="I1588:I1589" si="238">H1588*G1588</f>
        <v>69866325</v>
      </c>
      <c r="J1588" s="17">
        <v>15</v>
      </c>
      <c r="K1588" s="34">
        <v>4502369718</v>
      </c>
      <c r="L1588" s="19">
        <v>5082766996</v>
      </c>
      <c r="M1588" s="20">
        <v>5113453598</v>
      </c>
      <c r="N1588" s="23"/>
      <c r="O1588" s="9" t="s">
        <v>313</v>
      </c>
      <c r="P1588" s="23" t="s">
        <v>2084</v>
      </c>
      <c r="Q1588" s="24" t="s">
        <v>31</v>
      </c>
      <c r="R1588" s="25">
        <v>44757</v>
      </c>
      <c r="S1588" s="28"/>
      <c r="T1588" s="35"/>
      <c r="U1588" s="35"/>
      <c r="V1588" s="29"/>
      <c r="W1588" s="35"/>
      <c r="X1588" s="29"/>
      <c r="Y1588" s="36"/>
      <c r="Z1588" s="29"/>
      <c r="AA1588" s="31">
        <f t="shared" si="1"/>
        <v>44757</v>
      </c>
      <c r="AB1588" s="32" t="str">
        <f t="shared" si="5"/>
        <v>julio</v>
      </c>
    </row>
    <row r="1589" spans="1:28" ht="12.75">
      <c r="A1589" s="9" t="s">
        <v>633</v>
      </c>
      <c r="B1589" s="10">
        <v>44761</v>
      </c>
      <c r="C1589" s="11"/>
      <c r="D1589" s="42">
        <v>29</v>
      </c>
      <c r="E1589" s="13" t="s">
        <v>2085</v>
      </c>
      <c r="F1589" s="13">
        <v>3025457</v>
      </c>
      <c r="G1589" s="14">
        <v>7117</v>
      </c>
      <c r="H1589" s="40">
        <v>8750</v>
      </c>
      <c r="I1589" s="16">
        <f t="shared" si="238"/>
        <v>62273750</v>
      </c>
      <c r="J1589" s="17">
        <v>14</v>
      </c>
      <c r="K1589" s="34">
        <v>4502369719</v>
      </c>
      <c r="L1589" s="19">
        <v>5082766423</v>
      </c>
      <c r="M1589" s="20">
        <v>5113453059</v>
      </c>
      <c r="N1589" s="23"/>
      <c r="O1589" s="9" t="s">
        <v>37</v>
      </c>
      <c r="P1589" s="23"/>
      <c r="Q1589" s="24" t="s">
        <v>31</v>
      </c>
      <c r="R1589" s="25">
        <v>44757</v>
      </c>
      <c r="S1589" s="28"/>
      <c r="T1589" s="35"/>
      <c r="U1589" s="35"/>
      <c r="V1589" s="29"/>
      <c r="W1589" s="35"/>
      <c r="X1589" s="29"/>
      <c r="Y1589" s="36"/>
      <c r="Z1589" s="29"/>
      <c r="AA1589" s="31">
        <f t="shared" si="1"/>
        <v>44757</v>
      </c>
      <c r="AB1589" s="32" t="str">
        <f t="shared" si="5"/>
        <v>julio</v>
      </c>
    </row>
    <row r="1590" spans="1:28" ht="12.75">
      <c r="A1590" s="9" t="s">
        <v>633</v>
      </c>
      <c r="B1590" s="10">
        <v>44761</v>
      </c>
      <c r="C1590" s="11"/>
      <c r="D1590" s="42">
        <v>29</v>
      </c>
      <c r="E1590" s="13" t="s">
        <v>2086</v>
      </c>
      <c r="F1590" s="13">
        <v>3025457</v>
      </c>
      <c r="G1590" s="14">
        <v>7117</v>
      </c>
      <c r="H1590" s="40">
        <v>50</v>
      </c>
      <c r="I1590" s="16">
        <f>-H1590*G1590</f>
        <v>-355850</v>
      </c>
      <c r="J1590" s="17">
        <v>0</v>
      </c>
      <c r="K1590" s="34">
        <v>4502369719</v>
      </c>
      <c r="L1590" s="19">
        <v>5082766423</v>
      </c>
      <c r="M1590" s="20">
        <v>5113453061</v>
      </c>
      <c r="N1590" s="23"/>
      <c r="O1590" s="9"/>
      <c r="P1590" s="23"/>
      <c r="Q1590" s="24" t="s">
        <v>31</v>
      </c>
      <c r="R1590" s="25">
        <v>44757</v>
      </c>
      <c r="S1590" s="28"/>
      <c r="T1590" s="35"/>
      <c r="U1590" s="35"/>
      <c r="V1590" s="29"/>
      <c r="W1590" s="35"/>
      <c r="X1590" s="29"/>
      <c r="Y1590" s="36"/>
      <c r="Z1590" s="29"/>
      <c r="AA1590" s="31">
        <f t="shared" si="1"/>
        <v>44757</v>
      </c>
      <c r="AB1590" s="32" t="str">
        <f t="shared" si="5"/>
        <v>julio</v>
      </c>
    </row>
    <row r="1591" spans="1:28" ht="12.75">
      <c r="A1591" s="9" t="s">
        <v>99</v>
      </c>
      <c r="B1591" s="10">
        <v>44763</v>
      </c>
      <c r="C1591" s="11">
        <v>44764</v>
      </c>
      <c r="D1591" s="42">
        <v>29</v>
      </c>
      <c r="E1591" s="13" t="s">
        <v>2087</v>
      </c>
      <c r="F1591" s="79">
        <v>3025457</v>
      </c>
      <c r="G1591" s="14">
        <v>7366</v>
      </c>
      <c r="H1591" s="40">
        <v>8750</v>
      </c>
      <c r="I1591" s="16">
        <f>H1591*G1591</f>
        <v>64452500</v>
      </c>
      <c r="J1591" s="17">
        <v>15</v>
      </c>
      <c r="K1591" s="34">
        <v>4502369754</v>
      </c>
      <c r="L1591" s="19">
        <v>5082766468</v>
      </c>
      <c r="M1591" s="20">
        <v>5113453201</v>
      </c>
      <c r="N1591" s="23"/>
      <c r="O1591" s="23" t="s">
        <v>37</v>
      </c>
      <c r="P1591" s="23"/>
      <c r="Q1591" s="24" t="s">
        <v>31</v>
      </c>
      <c r="R1591" s="25">
        <v>44757</v>
      </c>
      <c r="S1591" s="28"/>
      <c r="T1591" s="35"/>
      <c r="U1591" s="35"/>
      <c r="V1591" s="29"/>
      <c r="W1591" s="35"/>
      <c r="X1591" s="29"/>
      <c r="Y1591" s="36"/>
      <c r="Z1591" s="29"/>
      <c r="AA1591" s="31">
        <f t="shared" si="1"/>
        <v>44757</v>
      </c>
      <c r="AB1591" s="32" t="str">
        <f t="shared" si="5"/>
        <v>julio</v>
      </c>
    </row>
    <row r="1592" spans="1:28" ht="12.75">
      <c r="A1592" s="9" t="s">
        <v>99</v>
      </c>
      <c r="B1592" s="10">
        <v>44764</v>
      </c>
      <c r="C1592" s="11">
        <v>44764</v>
      </c>
      <c r="D1592" s="42">
        <v>29</v>
      </c>
      <c r="E1592" s="13" t="s">
        <v>2088</v>
      </c>
      <c r="F1592" s="79">
        <v>3025457</v>
      </c>
      <c r="G1592" s="14">
        <v>7366</v>
      </c>
      <c r="H1592" s="40">
        <v>50</v>
      </c>
      <c r="I1592" s="16">
        <f>-H1592*G1592</f>
        <v>-368300</v>
      </c>
      <c r="J1592" s="17">
        <v>0</v>
      </c>
      <c r="K1592" s="34">
        <v>4502369754</v>
      </c>
      <c r="L1592" s="19">
        <v>5082766468</v>
      </c>
      <c r="M1592" s="20">
        <v>5113453204</v>
      </c>
      <c r="N1592" s="23"/>
      <c r="O1592" s="9"/>
      <c r="P1592" s="23"/>
      <c r="Q1592" s="24" t="s">
        <v>31</v>
      </c>
      <c r="R1592" s="25">
        <v>44757</v>
      </c>
      <c r="S1592" s="28"/>
      <c r="T1592" s="35"/>
      <c r="U1592" s="35"/>
      <c r="V1592" s="29"/>
      <c r="W1592" s="35"/>
      <c r="X1592" s="29"/>
      <c r="Y1592" s="36"/>
      <c r="Z1592" s="29"/>
      <c r="AA1592" s="31">
        <f t="shared" si="1"/>
        <v>44757</v>
      </c>
      <c r="AB1592" s="32" t="str">
        <f t="shared" si="5"/>
        <v>julio</v>
      </c>
    </row>
    <row r="1593" spans="1:28" ht="12.75">
      <c r="A1593" s="9" t="s">
        <v>67</v>
      </c>
      <c r="B1593" s="10">
        <v>44761</v>
      </c>
      <c r="C1593" s="11"/>
      <c r="D1593" s="42">
        <v>29</v>
      </c>
      <c r="E1593" s="13" t="s">
        <v>2089</v>
      </c>
      <c r="F1593" s="79">
        <v>3025457</v>
      </c>
      <c r="G1593" s="14">
        <v>6834</v>
      </c>
      <c r="H1593" s="40">
        <v>8750</v>
      </c>
      <c r="I1593" s="16">
        <f>H1593*G1593</f>
        <v>59797500</v>
      </c>
      <c r="J1593" s="17">
        <v>14</v>
      </c>
      <c r="K1593" s="34">
        <v>4502369756</v>
      </c>
      <c r="L1593" s="19">
        <v>5082766469</v>
      </c>
      <c r="M1593" s="20">
        <v>5113452628</v>
      </c>
      <c r="N1593" s="23"/>
      <c r="O1593" s="9" t="s">
        <v>63</v>
      </c>
      <c r="P1593" s="23"/>
      <c r="Q1593" s="24" t="s">
        <v>31</v>
      </c>
      <c r="R1593" s="25">
        <v>44757</v>
      </c>
      <c r="S1593" s="28"/>
      <c r="T1593" s="35"/>
      <c r="U1593" s="35"/>
      <c r="V1593" s="29"/>
      <c r="W1593" s="35"/>
      <c r="X1593" s="29"/>
      <c r="Y1593" s="36"/>
      <c r="Z1593" s="29"/>
      <c r="AA1593" s="31">
        <f t="shared" si="1"/>
        <v>44757</v>
      </c>
      <c r="AB1593" s="32" t="str">
        <f t="shared" si="5"/>
        <v>julio</v>
      </c>
    </row>
    <row r="1594" spans="1:28" ht="12.75">
      <c r="A1594" s="9" t="s">
        <v>67</v>
      </c>
      <c r="B1594" s="10">
        <v>44761</v>
      </c>
      <c r="C1594" s="11">
        <v>44764</v>
      </c>
      <c r="D1594" s="42">
        <v>29</v>
      </c>
      <c r="E1594" s="13" t="s">
        <v>108</v>
      </c>
      <c r="F1594" s="79">
        <v>3025457</v>
      </c>
      <c r="G1594" s="14">
        <v>6834</v>
      </c>
      <c r="H1594" s="40">
        <v>150</v>
      </c>
      <c r="I1594" s="16">
        <f>-H1594*G1594</f>
        <v>-1025100</v>
      </c>
      <c r="J1594" s="17">
        <v>0</v>
      </c>
      <c r="K1594" s="34">
        <v>4502369756</v>
      </c>
      <c r="L1594" s="19">
        <v>5082766469</v>
      </c>
      <c r="M1594" s="20">
        <v>5113452631</v>
      </c>
      <c r="N1594" s="23"/>
      <c r="O1594" s="9"/>
      <c r="P1594" s="23"/>
      <c r="Q1594" s="24" t="s">
        <v>31</v>
      </c>
      <c r="R1594" s="25">
        <v>44757</v>
      </c>
      <c r="S1594" s="28"/>
      <c r="T1594" s="35"/>
      <c r="U1594" s="35"/>
      <c r="V1594" s="29"/>
      <c r="W1594" s="35"/>
      <c r="X1594" s="29"/>
      <c r="Y1594" s="36"/>
      <c r="Z1594" s="29"/>
      <c r="AA1594" s="31">
        <f t="shared" si="1"/>
        <v>44757</v>
      </c>
      <c r="AB1594" s="32" t="str">
        <f t="shared" si="5"/>
        <v>julio</v>
      </c>
    </row>
    <row r="1595" spans="1:28" ht="12.75">
      <c r="A1595" s="9" t="s">
        <v>1984</v>
      </c>
      <c r="B1595" s="10">
        <v>44769</v>
      </c>
      <c r="C1595" s="11">
        <v>44771</v>
      </c>
      <c r="D1595" s="42">
        <v>29</v>
      </c>
      <c r="E1595" s="13" t="s">
        <v>2090</v>
      </c>
      <c r="F1595" s="79">
        <v>3025457</v>
      </c>
      <c r="G1595" s="14">
        <v>18314</v>
      </c>
      <c r="H1595" s="40">
        <v>8850</v>
      </c>
      <c r="I1595" s="16">
        <f>H1595*G1595</f>
        <v>162078900</v>
      </c>
      <c r="J1595" s="17">
        <v>42</v>
      </c>
      <c r="K1595" s="34">
        <v>4502369759</v>
      </c>
      <c r="L1595" s="19">
        <v>5082766470</v>
      </c>
      <c r="M1595" s="20">
        <v>5113475035</v>
      </c>
      <c r="N1595" s="23"/>
      <c r="O1595" s="22" t="s">
        <v>63</v>
      </c>
      <c r="P1595" s="23"/>
      <c r="Q1595" s="24" t="s">
        <v>31</v>
      </c>
      <c r="R1595" s="25">
        <v>44757</v>
      </c>
      <c r="S1595" s="28"/>
      <c r="T1595" s="35"/>
      <c r="U1595" s="35"/>
      <c r="V1595" s="29"/>
      <c r="W1595" s="35"/>
      <c r="X1595" s="29"/>
      <c r="Y1595" s="36"/>
      <c r="Z1595" s="29"/>
      <c r="AA1595" s="31">
        <f t="shared" si="1"/>
        <v>44757</v>
      </c>
      <c r="AB1595" s="32" t="str">
        <f t="shared" si="5"/>
        <v>julio</v>
      </c>
    </row>
    <row r="1596" spans="1:28" ht="12.75">
      <c r="A1596" s="9" t="s">
        <v>1984</v>
      </c>
      <c r="B1596" s="10">
        <v>44770</v>
      </c>
      <c r="C1596" s="11">
        <v>44771</v>
      </c>
      <c r="D1596" s="120">
        <v>29</v>
      </c>
      <c r="E1596" s="61" t="s">
        <v>2091</v>
      </c>
      <c r="F1596" s="66">
        <v>3025457</v>
      </c>
      <c r="G1596" s="62">
        <v>18314</v>
      </c>
      <c r="H1596" s="66">
        <f>8850-8797.83</f>
        <v>52.170000000000073</v>
      </c>
      <c r="I1596" s="64">
        <f>-H1596*G1596</f>
        <v>-955441.38000000129</v>
      </c>
      <c r="J1596" s="65">
        <v>0</v>
      </c>
      <c r="K1596" s="66">
        <v>4502369759</v>
      </c>
      <c r="L1596" s="121">
        <v>5082766470</v>
      </c>
      <c r="M1596" s="20">
        <v>5113475057</v>
      </c>
      <c r="N1596" s="23"/>
      <c r="O1596" s="67"/>
      <c r="P1596" s="68"/>
      <c r="Q1596" s="24" t="s">
        <v>31</v>
      </c>
      <c r="R1596" s="25">
        <v>44757</v>
      </c>
      <c r="S1596" s="75"/>
      <c r="T1596" s="69"/>
      <c r="U1596" s="70"/>
      <c r="V1596" s="68"/>
      <c r="W1596" s="70"/>
      <c r="X1596" s="68"/>
      <c r="Y1596" s="71"/>
      <c r="Z1596" s="68"/>
      <c r="AA1596" s="72">
        <f t="shared" si="1"/>
        <v>44757</v>
      </c>
      <c r="AB1596" s="32" t="str">
        <f t="shared" si="5"/>
        <v>julio</v>
      </c>
    </row>
    <row r="1597" spans="1:28" ht="12.75">
      <c r="A1597" s="9" t="s">
        <v>61</v>
      </c>
      <c r="B1597" s="10">
        <v>44761</v>
      </c>
      <c r="C1597" s="11">
        <v>44761</v>
      </c>
      <c r="D1597" s="42">
        <v>29</v>
      </c>
      <c r="E1597" s="13" t="s">
        <v>2092</v>
      </c>
      <c r="F1597" s="79">
        <v>3025457</v>
      </c>
      <c r="G1597" s="14">
        <v>13939</v>
      </c>
      <c r="H1597" s="40">
        <v>8750</v>
      </c>
      <c r="I1597" s="16">
        <f>H1597*G1597</f>
        <v>121966250</v>
      </c>
      <c r="J1597" s="17">
        <v>30</v>
      </c>
      <c r="K1597" s="34">
        <v>4502369761</v>
      </c>
      <c r="L1597" s="19">
        <v>5082766471</v>
      </c>
      <c r="M1597" s="20">
        <v>5113446551</v>
      </c>
      <c r="N1597" s="23"/>
      <c r="O1597" s="9" t="s">
        <v>63</v>
      </c>
      <c r="P1597" s="23"/>
      <c r="Q1597" s="24" t="s">
        <v>31</v>
      </c>
      <c r="R1597" s="25">
        <v>44757</v>
      </c>
      <c r="S1597" s="28"/>
      <c r="T1597" s="35"/>
      <c r="U1597" s="35"/>
      <c r="V1597" s="29"/>
      <c r="W1597" s="35"/>
      <c r="X1597" s="29"/>
      <c r="Y1597" s="36"/>
      <c r="Z1597" s="29"/>
      <c r="AA1597" s="31">
        <f t="shared" si="1"/>
        <v>44757</v>
      </c>
      <c r="AB1597" s="32" t="str">
        <f t="shared" si="5"/>
        <v>julio</v>
      </c>
    </row>
    <row r="1598" spans="1:28" ht="12.75">
      <c r="A1598" s="9" t="s">
        <v>61</v>
      </c>
      <c r="B1598" s="10">
        <v>44761</v>
      </c>
      <c r="C1598" s="11">
        <v>44761</v>
      </c>
      <c r="D1598" s="42">
        <v>29</v>
      </c>
      <c r="E1598" s="13" t="s">
        <v>1595</v>
      </c>
      <c r="F1598" s="79">
        <v>3025457</v>
      </c>
      <c r="G1598" s="14">
        <v>13939</v>
      </c>
      <c r="H1598" s="40">
        <v>100</v>
      </c>
      <c r="I1598" s="16">
        <f>-H1598*G1598</f>
        <v>-1393900</v>
      </c>
      <c r="J1598" s="17">
        <v>0</v>
      </c>
      <c r="K1598" s="34">
        <v>4502369761</v>
      </c>
      <c r="L1598" s="19">
        <v>5082766471</v>
      </c>
      <c r="M1598" s="20">
        <v>5113446553</v>
      </c>
      <c r="N1598" s="23"/>
      <c r="O1598" s="9"/>
      <c r="P1598" s="23"/>
      <c r="Q1598" s="24" t="s">
        <v>31</v>
      </c>
      <c r="R1598" s="25">
        <v>44757</v>
      </c>
      <c r="S1598" s="28"/>
      <c r="T1598" s="35"/>
      <c r="U1598" s="35"/>
      <c r="V1598" s="29"/>
      <c r="W1598" s="35"/>
      <c r="X1598" s="29"/>
      <c r="Y1598" s="36"/>
      <c r="Z1598" s="29"/>
      <c r="AA1598" s="31">
        <f t="shared" si="1"/>
        <v>44757</v>
      </c>
      <c r="AB1598" s="32" t="str">
        <f t="shared" si="5"/>
        <v>julio</v>
      </c>
    </row>
    <row r="1599" spans="1:28" ht="12.75">
      <c r="A1599" s="9" t="s">
        <v>2093</v>
      </c>
      <c r="B1599" s="10">
        <v>44762</v>
      </c>
      <c r="C1599" s="11"/>
      <c r="D1599" s="42">
        <v>29</v>
      </c>
      <c r="E1599" s="13" t="s">
        <v>2094</v>
      </c>
      <c r="F1599" s="79">
        <v>3025457</v>
      </c>
      <c r="G1599" s="37">
        <v>5993.5</v>
      </c>
      <c r="H1599" s="40">
        <v>9150</v>
      </c>
      <c r="I1599" s="16">
        <f>H1599*G1599</f>
        <v>54840525</v>
      </c>
      <c r="J1599" s="17">
        <v>14</v>
      </c>
      <c r="K1599" s="34">
        <v>4502371333</v>
      </c>
      <c r="L1599" s="19">
        <v>5082766472</v>
      </c>
      <c r="M1599" s="20">
        <v>5113490269</v>
      </c>
      <c r="N1599" s="23"/>
      <c r="O1599" s="9" t="s">
        <v>63</v>
      </c>
      <c r="P1599" s="23" t="s">
        <v>2095</v>
      </c>
      <c r="Q1599" s="24" t="s">
        <v>31</v>
      </c>
      <c r="R1599" s="25">
        <v>44757</v>
      </c>
      <c r="S1599" s="28"/>
      <c r="T1599" s="35"/>
      <c r="U1599" s="35"/>
      <c r="V1599" s="29"/>
      <c r="W1599" s="35"/>
      <c r="X1599" s="29"/>
      <c r="Y1599" s="36"/>
      <c r="Z1599" s="29"/>
      <c r="AA1599" s="31">
        <f t="shared" si="1"/>
        <v>44757</v>
      </c>
      <c r="AB1599" s="32" t="str">
        <f t="shared" si="5"/>
        <v>julio</v>
      </c>
    </row>
    <row r="1600" spans="1:28" ht="12.75">
      <c r="A1600" s="9" t="s">
        <v>2093</v>
      </c>
      <c r="B1600" s="10">
        <v>44762</v>
      </c>
      <c r="C1600" s="11"/>
      <c r="D1600" s="42">
        <v>29</v>
      </c>
      <c r="E1600" s="13" t="s">
        <v>226</v>
      </c>
      <c r="F1600" s="79">
        <v>3025457</v>
      </c>
      <c r="G1600" s="37">
        <v>5993.5</v>
      </c>
      <c r="H1600" s="40">
        <f>9150-9130.98</f>
        <v>19.020000000000437</v>
      </c>
      <c r="I1600" s="16">
        <f>-H1600*G1600</f>
        <v>-113996.37000000261</v>
      </c>
      <c r="J1600" s="17">
        <v>0</v>
      </c>
      <c r="K1600" s="34">
        <v>4502371333</v>
      </c>
      <c r="L1600" s="19">
        <v>5082766472</v>
      </c>
      <c r="M1600" s="20">
        <v>5113490270</v>
      </c>
      <c r="N1600" s="23"/>
      <c r="O1600" s="9" t="s">
        <v>2096</v>
      </c>
      <c r="P1600" s="44"/>
      <c r="Q1600" s="24" t="s">
        <v>31</v>
      </c>
      <c r="R1600" s="25">
        <v>44757</v>
      </c>
      <c r="S1600" s="28"/>
      <c r="T1600" s="35"/>
      <c r="U1600" s="35"/>
      <c r="V1600" s="29"/>
      <c r="W1600" s="35"/>
      <c r="X1600" s="29"/>
      <c r="Y1600" s="36"/>
      <c r="Z1600" s="29"/>
      <c r="AA1600" s="31">
        <f t="shared" si="1"/>
        <v>44757</v>
      </c>
      <c r="AB1600" s="32" t="str">
        <f t="shared" si="5"/>
        <v>julio</v>
      </c>
    </row>
    <row r="1601" spans="1:28" ht="12.75">
      <c r="A1601" s="9" t="s">
        <v>80</v>
      </c>
      <c r="B1601" s="10">
        <v>44757</v>
      </c>
      <c r="C1601" s="11">
        <v>44763</v>
      </c>
      <c r="D1601" s="42">
        <v>29</v>
      </c>
      <c r="E1601" s="13" t="s">
        <v>2097</v>
      </c>
      <c r="F1601" s="13">
        <v>3025460</v>
      </c>
      <c r="G1601" s="14">
        <v>40130</v>
      </c>
      <c r="H1601" s="57">
        <v>8700</v>
      </c>
      <c r="I1601" s="16">
        <f t="shared" ref="I1601:I1614" si="239">H1601*G1601</f>
        <v>349131000</v>
      </c>
      <c r="J1601" s="17">
        <v>84</v>
      </c>
      <c r="K1601" s="34">
        <v>4502373018</v>
      </c>
      <c r="L1601" s="19">
        <v>5082786091</v>
      </c>
      <c r="M1601" s="20">
        <v>5113449756</v>
      </c>
      <c r="N1601" s="23"/>
      <c r="O1601" s="23" t="s">
        <v>37</v>
      </c>
      <c r="P1601" s="23"/>
      <c r="Q1601" s="24" t="s">
        <v>82</v>
      </c>
      <c r="R1601" s="25">
        <v>44757</v>
      </c>
      <c r="S1601" s="28"/>
      <c r="T1601" s="35"/>
      <c r="U1601" s="35"/>
      <c r="V1601" s="29"/>
      <c r="W1601" s="35"/>
      <c r="X1601" s="29"/>
      <c r="Y1601" s="36"/>
      <c r="Z1601" s="29"/>
      <c r="AA1601" s="31">
        <f t="shared" si="1"/>
        <v>44757</v>
      </c>
      <c r="AB1601" s="32" t="str">
        <f t="shared" si="5"/>
        <v>julio</v>
      </c>
    </row>
    <row r="1602" spans="1:28" ht="12.75">
      <c r="A1602" s="9" t="s">
        <v>83</v>
      </c>
      <c r="B1602" s="10">
        <v>44761</v>
      </c>
      <c r="C1602" s="11">
        <v>44761</v>
      </c>
      <c r="D1602" s="42">
        <v>29</v>
      </c>
      <c r="E1602" s="13" t="s">
        <v>2098</v>
      </c>
      <c r="F1602" s="13">
        <v>3025460</v>
      </c>
      <c r="G1602" s="14">
        <v>13787</v>
      </c>
      <c r="H1602" s="57">
        <v>8750</v>
      </c>
      <c r="I1602" s="16">
        <f t="shared" si="239"/>
        <v>120636250</v>
      </c>
      <c r="J1602" s="17">
        <v>28</v>
      </c>
      <c r="K1602" s="34">
        <v>4502373033</v>
      </c>
      <c r="L1602" s="19">
        <v>5082786348</v>
      </c>
      <c r="M1602" s="20">
        <v>5113448851</v>
      </c>
      <c r="N1602" s="44"/>
      <c r="O1602" s="9" t="s">
        <v>37</v>
      </c>
      <c r="P1602" s="23"/>
      <c r="Q1602" s="24" t="s">
        <v>82</v>
      </c>
      <c r="R1602" s="25">
        <v>44757</v>
      </c>
      <c r="S1602" s="28"/>
      <c r="T1602" s="35"/>
      <c r="U1602" s="35"/>
      <c r="V1602" s="29"/>
      <c r="W1602" s="35"/>
      <c r="X1602" s="29"/>
      <c r="Y1602" s="36"/>
      <c r="Z1602" s="29"/>
      <c r="AA1602" s="31">
        <f t="shared" si="1"/>
        <v>44757</v>
      </c>
      <c r="AB1602" s="32" t="str">
        <f t="shared" si="5"/>
        <v>julio</v>
      </c>
    </row>
    <row r="1603" spans="1:28" ht="12.75">
      <c r="A1603" s="9" t="s">
        <v>196</v>
      </c>
      <c r="B1603" s="10">
        <v>44757</v>
      </c>
      <c r="C1603" s="11"/>
      <c r="D1603" s="42">
        <v>29</v>
      </c>
      <c r="E1603" s="13" t="s">
        <v>2099</v>
      </c>
      <c r="F1603" s="13">
        <v>3025460</v>
      </c>
      <c r="G1603" s="14">
        <v>21863</v>
      </c>
      <c r="H1603" s="57">
        <v>8750</v>
      </c>
      <c r="I1603" s="16">
        <f t="shared" si="239"/>
        <v>191301250</v>
      </c>
      <c r="J1603" s="17">
        <v>42</v>
      </c>
      <c r="K1603" s="34">
        <v>4502373021</v>
      </c>
      <c r="L1603" s="19">
        <v>5082786096</v>
      </c>
      <c r="M1603" s="20">
        <v>5113448778</v>
      </c>
      <c r="N1603" s="23"/>
      <c r="O1603" s="9"/>
      <c r="P1603" s="23"/>
      <c r="Q1603" s="24" t="s">
        <v>82</v>
      </c>
      <c r="R1603" s="25">
        <v>44757</v>
      </c>
      <c r="S1603" s="28"/>
      <c r="T1603" s="35"/>
      <c r="U1603" s="35"/>
      <c r="V1603" s="29"/>
      <c r="W1603" s="35"/>
      <c r="X1603" s="29"/>
      <c r="Y1603" s="36"/>
      <c r="Z1603" s="29"/>
      <c r="AA1603" s="31">
        <f t="shared" si="1"/>
        <v>44757</v>
      </c>
      <c r="AB1603" s="32" t="str">
        <f t="shared" si="5"/>
        <v>julio</v>
      </c>
    </row>
    <row r="1604" spans="1:28" ht="12.75">
      <c r="A1604" s="9" t="s">
        <v>85</v>
      </c>
      <c r="B1604" s="10">
        <v>44761</v>
      </c>
      <c r="C1604" s="11">
        <v>44761</v>
      </c>
      <c r="D1604" s="42">
        <v>29</v>
      </c>
      <c r="E1604" s="13" t="s">
        <v>2100</v>
      </c>
      <c r="F1604" s="13">
        <v>3025460</v>
      </c>
      <c r="G1604" s="14">
        <v>19804</v>
      </c>
      <c r="H1604" s="57">
        <v>8750</v>
      </c>
      <c r="I1604" s="16">
        <f t="shared" si="239"/>
        <v>173285000</v>
      </c>
      <c r="J1604" s="17">
        <v>42</v>
      </c>
      <c r="K1604" s="34">
        <v>4502373023</v>
      </c>
      <c r="L1604" s="19">
        <v>5082786200</v>
      </c>
      <c r="M1604" s="20">
        <v>5113448780</v>
      </c>
      <c r="N1604" s="23"/>
      <c r="O1604" s="44" t="s">
        <v>63</v>
      </c>
      <c r="P1604" s="23"/>
      <c r="Q1604" s="24" t="s">
        <v>82</v>
      </c>
      <c r="R1604" s="25">
        <v>44757</v>
      </c>
      <c r="S1604" s="28"/>
      <c r="T1604" s="35"/>
      <c r="U1604" s="35"/>
      <c r="V1604" s="29"/>
      <c r="W1604" s="35"/>
      <c r="X1604" s="29"/>
      <c r="Y1604" s="36"/>
      <c r="Z1604" s="29"/>
      <c r="AA1604" s="31">
        <f t="shared" si="1"/>
        <v>44757</v>
      </c>
      <c r="AB1604" s="32" t="str">
        <f t="shared" si="5"/>
        <v>julio</v>
      </c>
    </row>
    <row r="1605" spans="1:28" ht="12.75">
      <c r="A1605" s="9" t="s">
        <v>199</v>
      </c>
      <c r="B1605" s="10">
        <v>44757</v>
      </c>
      <c r="C1605" s="11">
        <v>44761</v>
      </c>
      <c r="D1605" s="42">
        <v>29</v>
      </c>
      <c r="E1605" s="13" t="s">
        <v>2101</v>
      </c>
      <c r="F1605" s="13">
        <v>3025460</v>
      </c>
      <c r="G1605" s="14">
        <v>15484</v>
      </c>
      <c r="H1605" s="57">
        <v>8750</v>
      </c>
      <c r="I1605" s="16">
        <f t="shared" si="239"/>
        <v>135485000</v>
      </c>
      <c r="J1605" s="17">
        <v>30</v>
      </c>
      <c r="K1605" s="34">
        <v>4502373027</v>
      </c>
      <c r="L1605" s="19">
        <v>5082786205</v>
      </c>
      <c r="M1605" s="20">
        <v>5113446372</v>
      </c>
      <c r="N1605" s="23" t="s">
        <v>475</v>
      </c>
      <c r="O1605" s="23" t="s">
        <v>63</v>
      </c>
      <c r="P1605" s="23"/>
      <c r="Q1605" s="24" t="s">
        <v>82</v>
      </c>
      <c r="R1605" s="25">
        <v>44757</v>
      </c>
      <c r="S1605" s="28"/>
      <c r="T1605" s="35"/>
      <c r="U1605" s="35"/>
      <c r="V1605" s="29"/>
      <c r="W1605" s="35"/>
      <c r="X1605" s="29"/>
      <c r="Y1605" s="36"/>
      <c r="Z1605" s="29"/>
      <c r="AA1605" s="31">
        <f t="shared" si="1"/>
        <v>44757</v>
      </c>
      <c r="AB1605" s="32" t="str">
        <f t="shared" si="5"/>
        <v>julio</v>
      </c>
    </row>
    <row r="1606" spans="1:28" ht="12.75">
      <c r="A1606" s="9" t="s">
        <v>94</v>
      </c>
      <c r="B1606" s="10">
        <v>44763</v>
      </c>
      <c r="C1606" s="11">
        <v>44763</v>
      </c>
      <c r="D1606" s="42">
        <v>29</v>
      </c>
      <c r="E1606" s="13" t="s">
        <v>2102</v>
      </c>
      <c r="F1606" s="13">
        <v>3025460</v>
      </c>
      <c r="G1606" s="14">
        <v>6905</v>
      </c>
      <c r="H1606" s="57">
        <v>8700</v>
      </c>
      <c r="I1606" s="16">
        <f t="shared" si="239"/>
        <v>60073500</v>
      </c>
      <c r="J1606" s="17">
        <v>15</v>
      </c>
      <c r="K1606" s="34">
        <v>4502373032</v>
      </c>
      <c r="L1606" s="19">
        <v>5082786272</v>
      </c>
      <c r="M1606" s="20">
        <v>5113448949</v>
      </c>
      <c r="N1606" s="23"/>
      <c r="O1606" s="9" t="s">
        <v>63</v>
      </c>
      <c r="P1606" s="23"/>
      <c r="Q1606" s="24" t="s">
        <v>82</v>
      </c>
      <c r="R1606" s="25">
        <v>44757</v>
      </c>
      <c r="S1606" s="28"/>
      <c r="T1606" s="35"/>
      <c r="U1606" s="35"/>
      <c r="V1606" s="29"/>
      <c r="W1606" s="35"/>
      <c r="X1606" s="29"/>
      <c r="Y1606" s="36"/>
      <c r="Z1606" s="29"/>
      <c r="AA1606" s="31">
        <f t="shared" si="1"/>
        <v>44757</v>
      </c>
      <c r="AB1606" s="32" t="str">
        <f t="shared" si="5"/>
        <v>julio</v>
      </c>
    </row>
    <row r="1607" spans="1:28" ht="12.75">
      <c r="A1607" s="9" t="s">
        <v>43</v>
      </c>
      <c r="B1607" s="10">
        <v>44759</v>
      </c>
      <c r="C1607" s="11">
        <v>44761</v>
      </c>
      <c r="D1607" s="42">
        <v>29</v>
      </c>
      <c r="E1607" s="13" t="s">
        <v>1271</v>
      </c>
      <c r="F1607" s="13">
        <v>3025459</v>
      </c>
      <c r="G1607" s="37">
        <v>14762.5</v>
      </c>
      <c r="H1607" s="40">
        <v>8850</v>
      </c>
      <c r="I1607" s="16">
        <f t="shared" si="239"/>
        <v>130648125</v>
      </c>
      <c r="J1607" s="17">
        <v>28</v>
      </c>
      <c r="K1607" s="34">
        <v>4502369720</v>
      </c>
      <c r="L1607" s="19">
        <v>5082766424</v>
      </c>
      <c r="M1607" s="20">
        <v>5113453050</v>
      </c>
      <c r="N1607" s="23"/>
      <c r="O1607" s="9" t="s">
        <v>37</v>
      </c>
      <c r="P1607" s="23" t="s">
        <v>2103</v>
      </c>
      <c r="Q1607" s="24" t="s">
        <v>31</v>
      </c>
      <c r="R1607" s="25">
        <v>44759</v>
      </c>
      <c r="S1607" s="28"/>
      <c r="T1607" s="35"/>
      <c r="U1607" s="35"/>
      <c r="V1607" s="29"/>
      <c r="W1607" s="35"/>
      <c r="X1607" s="29"/>
      <c r="Y1607" s="36"/>
      <c r="Z1607" s="29"/>
      <c r="AA1607" s="31">
        <f t="shared" si="1"/>
        <v>44759</v>
      </c>
      <c r="AB1607" s="32" t="str">
        <f t="shared" si="5"/>
        <v>julio</v>
      </c>
    </row>
    <row r="1608" spans="1:28" ht="12.75">
      <c r="A1608" s="9" t="s">
        <v>43</v>
      </c>
      <c r="B1608" s="10">
        <v>44759</v>
      </c>
      <c r="C1608" s="11">
        <v>44761</v>
      </c>
      <c r="D1608" s="42">
        <v>29</v>
      </c>
      <c r="E1608" s="13" t="s">
        <v>2104</v>
      </c>
      <c r="F1608" s="13">
        <v>3025459</v>
      </c>
      <c r="G1608" s="37">
        <v>14762.5</v>
      </c>
      <c r="H1608" s="40">
        <v>50</v>
      </c>
      <c r="I1608" s="16">
        <f t="shared" si="239"/>
        <v>738125</v>
      </c>
      <c r="J1608" s="17">
        <v>0</v>
      </c>
      <c r="K1608" s="34">
        <v>4502369720</v>
      </c>
      <c r="L1608" s="19">
        <v>5082766424</v>
      </c>
      <c r="M1608" s="20">
        <v>5113453056</v>
      </c>
      <c r="N1608" s="23"/>
      <c r="O1608" s="9"/>
      <c r="P1608" s="23"/>
      <c r="Q1608" s="24" t="s">
        <v>31</v>
      </c>
      <c r="R1608" s="25">
        <v>44759</v>
      </c>
      <c r="S1608" s="28"/>
      <c r="T1608" s="35"/>
      <c r="U1608" s="35"/>
      <c r="V1608" s="29"/>
      <c r="W1608" s="35"/>
      <c r="X1608" s="29"/>
      <c r="Y1608" s="36"/>
      <c r="Z1608" s="29"/>
      <c r="AA1608" s="31">
        <f t="shared" si="1"/>
        <v>44759</v>
      </c>
      <c r="AB1608" s="32" t="str">
        <f t="shared" si="5"/>
        <v>julio</v>
      </c>
    </row>
    <row r="1609" spans="1:28" ht="12.75">
      <c r="A1609" s="9" t="s">
        <v>233</v>
      </c>
      <c r="B1609" s="10"/>
      <c r="C1609" s="11"/>
      <c r="D1609" s="42">
        <v>29</v>
      </c>
      <c r="E1609" s="13">
        <v>1096797</v>
      </c>
      <c r="F1609" s="13">
        <v>3025459</v>
      </c>
      <c r="G1609" s="14">
        <v>26604</v>
      </c>
      <c r="H1609" s="40">
        <v>8750</v>
      </c>
      <c r="I1609" s="16">
        <f t="shared" si="239"/>
        <v>232785000</v>
      </c>
      <c r="J1609" s="17">
        <v>56</v>
      </c>
      <c r="K1609" s="34">
        <v>4502369721</v>
      </c>
      <c r="L1609" s="19">
        <v>5082766425</v>
      </c>
      <c r="M1609" s="20">
        <v>5113448849</v>
      </c>
      <c r="N1609" s="23"/>
      <c r="O1609" s="23" t="s">
        <v>63</v>
      </c>
      <c r="P1609" s="23"/>
      <c r="Q1609" s="24" t="s">
        <v>31</v>
      </c>
      <c r="R1609" s="25">
        <v>44759</v>
      </c>
      <c r="S1609" s="28"/>
      <c r="T1609" s="35"/>
      <c r="U1609" s="35"/>
      <c r="V1609" s="29"/>
      <c r="W1609" s="35"/>
      <c r="X1609" s="29"/>
      <c r="Y1609" s="36"/>
      <c r="Z1609" s="29"/>
      <c r="AA1609" s="31">
        <f t="shared" si="1"/>
        <v>44759</v>
      </c>
      <c r="AB1609" s="32" t="str">
        <f t="shared" si="5"/>
        <v>julio</v>
      </c>
    </row>
    <row r="1610" spans="1:28" ht="12.75">
      <c r="A1610" s="9" t="s">
        <v>233</v>
      </c>
      <c r="B1610" s="10">
        <v>44759</v>
      </c>
      <c r="C1610" s="11">
        <v>44761</v>
      </c>
      <c r="D1610" s="42">
        <v>29</v>
      </c>
      <c r="E1610" s="13" t="s">
        <v>2105</v>
      </c>
      <c r="F1610" s="13">
        <v>3025459</v>
      </c>
      <c r="G1610" s="14">
        <v>26604</v>
      </c>
      <c r="H1610" s="40">
        <v>50</v>
      </c>
      <c r="I1610" s="16">
        <f t="shared" si="239"/>
        <v>1330200</v>
      </c>
      <c r="J1610" s="17">
        <v>0</v>
      </c>
      <c r="K1610" s="34">
        <v>4502369721</v>
      </c>
      <c r="L1610" s="19">
        <v>5082766425</v>
      </c>
      <c r="M1610" s="20">
        <v>5113448850</v>
      </c>
      <c r="N1610" s="23"/>
      <c r="O1610" s="9"/>
      <c r="P1610" s="23"/>
      <c r="Q1610" s="24" t="s">
        <v>31</v>
      </c>
      <c r="R1610" s="25">
        <v>44759</v>
      </c>
      <c r="S1610" s="28"/>
      <c r="T1610" s="35"/>
      <c r="U1610" s="35"/>
      <c r="V1610" s="29"/>
      <c r="W1610" s="35"/>
      <c r="X1610" s="29"/>
      <c r="Y1610" s="36"/>
      <c r="Z1610" s="29"/>
      <c r="AA1610" s="31">
        <f t="shared" si="1"/>
        <v>44759</v>
      </c>
      <c r="AB1610" s="32" t="str">
        <f t="shared" si="5"/>
        <v>julio</v>
      </c>
    </row>
    <row r="1611" spans="1:28" ht="12.75">
      <c r="A1611" s="9" t="s">
        <v>111</v>
      </c>
      <c r="B1611" s="10">
        <v>44759</v>
      </c>
      <c r="C1611" s="11">
        <v>44763</v>
      </c>
      <c r="D1611" s="42">
        <v>29</v>
      </c>
      <c r="E1611" s="13" t="s">
        <v>2106</v>
      </c>
      <c r="F1611" s="13">
        <v>3025460</v>
      </c>
      <c r="G1611" s="37">
        <v>19284.5</v>
      </c>
      <c r="H1611" s="40">
        <v>8750</v>
      </c>
      <c r="I1611" s="16">
        <f t="shared" si="239"/>
        <v>168739375</v>
      </c>
      <c r="J1611" s="17">
        <v>42</v>
      </c>
      <c r="K1611" s="34">
        <v>4502369722</v>
      </c>
      <c r="L1611" s="19">
        <v>5082766426</v>
      </c>
      <c r="M1611" s="20">
        <v>5113449965</v>
      </c>
      <c r="N1611" s="23"/>
      <c r="O1611" s="9" t="s">
        <v>63</v>
      </c>
      <c r="P1611" s="23"/>
      <c r="Q1611" s="24" t="s">
        <v>31</v>
      </c>
      <c r="R1611" s="25">
        <v>44759</v>
      </c>
      <c r="S1611" s="28"/>
      <c r="T1611" s="35"/>
      <c r="U1611" s="35"/>
      <c r="V1611" s="29"/>
      <c r="W1611" s="35"/>
      <c r="X1611" s="29"/>
      <c r="Y1611" s="36"/>
      <c r="Z1611" s="29"/>
      <c r="AA1611" s="31">
        <f t="shared" si="1"/>
        <v>44759</v>
      </c>
      <c r="AB1611" s="32" t="str">
        <f t="shared" si="5"/>
        <v>julio</v>
      </c>
    </row>
    <row r="1612" spans="1:28" ht="12.75">
      <c r="A1612" s="9" t="s">
        <v>104</v>
      </c>
      <c r="B1612" s="10">
        <v>44759</v>
      </c>
      <c r="C1612" s="11">
        <v>44761</v>
      </c>
      <c r="D1612" s="42">
        <v>29</v>
      </c>
      <c r="E1612" s="13" t="s">
        <v>1851</v>
      </c>
      <c r="F1612" s="13">
        <v>3025460</v>
      </c>
      <c r="G1612" s="14">
        <v>7106</v>
      </c>
      <c r="H1612" s="40">
        <v>8850</v>
      </c>
      <c r="I1612" s="16">
        <f t="shared" si="239"/>
        <v>62888100</v>
      </c>
      <c r="J1612" s="17">
        <v>14</v>
      </c>
      <c r="K1612" s="34">
        <v>4502369723</v>
      </c>
      <c r="L1612" s="19">
        <v>5082766427</v>
      </c>
      <c r="M1612" s="20">
        <v>5113448761</v>
      </c>
      <c r="N1612" s="23"/>
      <c r="O1612" s="9" t="s">
        <v>63</v>
      </c>
      <c r="P1612" s="23"/>
      <c r="Q1612" s="24" t="s">
        <v>31</v>
      </c>
      <c r="R1612" s="25">
        <v>44759</v>
      </c>
      <c r="S1612" s="28"/>
      <c r="T1612" s="35"/>
      <c r="U1612" s="35"/>
      <c r="V1612" s="29"/>
      <c r="W1612" s="35"/>
      <c r="X1612" s="29"/>
      <c r="Y1612" s="36"/>
      <c r="Z1612" s="29"/>
      <c r="AA1612" s="31">
        <f t="shared" si="1"/>
        <v>44759</v>
      </c>
      <c r="AB1612" s="32" t="str">
        <f t="shared" si="5"/>
        <v>julio</v>
      </c>
    </row>
    <row r="1613" spans="1:28" ht="12.75">
      <c r="A1613" s="9" t="s">
        <v>104</v>
      </c>
      <c r="B1613" s="10">
        <v>44759</v>
      </c>
      <c r="C1613" s="11">
        <v>44761</v>
      </c>
      <c r="D1613" s="42">
        <v>29</v>
      </c>
      <c r="E1613" s="13" t="s">
        <v>602</v>
      </c>
      <c r="F1613" s="13">
        <v>3025460</v>
      </c>
      <c r="G1613" s="14">
        <v>7106</v>
      </c>
      <c r="H1613" s="40">
        <v>50</v>
      </c>
      <c r="I1613" s="16">
        <f t="shared" si="239"/>
        <v>355300</v>
      </c>
      <c r="J1613" s="17">
        <v>0</v>
      </c>
      <c r="K1613" s="34">
        <v>4502369723</v>
      </c>
      <c r="L1613" s="19">
        <v>5082766427</v>
      </c>
      <c r="M1613" s="20">
        <v>5113448762</v>
      </c>
      <c r="N1613" s="23"/>
      <c r="O1613" s="9"/>
      <c r="P1613" s="23"/>
      <c r="Q1613" s="24" t="s">
        <v>31</v>
      </c>
      <c r="R1613" s="25">
        <v>44759</v>
      </c>
      <c r="S1613" s="28"/>
      <c r="T1613" s="35"/>
      <c r="U1613" s="35"/>
      <c r="V1613" s="29"/>
      <c r="W1613" s="35"/>
      <c r="X1613" s="29"/>
      <c r="Y1613" s="36"/>
      <c r="Z1613" s="29"/>
      <c r="AA1613" s="31">
        <f t="shared" si="1"/>
        <v>44759</v>
      </c>
      <c r="AB1613" s="32" t="str">
        <f t="shared" si="5"/>
        <v>julio</v>
      </c>
    </row>
    <row r="1614" spans="1:28" ht="12.75">
      <c r="A1614" s="9" t="s">
        <v>1412</v>
      </c>
      <c r="B1614" s="10">
        <v>44759</v>
      </c>
      <c r="C1614" s="11">
        <v>44761</v>
      </c>
      <c r="D1614" s="42">
        <v>29</v>
      </c>
      <c r="E1614" s="13" t="s">
        <v>1777</v>
      </c>
      <c r="F1614" s="13">
        <v>3025460</v>
      </c>
      <c r="G1614" s="14">
        <v>6736</v>
      </c>
      <c r="H1614" s="40">
        <v>8850</v>
      </c>
      <c r="I1614" s="16">
        <f t="shared" si="239"/>
        <v>59613600</v>
      </c>
      <c r="J1614" s="17">
        <v>14</v>
      </c>
      <c r="K1614" s="34">
        <v>4502369724</v>
      </c>
      <c r="L1614" s="19">
        <v>5082766997</v>
      </c>
      <c r="M1614" s="20">
        <v>5113453044</v>
      </c>
      <c r="N1614" s="23"/>
      <c r="O1614" s="9" t="s">
        <v>37</v>
      </c>
      <c r="P1614" s="23"/>
      <c r="Q1614" s="24" t="s">
        <v>31</v>
      </c>
      <c r="R1614" s="25">
        <v>44759</v>
      </c>
      <c r="S1614" s="28"/>
      <c r="T1614" s="35"/>
      <c r="U1614" s="35"/>
      <c r="V1614" s="29"/>
      <c r="W1614" s="35"/>
      <c r="X1614" s="29"/>
      <c r="Y1614" s="36"/>
      <c r="Z1614" s="29"/>
      <c r="AA1614" s="31">
        <f t="shared" si="1"/>
        <v>44759</v>
      </c>
      <c r="AB1614" s="32" t="str">
        <f t="shared" si="5"/>
        <v>julio</v>
      </c>
    </row>
    <row r="1615" spans="1:28" ht="12.75">
      <c r="A1615" s="9" t="s">
        <v>1412</v>
      </c>
      <c r="B1615" s="10">
        <v>44759</v>
      </c>
      <c r="C1615" s="11">
        <v>44761</v>
      </c>
      <c r="D1615" s="42">
        <v>29</v>
      </c>
      <c r="E1615" s="13" t="s">
        <v>1189</v>
      </c>
      <c r="F1615" s="13">
        <v>3025460</v>
      </c>
      <c r="G1615" s="14">
        <v>6736</v>
      </c>
      <c r="H1615" s="40">
        <f>8850-8773.52</f>
        <v>76.479999999999563</v>
      </c>
      <c r="I1615" s="16">
        <f>-H1615*G1615</f>
        <v>-515169.27999999706</v>
      </c>
      <c r="J1615" s="17">
        <v>0</v>
      </c>
      <c r="K1615" s="34">
        <v>4502369724</v>
      </c>
      <c r="L1615" s="19">
        <v>5082766997</v>
      </c>
      <c r="M1615" s="20">
        <v>5113453048</v>
      </c>
      <c r="N1615" s="23"/>
      <c r="O1615" s="9"/>
      <c r="P1615" s="23"/>
      <c r="Q1615" s="24" t="s">
        <v>31</v>
      </c>
      <c r="R1615" s="25">
        <v>44759</v>
      </c>
      <c r="S1615" s="28"/>
      <c r="T1615" s="35"/>
      <c r="U1615" s="35"/>
      <c r="V1615" s="29"/>
      <c r="W1615" s="35"/>
      <c r="X1615" s="29"/>
      <c r="Y1615" s="36"/>
      <c r="Z1615" s="29"/>
      <c r="AA1615" s="31">
        <f t="shared" si="1"/>
        <v>44759</v>
      </c>
      <c r="AB1615" s="32" t="str">
        <f t="shared" si="5"/>
        <v>julio</v>
      </c>
    </row>
    <row r="1616" spans="1:28" ht="12.75">
      <c r="A1616" s="9" t="s">
        <v>39</v>
      </c>
      <c r="B1616" s="10">
        <v>44760</v>
      </c>
      <c r="C1616" s="11">
        <v>44762</v>
      </c>
      <c r="D1616" s="42">
        <v>29</v>
      </c>
      <c r="E1616" s="13" t="s">
        <v>2107</v>
      </c>
      <c r="F1616" s="13">
        <v>3025460</v>
      </c>
      <c r="G1616" s="14">
        <v>6583</v>
      </c>
      <c r="H1616" s="40">
        <v>9150</v>
      </c>
      <c r="I1616" s="16">
        <f>H1616*G1616</f>
        <v>60234450</v>
      </c>
      <c r="J1616" s="17">
        <v>14</v>
      </c>
      <c r="K1616" s="34">
        <v>4502369725</v>
      </c>
      <c r="L1616" s="19">
        <v>5082786527</v>
      </c>
      <c r="M1616" s="20">
        <v>5113450924</v>
      </c>
      <c r="N1616" s="23"/>
      <c r="O1616" s="23" t="s">
        <v>37</v>
      </c>
      <c r="P1616" s="23"/>
      <c r="Q1616" s="24" t="s">
        <v>31</v>
      </c>
      <c r="R1616" s="25">
        <v>44760</v>
      </c>
      <c r="S1616" s="28"/>
      <c r="T1616" s="35"/>
      <c r="U1616" s="35"/>
      <c r="V1616" s="29"/>
      <c r="W1616" s="35"/>
      <c r="X1616" s="29"/>
      <c r="Y1616" s="36"/>
      <c r="Z1616" s="29"/>
      <c r="AA1616" s="31">
        <f t="shared" si="1"/>
        <v>44760</v>
      </c>
      <c r="AB1616" s="32" t="str">
        <f t="shared" si="5"/>
        <v>julio</v>
      </c>
    </row>
    <row r="1617" spans="1:28" ht="12.75">
      <c r="A1617" s="9" t="s">
        <v>39</v>
      </c>
      <c r="B1617" s="10">
        <v>44762</v>
      </c>
      <c r="C1617" s="11">
        <v>44762</v>
      </c>
      <c r="D1617" s="42">
        <v>29</v>
      </c>
      <c r="E1617" s="13" t="s">
        <v>617</v>
      </c>
      <c r="F1617" s="13">
        <v>3025460</v>
      </c>
      <c r="G1617" s="14">
        <v>6583</v>
      </c>
      <c r="H1617" s="40">
        <v>50</v>
      </c>
      <c r="I1617" s="16">
        <f>-H1617*G1617</f>
        <v>-329150</v>
      </c>
      <c r="J1617" s="17">
        <v>0</v>
      </c>
      <c r="K1617" s="34">
        <v>4502369725</v>
      </c>
      <c r="L1617" s="19">
        <v>5082786527</v>
      </c>
      <c r="M1617" s="20">
        <v>5113450926</v>
      </c>
      <c r="N1617" s="23"/>
      <c r="O1617" s="9"/>
      <c r="P1617" s="23"/>
      <c r="Q1617" s="24" t="s">
        <v>31</v>
      </c>
      <c r="R1617" s="25">
        <v>44760</v>
      </c>
      <c r="S1617" s="28"/>
      <c r="T1617" s="35"/>
      <c r="U1617" s="35"/>
      <c r="V1617" s="29"/>
      <c r="W1617" s="35"/>
      <c r="X1617" s="29"/>
      <c r="Y1617" s="36"/>
      <c r="Z1617" s="29"/>
      <c r="AA1617" s="31">
        <f t="shared" si="1"/>
        <v>44760</v>
      </c>
      <c r="AB1617" s="32" t="str">
        <f t="shared" si="5"/>
        <v>julio</v>
      </c>
    </row>
    <row r="1618" spans="1:28" ht="12.75">
      <c r="A1618" s="9" t="s">
        <v>116</v>
      </c>
      <c r="B1618" s="10">
        <v>44748</v>
      </c>
      <c r="C1618" s="11">
        <v>44749</v>
      </c>
      <c r="D1618" s="42">
        <v>29</v>
      </c>
      <c r="E1618" s="13" t="s">
        <v>2055</v>
      </c>
      <c r="F1618" s="13">
        <v>3025457</v>
      </c>
      <c r="G1618" s="14">
        <v>190271</v>
      </c>
      <c r="H1618" s="15">
        <v>9635</v>
      </c>
      <c r="I1618" s="16">
        <f t="shared" ref="I1618:I1619" si="240">H1618*G1618</f>
        <v>1833261085</v>
      </c>
      <c r="J1618" s="122">
        <v>56</v>
      </c>
      <c r="K1618" s="34">
        <v>4502365447</v>
      </c>
      <c r="L1618" s="19">
        <v>5082603723</v>
      </c>
      <c r="M1618" s="20">
        <v>5113437230</v>
      </c>
      <c r="N1618" s="44"/>
      <c r="O1618" s="22" t="s">
        <v>2108</v>
      </c>
      <c r="P1618" s="23" t="s">
        <v>37</v>
      </c>
      <c r="Q1618" s="24" t="s">
        <v>31</v>
      </c>
      <c r="R1618" s="25">
        <v>44761</v>
      </c>
      <c r="S1618" s="28">
        <v>4902306494</v>
      </c>
      <c r="T1618" s="28">
        <v>6530000</v>
      </c>
      <c r="U1618" s="28" t="s">
        <v>2109</v>
      </c>
      <c r="V1618" s="29">
        <v>5113449638</v>
      </c>
      <c r="W1618" s="35"/>
      <c r="X1618" s="29"/>
      <c r="Y1618" s="36"/>
      <c r="Z1618" s="29"/>
      <c r="AA1618" s="31">
        <f t="shared" si="1"/>
        <v>44761</v>
      </c>
      <c r="AB1618" s="32" t="str">
        <f t="shared" si="5"/>
        <v>julio</v>
      </c>
    </row>
    <row r="1619" spans="1:28" ht="12.75">
      <c r="A1619" s="22" t="s">
        <v>404</v>
      </c>
      <c r="B1619" s="10">
        <v>44762</v>
      </c>
      <c r="C1619" s="11"/>
      <c r="D1619" s="42">
        <v>29</v>
      </c>
      <c r="E1619" s="13" t="s">
        <v>2110</v>
      </c>
      <c r="F1619" s="13">
        <v>3025459</v>
      </c>
      <c r="G1619" s="14">
        <v>14824</v>
      </c>
      <c r="H1619" s="40">
        <v>9150</v>
      </c>
      <c r="I1619" s="16">
        <f t="shared" si="240"/>
        <v>135639600</v>
      </c>
      <c r="J1619" s="17">
        <v>30</v>
      </c>
      <c r="K1619" s="34">
        <v>4502369726</v>
      </c>
      <c r="L1619" s="19">
        <v>5082806075</v>
      </c>
      <c r="M1619" s="20">
        <v>5113457360</v>
      </c>
      <c r="N1619" s="44"/>
      <c r="O1619" s="23" t="s">
        <v>37</v>
      </c>
      <c r="P1619" s="23"/>
      <c r="Q1619" s="24" t="s">
        <v>31</v>
      </c>
      <c r="R1619" s="25">
        <v>44761</v>
      </c>
      <c r="S1619" s="28"/>
      <c r="T1619" s="35"/>
      <c r="U1619" s="35"/>
      <c r="V1619" s="29"/>
      <c r="W1619" s="35"/>
      <c r="X1619" s="29"/>
      <c r="Y1619" s="36"/>
      <c r="Z1619" s="29"/>
      <c r="AA1619" s="31">
        <f t="shared" si="1"/>
        <v>44761</v>
      </c>
      <c r="AB1619" s="32" t="str">
        <f t="shared" si="5"/>
        <v>julio</v>
      </c>
    </row>
    <row r="1620" spans="1:28" ht="12.75">
      <c r="A1620" s="22" t="s">
        <v>404</v>
      </c>
      <c r="B1620" s="10">
        <v>44765</v>
      </c>
      <c r="C1620" s="11"/>
      <c r="D1620" s="42">
        <v>29</v>
      </c>
      <c r="E1620" s="13" t="s">
        <v>72</v>
      </c>
      <c r="F1620" s="13">
        <v>3025459</v>
      </c>
      <c r="G1620" s="14">
        <v>14824</v>
      </c>
      <c r="H1620" s="40">
        <v>50</v>
      </c>
      <c r="I1620" s="16">
        <f>-H1620*G1620</f>
        <v>-741200</v>
      </c>
      <c r="J1620" s="17">
        <v>0</v>
      </c>
      <c r="K1620" s="34">
        <v>4502369726</v>
      </c>
      <c r="L1620" s="19">
        <v>5082806075</v>
      </c>
      <c r="M1620" s="20">
        <v>5113457361</v>
      </c>
      <c r="N1620" s="23"/>
      <c r="O1620" s="9"/>
      <c r="P1620" s="23"/>
      <c r="Q1620" s="24" t="s">
        <v>31</v>
      </c>
      <c r="R1620" s="25">
        <v>44761</v>
      </c>
      <c r="S1620" s="28"/>
      <c r="T1620" s="35"/>
      <c r="U1620" s="35"/>
      <c r="V1620" s="29"/>
      <c r="W1620" s="35"/>
      <c r="X1620" s="29"/>
      <c r="Y1620" s="36"/>
      <c r="Z1620" s="29"/>
      <c r="AA1620" s="31">
        <f t="shared" si="1"/>
        <v>44761</v>
      </c>
      <c r="AB1620" s="32" t="str">
        <f t="shared" si="5"/>
        <v>julio</v>
      </c>
    </row>
    <row r="1621" spans="1:28" ht="12.75">
      <c r="A1621" s="9" t="s">
        <v>58</v>
      </c>
      <c r="B1621" s="10">
        <v>44763</v>
      </c>
      <c r="C1621" s="11">
        <v>44763</v>
      </c>
      <c r="D1621" s="42">
        <v>29</v>
      </c>
      <c r="E1621" s="13" t="s">
        <v>2111</v>
      </c>
      <c r="F1621" s="13">
        <v>3025462</v>
      </c>
      <c r="G1621" s="14">
        <v>9515</v>
      </c>
      <c r="H1621" s="57">
        <v>7800</v>
      </c>
      <c r="I1621" s="16">
        <f t="shared" ref="I1621:I1622" si="241">H1621*G1621</f>
        <v>74217000</v>
      </c>
      <c r="J1621" s="17">
        <v>40</v>
      </c>
      <c r="K1621" s="34">
        <v>4502375079</v>
      </c>
      <c r="L1621" s="19">
        <v>5082834067</v>
      </c>
      <c r="M1621" s="20">
        <v>5113453899</v>
      </c>
      <c r="N1621" s="23"/>
      <c r="O1621" s="23" t="s">
        <v>37</v>
      </c>
      <c r="P1621" s="23"/>
      <c r="Q1621" s="24" t="s">
        <v>357</v>
      </c>
      <c r="R1621" s="25">
        <v>44762</v>
      </c>
      <c r="S1621" s="28"/>
      <c r="T1621" s="35"/>
      <c r="U1621" s="35"/>
      <c r="V1621" s="29"/>
      <c r="W1621" s="35"/>
      <c r="X1621" s="29"/>
      <c r="Y1621" s="36"/>
      <c r="Z1621" s="29"/>
      <c r="AA1621" s="31">
        <f t="shared" si="1"/>
        <v>44762</v>
      </c>
      <c r="AB1621" s="32" t="str">
        <f t="shared" si="5"/>
        <v>julio</v>
      </c>
    </row>
    <row r="1622" spans="1:28" ht="12.75">
      <c r="A1622" s="22" t="s">
        <v>501</v>
      </c>
      <c r="B1622" s="10">
        <v>44767</v>
      </c>
      <c r="C1622" s="11"/>
      <c r="D1622" s="49">
        <v>30</v>
      </c>
      <c r="E1622" s="13" t="s">
        <v>2112</v>
      </c>
      <c r="F1622" s="13">
        <v>3025457</v>
      </c>
      <c r="G1622" s="37">
        <v>13599.5</v>
      </c>
      <c r="H1622" s="33">
        <v>8750</v>
      </c>
      <c r="I1622" s="16">
        <f t="shared" si="241"/>
        <v>118995625</v>
      </c>
      <c r="J1622" s="17">
        <v>30</v>
      </c>
      <c r="K1622" s="34">
        <v>4502373279</v>
      </c>
      <c r="L1622" s="19">
        <v>5082838515</v>
      </c>
      <c r="M1622" s="20">
        <v>5113460671</v>
      </c>
      <c r="N1622" s="23"/>
      <c r="O1622" s="23" t="s">
        <v>313</v>
      </c>
      <c r="P1622" s="23"/>
      <c r="Q1622" s="24" t="s">
        <v>31</v>
      </c>
      <c r="R1622" s="25">
        <v>44763</v>
      </c>
      <c r="S1622" s="28"/>
      <c r="T1622" s="35"/>
      <c r="U1622" s="35"/>
      <c r="V1622" s="29"/>
      <c r="W1622" s="35"/>
      <c r="X1622" s="29"/>
      <c r="Y1622" s="36"/>
      <c r="Z1622" s="29"/>
      <c r="AA1622" s="31">
        <f t="shared" si="1"/>
        <v>44763</v>
      </c>
      <c r="AB1622" s="32" t="str">
        <f t="shared" si="5"/>
        <v>julio</v>
      </c>
    </row>
    <row r="1623" spans="1:28" ht="12.75">
      <c r="A1623" s="22" t="s">
        <v>501</v>
      </c>
      <c r="B1623" s="10">
        <v>44767</v>
      </c>
      <c r="C1623" s="11"/>
      <c r="D1623" s="49">
        <v>30</v>
      </c>
      <c r="E1623" s="13">
        <v>11</v>
      </c>
      <c r="F1623" s="13">
        <v>3025457</v>
      </c>
      <c r="G1623" s="37">
        <v>13599.5</v>
      </c>
      <c r="H1623" s="33">
        <f>8750-8629.76</f>
        <v>120.23999999999978</v>
      </c>
      <c r="I1623" s="16">
        <f>-H1623*G1623</f>
        <v>-1635203.8799999971</v>
      </c>
      <c r="J1623" s="17">
        <v>0</v>
      </c>
      <c r="K1623" s="34">
        <v>4502373279</v>
      </c>
      <c r="L1623" s="19">
        <v>5082838515</v>
      </c>
      <c r="M1623" s="20">
        <v>5113460675</v>
      </c>
      <c r="N1623" s="23"/>
      <c r="O1623" s="9"/>
      <c r="P1623" s="23"/>
      <c r="Q1623" s="24" t="s">
        <v>31</v>
      </c>
      <c r="R1623" s="25">
        <v>44763</v>
      </c>
      <c r="S1623" s="28"/>
      <c r="T1623" s="35"/>
      <c r="U1623" s="35"/>
      <c r="V1623" s="29"/>
      <c r="W1623" s="35"/>
      <c r="X1623" s="29"/>
      <c r="Y1623" s="36"/>
      <c r="Z1623" s="29"/>
      <c r="AA1623" s="31">
        <f t="shared" si="1"/>
        <v>44763</v>
      </c>
      <c r="AB1623" s="32" t="str">
        <f t="shared" si="5"/>
        <v>julio</v>
      </c>
    </row>
    <row r="1624" spans="1:28" ht="12.75">
      <c r="A1624" s="9" t="s">
        <v>58</v>
      </c>
      <c r="B1624" s="10">
        <v>44768</v>
      </c>
      <c r="C1624" s="11">
        <v>44768</v>
      </c>
      <c r="D1624" s="49">
        <v>30</v>
      </c>
      <c r="E1624" s="13" t="s">
        <v>2113</v>
      </c>
      <c r="F1624" s="13">
        <v>3025457</v>
      </c>
      <c r="G1624" s="14">
        <v>30148</v>
      </c>
      <c r="H1624" s="33">
        <v>9150</v>
      </c>
      <c r="I1624" s="16">
        <f>H1624*G1624</f>
        <v>275854200</v>
      </c>
      <c r="J1624" s="17">
        <v>60</v>
      </c>
      <c r="K1624" s="34">
        <v>4502373280</v>
      </c>
      <c r="L1624" s="19">
        <v>5082838516</v>
      </c>
      <c r="M1624" s="20">
        <v>5113461255</v>
      </c>
      <c r="N1624" s="23" t="s">
        <v>63</v>
      </c>
      <c r="O1624" s="23" t="s">
        <v>37</v>
      </c>
      <c r="P1624" s="23"/>
      <c r="Q1624" s="24" t="s">
        <v>31</v>
      </c>
      <c r="R1624" s="25">
        <v>44763</v>
      </c>
      <c r="S1624" s="28"/>
      <c r="T1624" s="35"/>
      <c r="U1624" s="35"/>
      <c r="V1624" s="29"/>
      <c r="W1624" s="35"/>
      <c r="X1624" s="29"/>
      <c r="Y1624" s="36"/>
      <c r="Z1624" s="29"/>
      <c r="AA1624" s="31">
        <f t="shared" si="1"/>
        <v>44763</v>
      </c>
      <c r="AB1624" s="32" t="str">
        <f t="shared" si="5"/>
        <v>julio</v>
      </c>
    </row>
    <row r="1625" spans="1:28" ht="12.75">
      <c r="A1625" s="9" t="s">
        <v>58</v>
      </c>
      <c r="B1625" s="10">
        <v>44768</v>
      </c>
      <c r="C1625" s="11">
        <v>44768</v>
      </c>
      <c r="D1625" s="49">
        <v>30</v>
      </c>
      <c r="E1625" s="13" t="s">
        <v>2114</v>
      </c>
      <c r="F1625" s="13">
        <v>3025457</v>
      </c>
      <c r="G1625" s="14">
        <v>30148</v>
      </c>
      <c r="H1625" s="33">
        <f>9150-9148.75</f>
        <v>1.25</v>
      </c>
      <c r="I1625" s="16">
        <f>-H1625*G1625</f>
        <v>-37685</v>
      </c>
      <c r="J1625" s="17">
        <v>0</v>
      </c>
      <c r="K1625" s="34">
        <v>4502373280</v>
      </c>
      <c r="L1625" s="19">
        <v>5082838516</v>
      </c>
      <c r="M1625" s="20">
        <v>5113461307</v>
      </c>
      <c r="N1625" s="23"/>
      <c r="O1625" s="9"/>
      <c r="P1625" s="23"/>
      <c r="Q1625" s="24" t="s">
        <v>31</v>
      </c>
      <c r="R1625" s="25">
        <v>44763</v>
      </c>
      <c r="S1625" s="28"/>
      <c r="T1625" s="35"/>
      <c r="U1625" s="35"/>
      <c r="V1625" s="29"/>
      <c r="W1625" s="35"/>
      <c r="X1625" s="29"/>
      <c r="Y1625" s="36"/>
      <c r="Z1625" s="29"/>
      <c r="AA1625" s="31">
        <f t="shared" si="1"/>
        <v>44763</v>
      </c>
      <c r="AB1625" s="32" t="str">
        <f t="shared" si="5"/>
        <v>julio</v>
      </c>
    </row>
    <row r="1626" spans="1:28" ht="12.75">
      <c r="A1626" s="9" t="s">
        <v>80</v>
      </c>
      <c r="B1626" s="10">
        <v>44763</v>
      </c>
      <c r="C1626" s="11">
        <v>44764</v>
      </c>
      <c r="D1626" s="49">
        <v>30</v>
      </c>
      <c r="E1626" s="13" t="s">
        <v>2115</v>
      </c>
      <c r="F1626" s="13">
        <v>3025457</v>
      </c>
      <c r="G1626" s="14">
        <v>39854</v>
      </c>
      <c r="H1626" s="15">
        <v>8400</v>
      </c>
      <c r="I1626" s="16">
        <f t="shared" ref="I1626:I1627" si="242">H1626*G1626</f>
        <v>334773600</v>
      </c>
      <c r="J1626" s="17">
        <v>83</v>
      </c>
      <c r="K1626" s="34">
        <v>4502375246</v>
      </c>
      <c r="L1626" s="19">
        <v>5082838003</v>
      </c>
      <c r="M1626" s="20">
        <v>5113456452</v>
      </c>
      <c r="N1626" s="23"/>
      <c r="O1626" s="22" t="s">
        <v>2116</v>
      </c>
      <c r="P1626" s="23" t="s">
        <v>37</v>
      </c>
      <c r="Q1626" s="24" t="s">
        <v>31</v>
      </c>
      <c r="R1626" s="25">
        <v>44763</v>
      </c>
      <c r="S1626" s="28">
        <v>4902310763</v>
      </c>
      <c r="T1626" s="28" t="s">
        <v>2117</v>
      </c>
      <c r="U1626" s="28" t="s">
        <v>2118</v>
      </c>
      <c r="V1626" s="29">
        <v>5113456694</v>
      </c>
      <c r="W1626" s="28" t="s">
        <v>2119</v>
      </c>
      <c r="X1626" s="29">
        <v>5113462627</v>
      </c>
      <c r="Y1626" s="36"/>
      <c r="Z1626" s="29"/>
      <c r="AA1626" s="31">
        <f t="shared" si="1"/>
        <v>44763</v>
      </c>
      <c r="AB1626" s="32" t="str">
        <f t="shared" si="5"/>
        <v>julio</v>
      </c>
    </row>
    <row r="1627" spans="1:28" ht="12.75">
      <c r="A1627" s="9" t="s">
        <v>2120</v>
      </c>
      <c r="B1627" s="10">
        <v>44774</v>
      </c>
      <c r="C1627" s="11">
        <v>44774</v>
      </c>
      <c r="D1627" s="49">
        <v>30</v>
      </c>
      <c r="E1627" s="13" t="s">
        <v>2094</v>
      </c>
      <c r="F1627" s="13">
        <v>3025457</v>
      </c>
      <c r="G1627" s="14">
        <v>7317</v>
      </c>
      <c r="H1627" s="33">
        <v>8650</v>
      </c>
      <c r="I1627" s="16">
        <f t="shared" si="242"/>
        <v>63292050</v>
      </c>
      <c r="J1627" s="17">
        <v>15</v>
      </c>
      <c r="K1627" s="34">
        <v>4502373281</v>
      </c>
      <c r="L1627" s="19">
        <v>5082838517</v>
      </c>
      <c r="M1627" s="20">
        <v>5113490602</v>
      </c>
      <c r="N1627" s="23"/>
      <c r="O1627" s="9" t="s">
        <v>63</v>
      </c>
      <c r="P1627" s="23" t="s">
        <v>2121</v>
      </c>
      <c r="Q1627" s="24" t="s">
        <v>31</v>
      </c>
      <c r="R1627" s="25">
        <v>44763</v>
      </c>
      <c r="S1627" s="28"/>
      <c r="T1627" s="35"/>
      <c r="U1627" s="35"/>
      <c r="V1627" s="29"/>
      <c r="W1627" s="35"/>
      <c r="X1627" s="29"/>
      <c r="Y1627" s="36"/>
      <c r="Z1627" s="29"/>
      <c r="AA1627" s="31">
        <f t="shared" si="1"/>
        <v>44763</v>
      </c>
      <c r="AB1627" s="32" t="str">
        <f t="shared" si="5"/>
        <v>julio</v>
      </c>
    </row>
    <row r="1628" spans="1:28" ht="12.75">
      <c r="A1628" s="9" t="s">
        <v>2120</v>
      </c>
      <c r="B1628" s="10">
        <v>44774</v>
      </c>
      <c r="C1628" s="11">
        <v>44774</v>
      </c>
      <c r="D1628" s="49">
        <v>30</v>
      </c>
      <c r="E1628" s="13" t="s">
        <v>2122</v>
      </c>
      <c r="F1628" s="13">
        <v>3025457</v>
      </c>
      <c r="G1628" s="14">
        <v>7317</v>
      </c>
      <c r="H1628" s="33">
        <v>150</v>
      </c>
      <c r="I1628" s="16">
        <f>-H1628*G1628</f>
        <v>-1097550</v>
      </c>
      <c r="J1628" s="17">
        <v>0</v>
      </c>
      <c r="K1628" s="34">
        <v>4502373281</v>
      </c>
      <c r="L1628" s="19">
        <v>5082838517</v>
      </c>
      <c r="M1628" s="20">
        <v>5113490603</v>
      </c>
      <c r="N1628" s="9" t="s">
        <v>63</v>
      </c>
      <c r="O1628" s="9"/>
      <c r="P1628" s="23"/>
      <c r="Q1628" s="24" t="s">
        <v>31</v>
      </c>
      <c r="R1628" s="25">
        <v>44763</v>
      </c>
      <c r="S1628" s="28"/>
      <c r="T1628" s="35"/>
      <c r="U1628" s="35"/>
      <c r="V1628" s="29"/>
      <c r="W1628" s="35"/>
      <c r="X1628" s="29"/>
      <c r="Y1628" s="36"/>
      <c r="Z1628" s="29"/>
      <c r="AA1628" s="31">
        <f t="shared" si="1"/>
        <v>44763</v>
      </c>
      <c r="AB1628" s="32" t="str">
        <f t="shared" si="5"/>
        <v>julio</v>
      </c>
    </row>
    <row r="1629" spans="1:28" ht="12.75">
      <c r="A1629" s="9" t="s">
        <v>39</v>
      </c>
      <c r="B1629" s="10">
        <v>44764</v>
      </c>
      <c r="C1629" s="11">
        <v>44767</v>
      </c>
      <c r="D1629" s="49">
        <v>30</v>
      </c>
      <c r="E1629" s="13" t="s">
        <v>2123</v>
      </c>
      <c r="F1629" s="13">
        <v>3025457</v>
      </c>
      <c r="G1629" s="37">
        <v>21297.5</v>
      </c>
      <c r="H1629" s="33">
        <v>9000</v>
      </c>
      <c r="I1629" s="16">
        <f>H1629*G1629</f>
        <v>191677500</v>
      </c>
      <c r="J1629" s="17">
        <v>45</v>
      </c>
      <c r="K1629" s="34">
        <v>4502373282</v>
      </c>
      <c r="L1629" s="19">
        <v>5082838578</v>
      </c>
      <c r="M1629" s="20">
        <v>5113465079</v>
      </c>
      <c r="N1629" s="23"/>
      <c r="O1629" s="23" t="s">
        <v>37</v>
      </c>
      <c r="P1629" s="23"/>
      <c r="Q1629" s="24" t="s">
        <v>31</v>
      </c>
      <c r="R1629" s="25">
        <v>44763</v>
      </c>
      <c r="S1629" s="28"/>
      <c r="T1629" s="35"/>
      <c r="U1629" s="35"/>
      <c r="V1629" s="29"/>
      <c r="W1629" s="35"/>
      <c r="X1629" s="29"/>
      <c r="Y1629" s="36"/>
      <c r="Z1629" s="29"/>
      <c r="AA1629" s="31">
        <f t="shared" si="1"/>
        <v>44763</v>
      </c>
      <c r="AB1629" s="32" t="str">
        <f t="shared" si="5"/>
        <v>julio</v>
      </c>
    </row>
    <row r="1630" spans="1:28" ht="12.75">
      <c r="A1630" s="9" t="s">
        <v>39</v>
      </c>
      <c r="B1630" s="10">
        <v>44767</v>
      </c>
      <c r="C1630" s="11">
        <v>44767</v>
      </c>
      <c r="D1630" s="49">
        <v>30</v>
      </c>
      <c r="E1630" s="13" t="s">
        <v>648</v>
      </c>
      <c r="F1630" s="13">
        <v>3025457</v>
      </c>
      <c r="G1630" s="37">
        <v>21297.5</v>
      </c>
      <c r="H1630" s="33">
        <f>9000-8850</f>
        <v>150</v>
      </c>
      <c r="I1630" s="16">
        <f>-H1630*G1630</f>
        <v>-3194625</v>
      </c>
      <c r="J1630" s="17">
        <v>0</v>
      </c>
      <c r="K1630" s="34">
        <v>4502373282</v>
      </c>
      <c r="L1630" s="19">
        <v>5082838578</v>
      </c>
      <c r="M1630" s="20">
        <v>5113465083</v>
      </c>
      <c r="N1630" s="23"/>
      <c r="O1630" s="9"/>
      <c r="P1630" s="23"/>
      <c r="Q1630" s="24" t="s">
        <v>31</v>
      </c>
      <c r="R1630" s="25">
        <v>44763</v>
      </c>
      <c r="S1630" s="28"/>
      <c r="T1630" s="35"/>
      <c r="U1630" s="35"/>
      <c r="V1630" s="29"/>
      <c r="W1630" s="35"/>
      <c r="X1630" s="29"/>
      <c r="Y1630" s="36"/>
      <c r="Z1630" s="29"/>
      <c r="AA1630" s="31">
        <f t="shared" si="1"/>
        <v>44763</v>
      </c>
      <c r="AB1630" s="32" t="str">
        <f t="shared" si="5"/>
        <v>julio</v>
      </c>
    </row>
    <row r="1631" spans="1:28" ht="12.75">
      <c r="A1631" s="9" t="s">
        <v>338</v>
      </c>
      <c r="B1631" s="10">
        <v>44768</v>
      </c>
      <c r="C1631" s="11"/>
      <c r="D1631" s="49">
        <v>30</v>
      </c>
      <c r="E1631" s="13" t="s">
        <v>2124</v>
      </c>
      <c r="F1631" s="13">
        <v>3025457</v>
      </c>
      <c r="G1631" s="37">
        <v>6690.5</v>
      </c>
      <c r="H1631" s="33">
        <v>8750</v>
      </c>
      <c r="I1631" s="16">
        <f>H1631*G1631</f>
        <v>58541875</v>
      </c>
      <c r="J1631" s="17">
        <v>14</v>
      </c>
      <c r="K1631" s="34">
        <v>4502373283</v>
      </c>
      <c r="L1631" s="19">
        <v>5082838579</v>
      </c>
      <c r="M1631" s="20">
        <v>5113487355</v>
      </c>
      <c r="N1631" s="23"/>
      <c r="O1631" s="9" t="s">
        <v>63</v>
      </c>
      <c r="P1631" s="23"/>
      <c r="Q1631" s="24" t="s">
        <v>31</v>
      </c>
      <c r="R1631" s="25">
        <v>44763</v>
      </c>
      <c r="S1631" s="28"/>
      <c r="T1631" s="35"/>
      <c r="U1631" s="35"/>
      <c r="V1631" s="29"/>
      <c r="W1631" s="35"/>
      <c r="X1631" s="29"/>
      <c r="Y1631" s="36"/>
      <c r="Z1631" s="29"/>
      <c r="AA1631" s="31">
        <f t="shared" si="1"/>
        <v>44763</v>
      </c>
      <c r="AB1631" s="32" t="str">
        <f t="shared" si="5"/>
        <v>julio</v>
      </c>
    </row>
    <row r="1632" spans="1:28" ht="12.75">
      <c r="A1632" s="9" t="s">
        <v>338</v>
      </c>
      <c r="B1632" s="10">
        <v>44768</v>
      </c>
      <c r="C1632" s="11"/>
      <c r="D1632" s="49">
        <v>30</v>
      </c>
      <c r="E1632" s="13" t="s">
        <v>2125</v>
      </c>
      <c r="F1632" s="13">
        <v>3025457</v>
      </c>
      <c r="G1632" s="37">
        <v>6690.5</v>
      </c>
      <c r="H1632" s="33">
        <v>100</v>
      </c>
      <c r="I1632" s="16">
        <f>-H1632*G1632</f>
        <v>-669050</v>
      </c>
      <c r="J1632" s="17">
        <v>0</v>
      </c>
      <c r="K1632" s="34">
        <v>4502373283</v>
      </c>
      <c r="L1632" s="19">
        <v>5082838579</v>
      </c>
      <c r="M1632" s="20">
        <v>5113487359</v>
      </c>
      <c r="N1632" s="23"/>
      <c r="O1632" s="9"/>
      <c r="P1632" s="86"/>
      <c r="Q1632" s="24" t="s">
        <v>31</v>
      </c>
      <c r="R1632" s="25">
        <v>44763</v>
      </c>
      <c r="S1632" s="28"/>
      <c r="T1632" s="35"/>
      <c r="U1632" s="35"/>
      <c r="V1632" s="29"/>
      <c r="W1632" s="35"/>
      <c r="X1632" s="29"/>
      <c r="Y1632" s="36"/>
      <c r="Z1632" s="29"/>
      <c r="AA1632" s="31">
        <f t="shared" si="1"/>
        <v>44763</v>
      </c>
      <c r="AB1632" s="32" t="str">
        <f t="shared" si="5"/>
        <v>julio</v>
      </c>
    </row>
    <row r="1633" spans="1:28" ht="12.75">
      <c r="A1633" s="9" t="s">
        <v>976</v>
      </c>
      <c r="B1633" s="10">
        <v>44764</v>
      </c>
      <c r="C1633" s="11">
        <v>44767</v>
      </c>
      <c r="D1633" s="49">
        <v>30</v>
      </c>
      <c r="E1633" s="13" t="s">
        <v>2126</v>
      </c>
      <c r="F1633" s="13">
        <v>3025457</v>
      </c>
      <c r="G1633" s="14">
        <v>7441</v>
      </c>
      <c r="H1633" s="15">
        <v>7950</v>
      </c>
      <c r="I1633" s="16">
        <f t="shared" ref="I1633:I1634" si="243">H1633*G1633</f>
        <v>59155950</v>
      </c>
      <c r="J1633" s="17">
        <v>14</v>
      </c>
      <c r="K1633" s="34">
        <v>4502375251</v>
      </c>
      <c r="L1633" s="19">
        <v>5082838005</v>
      </c>
      <c r="M1633" s="20">
        <v>5113459483</v>
      </c>
      <c r="N1633" s="23"/>
      <c r="O1633" s="22" t="s">
        <v>2127</v>
      </c>
      <c r="P1633" s="23"/>
      <c r="Q1633" s="24" t="s">
        <v>31</v>
      </c>
      <c r="R1633" s="25">
        <v>44763</v>
      </c>
      <c r="S1633" s="28">
        <v>4902310772</v>
      </c>
      <c r="T1633" s="28">
        <v>3562300</v>
      </c>
      <c r="U1633" s="28" t="s">
        <v>2128</v>
      </c>
      <c r="V1633" s="29">
        <v>5113456691</v>
      </c>
      <c r="W1633" s="35"/>
      <c r="X1633" s="29"/>
      <c r="Y1633" s="36"/>
      <c r="Z1633" s="29"/>
      <c r="AA1633" s="31">
        <f t="shared" si="1"/>
        <v>44763</v>
      </c>
      <c r="AB1633" s="32" t="str">
        <f t="shared" si="5"/>
        <v>julio</v>
      </c>
    </row>
    <row r="1634" spans="1:28" ht="12.75">
      <c r="A1634" s="9" t="s">
        <v>949</v>
      </c>
      <c r="B1634" s="10">
        <v>44763</v>
      </c>
      <c r="C1634" s="11"/>
      <c r="D1634" s="49">
        <v>30</v>
      </c>
      <c r="E1634" s="13" t="s">
        <v>2129</v>
      </c>
      <c r="F1634" s="13">
        <v>3025459</v>
      </c>
      <c r="G1634" s="37">
        <v>14121.5</v>
      </c>
      <c r="H1634" s="33">
        <v>8650</v>
      </c>
      <c r="I1634" s="16">
        <f t="shared" si="243"/>
        <v>122150975</v>
      </c>
      <c r="J1634" s="17">
        <v>28</v>
      </c>
      <c r="K1634" s="34">
        <v>4502373284</v>
      </c>
      <c r="L1634" s="19">
        <v>5082838580</v>
      </c>
      <c r="M1634" s="20">
        <v>5113477335</v>
      </c>
      <c r="N1634" s="23"/>
      <c r="O1634" s="9" t="s">
        <v>382</v>
      </c>
      <c r="P1634" s="23"/>
      <c r="Q1634" s="24" t="s">
        <v>31</v>
      </c>
      <c r="R1634" s="25">
        <v>44763</v>
      </c>
      <c r="S1634" s="28"/>
      <c r="T1634" s="35"/>
      <c r="U1634" s="35"/>
      <c r="V1634" s="29"/>
      <c r="W1634" s="35"/>
      <c r="X1634" s="29"/>
      <c r="Y1634" s="36"/>
      <c r="Z1634" s="29"/>
      <c r="AA1634" s="31">
        <f t="shared" si="1"/>
        <v>44763</v>
      </c>
      <c r="AB1634" s="32" t="str">
        <f t="shared" si="5"/>
        <v>julio</v>
      </c>
    </row>
    <row r="1635" spans="1:28" ht="12.75">
      <c r="A1635" s="9" t="s">
        <v>949</v>
      </c>
      <c r="B1635" s="10">
        <v>44770</v>
      </c>
      <c r="C1635" s="11"/>
      <c r="D1635" s="49">
        <v>30</v>
      </c>
      <c r="E1635" s="13" t="s">
        <v>307</v>
      </c>
      <c r="F1635" s="13">
        <v>3025459</v>
      </c>
      <c r="G1635" s="37">
        <v>14121.5</v>
      </c>
      <c r="H1635" s="33">
        <f>8650-8495.64</f>
        <v>154.36000000000058</v>
      </c>
      <c r="I1635" s="16">
        <f>-H1635*G1635</f>
        <v>-2179794.7400000081</v>
      </c>
      <c r="J1635" s="17">
        <v>0</v>
      </c>
      <c r="K1635" s="34">
        <v>4502373284</v>
      </c>
      <c r="L1635" s="19">
        <v>5082838580</v>
      </c>
      <c r="M1635" s="20">
        <v>5113477359</v>
      </c>
      <c r="N1635" s="23"/>
      <c r="O1635" s="9"/>
      <c r="P1635" s="23"/>
      <c r="Q1635" s="24" t="s">
        <v>31</v>
      </c>
      <c r="R1635" s="25">
        <v>44763</v>
      </c>
      <c r="S1635" s="28"/>
      <c r="T1635" s="35"/>
      <c r="U1635" s="35"/>
      <c r="V1635" s="29"/>
      <c r="W1635" s="35"/>
      <c r="X1635" s="29"/>
      <c r="Y1635" s="36"/>
      <c r="Z1635" s="29"/>
      <c r="AA1635" s="31">
        <f t="shared" si="1"/>
        <v>44763</v>
      </c>
      <c r="AB1635" s="32" t="str">
        <f t="shared" si="5"/>
        <v>julio</v>
      </c>
    </row>
    <row r="1636" spans="1:28" ht="12.75">
      <c r="A1636" s="45" t="s">
        <v>145</v>
      </c>
      <c r="B1636" s="10">
        <v>44770</v>
      </c>
      <c r="C1636" s="11">
        <v>44770</v>
      </c>
      <c r="D1636" s="49">
        <v>30</v>
      </c>
      <c r="E1636" s="13" t="s">
        <v>2130</v>
      </c>
      <c r="F1636" s="13">
        <v>3025457</v>
      </c>
      <c r="G1636" s="37">
        <v>6754.5</v>
      </c>
      <c r="H1636" s="33">
        <v>8750</v>
      </c>
      <c r="I1636" s="16">
        <f>H1636*G1636</f>
        <v>59101875</v>
      </c>
      <c r="J1636" s="17">
        <v>14</v>
      </c>
      <c r="K1636" s="34">
        <v>4502373285</v>
      </c>
      <c r="L1636" s="19">
        <v>5082871371</v>
      </c>
      <c r="M1636" s="20">
        <v>5113472831</v>
      </c>
      <c r="N1636" s="23"/>
      <c r="O1636" s="23" t="s">
        <v>37</v>
      </c>
      <c r="P1636" s="23" t="s">
        <v>1795</v>
      </c>
      <c r="Q1636" s="24" t="s">
        <v>31</v>
      </c>
      <c r="R1636" s="25">
        <v>44764</v>
      </c>
      <c r="S1636" s="28"/>
      <c r="T1636" s="35"/>
      <c r="U1636" s="35"/>
      <c r="V1636" s="29"/>
      <c r="W1636" s="35"/>
      <c r="X1636" s="29"/>
      <c r="Y1636" s="36"/>
      <c r="Z1636" s="29"/>
      <c r="AA1636" s="31">
        <f t="shared" si="1"/>
        <v>44764</v>
      </c>
      <c r="AB1636" s="32" t="str">
        <f t="shared" si="5"/>
        <v>julio</v>
      </c>
    </row>
    <row r="1637" spans="1:28" ht="12.75">
      <c r="A1637" s="45" t="s">
        <v>145</v>
      </c>
      <c r="B1637" s="10">
        <v>44770</v>
      </c>
      <c r="C1637" s="11">
        <v>44770</v>
      </c>
      <c r="D1637" s="49">
        <v>30</v>
      </c>
      <c r="E1637" s="13" t="s">
        <v>2131</v>
      </c>
      <c r="F1637" s="13">
        <v>3025457</v>
      </c>
      <c r="G1637" s="37">
        <v>6754.5</v>
      </c>
      <c r="H1637" s="33">
        <v>50</v>
      </c>
      <c r="I1637" s="16">
        <f>-H1637*G1637</f>
        <v>-337725</v>
      </c>
      <c r="J1637" s="17">
        <v>0</v>
      </c>
      <c r="K1637" s="34">
        <v>4502373285</v>
      </c>
      <c r="L1637" s="19">
        <v>5082871371</v>
      </c>
      <c r="M1637" s="20">
        <v>5113472877</v>
      </c>
      <c r="N1637" s="23"/>
      <c r="O1637" s="9"/>
      <c r="P1637" s="23"/>
      <c r="Q1637" s="24" t="s">
        <v>31</v>
      </c>
      <c r="R1637" s="25">
        <v>44764</v>
      </c>
      <c r="S1637" s="28"/>
      <c r="T1637" s="35"/>
      <c r="U1637" s="35"/>
      <c r="V1637" s="29"/>
      <c r="W1637" s="35"/>
      <c r="X1637" s="29"/>
      <c r="Y1637" s="36"/>
      <c r="Z1637" s="29"/>
      <c r="AA1637" s="31">
        <f t="shared" si="1"/>
        <v>44764</v>
      </c>
      <c r="AB1637" s="32" t="str">
        <f t="shared" si="5"/>
        <v>julio</v>
      </c>
    </row>
    <row r="1638" spans="1:28" ht="12.75">
      <c r="A1638" s="9" t="s">
        <v>73</v>
      </c>
      <c r="B1638" s="10">
        <v>44768</v>
      </c>
      <c r="C1638" s="11">
        <v>44758</v>
      </c>
      <c r="D1638" s="49">
        <v>30</v>
      </c>
      <c r="E1638" s="13" t="s">
        <v>2132</v>
      </c>
      <c r="F1638" s="13">
        <v>3025457</v>
      </c>
      <c r="G1638" s="37">
        <v>6594.5</v>
      </c>
      <c r="H1638" s="33">
        <v>9050</v>
      </c>
      <c r="I1638" s="16">
        <f>H1638*G1638</f>
        <v>59680225</v>
      </c>
      <c r="J1638" s="17">
        <v>14</v>
      </c>
      <c r="K1638" s="34">
        <v>4502373286</v>
      </c>
      <c r="L1638" s="19">
        <v>5082871372</v>
      </c>
      <c r="M1638" s="20">
        <v>5113460903</v>
      </c>
      <c r="N1638" s="23"/>
      <c r="O1638" s="9" t="s">
        <v>63</v>
      </c>
      <c r="P1638" s="23"/>
      <c r="Q1638" s="24" t="s">
        <v>31</v>
      </c>
      <c r="R1638" s="25">
        <v>44764</v>
      </c>
      <c r="S1638" s="28"/>
      <c r="T1638" s="35"/>
      <c r="U1638" s="35"/>
      <c r="V1638" s="29"/>
      <c r="W1638" s="35"/>
      <c r="X1638" s="29"/>
      <c r="Y1638" s="36"/>
      <c r="Z1638" s="29"/>
      <c r="AA1638" s="31">
        <f t="shared" si="1"/>
        <v>44764</v>
      </c>
      <c r="AB1638" s="32" t="str">
        <f t="shared" si="5"/>
        <v>julio</v>
      </c>
    </row>
    <row r="1639" spans="1:28" ht="12.75">
      <c r="A1639" s="9" t="s">
        <v>73</v>
      </c>
      <c r="B1639" s="10">
        <v>44768</v>
      </c>
      <c r="C1639" s="11">
        <v>44758</v>
      </c>
      <c r="D1639" s="49">
        <v>30</v>
      </c>
      <c r="E1639" s="13" t="s">
        <v>2133</v>
      </c>
      <c r="F1639" s="13">
        <v>3025457</v>
      </c>
      <c r="G1639" s="37">
        <v>6594.5</v>
      </c>
      <c r="H1639" s="33">
        <v>100</v>
      </c>
      <c r="I1639" s="16">
        <f>-H1639*G1639</f>
        <v>-659450</v>
      </c>
      <c r="J1639" s="17">
        <v>0</v>
      </c>
      <c r="K1639" s="34">
        <v>4502373286</v>
      </c>
      <c r="L1639" s="19">
        <v>5082871372</v>
      </c>
      <c r="M1639" s="20">
        <v>5113460905</v>
      </c>
      <c r="N1639" s="23"/>
      <c r="O1639" s="9"/>
      <c r="P1639" s="23"/>
      <c r="Q1639" s="24" t="s">
        <v>31</v>
      </c>
      <c r="R1639" s="25">
        <v>44764</v>
      </c>
      <c r="S1639" s="28"/>
      <c r="T1639" s="35"/>
      <c r="U1639" s="35"/>
      <c r="V1639" s="29"/>
      <c r="W1639" s="35"/>
      <c r="X1639" s="29"/>
      <c r="Y1639" s="36"/>
      <c r="Z1639" s="29"/>
      <c r="AA1639" s="31">
        <f t="shared" si="1"/>
        <v>44764</v>
      </c>
      <c r="AB1639" s="32" t="str">
        <f t="shared" si="5"/>
        <v>julio</v>
      </c>
    </row>
    <row r="1640" spans="1:28" ht="12.75">
      <c r="A1640" s="9" t="s">
        <v>67</v>
      </c>
      <c r="B1640" s="10">
        <v>44769</v>
      </c>
      <c r="C1640" s="11"/>
      <c r="D1640" s="49">
        <v>30</v>
      </c>
      <c r="E1640" s="13" t="s">
        <v>2134</v>
      </c>
      <c r="F1640" s="13">
        <v>3025457</v>
      </c>
      <c r="G1640" s="14">
        <v>6687</v>
      </c>
      <c r="H1640" s="33">
        <v>8650</v>
      </c>
      <c r="I1640" s="16">
        <f>H1640*G1640</f>
        <v>57842550</v>
      </c>
      <c r="J1640" s="17">
        <v>14</v>
      </c>
      <c r="K1640" s="34">
        <v>4502373287</v>
      </c>
      <c r="L1640" s="19">
        <v>5082871373</v>
      </c>
      <c r="M1640" s="20">
        <v>5113464609</v>
      </c>
      <c r="N1640" s="23"/>
      <c r="O1640" s="9" t="s">
        <v>63</v>
      </c>
      <c r="P1640" s="23"/>
      <c r="Q1640" s="24" t="s">
        <v>31</v>
      </c>
      <c r="R1640" s="25">
        <v>44764</v>
      </c>
      <c r="S1640" s="28"/>
      <c r="T1640" s="35"/>
      <c r="U1640" s="35"/>
      <c r="V1640" s="29"/>
      <c r="W1640" s="35"/>
      <c r="X1640" s="29"/>
      <c r="Y1640" s="36"/>
      <c r="Z1640" s="29"/>
      <c r="AA1640" s="31">
        <f t="shared" si="1"/>
        <v>44764</v>
      </c>
      <c r="AB1640" s="32" t="str">
        <f t="shared" si="5"/>
        <v>julio</v>
      </c>
    </row>
    <row r="1641" spans="1:28" ht="12.75">
      <c r="A1641" s="9" t="s">
        <v>67</v>
      </c>
      <c r="B1641" s="10">
        <v>44769</v>
      </c>
      <c r="C1641" s="11"/>
      <c r="D1641" s="49">
        <v>30</v>
      </c>
      <c r="E1641" s="13" t="s">
        <v>300</v>
      </c>
      <c r="F1641" s="13">
        <v>3025457</v>
      </c>
      <c r="G1641" s="14">
        <v>6687</v>
      </c>
      <c r="H1641" s="33">
        <v>200</v>
      </c>
      <c r="I1641" s="16">
        <f>-H1641*G1641</f>
        <v>-1337400</v>
      </c>
      <c r="J1641" s="17">
        <v>0</v>
      </c>
      <c r="K1641" s="34">
        <v>4502373287</v>
      </c>
      <c r="L1641" s="19">
        <v>5082871373</v>
      </c>
      <c r="M1641" s="20">
        <v>5113464610</v>
      </c>
      <c r="N1641" s="23"/>
      <c r="O1641" s="9"/>
      <c r="P1641" s="23"/>
      <c r="Q1641" s="24" t="s">
        <v>31</v>
      </c>
      <c r="R1641" s="25">
        <v>44764</v>
      </c>
      <c r="S1641" s="28"/>
      <c r="T1641" s="35"/>
      <c r="U1641" s="35"/>
      <c r="V1641" s="29"/>
      <c r="W1641" s="35"/>
      <c r="X1641" s="29"/>
      <c r="Y1641" s="36"/>
      <c r="Z1641" s="29"/>
      <c r="AA1641" s="31">
        <f t="shared" si="1"/>
        <v>44764</v>
      </c>
      <c r="AB1641" s="32" t="str">
        <f t="shared" si="5"/>
        <v>julio</v>
      </c>
    </row>
    <row r="1642" spans="1:28" ht="12.75">
      <c r="A1642" s="9" t="s">
        <v>2135</v>
      </c>
      <c r="B1642" s="10">
        <v>44768</v>
      </c>
      <c r="C1642" s="11"/>
      <c r="D1642" s="49">
        <v>30</v>
      </c>
      <c r="E1642" s="13" t="s">
        <v>1171</v>
      </c>
      <c r="F1642" s="13">
        <v>3025457</v>
      </c>
      <c r="G1642" s="14">
        <v>7563.5</v>
      </c>
      <c r="H1642" s="33">
        <v>8650</v>
      </c>
      <c r="I1642" s="16">
        <f>H1642*G1642</f>
        <v>65424275</v>
      </c>
      <c r="J1642" s="17">
        <v>15</v>
      </c>
      <c r="K1642" s="34">
        <v>4502373288</v>
      </c>
      <c r="L1642" s="19">
        <v>5082871374</v>
      </c>
      <c r="M1642" s="20">
        <v>5113461316</v>
      </c>
      <c r="N1642" s="44"/>
      <c r="O1642" s="9" t="s">
        <v>63</v>
      </c>
      <c r="P1642" s="23"/>
      <c r="Q1642" s="24" t="s">
        <v>31</v>
      </c>
      <c r="R1642" s="25">
        <v>44764</v>
      </c>
      <c r="S1642" s="28"/>
      <c r="T1642" s="35"/>
      <c r="U1642" s="35"/>
      <c r="V1642" s="29"/>
      <c r="W1642" s="35"/>
      <c r="X1642" s="29"/>
      <c r="Y1642" s="36"/>
      <c r="Z1642" s="29"/>
      <c r="AA1642" s="31">
        <f t="shared" si="1"/>
        <v>44764</v>
      </c>
      <c r="AB1642" s="32" t="str">
        <f t="shared" si="5"/>
        <v>julio</v>
      </c>
    </row>
    <row r="1643" spans="1:28" ht="12.75">
      <c r="A1643" s="9" t="s">
        <v>2135</v>
      </c>
      <c r="B1643" s="10">
        <v>44768</v>
      </c>
      <c r="C1643" s="11"/>
      <c r="D1643" s="49">
        <v>30</v>
      </c>
      <c r="E1643" s="13" t="s">
        <v>2136</v>
      </c>
      <c r="F1643" s="13">
        <v>3025457</v>
      </c>
      <c r="G1643" s="14">
        <v>7563.5</v>
      </c>
      <c r="H1643" s="33">
        <f>8650-8446.93</f>
        <v>203.06999999999971</v>
      </c>
      <c r="I1643" s="16">
        <f>-H1643*G1643</f>
        <v>-1535919.9449999977</v>
      </c>
      <c r="J1643" s="17">
        <v>0</v>
      </c>
      <c r="K1643" s="34">
        <v>4502373288</v>
      </c>
      <c r="L1643" s="19">
        <v>5082871374</v>
      </c>
      <c r="M1643" s="20">
        <v>5113461359</v>
      </c>
      <c r="N1643" s="23"/>
      <c r="O1643" s="9"/>
      <c r="P1643" s="23"/>
      <c r="Q1643" s="24" t="s">
        <v>31</v>
      </c>
      <c r="R1643" s="25">
        <v>44764</v>
      </c>
      <c r="S1643" s="28"/>
      <c r="T1643" s="35"/>
      <c r="U1643" s="35"/>
      <c r="V1643" s="29"/>
      <c r="W1643" s="35"/>
      <c r="X1643" s="29"/>
      <c r="Y1643" s="36"/>
      <c r="Z1643" s="29"/>
      <c r="AA1643" s="31">
        <f t="shared" si="1"/>
        <v>44764</v>
      </c>
      <c r="AB1643" s="32" t="str">
        <f t="shared" si="5"/>
        <v>julio</v>
      </c>
    </row>
    <row r="1644" spans="1:28" ht="12.75">
      <c r="A1644" s="9" t="s">
        <v>633</v>
      </c>
      <c r="B1644" s="10">
        <v>44772</v>
      </c>
      <c r="C1644" s="11">
        <v>44775</v>
      </c>
      <c r="D1644" s="49">
        <v>30</v>
      </c>
      <c r="E1644" s="13" t="s">
        <v>2137</v>
      </c>
      <c r="F1644" s="13">
        <v>3025457</v>
      </c>
      <c r="G1644" s="14">
        <v>7482</v>
      </c>
      <c r="H1644" s="33">
        <v>8650</v>
      </c>
      <c r="I1644" s="16">
        <f>H1644*G1644</f>
        <v>64719300</v>
      </c>
      <c r="J1644" s="17">
        <v>14</v>
      </c>
      <c r="K1644" s="34">
        <v>4502373289</v>
      </c>
      <c r="L1644" s="19">
        <v>5082871375</v>
      </c>
      <c r="M1644" s="20">
        <v>5113484583</v>
      </c>
      <c r="N1644" s="23"/>
      <c r="O1644" s="9" t="s">
        <v>37</v>
      </c>
      <c r="P1644" s="23" t="s">
        <v>2138</v>
      </c>
      <c r="Q1644" s="24" t="s">
        <v>31</v>
      </c>
      <c r="R1644" s="25">
        <v>44764</v>
      </c>
      <c r="S1644" s="28"/>
      <c r="T1644" s="35"/>
      <c r="U1644" s="35"/>
      <c r="V1644" s="29"/>
      <c r="W1644" s="35"/>
      <c r="X1644" s="29"/>
      <c r="Y1644" s="36"/>
      <c r="Z1644" s="29"/>
      <c r="AA1644" s="31">
        <f t="shared" si="1"/>
        <v>44764</v>
      </c>
      <c r="AB1644" s="32" t="str">
        <f t="shared" si="5"/>
        <v>julio</v>
      </c>
    </row>
    <row r="1645" spans="1:28" ht="12.75">
      <c r="A1645" s="9" t="s">
        <v>633</v>
      </c>
      <c r="B1645" s="10">
        <v>44772</v>
      </c>
      <c r="C1645" s="11">
        <v>44775</v>
      </c>
      <c r="D1645" s="49">
        <v>30</v>
      </c>
      <c r="E1645" s="13" t="s">
        <v>961</v>
      </c>
      <c r="F1645" s="13">
        <v>3025457</v>
      </c>
      <c r="G1645" s="14">
        <v>7482</v>
      </c>
      <c r="H1645" s="33">
        <f>8650-8483.29</f>
        <v>166.70999999999913</v>
      </c>
      <c r="I1645" s="16">
        <f>-H1645*G1645</f>
        <v>-1247324.2199999935</v>
      </c>
      <c r="J1645" s="17">
        <v>0</v>
      </c>
      <c r="K1645" s="34">
        <v>4502373289</v>
      </c>
      <c r="L1645" s="19">
        <v>5082871375</v>
      </c>
      <c r="M1645" s="20">
        <v>5113484617</v>
      </c>
      <c r="N1645" s="23"/>
      <c r="O1645" s="9"/>
      <c r="P1645" s="23"/>
      <c r="Q1645" s="24" t="s">
        <v>31</v>
      </c>
      <c r="R1645" s="25">
        <v>44764</v>
      </c>
      <c r="S1645" s="28"/>
      <c r="T1645" s="35"/>
      <c r="U1645" s="35"/>
      <c r="V1645" s="29"/>
      <c r="W1645" s="35"/>
      <c r="X1645" s="29"/>
      <c r="Y1645" s="36"/>
      <c r="Z1645" s="29"/>
      <c r="AA1645" s="31">
        <f t="shared" si="1"/>
        <v>44764</v>
      </c>
      <c r="AB1645" s="32" t="str">
        <f t="shared" si="5"/>
        <v>julio</v>
      </c>
    </row>
    <row r="1646" spans="1:28" ht="12.75">
      <c r="A1646" s="9" t="s">
        <v>567</v>
      </c>
      <c r="B1646" s="10">
        <v>44771</v>
      </c>
      <c r="C1646" s="11">
        <v>44771</v>
      </c>
      <c r="D1646" s="49">
        <v>30</v>
      </c>
      <c r="E1646" s="13" t="s">
        <v>2139</v>
      </c>
      <c r="F1646" s="13">
        <v>3025460</v>
      </c>
      <c r="G1646" s="37">
        <v>8363.5</v>
      </c>
      <c r="H1646" s="33">
        <v>8650</v>
      </c>
      <c r="I1646" s="16">
        <f>H1646*G1646</f>
        <v>72344275</v>
      </c>
      <c r="J1646" s="17">
        <v>15</v>
      </c>
      <c r="K1646" s="34">
        <v>4502373290</v>
      </c>
      <c r="L1646" s="19">
        <v>5082871452</v>
      </c>
      <c r="M1646" s="20">
        <v>5113478830</v>
      </c>
      <c r="N1646" s="23"/>
      <c r="O1646" s="9" t="s">
        <v>63</v>
      </c>
      <c r="P1646" s="23" t="s">
        <v>1635</v>
      </c>
      <c r="Q1646" s="24" t="s">
        <v>31</v>
      </c>
      <c r="R1646" s="25">
        <v>44764</v>
      </c>
      <c r="S1646" s="28"/>
      <c r="T1646" s="35"/>
      <c r="U1646" s="35"/>
      <c r="V1646" s="29"/>
      <c r="W1646" s="35"/>
      <c r="X1646" s="29"/>
      <c r="Y1646" s="36"/>
      <c r="Z1646" s="29"/>
      <c r="AA1646" s="31">
        <f t="shared" si="1"/>
        <v>44764</v>
      </c>
      <c r="AB1646" s="32" t="str">
        <f t="shared" si="5"/>
        <v>julio</v>
      </c>
    </row>
    <row r="1647" spans="1:28" ht="12.75">
      <c r="A1647" s="9" t="s">
        <v>567</v>
      </c>
      <c r="B1647" s="10">
        <v>44771</v>
      </c>
      <c r="C1647" s="11">
        <v>44771</v>
      </c>
      <c r="D1647" s="49">
        <v>30</v>
      </c>
      <c r="E1647" s="13" t="s">
        <v>1497</v>
      </c>
      <c r="F1647" s="13">
        <v>3025460</v>
      </c>
      <c r="G1647" s="37">
        <v>8363.5</v>
      </c>
      <c r="H1647" s="33">
        <f>8650-8535.17</f>
        <v>114.82999999999993</v>
      </c>
      <c r="I1647" s="16">
        <f>-H1647*G1647</f>
        <v>-960380.70499999938</v>
      </c>
      <c r="J1647" s="17">
        <v>0</v>
      </c>
      <c r="K1647" s="34">
        <v>4502373290</v>
      </c>
      <c r="L1647" s="19">
        <v>5082871452</v>
      </c>
      <c r="M1647" s="20">
        <v>5113478832</v>
      </c>
      <c r="N1647" s="23"/>
      <c r="O1647" s="9"/>
      <c r="P1647" s="23"/>
      <c r="Q1647" s="24" t="s">
        <v>31</v>
      </c>
      <c r="R1647" s="25">
        <v>44764</v>
      </c>
      <c r="S1647" s="28"/>
      <c r="T1647" s="35"/>
      <c r="U1647" s="35"/>
      <c r="V1647" s="29"/>
      <c r="W1647" s="35"/>
      <c r="X1647" s="29"/>
      <c r="Y1647" s="36"/>
      <c r="Z1647" s="29"/>
      <c r="AA1647" s="31">
        <f t="shared" si="1"/>
        <v>44764</v>
      </c>
      <c r="AB1647" s="32" t="str">
        <f t="shared" si="5"/>
        <v>julio</v>
      </c>
    </row>
    <row r="1648" spans="1:28" ht="12.75">
      <c r="A1648" s="9" t="s">
        <v>233</v>
      </c>
      <c r="B1648" s="10">
        <v>44764</v>
      </c>
      <c r="C1648" s="11">
        <v>44768</v>
      </c>
      <c r="D1648" s="49">
        <v>30</v>
      </c>
      <c r="E1648" s="13" t="s">
        <v>2140</v>
      </c>
      <c r="F1648" s="13">
        <v>3025460</v>
      </c>
      <c r="G1648" s="37">
        <v>20565.5</v>
      </c>
      <c r="H1648" s="33">
        <v>8650</v>
      </c>
      <c r="I1648" s="16">
        <f>H1648*G1648</f>
        <v>177891575</v>
      </c>
      <c r="J1648" s="17">
        <v>45</v>
      </c>
      <c r="K1648" s="34">
        <v>4502373291</v>
      </c>
      <c r="L1648" s="19">
        <v>3701504458</v>
      </c>
      <c r="M1648" s="20">
        <v>5113460406</v>
      </c>
      <c r="N1648" s="23"/>
      <c r="O1648" s="23" t="s">
        <v>63</v>
      </c>
      <c r="P1648" s="23"/>
      <c r="Q1648" s="24" t="s">
        <v>31</v>
      </c>
      <c r="R1648" s="25">
        <v>44764</v>
      </c>
      <c r="S1648" s="28"/>
      <c r="T1648" s="35"/>
      <c r="U1648" s="35"/>
      <c r="V1648" s="29"/>
      <c r="W1648" s="35"/>
      <c r="X1648" s="29"/>
      <c r="Y1648" s="36"/>
      <c r="Z1648" s="29"/>
      <c r="AA1648" s="31">
        <f t="shared" si="1"/>
        <v>44764</v>
      </c>
      <c r="AB1648" s="32" t="str">
        <f t="shared" si="5"/>
        <v>julio</v>
      </c>
    </row>
    <row r="1649" spans="1:28" ht="12.75">
      <c r="A1649" s="9" t="s">
        <v>233</v>
      </c>
      <c r="B1649" s="10">
        <v>44764</v>
      </c>
      <c r="C1649" s="11">
        <v>44768</v>
      </c>
      <c r="D1649" s="49">
        <v>30</v>
      </c>
      <c r="E1649" s="13" t="s">
        <v>2141</v>
      </c>
      <c r="F1649" s="13">
        <v>3025460</v>
      </c>
      <c r="G1649" s="37">
        <v>20565.5</v>
      </c>
      <c r="H1649" s="33">
        <v>100</v>
      </c>
      <c r="I1649" s="16">
        <f>-H1649*G1649</f>
        <v>-2056550</v>
      </c>
      <c r="J1649" s="17">
        <v>0</v>
      </c>
      <c r="K1649" s="34">
        <v>4502373291</v>
      </c>
      <c r="L1649" s="19">
        <v>3701504458</v>
      </c>
      <c r="M1649" s="20">
        <v>5113460487</v>
      </c>
      <c r="N1649" s="23"/>
      <c r="O1649" s="9"/>
      <c r="P1649" s="23"/>
      <c r="Q1649" s="24" t="s">
        <v>31</v>
      </c>
      <c r="R1649" s="25">
        <v>44764</v>
      </c>
      <c r="S1649" s="28"/>
      <c r="T1649" s="35"/>
      <c r="U1649" s="35"/>
      <c r="V1649" s="29"/>
      <c r="W1649" s="35"/>
      <c r="X1649" s="29"/>
      <c r="Y1649" s="36"/>
      <c r="Z1649" s="29"/>
      <c r="AA1649" s="31">
        <f t="shared" si="1"/>
        <v>44764</v>
      </c>
      <c r="AB1649" s="32" t="str">
        <f t="shared" si="5"/>
        <v>julio</v>
      </c>
    </row>
    <row r="1650" spans="1:28" ht="12.75">
      <c r="A1650" s="9" t="s">
        <v>1212</v>
      </c>
      <c r="B1650" s="10">
        <v>44765</v>
      </c>
      <c r="C1650" s="11">
        <v>44768</v>
      </c>
      <c r="D1650" s="49">
        <v>30</v>
      </c>
      <c r="E1650" s="13" t="s">
        <v>2142</v>
      </c>
      <c r="F1650" s="13">
        <v>3025460</v>
      </c>
      <c r="G1650" s="14">
        <v>13837.5</v>
      </c>
      <c r="H1650" s="33">
        <v>8750</v>
      </c>
      <c r="I1650" s="16">
        <f t="shared" ref="I1650:I1652" si="244">H1650*G1650</f>
        <v>121078125</v>
      </c>
      <c r="J1650" s="17">
        <v>28</v>
      </c>
      <c r="K1650" s="34">
        <v>4502373293</v>
      </c>
      <c r="L1650" s="19">
        <v>5082871377</v>
      </c>
      <c r="M1650" s="20">
        <v>5113462770</v>
      </c>
      <c r="N1650" s="23"/>
      <c r="O1650" s="23" t="s">
        <v>63</v>
      </c>
      <c r="P1650" s="23"/>
      <c r="Q1650" s="24" t="s">
        <v>31</v>
      </c>
      <c r="R1650" s="25">
        <v>44764</v>
      </c>
      <c r="S1650" s="28"/>
      <c r="T1650" s="35"/>
      <c r="U1650" s="35"/>
      <c r="V1650" s="29"/>
      <c r="W1650" s="35"/>
      <c r="X1650" s="29"/>
      <c r="Y1650" s="36"/>
      <c r="Z1650" s="29"/>
      <c r="AA1650" s="31">
        <f t="shared" si="1"/>
        <v>44764</v>
      </c>
      <c r="AB1650" s="32" t="str">
        <f t="shared" si="5"/>
        <v>julio</v>
      </c>
    </row>
    <row r="1651" spans="1:28" ht="12.75">
      <c r="A1651" s="9" t="s">
        <v>104</v>
      </c>
      <c r="B1651" s="10">
        <v>44769</v>
      </c>
      <c r="C1651" s="11">
        <v>44769</v>
      </c>
      <c r="D1651" s="49">
        <v>30</v>
      </c>
      <c r="E1651" s="13" t="s">
        <v>1271</v>
      </c>
      <c r="F1651" s="13">
        <v>3025460</v>
      </c>
      <c r="G1651" s="37">
        <v>14459.5</v>
      </c>
      <c r="H1651" s="33">
        <v>8750</v>
      </c>
      <c r="I1651" s="16">
        <f t="shared" si="244"/>
        <v>126520625</v>
      </c>
      <c r="J1651" s="17">
        <v>28</v>
      </c>
      <c r="K1651" s="34">
        <v>4502373294</v>
      </c>
      <c r="L1651" s="19">
        <v>5082871458</v>
      </c>
      <c r="M1651" s="20">
        <v>5113469679</v>
      </c>
      <c r="N1651" s="23"/>
      <c r="O1651" s="9" t="s">
        <v>63</v>
      </c>
      <c r="P1651" s="23"/>
      <c r="Q1651" s="24" t="s">
        <v>31</v>
      </c>
      <c r="R1651" s="25">
        <v>44764</v>
      </c>
      <c r="S1651" s="28"/>
      <c r="T1651" s="35"/>
      <c r="U1651" s="35"/>
      <c r="V1651" s="29"/>
      <c r="W1651" s="35"/>
      <c r="X1651" s="29"/>
      <c r="Y1651" s="36"/>
      <c r="Z1651" s="29"/>
      <c r="AA1651" s="31">
        <f t="shared" si="1"/>
        <v>44764</v>
      </c>
      <c r="AB1651" s="32" t="str">
        <f t="shared" si="5"/>
        <v>julio</v>
      </c>
    </row>
    <row r="1652" spans="1:28" ht="12.75">
      <c r="A1652" s="9" t="s">
        <v>58</v>
      </c>
      <c r="B1652" s="10">
        <v>44768</v>
      </c>
      <c r="C1652" s="11">
        <v>44768</v>
      </c>
      <c r="D1652" s="49">
        <v>30</v>
      </c>
      <c r="E1652" s="13" t="s">
        <v>2143</v>
      </c>
      <c r="F1652" s="13">
        <v>3025460</v>
      </c>
      <c r="G1652" s="14">
        <v>49567</v>
      </c>
      <c r="H1652" s="33">
        <v>9050</v>
      </c>
      <c r="I1652" s="16">
        <f t="shared" si="244"/>
        <v>448581350</v>
      </c>
      <c r="J1652" s="17">
        <v>105</v>
      </c>
      <c r="K1652" s="34">
        <v>4502373295</v>
      </c>
      <c r="L1652" s="19">
        <v>5082871459</v>
      </c>
      <c r="M1652" s="20">
        <v>5113461308</v>
      </c>
      <c r="N1652" s="23"/>
      <c r="O1652" s="23" t="s">
        <v>37</v>
      </c>
      <c r="P1652" s="23"/>
      <c r="Q1652" s="24" t="s">
        <v>31</v>
      </c>
      <c r="R1652" s="25">
        <v>44764</v>
      </c>
      <c r="S1652" s="28"/>
      <c r="T1652" s="35"/>
      <c r="U1652" s="35"/>
      <c r="V1652" s="29"/>
      <c r="W1652" s="35"/>
      <c r="X1652" s="29"/>
      <c r="Y1652" s="36"/>
      <c r="Z1652" s="29"/>
      <c r="AA1652" s="31">
        <f t="shared" si="1"/>
        <v>44764</v>
      </c>
      <c r="AB1652" s="32" t="str">
        <f t="shared" si="5"/>
        <v>julio</v>
      </c>
    </row>
    <row r="1653" spans="1:28" ht="12.75">
      <c r="A1653" s="9" t="s">
        <v>58</v>
      </c>
      <c r="B1653" s="10">
        <v>44768</v>
      </c>
      <c r="C1653" s="11">
        <v>44768</v>
      </c>
      <c r="D1653" s="49">
        <v>30</v>
      </c>
      <c r="E1653" s="13" t="s">
        <v>2144</v>
      </c>
      <c r="F1653" s="13">
        <v>3025460</v>
      </c>
      <c r="G1653" s="14">
        <v>49567</v>
      </c>
      <c r="H1653" s="33">
        <f>9050-8848.46</f>
        <v>201.54000000000087</v>
      </c>
      <c r="I1653" s="16">
        <f>-H1653*G1653</f>
        <v>-9989733.1800000425</v>
      </c>
      <c r="J1653" s="17">
        <v>0</v>
      </c>
      <c r="K1653" s="34">
        <v>4502373295</v>
      </c>
      <c r="L1653" s="19">
        <v>5082871459</v>
      </c>
      <c r="M1653" s="20">
        <v>5113461309</v>
      </c>
      <c r="N1653" s="23"/>
      <c r="O1653" s="9"/>
      <c r="P1653" s="23"/>
      <c r="Q1653" s="24" t="s">
        <v>31</v>
      </c>
      <c r="R1653" s="25">
        <v>44764</v>
      </c>
      <c r="S1653" s="28"/>
      <c r="T1653" s="35"/>
      <c r="U1653" s="35"/>
      <c r="V1653" s="29"/>
      <c r="W1653" s="35"/>
      <c r="X1653" s="29"/>
      <c r="Y1653" s="36"/>
      <c r="Z1653" s="29"/>
      <c r="AA1653" s="31">
        <f t="shared" si="1"/>
        <v>44764</v>
      </c>
      <c r="AB1653" s="32" t="str">
        <f t="shared" si="5"/>
        <v>julio</v>
      </c>
    </row>
    <row r="1654" spans="1:28" ht="12.75">
      <c r="A1654" s="9" t="s">
        <v>196</v>
      </c>
      <c r="B1654" s="10">
        <v>44764</v>
      </c>
      <c r="C1654" s="11"/>
      <c r="D1654" s="49">
        <v>30</v>
      </c>
      <c r="E1654" s="13" t="s">
        <v>2145</v>
      </c>
      <c r="F1654" s="13">
        <v>3025460</v>
      </c>
      <c r="G1654" s="14">
        <v>21000</v>
      </c>
      <c r="H1654" s="57">
        <v>8550</v>
      </c>
      <c r="I1654" s="16">
        <f t="shared" ref="I1654:I1657" si="245">H1654*G1654</f>
        <v>179550000</v>
      </c>
      <c r="J1654" s="17">
        <v>42</v>
      </c>
      <c r="K1654" s="34">
        <v>4502377141</v>
      </c>
      <c r="L1654" s="19">
        <v>5082891650</v>
      </c>
      <c r="M1654" s="20">
        <v>5113464089</v>
      </c>
      <c r="N1654" s="23"/>
      <c r="O1654" s="9" t="s">
        <v>63</v>
      </c>
      <c r="P1654" s="23"/>
      <c r="Q1654" s="24" t="s">
        <v>82</v>
      </c>
      <c r="R1654" s="25">
        <v>44764</v>
      </c>
      <c r="S1654" s="28"/>
      <c r="T1654" s="35"/>
      <c r="U1654" s="35"/>
      <c r="V1654" s="29"/>
      <c r="W1654" s="35"/>
      <c r="X1654" s="29"/>
      <c r="Y1654" s="36"/>
      <c r="Z1654" s="29"/>
      <c r="AA1654" s="31">
        <f t="shared" si="1"/>
        <v>44764</v>
      </c>
      <c r="AB1654" s="32" t="str">
        <f t="shared" si="5"/>
        <v>julio</v>
      </c>
    </row>
    <row r="1655" spans="1:28" ht="12.75">
      <c r="A1655" s="9" t="s">
        <v>85</v>
      </c>
      <c r="B1655" s="10">
        <v>44764</v>
      </c>
      <c r="C1655" s="11">
        <v>44768</v>
      </c>
      <c r="D1655" s="49">
        <v>30</v>
      </c>
      <c r="E1655" s="13" t="s">
        <v>2146</v>
      </c>
      <c r="F1655" s="13">
        <v>3025460</v>
      </c>
      <c r="G1655" s="14">
        <v>20005</v>
      </c>
      <c r="H1655" s="57">
        <v>8550</v>
      </c>
      <c r="I1655" s="16">
        <f t="shared" si="245"/>
        <v>171042750</v>
      </c>
      <c r="J1655" s="17">
        <v>42</v>
      </c>
      <c r="K1655" s="34">
        <v>4502377143</v>
      </c>
      <c r="L1655" s="19">
        <v>5082891656</v>
      </c>
      <c r="M1655" s="20">
        <v>5113464093</v>
      </c>
      <c r="N1655" s="23"/>
      <c r="O1655" s="44" t="s">
        <v>63</v>
      </c>
      <c r="P1655" s="23"/>
      <c r="Q1655" s="24" t="s">
        <v>82</v>
      </c>
      <c r="R1655" s="25">
        <v>44764</v>
      </c>
      <c r="S1655" s="28"/>
      <c r="T1655" s="35"/>
      <c r="U1655" s="35"/>
      <c r="V1655" s="29"/>
      <c r="W1655" s="35"/>
      <c r="X1655" s="29"/>
      <c r="Y1655" s="36"/>
      <c r="Z1655" s="29"/>
      <c r="AA1655" s="31">
        <f t="shared" si="1"/>
        <v>44764</v>
      </c>
      <c r="AB1655" s="32" t="str">
        <f t="shared" si="5"/>
        <v>julio</v>
      </c>
    </row>
    <row r="1656" spans="1:28" ht="12.75">
      <c r="A1656" s="9" t="s">
        <v>94</v>
      </c>
      <c r="B1656" s="10">
        <v>44771</v>
      </c>
      <c r="C1656" s="11">
        <v>44771</v>
      </c>
      <c r="D1656" s="49">
        <v>30</v>
      </c>
      <c r="E1656" s="13" t="s">
        <v>2147</v>
      </c>
      <c r="F1656" s="13">
        <v>3025460</v>
      </c>
      <c r="G1656" s="14">
        <v>6684</v>
      </c>
      <c r="H1656" s="57">
        <v>8500</v>
      </c>
      <c r="I1656" s="16">
        <f t="shared" si="245"/>
        <v>56814000</v>
      </c>
      <c r="J1656" s="17">
        <v>15</v>
      </c>
      <c r="K1656" s="34">
        <v>4502377147</v>
      </c>
      <c r="L1656" s="19">
        <v>5082891863</v>
      </c>
      <c r="M1656" s="20">
        <v>5113475887</v>
      </c>
      <c r="N1656" s="23"/>
      <c r="O1656" s="9" t="s">
        <v>63</v>
      </c>
      <c r="P1656" s="23"/>
      <c r="Q1656" s="24" t="s">
        <v>82</v>
      </c>
      <c r="R1656" s="25">
        <v>44764</v>
      </c>
      <c r="S1656" s="28"/>
      <c r="T1656" s="35"/>
      <c r="U1656" s="35"/>
      <c r="V1656" s="29"/>
      <c r="W1656" s="35"/>
      <c r="X1656" s="29"/>
      <c r="Y1656" s="36"/>
      <c r="Z1656" s="29"/>
      <c r="AA1656" s="31">
        <f t="shared" si="1"/>
        <v>44764</v>
      </c>
      <c r="AB1656" s="32" t="str">
        <f t="shared" si="5"/>
        <v>julio</v>
      </c>
    </row>
    <row r="1657" spans="1:28" ht="12.75">
      <c r="A1657" s="9" t="s">
        <v>46</v>
      </c>
      <c r="B1657" s="10">
        <v>44769</v>
      </c>
      <c r="C1657" s="11">
        <v>44769</v>
      </c>
      <c r="D1657" s="49">
        <v>30</v>
      </c>
      <c r="E1657" s="13" t="s">
        <v>2148</v>
      </c>
      <c r="F1657" s="13">
        <v>3025457</v>
      </c>
      <c r="G1657" s="14">
        <v>19785</v>
      </c>
      <c r="H1657" s="33">
        <v>8750</v>
      </c>
      <c r="I1657" s="16">
        <f t="shared" si="245"/>
        <v>173118750</v>
      </c>
      <c r="J1657" s="17">
        <v>43</v>
      </c>
      <c r="K1657" s="34">
        <v>4502373296</v>
      </c>
      <c r="L1657" s="19">
        <v>5082871453</v>
      </c>
      <c r="M1657" s="20">
        <v>5113465495</v>
      </c>
      <c r="N1657" s="23"/>
      <c r="O1657" s="9" t="s">
        <v>37</v>
      </c>
      <c r="P1657" s="23"/>
      <c r="Q1657" s="24" t="s">
        <v>31</v>
      </c>
      <c r="R1657" s="25">
        <v>44765</v>
      </c>
      <c r="S1657" s="28"/>
      <c r="T1657" s="35"/>
      <c r="U1657" s="35"/>
      <c r="V1657" s="29"/>
      <c r="W1657" s="35"/>
      <c r="X1657" s="29"/>
      <c r="Y1657" s="36"/>
      <c r="Z1657" s="29"/>
      <c r="AA1657" s="31">
        <f t="shared" si="1"/>
        <v>44765</v>
      </c>
      <c r="AB1657" s="32" t="str">
        <f t="shared" si="5"/>
        <v>julio</v>
      </c>
    </row>
    <row r="1658" spans="1:28" ht="12.75">
      <c r="A1658" s="9" t="s">
        <v>46</v>
      </c>
      <c r="B1658" s="10">
        <v>44769</v>
      </c>
      <c r="C1658" s="11">
        <v>44769</v>
      </c>
      <c r="D1658" s="49">
        <v>30</v>
      </c>
      <c r="E1658" s="13" t="s">
        <v>41</v>
      </c>
      <c r="F1658" s="13">
        <v>3025457</v>
      </c>
      <c r="G1658" s="14">
        <v>19785</v>
      </c>
      <c r="H1658" s="33">
        <v>100</v>
      </c>
      <c r="I1658" s="16">
        <f>-H1658*G1658</f>
        <v>-1978500</v>
      </c>
      <c r="J1658" s="17">
        <v>0</v>
      </c>
      <c r="K1658" s="34">
        <v>4502373296</v>
      </c>
      <c r="L1658" s="19">
        <v>5082871453</v>
      </c>
      <c r="M1658" s="20">
        <v>5113465577</v>
      </c>
      <c r="N1658" s="23"/>
      <c r="O1658" s="9"/>
      <c r="P1658" s="23"/>
      <c r="Q1658" s="24" t="s">
        <v>31</v>
      </c>
      <c r="R1658" s="25">
        <v>44765</v>
      </c>
      <c r="S1658" s="28"/>
      <c r="T1658" s="35"/>
      <c r="U1658" s="35"/>
      <c r="V1658" s="29"/>
      <c r="W1658" s="35"/>
      <c r="X1658" s="29"/>
      <c r="Y1658" s="36"/>
      <c r="Z1658" s="29"/>
      <c r="AA1658" s="31">
        <f t="shared" si="1"/>
        <v>44765</v>
      </c>
      <c r="AB1658" s="32" t="str">
        <f t="shared" si="5"/>
        <v>julio</v>
      </c>
    </row>
    <row r="1659" spans="1:28" ht="12.75">
      <c r="A1659" s="9" t="s">
        <v>58</v>
      </c>
      <c r="B1659" s="10">
        <v>44770</v>
      </c>
      <c r="C1659" s="11">
        <v>44770</v>
      </c>
      <c r="D1659" s="49">
        <v>30</v>
      </c>
      <c r="E1659" s="13" t="s">
        <v>2149</v>
      </c>
      <c r="F1659" s="13">
        <v>3025460</v>
      </c>
      <c r="G1659" s="37">
        <v>15011.5</v>
      </c>
      <c r="H1659" s="33">
        <v>9050</v>
      </c>
      <c r="I1659" s="16">
        <f>H1659*G1659</f>
        <v>135854075</v>
      </c>
      <c r="J1659" s="17">
        <v>29</v>
      </c>
      <c r="K1659" s="34">
        <v>4502373297</v>
      </c>
      <c r="L1659" s="19">
        <v>5082871460</v>
      </c>
      <c r="M1659" s="20">
        <v>5113470976</v>
      </c>
      <c r="N1659" s="23"/>
      <c r="O1659" s="23" t="s">
        <v>37</v>
      </c>
      <c r="P1659" s="23"/>
      <c r="Q1659" s="24" t="s">
        <v>31</v>
      </c>
      <c r="R1659" s="25">
        <v>44765</v>
      </c>
      <c r="S1659" s="28"/>
      <c r="T1659" s="35"/>
      <c r="U1659" s="35"/>
      <c r="V1659" s="29"/>
      <c r="W1659" s="35"/>
      <c r="X1659" s="29"/>
      <c r="Y1659" s="36"/>
      <c r="Z1659" s="29"/>
      <c r="AA1659" s="31">
        <f t="shared" si="1"/>
        <v>44765</v>
      </c>
      <c r="AB1659" s="32" t="str">
        <f t="shared" si="5"/>
        <v>julio</v>
      </c>
    </row>
    <row r="1660" spans="1:28" ht="12.75">
      <c r="A1660" s="9" t="s">
        <v>58</v>
      </c>
      <c r="B1660" s="10">
        <v>44770</v>
      </c>
      <c r="C1660" s="11">
        <v>44770</v>
      </c>
      <c r="D1660" s="49">
        <v>30</v>
      </c>
      <c r="E1660" s="13" t="s">
        <v>2150</v>
      </c>
      <c r="F1660" s="13">
        <v>3025460</v>
      </c>
      <c r="G1660" s="37">
        <v>15011.5</v>
      </c>
      <c r="H1660" s="33">
        <f>9050-9044.85</f>
        <v>5.1499999999996362</v>
      </c>
      <c r="I1660" s="16">
        <f>-H1660*G1660</f>
        <v>-77309.224999994534</v>
      </c>
      <c r="J1660" s="17">
        <v>0</v>
      </c>
      <c r="K1660" s="34">
        <v>4502373297</v>
      </c>
      <c r="L1660" s="19">
        <v>5082871460</v>
      </c>
      <c r="M1660" s="20">
        <v>5113471117</v>
      </c>
      <c r="N1660" s="23"/>
      <c r="O1660" s="9"/>
      <c r="P1660" s="23"/>
      <c r="Q1660" s="24" t="s">
        <v>31</v>
      </c>
      <c r="R1660" s="25">
        <v>44765</v>
      </c>
      <c r="S1660" s="28"/>
      <c r="T1660" s="35"/>
      <c r="U1660" s="35"/>
      <c r="V1660" s="29"/>
      <c r="W1660" s="35"/>
      <c r="X1660" s="29"/>
      <c r="Y1660" s="36"/>
      <c r="Z1660" s="29"/>
      <c r="AA1660" s="31">
        <f t="shared" si="1"/>
        <v>44765</v>
      </c>
      <c r="AB1660" s="32" t="str">
        <f t="shared" si="5"/>
        <v>julio</v>
      </c>
    </row>
    <row r="1661" spans="1:28" ht="12.75">
      <c r="A1661" s="9" t="s">
        <v>58</v>
      </c>
      <c r="B1661" s="10">
        <v>44770</v>
      </c>
      <c r="C1661" s="11">
        <v>44770</v>
      </c>
      <c r="D1661" s="49">
        <v>30</v>
      </c>
      <c r="E1661" s="13" t="s">
        <v>2151</v>
      </c>
      <c r="F1661" s="13">
        <v>3025460</v>
      </c>
      <c r="G1661" s="14">
        <v>14728</v>
      </c>
      <c r="H1661" s="33">
        <v>9050</v>
      </c>
      <c r="I1661" s="16">
        <f>H1661*G1661</f>
        <v>133288400</v>
      </c>
      <c r="J1661" s="17">
        <v>30</v>
      </c>
      <c r="K1661" s="34">
        <v>4502373297</v>
      </c>
      <c r="L1661" s="19">
        <v>5082871460</v>
      </c>
      <c r="M1661" s="20">
        <v>5113471120</v>
      </c>
      <c r="N1661" s="23"/>
      <c r="O1661" s="23" t="s">
        <v>37</v>
      </c>
      <c r="P1661" s="23"/>
      <c r="Q1661" s="24" t="s">
        <v>31</v>
      </c>
      <c r="R1661" s="25">
        <v>44765</v>
      </c>
      <c r="S1661" s="28"/>
      <c r="T1661" s="35"/>
      <c r="U1661" s="35"/>
      <c r="V1661" s="29"/>
      <c r="W1661" s="35"/>
      <c r="X1661" s="29"/>
      <c r="Y1661" s="36"/>
      <c r="Z1661" s="29"/>
      <c r="AA1661" s="31">
        <f t="shared" si="1"/>
        <v>44765</v>
      </c>
      <c r="AB1661" s="32" t="str">
        <f t="shared" si="5"/>
        <v>julio</v>
      </c>
    </row>
    <row r="1662" spans="1:28" ht="12.75">
      <c r="A1662" s="9" t="s">
        <v>58</v>
      </c>
      <c r="B1662" s="10">
        <v>44770</v>
      </c>
      <c r="C1662" s="11">
        <v>44770</v>
      </c>
      <c r="D1662" s="49">
        <v>30</v>
      </c>
      <c r="E1662" s="13" t="s">
        <v>2152</v>
      </c>
      <c r="F1662" s="13">
        <v>3025460</v>
      </c>
      <c r="G1662" s="14">
        <v>14728</v>
      </c>
      <c r="H1662" s="33">
        <v>150</v>
      </c>
      <c r="I1662" s="16">
        <f>-H1662*G1662</f>
        <v>-2209200</v>
      </c>
      <c r="J1662" s="17">
        <v>0</v>
      </c>
      <c r="K1662" s="34">
        <v>4502373297</v>
      </c>
      <c r="L1662" s="19">
        <v>5082871460</v>
      </c>
      <c r="M1662" s="20">
        <v>5113471121</v>
      </c>
      <c r="N1662" s="23"/>
      <c r="O1662" s="9"/>
      <c r="P1662" s="23"/>
      <c r="Q1662" s="24" t="s">
        <v>31</v>
      </c>
      <c r="R1662" s="25">
        <v>44765</v>
      </c>
      <c r="S1662" s="28"/>
      <c r="T1662" s="35"/>
      <c r="U1662" s="35"/>
      <c r="V1662" s="29"/>
      <c r="W1662" s="35"/>
      <c r="X1662" s="29"/>
      <c r="Y1662" s="36"/>
      <c r="Z1662" s="29"/>
      <c r="AA1662" s="31">
        <f t="shared" si="1"/>
        <v>44765</v>
      </c>
      <c r="AB1662" s="32" t="str">
        <f t="shared" si="5"/>
        <v>julio</v>
      </c>
    </row>
    <row r="1663" spans="1:28" ht="12.75">
      <c r="A1663" s="9" t="s">
        <v>276</v>
      </c>
      <c r="B1663" s="10">
        <v>44769</v>
      </c>
      <c r="C1663" s="11"/>
      <c r="D1663" s="49">
        <v>30</v>
      </c>
      <c r="E1663" s="13" t="s">
        <v>181</v>
      </c>
      <c r="F1663" s="13">
        <v>3025460</v>
      </c>
      <c r="G1663" s="14">
        <v>13619</v>
      </c>
      <c r="H1663" s="33">
        <v>8650</v>
      </c>
      <c r="I1663" s="16">
        <f>H1663*G1663</f>
        <v>117804350</v>
      </c>
      <c r="J1663" s="17">
        <v>28</v>
      </c>
      <c r="K1663" s="34">
        <v>4502373298</v>
      </c>
      <c r="L1663" s="19">
        <v>5082871461</v>
      </c>
      <c r="M1663" s="20">
        <v>5113469626</v>
      </c>
      <c r="N1663" s="23"/>
      <c r="O1663" s="9" t="s">
        <v>63</v>
      </c>
      <c r="P1663" s="23"/>
      <c r="Q1663" s="24" t="s">
        <v>31</v>
      </c>
      <c r="R1663" s="25">
        <v>44765</v>
      </c>
      <c r="S1663" s="28"/>
      <c r="T1663" s="35"/>
      <c r="U1663" s="35"/>
      <c r="V1663" s="29"/>
      <c r="W1663" s="35"/>
      <c r="X1663" s="29"/>
      <c r="Y1663" s="36"/>
      <c r="Z1663" s="29"/>
      <c r="AA1663" s="31">
        <f t="shared" si="1"/>
        <v>44765</v>
      </c>
      <c r="AB1663" s="32" t="str">
        <f t="shared" si="5"/>
        <v>julio</v>
      </c>
    </row>
    <row r="1664" spans="1:28" ht="12.75">
      <c r="A1664" s="9" t="s">
        <v>276</v>
      </c>
      <c r="B1664" s="10">
        <v>44769</v>
      </c>
      <c r="C1664" s="11"/>
      <c r="D1664" s="49">
        <v>30</v>
      </c>
      <c r="E1664" s="13" t="s">
        <v>2153</v>
      </c>
      <c r="F1664" s="13">
        <v>3025460</v>
      </c>
      <c r="G1664" s="14">
        <v>13619</v>
      </c>
      <c r="H1664" s="33">
        <v>50</v>
      </c>
      <c r="I1664" s="16">
        <f>-H1664*G1664</f>
        <v>-680950</v>
      </c>
      <c r="J1664" s="17">
        <v>0</v>
      </c>
      <c r="K1664" s="34">
        <v>4502373298</v>
      </c>
      <c r="L1664" s="19">
        <v>5082871461</v>
      </c>
      <c r="M1664" s="20">
        <v>5113469677</v>
      </c>
      <c r="N1664" s="23"/>
      <c r="O1664" s="9"/>
      <c r="P1664" s="23"/>
      <c r="Q1664" s="24" t="s">
        <v>31</v>
      </c>
      <c r="R1664" s="25">
        <v>44765</v>
      </c>
      <c r="S1664" s="28"/>
      <c r="T1664" s="35"/>
      <c r="U1664" s="35"/>
      <c r="V1664" s="29"/>
      <c r="W1664" s="35"/>
      <c r="X1664" s="29"/>
      <c r="Y1664" s="36"/>
      <c r="Z1664" s="29"/>
      <c r="AA1664" s="31">
        <f t="shared" si="1"/>
        <v>44765</v>
      </c>
      <c r="AB1664" s="32" t="str">
        <f t="shared" si="5"/>
        <v>julio</v>
      </c>
    </row>
    <row r="1665" spans="1:28" ht="12.75">
      <c r="A1665" s="9" t="s">
        <v>203</v>
      </c>
      <c r="B1665" s="10">
        <v>44766</v>
      </c>
      <c r="C1665" s="11">
        <v>44769</v>
      </c>
      <c r="D1665" s="49">
        <v>30</v>
      </c>
      <c r="E1665" s="13" t="s">
        <v>2154</v>
      </c>
      <c r="F1665" s="13">
        <v>3025457</v>
      </c>
      <c r="G1665" s="37">
        <v>7936.5</v>
      </c>
      <c r="H1665" s="33">
        <v>9050</v>
      </c>
      <c r="I1665" s="16">
        <f t="shared" ref="I1665:I1666" si="246">H1665*G1665</f>
        <v>71825325</v>
      </c>
      <c r="J1665" s="17">
        <v>15</v>
      </c>
      <c r="K1665" s="34">
        <v>4502373299</v>
      </c>
      <c r="L1665" s="19">
        <v>5082871462</v>
      </c>
      <c r="M1665" s="20">
        <v>5113484668</v>
      </c>
      <c r="N1665" s="23"/>
      <c r="O1665" s="9" t="s">
        <v>37</v>
      </c>
      <c r="P1665" s="86"/>
      <c r="Q1665" s="24" t="s">
        <v>31</v>
      </c>
      <c r="R1665" s="25">
        <v>44766</v>
      </c>
      <c r="S1665" s="28"/>
      <c r="T1665" s="35"/>
      <c r="U1665" s="35"/>
      <c r="V1665" s="29"/>
      <c r="W1665" s="35"/>
      <c r="X1665" s="29"/>
      <c r="Y1665" s="36"/>
      <c r="Z1665" s="29"/>
      <c r="AA1665" s="31">
        <f t="shared" si="1"/>
        <v>44766</v>
      </c>
      <c r="AB1665" s="32" t="str">
        <f t="shared" si="5"/>
        <v>julio</v>
      </c>
    </row>
    <row r="1666" spans="1:28" ht="12.75">
      <c r="A1666" s="9" t="s">
        <v>203</v>
      </c>
      <c r="B1666" s="10">
        <v>44766</v>
      </c>
      <c r="C1666" s="11">
        <v>44769</v>
      </c>
      <c r="D1666" s="49">
        <v>30</v>
      </c>
      <c r="E1666" s="13" t="s">
        <v>2154</v>
      </c>
      <c r="F1666" s="13">
        <v>3025457</v>
      </c>
      <c r="G1666" s="37">
        <v>7125.5</v>
      </c>
      <c r="H1666" s="33">
        <v>9050</v>
      </c>
      <c r="I1666" s="16">
        <f t="shared" si="246"/>
        <v>64485775</v>
      </c>
      <c r="J1666" s="17">
        <v>15</v>
      </c>
      <c r="K1666" s="34">
        <v>4502376085</v>
      </c>
      <c r="L1666" s="19">
        <v>5082871462</v>
      </c>
      <c r="M1666" s="20">
        <v>5113484668</v>
      </c>
      <c r="N1666" s="23"/>
      <c r="O1666" s="9" t="s">
        <v>37</v>
      </c>
      <c r="P1666" s="86"/>
      <c r="Q1666" s="24" t="s">
        <v>31</v>
      </c>
      <c r="R1666" s="25">
        <v>44767</v>
      </c>
      <c r="S1666" s="28"/>
      <c r="T1666" s="35"/>
      <c r="U1666" s="35"/>
      <c r="V1666" s="29"/>
      <c r="W1666" s="35"/>
      <c r="X1666" s="29"/>
      <c r="Y1666" s="36"/>
      <c r="Z1666" s="29"/>
      <c r="AA1666" s="31">
        <f t="shared" si="1"/>
        <v>44767</v>
      </c>
      <c r="AB1666" s="32" t="str">
        <f t="shared" si="5"/>
        <v>julio</v>
      </c>
    </row>
    <row r="1667" spans="1:28" ht="12.75">
      <c r="A1667" s="9" t="s">
        <v>203</v>
      </c>
      <c r="B1667" s="10">
        <v>44766</v>
      </c>
      <c r="C1667" s="11">
        <v>44769</v>
      </c>
      <c r="D1667" s="49">
        <v>30</v>
      </c>
      <c r="E1667" s="123" t="s">
        <v>2155</v>
      </c>
      <c r="F1667" s="13">
        <v>3025457</v>
      </c>
      <c r="G1667" s="14">
        <v>15062</v>
      </c>
      <c r="H1667" s="33">
        <v>50</v>
      </c>
      <c r="I1667" s="16">
        <f>-H1667*G1667</f>
        <v>-753100</v>
      </c>
      <c r="J1667" s="17">
        <v>0</v>
      </c>
      <c r="K1667" s="34">
        <v>4502376085</v>
      </c>
      <c r="L1667" s="19">
        <v>5082871462</v>
      </c>
      <c r="M1667" s="20">
        <v>5113484670</v>
      </c>
      <c r="N1667" s="23"/>
      <c r="O1667" s="9"/>
      <c r="P1667" s="86"/>
      <c r="Q1667" s="24" t="s">
        <v>31</v>
      </c>
      <c r="R1667" s="25">
        <v>44767</v>
      </c>
      <c r="S1667" s="28"/>
      <c r="T1667" s="35"/>
      <c r="U1667" s="35"/>
      <c r="V1667" s="29"/>
      <c r="W1667" s="35"/>
      <c r="X1667" s="29"/>
      <c r="Y1667" s="36"/>
      <c r="Z1667" s="29"/>
      <c r="AA1667" s="31">
        <f t="shared" si="1"/>
        <v>44767</v>
      </c>
      <c r="AB1667" s="32" t="str">
        <f t="shared" si="5"/>
        <v>julio</v>
      </c>
    </row>
    <row r="1668" spans="1:28" ht="12.75">
      <c r="A1668" s="9" t="s">
        <v>348</v>
      </c>
      <c r="B1668" s="10">
        <v>44766</v>
      </c>
      <c r="C1668" s="11">
        <v>44770</v>
      </c>
      <c r="D1668" s="49">
        <v>30</v>
      </c>
      <c r="E1668" s="13" t="s">
        <v>2156</v>
      </c>
      <c r="F1668" s="13">
        <v>3025457</v>
      </c>
      <c r="G1668" s="37">
        <v>38759.5</v>
      </c>
      <c r="H1668" s="33">
        <v>8650</v>
      </c>
      <c r="I1668" s="16">
        <f>H1668*G1668</f>
        <v>335269675</v>
      </c>
      <c r="J1668" s="17">
        <v>90</v>
      </c>
      <c r="K1668" s="34">
        <v>4502373300</v>
      </c>
      <c r="L1668" s="19">
        <v>5082871463</v>
      </c>
      <c r="M1668" s="20">
        <v>5113470327</v>
      </c>
      <c r="N1668" s="23"/>
      <c r="O1668" s="9" t="s">
        <v>63</v>
      </c>
      <c r="P1668" s="23"/>
      <c r="Q1668" s="24" t="s">
        <v>31</v>
      </c>
      <c r="R1668" s="25">
        <v>44766</v>
      </c>
      <c r="S1668" s="28"/>
      <c r="T1668" s="35"/>
      <c r="U1668" s="35"/>
      <c r="V1668" s="29"/>
      <c r="W1668" s="35"/>
      <c r="X1668" s="29"/>
      <c r="Y1668" s="36"/>
      <c r="Z1668" s="29"/>
      <c r="AA1668" s="31">
        <f t="shared" si="1"/>
        <v>44766</v>
      </c>
      <c r="AB1668" s="32" t="str">
        <f t="shared" si="5"/>
        <v>julio</v>
      </c>
    </row>
    <row r="1669" spans="1:28" ht="12.75">
      <c r="A1669" s="9" t="s">
        <v>348</v>
      </c>
      <c r="B1669" s="10">
        <v>44768</v>
      </c>
      <c r="C1669" s="11">
        <v>44770</v>
      </c>
      <c r="D1669" s="49">
        <v>30</v>
      </c>
      <c r="E1669" s="13" t="s">
        <v>2157</v>
      </c>
      <c r="F1669" s="13">
        <v>3025457</v>
      </c>
      <c r="G1669" s="37">
        <v>38759.5</v>
      </c>
      <c r="H1669" s="33">
        <f>8650-8443.05</f>
        <v>206.95000000000073</v>
      </c>
      <c r="I1669" s="16">
        <f>-H1669*G1669</f>
        <v>-8021278.5250000283</v>
      </c>
      <c r="J1669" s="17">
        <v>0</v>
      </c>
      <c r="K1669" s="34">
        <v>4502373300</v>
      </c>
      <c r="L1669" s="19">
        <v>5082871463</v>
      </c>
      <c r="M1669" s="20">
        <v>5113470330</v>
      </c>
      <c r="N1669" s="23"/>
      <c r="O1669" s="9"/>
      <c r="P1669" s="23"/>
      <c r="Q1669" s="24" t="s">
        <v>31</v>
      </c>
      <c r="R1669" s="25">
        <v>44766</v>
      </c>
      <c r="S1669" s="28"/>
      <c r="T1669" s="35"/>
      <c r="U1669" s="35"/>
      <c r="V1669" s="29"/>
      <c r="W1669" s="35"/>
      <c r="X1669" s="29"/>
      <c r="Y1669" s="36"/>
      <c r="Z1669" s="29"/>
      <c r="AA1669" s="31">
        <f t="shared" si="1"/>
        <v>44766</v>
      </c>
      <c r="AB1669" s="32" t="str">
        <f t="shared" si="5"/>
        <v>julio</v>
      </c>
    </row>
    <row r="1670" spans="1:28" ht="12.75">
      <c r="A1670" s="22" t="s">
        <v>404</v>
      </c>
      <c r="B1670" s="10">
        <v>44765</v>
      </c>
      <c r="C1670" s="11">
        <v>44770</v>
      </c>
      <c r="D1670" s="49">
        <v>30</v>
      </c>
      <c r="E1670" s="13" t="s">
        <v>2158</v>
      </c>
      <c r="F1670" s="13">
        <v>3025457</v>
      </c>
      <c r="G1670" s="14">
        <v>14482</v>
      </c>
      <c r="H1670" s="33">
        <v>9050</v>
      </c>
      <c r="I1670" s="16">
        <f>H1670*G1670</f>
        <v>131062100</v>
      </c>
      <c r="J1670" s="17">
        <v>30</v>
      </c>
      <c r="K1670" s="34">
        <v>4502373302</v>
      </c>
      <c r="L1670" s="19">
        <v>5082878491</v>
      </c>
      <c r="M1670" s="20">
        <v>5113473215</v>
      </c>
      <c r="N1670" s="23"/>
      <c r="O1670" s="9" t="s">
        <v>37</v>
      </c>
      <c r="P1670" s="23"/>
      <c r="Q1670" s="24" t="s">
        <v>31</v>
      </c>
      <c r="R1670" s="25">
        <v>44767</v>
      </c>
      <c r="S1670" s="28"/>
      <c r="T1670" s="35"/>
      <c r="U1670" s="35"/>
      <c r="V1670" s="29"/>
      <c r="W1670" s="35"/>
      <c r="X1670" s="29"/>
      <c r="Y1670" s="36"/>
      <c r="Z1670" s="29"/>
      <c r="AA1670" s="31">
        <f t="shared" si="1"/>
        <v>44767</v>
      </c>
      <c r="AB1670" s="32" t="str">
        <f t="shared" si="5"/>
        <v>julio</v>
      </c>
    </row>
    <row r="1671" spans="1:28" ht="12.75">
      <c r="A1671" s="22" t="s">
        <v>404</v>
      </c>
      <c r="B1671" s="10">
        <v>44770</v>
      </c>
      <c r="C1671" s="11">
        <v>44770</v>
      </c>
      <c r="D1671" s="49">
        <v>30</v>
      </c>
      <c r="E1671" s="13" t="s">
        <v>115</v>
      </c>
      <c r="F1671" s="13">
        <v>3025457</v>
      </c>
      <c r="G1671" s="14">
        <v>14482</v>
      </c>
      <c r="H1671" s="33">
        <v>100</v>
      </c>
      <c r="I1671" s="16">
        <f>-H1671*G1671</f>
        <v>-1448200</v>
      </c>
      <c r="J1671" s="17">
        <v>0</v>
      </c>
      <c r="K1671" s="34">
        <v>4502373302</v>
      </c>
      <c r="L1671" s="19">
        <v>5082878491</v>
      </c>
      <c r="M1671" s="20">
        <v>5113473314</v>
      </c>
      <c r="N1671" s="23"/>
      <c r="O1671" s="9"/>
      <c r="P1671" s="23"/>
      <c r="Q1671" s="24" t="s">
        <v>31</v>
      </c>
      <c r="R1671" s="25">
        <v>44767</v>
      </c>
      <c r="S1671" s="28"/>
      <c r="T1671" s="35"/>
      <c r="U1671" s="35"/>
      <c r="V1671" s="29"/>
      <c r="W1671" s="35"/>
      <c r="X1671" s="29"/>
      <c r="Y1671" s="36"/>
      <c r="Z1671" s="29"/>
      <c r="AA1671" s="31">
        <f t="shared" si="1"/>
        <v>44767</v>
      </c>
      <c r="AB1671" s="32" t="str">
        <f t="shared" si="5"/>
        <v>julio</v>
      </c>
    </row>
    <row r="1672" spans="1:28" ht="12.75">
      <c r="A1672" s="9" t="s">
        <v>1412</v>
      </c>
      <c r="B1672" s="10">
        <v>44767</v>
      </c>
      <c r="C1672" s="11"/>
      <c r="D1672" s="49">
        <v>30</v>
      </c>
      <c r="E1672" s="13" t="s">
        <v>1815</v>
      </c>
      <c r="F1672" s="13">
        <v>3025457</v>
      </c>
      <c r="G1672" s="14">
        <v>14493</v>
      </c>
      <c r="H1672" s="33">
        <v>8750</v>
      </c>
      <c r="I1672" s="16">
        <f>H1672*G1672</f>
        <v>126813750</v>
      </c>
      <c r="J1672" s="17">
        <v>30</v>
      </c>
      <c r="K1672" s="34">
        <v>4502373303</v>
      </c>
      <c r="L1672" s="19">
        <v>5082898405</v>
      </c>
      <c r="M1672" s="20">
        <v>5113471971</v>
      </c>
      <c r="N1672" s="23"/>
      <c r="O1672" s="9" t="s">
        <v>37</v>
      </c>
      <c r="P1672" s="23"/>
      <c r="Q1672" s="24" t="s">
        <v>31</v>
      </c>
      <c r="R1672" s="25">
        <v>44767</v>
      </c>
      <c r="S1672" s="28"/>
      <c r="T1672" s="35"/>
      <c r="U1672" s="35"/>
      <c r="V1672" s="29"/>
      <c r="W1672" s="35"/>
      <c r="X1672" s="29"/>
      <c r="Y1672" s="36"/>
      <c r="Z1672" s="29"/>
      <c r="AA1672" s="31">
        <f t="shared" si="1"/>
        <v>44767</v>
      </c>
      <c r="AB1672" s="32" t="str">
        <f t="shared" si="5"/>
        <v>julio</v>
      </c>
    </row>
    <row r="1673" spans="1:28" ht="12.75">
      <c r="A1673" s="9" t="s">
        <v>1412</v>
      </c>
      <c r="B1673" s="10">
        <v>44767</v>
      </c>
      <c r="C1673" s="11"/>
      <c r="D1673" s="49">
        <v>30</v>
      </c>
      <c r="E1673" s="13" t="s">
        <v>1207</v>
      </c>
      <c r="F1673" s="13">
        <v>3025457</v>
      </c>
      <c r="G1673" s="14">
        <v>14493</v>
      </c>
      <c r="H1673" s="33">
        <v>50</v>
      </c>
      <c r="I1673" s="16">
        <f>-H1673*G1673</f>
        <v>-724650</v>
      </c>
      <c r="J1673" s="17">
        <v>0</v>
      </c>
      <c r="K1673" s="34">
        <v>4502373303</v>
      </c>
      <c r="L1673" s="19">
        <v>5082898405</v>
      </c>
      <c r="M1673" s="20">
        <v>5113471972</v>
      </c>
      <c r="N1673" s="23"/>
      <c r="O1673" s="9"/>
      <c r="P1673" s="23"/>
      <c r="Q1673" s="24" t="s">
        <v>31</v>
      </c>
      <c r="R1673" s="25">
        <v>44767</v>
      </c>
      <c r="S1673" s="28"/>
      <c r="T1673" s="35"/>
      <c r="U1673" s="35"/>
      <c r="V1673" s="29"/>
      <c r="W1673" s="35"/>
      <c r="X1673" s="29"/>
      <c r="Y1673" s="36"/>
      <c r="Z1673" s="29"/>
      <c r="AA1673" s="31">
        <f t="shared" si="1"/>
        <v>44767</v>
      </c>
      <c r="AB1673" s="32" t="str">
        <f t="shared" si="5"/>
        <v>julio</v>
      </c>
    </row>
    <row r="1674" spans="1:28" ht="12.75">
      <c r="A1674" s="9" t="s">
        <v>28</v>
      </c>
      <c r="B1674" s="10">
        <v>44769</v>
      </c>
      <c r="C1674" s="11">
        <v>44769</v>
      </c>
      <c r="D1674" s="49">
        <v>30</v>
      </c>
      <c r="E1674" s="13" t="s">
        <v>2159</v>
      </c>
      <c r="F1674" s="13">
        <v>3025457</v>
      </c>
      <c r="G1674" s="14">
        <v>13594</v>
      </c>
      <c r="H1674" s="15">
        <v>8100</v>
      </c>
      <c r="I1674" s="16">
        <f t="shared" ref="I1674:I1675" si="247">H1674*G1674</f>
        <v>110111400</v>
      </c>
      <c r="J1674" s="17">
        <v>28</v>
      </c>
      <c r="K1674" s="34">
        <v>4502376411</v>
      </c>
      <c r="L1674" s="19">
        <v>5082872175</v>
      </c>
      <c r="M1674" s="20">
        <v>5113465874</v>
      </c>
      <c r="N1674" s="23"/>
      <c r="O1674" s="22" t="s">
        <v>343</v>
      </c>
      <c r="P1674" s="23" t="s">
        <v>1911</v>
      </c>
      <c r="Q1674" s="24" t="s">
        <v>31</v>
      </c>
      <c r="R1674" s="25">
        <v>44767</v>
      </c>
      <c r="S1674" s="28">
        <v>4902310775</v>
      </c>
      <c r="T1674" s="35">
        <f>2979200*2</f>
        <v>5958400</v>
      </c>
      <c r="U1674" s="28" t="s">
        <v>2160</v>
      </c>
      <c r="V1674" s="29">
        <v>5113462737</v>
      </c>
      <c r="W1674" s="28" t="s">
        <v>2161</v>
      </c>
      <c r="X1674" s="29">
        <v>5113462740</v>
      </c>
      <c r="Y1674" s="36"/>
      <c r="Z1674" s="29"/>
      <c r="AA1674" s="31">
        <f t="shared" si="1"/>
        <v>44767</v>
      </c>
      <c r="AB1674" s="32" t="str">
        <f t="shared" si="5"/>
        <v>julio</v>
      </c>
    </row>
    <row r="1675" spans="1:28" ht="12.75">
      <c r="A1675" s="9" t="s">
        <v>485</v>
      </c>
      <c r="B1675" s="10">
        <v>44770</v>
      </c>
      <c r="C1675" s="11"/>
      <c r="D1675" s="49">
        <v>30</v>
      </c>
      <c r="E1675" s="13" t="s">
        <v>2162</v>
      </c>
      <c r="F1675" s="13">
        <v>3025459</v>
      </c>
      <c r="G1675" s="37">
        <v>6054.5</v>
      </c>
      <c r="H1675" s="33">
        <v>9050</v>
      </c>
      <c r="I1675" s="16">
        <f t="shared" si="247"/>
        <v>54793225</v>
      </c>
      <c r="J1675" s="17">
        <v>14</v>
      </c>
      <c r="K1675" s="34">
        <v>4502373304</v>
      </c>
      <c r="L1675" s="19">
        <v>5082893176</v>
      </c>
      <c r="M1675" s="20">
        <v>5113474819</v>
      </c>
      <c r="N1675" s="23"/>
      <c r="O1675" s="9" t="s">
        <v>313</v>
      </c>
      <c r="P1675" s="86"/>
      <c r="Q1675" s="24" t="s">
        <v>31</v>
      </c>
      <c r="R1675" s="25">
        <v>44767</v>
      </c>
      <c r="S1675" s="28"/>
      <c r="T1675" s="35"/>
      <c r="U1675" s="35"/>
      <c r="V1675" s="29"/>
      <c r="W1675" s="35"/>
      <c r="X1675" s="29"/>
      <c r="Y1675" s="36"/>
      <c r="Z1675" s="29"/>
      <c r="AA1675" s="31">
        <f t="shared" si="1"/>
        <v>44767</v>
      </c>
      <c r="AB1675" s="32" t="str">
        <f t="shared" si="5"/>
        <v>julio</v>
      </c>
    </row>
    <row r="1676" spans="1:28" ht="12.75">
      <c r="A1676" s="9" t="s">
        <v>485</v>
      </c>
      <c r="B1676" s="10">
        <v>44770</v>
      </c>
      <c r="C1676" s="11"/>
      <c r="D1676" s="49">
        <v>30</v>
      </c>
      <c r="E1676" s="13" t="s">
        <v>288</v>
      </c>
      <c r="F1676" s="13">
        <v>3025459</v>
      </c>
      <c r="G1676" s="37">
        <v>6054.5</v>
      </c>
      <c r="H1676" s="33">
        <v>100</v>
      </c>
      <c r="I1676" s="16">
        <f>-H1676*G1676</f>
        <v>-605450</v>
      </c>
      <c r="J1676" s="17">
        <v>0</v>
      </c>
      <c r="K1676" s="34">
        <v>4502373304</v>
      </c>
      <c r="L1676" s="19">
        <v>5082893176</v>
      </c>
      <c r="M1676" s="20">
        <v>5113474824</v>
      </c>
      <c r="N1676" s="23"/>
      <c r="O1676" s="9"/>
      <c r="P1676" s="86"/>
      <c r="Q1676" s="24" t="s">
        <v>31</v>
      </c>
      <c r="R1676" s="25">
        <v>44767</v>
      </c>
      <c r="S1676" s="28"/>
      <c r="T1676" s="35"/>
      <c r="U1676" s="35"/>
      <c r="V1676" s="29"/>
      <c r="W1676" s="35"/>
      <c r="X1676" s="29"/>
      <c r="Y1676" s="36"/>
      <c r="Z1676" s="29"/>
      <c r="AA1676" s="31">
        <f t="shared" si="1"/>
        <v>44767</v>
      </c>
      <c r="AB1676" s="32" t="str">
        <f t="shared" si="5"/>
        <v>julio</v>
      </c>
    </row>
    <row r="1677" spans="1:28" ht="12.75">
      <c r="A1677" s="9" t="s">
        <v>606</v>
      </c>
      <c r="B1677" s="10">
        <v>44767</v>
      </c>
      <c r="C1677" s="11">
        <v>44771</v>
      </c>
      <c r="D1677" s="49">
        <v>30</v>
      </c>
      <c r="E1677" s="13" t="s">
        <v>2163</v>
      </c>
      <c r="F1677" s="13">
        <v>3025459</v>
      </c>
      <c r="G1677" s="14">
        <v>7397</v>
      </c>
      <c r="H1677" s="33">
        <v>8750</v>
      </c>
      <c r="I1677" s="16">
        <f t="shared" ref="I1677:I1679" si="248">H1677*G1677</f>
        <v>64723750</v>
      </c>
      <c r="J1677" s="17">
        <v>15</v>
      </c>
      <c r="K1677" s="34">
        <v>4502373305</v>
      </c>
      <c r="L1677" s="19">
        <v>5082893177</v>
      </c>
      <c r="M1677" s="20">
        <v>5113475337</v>
      </c>
      <c r="N1677" s="23"/>
      <c r="O1677" s="23" t="s">
        <v>63</v>
      </c>
      <c r="P1677" s="23"/>
      <c r="Q1677" s="24" t="s">
        <v>31</v>
      </c>
      <c r="R1677" s="25">
        <v>44767</v>
      </c>
      <c r="S1677" s="28"/>
      <c r="T1677" s="35"/>
      <c r="U1677" s="35"/>
      <c r="V1677" s="29"/>
      <c r="W1677" s="35"/>
      <c r="X1677" s="29"/>
      <c r="Y1677" s="36"/>
      <c r="Z1677" s="29"/>
      <c r="AA1677" s="31">
        <f t="shared" si="1"/>
        <v>44767</v>
      </c>
      <c r="AB1677" s="32" t="str">
        <f t="shared" si="5"/>
        <v>julio</v>
      </c>
    </row>
    <row r="1678" spans="1:28" ht="12.75">
      <c r="A1678" s="9" t="s">
        <v>443</v>
      </c>
      <c r="B1678" s="10">
        <v>44767</v>
      </c>
      <c r="C1678" s="11"/>
      <c r="D1678" s="49">
        <v>30</v>
      </c>
      <c r="E1678" s="13" t="s">
        <v>2164</v>
      </c>
      <c r="F1678" s="13">
        <v>3025459</v>
      </c>
      <c r="G1678" s="14">
        <v>23166</v>
      </c>
      <c r="H1678" s="15">
        <v>8350</v>
      </c>
      <c r="I1678" s="16">
        <f t="shared" si="248"/>
        <v>193436100</v>
      </c>
      <c r="J1678" s="17">
        <v>42</v>
      </c>
      <c r="K1678" s="34">
        <v>4502376417</v>
      </c>
      <c r="L1678" s="19">
        <v>5082872308</v>
      </c>
      <c r="M1678" s="20">
        <v>5113470332</v>
      </c>
      <c r="N1678" s="23"/>
      <c r="O1678" s="22" t="s">
        <v>2165</v>
      </c>
      <c r="P1678" s="23"/>
      <c r="Q1678" s="24" t="s">
        <v>31</v>
      </c>
      <c r="R1678" s="25">
        <v>44767</v>
      </c>
      <c r="S1678" s="28">
        <v>4902310777</v>
      </c>
      <c r="T1678" s="35">
        <f>1840900*3</f>
        <v>5522700</v>
      </c>
      <c r="U1678" s="28" t="s">
        <v>2166</v>
      </c>
      <c r="V1678" s="29">
        <v>5113459676</v>
      </c>
      <c r="W1678" s="35"/>
      <c r="X1678" s="29"/>
      <c r="Y1678" s="36"/>
      <c r="Z1678" s="29"/>
      <c r="AA1678" s="31">
        <f t="shared" si="1"/>
        <v>44767</v>
      </c>
      <c r="AB1678" s="32" t="str">
        <f t="shared" si="5"/>
        <v>julio</v>
      </c>
    </row>
    <row r="1679" spans="1:28" ht="12.75">
      <c r="A1679" s="9" t="s">
        <v>230</v>
      </c>
      <c r="B1679" s="10">
        <v>44775</v>
      </c>
      <c r="C1679" s="11">
        <v>44777</v>
      </c>
      <c r="D1679" s="49">
        <v>30</v>
      </c>
      <c r="E1679" s="13" t="s">
        <v>2167</v>
      </c>
      <c r="F1679" s="13">
        <v>3025457</v>
      </c>
      <c r="G1679" s="14">
        <v>14501</v>
      </c>
      <c r="H1679" s="33">
        <v>8650</v>
      </c>
      <c r="I1679" s="16">
        <f t="shared" si="248"/>
        <v>125433650</v>
      </c>
      <c r="J1679" s="17">
        <v>30</v>
      </c>
      <c r="K1679" s="34">
        <v>4502373306</v>
      </c>
      <c r="L1679" s="19">
        <v>5082915793</v>
      </c>
      <c r="M1679" s="20">
        <v>5113489627</v>
      </c>
      <c r="N1679" s="23"/>
      <c r="O1679" s="9" t="s">
        <v>37</v>
      </c>
      <c r="P1679" s="23" t="s">
        <v>2168</v>
      </c>
      <c r="Q1679" s="24" t="s">
        <v>31</v>
      </c>
      <c r="R1679" s="25">
        <v>44768</v>
      </c>
      <c r="S1679" s="28"/>
      <c r="T1679" s="35"/>
      <c r="U1679" s="35"/>
      <c r="V1679" s="29"/>
      <c r="W1679" s="35"/>
      <c r="X1679" s="29"/>
      <c r="Y1679" s="36"/>
      <c r="Z1679" s="29"/>
      <c r="AA1679" s="31">
        <f t="shared" si="1"/>
        <v>44768</v>
      </c>
      <c r="AB1679" s="32" t="str">
        <f t="shared" si="5"/>
        <v>julio</v>
      </c>
    </row>
    <row r="1680" spans="1:28" ht="12.75">
      <c r="A1680" s="9" t="s">
        <v>230</v>
      </c>
      <c r="B1680" s="10">
        <v>44775</v>
      </c>
      <c r="C1680" s="11">
        <v>44777</v>
      </c>
      <c r="D1680" s="49">
        <v>30</v>
      </c>
      <c r="E1680" s="13" t="s">
        <v>2169</v>
      </c>
      <c r="F1680" s="13">
        <v>3025457</v>
      </c>
      <c r="G1680" s="14">
        <v>14501</v>
      </c>
      <c r="H1680" s="33">
        <v>50</v>
      </c>
      <c r="I1680" s="16">
        <f>-H1680*G1680</f>
        <v>-725050</v>
      </c>
      <c r="J1680" s="17">
        <v>0</v>
      </c>
      <c r="K1680" s="34">
        <v>4502373306</v>
      </c>
      <c r="L1680" s="19">
        <v>5082915793</v>
      </c>
      <c r="M1680" s="20">
        <v>5113489628</v>
      </c>
      <c r="N1680" s="23"/>
      <c r="O1680" s="9"/>
      <c r="P1680" s="23"/>
      <c r="Q1680" s="24" t="s">
        <v>31</v>
      </c>
      <c r="R1680" s="25">
        <v>44768</v>
      </c>
      <c r="S1680" s="28"/>
      <c r="T1680" s="35"/>
      <c r="U1680" s="35"/>
      <c r="V1680" s="29"/>
      <c r="W1680" s="35"/>
      <c r="X1680" s="29"/>
      <c r="Y1680" s="36"/>
      <c r="Z1680" s="29"/>
      <c r="AA1680" s="31">
        <f t="shared" si="1"/>
        <v>44768</v>
      </c>
      <c r="AB1680" s="32" t="str">
        <f t="shared" si="5"/>
        <v>julio</v>
      </c>
    </row>
    <row r="1681" spans="1:28" ht="12.75">
      <c r="A1681" s="9" t="s">
        <v>2170</v>
      </c>
      <c r="B1681" s="10">
        <v>44771</v>
      </c>
      <c r="C1681" s="11">
        <v>44777</v>
      </c>
      <c r="D1681" s="49">
        <v>30</v>
      </c>
      <c r="E1681" s="13">
        <v>60</v>
      </c>
      <c r="F1681" s="13">
        <v>3025457</v>
      </c>
      <c r="G1681" s="14">
        <v>7075</v>
      </c>
      <c r="H1681" s="33">
        <v>8750</v>
      </c>
      <c r="I1681" s="16">
        <f t="shared" ref="I1681:I1683" si="249">H1681*G1681</f>
        <v>61906250</v>
      </c>
      <c r="J1681" s="17">
        <v>15</v>
      </c>
      <c r="K1681" s="34">
        <v>4502373307</v>
      </c>
      <c r="L1681" s="19">
        <v>5082914084</v>
      </c>
      <c r="M1681" s="20">
        <v>5113488698</v>
      </c>
      <c r="N1681" s="23"/>
      <c r="O1681" s="9" t="s">
        <v>37</v>
      </c>
      <c r="P1681" s="86" t="s">
        <v>2171</v>
      </c>
      <c r="Q1681" s="24" t="s">
        <v>31</v>
      </c>
      <c r="R1681" s="25">
        <v>44768</v>
      </c>
      <c r="S1681" s="28"/>
      <c r="T1681" s="35"/>
      <c r="U1681" s="35"/>
      <c r="V1681" s="29"/>
      <c r="W1681" s="35"/>
      <c r="X1681" s="29"/>
      <c r="Y1681" s="36"/>
      <c r="Z1681" s="29"/>
      <c r="AA1681" s="31">
        <f t="shared" si="1"/>
        <v>44768</v>
      </c>
      <c r="AB1681" s="32" t="str">
        <f t="shared" si="5"/>
        <v>julio</v>
      </c>
    </row>
    <row r="1682" spans="1:28" ht="12.75">
      <c r="A1682" s="9" t="s">
        <v>2170</v>
      </c>
      <c r="B1682" s="10">
        <v>44771</v>
      </c>
      <c r="C1682" s="11">
        <v>44777</v>
      </c>
      <c r="D1682" s="49">
        <v>30</v>
      </c>
      <c r="E1682" s="13">
        <v>60</v>
      </c>
      <c r="F1682" s="13">
        <v>3025457</v>
      </c>
      <c r="G1682" s="14">
        <v>20611</v>
      </c>
      <c r="H1682" s="33">
        <v>8750</v>
      </c>
      <c r="I1682" s="16">
        <f t="shared" si="249"/>
        <v>180346250</v>
      </c>
      <c r="J1682" s="17">
        <v>45</v>
      </c>
      <c r="K1682" s="34">
        <v>4502377737</v>
      </c>
      <c r="L1682" s="19">
        <v>5082914084</v>
      </c>
      <c r="M1682" s="20">
        <v>5113488698</v>
      </c>
      <c r="N1682" s="23"/>
      <c r="O1682" s="9" t="s">
        <v>37</v>
      </c>
      <c r="P1682" s="23"/>
      <c r="Q1682" s="24" t="s">
        <v>31</v>
      </c>
      <c r="R1682" s="25">
        <v>44769</v>
      </c>
      <c r="S1682" s="28"/>
      <c r="T1682" s="35"/>
      <c r="U1682" s="35"/>
      <c r="V1682" s="29"/>
      <c r="W1682" s="35"/>
      <c r="X1682" s="29"/>
      <c r="Y1682" s="36"/>
      <c r="Z1682" s="29"/>
      <c r="AA1682" s="31">
        <f t="shared" si="1"/>
        <v>44769</v>
      </c>
      <c r="AB1682" s="32" t="str">
        <f t="shared" si="5"/>
        <v>julio</v>
      </c>
    </row>
    <row r="1683" spans="1:28" ht="12.75">
      <c r="A1683" s="22" t="s">
        <v>404</v>
      </c>
      <c r="B1683" s="10">
        <v>44769</v>
      </c>
      <c r="C1683" s="11">
        <v>44770</v>
      </c>
      <c r="D1683" s="49">
        <v>30</v>
      </c>
      <c r="E1683" s="13" t="s">
        <v>2172</v>
      </c>
      <c r="F1683" s="13">
        <v>3025457</v>
      </c>
      <c r="G1683" s="37">
        <v>21771.5</v>
      </c>
      <c r="H1683" s="33">
        <v>9050</v>
      </c>
      <c r="I1683" s="16">
        <f t="shared" si="249"/>
        <v>197032075</v>
      </c>
      <c r="J1683" s="17">
        <v>45</v>
      </c>
      <c r="K1683" s="34">
        <v>4502373308</v>
      </c>
      <c r="L1683" s="19">
        <v>5082914085</v>
      </c>
      <c r="M1683" s="20">
        <v>5113473209</v>
      </c>
      <c r="N1683" s="23"/>
      <c r="O1683" s="9" t="s">
        <v>37</v>
      </c>
      <c r="P1683" s="23"/>
      <c r="Q1683" s="24" t="s">
        <v>31</v>
      </c>
      <c r="R1683" s="25">
        <v>44768</v>
      </c>
      <c r="S1683" s="28"/>
      <c r="T1683" s="35"/>
      <c r="U1683" s="35"/>
      <c r="V1683" s="29"/>
      <c r="W1683" s="35"/>
      <c r="X1683" s="29"/>
      <c r="Y1683" s="36"/>
      <c r="Z1683" s="29"/>
      <c r="AA1683" s="31">
        <f t="shared" si="1"/>
        <v>44768</v>
      </c>
      <c r="AB1683" s="32" t="str">
        <f t="shared" si="5"/>
        <v>julio</v>
      </c>
    </row>
    <row r="1684" spans="1:28" ht="12.75">
      <c r="A1684" s="22" t="s">
        <v>404</v>
      </c>
      <c r="B1684" s="10">
        <v>44770</v>
      </c>
      <c r="C1684" s="11">
        <v>44770</v>
      </c>
      <c r="D1684" s="49">
        <v>30</v>
      </c>
      <c r="E1684" s="13" t="s">
        <v>142</v>
      </c>
      <c r="F1684" s="13">
        <v>3025457</v>
      </c>
      <c r="G1684" s="37">
        <v>21771.5</v>
      </c>
      <c r="H1684" s="33">
        <v>50</v>
      </c>
      <c r="I1684" s="16">
        <f>-H1684*G1684</f>
        <v>-1088575</v>
      </c>
      <c r="J1684" s="17">
        <v>0</v>
      </c>
      <c r="K1684" s="34">
        <v>4502373308</v>
      </c>
      <c r="L1684" s="19">
        <v>5082914085</v>
      </c>
      <c r="M1684" s="20">
        <v>5113473213</v>
      </c>
      <c r="N1684" s="23"/>
      <c r="O1684" s="9"/>
      <c r="P1684" s="23"/>
      <c r="Q1684" s="24" t="s">
        <v>31</v>
      </c>
      <c r="R1684" s="25">
        <v>44768</v>
      </c>
      <c r="S1684" s="28"/>
      <c r="T1684" s="35"/>
      <c r="U1684" s="35"/>
      <c r="V1684" s="29"/>
      <c r="W1684" s="35"/>
      <c r="X1684" s="29"/>
      <c r="Y1684" s="36"/>
      <c r="Z1684" s="29"/>
      <c r="AA1684" s="31">
        <f t="shared" si="1"/>
        <v>44768</v>
      </c>
      <c r="AB1684" s="32" t="str">
        <f t="shared" si="5"/>
        <v>julio</v>
      </c>
    </row>
    <row r="1685" spans="1:28" ht="12.75">
      <c r="A1685" s="9" t="s">
        <v>305</v>
      </c>
      <c r="B1685" s="10">
        <v>44770</v>
      </c>
      <c r="C1685" s="11"/>
      <c r="D1685" s="49">
        <v>30</v>
      </c>
      <c r="E1685" s="13" t="s">
        <v>2173</v>
      </c>
      <c r="F1685" s="13">
        <v>3025457</v>
      </c>
      <c r="G1685" s="37">
        <v>22763.5</v>
      </c>
      <c r="H1685" s="33">
        <v>8650</v>
      </c>
      <c r="I1685" s="16">
        <f t="shared" ref="I1685:I1688" si="250">H1685*G1685</f>
        <v>196904275</v>
      </c>
      <c r="J1685" s="17">
        <v>42</v>
      </c>
      <c r="K1685" s="34">
        <v>4502373310</v>
      </c>
      <c r="L1685" s="19">
        <v>5082915794</v>
      </c>
      <c r="M1685" s="20">
        <v>5113477360</v>
      </c>
      <c r="N1685" s="23"/>
      <c r="O1685" s="9" t="s">
        <v>37</v>
      </c>
      <c r="P1685" s="23"/>
      <c r="Q1685" s="24" t="s">
        <v>31</v>
      </c>
      <c r="R1685" s="25">
        <v>44768</v>
      </c>
      <c r="S1685" s="28"/>
      <c r="T1685" s="35"/>
      <c r="U1685" s="35"/>
      <c r="V1685" s="29"/>
      <c r="W1685" s="35"/>
      <c r="X1685" s="29"/>
      <c r="Y1685" s="36"/>
      <c r="Z1685" s="29"/>
      <c r="AA1685" s="31">
        <f t="shared" si="1"/>
        <v>44768</v>
      </c>
      <c r="AB1685" s="32" t="str">
        <f t="shared" si="5"/>
        <v>julio</v>
      </c>
    </row>
    <row r="1686" spans="1:28" ht="12.75">
      <c r="A1686" s="9" t="s">
        <v>116</v>
      </c>
      <c r="B1686" s="10">
        <v>44748</v>
      </c>
      <c r="C1686" s="11">
        <v>44749</v>
      </c>
      <c r="D1686" s="49">
        <v>30</v>
      </c>
      <c r="E1686" s="13" t="s">
        <v>2055</v>
      </c>
      <c r="F1686" s="13">
        <v>3025459</v>
      </c>
      <c r="G1686" s="14">
        <v>190271</v>
      </c>
      <c r="H1686" s="15">
        <v>9635</v>
      </c>
      <c r="I1686" s="16">
        <f t="shared" si="250"/>
        <v>1833261085</v>
      </c>
      <c r="J1686" s="122">
        <v>70</v>
      </c>
      <c r="K1686" s="34">
        <v>4502365447</v>
      </c>
      <c r="L1686" s="19">
        <v>5082603723</v>
      </c>
      <c r="M1686" s="20">
        <v>5113437230</v>
      </c>
      <c r="N1686" s="23"/>
      <c r="O1686" s="22" t="s">
        <v>2174</v>
      </c>
      <c r="P1686" s="23"/>
      <c r="Q1686" s="24" t="s">
        <v>31</v>
      </c>
      <c r="R1686" s="25">
        <v>44768</v>
      </c>
      <c r="S1686" s="28">
        <v>4902310780</v>
      </c>
      <c r="T1686" s="35">
        <f>1750000*5</f>
        <v>8750000</v>
      </c>
      <c r="U1686" s="28" t="s">
        <v>2175</v>
      </c>
      <c r="V1686" s="29">
        <v>5113471207</v>
      </c>
      <c r="W1686" s="35"/>
      <c r="X1686" s="29"/>
      <c r="Y1686" s="36"/>
      <c r="Z1686" s="29"/>
      <c r="AA1686" s="31">
        <f t="shared" si="1"/>
        <v>44768</v>
      </c>
      <c r="AB1686" s="32" t="str">
        <f t="shared" si="5"/>
        <v>julio</v>
      </c>
    </row>
    <row r="1687" spans="1:28" ht="12.75">
      <c r="A1687" s="9" t="s">
        <v>58</v>
      </c>
      <c r="B1687" s="10">
        <v>44770</v>
      </c>
      <c r="C1687" s="11">
        <v>44770</v>
      </c>
      <c r="D1687" s="49">
        <v>30</v>
      </c>
      <c r="E1687" s="13" t="s">
        <v>2176</v>
      </c>
      <c r="F1687" s="13">
        <v>3025462</v>
      </c>
      <c r="G1687" s="14">
        <v>17089</v>
      </c>
      <c r="H1687" s="57">
        <v>7600</v>
      </c>
      <c r="I1687" s="16">
        <f t="shared" si="250"/>
        <v>129876400</v>
      </c>
      <c r="J1687" s="17">
        <v>60</v>
      </c>
      <c r="K1687" s="34">
        <v>4502379039</v>
      </c>
      <c r="L1687" s="19">
        <v>5082933495</v>
      </c>
      <c r="M1687" s="20">
        <v>5113497744</v>
      </c>
      <c r="N1687" s="23"/>
      <c r="O1687" s="23" t="s">
        <v>37</v>
      </c>
      <c r="P1687" s="23"/>
      <c r="Q1687" s="24" t="s">
        <v>357</v>
      </c>
      <c r="R1687" s="25">
        <v>44769</v>
      </c>
      <c r="S1687" s="28"/>
      <c r="T1687" s="35"/>
      <c r="U1687" s="35"/>
      <c r="V1687" s="29"/>
      <c r="W1687" s="35"/>
      <c r="X1687" s="29"/>
      <c r="Y1687" s="36"/>
      <c r="Z1687" s="29"/>
      <c r="AA1687" s="31">
        <f t="shared" si="1"/>
        <v>44769</v>
      </c>
      <c r="AB1687" s="32" t="str">
        <f t="shared" si="5"/>
        <v>julio</v>
      </c>
    </row>
    <row r="1688" spans="1:28" ht="12.75">
      <c r="A1688" s="9" t="s">
        <v>111</v>
      </c>
      <c r="B1688" s="10">
        <v>44775</v>
      </c>
      <c r="C1688" s="11">
        <v>44775</v>
      </c>
      <c r="D1688" s="53">
        <v>31</v>
      </c>
      <c r="E1688" s="13" t="s">
        <v>2177</v>
      </c>
      <c r="F1688" s="13">
        <v>3025457</v>
      </c>
      <c r="G1688" s="14">
        <v>13003</v>
      </c>
      <c r="H1688" s="33">
        <v>8650</v>
      </c>
      <c r="I1688" s="16">
        <f t="shared" si="250"/>
        <v>112475950</v>
      </c>
      <c r="J1688" s="17">
        <v>28</v>
      </c>
      <c r="K1688" s="34">
        <v>4502378466</v>
      </c>
      <c r="L1688" s="19">
        <v>5082959844</v>
      </c>
      <c r="M1688" s="20">
        <v>5113484671</v>
      </c>
      <c r="N1688" s="23"/>
      <c r="O1688" s="9" t="s">
        <v>63</v>
      </c>
      <c r="P1688" s="23"/>
      <c r="Q1688" s="24" t="s">
        <v>31</v>
      </c>
      <c r="R1688" s="25">
        <v>44770</v>
      </c>
      <c r="S1688" s="28"/>
      <c r="T1688" s="35"/>
      <c r="U1688" s="35"/>
      <c r="V1688" s="29"/>
      <c r="W1688" s="35"/>
      <c r="X1688" s="29"/>
      <c r="Y1688" s="36"/>
      <c r="Z1688" s="29"/>
      <c r="AA1688" s="31">
        <f t="shared" si="1"/>
        <v>44770</v>
      </c>
      <c r="AB1688" s="32" t="str">
        <f t="shared" si="5"/>
        <v>julio</v>
      </c>
    </row>
    <row r="1689" spans="1:28" ht="12.75">
      <c r="A1689" s="9" t="s">
        <v>111</v>
      </c>
      <c r="B1689" s="10">
        <v>44775</v>
      </c>
      <c r="C1689" s="11">
        <v>44775</v>
      </c>
      <c r="D1689" s="53">
        <v>31</v>
      </c>
      <c r="E1689" s="13" t="s">
        <v>2178</v>
      </c>
      <c r="F1689" s="13">
        <v>3025457</v>
      </c>
      <c r="G1689" s="14">
        <v>13003</v>
      </c>
      <c r="H1689" s="33">
        <v>50</v>
      </c>
      <c r="I1689" s="16">
        <f>-H1689*G1689</f>
        <v>-650150</v>
      </c>
      <c r="J1689" s="17">
        <v>0</v>
      </c>
      <c r="K1689" s="34">
        <v>4502378466</v>
      </c>
      <c r="L1689" s="19">
        <v>5082959844</v>
      </c>
      <c r="M1689" s="20">
        <v>5113484673</v>
      </c>
      <c r="N1689" s="23"/>
      <c r="O1689" s="9"/>
      <c r="P1689" s="23"/>
      <c r="Q1689" s="24" t="s">
        <v>31</v>
      </c>
      <c r="R1689" s="25">
        <v>44770</v>
      </c>
      <c r="S1689" s="28"/>
      <c r="T1689" s="35"/>
      <c r="U1689" s="35"/>
      <c r="V1689" s="29"/>
      <c r="W1689" s="35"/>
      <c r="X1689" s="29"/>
      <c r="Y1689" s="36"/>
      <c r="Z1689" s="29"/>
      <c r="AA1689" s="31">
        <f t="shared" si="1"/>
        <v>44770</v>
      </c>
      <c r="AB1689" s="32" t="str">
        <f t="shared" si="5"/>
        <v>julio</v>
      </c>
    </row>
    <row r="1690" spans="1:28" ht="12.75">
      <c r="A1690" s="9" t="s">
        <v>247</v>
      </c>
      <c r="B1690" s="10">
        <v>44775</v>
      </c>
      <c r="C1690" s="11">
        <v>44775</v>
      </c>
      <c r="D1690" s="53">
        <v>31</v>
      </c>
      <c r="E1690" s="13" t="s">
        <v>2179</v>
      </c>
      <c r="F1690" s="13">
        <v>3025457</v>
      </c>
      <c r="G1690" s="14">
        <v>14508</v>
      </c>
      <c r="H1690" s="33">
        <v>8550</v>
      </c>
      <c r="I1690" s="16">
        <f>H1690*G1690</f>
        <v>124043400</v>
      </c>
      <c r="J1690" s="17">
        <v>28</v>
      </c>
      <c r="K1690" s="34">
        <v>4502378467</v>
      </c>
      <c r="L1690" s="19">
        <v>5082959846</v>
      </c>
      <c r="M1690" s="20">
        <v>5113497937</v>
      </c>
      <c r="N1690" s="23"/>
      <c r="O1690" s="9" t="s">
        <v>63</v>
      </c>
      <c r="P1690" s="23" t="s">
        <v>2180</v>
      </c>
      <c r="Q1690" s="24" t="s">
        <v>31</v>
      </c>
      <c r="R1690" s="25">
        <v>44770</v>
      </c>
      <c r="S1690" s="28"/>
      <c r="T1690" s="35"/>
      <c r="U1690" s="35"/>
      <c r="V1690" s="29"/>
      <c r="W1690" s="35"/>
      <c r="X1690" s="29"/>
      <c r="Y1690" s="36"/>
      <c r="Z1690" s="29"/>
      <c r="AA1690" s="31">
        <f t="shared" si="1"/>
        <v>44770</v>
      </c>
      <c r="AB1690" s="32" t="str">
        <f t="shared" si="5"/>
        <v>julio</v>
      </c>
    </row>
    <row r="1691" spans="1:28" ht="12.75">
      <c r="A1691" s="9" t="s">
        <v>247</v>
      </c>
      <c r="B1691" s="10">
        <v>44775</v>
      </c>
      <c r="C1691" s="11"/>
      <c r="D1691" s="53">
        <v>31</v>
      </c>
      <c r="E1691" s="13" t="s">
        <v>1589</v>
      </c>
      <c r="F1691" s="13">
        <v>3025457</v>
      </c>
      <c r="G1691" s="14">
        <v>14508</v>
      </c>
      <c r="H1691" s="33">
        <f>8550-8495.84</f>
        <v>54.159999999999854</v>
      </c>
      <c r="I1691" s="16">
        <f>-H1691*G1691</f>
        <v>-785753.27999999793</v>
      </c>
      <c r="J1691" s="17">
        <v>0</v>
      </c>
      <c r="K1691" s="34">
        <v>4502378467</v>
      </c>
      <c r="L1691" s="19">
        <v>5082959846</v>
      </c>
      <c r="M1691" s="20">
        <v>5113497940</v>
      </c>
      <c r="N1691" s="23"/>
      <c r="O1691" s="9"/>
      <c r="P1691" s="23"/>
      <c r="Q1691" s="24" t="s">
        <v>31</v>
      </c>
      <c r="R1691" s="25">
        <v>44770</v>
      </c>
      <c r="S1691" s="28"/>
      <c r="T1691" s="35"/>
      <c r="U1691" s="35"/>
      <c r="V1691" s="29"/>
      <c r="W1691" s="35"/>
      <c r="X1691" s="29"/>
      <c r="Y1691" s="36"/>
      <c r="Z1691" s="29"/>
      <c r="AA1691" s="31">
        <f t="shared" si="1"/>
        <v>44770</v>
      </c>
      <c r="AB1691" s="32" t="str">
        <f t="shared" si="5"/>
        <v>julio</v>
      </c>
    </row>
    <row r="1692" spans="1:28" ht="12.75">
      <c r="A1692" s="9" t="s">
        <v>416</v>
      </c>
      <c r="B1692" s="10">
        <v>44774</v>
      </c>
      <c r="C1692" s="11">
        <v>44777</v>
      </c>
      <c r="D1692" s="53">
        <v>31</v>
      </c>
      <c r="E1692" s="13" t="s">
        <v>2181</v>
      </c>
      <c r="F1692" s="13">
        <v>3025457</v>
      </c>
      <c r="G1692" s="37">
        <v>6447.5</v>
      </c>
      <c r="H1692" s="33">
        <v>8950</v>
      </c>
      <c r="I1692" s="16">
        <f t="shared" ref="I1692:I1693" si="251">H1692*G1692</f>
        <v>57705125</v>
      </c>
      <c r="J1692" s="17">
        <v>14</v>
      </c>
      <c r="K1692" s="34">
        <v>4502378468</v>
      </c>
      <c r="L1692" s="19">
        <v>5082959847</v>
      </c>
      <c r="M1692" s="20">
        <v>5113488580</v>
      </c>
      <c r="N1692" s="23"/>
      <c r="O1692" s="23" t="s">
        <v>37</v>
      </c>
      <c r="P1692" s="23" t="s">
        <v>2182</v>
      </c>
      <c r="Q1692" s="24" t="s">
        <v>31</v>
      </c>
      <c r="R1692" s="25">
        <v>44770</v>
      </c>
      <c r="S1692" s="28"/>
      <c r="T1692" s="35"/>
      <c r="U1692" s="35"/>
      <c r="V1692" s="29"/>
      <c r="W1692" s="35"/>
      <c r="X1692" s="29"/>
      <c r="Y1692" s="36"/>
      <c r="Z1692" s="29"/>
      <c r="AA1692" s="31">
        <f t="shared" si="1"/>
        <v>44770</v>
      </c>
      <c r="AB1692" s="32" t="str">
        <f t="shared" si="5"/>
        <v>julio</v>
      </c>
    </row>
    <row r="1693" spans="1:28" ht="12.75">
      <c r="A1693" s="22" t="s">
        <v>404</v>
      </c>
      <c r="B1693" s="10">
        <v>44774</v>
      </c>
      <c r="C1693" s="11">
        <v>44774</v>
      </c>
      <c r="D1693" s="53">
        <v>31</v>
      </c>
      <c r="E1693" s="13" t="s">
        <v>2183</v>
      </c>
      <c r="F1693" s="13">
        <v>3025457</v>
      </c>
      <c r="G1693" s="37">
        <v>13592.5</v>
      </c>
      <c r="H1693" s="33">
        <v>8950</v>
      </c>
      <c r="I1693" s="16">
        <f t="shared" si="251"/>
        <v>121652875</v>
      </c>
      <c r="J1693" s="17">
        <v>28</v>
      </c>
      <c r="K1693" s="34">
        <v>4502378469</v>
      </c>
      <c r="L1693" s="19">
        <v>5082960248</v>
      </c>
      <c r="M1693" s="20">
        <v>5113486447</v>
      </c>
      <c r="N1693" s="23"/>
      <c r="O1693" s="9" t="s">
        <v>37</v>
      </c>
      <c r="P1693" s="23" t="s">
        <v>2184</v>
      </c>
      <c r="Q1693" s="24" t="s">
        <v>31</v>
      </c>
      <c r="R1693" s="25">
        <v>44770</v>
      </c>
      <c r="S1693" s="28"/>
      <c r="T1693" s="35"/>
      <c r="U1693" s="35"/>
      <c r="V1693" s="29"/>
      <c r="W1693" s="35"/>
      <c r="X1693" s="29"/>
      <c r="Y1693" s="36"/>
      <c r="Z1693" s="29"/>
      <c r="AA1693" s="31">
        <f t="shared" si="1"/>
        <v>44770</v>
      </c>
      <c r="AB1693" s="32" t="str">
        <f t="shared" si="5"/>
        <v>julio</v>
      </c>
    </row>
    <row r="1694" spans="1:28" ht="12.75">
      <c r="A1694" s="22" t="s">
        <v>404</v>
      </c>
      <c r="B1694" s="10">
        <v>44774</v>
      </c>
      <c r="C1694" s="11">
        <v>44774</v>
      </c>
      <c r="D1694" s="53">
        <v>31</v>
      </c>
      <c r="E1694" s="13" t="s">
        <v>190</v>
      </c>
      <c r="F1694" s="13">
        <v>3025457</v>
      </c>
      <c r="G1694" s="37">
        <v>13592.5</v>
      </c>
      <c r="H1694" s="33">
        <v>150</v>
      </c>
      <c r="I1694" s="16">
        <f>-H1694*G1694</f>
        <v>-2038875</v>
      </c>
      <c r="J1694" s="17">
        <v>0</v>
      </c>
      <c r="K1694" s="34">
        <v>4502378469</v>
      </c>
      <c r="L1694" s="19">
        <v>5082960248</v>
      </c>
      <c r="M1694" s="20">
        <v>5113486448</v>
      </c>
      <c r="N1694" s="23"/>
      <c r="O1694" s="9"/>
      <c r="P1694" s="23" t="s">
        <v>2185</v>
      </c>
      <c r="Q1694" s="24" t="s">
        <v>31</v>
      </c>
      <c r="R1694" s="25">
        <v>44770</v>
      </c>
      <c r="S1694" s="28"/>
      <c r="T1694" s="35"/>
      <c r="U1694" s="35"/>
      <c r="V1694" s="29"/>
      <c r="W1694" s="35"/>
      <c r="X1694" s="29"/>
      <c r="Y1694" s="36"/>
      <c r="Z1694" s="29"/>
      <c r="AA1694" s="31">
        <f t="shared" si="1"/>
        <v>44770</v>
      </c>
      <c r="AB1694" s="32" t="str">
        <f t="shared" si="5"/>
        <v>julio</v>
      </c>
    </row>
    <row r="1695" spans="1:28" ht="12.75">
      <c r="A1695" s="9" t="s">
        <v>99</v>
      </c>
      <c r="B1695" s="10">
        <v>44775</v>
      </c>
      <c r="C1695" s="11">
        <v>44776</v>
      </c>
      <c r="D1695" s="53">
        <v>31</v>
      </c>
      <c r="E1695" s="13" t="s">
        <v>2186</v>
      </c>
      <c r="F1695" s="13">
        <v>3025460</v>
      </c>
      <c r="G1695" s="14">
        <v>19056</v>
      </c>
      <c r="H1695" s="33">
        <v>8550</v>
      </c>
      <c r="I1695" s="16">
        <f>H1695*G1695</f>
        <v>162928800</v>
      </c>
      <c r="J1695" s="17">
        <v>44</v>
      </c>
      <c r="K1695" s="34">
        <v>4502378470</v>
      </c>
      <c r="L1695" s="19">
        <v>5082962560</v>
      </c>
      <c r="M1695" s="20">
        <v>5113486554</v>
      </c>
      <c r="N1695" s="23"/>
      <c r="O1695" s="23" t="s">
        <v>37</v>
      </c>
      <c r="P1695" s="23"/>
      <c r="Q1695" s="24" t="s">
        <v>31</v>
      </c>
      <c r="R1695" s="25">
        <v>44770</v>
      </c>
      <c r="S1695" s="28"/>
      <c r="T1695" s="35"/>
      <c r="U1695" s="35"/>
      <c r="V1695" s="29"/>
      <c r="W1695" s="35"/>
      <c r="X1695" s="29"/>
      <c r="Y1695" s="36"/>
      <c r="Z1695" s="29"/>
      <c r="AA1695" s="31">
        <f t="shared" si="1"/>
        <v>44770</v>
      </c>
      <c r="AB1695" s="32" t="str">
        <f t="shared" si="5"/>
        <v>julio</v>
      </c>
    </row>
    <row r="1696" spans="1:28" ht="12.75">
      <c r="A1696" s="9" t="s">
        <v>99</v>
      </c>
      <c r="B1696" s="10">
        <v>44775</v>
      </c>
      <c r="C1696" s="11">
        <v>44776</v>
      </c>
      <c r="D1696" s="53">
        <v>31</v>
      </c>
      <c r="E1696" s="13" t="s">
        <v>2187</v>
      </c>
      <c r="F1696" s="13">
        <v>3025460</v>
      </c>
      <c r="G1696" s="14">
        <v>19056</v>
      </c>
      <c r="H1696" s="33">
        <f>8550-8361.02</f>
        <v>188.97999999999956</v>
      </c>
      <c r="I1696" s="16">
        <f>-H1696*G1696</f>
        <v>-3601202.8799999915</v>
      </c>
      <c r="J1696" s="17">
        <v>0</v>
      </c>
      <c r="K1696" s="34">
        <v>4502378470</v>
      </c>
      <c r="L1696" s="19">
        <v>5082962560</v>
      </c>
      <c r="M1696" s="20">
        <v>5113486598</v>
      </c>
      <c r="N1696" s="23"/>
      <c r="O1696" s="9"/>
      <c r="P1696" s="23"/>
      <c r="Q1696" s="24" t="s">
        <v>31</v>
      </c>
      <c r="R1696" s="25">
        <v>44770</v>
      </c>
      <c r="S1696" s="28"/>
      <c r="T1696" s="35"/>
      <c r="U1696" s="35"/>
      <c r="V1696" s="29"/>
      <c r="W1696" s="35"/>
      <c r="X1696" s="29"/>
      <c r="Y1696" s="36"/>
      <c r="Z1696" s="29"/>
      <c r="AA1696" s="31">
        <f t="shared" si="1"/>
        <v>44770</v>
      </c>
      <c r="AB1696" s="32" t="str">
        <f t="shared" si="5"/>
        <v>julio</v>
      </c>
    </row>
    <row r="1697" spans="1:28" ht="12.75">
      <c r="A1697" s="9" t="s">
        <v>621</v>
      </c>
      <c r="B1697" s="10">
        <v>44775</v>
      </c>
      <c r="C1697" s="11">
        <v>44775</v>
      </c>
      <c r="D1697" s="53">
        <v>31</v>
      </c>
      <c r="E1697" s="13" t="s">
        <v>2188</v>
      </c>
      <c r="F1697" s="13">
        <v>3025460</v>
      </c>
      <c r="G1697" s="14">
        <v>6665</v>
      </c>
      <c r="H1697" s="33">
        <v>8650</v>
      </c>
      <c r="I1697" s="16">
        <f>H1697*G1697</f>
        <v>57652250</v>
      </c>
      <c r="J1697" s="17">
        <v>14</v>
      </c>
      <c r="K1697" s="34">
        <v>4502378471</v>
      </c>
      <c r="L1697" s="19">
        <v>5082960249</v>
      </c>
      <c r="M1697" s="20">
        <v>5113484619</v>
      </c>
      <c r="N1697" s="23"/>
      <c r="O1697" s="9" t="s">
        <v>63</v>
      </c>
      <c r="P1697" s="23"/>
      <c r="Q1697" s="24" t="s">
        <v>31</v>
      </c>
      <c r="R1697" s="25">
        <v>44770</v>
      </c>
      <c r="S1697" s="28"/>
      <c r="T1697" s="35"/>
      <c r="U1697" s="35"/>
      <c r="V1697" s="29"/>
      <c r="W1697" s="35"/>
      <c r="X1697" s="29"/>
      <c r="Y1697" s="36"/>
      <c r="Z1697" s="29"/>
      <c r="AA1697" s="31">
        <f t="shared" si="1"/>
        <v>44770</v>
      </c>
      <c r="AB1697" s="32" t="str">
        <f t="shared" si="5"/>
        <v>julio</v>
      </c>
    </row>
    <row r="1698" spans="1:28" ht="12.75">
      <c r="A1698" s="9" t="s">
        <v>621</v>
      </c>
      <c r="B1698" s="10">
        <v>44775</v>
      </c>
      <c r="C1698" s="11">
        <v>44775</v>
      </c>
      <c r="D1698" s="53">
        <v>31</v>
      </c>
      <c r="E1698" s="13" t="s">
        <v>2189</v>
      </c>
      <c r="F1698" s="13">
        <v>3025460</v>
      </c>
      <c r="G1698" s="14">
        <v>6665</v>
      </c>
      <c r="H1698" s="33">
        <f>8650-8440.53</f>
        <v>209.46999999999935</v>
      </c>
      <c r="I1698" s="16">
        <f>-H1698*G1698</f>
        <v>-1396117.5499999956</v>
      </c>
      <c r="J1698" s="17">
        <v>0</v>
      </c>
      <c r="K1698" s="34">
        <v>4502378471</v>
      </c>
      <c r="L1698" s="19">
        <v>5082960249</v>
      </c>
      <c r="M1698" s="20">
        <v>5113484620</v>
      </c>
      <c r="N1698" s="23"/>
      <c r="O1698" s="9"/>
      <c r="P1698" s="23"/>
      <c r="Q1698" s="24" t="s">
        <v>31</v>
      </c>
      <c r="R1698" s="25">
        <v>44770</v>
      </c>
      <c r="S1698" s="28"/>
      <c r="T1698" s="35"/>
      <c r="U1698" s="35"/>
      <c r="V1698" s="29"/>
      <c r="W1698" s="35"/>
      <c r="X1698" s="29"/>
      <c r="Y1698" s="36"/>
      <c r="Z1698" s="29"/>
      <c r="AA1698" s="31">
        <f t="shared" si="1"/>
        <v>44770</v>
      </c>
      <c r="AB1698" s="32" t="str">
        <f t="shared" si="5"/>
        <v>julio</v>
      </c>
    </row>
    <row r="1699" spans="1:28" ht="12.75">
      <c r="A1699" s="9" t="s">
        <v>39</v>
      </c>
      <c r="B1699" s="10">
        <v>44774</v>
      </c>
      <c r="C1699" s="11">
        <v>44774</v>
      </c>
      <c r="D1699" s="53">
        <v>31</v>
      </c>
      <c r="E1699" s="13" t="s">
        <v>2190</v>
      </c>
      <c r="F1699" s="13">
        <v>3025460</v>
      </c>
      <c r="G1699" s="14">
        <v>6675</v>
      </c>
      <c r="H1699" s="33">
        <v>8950</v>
      </c>
      <c r="I1699" s="16">
        <f>H1699*G1699</f>
        <v>59741250</v>
      </c>
      <c r="J1699" s="17">
        <v>14</v>
      </c>
      <c r="K1699" s="34">
        <v>4502378472</v>
      </c>
      <c r="L1699" s="19">
        <v>5082960250</v>
      </c>
      <c r="M1699" s="20">
        <v>5113486357</v>
      </c>
      <c r="N1699" s="23"/>
      <c r="O1699" s="23" t="s">
        <v>37</v>
      </c>
      <c r="P1699" s="23"/>
      <c r="Q1699" s="24" t="s">
        <v>31</v>
      </c>
      <c r="R1699" s="25">
        <v>44770</v>
      </c>
      <c r="S1699" s="28"/>
      <c r="T1699" s="35"/>
      <c r="U1699" s="35"/>
      <c r="V1699" s="29"/>
      <c r="W1699" s="35"/>
      <c r="X1699" s="29"/>
      <c r="Y1699" s="36"/>
      <c r="Z1699" s="29"/>
      <c r="AA1699" s="31">
        <f t="shared" si="1"/>
        <v>44770</v>
      </c>
      <c r="AB1699" s="32" t="str">
        <f t="shared" si="5"/>
        <v>julio</v>
      </c>
    </row>
    <row r="1700" spans="1:28" ht="12.75">
      <c r="A1700" s="9" t="s">
        <v>39</v>
      </c>
      <c r="B1700" s="10">
        <v>44774</v>
      </c>
      <c r="C1700" s="11">
        <v>44774</v>
      </c>
      <c r="D1700" s="53">
        <v>31</v>
      </c>
      <c r="E1700" s="13" t="s">
        <v>660</v>
      </c>
      <c r="F1700" s="13">
        <v>3025460</v>
      </c>
      <c r="G1700" s="14">
        <v>6675</v>
      </c>
      <c r="H1700" s="33">
        <v>100</v>
      </c>
      <c r="I1700" s="16">
        <f>-H1700*G1700</f>
        <v>-667500</v>
      </c>
      <c r="J1700" s="17">
        <v>0</v>
      </c>
      <c r="K1700" s="34">
        <v>4502378472</v>
      </c>
      <c r="L1700" s="19">
        <v>5082960250</v>
      </c>
      <c r="M1700" s="20">
        <v>5113486359</v>
      </c>
      <c r="N1700" s="23"/>
      <c r="O1700" s="9"/>
      <c r="P1700" s="23"/>
      <c r="Q1700" s="24" t="s">
        <v>31</v>
      </c>
      <c r="R1700" s="25">
        <v>44770</v>
      </c>
      <c r="S1700" s="28"/>
      <c r="T1700" s="35"/>
      <c r="U1700" s="35"/>
      <c r="V1700" s="29"/>
      <c r="W1700" s="35"/>
      <c r="X1700" s="29"/>
      <c r="Y1700" s="36"/>
      <c r="Z1700" s="29"/>
      <c r="AA1700" s="31">
        <f t="shared" si="1"/>
        <v>44770</v>
      </c>
      <c r="AB1700" s="32" t="str">
        <f t="shared" si="5"/>
        <v>julio</v>
      </c>
    </row>
    <row r="1701" spans="1:28" ht="12.75">
      <c r="A1701" s="9" t="s">
        <v>489</v>
      </c>
      <c r="B1701" s="10">
        <v>44775</v>
      </c>
      <c r="C1701" s="11">
        <v>44775</v>
      </c>
      <c r="D1701" s="53">
        <v>31</v>
      </c>
      <c r="E1701" s="13" t="s">
        <v>2191</v>
      </c>
      <c r="F1701" s="13">
        <v>3025460</v>
      </c>
      <c r="G1701" s="14">
        <v>5923</v>
      </c>
      <c r="H1701" s="33">
        <v>8950</v>
      </c>
      <c r="I1701" s="16">
        <f>H1701*G1701</f>
        <v>53010850</v>
      </c>
      <c r="J1701" s="17">
        <v>15</v>
      </c>
      <c r="K1701" s="34">
        <v>4502378474</v>
      </c>
      <c r="L1701" s="19">
        <v>5082962561</v>
      </c>
      <c r="M1701" s="20">
        <v>5113485410</v>
      </c>
      <c r="N1701" s="23"/>
      <c r="O1701" s="9" t="s">
        <v>63</v>
      </c>
      <c r="P1701" s="23"/>
      <c r="Q1701" s="24" t="s">
        <v>31</v>
      </c>
      <c r="R1701" s="25">
        <v>44770</v>
      </c>
      <c r="S1701" s="28"/>
      <c r="T1701" s="35"/>
      <c r="U1701" s="35"/>
      <c r="V1701" s="29"/>
      <c r="W1701" s="35"/>
      <c r="X1701" s="29"/>
      <c r="Y1701" s="36"/>
      <c r="Z1701" s="29"/>
      <c r="AA1701" s="31">
        <f t="shared" si="1"/>
        <v>44770</v>
      </c>
      <c r="AB1701" s="32" t="str">
        <f t="shared" si="5"/>
        <v>julio</v>
      </c>
    </row>
    <row r="1702" spans="1:28" ht="12.75">
      <c r="A1702" s="9" t="s">
        <v>489</v>
      </c>
      <c r="B1702" s="10">
        <v>44775</v>
      </c>
      <c r="C1702" s="11">
        <v>44775</v>
      </c>
      <c r="D1702" s="53">
        <v>31</v>
      </c>
      <c r="E1702" s="13" t="s">
        <v>134</v>
      </c>
      <c r="F1702" s="13">
        <v>3025460</v>
      </c>
      <c r="G1702" s="14">
        <v>5923</v>
      </c>
      <c r="H1702" s="33">
        <f>8950-8892.22</f>
        <v>57.780000000000655</v>
      </c>
      <c r="I1702" s="16">
        <f>-H1702*G1702</f>
        <v>-342230.9400000039</v>
      </c>
      <c r="J1702" s="17">
        <v>0</v>
      </c>
      <c r="K1702" s="34">
        <v>4502378474</v>
      </c>
      <c r="L1702" s="19">
        <v>5082962561</v>
      </c>
      <c r="M1702" s="20">
        <v>5113485412</v>
      </c>
      <c r="N1702" s="23"/>
      <c r="O1702" s="9"/>
      <c r="P1702" s="23"/>
      <c r="Q1702" s="24" t="s">
        <v>31</v>
      </c>
      <c r="R1702" s="25">
        <v>44770</v>
      </c>
      <c r="S1702" s="28"/>
      <c r="T1702" s="35"/>
      <c r="U1702" s="35"/>
      <c r="V1702" s="29"/>
      <c r="W1702" s="35"/>
      <c r="X1702" s="29"/>
      <c r="Y1702" s="36"/>
      <c r="Z1702" s="29"/>
      <c r="AA1702" s="31">
        <f t="shared" si="1"/>
        <v>44770</v>
      </c>
      <c r="AB1702" s="32" t="str">
        <f t="shared" si="5"/>
        <v>julio</v>
      </c>
    </row>
    <row r="1703" spans="1:28" ht="12.75">
      <c r="A1703" s="9" t="s">
        <v>492</v>
      </c>
      <c r="B1703" s="10">
        <v>44775</v>
      </c>
      <c r="C1703" s="11">
        <v>44776</v>
      </c>
      <c r="D1703" s="53">
        <v>31</v>
      </c>
      <c r="E1703" s="13" t="s">
        <v>2192</v>
      </c>
      <c r="F1703" s="13">
        <v>3025460</v>
      </c>
      <c r="G1703" s="14">
        <v>5887</v>
      </c>
      <c r="H1703" s="33">
        <v>8950</v>
      </c>
      <c r="I1703" s="16">
        <f>H1703*G1703</f>
        <v>52688650</v>
      </c>
      <c r="J1703" s="17">
        <v>15</v>
      </c>
      <c r="K1703" s="34">
        <v>4502378476</v>
      </c>
      <c r="L1703" s="19">
        <v>5082962562</v>
      </c>
      <c r="M1703" s="20">
        <v>5113487315</v>
      </c>
      <c r="N1703" s="23"/>
      <c r="O1703" s="9" t="s">
        <v>37</v>
      </c>
      <c r="P1703" s="23"/>
      <c r="Q1703" s="24" t="s">
        <v>31</v>
      </c>
      <c r="R1703" s="25">
        <v>44770</v>
      </c>
      <c r="S1703" s="28"/>
      <c r="T1703" s="35"/>
      <c r="U1703" s="35"/>
      <c r="V1703" s="29"/>
      <c r="W1703" s="35"/>
      <c r="X1703" s="29"/>
      <c r="Y1703" s="36"/>
      <c r="Z1703" s="29"/>
      <c r="AA1703" s="31">
        <f t="shared" si="1"/>
        <v>44770</v>
      </c>
      <c r="AB1703" s="32" t="str">
        <f t="shared" si="5"/>
        <v>julio</v>
      </c>
    </row>
    <row r="1704" spans="1:28" ht="12.75">
      <c r="A1704" s="9" t="s">
        <v>492</v>
      </c>
      <c r="B1704" s="10">
        <v>44775</v>
      </c>
      <c r="C1704" s="11">
        <v>44776</v>
      </c>
      <c r="D1704" s="53">
        <v>31</v>
      </c>
      <c r="E1704" s="13" t="s">
        <v>134</v>
      </c>
      <c r="F1704" s="13">
        <v>3025460</v>
      </c>
      <c r="G1704" s="14">
        <v>5887</v>
      </c>
      <c r="H1704" s="33">
        <f>8950-8871.41</f>
        <v>78.590000000000146</v>
      </c>
      <c r="I1704" s="16">
        <f>-H1704*G1704</f>
        <v>-462659.33000000083</v>
      </c>
      <c r="J1704" s="17">
        <v>0</v>
      </c>
      <c r="K1704" s="34">
        <v>4502378476</v>
      </c>
      <c r="L1704" s="19">
        <v>5082962562</v>
      </c>
      <c r="M1704" s="20">
        <v>5113487348</v>
      </c>
      <c r="N1704" s="23"/>
      <c r="O1704" s="9"/>
      <c r="P1704" s="23"/>
      <c r="Q1704" s="24" t="s">
        <v>31</v>
      </c>
      <c r="R1704" s="25">
        <v>44770</v>
      </c>
      <c r="S1704" s="28"/>
      <c r="T1704" s="35"/>
      <c r="U1704" s="35"/>
      <c r="V1704" s="29"/>
      <c r="W1704" s="35"/>
      <c r="X1704" s="29"/>
      <c r="Y1704" s="36"/>
      <c r="Z1704" s="29"/>
      <c r="AA1704" s="31">
        <f t="shared" si="1"/>
        <v>44770</v>
      </c>
      <c r="AB1704" s="32" t="str">
        <f t="shared" si="5"/>
        <v>julio</v>
      </c>
    </row>
    <row r="1705" spans="1:28" ht="12.75">
      <c r="A1705" s="9" t="s">
        <v>196</v>
      </c>
      <c r="B1705" s="10">
        <v>44771</v>
      </c>
      <c r="C1705" s="11"/>
      <c r="D1705" s="53">
        <v>31</v>
      </c>
      <c r="E1705" s="13" t="s">
        <v>2193</v>
      </c>
      <c r="F1705" s="13">
        <v>3025457</v>
      </c>
      <c r="G1705" s="14">
        <v>28287</v>
      </c>
      <c r="H1705" s="15">
        <v>8300</v>
      </c>
      <c r="I1705" s="16">
        <f t="shared" ref="I1705:I1707" si="252">H1705*G1705</f>
        <v>234782100</v>
      </c>
      <c r="J1705" s="17">
        <v>56</v>
      </c>
      <c r="K1705" s="34">
        <v>4502380954</v>
      </c>
      <c r="L1705" s="19">
        <v>5082982964</v>
      </c>
      <c r="M1705" s="20">
        <v>5113487412</v>
      </c>
      <c r="N1705" s="23"/>
      <c r="O1705" s="22" t="s">
        <v>2194</v>
      </c>
      <c r="P1705" s="23"/>
      <c r="Q1705" s="24" t="s">
        <v>31</v>
      </c>
      <c r="R1705" s="25">
        <v>44771</v>
      </c>
      <c r="S1705" s="28">
        <v>4902316679</v>
      </c>
      <c r="T1705" s="35">
        <f>3587800+3540200</f>
        <v>7128000</v>
      </c>
      <c r="U1705" s="28" t="s">
        <v>2195</v>
      </c>
      <c r="V1705" s="29">
        <v>5113482849</v>
      </c>
      <c r="W1705" s="28" t="s">
        <v>2196</v>
      </c>
      <c r="X1705" s="29">
        <v>5113482851</v>
      </c>
      <c r="Y1705" s="36"/>
      <c r="Z1705" s="29"/>
      <c r="AA1705" s="31">
        <f t="shared" si="1"/>
        <v>44771</v>
      </c>
      <c r="AB1705" s="32" t="str">
        <f t="shared" si="5"/>
        <v>julio</v>
      </c>
    </row>
    <row r="1706" spans="1:28" ht="12.75">
      <c r="A1706" s="9" t="s">
        <v>39</v>
      </c>
      <c r="B1706" s="10">
        <v>44774</v>
      </c>
      <c r="C1706" s="11">
        <v>44774</v>
      </c>
      <c r="D1706" s="53">
        <v>31</v>
      </c>
      <c r="E1706" s="13" t="s">
        <v>2197</v>
      </c>
      <c r="F1706" s="13">
        <v>3025460</v>
      </c>
      <c r="G1706" s="37">
        <v>6146.5</v>
      </c>
      <c r="H1706" s="33">
        <v>8950</v>
      </c>
      <c r="I1706" s="16">
        <f t="shared" si="252"/>
        <v>55011175</v>
      </c>
      <c r="J1706" s="17">
        <v>13</v>
      </c>
      <c r="K1706" s="34">
        <v>4502378477</v>
      </c>
      <c r="L1706" s="19">
        <v>5082981756</v>
      </c>
      <c r="M1706" s="20">
        <v>5113486306</v>
      </c>
      <c r="N1706" s="23"/>
      <c r="O1706" s="23" t="s">
        <v>37</v>
      </c>
      <c r="P1706" s="23"/>
      <c r="Q1706" s="24" t="s">
        <v>31</v>
      </c>
      <c r="R1706" s="25">
        <v>44771</v>
      </c>
      <c r="S1706" s="28"/>
      <c r="T1706" s="35"/>
      <c r="U1706" s="35"/>
      <c r="V1706" s="29"/>
      <c r="W1706" s="35"/>
      <c r="X1706" s="29"/>
      <c r="Y1706" s="36"/>
      <c r="Z1706" s="29"/>
      <c r="AA1706" s="31">
        <f t="shared" si="1"/>
        <v>44771</v>
      </c>
      <c r="AB1706" s="32" t="str">
        <f t="shared" si="5"/>
        <v>julio</v>
      </c>
    </row>
    <row r="1707" spans="1:28" ht="12.75">
      <c r="A1707" s="9" t="s">
        <v>58</v>
      </c>
      <c r="B1707" s="10">
        <v>44775</v>
      </c>
      <c r="C1707" s="11">
        <v>44775</v>
      </c>
      <c r="D1707" s="53">
        <v>31</v>
      </c>
      <c r="E1707" s="13" t="s">
        <v>2198</v>
      </c>
      <c r="F1707" s="13">
        <v>3025457</v>
      </c>
      <c r="G1707" s="37">
        <v>35805.5</v>
      </c>
      <c r="H1707" s="33">
        <v>8950</v>
      </c>
      <c r="I1707" s="16">
        <f t="shared" si="252"/>
        <v>320459225</v>
      </c>
      <c r="J1707" s="17">
        <v>75</v>
      </c>
      <c r="K1707" s="34">
        <v>4502378478</v>
      </c>
      <c r="L1707" s="19">
        <v>5082981757</v>
      </c>
      <c r="M1707" s="20">
        <v>5113488523</v>
      </c>
      <c r="N1707" s="23"/>
      <c r="O1707" s="9" t="s">
        <v>37</v>
      </c>
      <c r="P1707" s="23"/>
      <c r="Q1707" s="24" t="s">
        <v>31</v>
      </c>
      <c r="R1707" s="25">
        <v>44771</v>
      </c>
      <c r="S1707" s="28"/>
      <c r="T1707" s="35"/>
      <c r="U1707" s="35"/>
      <c r="V1707" s="29"/>
      <c r="W1707" s="35"/>
      <c r="X1707" s="29"/>
      <c r="Y1707" s="36"/>
      <c r="Z1707" s="29"/>
      <c r="AA1707" s="31">
        <f t="shared" si="1"/>
        <v>44771</v>
      </c>
      <c r="AB1707" s="32" t="str">
        <f t="shared" si="5"/>
        <v>julio</v>
      </c>
    </row>
    <row r="1708" spans="1:28" ht="12.75">
      <c r="A1708" s="9" t="s">
        <v>58</v>
      </c>
      <c r="B1708" s="10">
        <v>44777</v>
      </c>
      <c r="C1708" s="11">
        <v>44777</v>
      </c>
      <c r="D1708" s="53">
        <v>31</v>
      </c>
      <c r="E1708" s="13" t="s">
        <v>2199</v>
      </c>
      <c r="F1708" s="13">
        <v>3025457</v>
      </c>
      <c r="G1708" s="37">
        <v>52283.5</v>
      </c>
      <c r="H1708" s="33">
        <f>8950-8930.87</f>
        <v>19.1299999999992</v>
      </c>
      <c r="I1708" s="16">
        <f>-H1708*G1708</f>
        <v>-1000183.3549999582</v>
      </c>
      <c r="J1708" s="17">
        <v>0</v>
      </c>
      <c r="K1708" s="34">
        <v>4502378478</v>
      </c>
      <c r="L1708" s="19">
        <v>5082981757</v>
      </c>
      <c r="M1708" s="20">
        <v>5113488526</v>
      </c>
      <c r="N1708" s="23" t="s">
        <v>2200</v>
      </c>
      <c r="O1708" s="9" t="s">
        <v>2201</v>
      </c>
      <c r="P1708" s="23"/>
      <c r="Q1708" s="24" t="s">
        <v>31</v>
      </c>
      <c r="R1708" s="25">
        <v>44771</v>
      </c>
      <c r="S1708" s="28"/>
      <c r="T1708" s="35"/>
      <c r="U1708" s="35"/>
      <c r="V1708" s="29"/>
      <c r="W1708" s="35"/>
      <c r="X1708" s="29"/>
      <c r="Y1708" s="36"/>
      <c r="Z1708" s="29"/>
      <c r="AA1708" s="31">
        <f t="shared" si="1"/>
        <v>44771</v>
      </c>
      <c r="AB1708" s="32" t="str">
        <f t="shared" si="5"/>
        <v>julio</v>
      </c>
    </row>
    <row r="1709" spans="1:28" ht="12.75">
      <c r="A1709" s="9" t="s">
        <v>58</v>
      </c>
      <c r="B1709" s="10">
        <v>44775</v>
      </c>
      <c r="C1709" s="11">
        <v>44775</v>
      </c>
      <c r="D1709" s="53">
        <v>31</v>
      </c>
      <c r="E1709" s="13" t="s">
        <v>2198</v>
      </c>
      <c r="F1709" s="13">
        <v>3025460</v>
      </c>
      <c r="G1709" s="14">
        <v>16478</v>
      </c>
      <c r="H1709" s="33">
        <v>8950</v>
      </c>
      <c r="I1709" s="16">
        <f t="shared" ref="I1709:I1710" si="253">H1709*G1709</f>
        <v>147478100</v>
      </c>
      <c r="J1709" s="17">
        <v>30</v>
      </c>
      <c r="K1709" s="34">
        <v>4502378479</v>
      </c>
      <c r="L1709" s="19">
        <v>5082981757</v>
      </c>
      <c r="M1709" s="20">
        <v>5113488523</v>
      </c>
      <c r="N1709" s="23"/>
      <c r="O1709" s="9" t="s">
        <v>37</v>
      </c>
      <c r="P1709" s="23"/>
      <c r="Q1709" s="24" t="s">
        <v>31</v>
      </c>
      <c r="R1709" s="25">
        <v>44771</v>
      </c>
      <c r="S1709" s="28"/>
      <c r="T1709" s="35"/>
      <c r="U1709" s="35"/>
      <c r="V1709" s="29"/>
      <c r="W1709" s="35"/>
      <c r="X1709" s="29"/>
      <c r="Y1709" s="36"/>
      <c r="Z1709" s="29"/>
      <c r="AA1709" s="31">
        <f t="shared" si="1"/>
        <v>44771</v>
      </c>
      <c r="AB1709" s="32" t="str">
        <f t="shared" si="5"/>
        <v>julio</v>
      </c>
    </row>
    <row r="1710" spans="1:28" ht="12.75">
      <c r="A1710" s="9" t="s">
        <v>58</v>
      </c>
      <c r="B1710" s="10">
        <v>44775</v>
      </c>
      <c r="C1710" s="11">
        <v>44775</v>
      </c>
      <c r="D1710" s="53">
        <v>31</v>
      </c>
      <c r="E1710" s="13" t="s">
        <v>2202</v>
      </c>
      <c r="F1710" s="13">
        <v>3025460</v>
      </c>
      <c r="G1710" s="37">
        <v>13913.5</v>
      </c>
      <c r="H1710" s="33">
        <v>8950</v>
      </c>
      <c r="I1710" s="16">
        <f t="shared" si="253"/>
        <v>124525825</v>
      </c>
      <c r="J1710" s="17">
        <v>30</v>
      </c>
      <c r="K1710" s="34">
        <v>4502378479</v>
      </c>
      <c r="L1710" s="19">
        <v>5082982868</v>
      </c>
      <c r="M1710" s="20">
        <v>5113503948</v>
      </c>
      <c r="N1710" s="23"/>
      <c r="O1710" s="9" t="s">
        <v>37</v>
      </c>
      <c r="P1710" s="23"/>
      <c r="Q1710" s="24" t="s">
        <v>31</v>
      </c>
      <c r="R1710" s="25">
        <v>44771</v>
      </c>
      <c r="S1710" s="28"/>
      <c r="T1710" s="35"/>
      <c r="U1710" s="35"/>
      <c r="V1710" s="29"/>
      <c r="W1710" s="35"/>
      <c r="X1710" s="29"/>
      <c r="Y1710" s="36"/>
      <c r="Z1710" s="29"/>
      <c r="AA1710" s="31">
        <f t="shared" si="1"/>
        <v>44771</v>
      </c>
      <c r="AB1710" s="32" t="str">
        <f t="shared" si="5"/>
        <v>julio</v>
      </c>
    </row>
    <row r="1711" spans="1:28" ht="12.75">
      <c r="A1711" s="9" t="s">
        <v>58</v>
      </c>
      <c r="B1711" s="10">
        <v>44785</v>
      </c>
      <c r="C1711" s="11">
        <v>44785</v>
      </c>
      <c r="D1711" s="53">
        <v>31</v>
      </c>
      <c r="E1711" s="13" t="s">
        <v>2203</v>
      </c>
      <c r="F1711" s="13">
        <v>3025460</v>
      </c>
      <c r="G1711" s="37">
        <v>13913.5</v>
      </c>
      <c r="H1711" s="33">
        <v>100</v>
      </c>
      <c r="I1711" s="16">
        <f>-H1711*G1711</f>
        <v>-1391350</v>
      </c>
      <c r="J1711" s="17">
        <v>0</v>
      </c>
      <c r="K1711" s="34">
        <v>4502378479</v>
      </c>
      <c r="L1711" s="19">
        <v>5082982868</v>
      </c>
      <c r="M1711" s="20">
        <v>5113503949</v>
      </c>
      <c r="N1711" s="23" t="s">
        <v>2204</v>
      </c>
      <c r="O1711" s="9" t="s">
        <v>2205</v>
      </c>
      <c r="P1711" s="23"/>
      <c r="Q1711" s="24" t="s">
        <v>31</v>
      </c>
      <c r="R1711" s="25">
        <v>44771</v>
      </c>
      <c r="S1711" s="28"/>
      <c r="T1711" s="35"/>
      <c r="U1711" s="35"/>
      <c r="V1711" s="29"/>
      <c r="W1711" s="35"/>
      <c r="X1711" s="29"/>
      <c r="Y1711" s="36"/>
      <c r="Z1711" s="29"/>
      <c r="AA1711" s="31">
        <f t="shared" si="1"/>
        <v>44771</v>
      </c>
      <c r="AB1711" s="32" t="str">
        <f t="shared" si="5"/>
        <v>julio</v>
      </c>
    </row>
    <row r="1712" spans="1:28" ht="12.75">
      <c r="A1712" s="9" t="s">
        <v>642</v>
      </c>
      <c r="B1712" s="10">
        <v>44778</v>
      </c>
      <c r="C1712" s="11"/>
      <c r="D1712" s="53">
        <v>31</v>
      </c>
      <c r="E1712" s="13" t="s">
        <v>2206</v>
      </c>
      <c r="F1712" s="13">
        <v>3025460</v>
      </c>
      <c r="G1712" s="14">
        <v>22086</v>
      </c>
      <c r="H1712" s="33">
        <v>8550</v>
      </c>
      <c r="I1712" s="16">
        <f t="shared" ref="I1712:I1716" si="254">H1712*G1712</f>
        <v>188835300</v>
      </c>
      <c r="J1712" s="17">
        <v>45</v>
      </c>
      <c r="K1712" s="34">
        <v>4502380603</v>
      </c>
      <c r="L1712" s="19">
        <v>5082982857</v>
      </c>
      <c r="M1712" s="20">
        <v>5113497668</v>
      </c>
      <c r="N1712" s="23"/>
      <c r="O1712" s="9" t="s">
        <v>37</v>
      </c>
      <c r="P1712" s="23"/>
      <c r="Q1712" s="24" t="s">
        <v>31</v>
      </c>
      <c r="R1712" s="25">
        <v>44771</v>
      </c>
      <c r="S1712" s="28"/>
      <c r="T1712" s="35"/>
      <c r="U1712" s="35"/>
      <c r="V1712" s="29"/>
      <c r="W1712" s="35"/>
      <c r="X1712" s="29"/>
      <c r="Y1712" s="36"/>
      <c r="Z1712" s="29"/>
      <c r="AA1712" s="31">
        <f t="shared" si="1"/>
        <v>44771</v>
      </c>
      <c r="AB1712" s="32" t="str">
        <f t="shared" si="5"/>
        <v>julio</v>
      </c>
    </row>
    <row r="1713" spans="1:28" ht="12.75">
      <c r="A1713" s="9" t="s">
        <v>642</v>
      </c>
      <c r="B1713" s="10">
        <v>44778</v>
      </c>
      <c r="C1713" s="11"/>
      <c r="D1713" s="53">
        <v>31</v>
      </c>
      <c r="E1713" s="13" t="s">
        <v>863</v>
      </c>
      <c r="F1713" s="13">
        <v>3025460</v>
      </c>
      <c r="G1713" s="14">
        <v>22086</v>
      </c>
      <c r="H1713" s="33">
        <v>50</v>
      </c>
      <c r="I1713" s="16">
        <f t="shared" si="254"/>
        <v>1104300</v>
      </c>
      <c r="J1713" s="17">
        <v>0</v>
      </c>
      <c r="K1713" s="34">
        <v>4502380603</v>
      </c>
      <c r="L1713" s="19">
        <v>5082982857</v>
      </c>
      <c r="M1713" s="20">
        <v>5113497670</v>
      </c>
      <c r="N1713" s="44"/>
      <c r="O1713" s="9"/>
      <c r="P1713" s="23"/>
      <c r="Q1713" s="24" t="s">
        <v>31</v>
      </c>
      <c r="R1713" s="25">
        <v>44771</v>
      </c>
      <c r="S1713" s="28"/>
      <c r="T1713" s="35"/>
      <c r="U1713" s="35"/>
      <c r="V1713" s="29"/>
      <c r="W1713" s="35"/>
      <c r="X1713" s="29"/>
      <c r="Y1713" s="36"/>
      <c r="Z1713" s="29"/>
      <c r="AA1713" s="31">
        <f t="shared" si="1"/>
        <v>44771</v>
      </c>
      <c r="AB1713" s="32" t="str">
        <f t="shared" si="5"/>
        <v>julio</v>
      </c>
    </row>
    <row r="1714" spans="1:28" ht="12.75">
      <c r="A1714" s="9" t="s">
        <v>49</v>
      </c>
      <c r="B1714" s="10">
        <v>44775</v>
      </c>
      <c r="C1714" s="11">
        <v>44775</v>
      </c>
      <c r="D1714" s="53">
        <v>31</v>
      </c>
      <c r="E1714" s="13" t="s">
        <v>2207</v>
      </c>
      <c r="F1714" s="13">
        <v>3025457</v>
      </c>
      <c r="G1714" s="14">
        <v>15313</v>
      </c>
      <c r="H1714" s="15">
        <v>8150</v>
      </c>
      <c r="I1714" s="16">
        <f t="shared" si="254"/>
        <v>124800950</v>
      </c>
      <c r="J1714" s="17">
        <v>28</v>
      </c>
      <c r="K1714" s="34">
        <v>4502380957</v>
      </c>
      <c r="L1714" s="19">
        <v>5082982965</v>
      </c>
      <c r="M1714" s="20">
        <v>5113484204</v>
      </c>
      <c r="O1714" s="22" t="s">
        <v>1217</v>
      </c>
      <c r="P1714" s="23"/>
      <c r="Q1714" s="24" t="s">
        <v>31</v>
      </c>
      <c r="R1714" s="25">
        <v>44772</v>
      </c>
      <c r="S1714" s="28">
        <v>4902316691</v>
      </c>
      <c r="T1714" s="35">
        <f>2982600*2</f>
        <v>5965200</v>
      </c>
      <c r="U1714" s="28" t="s">
        <v>2208</v>
      </c>
      <c r="V1714" s="29">
        <v>5113485811</v>
      </c>
      <c r="W1714" s="35"/>
      <c r="X1714" s="29"/>
      <c r="Y1714" s="36"/>
      <c r="Z1714" s="29"/>
      <c r="AA1714" s="31">
        <f t="shared" si="1"/>
        <v>44772</v>
      </c>
      <c r="AB1714" s="32" t="str">
        <f t="shared" si="5"/>
        <v>julio</v>
      </c>
    </row>
    <row r="1715" spans="1:28" ht="12.75">
      <c r="A1715" s="9" t="s">
        <v>58</v>
      </c>
      <c r="B1715" s="10">
        <v>44775</v>
      </c>
      <c r="C1715" s="11">
        <v>44775</v>
      </c>
      <c r="D1715" s="53">
        <v>31</v>
      </c>
      <c r="E1715" s="13" t="s">
        <v>2209</v>
      </c>
      <c r="F1715" s="13">
        <v>3025457</v>
      </c>
      <c r="G1715" s="14">
        <v>15191</v>
      </c>
      <c r="H1715" s="33">
        <v>8950</v>
      </c>
      <c r="I1715" s="16">
        <f t="shared" si="254"/>
        <v>135959450</v>
      </c>
      <c r="J1715" s="17">
        <v>30</v>
      </c>
      <c r="K1715" s="34">
        <v>4502378481</v>
      </c>
      <c r="L1715" s="19">
        <v>5082982869</v>
      </c>
      <c r="M1715" s="20">
        <v>5113485465</v>
      </c>
      <c r="N1715" s="23"/>
      <c r="O1715" s="9" t="s">
        <v>37</v>
      </c>
      <c r="P1715" s="23"/>
      <c r="Q1715" s="24" t="s">
        <v>31</v>
      </c>
      <c r="R1715" s="25">
        <v>44772</v>
      </c>
      <c r="S1715" s="28"/>
      <c r="T1715" s="35"/>
      <c r="U1715" s="35"/>
      <c r="V1715" s="29"/>
      <c r="W1715" s="35"/>
      <c r="X1715" s="29"/>
      <c r="Y1715" s="36"/>
      <c r="Z1715" s="29"/>
      <c r="AA1715" s="31">
        <f t="shared" si="1"/>
        <v>44772</v>
      </c>
      <c r="AB1715" s="32" t="str">
        <f t="shared" si="5"/>
        <v>julio</v>
      </c>
    </row>
    <row r="1716" spans="1:28" ht="12.75">
      <c r="A1716" s="9" t="s">
        <v>58</v>
      </c>
      <c r="B1716" s="10">
        <v>44775</v>
      </c>
      <c r="C1716" s="11">
        <v>44775</v>
      </c>
      <c r="D1716" s="53">
        <v>31</v>
      </c>
      <c r="E1716" s="13" t="s">
        <v>2210</v>
      </c>
      <c r="F1716" s="13">
        <v>3025457</v>
      </c>
      <c r="G1716" s="37">
        <v>7669.5</v>
      </c>
      <c r="H1716" s="33">
        <v>8950</v>
      </c>
      <c r="I1716" s="16">
        <f t="shared" si="254"/>
        <v>68642025</v>
      </c>
      <c r="J1716" s="17">
        <v>15</v>
      </c>
      <c r="K1716" s="34">
        <v>4502380612</v>
      </c>
      <c r="L1716" s="19">
        <v>5082982978</v>
      </c>
      <c r="M1716" s="20">
        <v>5113488520</v>
      </c>
      <c r="N1716" s="23"/>
      <c r="O1716" s="9" t="s">
        <v>37</v>
      </c>
      <c r="P1716" s="23"/>
      <c r="Q1716" s="24" t="s">
        <v>31</v>
      </c>
      <c r="R1716" s="25">
        <v>44772</v>
      </c>
      <c r="S1716" s="28"/>
      <c r="T1716" s="35"/>
      <c r="U1716" s="35"/>
      <c r="V1716" s="29"/>
      <c r="W1716" s="35"/>
      <c r="X1716" s="29"/>
      <c r="Y1716" s="36"/>
      <c r="Z1716" s="29"/>
      <c r="AA1716" s="31">
        <f t="shared" si="1"/>
        <v>44772</v>
      </c>
      <c r="AB1716" s="32" t="str">
        <f t="shared" si="5"/>
        <v>julio</v>
      </c>
    </row>
    <row r="1717" spans="1:28" ht="12.75">
      <c r="A1717" s="9" t="s">
        <v>58</v>
      </c>
      <c r="B1717" s="10">
        <v>44659</v>
      </c>
      <c r="C1717" s="11">
        <v>44659</v>
      </c>
      <c r="D1717" s="53">
        <v>31</v>
      </c>
      <c r="E1717" s="13" t="s">
        <v>2211</v>
      </c>
      <c r="F1717" s="13">
        <v>3025459</v>
      </c>
      <c r="G1717" s="37">
        <v>7669.5</v>
      </c>
      <c r="H1717" s="33">
        <v>100</v>
      </c>
      <c r="I1717" s="16">
        <f>-H1717*G1717</f>
        <v>-766950</v>
      </c>
      <c r="J1717" s="17">
        <v>0</v>
      </c>
      <c r="K1717" s="34">
        <v>4502380612</v>
      </c>
      <c r="L1717" s="19">
        <v>5082982978</v>
      </c>
      <c r="M1717" s="20">
        <v>5113488521</v>
      </c>
      <c r="N1717" s="23"/>
      <c r="O1717" s="9"/>
      <c r="P1717" s="23"/>
      <c r="Q1717" s="24" t="s">
        <v>31</v>
      </c>
      <c r="R1717" s="25">
        <v>44772</v>
      </c>
      <c r="S1717" s="28"/>
      <c r="T1717" s="35"/>
      <c r="U1717" s="35"/>
      <c r="V1717" s="29"/>
      <c r="W1717" s="35"/>
      <c r="X1717" s="29"/>
      <c r="Y1717" s="36"/>
      <c r="Z1717" s="29"/>
      <c r="AA1717" s="31">
        <f t="shared" si="1"/>
        <v>44772</v>
      </c>
      <c r="AB1717" s="32" t="str">
        <f t="shared" si="5"/>
        <v>julio</v>
      </c>
    </row>
    <row r="1718" spans="1:28" ht="12.75">
      <c r="A1718" s="9" t="s">
        <v>642</v>
      </c>
      <c r="B1718" s="10">
        <v>44778</v>
      </c>
      <c r="C1718" s="11"/>
      <c r="D1718" s="53">
        <v>31</v>
      </c>
      <c r="E1718" s="13" t="s">
        <v>2212</v>
      </c>
      <c r="F1718" s="13">
        <v>3025457</v>
      </c>
      <c r="G1718" s="14">
        <v>14826</v>
      </c>
      <c r="H1718" s="33">
        <v>8550</v>
      </c>
      <c r="I1718" s="16">
        <f t="shared" ref="I1718:I1721" si="255">H1718*G1718</f>
        <v>126762300</v>
      </c>
      <c r="J1718" s="17">
        <v>30</v>
      </c>
      <c r="K1718" s="34">
        <v>4502380548</v>
      </c>
      <c r="L1718" s="19">
        <v>5082982960</v>
      </c>
      <c r="M1718" s="20">
        <v>5113497671</v>
      </c>
      <c r="N1718" s="23"/>
      <c r="O1718" s="9" t="s">
        <v>37</v>
      </c>
      <c r="P1718" s="23"/>
      <c r="Q1718" s="24" t="s">
        <v>31</v>
      </c>
      <c r="R1718" s="25">
        <v>44772</v>
      </c>
      <c r="S1718" s="28"/>
      <c r="T1718" s="35"/>
      <c r="U1718" s="35"/>
      <c r="V1718" s="29"/>
      <c r="W1718" s="35"/>
      <c r="X1718" s="29"/>
      <c r="Y1718" s="36"/>
      <c r="Z1718" s="29"/>
      <c r="AA1718" s="31">
        <f t="shared" si="1"/>
        <v>44772</v>
      </c>
      <c r="AB1718" s="32" t="str">
        <f t="shared" si="5"/>
        <v>julio</v>
      </c>
    </row>
    <row r="1719" spans="1:28" ht="16.5" customHeight="1">
      <c r="A1719" s="9" t="s">
        <v>99</v>
      </c>
      <c r="B1719" s="10">
        <v>44775</v>
      </c>
      <c r="C1719" s="11">
        <v>44776</v>
      </c>
      <c r="D1719" s="53">
        <v>31</v>
      </c>
      <c r="E1719" s="13" t="s">
        <v>2213</v>
      </c>
      <c r="F1719" s="13">
        <v>3025460</v>
      </c>
      <c r="G1719" s="14">
        <v>7281</v>
      </c>
      <c r="H1719" s="33">
        <v>8650</v>
      </c>
      <c r="I1719" s="16">
        <f t="shared" si="255"/>
        <v>62980650</v>
      </c>
      <c r="J1719" s="17">
        <v>15</v>
      </c>
      <c r="K1719" s="34">
        <v>4502378483</v>
      </c>
      <c r="L1719" s="19">
        <v>5082982959</v>
      </c>
      <c r="M1719" s="20">
        <v>5113486301</v>
      </c>
      <c r="N1719" s="23"/>
      <c r="O1719" s="23" t="s">
        <v>37</v>
      </c>
      <c r="P1719" s="23"/>
      <c r="Q1719" s="24" t="s">
        <v>31</v>
      </c>
      <c r="R1719" s="25">
        <v>44772</v>
      </c>
      <c r="S1719" s="28"/>
      <c r="T1719" s="35"/>
      <c r="U1719" s="35"/>
      <c r="V1719" s="29"/>
      <c r="W1719" s="35"/>
      <c r="X1719" s="29"/>
      <c r="Y1719" s="36"/>
      <c r="Z1719" s="29"/>
      <c r="AA1719" s="31">
        <f t="shared" si="1"/>
        <v>44772</v>
      </c>
      <c r="AB1719" s="32" t="str">
        <f t="shared" si="5"/>
        <v>julio</v>
      </c>
    </row>
    <row r="1720" spans="1:28" ht="12.75">
      <c r="A1720" s="9" t="s">
        <v>99</v>
      </c>
      <c r="B1720" s="10">
        <v>44775</v>
      </c>
      <c r="C1720" s="11">
        <v>44776</v>
      </c>
      <c r="D1720" s="53">
        <v>31</v>
      </c>
      <c r="E1720" s="13" t="s">
        <v>2214</v>
      </c>
      <c r="F1720" s="13">
        <v>3025460</v>
      </c>
      <c r="G1720" s="14">
        <v>7281</v>
      </c>
      <c r="H1720" s="33">
        <v>50</v>
      </c>
      <c r="I1720" s="16">
        <f t="shared" si="255"/>
        <v>364050</v>
      </c>
      <c r="J1720" s="17">
        <v>0</v>
      </c>
      <c r="K1720" s="34">
        <v>4502378483</v>
      </c>
      <c r="L1720" s="19">
        <v>5082982959</v>
      </c>
      <c r="M1720" s="20">
        <v>5113486302</v>
      </c>
      <c r="N1720" s="23"/>
      <c r="O1720" s="9"/>
      <c r="P1720" s="23"/>
      <c r="Q1720" s="24" t="s">
        <v>31</v>
      </c>
      <c r="R1720" s="25">
        <v>44772</v>
      </c>
      <c r="S1720" s="28"/>
      <c r="T1720" s="35"/>
      <c r="U1720" s="35"/>
      <c r="V1720" s="29"/>
      <c r="W1720" s="35"/>
      <c r="X1720" s="29"/>
      <c r="Y1720" s="36"/>
      <c r="Z1720" s="29"/>
      <c r="AA1720" s="31">
        <f t="shared" si="1"/>
        <v>44772</v>
      </c>
      <c r="AB1720" s="32" t="str">
        <f t="shared" si="5"/>
        <v>julio</v>
      </c>
    </row>
    <row r="1721" spans="1:28" ht="12.75">
      <c r="A1721" s="9" t="s">
        <v>242</v>
      </c>
      <c r="B1721" s="10">
        <v>44772</v>
      </c>
      <c r="C1721" s="11">
        <v>44775</v>
      </c>
      <c r="D1721" s="53">
        <v>31</v>
      </c>
      <c r="E1721" s="13" t="s">
        <v>2215</v>
      </c>
      <c r="F1721" s="13">
        <v>3025460</v>
      </c>
      <c r="G1721" s="14">
        <v>6083</v>
      </c>
      <c r="H1721" s="33">
        <v>8550</v>
      </c>
      <c r="I1721" s="16">
        <f t="shared" si="255"/>
        <v>52009650</v>
      </c>
      <c r="J1721" s="17">
        <v>13</v>
      </c>
      <c r="K1721" s="34">
        <v>4502378484</v>
      </c>
      <c r="L1721" s="19">
        <v>5082982145</v>
      </c>
      <c r="M1721" s="20">
        <v>5113487594</v>
      </c>
      <c r="N1721" s="23"/>
      <c r="O1721" s="9" t="s">
        <v>63</v>
      </c>
      <c r="P1721" s="23"/>
      <c r="Q1721" s="24" t="s">
        <v>31</v>
      </c>
      <c r="R1721" s="25">
        <v>44772</v>
      </c>
      <c r="S1721" s="28"/>
      <c r="T1721" s="35"/>
      <c r="U1721" s="35"/>
      <c r="V1721" s="29"/>
      <c r="W1721" s="35"/>
      <c r="X1721" s="29"/>
      <c r="Y1721" s="36"/>
      <c r="Z1721" s="29"/>
      <c r="AA1721" s="31">
        <f t="shared" si="1"/>
        <v>44772</v>
      </c>
      <c r="AB1721" s="32" t="str">
        <f t="shared" si="5"/>
        <v>julio</v>
      </c>
    </row>
    <row r="1722" spans="1:28" ht="12.75">
      <c r="A1722" s="9" t="s">
        <v>242</v>
      </c>
      <c r="B1722" s="10">
        <v>44775</v>
      </c>
      <c r="C1722" s="11">
        <v>44775</v>
      </c>
      <c r="D1722" s="53">
        <v>31</v>
      </c>
      <c r="E1722" s="13" t="s">
        <v>756</v>
      </c>
      <c r="F1722" s="13">
        <v>3025460</v>
      </c>
      <c r="G1722" s="14">
        <v>6083</v>
      </c>
      <c r="H1722" s="33">
        <f>8550-8533.73</f>
        <v>16.270000000000437</v>
      </c>
      <c r="I1722" s="16">
        <f>-H1722*G1722</f>
        <v>-98970.410000002652</v>
      </c>
      <c r="J1722" s="17">
        <v>0</v>
      </c>
      <c r="K1722" s="34">
        <v>4502378484</v>
      </c>
      <c r="L1722" s="19">
        <v>5082982145</v>
      </c>
      <c r="M1722" s="20">
        <v>5113487595</v>
      </c>
      <c r="N1722" s="23"/>
      <c r="O1722" s="9"/>
      <c r="P1722" s="23"/>
      <c r="Q1722" s="24" t="s">
        <v>31</v>
      </c>
      <c r="R1722" s="25">
        <v>44772</v>
      </c>
      <c r="S1722" s="28"/>
      <c r="T1722" s="35"/>
      <c r="U1722" s="35"/>
      <c r="V1722" s="29"/>
      <c r="W1722" s="35"/>
      <c r="X1722" s="29"/>
      <c r="Y1722" s="36"/>
      <c r="Z1722" s="29"/>
      <c r="AA1722" s="31">
        <f t="shared" si="1"/>
        <v>44772</v>
      </c>
      <c r="AB1722" s="32" t="str">
        <f t="shared" si="5"/>
        <v>julio</v>
      </c>
    </row>
    <row r="1723" spans="1:28" ht="12.75">
      <c r="A1723" s="9" t="s">
        <v>819</v>
      </c>
      <c r="B1723" s="10">
        <v>44772</v>
      </c>
      <c r="C1723" s="11">
        <v>44777</v>
      </c>
      <c r="D1723" s="53">
        <v>31</v>
      </c>
      <c r="E1723" s="13">
        <v>6082</v>
      </c>
      <c r="F1723" s="13">
        <v>3025460</v>
      </c>
      <c r="G1723" s="14">
        <v>13418</v>
      </c>
      <c r="H1723" s="33">
        <v>8950</v>
      </c>
      <c r="I1723" s="16">
        <f t="shared" ref="I1723:I1726" si="256">H1723*G1723</f>
        <v>120091100</v>
      </c>
      <c r="J1723" s="17">
        <v>28</v>
      </c>
      <c r="K1723" s="34">
        <v>4502378485</v>
      </c>
      <c r="L1723" s="19">
        <v>5082982146</v>
      </c>
      <c r="M1723" s="20">
        <v>5113488700</v>
      </c>
      <c r="N1723" s="23"/>
      <c r="O1723" s="9" t="s">
        <v>37</v>
      </c>
      <c r="P1723" s="23"/>
      <c r="Q1723" s="24" t="s">
        <v>31</v>
      </c>
      <c r="R1723" s="25">
        <v>44772</v>
      </c>
      <c r="S1723" s="28"/>
      <c r="T1723" s="35"/>
      <c r="U1723" s="35"/>
      <c r="V1723" s="29"/>
      <c r="W1723" s="35"/>
      <c r="X1723" s="29"/>
      <c r="Y1723" s="36"/>
      <c r="Z1723" s="29"/>
      <c r="AA1723" s="31">
        <f t="shared" si="1"/>
        <v>44772</v>
      </c>
      <c r="AB1723" s="32" t="str">
        <f t="shared" si="5"/>
        <v>julio</v>
      </c>
    </row>
    <row r="1724" spans="1:28" ht="12.75">
      <c r="A1724" s="22" t="s">
        <v>404</v>
      </c>
      <c r="B1724" s="10">
        <v>44772</v>
      </c>
      <c r="C1724" s="11">
        <v>44775</v>
      </c>
      <c r="D1724" s="53">
        <v>31</v>
      </c>
      <c r="E1724" s="13" t="s">
        <v>2216</v>
      </c>
      <c r="F1724" s="13">
        <v>3025460</v>
      </c>
      <c r="G1724" s="37">
        <v>6960.5</v>
      </c>
      <c r="H1724" s="33">
        <v>8950</v>
      </c>
      <c r="I1724" s="16">
        <f t="shared" si="256"/>
        <v>62296475</v>
      </c>
      <c r="J1724" s="17">
        <v>15</v>
      </c>
      <c r="K1724" s="34">
        <v>4502378487</v>
      </c>
      <c r="L1724" s="19">
        <v>5082982147</v>
      </c>
      <c r="M1724" s="20">
        <v>5113486413</v>
      </c>
      <c r="N1724" s="23"/>
      <c r="O1724" s="9" t="s">
        <v>37</v>
      </c>
      <c r="P1724" s="23"/>
      <c r="Q1724" s="24" t="s">
        <v>31</v>
      </c>
      <c r="R1724" s="25">
        <v>44772</v>
      </c>
      <c r="S1724" s="28"/>
      <c r="T1724" s="35"/>
      <c r="U1724" s="35"/>
      <c r="V1724" s="29"/>
      <c r="W1724" s="35"/>
      <c r="X1724" s="29"/>
      <c r="Y1724" s="36"/>
      <c r="Z1724" s="29"/>
      <c r="AA1724" s="31">
        <f t="shared" si="1"/>
        <v>44772</v>
      </c>
      <c r="AB1724" s="32" t="str">
        <f t="shared" si="5"/>
        <v>julio</v>
      </c>
    </row>
    <row r="1725" spans="1:28" ht="12.75">
      <c r="A1725" s="22" t="s">
        <v>404</v>
      </c>
      <c r="B1725" s="10">
        <v>44775</v>
      </c>
      <c r="C1725" s="11">
        <v>44775</v>
      </c>
      <c r="D1725" s="53">
        <v>31</v>
      </c>
      <c r="E1725" s="13" t="s">
        <v>212</v>
      </c>
      <c r="F1725" s="13">
        <v>3025460</v>
      </c>
      <c r="G1725" s="37">
        <v>6960.5</v>
      </c>
      <c r="H1725" s="33">
        <v>150</v>
      </c>
      <c r="I1725" s="16">
        <f t="shared" si="256"/>
        <v>1044075</v>
      </c>
      <c r="J1725" s="17">
        <v>0</v>
      </c>
      <c r="K1725" s="34">
        <v>4502378487</v>
      </c>
      <c r="L1725" s="19">
        <v>5082982147</v>
      </c>
      <c r="M1725" s="20">
        <v>5113486414</v>
      </c>
      <c r="N1725" s="23"/>
      <c r="O1725" s="9"/>
      <c r="P1725" s="23"/>
      <c r="Q1725" s="24" t="s">
        <v>31</v>
      </c>
      <c r="R1725" s="25">
        <v>44772</v>
      </c>
      <c r="S1725" s="28"/>
      <c r="T1725" s="35"/>
      <c r="U1725" s="35"/>
      <c r="V1725" s="29"/>
      <c r="W1725" s="35"/>
      <c r="X1725" s="29"/>
      <c r="Y1725" s="36"/>
      <c r="Z1725" s="29"/>
      <c r="AA1725" s="31">
        <f t="shared" si="1"/>
        <v>44772</v>
      </c>
      <c r="AB1725" s="32" t="str">
        <f t="shared" si="5"/>
        <v>julio</v>
      </c>
    </row>
    <row r="1726" spans="1:28" ht="12.75">
      <c r="A1726" s="9" t="s">
        <v>266</v>
      </c>
      <c r="B1726" s="10">
        <v>44774</v>
      </c>
      <c r="C1726" s="11">
        <v>44776</v>
      </c>
      <c r="D1726" s="53">
        <v>31</v>
      </c>
      <c r="E1726" s="13" t="s">
        <v>2217</v>
      </c>
      <c r="F1726" s="13">
        <v>3025457</v>
      </c>
      <c r="G1726" s="14">
        <v>7418</v>
      </c>
      <c r="H1726" s="33">
        <v>8550</v>
      </c>
      <c r="I1726" s="16">
        <f t="shared" si="256"/>
        <v>63423900</v>
      </c>
      <c r="J1726" s="17">
        <v>14</v>
      </c>
      <c r="K1726" s="34">
        <v>4502379043</v>
      </c>
      <c r="L1726" s="19">
        <v>5082990682</v>
      </c>
      <c r="M1726" s="20">
        <v>5113493741</v>
      </c>
      <c r="N1726" s="23"/>
      <c r="O1726" s="9" t="s">
        <v>37</v>
      </c>
      <c r="P1726" s="23"/>
      <c r="Q1726" s="24" t="s">
        <v>31</v>
      </c>
      <c r="R1726" s="25">
        <v>44773</v>
      </c>
      <c r="S1726" s="28"/>
      <c r="T1726" s="35"/>
      <c r="U1726" s="35"/>
      <c r="V1726" s="29"/>
      <c r="W1726" s="35"/>
      <c r="X1726" s="29"/>
      <c r="Y1726" s="36"/>
      <c r="Z1726" s="29"/>
      <c r="AA1726" s="31">
        <f t="shared" si="1"/>
        <v>44773</v>
      </c>
      <c r="AB1726" s="32" t="str">
        <f t="shared" si="5"/>
        <v>julio</v>
      </c>
    </row>
    <row r="1727" spans="1:28" ht="12.75">
      <c r="A1727" s="9" t="s">
        <v>266</v>
      </c>
      <c r="B1727" s="10">
        <v>44774</v>
      </c>
      <c r="C1727" s="11">
        <v>44781</v>
      </c>
      <c r="D1727" s="53">
        <v>31</v>
      </c>
      <c r="E1727" s="13" t="s">
        <v>397</v>
      </c>
      <c r="F1727" s="13">
        <v>3025457</v>
      </c>
      <c r="G1727" s="14">
        <v>7418</v>
      </c>
      <c r="H1727" s="33">
        <f>8550-8510.02</f>
        <v>39.979999999999563</v>
      </c>
      <c r="I1727" s="16">
        <f>-H1727*G1727</f>
        <v>-296571.63999999675</v>
      </c>
      <c r="J1727" s="17">
        <v>0</v>
      </c>
      <c r="K1727" s="34">
        <v>4502379043</v>
      </c>
      <c r="L1727" s="19">
        <v>5082990682</v>
      </c>
      <c r="M1727" s="20">
        <v>5113493743</v>
      </c>
      <c r="N1727" s="23"/>
      <c r="O1727" s="9"/>
      <c r="P1727" s="23"/>
      <c r="Q1727" s="24" t="s">
        <v>31</v>
      </c>
      <c r="R1727" s="25">
        <v>44773</v>
      </c>
      <c r="S1727" s="28"/>
      <c r="T1727" s="35"/>
      <c r="U1727" s="35"/>
      <c r="V1727" s="29"/>
      <c r="W1727" s="35"/>
      <c r="X1727" s="29"/>
      <c r="Y1727" s="36"/>
      <c r="Z1727" s="29"/>
      <c r="AA1727" s="31">
        <f t="shared" si="1"/>
        <v>44773</v>
      </c>
      <c r="AB1727" s="32" t="str">
        <f t="shared" si="5"/>
        <v>julio</v>
      </c>
    </row>
    <row r="1728" spans="1:28" ht="12.75">
      <c r="A1728" s="9" t="s">
        <v>286</v>
      </c>
      <c r="B1728" s="10">
        <v>44775</v>
      </c>
      <c r="C1728" s="11"/>
      <c r="D1728" s="53">
        <v>31</v>
      </c>
      <c r="E1728" s="13" t="s">
        <v>2218</v>
      </c>
      <c r="F1728" s="13">
        <v>3025457</v>
      </c>
      <c r="G1728" s="37">
        <v>6093.5</v>
      </c>
      <c r="H1728" s="33">
        <v>8550</v>
      </c>
      <c r="I1728" s="16">
        <f t="shared" ref="I1728:I1731" si="257">H1728*G1728</f>
        <v>52099425</v>
      </c>
      <c r="J1728" s="17">
        <v>13</v>
      </c>
      <c r="K1728" s="34">
        <v>4502378489</v>
      </c>
      <c r="L1728" s="19">
        <v>5082990335</v>
      </c>
      <c r="M1728" s="20">
        <v>5113488582</v>
      </c>
      <c r="N1728" s="23"/>
      <c r="O1728" s="9" t="s">
        <v>382</v>
      </c>
      <c r="P1728" s="23"/>
      <c r="Q1728" s="24" t="s">
        <v>31</v>
      </c>
      <c r="R1728" s="25">
        <v>44773</v>
      </c>
      <c r="S1728" s="28"/>
      <c r="T1728" s="35"/>
      <c r="U1728" s="35"/>
      <c r="V1728" s="29"/>
      <c r="W1728" s="35"/>
      <c r="X1728" s="29"/>
      <c r="Y1728" s="36"/>
      <c r="Z1728" s="29"/>
      <c r="AA1728" s="31">
        <f t="shared" si="1"/>
        <v>44773</v>
      </c>
      <c r="AB1728" s="32" t="str">
        <f t="shared" si="5"/>
        <v>julio</v>
      </c>
    </row>
    <row r="1729" spans="1:28" ht="12.75">
      <c r="A1729" s="9" t="s">
        <v>286</v>
      </c>
      <c r="B1729" s="10">
        <v>44778</v>
      </c>
      <c r="C1729" s="11"/>
      <c r="D1729" s="53">
        <v>31</v>
      </c>
      <c r="E1729" s="13" t="s">
        <v>546</v>
      </c>
      <c r="F1729" s="13">
        <v>3025457</v>
      </c>
      <c r="G1729" s="37">
        <v>6093.5</v>
      </c>
      <c r="H1729" s="33">
        <f>8586.99-8550</f>
        <v>36.989999999999782</v>
      </c>
      <c r="I1729" s="16">
        <f t="shared" si="257"/>
        <v>225398.56499999866</v>
      </c>
      <c r="J1729" s="17">
        <v>0</v>
      </c>
      <c r="K1729" s="34">
        <v>5083283183</v>
      </c>
      <c r="L1729" s="19">
        <v>5082990335</v>
      </c>
      <c r="M1729" s="20">
        <v>5113491004</v>
      </c>
      <c r="N1729" s="23"/>
      <c r="O1729" s="9"/>
      <c r="P1729" s="23"/>
      <c r="Q1729" s="24" t="s">
        <v>31</v>
      </c>
      <c r="R1729" s="25">
        <v>44773</v>
      </c>
      <c r="S1729" s="28"/>
      <c r="T1729" s="35"/>
      <c r="U1729" s="35"/>
      <c r="V1729" s="29"/>
      <c r="W1729" s="35"/>
      <c r="X1729" s="29"/>
      <c r="Y1729" s="36"/>
      <c r="Z1729" s="29"/>
      <c r="AA1729" s="31">
        <f t="shared" si="1"/>
        <v>44773</v>
      </c>
      <c r="AB1729" s="32" t="str">
        <f t="shared" si="5"/>
        <v>julio</v>
      </c>
    </row>
    <row r="1730" spans="1:28" ht="12.75">
      <c r="A1730" s="9" t="s">
        <v>58</v>
      </c>
      <c r="B1730" s="10">
        <v>44776</v>
      </c>
      <c r="C1730" s="11">
        <v>44776</v>
      </c>
      <c r="D1730" s="53">
        <v>31</v>
      </c>
      <c r="E1730" s="13" t="s">
        <v>2219</v>
      </c>
      <c r="F1730" s="13">
        <v>3025459</v>
      </c>
      <c r="G1730" s="14">
        <v>14806</v>
      </c>
      <c r="H1730" s="33">
        <v>8950</v>
      </c>
      <c r="I1730" s="16">
        <f t="shared" si="257"/>
        <v>132513700</v>
      </c>
      <c r="J1730" s="17">
        <v>30</v>
      </c>
      <c r="K1730" s="34">
        <v>4502378490</v>
      </c>
      <c r="L1730" s="19">
        <v>5082990336</v>
      </c>
      <c r="M1730" s="20">
        <v>5113503955</v>
      </c>
      <c r="N1730" s="23"/>
      <c r="O1730" s="9" t="s">
        <v>37</v>
      </c>
      <c r="P1730" s="23"/>
      <c r="Q1730" s="24" t="s">
        <v>31</v>
      </c>
      <c r="R1730" s="25">
        <v>44773</v>
      </c>
      <c r="S1730" s="28"/>
      <c r="T1730" s="35"/>
      <c r="U1730" s="35"/>
      <c r="V1730" s="29"/>
      <c r="W1730" s="35"/>
      <c r="X1730" s="29"/>
      <c r="Y1730" s="36"/>
      <c r="Z1730" s="29"/>
      <c r="AA1730" s="31">
        <f t="shared" si="1"/>
        <v>44773</v>
      </c>
      <c r="AB1730" s="32" t="str">
        <f t="shared" si="5"/>
        <v>julio</v>
      </c>
    </row>
    <row r="1731" spans="1:28" ht="12.75">
      <c r="A1731" s="9" t="s">
        <v>111</v>
      </c>
      <c r="B1731" s="10">
        <v>44776</v>
      </c>
      <c r="C1731" s="11">
        <v>44776</v>
      </c>
      <c r="D1731" s="53">
        <v>31</v>
      </c>
      <c r="E1731" s="13" t="s">
        <v>2220</v>
      </c>
      <c r="F1731" s="13">
        <v>3025459</v>
      </c>
      <c r="G1731" s="37">
        <v>6711.5</v>
      </c>
      <c r="H1731" s="33">
        <v>8550</v>
      </c>
      <c r="I1731" s="16">
        <f t="shared" si="257"/>
        <v>57383325</v>
      </c>
      <c r="J1731" s="17">
        <v>14</v>
      </c>
      <c r="K1731" s="34">
        <v>4502378491</v>
      </c>
      <c r="L1731" s="19">
        <v>5082990337</v>
      </c>
      <c r="M1731" s="20">
        <v>5113485609</v>
      </c>
      <c r="N1731" s="23"/>
      <c r="O1731" s="9" t="s">
        <v>63</v>
      </c>
      <c r="P1731" s="23"/>
      <c r="Q1731" s="24" t="s">
        <v>31</v>
      </c>
      <c r="R1731" s="25">
        <v>44773</v>
      </c>
      <c r="S1731" s="28"/>
      <c r="T1731" s="35"/>
      <c r="U1731" s="35"/>
      <c r="V1731" s="29"/>
      <c r="W1731" s="35"/>
      <c r="X1731" s="29"/>
      <c r="Y1731" s="36"/>
      <c r="Z1731" s="29"/>
      <c r="AA1731" s="31">
        <f t="shared" si="1"/>
        <v>44773</v>
      </c>
      <c r="AB1731" s="32" t="str">
        <f t="shared" si="5"/>
        <v>julio</v>
      </c>
    </row>
    <row r="1732" spans="1:28" ht="12.75">
      <c r="A1732" s="9" t="s">
        <v>111</v>
      </c>
      <c r="B1732" s="10">
        <v>44776</v>
      </c>
      <c r="C1732" s="11">
        <v>44776</v>
      </c>
      <c r="D1732" s="53">
        <v>31</v>
      </c>
      <c r="E1732" s="13" t="s">
        <v>2221</v>
      </c>
      <c r="F1732" s="13">
        <v>3025459</v>
      </c>
      <c r="G1732" s="37">
        <v>6711.5</v>
      </c>
      <c r="H1732" s="33">
        <v>100</v>
      </c>
      <c r="I1732" s="16">
        <f>-H1732*G1732</f>
        <v>-671150</v>
      </c>
      <c r="J1732" s="17">
        <v>0</v>
      </c>
      <c r="K1732" s="34">
        <v>4502378491</v>
      </c>
      <c r="L1732" s="19">
        <v>5082990337</v>
      </c>
      <c r="M1732" s="20">
        <v>5113485611</v>
      </c>
      <c r="N1732" s="23"/>
      <c r="O1732" s="9"/>
      <c r="P1732" s="23"/>
      <c r="Q1732" s="24" t="s">
        <v>31</v>
      </c>
      <c r="R1732" s="25">
        <v>44773</v>
      </c>
      <c r="S1732" s="28"/>
      <c r="T1732" s="35"/>
      <c r="U1732" s="35"/>
      <c r="V1732" s="29"/>
      <c r="W1732" s="35"/>
      <c r="X1732" s="29"/>
      <c r="Y1732" s="36"/>
      <c r="Z1732" s="29"/>
      <c r="AA1732" s="31">
        <f t="shared" si="1"/>
        <v>44773</v>
      </c>
      <c r="AB1732" s="32" t="str">
        <f t="shared" si="5"/>
        <v>julio</v>
      </c>
    </row>
    <row r="1733" spans="1:28" ht="12.75">
      <c r="A1733" s="9" t="s">
        <v>1102</v>
      </c>
      <c r="B1733" s="10">
        <v>44776</v>
      </c>
      <c r="C1733" s="11">
        <v>44777</v>
      </c>
      <c r="D1733" s="53">
        <v>31</v>
      </c>
      <c r="E1733" s="13" t="s">
        <v>2222</v>
      </c>
      <c r="F1733" s="13">
        <v>3025459</v>
      </c>
      <c r="G1733" s="14">
        <v>6801</v>
      </c>
      <c r="H1733" s="33">
        <v>8950</v>
      </c>
      <c r="I1733" s="16">
        <f>H1733*G1733</f>
        <v>60868950</v>
      </c>
      <c r="J1733" s="17">
        <v>14</v>
      </c>
      <c r="K1733" s="34">
        <v>4502378492</v>
      </c>
      <c r="L1733" s="19">
        <v>5082992502</v>
      </c>
      <c r="M1733" s="20">
        <v>5113490737</v>
      </c>
      <c r="N1733" s="23"/>
      <c r="O1733" s="9" t="s">
        <v>37</v>
      </c>
      <c r="P1733" s="23"/>
      <c r="Q1733" s="24" t="s">
        <v>31</v>
      </c>
      <c r="R1733" s="25">
        <v>44773</v>
      </c>
      <c r="S1733" s="28"/>
      <c r="T1733" s="35"/>
      <c r="U1733" s="35"/>
      <c r="V1733" s="29"/>
      <c r="W1733" s="35"/>
      <c r="X1733" s="29"/>
      <c r="Y1733" s="36"/>
      <c r="Z1733" s="29"/>
      <c r="AA1733" s="31">
        <f t="shared" si="1"/>
        <v>44773</v>
      </c>
      <c r="AB1733" s="32" t="str">
        <f t="shared" si="5"/>
        <v>julio</v>
      </c>
    </row>
    <row r="1734" spans="1:28" ht="12.75">
      <c r="A1734" s="9" t="s">
        <v>1102</v>
      </c>
      <c r="B1734" s="10">
        <v>44776</v>
      </c>
      <c r="C1734" s="11">
        <v>44777</v>
      </c>
      <c r="D1734" s="53">
        <v>31</v>
      </c>
      <c r="E1734" s="13" t="s">
        <v>2223</v>
      </c>
      <c r="F1734" s="13">
        <v>3025459</v>
      </c>
      <c r="G1734" s="14">
        <v>6801</v>
      </c>
      <c r="H1734" s="33">
        <f>8950-8690.52</f>
        <v>259.47999999999956</v>
      </c>
      <c r="I1734" s="16">
        <f>-H1734*G1734</f>
        <v>-1764723.479999997</v>
      </c>
      <c r="J1734" s="17">
        <v>0</v>
      </c>
      <c r="K1734" s="34">
        <v>4502378492</v>
      </c>
      <c r="L1734" s="19">
        <v>5082992502</v>
      </c>
      <c r="M1734" s="20">
        <v>5113490738</v>
      </c>
      <c r="N1734" s="23"/>
      <c r="O1734" s="9"/>
      <c r="P1734" s="23"/>
      <c r="Q1734" s="24" t="s">
        <v>31</v>
      </c>
      <c r="R1734" s="25">
        <v>44773</v>
      </c>
      <c r="S1734" s="28"/>
      <c r="T1734" s="35"/>
      <c r="U1734" s="35"/>
      <c r="V1734" s="29"/>
      <c r="W1734" s="35"/>
      <c r="X1734" s="29"/>
      <c r="Y1734" s="36"/>
      <c r="Z1734" s="29"/>
      <c r="AA1734" s="31">
        <f t="shared" si="1"/>
        <v>44773</v>
      </c>
      <c r="AB1734" s="32" t="str">
        <f t="shared" si="5"/>
        <v>julio</v>
      </c>
    </row>
    <row r="1735" spans="1:28" ht="12.75">
      <c r="A1735" s="9" t="s">
        <v>58</v>
      </c>
      <c r="B1735" s="10">
        <v>44776</v>
      </c>
      <c r="C1735" s="11">
        <v>44776</v>
      </c>
      <c r="D1735" s="53">
        <v>31</v>
      </c>
      <c r="E1735" s="13" t="s">
        <v>2219</v>
      </c>
      <c r="F1735" s="13">
        <v>3025460</v>
      </c>
      <c r="G1735" s="14">
        <v>29522</v>
      </c>
      <c r="H1735" s="33">
        <v>8950</v>
      </c>
      <c r="I1735" s="16">
        <f>H1735*G1735</f>
        <v>264221900</v>
      </c>
      <c r="J1735" s="17">
        <v>60</v>
      </c>
      <c r="K1735" s="34">
        <v>4502378493</v>
      </c>
      <c r="L1735" s="19">
        <v>5082990336</v>
      </c>
      <c r="M1735" s="20">
        <v>5113503955</v>
      </c>
      <c r="N1735" s="23"/>
      <c r="O1735" s="9" t="s">
        <v>37</v>
      </c>
      <c r="P1735" s="23"/>
      <c r="Q1735" s="24" t="s">
        <v>31</v>
      </c>
      <c r="R1735" s="25">
        <v>44773</v>
      </c>
      <c r="S1735" s="28"/>
      <c r="T1735" s="35"/>
      <c r="U1735" s="35"/>
      <c r="V1735" s="29"/>
      <c r="W1735" s="35"/>
      <c r="X1735" s="29"/>
      <c r="Y1735" s="36"/>
      <c r="Z1735" s="29"/>
      <c r="AA1735" s="31">
        <f t="shared" si="1"/>
        <v>44773</v>
      </c>
      <c r="AB1735" s="32" t="str">
        <f t="shared" si="5"/>
        <v>julio</v>
      </c>
    </row>
    <row r="1736" spans="1:28" ht="12.75">
      <c r="A1736" s="9" t="s">
        <v>58</v>
      </c>
      <c r="B1736" s="10">
        <v>44785</v>
      </c>
      <c r="C1736" s="11">
        <v>44785</v>
      </c>
      <c r="D1736" s="53">
        <v>31</v>
      </c>
      <c r="E1736" s="13" t="s">
        <v>2224</v>
      </c>
      <c r="F1736" s="13">
        <v>3025460</v>
      </c>
      <c r="G1736" s="14">
        <v>44328</v>
      </c>
      <c r="H1736" s="33">
        <v>50</v>
      </c>
      <c r="I1736" s="16">
        <f>-H1736*G1736</f>
        <v>-2216400</v>
      </c>
      <c r="J1736" s="17">
        <v>0</v>
      </c>
      <c r="K1736" s="34">
        <v>4502378493</v>
      </c>
      <c r="L1736" s="19">
        <v>5082990336</v>
      </c>
      <c r="M1736" s="20">
        <v>5113503957</v>
      </c>
      <c r="N1736" s="23" t="s">
        <v>2225</v>
      </c>
      <c r="O1736" s="9" t="s">
        <v>2226</v>
      </c>
      <c r="P1736" s="23"/>
      <c r="Q1736" s="24" t="s">
        <v>31</v>
      </c>
      <c r="R1736" s="25">
        <v>44773</v>
      </c>
      <c r="S1736" s="28"/>
      <c r="T1736" s="35"/>
      <c r="U1736" s="35"/>
      <c r="V1736" s="29"/>
      <c r="W1736" s="35"/>
      <c r="X1736" s="29"/>
      <c r="Y1736" s="36"/>
      <c r="Z1736" s="29"/>
      <c r="AA1736" s="31">
        <f t="shared" si="1"/>
        <v>44773</v>
      </c>
      <c r="AB1736" s="32" t="str">
        <f t="shared" si="5"/>
        <v>julio</v>
      </c>
    </row>
    <row r="1737" spans="1:28" ht="12.75">
      <c r="A1737" s="9" t="s">
        <v>233</v>
      </c>
      <c r="B1737" s="10">
        <v>44773</v>
      </c>
      <c r="C1737" s="11"/>
      <c r="D1737" s="53">
        <v>31</v>
      </c>
      <c r="E1737" s="13" t="s">
        <v>2227</v>
      </c>
      <c r="F1737" s="13">
        <v>3025460</v>
      </c>
      <c r="G1737" s="37">
        <v>19661.5</v>
      </c>
      <c r="H1737" s="33">
        <v>8550</v>
      </c>
      <c r="I1737" s="16">
        <f>H1737*G1737</f>
        <v>168105825</v>
      </c>
      <c r="J1737" s="17">
        <v>45</v>
      </c>
      <c r="K1737" s="34">
        <v>4502378494</v>
      </c>
      <c r="L1737" s="19">
        <v>5082990679</v>
      </c>
      <c r="M1737" s="20">
        <v>5113484625</v>
      </c>
      <c r="N1737" s="23"/>
      <c r="O1737" s="23" t="s">
        <v>63</v>
      </c>
      <c r="P1737" s="23"/>
      <c r="Q1737" s="24" t="s">
        <v>31</v>
      </c>
      <c r="R1737" s="25">
        <v>44773</v>
      </c>
      <c r="S1737" s="28"/>
      <c r="T1737" s="35"/>
      <c r="U1737" s="35"/>
      <c r="V1737" s="29"/>
      <c r="W1737" s="35"/>
      <c r="X1737" s="29"/>
      <c r="Y1737" s="36"/>
      <c r="Z1737" s="29"/>
      <c r="AA1737" s="31">
        <f t="shared" si="1"/>
        <v>44773</v>
      </c>
      <c r="AB1737" s="32" t="str">
        <f t="shared" si="5"/>
        <v>julio</v>
      </c>
    </row>
    <row r="1738" spans="1:28" ht="12.75">
      <c r="A1738" s="9" t="s">
        <v>233</v>
      </c>
      <c r="B1738" s="10">
        <v>44773</v>
      </c>
      <c r="C1738" s="11">
        <v>44773</v>
      </c>
      <c r="D1738" s="53">
        <v>31</v>
      </c>
      <c r="E1738" s="13" t="s">
        <v>2228</v>
      </c>
      <c r="F1738" s="13">
        <v>3025460</v>
      </c>
      <c r="G1738" s="37">
        <v>19661.5</v>
      </c>
      <c r="H1738" s="33">
        <f>8550-8544.21</f>
        <v>5.7900000000008731</v>
      </c>
      <c r="I1738" s="16">
        <f>-H1738*G1738</f>
        <v>-113840.08500001716</v>
      </c>
      <c r="J1738" s="17">
        <v>0</v>
      </c>
      <c r="K1738" s="34">
        <v>4502378494</v>
      </c>
      <c r="L1738" s="19">
        <v>5082990679</v>
      </c>
      <c r="M1738" s="20">
        <v>5113484667</v>
      </c>
      <c r="N1738" s="23"/>
      <c r="O1738" s="23"/>
      <c r="P1738" s="23"/>
      <c r="Q1738" s="24" t="s">
        <v>31</v>
      </c>
      <c r="R1738" s="25">
        <v>44773</v>
      </c>
      <c r="S1738" s="28"/>
      <c r="T1738" s="35"/>
      <c r="U1738" s="35"/>
      <c r="V1738" s="29"/>
      <c r="W1738" s="35"/>
      <c r="X1738" s="29"/>
      <c r="Y1738" s="36"/>
      <c r="Z1738" s="29"/>
      <c r="AA1738" s="31">
        <f t="shared" si="1"/>
        <v>44773</v>
      </c>
      <c r="AB1738" s="32" t="str">
        <f t="shared" si="5"/>
        <v>julio</v>
      </c>
    </row>
    <row r="1739" spans="1:28" ht="12.75">
      <c r="A1739" s="9" t="s">
        <v>61</v>
      </c>
      <c r="B1739" s="10">
        <v>44775</v>
      </c>
      <c r="C1739" s="11">
        <v>44775</v>
      </c>
      <c r="D1739" s="53">
        <v>31</v>
      </c>
      <c r="E1739" s="13" t="s">
        <v>2229</v>
      </c>
      <c r="F1739" s="13">
        <v>3025460</v>
      </c>
      <c r="G1739" s="14">
        <v>6774</v>
      </c>
      <c r="H1739" s="33">
        <v>8650</v>
      </c>
      <c r="I1739" s="16">
        <f>H1739*G1739</f>
        <v>58595100</v>
      </c>
      <c r="J1739" s="17">
        <v>15</v>
      </c>
      <c r="K1739" s="34">
        <v>4502378495</v>
      </c>
      <c r="L1739" s="19">
        <v>5082990680</v>
      </c>
      <c r="M1739" s="20">
        <v>5113486601</v>
      </c>
      <c r="N1739" s="23"/>
      <c r="O1739" s="9" t="s">
        <v>63</v>
      </c>
      <c r="P1739" s="23"/>
      <c r="Q1739" s="24" t="s">
        <v>31</v>
      </c>
      <c r="R1739" s="25">
        <v>44773</v>
      </c>
      <c r="S1739" s="28"/>
      <c r="T1739" s="35"/>
      <c r="U1739" s="35"/>
      <c r="V1739" s="29"/>
      <c r="W1739" s="35"/>
      <c r="X1739" s="29"/>
      <c r="Y1739" s="36"/>
      <c r="Z1739" s="29"/>
      <c r="AA1739" s="31">
        <f t="shared" si="1"/>
        <v>44773</v>
      </c>
      <c r="AB1739" s="32" t="str">
        <f t="shared" si="5"/>
        <v>julio</v>
      </c>
    </row>
    <row r="1740" spans="1:28" ht="12.75">
      <c r="A1740" s="9" t="s">
        <v>61</v>
      </c>
      <c r="B1740" s="10">
        <v>44775</v>
      </c>
      <c r="C1740" s="11">
        <v>44775</v>
      </c>
      <c r="D1740" s="53">
        <v>31</v>
      </c>
      <c r="E1740" s="13" t="s">
        <v>1705</v>
      </c>
      <c r="F1740" s="13">
        <v>3025460</v>
      </c>
      <c r="G1740" s="14">
        <v>6774</v>
      </c>
      <c r="H1740" s="33">
        <v>50</v>
      </c>
      <c r="I1740" s="16">
        <f>-H1740*G1740</f>
        <v>-338700</v>
      </c>
      <c r="J1740" s="17">
        <v>0</v>
      </c>
      <c r="K1740" s="34">
        <v>4502378495</v>
      </c>
      <c r="L1740" s="19">
        <v>5082990680</v>
      </c>
      <c r="M1740" s="20">
        <v>5113486602</v>
      </c>
      <c r="N1740" s="23"/>
      <c r="O1740" s="9"/>
      <c r="P1740" s="23"/>
      <c r="Q1740" s="24" t="s">
        <v>31</v>
      </c>
      <c r="R1740" s="25">
        <v>44773</v>
      </c>
      <c r="S1740" s="28"/>
      <c r="T1740" s="35"/>
      <c r="U1740" s="35"/>
      <c r="V1740" s="29"/>
      <c r="W1740" s="35"/>
      <c r="X1740" s="29"/>
      <c r="Y1740" s="36"/>
      <c r="Z1740" s="29"/>
      <c r="AA1740" s="31">
        <f t="shared" si="1"/>
        <v>44773</v>
      </c>
      <c r="AB1740" s="32" t="str">
        <f t="shared" si="5"/>
        <v>julio</v>
      </c>
    </row>
    <row r="1741" spans="1:28" ht="12.75">
      <c r="A1741" s="9" t="s">
        <v>213</v>
      </c>
      <c r="B1741" s="10">
        <v>44773</v>
      </c>
      <c r="C1741" s="11">
        <v>44777</v>
      </c>
      <c r="D1741" s="53">
        <v>31</v>
      </c>
      <c r="E1741" s="13" t="s">
        <v>2230</v>
      </c>
      <c r="F1741" s="13">
        <v>3025460</v>
      </c>
      <c r="G1741" s="37">
        <v>6531.5</v>
      </c>
      <c r="H1741" s="33">
        <v>8550</v>
      </c>
      <c r="I1741" s="16">
        <f>H1741*G1741</f>
        <v>55844325</v>
      </c>
      <c r="J1741" s="17">
        <v>14</v>
      </c>
      <c r="K1741" s="34">
        <v>4502378496</v>
      </c>
      <c r="L1741" s="19">
        <v>5082992503</v>
      </c>
      <c r="M1741" s="20">
        <v>5113487596</v>
      </c>
      <c r="N1741" s="23"/>
      <c r="O1741" s="9" t="s">
        <v>37</v>
      </c>
      <c r="P1741" s="23"/>
      <c r="Q1741" s="24" t="s">
        <v>31</v>
      </c>
      <c r="R1741" s="25">
        <v>44773</v>
      </c>
      <c r="S1741" s="28"/>
      <c r="T1741" s="35"/>
      <c r="U1741" s="35"/>
      <c r="V1741" s="29"/>
      <c r="W1741" s="35"/>
      <c r="X1741" s="29"/>
      <c r="Y1741" s="36"/>
      <c r="Z1741" s="29"/>
      <c r="AA1741" s="31">
        <f t="shared" si="1"/>
        <v>44773</v>
      </c>
      <c r="AB1741" s="32" t="str">
        <f t="shared" si="5"/>
        <v>julio</v>
      </c>
    </row>
    <row r="1742" spans="1:28" ht="12.75">
      <c r="A1742" s="9" t="s">
        <v>213</v>
      </c>
      <c r="B1742" s="10">
        <v>44773</v>
      </c>
      <c r="C1742" s="11">
        <v>44777</v>
      </c>
      <c r="D1742" s="53">
        <v>31</v>
      </c>
      <c r="E1742" s="13" t="s">
        <v>1657</v>
      </c>
      <c r="F1742" s="13">
        <v>3025460</v>
      </c>
      <c r="G1742" s="37">
        <v>6531.5</v>
      </c>
      <c r="H1742" s="33">
        <v>50</v>
      </c>
      <c r="I1742" s="16">
        <f>-H1742*G1742</f>
        <v>-326575</v>
      </c>
      <c r="J1742" s="17">
        <v>0</v>
      </c>
      <c r="K1742" s="34">
        <v>4502378496</v>
      </c>
      <c r="L1742" s="19">
        <v>5082992503</v>
      </c>
      <c r="M1742" s="20">
        <v>5113487657</v>
      </c>
      <c r="N1742" s="23"/>
      <c r="O1742" s="9"/>
      <c r="P1742" s="23"/>
      <c r="Q1742" s="24" t="s">
        <v>31</v>
      </c>
      <c r="R1742" s="25">
        <v>44773</v>
      </c>
      <c r="S1742" s="28"/>
      <c r="T1742" s="35"/>
      <c r="U1742" s="35"/>
      <c r="V1742" s="29"/>
      <c r="W1742" s="35"/>
      <c r="X1742" s="29"/>
      <c r="Y1742" s="36"/>
      <c r="Z1742" s="29"/>
      <c r="AA1742" s="31">
        <f t="shared" si="1"/>
        <v>44773</v>
      </c>
      <c r="AB1742" s="32" t="str">
        <f t="shared" si="5"/>
        <v>julio</v>
      </c>
    </row>
    <row r="1743" spans="1:28" ht="12.75">
      <c r="A1743" s="9" t="s">
        <v>1953</v>
      </c>
      <c r="B1743" s="10">
        <v>44776</v>
      </c>
      <c r="C1743" s="11"/>
      <c r="D1743" s="53">
        <v>31</v>
      </c>
      <c r="E1743" s="13" t="s">
        <v>490</v>
      </c>
      <c r="F1743" s="13">
        <v>3025460</v>
      </c>
      <c r="G1743" s="37">
        <v>6546.5</v>
      </c>
      <c r="H1743" s="33">
        <v>8550</v>
      </c>
      <c r="I1743" s="16">
        <f t="shared" ref="I1743:I1752" si="258">H1743*G1743</f>
        <v>55972575</v>
      </c>
      <c r="J1743" s="17">
        <v>14</v>
      </c>
      <c r="K1743" s="34">
        <v>4502378497</v>
      </c>
      <c r="L1743" s="19">
        <v>5082990681</v>
      </c>
      <c r="M1743" s="20">
        <v>5113487413</v>
      </c>
      <c r="N1743" s="23"/>
      <c r="O1743" s="9" t="s">
        <v>37</v>
      </c>
      <c r="P1743" s="23"/>
      <c r="Q1743" s="24" t="s">
        <v>31</v>
      </c>
      <c r="R1743" s="25">
        <v>44773</v>
      </c>
      <c r="S1743" s="28"/>
      <c r="T1743" s="35"/>
      <c r="U1743" s="35"/>
      <c r="V1743" s="29"/>
      <c r="W1743" s="35"/>
      <c r="X1743" s="29"/>
      <c r="Y1743" s="36"/>
      <c r="Z1743" s="29"/>
      <c r="AA1743" s="31">
        <f t="shared" si="1"/>
        <v>44773</v>
      </c>
      <c r="AB1743" s="32" t="str">
        <f t="shared" si="5"/>
        <v>julio</v>
      </c>
    </row>
    <row r="1744" spans="1:28" ht="12.75">
      <c r="A1744" s="9" t="s">
        <v>1953</v>
      </c>
      <c r="B1744" s="10">
        <v>44776</v>
      </c>
      <c r="C1744" s="11"/>
      <c r="D1744" s="53">
        <v>31</v>
      </c>
      <c r="E1744" s="13" t="s">
        <v>841</v>
      </c>
      <c r="F1744" s="13">
        <v>3025460</v>
      </c>
      <c r="G1744" s="37">
        <v>6546.5</v>
      </c>
      <c r="H1744" s="33">
        <v>100</v>
      </c>
      <c r="I1744" s="16">
        <f t="shared" si="258"/>
        <v>654650</v>
      </c>
      <c r="J1744" s="17">
        <v>0</v>
      </c>
      <c r="K1744" s="34">
        <v>4502378497</v>
      </c>
      <c r="L1744" s="19">
        <v>5082990681</v>
      </c>
      <c r="M1744" s="20">
        <v>5113487415</v>
      </c>
      <c r="N1744" s="23"/>
      <c r="O1744" s="9"/>
      <c r="P1744" s="23"/>
      <c r="Q1744" s="24" t="s">
        <v>31</v>
      </c>
      <c r="R1744" s="25">
        <v>44773</v>
      </c>
      <c r="S1744" s="28"/>
      <c r="T1744" s="35"/>
      <c r="U1744" s="35"/>
      <c r="V1744" s="29"/>
      <c r="W1744" s="35"/>
      <c r="X1744" s="29"/>
      <c r="Y1744" s="36"/>
      <c r="Z1744" s="29"/>
      <c r="AA1744" s="31">
        <f t="shared" si="1"/>
        <v>44773</v>
      </c>
      <c r="AB1744" s="32" t="str">
        <f t="shared" si="5"/>
        <v>julio</v>
      </c>
    </row>
    <row r="1745" spans="1:28" ht="12.75">
      <c r="A1745" s="9" t="s">
        <v>80</v>
      </c>
      <c r="B1745" s="10">
        <v>44773</v>
      </c>
      <c r="C1745" s="11">
        <v>44776</v>
      </c>
      <c r="D1745" s="53">
        <v>31</v>
      </c>
      <c r="E1745" s="13" t="s">
        <v>2231</v>
      </c>
      <c r="F1745" s="13">
        <v>3025460</v>
      </c>
      <c r="G1745" s="14">
        <v>40656</v>
      </c>
      <c r="H1745" s="57">
        <v>8400</v>
      </c>
      <c r="I1745" s="16">
        <f t="shared" si="258"/>
        <v>341510400</v>
      </c>
      <c r="J1745" s="17">
        <v>84</v>
      </c>
      <c r="K1745" s="34">
        <v>4502382725</v>
      </c>
      <c r="L1745" s="19">
        <v>5083019400</v>
      </c>
      <c r="M1745" s="20">
        <v>5113487544</v>
      </c>
      <c r="N1745" s="23"/>
      <c r="O1745" s="9" t="s">
        <v>37</v>
      </c>
      <c r="P1745" s="23"/>
      <c r="Q1745" s="24" t="s">
        <v>82</v>
      </c>
      <c r="R1745" s="25">
        <v>44773</v>
      </c>
      <c r="S1745" s="28"/>
      <c r="T1745" s="35"/>
      <c r="U1745" s="35"/>
      <c r="V1745" s="29"/>
      <c r="W1745" s="35"/>
      <c r="X1745" s="29"/>
      <c r="Y1745" s="36"/>
      <c r="Z1745" s="29"/>
      <c r="AA1745" s="31">
        <f t="shared" si="1"/>
        <v>44773</v>
      </c>
      <c r="AB1745" s="32" t="str">
        <f t="shared" si="5"/>
        <v>julio</v>
      </c>
    </row>
    <row r="1746" spans="1:28" ht="12.75">
      <c r="A1746" s="9" t="s">
        <v>83</v>
      </c>
      <c r="B1746" s="10">
        <v>44773</v>
      </c>
      <c r="C1746" s="11">
        <v>44776</v>
      </c>
      <c r="D1746" s="53">
        <v>31</v>
      </c>
      <c r="E1746" s="13" t="s">
        <v>2232</v>
      </c>
      <c r="F1746" s="13">
        <v>3025460</v>
      </c>
      <c r="G1746" s="14">
        <v>28038</v>
      </c>
      <c r="H1746" s="57">
        <v>8450</v>
      </c>
      <c r="I1746" s="16">
        <f t="shared" si="258"/>
        <v>236921100</v>
      </c>
      <c r="J1746" s="17">
        <v>56</v>
      </c>
      <c r="K1746" s="34">
        <v>4502382754</v>
      </c>
      <c r="L1746" s="19">
        <v>5083019583</v>
      </c>
      <c r="M1746" s="20">
        <v>5113488699</v>
      </c>
      <c r="N1746" s="23"/>
      <c r="O1746" s="9" t="s">
        <v>37</v>
      </c>
      <c r="P1746" s="23" t="s">
        <v>2233</v>
      </c>
      <c r="Q1746" s="24" t="s">
        <v>82</v>
      </c>
      <c r="R1746" s="25">
        <v>44773</v>
      </c>
      <c r="S1746" s="28"/>
      <c r="T1746" s="35"/>
      <c r="U1746" s="35"/>
      <c r="V1746" s="29"/>
      <c r="W1746" s="35"/>
      <c r="X1746" s="29"/>
      <c r="Y1746" s="36"/>
      <c r="Z1746" s="29"/>
      <c r="AA1746" s="31">
        <f t="shared" si="1"/>
        <v>44773</v>
      </c>
      <c r="AB1746" s="32" t="str">
        <f t="shared" si="5"/>
        <v>julio</v>
      </c>
    </row>
    <row r="1747" spans="1:28" ht="12.75">
      <c r="A1747" s="9" t="s">
        <v>314</v>
      </c>
      <c r="B1747" s="10">
        <v>44773</v>
      </c>
      <c r="C1747" s="11">
        <v>44777</v>
      </c>
      <c r="D1747" s="53">
        <v>31</v>
      </c>
      <c r="E1747" s="13" t="s">
        <v>2234</v>
      </c>
      <c r="F1747" s="13">
        <v>3025460</v>
      </c>
      <c r="G1747" s="14">
        <v>7041</v>
      </c>
      <c r="H1747" s="57">
        <v>8450</v>
      </c>
      <c r="I1747" s="16">
        <f t="shared" si="258"/>
        <v>59496450</v>
      </c>
      <c r="J1747" s="17">
        <v>14</v>
      </c>
      <c r="K1747" s="34">
        <v>4502382737</v>
      </c>
      <c r="L1747" s="19">
        <v>5083019470</v>
      </c>
      <c r="M1747" s="20">
        <v>5113491005</v>
      </c>
      <c r="N1747" s="23"/>
      <c r="O1747" s="9" t="s">
        <v>63</v>
      </c>
      <c r="P1747" s="23"/>
      <c r="Q1747" s="24" t="s">
        <v>82</v>
      </c>
      <c r="R1747" s="25">
        <v>44773</v>
      </c>
      <c r="S1747" s="28"/>
      <c r="T1747" s="35"/>
      <c r="U1747" s="35"/>
      <c r="V1747" s="29"/>
      <c r="W1747" s="35"/>
      <c r="X1747" s="29"/>
      <c r="Y1747" s="36"/>
      <c r="Z1747" s="29"/>
      <c r="AA1747" s="31">
        <f t="shared" si="1"/>
        <v>44773</v>
      </c>
      <c r="AB1747" s="32" t="str">
        <f t="shared" si="5"/>
        <v>julio</v>
      </c>
    </row>
    <row r="1748" spans="1:28" ht="12.75">
      <c r="A1748" s="9" t="s">
        <v>94</v>
      </c>
      <c r="B1748" s="10">
        <v>44779</v>
      </c>
      <c r="C1748" s="11">
        <v>44779</v>
      </c>
      <c r="D1748" s="53">
        <v>31</v>
      </c>
      <c r="E1748" s="13" t="s">
        <v>2235</v>
      </c>
      <c r="F1748" s="13">
        <v>3025460</v>
      </c>
      <c r="G1748" s="14">
        <v>6791</v>
      </c>
      <c r="H1748" s="57">
        <v>8450</v>
      </c>
      <c r="I1748" s="16">
        <f t="shared" si="258"/>
        <v>57383950</v>
      </c>
      <c r="J1748" s="17">
        <v>15</v>
      </c>
      <c r="K1748" s="34">
        <v>4502382742</v>
      </c>
      <c r="L1748" s="19">
        <v>5083019476</v>
      </c>
      <c r="M1748" s="20">
        <v>5113492692</v>
      </c>
      <c r="N1748" s="23"/>
      <c r="O1748" s="9" t="s">
        <v>63</v>
      </c>
      <c r="P1748" s="23"/>
      <c r="Q1748" s="24" t="s">
        <v>82</v>
      </c>
      <c r="R1748" s="25">
        <v>44773</v>
      </c>
      <c r="S1748" s="28"/>
      <c r="T1748" s="35"/>
      <c r="U1748" s="35"/>
      <c r="V1748" s="29"/>
      <c r="W1748" s="35"/>
      <c r="X1748" s="29"/>
      <c r="Y1748" s="36"/>
      <c r="Z1748" s="29"/>
      <c r="AA1748" s="31">
        <f t="shared" si="1"/>
        <v>44773</v>
      </c>
      <c r="AB1748" s="32" t="str">
        <f t="shared" si="5"/>
        <v>julio</v>
      </c>
    </row>
    <row r="1749" spans="1:28" ht="12.75">
      <c r="A1749" s="9" t="s">
        <v>642</v>
      </c>
      <c r="B1749" s="10">
        <v>44778</v>
      </c>
      <c r="C1749" s="11"/>
      <c r="D1749" s="53">
        <v>31</v>
      </c>
      <c r="E1749" s="13" t="s">
        <v>2236</v>
      </c>
      <c r="F1749" s="13">
        <v>3025457</v>
      </c>
      <c r="G1749" s="37">
        <v>7592.5</v>
      </c>
      <c r="H1749" s="33">
        <v>8550</v>
      </c>
      <c r="I1749" s="16">
        <f t="shared" si="258"/>
        <v>64915875</v>
      </c>
      <c r="J1749" s="17">
        <v>15</v>
      </c>
      <c r="K1749" s="34">
        <v>4502380551</v>
      </c>
      <c r="L1749" s="19">
        <v>5083007373</v>
      </c>
      <c r="M1749" s="20">
        <v>5113497672</v>
      </c>
      <c r="N1749" s="23"/>
      <c r="O1749" s="9" t="s">
        <v>37</v>
      </c>
      <c r="P1749" s="23"/>
      <c r="Q1749" s="24" t="s">
        <v>31</v>
      </c>
      <c r="R1749" s="25">
        <v>44774</v>
      </c>
      <c r="S1749" s="28"/>
      <c r="T1749" s="35"/>
      <c r="U1749" s="35"/>
      <c r="V1749" s="29"/>
      <c r="W1749" s="35"/>
      <c r="X1749" s="29"/>
      <c r="Y1749" s="36"/>
      <c r="Z1749" s="29"/>
      <c r="AA1749" s="31">
        <f t="shared" si="1"/>
        <v>44774</v>
      </c>
      <c r="AB1749" s="32" t="str">
        <f t="shared" si="5"/>
        <v>agosto</v>
      </c>
    </row>
    <row r="1750" spans="1:28" ht="12.75">
      <c r="A1750" s="9" t="s">
        <v>642</v>
      </c>
      <c r="B1750" s="10">
        <v>44778</v>
      </c>
      <c r="C1750" s="11"/>
      <c r="D1750" s="53">
        <v>31</v>
      </c>
      <c r="E1750" s="13" t="s">
        <v>163</v>
      </c>
      <c r="F1750" s="13">
        <v>3025457</v>
      </c>
      <c r="G1750" s="37">
        <v>7592.5</v>
      </c>
      <c r="H1750" s="33">
        <f>8641.91-8550</f>
        <v>91.909999999999854</v>
      </c>
      <c r="I1750" s="16">
        <f t="shared" si="258"/>
        <v>697826.67499999888</v>
      </c>
      <c r="J1750" s="17">
        <v>0</v>
      </c>
      <c r="K1750" s="34">
        <v>4502380551</v>
      </c>
      <c r="L1750" s="19">
        <v>5083007373</v>
      </c>
      <c r="M1750" s="20">
        <v>5113497675</v>
      </c>
      <c r="N1750" s="44"/>
      <c r="O1750" s="9"/>
      <c r="P1750" s="23"/>
      <c r="Q1750" s="24" t="s">
        <v>31</v>
      </c>
      <c r="R1750" s="25">
        <v>44774</v>
      </c>
      <c r="S1750" s="28"/>
      <c r="T1750" s="35"/>
      <c r="U1750" s="35"/>
      <c r="V1750" s="29"/>
      <c r="W1750" s="35"/>
      <c r="X1750" s="29"/>
      <c r="Y1750" s="36"/>
      <c r="Z1750" s="29"/>
      <c r="AA1750" s="31">
        <f t="shared" si="1"/>
        <v>44774</v>
      </c>
      <c r="AB1750" s="32" t="str">
        <f t="shared" si="5"/>
        <v>agosto</v>
      </c>
    </row>
    <row r="1751" spans="1:28" ht="12.75">
      <c r="A1751" s="9" t="s">
        <v>28</v>
      </c>
      <c r="B1751" s="10">
        <v>44776</v>
      </c>
      <c r="C1751" s="11">
        <v>44776</v>
      </c>
      <c r="D1751" s="53">
        <v>31</v>
      </c>
      <c r="E1751" s="13" t="s">
        <v>2237</v>
      </c>
      <c r="F1751" s="13">
        <v>3025459</v>
      </c>
      <c r="G1751" s="14">
        <v>21809</v>
      </c>
      <c r="H1751" s="15">
        <v>8050</v>
      </c>
      <c r="I1751" s="16">
        <f t="shared" si="258"/>
        <v>175562450</v>
      </c>
      <c r="J1751" s="17">
        <v>42</v>
      </c>
      <c r="K1751" s="34">
        <v>4502382083</v>
      </c>
      <c r="L1751" s="19">
        <v>5083004070</v>
      </c>
      <c r="M1751" s="20">
        <v>5113485938</v>
      </c>
      <c r="N1751" s="23"/>
      <c r="O1751" s="22" t="s">
        <v>2238</v>
      </c>
      <c r="P1751" s="23" t="s">
        <v>63</v>
      </c>
      <c r="Q1751" s="24" t="s">
        <v>31</v>
      </c>
      <c r="R1751" s="25">
        <v>44774</v>
      </c>
      <c r="S1751" s="28">
        <v>4902316699</v>
      </c>
      <c r="T1751" s="35">
        <f>2982600*3</f>
        <v>8947800</v>
      </c>
      <c r="U1751" s="28" t="s">
        <v>2239</v>
      </c>
      <c r="V1751" s="29">
        <v>5113485749</v>
      </c>
      <c r="W1751" s="35"/>
      <c r="X1751" s="29"/>
      <c r="Y1751" s="36"/>
      <c r="Z1751" s="29"/>
      <c r="AA1751" s="31">
        <f t="shared" si="1"/>
        <v>44774</v>
      </c>
      <c r="AB1751" s="32" t="str">
        <f t="shared" si="5"/>
        <v>agosto</v>
      </c>
    </row>
    <row r="1752" spans="1:28" ht="12.75">
      <c r="A1752" s="9" t="s">
        <v>348</v>
      </c>
      <c r="B1752" s="10">
        <v>44774</v>
      </c>
      <c r="C1752" s="11">
        <v>44777</v>
      </c>
      <c r="D1752" s="53">
        <v>31</v>
      </c>
      <c r="E1752" s="13" t="s">
        <v>2240</v>
      </c>
      <c r="F1752" s="13">
        <v>3025459</v>
      </c>
      <c r="G1752" s="37">
        <v>5885.5</v>
      </c>
      <c r="H1752" s="33">
        <v>8550</v>
      </c>
      <c r="I1752" s="16">
        <f t="shared" si="258"/>
        <v>50321025</v>
      </c>
      <c r="J1752" s="17">
        <v>15</v>
      </c>
      <c r="K1752" s="34">
        <v>4502378499</v>
      </c>
      <c r="L1752" s="19">
        <v>5083005289</v>
      </c>
      <c r="M1752" s="20">
        <v>5113488795</v>
      </c>
      <c r="N1752" s="23"/>
      <c r="O1752" s="9" t="s">
        <v>63</v>
      </c>
      <c r="P1752" s="23"/>
      <c r="Q1752" s="24" t="s">
        <v>31</v>
      </c>
      <c r="R1752" s="25">
        <v>44774</v>
      </c>
      <c r="S1752" s="28"/>
      <c r="T1752" s="35"/>
      <c r="U1752" s="35"/>
      <c r="V1752" s="29"/>
      <c r="W1752" s="35"/>
      <c r="X1752" s="29"/>
      <c r="Y1752" s="36"/>
      <c r="Z1752" s="29"/>
      <c r="AA1752" s="31">
        <f t="shared" si="1"/>
        <v>44774</v>
      </c>
      <c r="AB1752" s="32" t="str">
        <f t="shared" si="5"/>
        <v>agosto</v>
      </c>
    </row>
    <row r="1753" spans="1:28" ht="12.75">
      <c r="A1753" s="9" t="s">
        <v>348</v>
      </c>
      <c r="B1753" s="10">
        <v>44777</v>
      </c>
      <c r="C1753" s="11">
        <v>44777</v>
      </c>
      <c r="D1753" s="53">
        <v>31</v>
      </c>
      <c r="E1753" s="13" t="s">
        <v>2241</v>
      </c>
      <c r="F1753" s="13">
        <v>3025459</v>
      </c>
      <c r="G1753" s="37">
        <v>5885.5</v>
      </c>
      <c r="H1753" s="33">
        <f>8550-8334.69</f>
        <v>215.30999999999949</v>
      </c>
      <c r="I1753" s="16">
        <f>-H1753*G1753</f>
        <v>-1267207.0049999971</v>
      </c>
      <c r="J1753" s="17">
        <v>0</v>
      </c>
      <c r="K1753" s="34">
        <v>4502378499</v>
      </c>
      <c r="L1753" s="19">
        <v>5083005289</v>
      </c>
      <c r="M1753" s="20">
        <v>5113488796</v>
      </c>
      <c r="N1753" s="23"/>
      <c r="O1753" s="9"/>
      <c r="P1753" s="23"/>
      <c r="Q1753" s="24" t="s">
        <v>31</v>
      </c>
      <c r="R1753" s="25">
        <v>44774</v>
      </c>
      <c r="S1753" s="28"/>
      <c r="T1753" s="35"/>
      <c r="U1753" s="35"/>
      <c r="V1753" s="29"/>
      <c r="W1753" s="35"/>
      <c r="X1753" s="29"/>
      <c r="Y1753" s="36"/>
      <c r="Z1753" s="29"/>
      <c r="AA1753" s="31">
        <f t="shared" si="1"/>
        <v>44774</v>
      </c>
      <c r="AB1753" s="32" t="str">
        <f t="shared" si="5"/>
        <v>agosto</v>
      </c>
    </row>
    <row r="1754" spans="1:28" ht="12.75">
      <c r="A1754" s="9" t="s">
        <v>230</v>
      </c>
      <c r="B1754" s="10">
        <v>44778</v>
      </c>
      <c r="C1754" s="11">
        <v>44782</v>
      </c>
      <c r="D1754" s="53">
        <v>31</v>
      </c>
      <c r="E1754" s="13" t="s">
        <v>2242</v>
      </c>
      <c r="F1754" s="13">
        <v>3025457</v>
      </c>
      <c r="G1754" s="14">
        <v>13989</v>
      </c>
      <c r="H1754" s="33">
        <v>8550</v>
      </c>
      <c r="I1754" s="16">
        <f t="shared" ref="I1754:I1761" si="259">H1754*G1754</f>
        <v>119605950</v>
      </c>
      <c r="J1754" s="17">
        <v>30</v>
      </c>
      <c r="K1754" s="34">
        <v>4502378500</v>
      </c>
      <c r="L1754" s="19">
        <v>5083024606</v>
      </c>
      <c r="M1754" s="20">
        <v>5113497854</v>
      </c>
      <c r="N1754" s="23"/>
      <c r="O1754" s="9" t="s">
        <v>37</v>
      </c>
      <c r="P1754" s="23"/>
      <c r="Q1754" s="24" t="s">
        <v>31</v>
      </c>
      <c r="R1754" s="25">
        <v>44775</v>
      </c>
      <c r="S1754" s="28"/>
      <c r="T1754" s="35"/>
      <c r="U1754" s="35"/>
      <c r="V1754" s="29"/>
      <c r="W1754" s="35"/>
      <c r="X1754" s="29"/>
      <c r="Y1754" s="36"/>
      <c r="Z1754" s="29"/>
      <c r="AA1754" s="31">
        <f t="shared" si="1"/>
        <v>44775</v>
      </c>
      <c r="AB1754" s="32" t="str">
        <f t="shared" si="5"/>
        <v>agosto</v>
      </c>
    </row>
    <row r="1755" spans="1:28" ht="12.75">
      <c r="A1755" s="9" t="s">
        <v>116</v>
      </c>
      <c r="B1755" s="10">
        <v>44748</v>
      </c>
      <c r="C1755" s="11">
        <v>44749</v>
      </c>
      <c r="D1755" s="53">
        <v>31</v>
      </c>
      <c r="E1755" s="13" t="s">
        <v>2055</v>
      </c>
      <c r="F1755" s="13">
        <v>3025457</v>
      </c>
      <c r="G1755" s="14">
        <v>190271</v>
      </c>
      <c r="H1755" s="15">
        <v>9635</v>
      </c>
      <c r="I1755" s="16">
        <f t="shared" si="259"/>
        <v>1833261085</v>
      </c>
      <c r="J1755" s="122">
        <v>98</v>
      </c>
      <c r="K1755" s="34">
        <v>4502365447</v>
      </c>
      <c r="L1755" s="19">
        <v>5082603723</v>
      </c>
      <c r="M1755" s="20">
        <v>5113437230</v>
      </c>
      <c r="N1755" s="23" t="s">
        <v>37</v>
      </c>
      <c r="O1755" s="22" t="s">
        <v>2243</v>
      </c>
      <c r="P1755" s="23"/>
      <c r="Q1755" s="24" t="s">
        <v>31</v>
      </c>
      <c r="R1755" s="25">
        <v>44775</v>
      </c>
      <c r="S1755" s="28">
        <v>4902347665</v>
      </c>
      <c r="T1755" s="28">
        <v>12170000</v>
      </c>
      <c r="U1755" s="28" t="s">
        <v>2244</v>
      </c>
      <c r="V1755" s="29">
        <v>5113487523</v>
      </c>
      <c r="W1755" s="28" t="s">
        <v>2245</v>
      </c>
      <c r="X1755" s="29"/>
      <c r="Y1755" s="36"/>
      <c r="Z1755" s="29"/>
      <c r="AA1755" s="31">
        <f t="shared" si="1"/>
        <v>44775</v>
      </c>
      <c r="AB1755" s="32" t="str">
        <f t="shared" si="5"/>
        <v>agosto</v>
      </c>
    </row>
    <row r="1756" spans="1:28" ht="12.75">
      <c r="A1756" s="9" t="s">
        <v>85</v>
      </c>
      <c r="B1756" s="10">
        <v>44777</v>
      </c>
      <c r="C1756" s="11">
        <v>44777</v>
      </c>
      <c r="D1756" s="53">
        <v>31</v>
      </c>
      <c r="E1756" s="13" t="s">
        <v>2246</v>
      </c>
      <c r="F1756" s="13">
        <v>3025459</v>
      </c>
      <c r="G1756" s="14">
        <v>27260</v>
      </c>
      <c r="H1756" s="15">
        <v>8300</v>
      </c>
      <c r="I1756" s="16">
        <f t="shared" si="259"/>
        <v>226258000</v>
      </c>
      <c r="J1756" s="17">
        <v>56</v>
      </c>
      <c r="K1756" s="34">
        <v>4502383047</v>
      </c>
      <c r="L1756" s="19">
        <v>5083023119</v>
      </c>
      <c r="M1756" s="20">
        <v>5113488579</v>
      </c>
      <c r="N1756" s="23"/>
      <c r="O1756" s="88" t="s">
        <v>1746</v>
      </c>
      <c r="P1756" s="44" t="s">
        <v>63</v>
      </c>
      <c r="Q1756" s="24" t="s">
        <v>31</v>
      </c>
      <c r="R1756" s="25">
        <v>44775</v>
      </c>
      <c r="S1756" s="28">
        <v>4902316704</v>
      </c>
      <c r="T1756" s="35">
        <f>1793900*4</f>
        <v>7175600</v>
      </c>
      <c r="U1756" s="28" t="s">
        <v>2247</v>
      </c>
      <c r="V1756" s="29">
        <v>5113487479</v>
      </c>
      <c r="W1756" s="35"/>
      <c r="X1756" s="29"/>
      <c r="Y1756" s="36"/>
      <c r="Z1756" s="29"/>
      <c r="AA1756" s="31">
        <f t="shared" si="1"/>
        <v>44775</v>
      </c>
      <c r="AB1756" s="32" t="str">
        <f t="shared" si="5"/>
        <v>agosto</v>
      </c>
    </row>
    <row r="1757" spans="1:28" ht="12.75">
      <c r="A1757" s="9" t="s">
        <v>58</v>
      </c>
      <c r="B1757" s="10">
        <v>44778</v>
      </c>
      <c r="C1757" s="11">
        <v>44778</v>
      </c>
      <c r="D1757" s="53">
        <v>31</v>
      </c>
      <c r="E1757" s="13" t="s">
        <v>2248</v>
      </c>
      <c r="F1757" s="13">
        <v>3025462</v>
      </c>
      <c r="G1757" s="14">
        <v>9126</v>
      </c>
      <c r="H1757" s="57">
        <v>7600</v>
      </c>
      <c r="I1757" s="16">
        <f t="shared" si="259"/>
        <v>69357600</v>
      </c>
      <c r="J1757" s="17">
        <v>32</v>
      </c>
      <c r="K1757" s="34">
        <v>4502384916</v>
      </c>
      <c r="L1757" s="19">
        <v>5083056537</v>
      </c>
      <c r="M1757" s="20">
        <v>5113492782</v>
      </c>
      <c r="N1757" s="23"/>
      <c r="O1757" s="9" t="s">
        <v>37</v>
      </c>
      <c r="P1757" s="23"/>
      <c r="Q1757" s="24" t="s">
        <v>357</v>
      </c>
      <c r="R1757" s="25">
        <v>44776</v>
      </c>
      <c r="S1757" s="28"/>
      <c r="T1757" s="35"/>
      <c r="U1757" s="35"/>
      <c r="V1757" s="29"/>
      <c r="W1757" s="35"/>
      <c r="X1757" s="29"/>
      <c r="Y1757" s="36"/>
      <c r="Z1757" s="29"/>
      <c r="AA1757" s="31">
        <f t="shared" si="1"/>
        <v>44776</v>
      </c>
      <c r="AB1757" s="32" t="str">
        <f t="shared" si="5"/>
        <v>agosto</v>
      </c>
    </row>
    <row r="1758" spans="1:28" ht="12.75">
      <c r="A1758" s="9" t="s">
        <v>416</v>
      </c>
      <c r="B1758" s="10">
        <v>44777</v>
      </c>
      <c r="C1758" s="11"/>
      <c r="D1758" s="42">
        <v>32</v>
      </c>
      <c r="E1758" s="13" t="s">
        <v>2249</v>
      </c>
      <c r="F1758" s="13">
        <v>3025457</v>
      </c>
      <c r="G1758" s="37">
        <v>12258.5</v>
      </c>
      <c r="H1758" s="40">
        <v>8800</v>
      </c>
      <c r="I1758" s="16">
        <f t="shared" si="259"/>
        <v>107874800</v>
      </c>
      <c r="J1758" s="17">
        <v>28</v>
      </c>
      <c r="K1758" s="34">
        <v>4502383111</v>
      </c>
      <c r="L1758" s="19">
        <v>5083052829</v>
      </c>
      <c r="M1758" s="20">
        <v>5113501259</v>
      </c>
      <c r="N1758" s="23"/>
      <c r="O1758" s="23" t="s">
        <v>37</v>
      </c>
      <c r="P1758" s="23"/>
      <c r="Q1758" s="24" t="s">
        <v>31</v>
      </c>
      <c r="R1758" s="25">
        <v>44777</v>
      </c>
      <c r="S1758" s="28"/>
      <c r="T1758" s="35"/>
      <c r="U1758" s="35"/>
      <c r="V1758" s="29"/>
      <c r="W1758" s="35"/>
      <c r="X1758" s="29"/>
      <c r="Y1758" s="36"/>
      <c r="Z1758" s="29"/>
      <c r="AA1758" s="31">
        <f t="shared" si="1"/>
        <v>44777</v>
      </c>
      <c r="AB1758" s="32" t="str">
        <f t="shared" si="5"/>
        <v>agosto</v>
      </c>
    </row>
    <row r="1759" spans="1:28" ht="12.75">
      <c r="A1759" s="9" t="s">
        <v>416</v>
      </c>
      <c r="B1759" s="10">
        <v>44777</v>
      </c>
      <c r="C1759" s="11"/>
      <c r="D1759" s="42">
        <v>32</v>
      </c>
      <c r="E1759" s="13" t="s">
        <v>2250</v>
      </c>
      <c r="F1759" s="13">
        <v>3025457</v>
      </c>
      <c r="G1759" s="37">
        <v>12258.5</v>
      </c>
      <c r="H1759" s="40">
        <f>8846.75-8800</f>
        <v>46.75</v>
      </c>
      <c r="I1759" s="16">
        <f t="shared" si="259"/>
        <v>573084.875</v>
      </c>
      <c r="J1759" s="17">
        <v>0</v>
      </c>
      <c r="K1759" s="34">
        <v>4502383111</v>
      </c>
      <c r="L1759" s="19">
        <v>5083052829</v>
      </c>
      <c r="M1759" s="20">
        <v>5113501261</v>
      </c>
      <c r="N1759" s="23"/>
      <c r="O1759" s="23"/>
      <c r="P1759" s="23"/>
      <c r="Q1759" s="24" t="s">
        <v>31</v>
      </c>
      <c r="R1759" s="25">
        <v>44777</v>
      </c>
      <c r="S1759" s="28"/>
      <c r="T1759" s="35"/>
      <c r="U1759" s="35"/>
      <c r="V1759" s="29"/>
      <c r="W1759" s="35"/>
      <c r="X1759" s="29"/>
      <c r="Y1759" s="36"/>
      <c r="Z1759" s="29"/>
      <c r="AA1759" s="31">
        <f t="shared" si="1"/>
        <v>44777</v>
      </c>
      <c r="AB1759" s="32" t="str">
        <f t="shared" si="5"/>
        <v>agosto</v>
      </c>
    </row>
    <row r="1760" spans="1:28" ht="12.75">
      <c r="A1760" s="9" t="s">
        <v>46</v>
      </c>
      <c r="B1760" s="10">
        <v>44778</v>
      </c>
      <c r="C1760" s="11">
        <v>44782</v>
      </c>
      <c r="D1760" s="42">
        <v>32</v>
      </c>
      <c r="E1760" s="13" t="s">
        <v>2251</v>
      </c>
      <c r="F1760" s="13">
        <v>3025457</v>
      </c>
      <c r="G1760" s="14">
        <v>20780</v>
      </c>
      <c r="H1760" s="40">
        <v>8500</v>
      </c>
      <c r="I1760" s="16">
        <f t="shared" si="259"/>
        <v>176630000</v>
      </c>
      <c r="J1760" s="17">
        <v>42</v>
      </c>
      <c r="K1760" s="34">
        <v>4502383112</v>
      </c>
      <c r="L1760" s="19">
        <v>5083052830</v>
      </c>
      <c r="M1760" s="20">
        <v>5113496558</v>
      </c>
      <c r="N1760" s="23"/>
      <c r="O1760" s="23" t="s">
        <v>37</v>
      </c>
      <c r="P1760" s="23"/>
      <c r="Q1760" s="24" t="s">
        <v>31</v>
      </c>
      <c r="R1760" s="25">
        <v>44777</v>
      </c>
      <c r="S1760" s="28"/>
      <c r="T1760" s="35"/>
      <c r="U1760" s="35"/>
      <c r="V1760" s="29"/>
      <c r="W1760" s="35"/>
      <c r="X1760" s="29"/>
      <c r="Y1760" s="36"/>
      <c r="Z1760" s="29"/>
      <c r="AA1760" s="31">
        <f t="shared" si="1"/>
        <v>44777</v>
      </c>
      <c r="AB1760" s="32" t="str">
        <f t="shared" si="5"/>
        <v>agosto</v>
      </c>
    </row>
    <row r="1761" spans="1:28" ht="12.75">
      <c r="A1761" s="22" t="s">
        <v>404</v>
      </c>
      <c r="B1761" s="10">
        <v>44750</v>
      </c>
      <c r="C1761" s="11">
        <v>44782</v>
      </c>
      <c r="D1761" s="42">
        <v>32</v>
      </c>
      <c r="E1761" s="13" t="s">
        <v>2252</v>
      </c>
      <c r="F1761" s="13">
        <v>3025457</v>
      </c>
      <c r="G1761" s="37">
        <v>21393.5</v>
      </c>
      <c r="H1761" s="40">
        <v>8800</v>
      </c>
      <c r="I1761" s="16">
        <f t="shared" si="259"/>
        <v>188262800</v>
      </c>
      <c r="J1761" s="17">
        <v>45</v>
      </c>
      <c r="K1761" s="34">
        <v>4502383113</v>
      </c>
      <c r="L1761" s="19">
        <v>5083052831</v>
      </c>
      <c r="M1761" s="20">
        <v>5113496472</v>
      </c>
      <c r="N1761" s="23"/>
      <c r="O1761" s="9" t="s">
        <v>37</v>
      </c>
      <c r="P1761" s="23"/>
      <c r="Q1761" s="24" t="s">
        <v>31</v>
      </c>
      <c r="R1761" s="25">
        <v>44777</v>
      </c>
      <c r="S1761" s="28"/>
      <c r="T1761" s="35"/>
      <c r="U1761" s="35"/>
      <c r="V1761" s="29"/>
      <c r="W1761" s="35"/>
      <c r="X1761" s="29"/>
      <c r="Y1761" s="36"/>
      <c r="Z1761" s="29"/>
      <c r="AA1761" s="31">
        <f t="shared" si="1"/>
        <v>44777</v>
      </c>
      <c r="AB1761" s="32" t="str">
        <f t="shared" si="5"/>
        <v>agosto</v>
      </c>
    </row>
    <row r="1762" spans="1:28" ht="12.75">
      <c r="A1762" s="22" t="s">
        <v>404</v>
      </c>
      <c r="B1762" s="10">
        <v>44782</v>
      </c>
      <c r="C1762" s="11">
        <v>44782</v>
      </c>
      <c r="D1762" s="42">
        <v>32</v>
      </c>
      <c r="E1762" s="13" t="s">
        <v>222</v>
      </c>
      <c r="F1762" s="13">
        <v>3025457</v>
      </c>
      <c r="G1762" s="37">
        <v>21393.5</v>
      </c>
      <c r="H1762" s="40">
        <v>50</v>
      </c>
      <c r="I1762" s="16">
        <f>-H1762*G1762</f>
        <v>-1069675</v>
      </c>
      <c r="J1762" s="17">
        <v>0</v>
      </c>
      <c r="K1762" s="34">
        <v>4502383113</v>
      </c>
      <c r="L1762" s="19">
        <v>5083052831</v>
      </c>
      <c r="M1762" s="20">
        <v>5113496473</v>
      </c>
      <c r="N1762" s="23"/>
      <c r="O1762" s="23"/>
      <c r="P1762" s="23"/>
      <c r="Q1762" s="24" t="s">
        <v>31</v>
      </c>
      <c r="R1762" s="25">
        <v>44777</v>
      </c>
      <c r="S1762" s="28"/>
      <c r="T1762" s="35"/>
      <c r="U1762" s="35"/>
      <c r="V1762" s="29"/>
      <c r="W1762" s="35"/>
      <c r="X1762" s="29"/>
      <c r="Y1762" s="36"/>
      <c r="Z1762" s="29"/>
      <c r="AA1762" s="31">
        <f t="shared" si="1"/>
        <v>44777</v>
      </c>
      <c r="AB1762" s="32" t="str">
        <f t="shared" si="5"/>
        <v>agosto</v>
      </c>
    </row>
    <row r="1763" spans="1:28" ht="12.75">
      <c r="A1763" s="9" t="s">
        <v>196</v>
      </c>
      <c r="B1763" s="10">
        <v>44777</v>
      </c>
      <c r="C1763" s="11"/>
      <c r="D1763" s="42">
        <v>32</v>
      </c>
      <c r="E1763" s="13" t="s">
        <v>2253</v>
      </c>
      <c r="F1763" s="13">
        <v>3025459</v>
      </c>
      <c r="G1763" s="14">
        <v>28528</v>
      </c>
      <c r="H1763" s="15">
        <v>8100</v>
      </c>
      <c r="I1763" s="16">
        <f t="shared" ref="I1763:I1764" si="260">H1763*G1763</f>
        <v>231076800</v>
      </c>
      <c r="J1763" s="17">
        <v>56</v>
      </c>
      <c r="K1763" s="34">
        <v>4502384803</v>
      </c>
      <c r="L1763" s="19">
        <v>5083055594</v>
      </c>
      <c r="M1763" s="20">
        <v>5113498204</v>
      </c>
      <c r="O1763" s="44" t="s">
        <v>1003</v>
      </c>
      <c r="P1763" s="23"/>
      <c r="Q1763" s="24" t="s">
        <v>31</v>
      </c>
      <c r="R1763" s="25">
        <v>44777</v>
      </c>
      <c r="S1763" s="28">
        <v>4902320852</v>
      </c>
      <c r="T1763" s="35">
        <f>1771100*4</f>
        <v>7084400</v>
      </c>
      <c r="U1763" s="28" t="s">
        <v>2254</v>
      </c>
      <c r="V1763" s="29">
        <v>5113490775</v>
      </c>
      <c r="W1763" s="35"/>
      <c r="X1763" s="29"/>
      <c r="Y1763" s="36"/>
      <c r="Z1763" s="29"/>
      <c r="AA1763" s="31">
        <f t="shared" si="1"/>
        <v>44777</v>
      </c>
      <c r="AB1763" s="32" t="str">
        <f t="shared" si="5"/>
        <v>agosto</v>
      </c>
    </row>
    <row r="1764" spans="1:28" ht="12.75">
      <c r="A1764" s="22" t="s">
        <v>719</v>
      </c>
      <c r="B1764" s="10">
        <v>44777</v>
      </c>
      <c r="C1764" s="11">
        <v>44782</v>
      </c>
      <c r="D1764" s="42">
        <v>32</v>
      </c>
      <c r="E1764" s="13" t="s">
        <v>2255</v>
      </c>
      <c r="F1764" s="13">
        <v>3025460</v>
      </c>
      <c r="G1764" s="14">
        <v>6599</v>
      </c>
      <c r="H1764" s="40">
        <v>8500</v>
      </c>
      <c r="I1764" s="16">
        <f t="shared" si="260"/>
        <v>56091500</v>
      </c>
      <c r="J1764" s="17">
        <v>15</v>
      </c>
      <c r="K1764" s="34">
        <v>4502383114</v>
      </c>
      <c r="L1764" s="19">
        <v>5083052832</v>
      </c>
      <c r="M1764" s="20">
        <v>5113498023</v>
      </c>
      <c r="N1764" s="23"/>
      <c r="O1764" s="9" t="s">
        <v>37</v>
      </c>
      <c r="P1764" s="23"/>
      <c r="Q1764" s="24" t="s">
        <v>31</v>
      </c>
      <c r="R1764" s="25">
        <v>44777</v>
      </c>
      <c r="S1764" s="28"/>
      <c r="T1764" s="35"/>
      <c r="U1764" s="35"/>
      <c r="V1764" s="29"/>
      <c r="W1764" s="35"/>
      <c r="X1764" s="29"/>
      <c r="Y1764" s="36"/>
      <c r="Z1764" s="29"/>
      <c r="AA1764" s="31">
        <f t="shared" si="1"/>
        <v>44777</v>
      </c>
      <c r="AB1764" s="32" t="str">
        <f t="shared" si="5"/>
        <v>agosto</v>
      </c>
    </row>
    <row r="1765" spans="1:28" ht="12.75">
      <c r="A1765" s="22" t="s">
        <v>719</v>
      </c>
      <c r="B1765" s="10">
        <v>44777</v>
      </c>
      <c r="C1765" s="11">
        <v>44782</v>
      </c>
      <c r="D1765" s="42">
        <v>32</v>
      </c>
      <c r="E1765" s="13" t="s">
        <v>893</v>
      </c>
      <c r="F1765" s="13">
        <v>3025460</v>
      </c>
      <c r="G1765" s="14">
        <v>6599</v>
      </c>
      <c r="H1765" s="40">
        <f>8500-8493.97</f>
        <v>6.0300000000006548</v>
      </c>
      <c r="I1765" s="16">
        <f>-H1765*G1765</f>
        <v>-39791.970000004323</v>
      </c>
      <c r="J1765" s="17">
        <v>0</v>
      </c>
      <c r="K1765" s="34">
        <v>4502383114</v>
      </c>
      <c r="L1765" s="19">
        <v>5083052832</v>
      </c>
      <c r="M1765" s="20">
        <v>5113498026</v>
      </c>
      <c r="N1765" s="23"/>
      <c r="O1765" s="23"/>
      <c r="P1765" s="23"/>
      <c r="Q1765" s="24" t="s">
        <v>31</v>
      </c>
      <c r="R1765" s="25">
        <v>44777</v>
      </c>
      <c r="S1765" s="28"/>
      <c r="T1765" s="35"/>
      <c r="U1765" s="35"/>
      <c r="V1765" s="29"/>
      <c r="W1765" s="35"/>
      <c r="X1765" s="29"/>
      <c r="Y1765" s="36"/>
      <c r="Z1765" s="29"/>
      <c r="AA1765" s="31">
        <f t="shared" si="1"/>
        <v>44777</v>
      </c>
      <c r="AB1765" s="32" t="str">
        <f t="shared" si="5"/>
        <v>agosto</v>
      </c>
    </row>
    <row r="1766" spans="1:28" ht="12.75">
      <c r="A1766" s="9" t="s">
        <v>58</v>
      </c>
      <c r="B1766" s="10">
        <v>44783</v>
      </c>
      <c r="C1766" s="11">
        <v>44783</v>
      </c>
      <c r="D1766" s="42">
        <v>32</v>
      </c>
      <c r="E1766" s="13" t="s">
        <v>2256</v>
      </c>
      <c r="F1766" s="13">
        <v>3025460</v>
      </c>
      <c r="G1766" s="37">
        <v>22263.5</v>
      </c>
      <c r="H1766" s="40">
        <v>8800</v>
      </c>
      <c r="I1766" s="16">
        <f>H1766*G1766</f>
        <v>195918800</v>
      </c>
      <c r="J1766" s="17">
        <v>46</v>
      </c>
      <c r="K1766" s="34">
        <v>4502383115</v>
      </c>
      <c r="L1766" s="19">
        <v>5083054060</v>
      </c>
      <c r="M1766" s="20">
        <v>5113500902</v>
      </c>
      <c r="N1766" s="23"/>
      <c r="O1766" s="9" t="s">
        <v>37</v>
      </c>
      <c r="P1766" s="23"/>
      <c r="Q1766" s="24" t="s">
        <v>31</v>
      </c>
      <c r="R1766" s="25">
        <v>44777</v>
      </c>
      <c r="S1766" s="28"/>
      <c r="T1766" s="35"/>
      <c r="U1766" s="35"/>
      <c r="V1766" s="29"/>
      <c r="W1766" s="35"/>
      <c r="X1766" s="29"/>
      <c r="Y1766" s="36"/>
      <c r="Z1766" s="29"/>
      <c r="AA1766" s="31">
        <f t="shared" si="1"/>
        <v>44777</v>
      </c>
      <c r="AB1766" s="32" t="str">
        <f t="shared" si="5"/>
        <v>agosto</v>
      </c>
    </row>
    <row r="1767" spans="1:28" ht="12.75">
      <c r="A1767" s="9" t="s">
        <v>58</v>
      </c>
      <c r="B1767" s="10">
        <v>44783</v>
      </c>
      <c r="C1767" s="11">
        <v>44783</v>
      </c>
      <c r="D1767" s="42">
        <v>32</v>
      </c>
      <c r="E1767" s="13" t="s">
        <v>2257</v>
      </c>
      <c r="F1767" s="13">
        <v>3025460</v>
      </c>
      <c r="G1767" s="37">
        <v>22263.5</v>
      </c>
      <c r="H1767" s="40">
        <f>8800-8789.63</f>
        <v>10.3700000000008</v>
      </c>
      <c r="I1767" s="16">
        <f>-H1767*G1767</f>
        <v>-230872.49500001781</v>
      </c>
      <c r="J1767" s="17">
        <v>0</v>
      </c>
      <c r="K1767" s="34">
        <v>4502383115</v>
      </c>
      <c r="L1767" s="19">
        <v>5083054060</v>
      </c>
      <c r="M1767" s="20">
        <v>5113500906</v>
      </c>
      <c r="N1767" s="23"/>
      <c r="O1767" s="23"/>
      <c r="P1767" s="23"/>
      <c r="Q1767" s="24" t="s">
        <v>31</v>
      </c>
      <c r="R1767" s="25">
        <v>44777</v>
      </c>
      <c r="S1767" s="28"/>
      <c r="T1767" s="35"/>
      <c r="U1767" s="35"/>
      <c r="V1767" s="29"/>
      <c r="W1767" s="35"/>
      <c r="X1767" s="29"/>
      <c r="Y1767" s="36"/>
      <c r="Z1767" s="29"/>
      <c r="AA1767" s="31">
        <f t="shared" si="1"/>
        <v>44777</v>
      </c>
      <c r="AB1767" s="32" t="str">
        <f t="shared" si="5"/>
        <v>agosto</v>
      </c>
    </row>
    <row r="1768" spans="1:28" ht="12.75">
      <c r="A1768" s="9" t="s">
        <v>58</v>
      </c>
      <c r="B1768" s="10">
        <v>44783</v>
      </c>
      <c r="C1768" s="11">
        <v>44783</v>
      </c>
      <c r="D1768" s="42">
        <v>32</v>
      </c>
      <c r="E1768" s="13" t="s">
        <v>2258</v>
      </c>
      <c r="F1768" s="13">
        <v>3025460</v>
      </c>
      <c r="G1768" s="37">
        <v>22819.5</v>
      </c>
      <c r="H1768" s="40">
        <v>8800</v>
      </c>
      <c r="I1768" s="16">
        <f t="shared" ref="I1768:I1769" si="261">H1768*G1768</f>
        <v>200811600</v>
      </c>
      <c r="J1768" s="17">
        <v>45</v>
      </c>
      <c r="K1768" s="34">
        <v>4502383115</v>
      </c>
      <c r="L1768" s="19">
        <v>5083054060</v>
      </c>
      <c r="M1768" s="20">
        <v>5113500919</v>
      </c>
      <c r="N1768" s="23"/>
      <c r="O1768" s="9" t="s">
        <v>37</v>
      </c>
      <c r="P1768" s="23"/>
      <c r="Q1768" s="24" t="s">
        <v>31</v>
      </c>
      <c r="R1768" s="25">
        <v>44777</v>
      </c>
      <c r="S1768" s="28"/>
      <c r="T1768" s="35"/>
      <c r="U1768" s="35"/>
      <c r="V1768" s="29"/>
      <c r="W1768" s="35"/>
      <c r="X1768" s="29"/>
      <c r="Y1768" s="36"/>
      <c r="Z1768" s="29"/>
      <c r="AA1768" s="31">
        <f t="shared" si="1"/>
        <v>44777</v>
      </c>
      <c r="AB1768" s="32" t="str">
        <f t="shared" si="5"/>
        <v>agosto</v>
      </c>
    </row>
    <row r="1769" spans="1:28" ht="12.75">
      <c r="A1769" s="9" t="s">
        <v>819</v>
      </c>
      <c r="B1769" s="10">
        <v>44777</v>
      </c>
      <c r="C1769" s="11"/>
      <c r="D1769" s="42">
        <v>32</v>
      </c>
      <c r="E1769" s="13">
        <v>6089</v>
      </c>
      <c r="F1769" s="13">
        <v>3025460</v>
      </c>
      <c r="G1769" s="37">
        <v>6590.5</v>
      </c>
      <c r="H1769" s="40">
        <v>8800</v>
      </c>
      <c r="I1769" s="16">
        <f t="shared" si="261"/>
        <v>57996400</v>
      </c>
      <c r="J1769" s="17">
        <v>14</v>
      </c>
      <c r="K1769" s="34">
        <v>4502383116</v>
      </c>
      <c r="L1769" s="19">
        <v>5083052833</v>
      </c>
      <c r="M1769" s="20">
        <v>5113497641</v>
      </c>
      <c r="N1769" s="23"/>
      <c r="O1769" s="9" t="s">
        <v>37</v>
      </c>
      <c r="P1769" s="23"/>
      <c r="Q1769" s="24" t="s">
        <v>31</v>
      </c>
      <c r="R1769" s="25">
        <v>44777</v>
      </c>
      <c r="S1769" s="28"/>
      <c r="T1769" s="35"/>
      <c r="U1769" s="35"/>
      <c r="V1769" s="29"/>
      <c r="W1769" s="35"/>
      <c r="X1769" s="29"/>
      <c r="Y1769" s="36"/>
      <c r="Z1769" s="29"/>
      <c r="AA1769" s="31">
        <f t="shared" si="1"/>
        <v>44777</v>
      </c>
      <c r="AB1769" s="32" t="str">
        <f t="shared" si="5"/>
        <v>agosto</v>
      </c>
    </row>
    <row r="1770" spans="1:28" ht="12.75">
      <c r="A1770" s="9" t="s">
        <v>819</v>
      </c>
      <c r="B1770" s="10">
        <v>44777</v>
      </c>
      <c r="C1770" s="11"/>
      <c r="D1770" s="42">
        <v>32</v>
      </c>
      <c r="E1770" s="13" t="s">
        <v>2259</v>
      </c>
      <c r="F1770" s="13">
        <v>3025460</v>
      </c>
      <c r="G1770" s="37">
        <v>6590.5</v>
      </c>
      <c r="H1770" s="40">
        <v>50</v>
      </c>
      <c r="I1770" s="16">
        <f>-H1770*G1770</f>
        <v>-329525</v>
      </c>
      <c r="J1770" s="17">
        <v>0</v>
      </c>
      <c r="K1770" s="34">
        <v>4502383116</v>
      </c>
      <c r="L1770" s="19">
        <v>5083052833</v>
      </c>
      <c r="M1770" s="20">
        <v>5113497644</v>
      </c>
      <c r="N1770" s="23"/>
      <c r="O1770" s="23"/>
      <c r="P1770" s="23"/>
      <c r="Q1770" s="24" t="s">
        <v>31</v>
      </c>
      <c r="R1770" s="25">
        <v>44777</v>
      </c>
      <c r="S1770" s="28"/>
      <c r="T1770" s="35"/>
      <c r="U1770" s="35"/>
      <c r="V1770" s="29"/>
      <c r="W1770" s="35"/>
      <c r="X1770" s="29"/>
      <c r="Y1770" s="36"/>
      <c r="Z1770" s="29"/>
      <c r="AA1770" s="31">
        <f t="shared" si="1"/>
        <v>44777</v>
      </c>
      <c r="AB1770" s="32" t="str">
        <f t="shared" si="5"/>
        <v>agosto</v>
      </c>
    </row>
    <row r="1771" spans="1:28" ht="12.75">
      <c r="A1771" s="9" t="s">
        <v>209</v>
      </c>
      <c r="B1771" s="10">
        <v>44782</v>
      </c>
      <c r="C1771" s="11">
        <v>44782</v>
      </c>
      <c r="D1771" s="42">
        <v>32</v>
      </c>
      <c r="E1771" s="13" t="s">
        <v>2260</v>
      </c>
      <c r="F1771" s="13">
        <v>3025460</v>
      </c>
      <c r="G1771" s="37">
        <v>12743.5</v>
      </c>
      <c r="H1771" s="40">
        <v>8400</v>
      </c>
      <c r="I1771" s="16">
        <f>H1771*G1771</f>
        <v>107045400</v>
      </c>
      <c r="J1771" s="17">
        <v>28</v>
      </c>
      <c r="K1771" s="34">
        <v>4502383117</v>
      </c>
      <c r="L1771" s="19">
        <v>5083052834</v>
      </c>
      <c r="M1771" s="20">
        <v>5113495737</v>
      </c>
      <c r="N1771" s="23"/>
      <c r="O1771" s="23" t="s">
        <v>313</v>
      </c>
      <c r="P1771" s="23"/>
      <c r="Q1771" s="24" t="s">
        <v>31</v>
      </c>
      <c r="R1771" s="25">
        <v>44777</v>
      </c>
      <c r="S1771" s="28"/>
      <c r="T1771" s="35"/>
      <c r="U1771" s="35"/>
      <c r="V1771" s="29"/>
      <c r="W1771" s="35"/>
      <c r="X1771" s="29"/>
      <c r="Y1771" s="36"/>
      <c r="Z1771" s="29"/>
      <c r="AA1771" s="31">
        <f t="shared" si="1"/>
        <v>44777</v>
      </c>
      <c r="AB1771" s="32" t="str">
        <f t="shared" si="5"/>
        <v>agosto</v>
      </c>
    </row>
    <row r="1772" spans="1:28" ht="12.75">
      <c r="A1772" s="9" t="s">
        <v>209</v>
      </c>
      <c r="B1772" s="10">
        <v>44782</v>
      </c>
      <c r="C1772" s="11">
        <v>44782</v>
      </c>
      <c r="D1772" s="42">
        <v>32</v>
      </c>
      <c r="E1772" s="13" t="s">
        <v>2261</v>
      </c>
      <c r="F1772" s="13">
        <v>3025460</v>
      </c>
      <c r="G1772" s="37">
        <v>12743.5</v>
      </c>
      <c r="H1772" s="40">
        <f>8400-8346.98</f>
        <v>53.020000000000437</v>
      </c>
      <c r="I1772" s="16">
        <f>-H1772*G1772</f>
        <v>-675660.37000000558</v>
      </c>
      <c r="J1772" s="17">
        <v>0</v>
      </c>
      <c r="K1772" s="34">
        <v>4502383117</v>
      </c>
      <c r="L1772" s="19">
        <v>5083052834</v>
      </c>
      <c r="M1772" s="20">
        <v>5113495738</v>
      </c>
      <c r="N1772" s="23"/>
      <c r="O1772" s="23"/>
      <c r="P1772" s="23"/>
      <c r="Q1772" s="24" t="s">
        <v>31</v>
      </c>
      <c r="R1772" s="25">
        <v>44777</v>
      </c>
      <c r="S1772" s="28"/>
      <c r="T1772" s="35"/>
      <c r="U1772" s="35"/>
      <c r="V1772" s="29"/>
      <c r="W1772" s="35"/>
      <c r="X1772" s="29"/>
      <c r="Y1772" s="36"/>
      <c r="Z1772" s="29"/>
      <c r="AA1772" s="31">
        <f t="shared" si="1"/>
        <v>44777</v>
      </c>
      <c r="AB1772" s="32" t="str">
        <f t="shared" si="5"/>
        <v>agosto</v>
      </c>
    </row>
    <row r="1773" spans="1:28" ht="12.75">
      <c r="A1773" s="9" t="s">
        <v>2170</v>
      </c>
      <c r="B1773" s="10">
        <v>44783</v>
      </c>
      <c r="C1773" s="11"/>
      <c r="D1773" s="42">
        <v>32</v>
      </c>
      <c r="E1773" s="13">
        <v>61</v>
      </c>
      <c r="F1773" s="13">
        <v>3025460</v>
      </c>
      <c r="G1773" s="14">
        <v>6774</v>
      </c>
      <c r="H1773" s="40">
        <v>8500</v>
      </c>
      <c r="I1773" s="16">
        <f t="shared" ref="I1773:I1774" si="262">H1773*G1773</f>
        <v>57579000</v>
      </c>
      <c r="J1773" s="17">
        <v>15</v>
      </c>
      <c r="K1773" s="34">
        <v>4502383118</v>
      </c>
      <c r="L1773" s="19">
        <v>5083052835</v>
      </c>
      <c r="M1773" s="20">
        <v>5113501258</v>
      </c>
      <c r="N1773" s="23"/>
      <c r="O1773" s="23" t="s">
        <v>37</v>
      </c>
      <c r="P1773" s="23"/>
      <c r="Q1773" s="24" t="s">
        <v>31</v>
      </c>
      <c r="R1773" s="25">
        <v>44777</v>
      </c>
      <c r="S1773" s="28"/>
      <c r="T1773" s="35"/>
      <c r="U1773" s="35"/>
      <c r="V1773" s="29"/>
      <c r="W1773" s="35"/>
      <c r="X1773" s="29"/>
      <c r="Y1773" s="36"/>
      <c r="Z1773" s="29"/>
      <c r="AA1773" s="31">
        <f t="shared" si="1"/>
        <v>44777</v>
      </c>
      <c r="AB1773" s="32" t="str">
        <f t="shared" si="5"/>
        <v>agosto</v>
      </c>
    </row>
    <row r="1774" spans="1:28" ht="12.75">
      <c r="A1774" s="22" t="s">
        <v>404</v>
      </c>
      <c r="B1774" s="10">
        <v>44781</v>
      </c>
      <c r="C1774" s="11">
        <v>44782</v>
      </c>
      <c r="D1774" s="42">
        <v>32</v>
      </c>
      <c r="E1774" s="13" t="s">
        <v>2262</v>
      </c>
      <c r="F1774" s="13">
        <v>3025457</v>
      </c>
      <c r="G1774" s="14">
        <v>7667</v>
      </c>
      <c r="H1774" s="40">
        <v>8800</v>
      </c>
      <c r="I1774" s="16">
        <f t="shared" si="262"/>
        <v>67469600</v>
      </c>
      <c r="J1774" s="17">
        <v>14</v>
      </c>
      <c r="K1774" s="34">
        <v>4502383119</v>
      </c>
      <c r="L1774" s="19">
        <v>5083089322</v>
      </c>
      <c r="M1774" s="20">
        <v>5113498434</v>
      </c>
      <c r="N1774" s="23"/>
      <c r="O1774" s="9" t="s">
        <v>37</v>
      </c>
      <c r="P1774" s="23"/>
      <c r="Q1774" s="24" t="s">
        <v>31</v>
      </c>
      <c r="R1774" s="25">
        <v>44778</v>
      </c>
      <c r="S1774" s="28"/>
      <c r="T1774" s="35"/>
      <c r="U1774" s="35"/>
      <c r="V1774" s="29"/>
      <c r="W1774" s="35"/>
      <c r="X1774" s="29"/>
      <c r="Y1774" s="36"/>
      <c r="Z1774" s="29"/>
      <c r="AA1774" s="31">
        <f t="shared" si="1"/>
        <v>44778</v>
      </c>
      <c r="AB1774" s="32" t="str">
        <f t="shared" si="5"/>
        <v>agosto</v>
      </c>
    </row>
    <row r="1775" spans="1:28" ht="12.75">
      <c r="A1775" s="22" t="s">
        <v>404</v>
      </c>
      <c r="B1775" s="10">
        <v>44782</v>
      </c>
      <c r="C1775" s="11">
        <v>44782</v>
      </c>
      <c r="D1775" s="42">
        <v>32</v>
      </c>
      <c r="E1775" s="13" t="s">
        <v>282</v>
      </c>
      <c r="F1775" s="13">
        <v>3025457</v>
      </c>
      <c r="G1775" s="14">
        <v>7667</v>
      </c>
      <c r="H1775" s="40">
        <f>8800-8691.98</f>
        <v>108.02000000000044</v>
      </c>
      <c r="I1775" s="16">
        <f>-H1775*G1775</f>
        <v>-828189.34000000334</v>
      </c>
      <c r="J1775" s="17">
        <v>0</v>
      </c>
      <c r="K1775" s="34">
        <v>4502383119</v>
      </c>
      <c r="L1775" s="19">
        <v>5083089322</v>
      </c>
      <c r="M1775" s="20">
        <v>5113498436</v>
      </c>
      <c r="N1775" s="23"/>
      <c r="O1775" s="23"/>
      <c r="P1775" s="23"/>
      <c r="Q1775" s="24" t="s">
        <v>31</v>
      </c>
      <c r="R1775" s="25">
        <v>44778</v>
      </c>
      <c r="S1775" s="28"/>
      <c r="T1775" s="35"/>
      <c r="U1775" s="35"/>
      <c r="V1775" s="29"/>
      <c r="W1775" s="35"/>
      <c r="X1775" s="29"/>
      <c r="Y1775" s="36"/>
      <c r="Z1775" s="29"/>
      <c r="AA1775" s="31">
        <f t="shared" si="1"/>
        <v>44778</v>
      </c>
      <c r="AB1775" s="32" t="str">
        <f t="shared" si="5"/>
        <v>agosto</v>
      </c>
    </row>
    <row r="1776" spans="1:28" ht="12.75">
      <c r="A1776" s="9" t="s">
        <v>245</v>
      </c>
      <c r="B1776" s="10">
        <v>44778</v>
      </c>
      <c r="C1776" s="11">
        <v>44782</v>
      </c>
      <c r="D1776" s="42">
        <v>32</v>
      </c>
      <c r="E1776" s="13" t="s">
        <v>2263</v>
      </c>
      <c r="F1776" s="13">
        <v>3025459</v>
      </c>
      <c r="G1776" s="37">
        <v>6601.5</v>
      </c>
      <c r="H1776" s="40">
        <v>8400</v>
      </c>
      <c r="I1776" s="16">
        <f t="shared" ref="I1776:I1781" si="263">H1776*G1776</f>
        <v>55452600</v>
      </c>
      <c r="J1776" s="17">
        <v>14</v>
      </c>
      <c r="K1776" s="34">
        <v>4502383120</v>
      </c>
      <c r="L1776" s="19">
        <v>5083089323</v>
      </c>
      <c r="M1776" s="20">
        <v>5113497741</v>
      </c>
      <c r="N1776" s="23"/>
      <c r="O1776" s="9" t="s">
        <v>37</v>
      </c>
      <c r="P1776" s="23"/>
      <c r="Q1776" s="24" t="s">
        <v>31</v>
      </c>
      <c r="R1776" s="25">
        <v>44778</v>
      </c>
      <c r="S1776" s="28"/>
      <c r="T1776" s="35"/>
      <c r="U1776" s="35"/>
      <c r="V1776" s="29"/>
      <c r="W1776" s="35"/>
      <c r="X1776" s="29"/>
      <c r="Y1776" s="36"/>
      <c r="Z1776" s="29"/>
      <c r="AA1776" s="31">
        <f t="shared" si="1"/>
        <v>44778</v>
      </c>
      <c r="AB1776" s="32" t="str">
        <f t="shared" si="5"/>
        <v>agosto</v>
      </c>
    </row>
    <row r="1777" spans="1:28" ht="12.75">
      <c r="A1777" s="9" t="s">
        <v>85</v>
      </c>
      <c r="B1777" s="10">
        <v>44782</v>
      </c>
      <c r="C1777" s="11">
        <v>44783</v>
      </c>
      <c r="D1777" s="42">
        <v>32</v>
      </c>
      <c r="E1777" s="13" t="s">
        <v>2264</v>
      </c>
      <c r="F1777" s="13">
        <v>3025459</v>
      </c>
      <c r="G1777" s="14">
        <v>26955</v>
      </c>
      <c r="H1777" s="15">
        <v>8100</v>
      </c>
      <c r="I1777" s="16">
        <f t="shared" si="263"/>
        <v>218335500</v>
      </c>
      <c r="J1777" s="17">
        <v>56</v>
      </c>
      <c r="K1777" s="34">
        <v>4502385522</v>
      </c>
      <c r="L1777" s="19">
        <v>5083079736</v>
      </c>
      <c r="M1777" s="20">
        <v>5113503100</v>
      </c>
      <c r="N1777" s="23"/>
      <c r="O1777" s="44" t="s">
        <v>2265</v>
      </c>
      <c r="P1777" s="44" t="s">
        <v>63</v>
      </c>
      <c r="Q1777" s="24" t="s">
        <v>31</v>
      </c>
      <c r="R1777" s="25">
        <v>44778</v>
      </c>
      <c r="S1777" s="28">
        <v>4902320853</v>
      </c>
      <c r="T1777" s="35">
        <f>1793900*4</f>
        <v>7175600</v>
      </c>
      <c r="U1777" s="28" t="s">
        <v>2266</v>
      </c>
      <c r="V1777" s="29">
        <v>5113502100</v>
      </c>
      <c r="W1777" s="35"/>
      <c r="X1777" s="29"/>
      <c r="Y1777" s="36"/>
      <c r="Z1777" s="29"/>
      <c r="AA1777" s="31">
        <f t="shared" si="1"/>
        <v>44778</v>
      </c>
      <c r="AB1777" s="32" t="str">
        <f t="shared" si="5"/>
        <v>agosto</v>
      </c>
    </row>
    <row r="1778" spans="1:28" ht="12.75">
      <c r="A1778" s="9" t="s">
        <v>58</v>
      </c>
      <c r="B1778" s="10">
        <v>44783</v>
      </c>
      <c r="C1778" s="11">
        <v>44783</v>
      </c>
      <c r="D1778" s="42">
        <v>32</v>
      </c>
      <c r="E1778" s="13" t="s">
        <v>2267</v>
      </c>
      <c r="F1778" s="13">
        <v>3025460</v>
      </c>
      <c r="G1778" s="14">
        <v>34908</v>
      </c>
      <c r="H1778" s="40">
        <v>8800</v>
      </c>
      <c r="I1778" s="16">
        <f t="shared" si="263"/>
        <v>307190400</v>
      </c>
      <c r="J1778" s="17">
        <v>75</v>
      </c>
      <c r="K1778" s="34">
        <v>4502383121</v>
      </c>
      <c r="L1778" s="19">
        <v>5083089324</v>
      </c>
      <c r="M1778" s="20">
        <v>5113500923</v>
      </c>
      <c r="N1778" s="23"/>
      <c r="O1778" s="9" t="s">
        <v>37</v>
      </c>
      <c r="P1778" s="23"/>
      <c r="Q1778" s="24" t="s">
        <v>31</v>
      </c>
      <c r="R1778" s="25">
        <v>44778</v>
      </c>
      <c r="S1778" s="28"/>
      <c r="T1778" s="35"/>
      <c r="U1778" s="35"/>
      <c r="V1778" s="29"/>
      <c r="W1778" s="35"/>
      <c r="X1778" s="29"/>
      <c r="Y1778" s="36"/>
      <c r="Z1778" s="29"/>
      <c r="AA1778" s="31">
        <f t="shared" si="1"/>
        <v>44778</v>
      </c>
      <c r="AB1778" s="32" t="str">
        <f t="shared" si="5"/>
        <v>agosto</v>
      </c>
    </row>
    <row r="1779" spans="1:28" ht="12.75">
      <c r="A1779" s="9" t="s">
        <v>58</v>
      </c>
      <c r="B1779" s="10">
        <v>44783</v>
      </c>
      <c r="C1779" s="11">
        <v>44783</v>
      </c>
      <c r="D1779" s="42">
        <v>32</v>
      </c>
      <c r="E1779" s="13" t="s">
        <v>2268</v>
      </c>
      <c r="F1779" s="13">
        <v>3025460</v>
      </c>
      <c r="G1779" s="14">
        <v>34908</v>
      </c>
      <c r="H1779" s="40">
        <f>8954.93-8800</f>
        <v>154.93000000000029</v>
      </c>
      <c r="I1779" s="16">
        <f t="shared" si="263"/>
        <v>5408296.4400000097</v>
      </c>
      <c r="J1779" s="17">
        <v>0</v>
      </c>
      <c r="K1779" s="34">
        <v>4502383121</v>
      </c>
      <c r="L1779" s="19">
        <v>5083089324</v>
      </c>
      <c r="M1779" s="20">
        <v>5113500948</v>
      </c>
      <c r="N1779" s="23"/>
      <c r="O1779" s="23"/>
      <c r="P1779" s="23"/>
      <c r="Q1779" s="24" t="s">
        <v>31</v>
      </c>
      <c r="R1779" s="25">
        <v>44778</v>
      </c>
      <c r="S1779" s="28"/>
      <c r="T1779" s="35"/>
      <c r="U1779" s="35"/>
      <c r="V1779" s="29"/>
      <c r="W1779" s="35"/>
      <c r="X1779" s="29"/>
      <c r="Y1779" s="36"/>
      <c r="Z1779" s="29"/>
      <c r="AA1779" s="31">
        <f t="shared" si="1"/>
        <v>44778</v>
      </c>
      <c r="AB1779" s="32" t="str">
        <f t="shared" si="5"/>
        <v>agosto</v>
      </c>
    </row>
    <row r="1780" spans="1:28" ht="12.75">
      <c r="A1780" s="9" t="s">
        <v>621</v>
      </c>
      <c r="B1780" s="10">
        <v>44783</v>
      </c>
      <c r="C1780" s="11">
        <v>44783</v>
      </c>
      <c r="D1780" s="42">
        <v>32</v>
      </c>
      <c r="E1780" s="13" t="s">
        <v>2269</v>
      </c>
      <c r="F1780" s="13">
        <v>3025460</v>
      </c>
      <c r="G1780" s="37">
        <v>12614.5</v>
      </c>
      <c r="H1780" s="40">
        <v>8500</v>
      </c>
      <c r="I1780" s="16">
        <f t="shared" si="263"/>
        <v>107223250</v>
      </c>
      <c r="J1780" s="17">
        <v>28</v>
      </c>
      <c r="K1780" s="34">
        <v>4502383122</v>
      </c>
      <c r="L1780" s="19">
        <v>5083089325</v>
      </c>
      <c r="M1780" s="20">
        <v>5113500543</v>
      </c>
      <c r="N1780" s="23"/>
      <c r="O1780" s="9" t="s">
        <v>63</v>
      </c>
      <c r="P1780" s="23"/>
      <c r="Q1780" s="24" t="s">
        <v>31</v>
      </c>
      <c r="R1780" s="25">
        <v>44778</v>
      </c>
      <c r="S1780" s="28"/>
      <c r="T1780" s="35"/>
      <c r="U1780" s="35"/>
      <c r="V1780" s="29"/>
      <c r="W1780" s="35"/>
      <c r="X1780" s="29"/>
      <c r="Y1780" s="36"/>
      <c r="Z1780" s="29"/>
      <c r="AA1780" s="31">
        <f t="shared" si="1"/>
        <v>44778</v>
      </c>
      <c r="AB1780" s="32" t="str">
        <f t="shared" si="5"/>
        <v>agosto</v>
      </c>
    </row>
    <row r="1781" spans="1:28" ht="12.75">
      <c r="A1781" s="9" t="s">
        <v>1102</v>
      </c>
      <c r="B1781" s="10">
        <v>44784</v>
      </c>
      <c r="C1781" s="11">
        <v>44784</v>
      </c>
      <c r="D1781" s="42">
        <v>32</v>
      </c>
      <c r="E1781" s="13" t="s">
        <v>2270</v>
      </c>
      <c r="F1781" s="13">
        <v>3025460</v>
      </c>
      <c r="G1781" s="37">
        <v>6641.5</v>
      </c>
      <c r="H1781" s="40">
        <v>8800</v>
      </c>
      <c r="I1781" s="16">
        <f t="shared" si="263"/>
        <v>58445200</v>
      </c>
      <c r="J1781" s="17">
        <v>15</v>
      </c>
      <c r="K1781" s="34">
        <v>4502383124</v>
      </c>
      <c r="L1781" s="19">
        <v>5083090665</v>
      </c>
      <c r="M1781" s="20">
        <v>5113517741</v>
      </c>
      <c r="N1781" s="23"/>
      <c r="O1781" s="9" t="s">
        <v>37</v>
      </c>
      <c r="P1781" s="23"/>
      <c r="Q1781" s="24" t="s">
        <v>31</v>
      </c>
      <c r="R1781" s="25">
        <v>44778</v>
      </c>
      <c r="S1781" s="28"/>
      <c r="T1781" s="35"/>
      <c r="U1781" s="35"/>
      <c r="V1781" s="29"/>
      <c r="W1781" s="35"/>
      <c r="X1781" s="29"/>
      <c r="Y1781" s="36"/>
      <c r="Z1781" s="29"/>
      <c r="AA1781" s="31">
        <f t="shared" si="1"/>
        <v>44778</v>
      </c>
      <c r="AB1781" s="32" t="str">
        <f t="shared" si="5"/>
        <v>agosto</v>
      </c>
    </row>
    <row r="1782" spans="1:28" ht="12.75">
      <c r="A1782" s="9" t="s">
        <v>1102</v>
      </c>
      <c r="B1782" s="10">
        <v>44784</v>
      </c>
      <c r="C1782" s="11">
        <v>44784</v>
      </c>
      <c r="D1782" s="42">
        <v>32</v>
      </c>
      <c r="E1782" s="13" t="s">
        <v>2271</v>
      </c>
      <c r="F1782" s="13">
        <v>3025460</v>
      </c>
      <c r="G1782" s="37">
        <v>6641.5</v>
      </c>
      <c r="H1782" s="40">
        <f>8800-8721.98</f>
        <v>78.020000000000437</v>
      </c>
      <c r="I1782" s="16">
        <f>-H1782*G1782</f>
        <v>-518169.83000000293</v>
      </c>
      <c r="J1782" s="17">
        <v>0</v>
      </c>
      <c r="K1782" s="34">
        <v>4502383124</v>
      </c>
      <c r="L1782" s="19">
        <v>5083090665</v>
      </c>
      <c r="M1782" s="20">
        <v>5113517743</v>
      </c>
      <c r="N1782" s="23"/>
      <c r="O1782" s="23"/>
      <c r="P1782" s="23"/>
      <c r="Q1782" s="24" t="s">
        <v>31</v>
      </c>
      <c r="R1782" s="25">
        <v>44778</v>
      </c>
      <c r="S1782" s="28"/>
      <c r="T1782" s="35"/>
      <c r="U1782" s="35"/>
      <c r="V1782" s="29"/>
      <c r="W1782" s="35"/>
      <c r="X1782" s="29"/>
      <c r="Y1782" s="36"/>
      <c r="Z1782" s="29"/>
      <c r="AA1782" s="31">
        <f t="shared" si="1"/>
        <v>44778</v>
      </c>
      <c r="AB1782" s="32" t="str">
        <f t="shared" si="5"/>
        <v>agosto</v>
      </c>
    </row>
    <row r="1783" spans="1:28" ht="12.75">
      <c r="A1783" s="9" t="s">
        <v>331</v>
      </c>
      <c r="B1783" s="10">
        <v>44783</v>
      </c>
      <c r="C1783" s="11"/>
      <c r="D1783" s="42">
        <v>32</v>
      </c>
      <c r="E1783" s="13" t="s">
        <v>2272</v>
      </c>
      <c r="F1783" s="13">
        <v>3025460</v>
      </c>
      <c r="G1783" s="14">
        <v>5943</v>
      </c>
      <c r="H1783" s="40">
        <v>8400</v>
      </c>
      <c r="I1783" s="16">
        <f>H1783*G1783</f>
        <v>49921200</v>
      </c>
      <c r="J1783" s="17">
        <v>14</v>
      </c>
      <c r="K1783" s="34">
        <v>4502383125</v>
      </c>
      <c r="L1783" s="19">
        <v>5083089326</v>
      </c>
      <c r="M1783" s="20">
        <v>5113500544</v>
      </c>
      <c r="N1783" s="23"/>
      <c r="O1783" s="9" t="s">
        <v>63</v>
      </c>
      <c r="P1783" s="23"/>
      <c r="Q1783" s="24" t="s">
        <v>31</v>
      </c>
      <c r="R1783" s="25">
        <v>44778</v>
      </c>
      <c r="S1783" s="28"/>
      <c r="T1783" s="35"/>
      <c r="U1783" s="35"/>
      <c r="V1783" s="29"/>
      <c r="W1783" s="35"/>
      <c r="X1783" s="29"/>
      <c r="Y1783" s="36"/>
      <c r="Z1783" s="29"/>
      <c r="AA1783" s="31">
        <f t="shared" si="1"/>
        <v>44778</v>
      </c>
      <c r="AB1783" s="32" t="str">
        <f t="shared" si="5"/>
        <v>agosto</v>
      </c>
    </row>
    <row r="1784" spans="1:28" ht="12.75">
      <c r="A1784" s="9" t="s">
        <v>331</v>
      </c>
      <c r="B1784" s="10">
        <v>44783</v>
      </c>
      <c r="C1784" s="11"/>
      <c r="D1784" s="42">
        <v>32</v>
      </c>
      <c r="E1784" s="13" t="s">
        <v>600</v>
      </c>
      <c r="F1784" s="13">
        <v>3025460</v>
      </c>
      <c r="G1784" s="14">
        <v>5943</v>
      </c>
      <c r="H1784" s="40">
        <f>8400-8230.3</f>
        <v>169.70000000000073</v>
      </c>
      <c r="I1784" s="16">
        <f>-H1784*G1784</f>
        <v>-1008527.1000000043</v>
      </c>
      <c r="J1784" s="17">
        <v>0</v>
      </c>
      <c r="K1784" s="34">
        <v>4502383125</v>
      </c>
      <c r="L1784" s="19">
        <v>5083089326</v>
      </c>
      <c r="M1784" s="20">
        <v>5113500545</v>
      </c>
      <c r="N1784" s="23"/>
      <c r="O1784" s="23"/>
      <c r="P1784" s="23"/>
      <c r="Q1784" s="24" t="s">
        <v>31</v>
      </c>
      <c r="R1784" s="25">
        <v>44778</v>
      </c>
      <c r="S1784" s="28"/>
      <c r="T1784" s="35"/>
      <c r="U1784" s="35"/>
      <c r="V1784" s="29"/>
      <c r="W1784" s="35"/>
      <c r="X1784" s="29"/>
      <c r="Y1784" s="36"/>
      <c r="Z1784" s="29"/>
      <c r="AA1784" s="31">
        <f t="shared" si="1"/>
        <v>44778</v>
      </c>
      <c r="AB1784" s="32" t="str">
        <f t="shared" si="5"/>
        <v>agosto</v>
      </c>
    </row>
    <row r="1785" spans="1:28" ht="12.75">
      <c r="A1785" s="9" t="s">
        <v>111</v>
      </c>
      <c r="B1785" s="10">
        <v>44779</v>
      </c>
      <c r="C1785" s="11">
        <v>44783</v>
      </c>
      <c r="D1785" s="42">
        <v>32</v>
      </c>
      <c r="E1785" s="13" t="s">
        <v>2273</v>
      </c>
      <c r="F1785" s="13">
        <v>3025460</v>
      </c>
      <c r="G1785" s="37">
        <v>6526.5</v>
      </c>
      <c r="H1785" s="40">
        <v>8400</v>
      </c>
      <c r="I1785" s="16">
        <f t="shared" ref="I1785:I1799" si="264">H1785*G1785</f>
        <v>54822600</v>
      </c>
      <c r="J1785" s="17">
        <v>14</v>
      </c>
      <c r="K1785" s="34">
        <v>4502383126</v>
      </c>
      <c r="L1785" s="19">
        <v>5083089327</v>
      </c>
      <c r="M1785" s="20">
        <v>5113497780</v>
      </c>
      <c r="N1785" s="23"/>
      <c r="O1785" s="9" t="s">
        <v>63</v>
      </c>
      <c r="P1785" s="23"/>
      <c r="Q1785" s="24" t="s">
        <v>31</v>
      </c>
      <c r="R1785" s="25">
        <v>44778</v>
      </c>
      <c r="S1785" s="28"/>
      <c r="T1785" s="35"/>
      <c r="U1785" s="35"/>
      <c r="V1785" s="29"/>
      <c r="W1785" s="35"/>
      <c r="X1785" s="29"/>
      <c r="Y1785" s="36"/>
      <c r="Z1785" s="29"/>
      <c r="AA1785" s="31">
        <f t="shared" si="1"/>
        <v>44778</v>
      </c>
      <c r="AB1785" s="32" t="str">
        <f t="shared" si="5"/>
        <v>agosto</v>
      </c>
    </row>
    <row r="1786" spans="1:28" ht="12.75">
      <c r="A1786" s="9" t="s">
        <v>477</v>
      </c>
      <c r="B1786" s="10">
        <v>44782</v>
      </c>
      <c r="C1786" s="11">
        <v>44783</v>
      </c>
      <c r="D1786" s="42">
        <v>32</v>
      </c>
      <c r="E1786" s="13" t="s">
        <v>2274</v>
      </c>
      <c r="F1786" s="13">
        <v>3025460</v>
      </c>
      <c r="G1786" s="14">
        <v>6378</v>
      </c>
      <c r="H1786" s="40">
        <v>8400</v>
      </c>
      <c r="I1786" s="16">
        <f t="shared" si="264"/>
        <v>53575200</v>
      </c>
      <c r="J1786" s="17">
        <v>14</v>
      </c>
      <c r="K1786" s="34">
        <v>4502383127</v>
      </c>
      <c r="L1786" s="19">
        <v>5083089328</v>
      </c>
      <c r="M1786" s="20">
        <v>5113500483</v>
      </c>
      <c r="N1786" s="23"/>
      <c r="O1786" s="9" t="s">
        <v>37</v>
      </c>
      <c r="P1786" s="23"/>
      <c r="Q1786" s="24" t="s">
        <v>31</v>
      </c>
      <c r="R1786" s="25">
        <v>44778</v>
      </c>
      <c r="S1786" s="28"/>
      <c r="T1786" s="35"/>
      <c r="U1786" s="35"/>
      <c r="V1786" s="29"/>
      <c r="W1786" s="35"/>
      <c r="X1786" s="29"/>
      <c r="Y1786" s="36"/>
      <c r="Z1786" s="29"/>
      <c r="AA1786" s="31">
        <f t="shared" si="1"/>
        <v>44778</v>
      </c>
      <c r="AB1786" s="32" t="str">
        <f t="shared" si="5"/>
        <v>agosto</v>
      </c>
    </row>
    <row r="1787" spans="1:28" ht="12.75">
      <c r="A1787" s="9" t="s">
        <v>627</v>
      </c>
      <c r="B1787" s="10">
        <v>44778</v>
      </c>
      <c r="C1787" s="11"/>
      <c r="D1787" s="42">
        <v>32</v>
      </c>
      <c r="E1787" s="13" t="s">
        <v>500</v>
      </c>
      <c r="F1787" s="13">
        <v>3025460</v>
      </c>
      <c r="G1787" s="37">
        <v>7125.5</v>
      </c>
      <c r="H1787" s="40">
        <v>8400</v>
      </c>
      <c r="I1787" s="16">
        <f t="shared" si="264"/>
        <v>59854200</v>
      </c>
      <c r="J1787" s="17">
        <v>14</v>
      </c>
      <c r="K1787" s="34">
        <v>4502383128</v>
      </c>
      <c r="L1787" s="19">
        <v>5083089329</v>
      </c>
      <c r="M1787" s="20">
        <v>5113502035</v>
      </c>
      <c r="N1787" s="21"/>
      <c r="O1787" s="9" t="s">
        <v>63</v>
      </c>
      <c r="P1787" s="23"/>
      <c r="Q1787" s="24" t="s">
        <v>31</v>
      </c>
      <c r="R1787" s="25">
        <v>44778</v>
      </c>
      <c r="S1787" s="28"/>
      <c r="T1787" s="35"/>
      <c r="U1787" s="35"/>
      <c r="V1787" s="29"/>
      <c r="W1787" s="35"/>
      <c r="X1787" s="29"/>
      <c r="Y1787" s="36"/>
      <c r="Z1787" s="29"/>
      <c r="AA1787" s="31">
        <f t="shared" si="1"/>
        <v>44778</v>
      </c>
      <c r="AB1787" s="32" t="str">
        <f t="shared" si="5"/>
        <v>agosto</v>
      </c>
    </row>
    <row r="1788" spans="1:28" ht="12.75">
      <c r="A1788" s="9" t="s">
        <v>266</v>
      </c>
      <c r="B1788" s="10">
        <v>44780</v>
      </c>
      <c r="C1788" s="11">
        <v>44783</v>
      </c>
      <c r="D1788" s="42">
        <v>32</v>
      </c>
      <c r="E1788" s="13" t="s">
        <v>2275</v>
      </c>
      <c r="F1788" s="13">
        <v>3025460</v>
      </c>
      <c r="G1788" s="37">
        <v>14220.5</v>
      </c>
      <c r="H1788" s="40">
        <v>8400</v>
      </c>
      <c r="I1788" s="16">
        <f t="shared" si="264"/>
        <v>119452200</v>
      </c>
      <c r="J1788" s="17">
        <v>29</v>
      </c>
      <c r="K1788" s="34">
        <v>4502383130</v>
      </c>
      <c r="L1788" s="19">
        <v>5083090666</v>
      </c>
      <c r="M1788" s="20">
        <v>5113503102</v>
      </c>
      <c r="N1788" s="23"/>
      <c r="O1788" s="9" t="s">
        <v>37</v>
      </c>
      <c r="P1788" s="23"/>
      <c r="Q1788" s="24" t="s">
        <v>31</v>
      </c>
      <c r="R1788" s="25">
        <v>44778</v>
      </c>
      <c r="S1788" s="28"/>
      <c r="T1788" s="35"/>
      <c r="U1788" s="35"/>
      <c r="V1788" s="29"/>
      <c r="W1788" s="35"/>
      <c r="X1788" s="29"/>
      <c r="Y1788" s="36"/>
      <c r="Z1788" s="29"/>
      <c r="AA1788" s="31">
        <f t="shared" si="1"/>
        <v>44778</v>
      </c>
      <c r="AB1788" s="32" t="str">
        <f t="shared" si="5"/>
        <v>agosto</v>
      </c>
    </row>
    <row r="1789" spans="1:28" ht="12.75">
      <c r="A1789" s="9" t="s">
        <v>2276</v>
      </c>
      <c r="B1789" s="10">
        <v>44842</v>
      </c>
      <c r="C1789" s="11">
        <v>44783</v>
      </c>
      <c r="D1789" s="42">
        <v>32</v>
      </c>
      <c r="E1789" s="13" t="s">
        <v>2277</v>
      </c>
      <c r="F1789" s="13">
        <v>3025460</v>
      </c>
      <c r="G1789" s="14">
        <v>13205</v>
      </c>
      <c r="H1789" s="40">
        <v>8500</v>
      </c>
      <c r="I1789" s="16">
        <f t="shared" si="264"/>
        <v>112242500</v>
      </c>
      <c r="J1789" s="17">
        <v>29</v>
      </c>
      <c r="K1789" s="34">
        <v>4502383131</v>
      </c>
      <c r="L1789" s="19">
        <v>5083090664</v>
      </c>
      <c r="M1789" s="20">
        <v>5113511769</v>
      </c>
      <c r="N1789" s="23"/>
      <c r="O1789" s="23" t="s">
        <v>37</v>
      </c>
      <c r="P1789" s="23"/>
      <c r="Q1789" s="24" t="s">
        <v>31</v>
      </c>
      <c r="R1789" s="25">
        <v>44778</v>
      </c>
      <c r="S1789" s="28"/>
      <c r="T1789" s="35"/>
      <c r="U1789" s="35"/>
      <c r="V1789" s="29"/>
      <c r="W1789" s="35"/>
      <c r="X1789" s="29"/>
      <c r="Y1789" s="36"/>
      <c r="Z1789" s="29"/>
      <c r="AA1789" s="31">
        <f t="shared" si="1"/>
        <v>44778</v>
      </c>
      <c r="AB1789" s="32" t="str">
        <f t="shared" si="5"/>
        <v>agosto</v>
      </c>
    </row>
    <row r="1790" spans="1:28" ht="12.75">
      <c r="A1790" s="9" t="s">
        <v>213</v>
      </c>
      <c r="B1790" s="10">
        <v>44778</v>
      </c>
      <c r="C1790" s="11">
        <v>44785</v>
      </c>
      <c r="D1790" s="42">
        <v>32</v>
      </c>
      <c r="E1790" s="13" t="s">
        <v>2278</v>
      </c>
      <c r="F1790" s="13">
        <v>3025460</v>
      </c>
      <c r="G1790" s="37">
        <v>7860.5</v>
      </c>
      <c r="H1790" s="40">
        <v>8400</v>
      </c>
      <c r="I1790" s="16">
        <f t="shared" si="264"/>
        <v>66028200</v>
      </c>
      <c r="J1790" s="17">
        <v>14</v>
      </c>
      <c r="K1790" s="34">
        <v>4502383132</v>
      </c>
      <c r="L1790" s="19">
        <v>5083089330</v>
      </c>
      <c r="M1790" s="20">
        <v>5113503103</v>
      </c>
      <c r="N1790" s="23"/>
      <c r="O1790" s="9" t="s">
        <v>37</v>
      </c>
      <c r="P1790" s="23"/>
      <c r="Q1790" s="24" t="s">
        <v>31</v>
      </c>
      <c r="R1790" s="25">
        <v>44778</v>
      </c>
      <c r="S1790" s="28"/>
      <c r="T1790" s="35"/>
      <c r="U1790" s="35"/>
      <c r="V1790" s="29"/>
      <c r="W1790" s="35"/>
      <c r="X1790" s="29"/>
      <c r="Y1790" s="36"/>
      <c r="Z1790" s="29"/>
      <c r="AA1790" s="31">
        <f t="shared" si="1"/>
        <v>44778</v>
      </c>
      <c r="AB1790" s="32" t="str">
        <f t="shared" si="5"/>
        <v>agosto</v>
      </c>
    </row>
    <row r="1791" spans="1:28" ht="12.75">
      <c r="A1791" s="9" t="s">
        <v>213</v>
      </c>
      <c r="B1791" s="10">
        <v>44778</v>
      </c>
      <c r="C1791" s="11">
        <v>44785</v>
      </c>
      <c r="D1791" s="42">
        <v>32</v>
      </c>
      <c r="E1791" s="13" t="s">
        <v>767</v>
      </c>
      <c r="F1791" s="13">
        <v>3025460</v>
      </c>
      <c r="G1791" s="37">
        <v>7860.5</v>
      </c>
      <c r="H1791" s="40">
        <v>150</v>
      </c>
      <c r="I1791" s="16">
        <f t="shared" si="264"/>
        <v>1179075</v>
      </c>
      <c r="J1791" s="17">
        <v>0</v>
      </c>
      <c r="K1791" s="34">
        <v>4502383132</v>
      </c>
      <c r="L1791" s="19">
        <v>5083089330</v>
      </c>
      <c r="M1791" s="20">
        <v>5113503105</v>
      </c>
      <c r="N1791" s="23"/>
      <c r="O1791" s="23"/>
      <c r="P1791" s="23"/>
      <c r="Q1791" s="24" t="s">
        <v>31</v>
      </c>
      <c r="R1791" s="25">
        <v>44778</v>
      </c>
      <c r="S1791" s="28"/>
      <c r="T1791" s="35"/>
      <c r="U1791" s="35"/>
      <c r="V1791" s="29"/>
      <c r="W1791" s="35"/>
      <c r="X1791" s="29"/>
      <c r="Y1791" s="36"/>
      <c r="Z1791" s="29"/>
      <c r="AA1791" s="31">
        <f t="shared" si="1"/>
        <v>44778</v>
      </c>
      <c r="AB1791" s="32" t="str">
        <f t="shared" si="5"/>
        <v>agosto</v>
      </c>
    </row>
    <row r="1792" spans="1:28" ht="12.75">
      <c r="A1792" s="9" t="s">
        <v>2279</v>
      </c>
      <c r="B1792" s="10">
        <v>44783</v>
      </c>
      <c r="C1792" s="11">
        <v>44783</v>
      </c>
      <c r="D1792" s="42">
        <v>32</v>
      </c>
      <c r="E1792" s="13" t="s">
        <v>2280</v>
      </c>
      <c r="F1792" s="13">
        <v>3025460</v>
      </c>
      <c r="G1792" s="37">
        <v>5943.5</v>
      </c>
      <c r="H1792" s="40">
        <v>8500</v>
      </c>
      <c r="I1792" s="16">
        <f t="shared" si="264"/>
        <v>50519750</v>
      </c>
      <c r="J1792" s="17">
        <v>14</v>
      </c>
      <c r="K1792" s="34">
        <v>4502383133</v>
      </c>
      <c r="L1792" s="19">
        <v>5083089331</v>
      </c>
      <c r="M1792" s="20">
        <v>5113501665</v>
      </c>
      <c r="N1792" s="23"/>
      <c r="O1792" s="9" t="s">
        <v>63</v>
      </c>
      <c r="P1792" s="23"/>
      <c r="Q1792" s="24" t="s">
        <v>31</v>
      </c>
      <c r="R1792" s="25">
        <v>44778</v>
      </c>
      <c r="S1792" s="28"/>
      <c r="T1792" s="35"/>
      <c r="U1792" s="35"/>
      <c r="V1792" s="29"/>
      <c r="W1792" s="35"/>
      <c r="X1792" s="29"/>
      <c r="Y1792" s="36"/>
      <c r="Z1792" s="29"/>
      <c r="AA1792" s="31">
        <f t="shared" si="1"/>
        <v>44778</v>
      </c>
      <c r="AB1792" s="32" t="str">
        <f t="shared" si="5"/>
        <v>agosto</v>
      </c>
    </row>
    <row r="1793" spans="1:28" ht="12.75">
      <c r="A1793" s="9" t="s">
        <v>83</v>
      </c>
      <c r="B1793" s="10">
        <v>44778</v>
      </c>
      <c r="C1793" s="11">
        <v>44782</v>
      </c>
      <c r="D1793" s="42">
        <v>32</v>
      </c>
      <c r="E1793" s="13" t="s">
        <v>2281</v>
      </c>
      <c r="F1793" s="13">
        <v>3025460</v>
      </c>
      <c r="G1793" s="14">
        <v>27439</v>
      </c>
      <c r="H1793" s="57">
        <v>8300</v>
      </c>
      <c r="I1793" s="16">
        <f t="shared" si="264"/>
        <v>227743700</v>
      </c>
      <c r="J1793" s="17">
        <v>56</v>
      </c>
      <c r="K1793" s="34">
        <v>4502387073</v>
      </c>
      <c r="L1793" s="19">
        <v>5083109382</v>
      </c>
      <c r="M1793" s="20">
        <v>5113511878</v>
      </c>
      <c r="N1793" s="23"/>
      <c r="O1793" s="9" t="s">
        <v>37</v>
      </c>
      <c r="P1793" s="23"/>
      <c r="Q1793" s="24" t="s">
        <v>82</v>
      </c>
      <c r="R1793" s="25">
        <v>44778</v>
      </c>
      <c r="S1793" s="28"/>
      <c r="T1793" s="35"/>
      <c r="U1793" s="35"/>
      <c r="V1793" s="29"/>
      <c r="W1793" s="35"/>
      <c r="X1793" s="29"/>
      <c r="Y1793" s="36"/>
      <c r="Z1793" s="29"/>
      <c r="AA1793" s="31">
        <f t="shared" si="1"/>
        <v>44778</v>
      </c>
      <c r="AB1793" s="32" t="str">
        <f t="shared" si="5"/>
        <v>agosto</v>
      </c>
    </row>
    <row r="1794" spans="1:28" ht="12.75">
      <c r="A1794" s="9" t="s">
        <v>89</v>
      </c>
      <c r="B1794" s="10">
        <v>44785</v>
      </c>
      <c r="C1794" s="11"/>
      <c r="D1794" s="42">
        <v>32</v>
      </c>
      <c r="E1794" s="13" t="s">
        <v>2282</v>
      </c>
      <c r="F1794" s="13">
        <v>3025460</v>
      </c>
      <c r="G1794" s="14">
        <v>15888</v>
      </c>
      <c r="H1794" s="57">
        <v>8296.2000000000007</v>
      </c>
      <c r="I1794" s="16">
        <f t="shared" si="264"/>
        <v>131810025.60000001</v>
      </c>
      <c r="J1794" s="17">
        <v>30</v>
      </c>
      <c r="K1794" s="34">
        <v>4502387050</v>
      </c>
      <c r="L1794" s="19">
        <v>5083109286</v>
      </c>
      <c r="M1794" s="20">
        <v>5113520471</v>
      </c>
      <c r="N1794" s="23"/>
      <c r="O1794" s="23" t="s">
        <v>63</v>
      </c>
      <c r="P1794" s="23"/>
      <c r="Q1794" s="24" t="s">
        <v>82</v>
      </c>
      <c r="R1794" s="25">
        <v>44778</v>
      </c>
      <c r="S1794" s="28"/>
      <c r="T1794" s="35"/>
      <c r="U1794" s="35"/>
      <c r="V1794" s="29"/>
      <c r="W1794" s="35"/>
      <c r="X1794" s="29"/>
      <c r="Y1794" s="36"/>
      <c r="Z1794" s="29"/>
      <c r="AA1794" s="31">
        <f t="shared" si="1"/>
        <v>44778</v>
      </c>
      <c r="AB1794" s="32" t="str">
        <f t="shared" si="5"/>
        <v>agosto</v>
      </c>
    </row>
    <row r="1795" spans="1:28" ht="12.75">
      <c r="A1795" s="9" t="s">
        <v>314</v>
      </c>
      <c r="B1795" s="10">
        <v>44778</v>
      </c>
      <c r="C1795" s="11">
        <v>44782</v>
      </c>
      <c r="D1795" s="42">
        <v>32</v>
      </c>
      <c r="E1795" s="13" t="s">
        <v>2283</v>
      </c>
      <c r="F1795" s="13">
        <v>3025460</v>
      </c>
      <c r="G1795" s="14">
        <v>6785</v>
      </c>
      <c r="H1795" s="57">
        <v>8300</v>
      </c>
      <c r="I1795" s="16">
        <f t="shared" si="264"/>
        <v>56315500</v>
      </c>
      <c r="J1795" s="17">
        <v>14</v>
      </c>
      <c r="K1795" s="34">
        <v>4502387069</v>
      </c>
      <c r="L1795" s="19">
        <v>5083109353</v>
      </c>
      <c r="M1795" s="20">
        <v>5113497785</v>
      </c>
      <c r="N1795" s="23"/>
      <c r="O1795" s="9" t="s">
        <v>63</v>
      </c>
      <c r="P1795" s="23"/>
      <c r="Q1795" s="24" t="s">
        <v>82</v>
      </c>
      <c r="R1795" s="25">
        <v>44778</v>
      </c>
      <c r="S1795" s="28"/>
      <c r="T1795" s="35"/>
      <c r="U1795" s="35"/>
      <c r="V1795" s="29"/>
      <c r="W1795" s="35"/>
      <c r="X1795" s="29"/>
      <c r="Y1795" s="36"/>
      <c r="Z1795" s="29"/>
      <c r="AA1795" s="31">
        <f t="shared" si="1"/>
        <v>44778</v>
      </c>
      <c r="AB1795" s="32" t="str">
        <f t="shared" si="5"/>
        <v>agosto</v>
      </c>
    </row>
    <row r="1796" spans="1:28" ht="12.75">
      <c r="A1796" s="9" t="s">
        <v>443</v>
      </c>
      <c r="B1796" s="10">
        <v>44778</v>
      </c>
      <c r="C1796" s="11"/>
      <c r="D1796" s="42">
        <v>32</v>
      </c>
      <c r="E1796" s="13" t="s">
        <v>2284</v>
      </c>
      <c r="F1796" s="13">
        <v>3025460</v>
      </c>
      <c r="G1796" s="14">
        <v>15800</v>
      </c>
      <c r="H1796" s="57">
        <v>8396.1299999999992</v>
      </c>
      <c r="I1796" s="16">
        <f t="shared" si="264"/>
        <v>132658853.99999999</v>
      </c>
      <c r="J1796" s="17">
        <v>28</v>
      </c>
      <c r="K1796" s="34">
        <v>4502387084</v>
      </c>
      <c r="L1796" s="19">
        <v>5083109384</v>
      </c>
      <c r="M1796" s="20">
        <v>5113496557</v>
      </c>
      <c r="N1796" s="9" t="s">
        <v>63</v>
      </c>
      <c r="O1796" s="23"/>
      <c r="P1796" s="23"/>
      <c r="Q1796" s="24" t="s">
        <v>82</v>
      </c>
      <c r="R1796" s="25">
        <v>44778</v>
      </c>
      <c r="S1796" s="28"/>
      <c r="T1796" s="35"/>
      <c r="U1796" s="35"/>
      <c r="V1796" s="29"/>
      <c r="W1796" s="35"/>
      <c r="X1796" s="29"/>
      <c r="Y1796" s="36"/>
      <c r="Z1796" s="29"/>
      <c r="AA1796" s="31">
        <f t="shared" si="1"/>
        <v>44778</v>
      </c>
      <c r="AB1796" s="32" t="str">
        <f t="shared" si="5"/>
        <v>agosto</v>
      </c>
    </row>
    <row r="1797" spans="1:28" ht="12.75">
      <c r="A1797" s="9" t="s">
        <v>80</v>
      </c>
      <c r="B1797" s="10">
        <v>44779</v>
      </c>
      <c r="C1797" s="11">
        <v>44776</v>
      </c>
      <c r="D1797" s="42">
        <v>32</v>
      </c>
      <c r="E1797" s="13" t="s">
        <v>2285</v>
      </c>
      <c r="F1797" s="13">
        <v>3025457</v>
      </c>
      <c r="G1797" s="14">
        <v>20022</v>
      </c>
      <c r="H1797" s="15">
        <v>8100</v>
      </c>
      <c r="I1797" s="16">
        <f t="shared" si="264"/>
        <v>162178200</v>
      </c>
      <c r="J1797" s="17">
        <v>42</v>
      </c>
      <c r="K1797" s="34">
        <v>4502385523</v>
      </c>
      <c r="L1797" s="19">
        <v>5083091168</v>
      </c>
      <c r="M1797" s="20">
        <v>5113497711</v>
      </c>
      <c r="N1797" s="23" t="s">
        <v>37</v>
      </c>
      <c r="O1797" s="44" t="s">
        <v>1057</v>
      </c>
      <c r="P1797" s="23"/>
      <c r="Q1797" s="24" t="s">
        <v>31</v>
      </c>
      <c r="R1797" s="25">
        <v>44779</v>
      </c>
      <c r="S1797" s="28">
        <v>4902320855</v>
      </c>
      <c r="T1797" s="28">
        <v>4792500</v>
      </c>
      <c r="U1797" s="28" t="s">
        <v>2286</v>
      </c>
      <c r="V1797" s="29">
        <v>5113499193</v>
      </c>
      <c r="W1797" s="35"/>
      <c r="X1797" s="29"/>
      <c r="Y1797" s="36"/>
      <c r="Z1797" s="29"/>
      <c r="AA1797" s="31">
        <f t="shared" si="1"/>
        <v>44779</v>
      </c>
      <c r="AB1797" s="32" t="str">
        <f t="shared" si="5"/>
        <v>agosto</v>
      </c>
    </row>
    <row r="1798" spans="1:28" ht="12.75">
      <c r="A1798" s="9" t="s">
        <v>49</v>
      </c>
      <c r="B1798" s="10">
        <v>44779</v>
      </c>
      <c r="C1798" s="11">
        <v>44783</v>
      </c>
      <c r="D1798" s="42">
        <v>32</v>
      </c>
      <c r="E1798" s="13" t="s">
        <v>2287</v>
      </c>
      <c r="F1798" s="13">
        <v>3025457</v>
      </c>
      <c r="G1798" s="14">
        <v>14874</v>
      </c>
      <c r="H1798" s="15">
        <v>8000</v>
      </c>
      <c r="I1798" s="16">
        <f t="shared" si="264"/>
        <v>118992000</v>
      </c>
      <c r="J1798" s="17">
        <v>28</v>
      </c>
      <c r="K1798" s="34">
        <v>4502385524</v>
      </c>
      <c r="L1798" s="19">
        <v>5083079737</v>
      </c>
      <c r="M1798" s="20">
        <v>5113497778</v>
      </c>
      <c r="N1798" s="23"/>
      <c r="O1798" s="44" t="s">
        <v>1217</v>
      </c>
      <c r="P1798" s="23"/>
      <c r="Q1798" s="24" t="s">
        <v>31</v>
      </c>
      <c r="R1798" s="25">
        <v>44779</v>
      </c>
      <c r="S1798" s="28">
        <v>4902320856</v>
      </c>
      <c r="T1798" s="28">
        <f>2982600*2</f>
        <v>5965200</v>
      </c>
      <c r="U1798" s="28" t="s">
        <v>2288</v>
      </c>
      <c r="V1798" s="29">
        <v>5113501096</v>
      </c>
      <c r="W1798" s="35"/>
      <c r="X1798" s="29"/>
      <c r="Y1798" s="36"/>
      <c r="Z1798" s="29"/>
      <c r="AA1798" s="31">
        <f t="shared" si="1"/>
        <v>44779</v>
      </c>
      <c r="AB1798" s="32" t="str">
        <f t="shared" si="5"/>
        <v>agosto</v>
      </c>
    </row>
    <row r="1799" spans="1:28" ht="12.75">
      <c r="A1799" s="9" t="s">
        <v>39</v>
      </c>
      <c r="B1799" s="10">
        <v>44779</v>
      </c>
      <c r="C1799" s="11">
        <v>44782</v>
      </c>
      <c r="D1799" s="42">
        <v>32</v>
      </c>
      <c r="E1799" s="13" t="s">
        <v>2289</v>
      </c>
      <c r="F1799" s="13">
        <v>3025457</v>
      </c>
      <c r="G1799" s="37">
        <v>7449.5</v>
      </c>
      <c r="H1799" s="40">
        <v>8800</v>
      </c>
      <c r="I1799" s="16">
        <f t="shared" si="264"/>
        <v>65555600</v>
      </c>
      <c r="J1799" s="17">
        <v>15</v>
      </c>
      <c r="K1799" s="34">
        <v>4502383134</v>
      </c>
      <c r="L1799" s="19">
        <v>5083090936</v>
      </c>
      <c r="M1799" s="20">
        <v>5113498429</v>
      </c>
      <c r="N1799" s="23"/>
      <c r="O1799" s="9" t="s">
        <v>37</v>
      </c>
      <c r="P1799" s="23"/>
      <c r="Q1799" s="24" t="s">
        <v>31</v>
      </c>
      <c r="R1799" s="25">
        <v>44779</v>
      </c>
      <c r="S1799" s="28"/>
      <c r="T1799" s="35"/>
      <c r="U1799" s="35"/>
      <c r="V1799" s="29"/>
      <c r="W1799" s="35"/>
      <c r="X1799" s="29"/>
      <c r="Y1799" s="36"/>
      <c r="Z1799" s="29"/>
      <c r="AA1799" s="31">
        <f t="shared" si="1"/>
        <v>44779</v>
      </c>
      <c r="AB1799" s="32" t="str">
        <f t="shared" si="5"/>
        <v>agosto</v>
      </c>
    </row>
    <row r="1800" spans="1:28" ht="12.75">
      <c r="A1800" s="9" t="s">
        <v>39</v>
      </c>
      <c r="B1800" s="10">
        <v>44782</v>
      </c>
      <c r="C1800" s="11">
        <v>44782</v>
      </c>
      <c r="D1800" s="42">
        <v>32</v>
      </c>
      <c r="E1800" s="13" t="s">
        <v>681</v>
      </c>
      <c r="F1800" s="13">
        <v>3025457</v>
      </c>
      <c r="G1800" s="37">
        <v>7449.5</v>
      </c>
      <c r="H1800" s="40">
        <f>8800-8791.71</f>
        <v>8.2900000000008731</v>
      </c>
      <c r="I1800" s="16">
        <f>-H1800*G1800</f>
        <v>-61756.355000006501</v>
      </c>
      <c r="J1800" s="17">
        <v>0</v>
      </c>
      <c r="K1800" s="34">
        <v>4502383134</v>
      </c>
      <c r="L1800" s="19">
        <v>5083090936</v>
      </c>
      <c r="M1800" s="20">
        <v>5113498432</v>
      </c>
      <c r="N1800" s="23"/>
      <c r="O1800" s="23"/>
      <c r="P1800" s="23"/>
      <c r="Q1800" s="24" t="s">
        <v>31</v>
      </c>
      <c r="R1800" s="25">
        <v>44779</v>
      </c>
      <c r="S1800" s="28"/>
      <c r="T1800" s="35"/>
      <c r="U1800" s="35"/>
      <c r="V1800" s="29"/>
      <c r="W1800" s="35"/>
      <c r="X1800" s="29"/>
      <c r="Y1800" s="36"/>
      <c r="Z1800" s="29"/>
      <c r="AA1800" s="31">
        <f t="shared" si="1"/>
        <v>44779</v>
      </c>
      <c r="AB1800" s="32" t="str">
        <f t="shared" si="5"/>
        <v>agosto</v>
      </c>
    </row>
    <row r="1801" spans="1:28" ht="12.75">
      <c r="A1801" s="9" t="s">
        <v>477</v>
      </c>
      <c r="B1801" s="10">
        <v>44779</v>
      </c>
      <c r="C1801" s="11">
        <v>44783</v>
      </c>
      <c r="D1801" s="42">
        <v>32</v>
      </c>
      <c r="E1801" s="13" t="s">
        <v>2290</v>
      </c>
      <c r="F1801" s="13">
        <v>3025460</v>
      </c>
      <c r="G1801" s="14">
        <v>6640</v>
      </c>
      <c r="H1801" s="40">
        <v>8400</v>
      </c>
      <c r="I1801" s="16">
        <f t="shared" ref="I1801:I1802" si="265">H1801*G1801</f>
        <v>55776000</v>
      </c>
      <c r="J1801" s="17">
        <v>14</v>
      </c>
      <c r="K1801" s="34">
        <v>4502383136</v>
      </c>
      <c r="L1801" s="19">
        <v>5083090937</v>
      </c>
      <c r="M1801" s="20">
        <v>5113500484</v>
      </c>
      <c r="N1801" s="23"/>
      <c r="O1801" s="9" t="s">
        <v>37</v>
      </c>
      <c r="P1801" s="23"/>
      <c r="Q1801" s="24" t="s">
        <v>31</v>
      </c>
      <c r="R1801" s="25">
        <v>44779</v>
      </c>
      <c r="S1801" s="28"/>
      <c r="T1801" s="35"/>
      <c r="U1801" s="35"/>
      <c r="V1801" s="29"/>
      <c r="W1801" s="35"/>
      <c r="X1801" s="29"/>
      <c r="Y1801" s="36"/>
      <c r="Z1801" s="29"/>
      <c r="AA1801" s="31">
        <f t="shared" si="1"/>
        <v>44779</v>
      </c>
      <c r="AB1801" s="32" t="str">
        <f t="shared" si="5"/>
        <v>agosto</v>
      </c>
    </row>
    <row r="1802" spans="1:28" ht="12.75">
      <c r="A1802" s="114" t="s">
        <v>2093</v>
      </c>
      <c r="B1802" s="10">
        <v>44783</v>
      </c>
      <c r="C1802" s="11"/>
      <c r="D1802" s="42">
        <v>32</v>
      </c>
      <c r="E1802" s="13" t="s">
        <v>2291</v>
      </c>
      <c r="F1802" s="13">
        <v>3025460</v>
      </c>
      <c r="G1802" s="14">
        <v>12807</v>
      </c>
      <c r="H1802" s="40">
        <v>8800</v>
      </c>
      <c r="I1802" s="16">
        <f t="shared" si="265"/>
        <v>112701600</v>
      </c>
      <c r="J1802" s="17">
        <v>28</v>
      </c>
      <c r="K1802" s="34">
        <v>4502383137</v>
      </c>
      <c r="L1802" s="19">
        <v>5083090958</v>
      </c>
      <c r="M1802" s="20">
        <v>5113500898</v>
      </c>
      <c r="N1802" s="23"/>
      <c r="O1802" s="9" t="s">
        <v>63</v>
      </c>
      <c r="P1802" s="23"/>
      <c r="Q1802" s="24" t="s">
        <v>31</v>
      </c>
      <c r="R1802" s="25">
        <v>44779</v>
      </c>
      <c r="S1802" s="28"/>
      <c r="T1802" s="35"/>
      <c r="U1802" s="35"/>
      <c r="V1802" s="29"/>
      <c r="W1802" s="35"/>
      <c r="X1802" s="29"/>
      <c r="Y1802" s="36"/>
      <c r="Z1802" s="29"/>
      <c r="AA1802" s="31">
        <f t="shared" si="1"/>
        <v>44779</v>
      </c>
      <c r="AB1802" s="32" t="str">
        <f t="shared" si="5"/>
        <v>agosto</v>
      </c>
    </row>
    <row r="1803" spans="1:28" ht="12.75">
      <c r="A1803" s="114" t="s">
        <v>2093</v>
      </c>
      <c r="B1803" s="10">
        <v>44783</v>
      </c>
      <c r="C1803" s="11"/>
      <c r="D1803" s="42">
        <v>32</v>
      </c>
      <c r="E1803" s="13" t="s">
        <v>1928</v>
      </c>
      <c r="F1803" s="13">
        <v>3025460</v>
      </c>
      <c r="G1803" s="14">
        <v>12807</v>
      </c>
      <c r="H1803" s="40">
        <f>8800-8791.13</f>
        <v>8.8700000000008004</v>
      </c>
      <c r="I1803" s="16">
        <f>-H1803*G1803</f>
        <v>-113598.09000001026</v>
      </c>
      <c r="J1803" s="17">
        <v>0</v>
      </c>
      <c r="K1803" s="34">
        <v>4502383137</v>
      </c>
      <c r="L1803" s="19">
        <v>5083090958</v>
      </c>
      <c r="M1803" s="20">
        <v>5113500899</v>
      </c>
      <c r="N1803" s="23"/>
      <c r="O1803" s="23"/>
      <c r="P1803" s="23"/>
      <c r="Q1803" s="24" t="s">
        <v>31</v>
      </c>
      <c r="R1803" s="25">
        <v>44779</v>
      </c>
      <c r="S1803" s="28"/>
      <c r="T1803" s="35"/>
      <c r="U1803" s="35"/>
      <c r="V1803" s="29"/>
      <c r="W1803" s="35"/>
      <c r="X1803" s="29"/>
      <c r="Y1803" s="36"/>
      <c r="Z1803" s="29"/>
      <c r="AA1803" s="31">
        <f t="shared" si="1"/>
        <v>44779</v>
      </c>
      <c r="AB1803" s="32" t="str">
        <f t="shared" si="5"/>
        <v>agosto</v>
      </c>
    </row>
    <row r="1804" spans="1:28" ht="12.75">
      <c r="A1804" s="9" t="s">
        <v>264</v>
      </c>
      <c r="B1804" s="10">
        <v>44780</v>
      </c>
      <c r="C1804" s="11"/>
      <c r="D1804" s="42">
        <v>32</v>
      </c>
      <c r="E1804" s="13" t="s">
        <v>2292</v>
      </c>
      <c r="F1804" s="13">
        <v>3025459</v>
      </c>
      <c r="G1804" s="14">
        <v>12747</v>
      </c>
      <c r="H1804" s="15">
        <v>8300</v>
      </c>
      <c r="I1804" s="16">
        <f t="shared" ref="I1804:I1805" si="266">H1804*G1804</f>
        <v>105800100</v>
      </c>
      <c r="J1804" s="17">
        <v>28</v>
      </c>
      <c r="K1804" s="34">
        <v>4502385525</v>
      </c>
      <c r="L1804" s="19">
        <v>5083095458</v>
      </c>
      <c r="M1804" s="20">
        <v>5113498010</v>
      </c>
      <c r="N1804" s="23"/>
      <c r="O1804" s="44" t="s">
        <v>1353</v>
      </c>
      <c r="P1804" s="23"/>
      <c r="Q1804" s="24" t="s">
        <v>31</v>
      </c>
      <c r="R1804" s="25">
        <v>44780</v>
      </c>
      <c r="S1804" s="28">
        <v>4902320857</v>
      </c>
      <c r="T1804" s="35">
        <f>920000*2</f>
        <v>1840000</v>
      </c>
      <c r="U1804" s="28" t="s">
        <v>2293</v>
      </c>
      <c r="V1804" s="29">
        <v>5113500418</v>
      </c>
      <c r="W1804" s="35"/>
      <c r="X1804" s="29"/>
      <c r="Y1804" s="36"/>
      <c r="Z1804" s="29"/>
      <c r="AA1804" s="31">
        <f t="shared" si="1"/>
        <v>44780</v>
      </c>
      <c r="AB1804" s="32" t="str">
        <f t="shared" si="5"/>
        <v>agosto</v>
      </c>
    </row>
    <row r="1805" spans="1:28" ht="12.75">
      <c r="A1805" s="9" t="s">
        <v>485</v>
      </c>
      <c r="B1805" s="10">
        <v>44780</v>
      </c>
      <c r="C1805" s="11"/>
      <c r="D1805" s="42">
        <v>32</v>
      </c>
      <c r="E1805" s="13" t="s">
        <v>2294</v>
      </c>
      <c r="F1805" s="13">
        <v>3025459</v>
      </c>
      <c r="G1805" s="14">
        <v>6186</v>
      </c>
      <c r="H1805" s="40">
        <v>8800</v>
      </c>
      <c r="I1805" s="16">
        <f t="shared" si="266"/>
        <v>54436800</v>
      </c>
      <c r="J1805" s="17">
        <v>15</v>
      </c>
      <c r="K1805" s="34">
        <v>4502383138</v>
      </c>
      <c r="L1805" s="19">
        <v>5083092065</v>
      </c>
      <c r="M1805" s="20">
        <v>5113500967</v>
      </c>
      <c r="N1805" s="23"/>
      <c r="O1805" s="9" t="s">
        <v>313</v>
      </c>
      <c r="P1805" s="23"/>
      <c r="Q1805" s="24" t="s">
        <v>31</v>
      </c>
      <c r="R1805" s="25">
        <v>44780</v>
      </c>
      <c r="S1805" s="28"/>
      <c r="T1805" s="35"/>
      <c r="U1805" s="35"/>
      <c r="V1805" s="29"/>
      <c r="W1805" s="35"/>
      <c r="X1805" s="29"/>
      <c r="Y1805" s="36"/>
      <c r="Z1805" s="29"/>
      <c r="AA1805" s="31">
        <f t="shared" si="1"/>
        <v>44780</v>
      </c>
      <c r="AB1805" s="32" t="str">
        <f t="shared" si="5"/>
        <v>agosto</v>
      </c>
    </row>
    <row r="1806" spans="1:28" ht="12.75">
      <c r="A1806" s="9" t="s">
        <v>485</v>
      </c>
      <c r="B1806" s="10">
        <v>44780</v>
      </c>
      <c r="C1806" s="11"/>
      <c r="D1806" s="42">
        <v>32</v>
      </c>
      <c r="E1806" s="13" t="s">
        <v>776</v>
      </c>
      <c r="F1806" s="13">
        <v>3025459</v>
      </c>
      <c r="G1806" s="14">
        <v>6186</v>
      </c>
      <c r="H1806" s="40">
        <f>8800-8781.29</f>
        <v>18.709999999999127</v>
      </c>
      <c r="I1806" s="16">
        <f>-H1806*G1806</f>
        <v>-115740.0599999946</v>
      </c>
      <c r="J1806" s="17">
        <v>0</v>
      </c>
      <c r="K1806" s="34">
        <v>4502383138</v>
      </c>
      <c r="L1806" s="19">
        <v>5083092065</v>
      </c>
      <c r="M1806" s="20">
        <v>5113500970</v>
      </c>
      <c r="N1806" s="23"/>
      <c r="O1806" s="23"/>
      <c r="P1806" s="23"/>
      <c r="Q1806" s="24" t="s">
        <v>31</v>
      </c>
      <c r="R1806" s="25">
        <v>44780</v>
      </c>
      <c r="S1806" s="28"/>
      <c r="T1806" s="35"/>
      <c r="U1806" s="35"/>
      <c r="V1806" s="29"/>
      <c r="W1806" s="35"/>
      <c r="X1806" s="29"/>
      <c r="Y1806" s="36"/>
      <c r="Z1806" s="29"/>
      <c r="AA1806" s="31">
        <f t="shared" si="1"/>
        <v>44780</v>
      </c>
      <c r="AB1806" s="32" t="str">
        <f t="shared" si="5"/>
        <v>agosto</v>
      </c>
    </row>
    <row r="1807" spans="1:28" ht="12.75">
      <c r="A1807" s="9" t="s">
        <v>2295</v>
      </c>
      <c r="B1807" s="10">
        <v>44750</v>
      </c>
      <c r="C1807" s="11">
        <v>44784</v>
      </c>
      <c r="D1807" s="42">
        <v>32</v>
      </c>
      <c r="E1807" s="13" t="s">
        <v>2296</v>
      </c>
      <c r="F1807" s="13">
        <v>3025460</v>
      </c>
      <c r="G1807" s="14">
        <v>7959</v>
      </c>
      <c r="H1807" s="15">
        <v>7850</v>
      </c>
      <c r="I1807" s="16">
        <f t="shared" ref="I1807:I1813" si="267">H1807*G1807</f>
        <v>62478150</v>
      </c>
      <c r="J1807" s="17">
        <v>15</v>
      </c>
      <c r="K1807" s="34">
        <v>4502385495</v>
      </c>
      <c r="L1807" s="19">
        <v>5083091832</v>
      </c>
      <c r="M1807" s="20">
        <v>5113502034</v>
      </c>
      <c r="N1807" s="23"/>
      <c r="O1807" s="44" t="s">
        <v>2297</v>
      </c>
      <c r="P1807" s="23" t="s">
        <v>187</v>
      </c>
      <c r="Q1807" s="24" t="s">
        <v>31</v>
      </c>
      <c r="R1807" s="25">
        <v>44780</v>
      </c>
      <c r="S1807" s="28">
        <v>4502385495</v>
      </c>
      <c r="T1807" s="28">
        <v>2982800</v>
      </c>
      <c r="U1807" s="28" t="s">
        <v>2298</v>
      </c>
      <c r="V1807" s="29">
        <v>5113501976</v>
      </c>
      <c r="W1807" s="35"/>
      <c r="X1807" s="29"/>
      <c r="Y1807" s="36"/>
      <c r="Z1807" s="29"/>
      <c r="AA1807" s="31">
        <f t="shared" si="1"/>
        <v>44780</v>
      </c>
      <c r="AB1807" s="32" t="str">
        <f t="shared" si="5"/>
        <v>agosto</v>
      </c>
    </row>
    <row r="1808" spans="1:28" ht="12.75">
      <c r="A1808" s="9" t="s">
        <v>233</v>
      </c>
      <c r="B1808" s="10">
        <v>44780</v>
      </c>
      <c r="C1808" s="11">
        <v>44783</v>
      </c>
      <c r="D1808" s="42">
        <v>32</v>
      </c>
      <c r="E1808" s="13" t="s">
        <v>2299</v>
      </c>
      <c r="F1808" s="13">
        <v>3025460</v>
      </c>
      <c r="G1808" s="14">
        <v>12460</v>
      </c>
      <c r="H1808" s="40">
        <v>8400</v>
      </c>
      <c r="I1808" s="16">
        <f t="shared" si="267"/>
        <v>104664000</v>
      </c>
      <c r="J1808" s="17">
        <v>28</v>
      </c>
      <c r="K1808" s="34">
        <v>4502383139</v>
      </c>
      <c r="L1808" s="19">
        <v>5083092066</v>
      </c>
      <c r="M1808" s="20">
        <v>5113498116</v>
      </c>
      <c r="N1808" s="23"/>
      <c r="O1808" s="23" t="s">
        <v>63</v>
      </c>
      <c r="P1808" s="23"/>
      <c r="Q1808" s="24" t="s">
        <v>31</v>
      </c>
      <c r="R1808" s="25">
        <v>44780</v>
      </c>
      <c r="S1808" s="28"/>
      <c r="T1808" s="35"/>
      <c r="U1808" s="35"/>
      <c r="V1808" s="29"/>
      <c r="W1808" s="35"/>
      <c r="X1808" s="29"/>
      <c r="Y1808" s="36"/>
      <c r="Z1808" s="29"/>
      <c r="AA1808" s="31">
        <f t="shared" si="1"/>
        <v>44780</v>
      </c>
      <c r="AB1808" s="32" t="str">
        <f t="shared" si="5"/>
        <v>agosto</v>
      </c>
    </row>
    <row r="1809" spans="1:28" ht="12.75">
      <c r="A1809" s="9" t="s">
        <v>318</v>
      </c>
      <c r="B1809" s="10">
        <v>44783</v>
      </c>
      <c r="C1809" s="11"/>
      <c r="D1809" s="42">
        <v>32</v>
      </c>
      <c r="E1809" s="13" t="s">
        <v>2300</v>
      </c>
      <c r="F1809" s="13">
        <v>3025460</v>
      </c>
      <c r="G1809" s="14">
        <v>6697</v>
      </c>
      <c r="H1809" s="57">
        <v>8200</v>
      </c>
      <c r="I1809" s="16">
        <f t="shared" si="267"/>
        <v>54915400</v>
      </c>
      <c r="J1809" s="17">
        <v>14</v>
      </c>
      <c r="K1809" s="34">
        <v>4502387779</v>
      </c>
      <c r="L1809" s="19">
        <v>5083122583</v>
      </c>
      <c r="M1809" s="20">
        <v>5113500624</v>
      </c>
      <c r="N1809" s="23"/>
      <c r="O1809" s="23" t="s">
        <v>63</v>
      </c>
      <c r="P1809" s="23"/>
      <c r="Q1809" s="24" t="s">
        <v>82</v>
      </c>
      <c r="R1809" s="25">
        <v>44780</v>
      </c>
      <c r="S1809" s="28"/>
      <c r="T1809" s="35"/>
      <c r="U1809" s="35"/>
      <c r="V1809" s="29"/>
      <c r="W1809" s="35"/>
      <c r="X1809" s="29"/>
      <c r="Y1809" s="36"/>
      <c r="Z1809" s="29"/>
      <c r="AA1809" s="31">
        <f t="shared" si="1"/>
        <v>44780</v>
      </c>
      <c r="AB1809" s="32" t="str">
        <f t="shared" si="5"/>
        <v>agosto</v>
      </c>
    </row>
    <row r="1810" spans="1:28" ht="12.75">
      <c r="A1810" s="9" t="s">
        <v>94</v>
      </c>
      <c r="B1810" s="10">
        <v>44783</v>
      </c>
      <c r="C1810" s="11">
        <v>44783</v>
      </c>
      <c r="D1810" s="42">
        <v>32</v>
      </c>
      <c r="E1810" s="13" t="s">
        <v>1588</v>
      </c>
      <c r="F1810" s="13">
        <v>3025460</v>
      </c>
      <c r="G1810" s="14">
        <v>13875</v>
      </c>
      <c r="H1810" s="57">
        <v>8250</v>
      </c>
      <c r="I1810" s="16">
        <f t="shared" si="267"/>
        <v>114468750</v>
      </c>
      <c r="J1810" s="17">
        <v>30</v>
      </c>
      <c r="K1810" s="34">
        <v>4502387770</v>
      </c>
      <c r="L1810" s="19">
        <v>5083122377</v>
      </c>
      <c r="M1810" s="20">
        <v>5113500708</v>
      </c>
      <c r="N1810" s="23"/>
      <c r="O1810" s="9" t="s">
        <v>63</v>
      </c>
      <c r="P1810" s="23"/>
      <c r="Q1810" s="24" t="s">
        <v>82</v>
      </c>
      <c r="R1810" s="25">
        <v>44780</v>
      </c>
      <c r="S1810" s="28"/>
      <c r="T1810" s="35"/>
      <c r="U1810" s="35"/>
      <c r="V1810" s="29"/>
      <c r="W1810" s="35"/>
      <c r="X1810" s="29"/>
      <c r="Y1810" s="36"/>
      <c r="Z1810" s="29"/>
      <c r="AA1810" s="31">
        <f t="shared" si="1"/>
        <v>44780</v>
      </c>
      <c r="AB1810" s="32" t="str">
        <f t="shared" si="5"/>
        <v>agosto</v>
      </c>
    </row>
    <row r="1811" spans="1:28" ht="12.75">
      <c r="A1811" s="9" t="s">
        <v>1726</v>
      </c>
      <c r="B1811" s="10">
        <v>44784</v>
      </c>
      <c r="C1811" s="11"/>
      <c r="D1811" s="42">
        <v>32</v>
      </c>
      <c r="E1811" s="13" t="s">
        <v>2301</v>
      </c>
      <c r="F1811" s="13">
        <v>3025460</v>
      </c>
      <c r="G1811" s="14">
        <v>7160</v>
      </c>
      <c r="H1811" s="57">
        <v>8300</v>
      </c>
      <c r="I1811" s="16">
        <f t="shared" si="267"/>
        <v>59428000</v>
      </c>
      <c r="J1811" s="17">
        <v>14</v>
      </c>
      <c r="K1811" s="34">
        <v>4502387763</v>
      </c>
      <c r="L1811" s="19">
        <v>5083122316</v>
      </c>
      <c r="M1811" s="20">
        <v>5113500712</v>
      </c>
      <c r="N1811" s="23"/>
      <c r="O1811" s="9" t="s">
        <v>63</v>
      </c>
      <c r="P1811" s="23"/>
      <c r="Q1811" s="24" t="s">
        <v>82</v>
      </c>
      <c r="R1811" s="25">
        <v>44780</v>
      </c>
      <c r="S1811" s="28"/>
      <c r="T1811" s="35"/>
      <c r="U1811" s="35"/>
      <c r="V1811" s="29"/>
      <c r="W1811" s="35"/>
      <c r="X1811" s="29"/>
      <c r="Y1811" s="36"/>
      <c r="Z1811" s="29"/>
      <c r="AA1811" s="31">
        <f t="shared" si="1"/>
        <v>44780</v>
      </c>
      <c r="AB1811" s="32" t="str">
        <f t="shared" si="5"/>
        <v>agosto</v>
      </c>
    </row>
    <row r="1812" spans="1:28" ht="12.75">
      <c r="A1812" s="9" t="s">
        <v>2302</v>
      </c>
      <c r="B1812" s="10">
        <v>44784</v>
      </c>
      <c r="C1812" s="11">
        <v>44784</v>
      </c>
      <c r="D1812" s="42">
        <v>32</v>
      </c>
      <c r="E1812" s="13" t="s">
        <v>2303</v>
      </c>
      <c r="F1812" s="13">
        <v>3025460</v>
      </c>
      <c r="G1812" s="14">
        <v>14970</v>
      </c>
      <c r="H1812" s="57">
        <v>8195.89</v>
      </c>
      <c r="I1812" s="16">
        <f t="shared" si="267"/>
        <v>122692473.3</v>
      </c>
      <c r="J1812" s="17">
        <v>28</v>
      </c>
      <c r="K1812" s="34">
        <v>4502387747</v>
      </c>
      <c r="L1812" s="19">
        <v>5083123536</v>
      </c>
      <c r="M1812" s="20">
        <v>5113502029</v>
      </c>
      <c r="N1812" s="23"/>
      <c r="O1812" s="23" t="s">
        <v>2304</v>
      </c>
      <c r="P1812" s="23"/>
      <c r="Q1812" s="24" t="s">
        <v>82</v>
      </c>
      <c r="R1812" s="25">
        <v>44780</v>
      </c>
      <c r="S1812" s="28"/>
      <c r="T1812" s="35"/>
      <c r="U1812" s="35"/>
      <c r="V1812" s="29"/>
      <c r="W1812" s="35"/>
      <c r="X1812" s="29"/>
      <c r="Y1812" s="36"/>
      <c r="Z1812" s="29"/>
      <c r="AA1812" s="31">
        <f t="shared" si="1"/>
        <v>44780</v>
      </c>
      <c r="AB1812" s="32" t="str">
        <f t="shared" si="5"/>
        <v>agosto</v>
      </c>
    </row>
    <row r="1813" spans="1:28" ht="12.75">
      <c r="A1813" s="9" t="s">
        <v>2135</v>
      </c>
      <c r="B1813" s="10">
        <v>44783</v>
      </c>
      <c r="C1813" s="11"/>
      <c r="D1813" s="42">
        <v>32</v>
      </c>
      <c r="E1813" s="13" t="s">
        <v>2005</v>
      </c>
      <c r="F1813" s="13">
        <v>3025457</v>
      </c>
      <c r="G1813" s="14">
        <v>5388</v>
      </c>
      <c r="H1813" s="40">
        <v>8400</v>
      </c>
      <c r="I1813" s="16">
        <f t="shared" si="267"/>
        <v>45259200</v>
      </c>
      <c r="J1813" s="17">
        <v>14</v>
      </c>
      <c r="K1813" s="34">
        <v>4502383140</v>
      </c>
      <c r="L1813" s="19">
        <v>5083105771</v>
      </c>
      <c r="M1813" s="20">
        <v>5113500715</v>
      </c>
      <c r="N1813" s="23"/>
      <c r="O1813" s="9" t="s">
        <v>63</v>
      </c>
      <c r="P1813" s="23"/>
      <c r="Q1813" s="24" t="s">
        <v>31</v>
      </c>
      <c r="R1813" s="25">
        <v>44781</v>
      </c>
      <c r="S1813" s="28"/>
      <c r="T1813" s="35"/>
      <c r="U1813" s="35"/>
      <c r="V1813" s="29"/>
      <c r="W1813" s="35"/>
      <c r="X1813" s="29"/>
      <c r="Y1813" s="36"/>
      <c r="Z1813" s="29"/>
      <c r="AA1813" s="31">
        <f t="shared" si="1"/>
        <v>44781</v>
      </c>
      <c r="AB1813" s="32" t="str">
        <f t="shared" si="5"/>
        <v>agosto</v>
      </c>
    </row>
    <row r="1814" spans="1:28" ht="12.75">
      <c r="A1814" s="9" t="s">
        <v>2135</v>
      </c>
      <c r="B1814" s="10">
        <v>44783</v>
      </c>
      <c r="C1814" s="11"/>
      <c r="D1814" s="42">
        <v>32</v>
      </c>
      <c r="E1814" s="13" t="s">
        <v>2305</v>
      </c>
      <c r="F1814" s="13">
        <v>3025457</v>
      </c>
      <c r="G1814" s="14">
        <v>5388</v>
      </c>
      <c r="H1814" s="40">
        <f>8400-8238.66</f>
        <v>161.34000000000015</v>
      </c>
      <c r="I1814" s="16">
        <f>-H1814*G1814</f>
        <v>-869299.92000000074</v>
      </c>
      <c r="J1814" s="17">
        <v>0</v>
      </c>
      <c r="K1814" s="34">
        <v>4502383140</v>
      </c>
      <c r="L1814" s="19">
        <v>5083105771</v>
      </c>
      <c r="M1814" s="20">
        <v>5113500767</v>
      </c>
      <c r="N1814" s="23"/>
      <c r="O1814" s="23"/>
      <c r="P1814" s="23"/>
      <c r="Q1814" s="24" t="s">
        <v>31</v>
      </c>
      <c r="R1814" s="25">
        <v>44781</v>
      </c>
      <c r="S1814" s="28"/>
      <c r="T1814" s="35"/>
      <c r="U1814" s="35"/>
      <c r="V1814" s="29"/>
      <c r="W1814" s="35"/>
      <c r="X1814" s="29"/>
      <c r="Y1814" s="36"/>
      <c r="Z1814" s="29"/>
      <c r="AA1814" s="31">
        <f t="shared" si="1"/>
        <v>44781</v>
      </c>
      <c r="AB1814" s="32" t="str">
        <f t="shared" si="5"/>
        <v>agosto</v>
      </c>
    </row>
    <row r="1815" spans="1:28" ht="12.75">
      <c r="A1815" s="9" t="s">
        <v>2064</v>
      </c>
      <c r="B1815" s="10">
        <v>44781</v>
      </c>
      <c r="C1815" s="11">
        <v>44785</v>
      </c>
      <c r="D1815" s="42">
        <v>32</v>
      </c>
      <c r="E1815" s="13" t="s">
        <v>1457</v>
      </c>
      <c r="F1815" s="13">
        <v>3025457</v>
      </c>
      <c r="G1815" s="14">
        <v>7104</v>
      </c>
      <c r="H1815" s="40">
        <v>8400</v>
      </c>
      <c r="I1815" s="16">
        <f t="shared" ref="I1815:I1818" si="268">H1815*G1815</f>
        <v>59673600</v>
      </c>
      <c r="J1815" s="17">
        <v>14</v>
      </c>
      <c r="K1815" s="34">
        <v>4502383141</v>
      </c>
      <c r="L1815" s="19">
        <v>5083105954</v>
      </c>
      <c r="M1815" s="20">
        <v>5113503960</v>
      </c>
      <c r="N1815" s="23"/>
      <c r="O1815" s="9" t="s">
        <v>63</v>
      </c>
      <c r="P1815" s="23"/>
      <c r="Q1815" s="24" t="s">
        <v>31</v>
      </c>
      <c r="R1815" s="25">
        <v>44781</v>
      </c>
      <c r="S1815" s="28"/>
      <c r="T1815" s="35"/>
      <c r="U1815" s="35"/>
      <c r="V1815" s="29"/>
      <c r="W1815" s="35"/>
      <c r="X1815" s="29"/>
      <c r="Y1815" s="36"/>
      <c r="Z1815" s="29"/>
      <c r="AA1815" s="31">
        <f t="shared" si="1"/>
        <v>44781</v>
      </c>
      <c r="AB1815" s="32" t="str">
        <f t="shared" si="5"/>
        <v>agosto</v>
      </c>
    </row>
    <row r="1816" spans="1:28" ht="12.75">
      <c r="A1816" s="9" t="s">
        <v>1613</v>
      </c>
      <c r="B1816" s="10">
        <v>44781</v>
      </c>
      <c r="C1816" s="11"/>
      <c r="D1816" s="42">
        <v>32</v>
      </c>
      <c r="E1816" s="13" t="s">
        <v>2306</v>
      </c>
      <c r="F1816" s="13">
        <v>3025459</v>
      </c>
      <c r="G1816" s="14">
        <v>14360</v>
      </c>
      <c r="H1816" s="15">
        <v>8300</v>
      </c>
      <c r="I1816" s="16">
        <f t="shared" si="268"/>
        <v>119188000</v>
      </c>
      <c r="J1816" s="17">
        <v>28</v>
      </c>
      <c r="K1816" s="34">
        <v>4502386465</v>
      </c>
      <c r="L1816" s="19">
        <v>5083095504</v>
      </c>
      <c r="M1816" s="20">
        <v>5113497970</v>
      </c>
      <c r="N1816" s="23"/>
      <c r="O1816" s="44" t="s">
        <v>1353</v>
      </c>
      <c r="P1816" s="23"/>
      <c r="Q1816" s="24" t="s">
        <v>31</v>
      </c>
      <c r="R1816" s="25">
        <v>44781</v>
      </c>
      <c r="S1816" s="28">
        <v>4902320858</v>
      </c>
      <c r="T1816" s="27">
        <f>920000*2</f>
        <v>1840000</v>
      </c>
      <c r="U1816" s="28" t="s">
        <v>2307</v>
      </c>
      <c r="V1816" s="29">
        <v>5113500419</v>
      </c>
      <c r="W1816" s="35"/>
      <c r="X1816" s="29"/>
      <c r="Y1816" s="36"/>
      <c r="Z1816" s="29"/>
      <c r="AA1816" s="31">
        <f t="shared" si="1"/>
        <v>44781</v>
      </c>
      <c r="AB1816" s="32" t="str">
        <f t="shared" si="5"/>
        <v>agosto</v>
      </c>
    </row>
    <row r="1817" spans="1:28" ht="12.75">
      <c r="A1817" s="9" t="s">
        <v>58</v>
      </c>
      <c r="B1817" s="10">
        <v>44784</v>
      </c>
      <c r="C1817" s="11">
        <v>44784</v>
      </c>
      <c r="D1817" s="42">
        <v>32</v>
      </c>
      <c r="E1817" s="13" t="s">
        <v>2308</v>
      </c>
      <c r="F1817" s="13">
        <v>3025457</v>
      </c>
      <c r="G1817" s="37">
        <v>30664.5</v>
      </c>
      <c r="H1817" s="40">
        <v>8800</v>
      </c>
      <c r="I1817" s="16">
        <f t="shared" si="268"/>
        <v>269847600</v>
      </c>
      <c r="J1817" s="17">
        <v>60</v>
      </c>
      <c r="K1817" s="34">
        <v>4502383142</v>
      </c>
      <c r="L1817" s="19">
        <v>5083124217</v>
      </c>
      <c r="M1817" s="20">
        <v>5113503159</v>
      </c>
      <c r="N1817" s="23"/>
      <c r="O1817" s="9" t="s">
        <v>37</v>
      </c>
      <c r="P1817" s="23"/>
      <c r="Q1817" s="24" t="s">
        <v>31</v>
      </c>
      <c r="R1817" s="25">
        <v>44782</v>
      </c>
      <c r="S1817" s="28"/>
      <c r="T1817" s="35"/>
      <c r="U1817" s="35"/>
      <c r="V1817" s="29"/>
      <c r="W1817" s="35"/>
      <c r="X1817" s="29"/>
      <c r="Y1817" s="36"/>
      <c r="Z1817" s="29"/>
      <c r="AA1817" s="31">
        <f t="shared" si="1"/>
        <v>44782</v>
      </c>
      <c r="AB1817" s="32" t="str">
        <f t="shared" si="5"/>
        <v>agosto</v>
      </c>
    </row>
    <row r="1818" spans="1:28" ht="12.75">
      <c r="A1818" s="9" t="s">
        <v>233</v>
      </c>
      <c r="B1818" s="10">
        <v>44782</v>
      </c>
      <c r="C1818" s="11">
        <v>44784</v>
      </c>
      <c r="D1818" s="42">
        <v>32</v>
      </c>
      <c r="E1818" s="13" t="s">
        <v>2309</v>
      </c>
      <c r="F1818" s="13">
        <v>3025457</v>
      </c>
      <c r="G1818" s="37">
        <v>12351.5</v>
      </c>
      <c r="H1818" s="40">
        <v>8400</v>
      </c>
      <c r="I1818" s="16">
        <f t="shared" si="268"/>
        <v>103752600</v>
      </c>
      <c r="J1818" s="17">
        <v>28</v>
      </c>
      <c r="K1818" s="34">
        <v>4502383143</v>
      </c>
      <c r="L1818" s="19">
        <v>5083124258</v>
      </c>
      <c r="M1818" s="20">
        <v>5113503076</v>
      </c>
      <c r="N1818" s="23"/>
      <c r="O1818" s="23" t="s">
        <v>63</v>
      </c>
      <c r="P1818" s="23"/>
      <c r="Q1818" s="24" t="s">
        <v>31</v>
      </c>
      <c r="R1818" s="25">
        <v>44782</v>
      </c>
      <c r="S1818" s="28"/>
      <c r="T1818" s="35"/>
      <c r="U1818" s="35"/>
      <c r="V1818" s="29"/>
      <c r="W1818" s="35"/>
      <c r="X1818" s="29"/>
      <c r="Y1818" s="36"/>
      <c r="Z1818" s="29"/>
      <c r="AA1818" s="31">
        <f t="shared" si="1"/>
        <v>44782</v>
      </c>
      <c r="AB1818" s="32" t="str">
        <f t="shared" si="5"/>
        <v>agosto</v>
      </c>
    </row>
    <row r="1819" spans="1:28" ht="12.75">
      <c r="A1819" s="9" t="s">
        <v>233</v>
      </c>
      <c r="B1819" s="10">
        <v>44782</v>
      </c>
      <c r="C1819" s="11">
        <v>44784</v>
      </c>
      <c r="D1819" s="42">
        <v>32</v>
      </c>
      <c r="E1819" s="13" t="s">
        <v>2310</v>
      </c>
      <c r="F1819" s="13">
        <v>3025457</v>
      </c>
      <c r="G1819" s="37">
        <v>12351.5</v>
      </c>
      <c r="H1819" s="40">
        <f>8400-8396.83</f>
        <v>3.1700000000000728</v>
      </c>
      <c r="I1819" s="16">
        <f>-H1819*G1819</f>
        <v>-39154.2550000009</v>
      </c>
      <c r="J1819" s="17">
        <v>0</v>
      </c>
      <c r="K1819" s="34">
        <v>4502383143</v>
      </c>
      <c r="L1819" s="19">
        <v>5083124258</v>
      </c>
      <c r="M1819" s="20">
        <v>5113503076</v>
      </c>
      <c r="N1819" s="23"/>
      <c r="O1819" s="23"/>
      <c r="P1819" s="23"/>
      <c r="Q1819" s="24" t="s">
        <v>31</v>
      </c>
      <c r="R1819" s="25">
        <v>44782</v>
      </c>
      <c r="S1819" s="28"/>
      <c r="T1819" s="35"/>
      <c r="U1819" s="35"/>
      <c r="V1819" s="29"/>
      <c r="W1819" s="35"/>
      <c r="X1819" s="29"/>
      <c r="Y1819" s="36"/>
      <c r="Z1819" s="29"/>
      <c r="AA1819" s="31">
        <f t="shared" si="1"/>
        <v>44782</v>
      </c>
      <c r="AB1819" s="32" t="str">
        <f t="shared" si="5"/>
        <v>agosto</v>
      </c>
    </row>
    <row r="1820" spans="1:28" ht="12.75">
      <c r="A1820" s="9" t="s">
        <v>2311</v>
      </c>
      <c r="B1820" s="10">
        <v>44784</v>
      </c>
      <c r="C1820" s="11"/>
      <c r="D1820" s="42">
        <v>32</v>
      </c>
      <c r="E1820" s="13" t="s">
        <v>2312</v>
      </c>
      <c r="F1820" s="13">
        <v>3025457</v>
      </c>
      <c r="G1820" s="14">
        <v>12916</v>
      </c>
      <c r="H1820" s="40">
        <v>8800</v>
      </c>
      <c r="I1820" s="16">
        <f>H1820*G1820</f>
        <v>113660800</v>
      </c>
      <c r="J1820" s="17">
        <v>30</v>
      </c>
      <c r="K1820" s="34">
        <v>4502383145</v>
      </c>
      <c r="L1820" s="19">
        <v>5083124360</v>
      </c>
      <c r="M1820" s="20">
        <v>5113514868</v>
      </c>
      <c r="N1820" s="23"/>
      <c r="O1820" s="23"/>
      <c r="P1820" s="23" t="s">
        <v>2313</v>
      </c>
      <c r="Q1820" s="24" t="s">
        <v>31</v>
      </c>
      <c r="R1820" s="25">
        <v>44782</v>
      </c>
      <c r="S1820" s="28"/>
      <c r="T1820" s="35"/>
      <c r="U1820" s="35"/>
      <c r="V1820" s="29"/>
      <c r="W1820" s="35"/>
      <c r="X1820" s="29"/>
      <c r="Y1820" s="36"/>
      <c r="Z1820" s="29"/>
      <c r="AA1820" s="31">
        <f t="shared" si="1"/>
        <v>44782</v>
      </c>
      <c r="AB1820" s="32" t="str">
        <f t="shared" si="5"/>
        <v>agosto</v>
      </c>
    </row>
    <row r="1821" spans="1:28" ht="12.75">
      <c r="A1821" s="9" t="s">
        <v>2311</v>
      </c>
      <c r="B1821" s="10">
        <v>44784</v>
      </c>
      <c r="C1821" s="11"/>
      <c r="D1821" s="42">
        <v>32</v>
      </c>
      <c r="E1821" s="13" t="s">
        <v>2314</v>
      </c>
      <c r="F1821" s="13">
        <v>3025457</v>
      </c>
      <c r="G1821" s="14">
        <v>12916</v>
      </c>
      <c r="H1821" s="40">
        <f>8800-8794.07</f>
        <v>5.930000000000291</v>
      </c>
      <c r="I1821" s="16">
        <f>-H1821*G1821</f>
        <v>-76591.880000003759</v>
      </c>
      <c r="J1821" s="17">
        <v>0</v>
      </c>
      <c r="K1821" s="34">
        <v>4502383145</v>
      </c>
      <c r="L1821" s="19">
        <v>5083124360</v>
      </c>
      <c r="M1821" s="20">
        <v>5113514871</v>
      </c>
      <c r="N1821" s="23"/>
      <c r="O1821" s="23"/>
      <c r="P1821" s="23"/>
      <c r="Q1821" s="24" t="s">
        <v>31</v>
      </c>
      <c r="R1821" s="25">
        <v>44782</v>
      </c>
      <c r="S1821" s="28"/>
      <c r="T1821" s="35"/>
      <c r="U1821" s="35"/>
      <c r="V1821" s="29"/>
      <c r="W1821" s="35"/>
      <c r="X1821" s="29"/>
      <c r="Y1821" s="36"/>
      <c r="Z1821" s="29"/>
      <c r="AA1821" s="31">
        <f t="shared" si="1"/>
        <v>44782</v>
      </c>
      <c r="AB1821" s="32" t="str">
        <f t="shared" si="5"/>
        <v>agosto</v>
      </c>
    </row>
    <row r="1822" spans="1:28" ht="12.75">
      <c r="A1822" s="9" t="s">
        <v>28</v>
      </c>
      <c r="B1822" s="10">
        <v>44783</v>
      </c>
      <c r="C1822" s="11">
        <v>44783</v>
      </c>
      <c r="D1822" s="42">
        <v>32</v>
      </c>
      <c r="E1822" s="13" t="s">
        <v>2315</v>
      </c>
      <c r="F1822" s="13">
        <v>3025457</v>
      </c>
      <c r="G1822" s="14">
        <v>29128</v>
      </c>
      <c r="H1822" s="15">
        <v>7900</v>
      </c>
      <c r="I1822" s="16">
        <f t="shared" ref="I1822:I1824" si="269">H1822*G1822</f>
        <v>230111200</v>
      </c>
      <c r="J1822" s="17">
        <v>56</v>
      </c>
      <c r="K1822" s="34">
        <v>4502386983</v>
      </c>
      <c r="L1822" s="19">
        <v>5083107983</v>
      </c>
      <c r="M1822" s="20">
        <v>5113497823</v>
      </c>
      <c r="N1822" s="23"/>
      <c r="O1822" s="124" t="s">
        <v>1176</v>
      </c>
      <c r="P1822" s="23" t="s">
        <v>63</v>
      </c>
      <c r="Q1822" s="24" t="s">
        <v>31</v>
      </c>
      <c r="R1822" s="25">
        <v>44782</v>
      </c>
      <c r="S1822" s="28">
        <v>4902320860</v>
      </c>
      <c r="T1822" s="35">
        <f>2982600*4</f>
        <v>11930400</v>
      </c>
      <c r="U1822" s="28" t="s">
        <v>2316</v>
      </c>
      <c r="V1822" s="29">
        <v>5113500971</v>
      </c>
      <c r="W1822" s="35"/>
      <c r="X1822" s="29"/>
      <c r="Y1822" s="36"/>
      <c r="Z1822" s="29"/>
      <c r="AA1822" s="31">
        <f t="shared" si="1"/>
        <v>44782</v>
      </c>
      <c r="AB1822" s="32" t="str">
        <f t="shared" si="5"/>
        <v>agosto</v>
      </c>
    </row>
    <row r="1823" spans="1:28" ht="12.75">
      <c r="A1823" s="9" t="s">
        <v>80</v>
      </c>
      <c r="B1823" s="10">
        <v>44782</v>
      </c>
      <c r="C1823" s="11">
        <v>44783</v>
      </c>
      <c r="D1823" s="42">
        <v>32</v>
      </c>
      <c r="E1823" s="13" t="s">
        <v>2317</v>
      </c>
      <c r="F1823" s="13">
        <v>3025459</v>
      </c>
      <c r="G1823" s="14">
        <v>20648</v>
      </c>
      <c r="H1823" s="15">
        <v>8100</v>
      </c>
      <c r="I1823" s="16">
        <f t="shared" si="269"/>
        <v>167248800</v>
      </c>
      <c r="J1823" s="17">
        <v>42</v>
      </c>
      <c r="K1823" s="34">
        <v>4502386985</v>
      </c>
      <c r="L1823" s="19">
        <v>5083107985</v>
      </c>
      <c r="M1823" s="20">
        <v>5113497849</v>
      </c>
      <c r="N1823" s="23" t="s">
        <v>37</v>
      </c>
      <c r="O1823" s="44" t="s">
        <v>272</v>
      </c>
      <c r="P1823" s="23" t="s">
        <v>37</v>
      </c>
      <c r="Q1823" s="24" t="s">
        <v>31</v>
      </c>
      <c r="R1823" s="25">
        <v>44782</v>
      </c>
      <c r="S1823" s="28">
        <v>4902320862</v>
      </c>
      <c r="T1823" s="35">
        <f>1793900*3</f>
        <v>5381700</v>
      </c>
      <c r="U1823" s="28" t="s">
        <v>2318</v>
      </c>
      <c r="V1823" s="29">
        <v>5113500925</v>
      </c>
      <c r="W1823" s="35"/>
      <c r="X1823" s="29"/>
      <c r="Y1823" s="36"/>
      <c r="Z1823" s="29"/>
      <c r="AA1823" s="31">
        <f t="shared" si="1"/>
        <v>44782</v>
      </c>
      <c r="AB1823" s="32" t="str">
        <f t="shared" si="5"/>
        <v>agosto</v>
      </c>
    </row>
    <row r="1824" spans="1:28" ht="12.75">
      <c r="A1824" s="22" t="s">
        <v>719</v>
      </c>
      <c r="B1824" s="10">
        <v>44784</v>
      </c>
      <c r="C1824" s="11">
        <v>44785</v>
      </c>
      <c r="D1824" s="42">
        <v>32</v>
      </c>
      <c r="E1824" s="13" t="s">
        <v>2319</v>
      </c>
      <c r="F1824" s="13">
        <v>3025459</v>
      </c>
      <c r="G1824" s="14">
        <v>6699</v>
      </c>
      <c r="H1824" s="40">
        <v>8400</v>
      </c>
      <c r="I1824" s="16">
        <f t="shared" si="269"/>
        <v>56271600</v>
      </c>
      <c r="J1824" s="17">
        <v>15</v>
      </c>
      <c r="K1824" s="34">
        <v>4502383146</v>
      </c>
      <c r="L1824" s="19">
        <v>5083124259</v>
      </c>
      <c r="M1824" s="20">
        <v>5113507329</v>
      </c>
      <c r="N1824" s="23"/>
      <c r="O1824" s="9" t="s">
        <v>37</v>
      </c>
      <c r="P1824" s="23"/>
      <c r="Q1824" s="24" t="s">
        <v>31</v>
      </c>
      <c r="R1824" s="25">
        <v>44782</v>
      </c>
      <c r="S1824" s="28"/>
      <c r="T1824" s="35"/>
      <c r="U1824" s="35"/>
      <c r="V1824" s="29"/>
      <c r="W1824" s="35"/>
      <c r="X1824" s="29"/>
      <c r="Y1824" s="36"/>
      <c r="Z1824" s="29"/>
      <c r="AA1824" s="31">
        <f t="shared" si="1"/>
        <v>44782</v>
      </c>
      <c r="AB1824" s="32" t="str">
        <f t="shared" si="5"/>
        <v>agosto</v>
      </c>
    </row>
    <row r="1825" spans="1:28" ht="12.75">
      <c r="A1825" s="22" t="s">
        <v>719</v>
      </c>
      <c r="B1825" s="10">
        <v>44784</v>
      </c>
      <c r="C1825" s="11">
        <v>44785</v>
      </c>
      <c r="D1825" s="42">
        <v>32</v>
      </c>
      <c r="E1825" s="13" t="s">
        <v>139</v>
      </c>
      <c r="F1825" s="13">
        <v>3025459</v>
      </c>
      <c r="G1825" s="14">
        <v>6699</v>
      </c>
      <c r="H1825" s="40">
        <f>8400-8338.12</f>
        <v>61.8799999999992</v>
      </c>
      <c r="I1825" s="16">
        <f>-H1825*G1825</f>
        <v>-414534.11999999464</v>
      </c>
      <c r="J1825" s="17">
        <v>0</v>
      </c>
      <c r="K1825" s="34">
        <v>4502383146</v>
      </c>
      <c r="L1825" s="19">
        <v>5083124259</v>
      </c>
      <c r="M1825" s="20">
        <v>5113507333</v>
      </c>
      <c r="N1825" s="23"/>
      <c r="O1825" s="23"/>
      <c r="P1825" s="23"/>
      <c r="Q1825" s="24" t="s">
        <v>31</v>
      </c>
      <c r="R1825" s="25">
        <v>44782</v>
      </c>
      <c r="S1825" s="28"/>
      <c r="T1825" s="35"/>
      <c r="U1825" s="35"/>
      <c r="V1825" s="29"/>
      <c r="W1825" s="35"/>
      <c r="X1825" s="29"/>
      <c r="Y1825" s="36"/>
      <c r="Z1825" s="29"/>
      <c r="AA1825" s="31">
        <f t="shared" si="1"/>
        <v>44782</v>
      </c>
      <c r="AB1825" s="32" t="str">
        <f t="shared" si="5"/>
        <v>agosto</v>
      </c>
    </row>
    <row r="1826" spans="1:28" ht="12.75">
      <c r="A1826" s="9" t="s">
        <v>58</v>
      </c>
      <c r="B1826" s="10">
        <v>44784</v>
      </c>
      <c r="C1826" s="11">
        <v>44784</v>
      </c>
      <c r="D1826" s="42">
        <v>32</v>
      </c>
      <c r="E1826" s="13" t="s">
        <v>2320</v>
      </c>
      <c r="F1826" s="13">
        <v>3025462</v>
      </c>
      <c r="G1826" s="14">
        <v>9776</v>
      </c>
      <c r="H1826" s="57">
        <v>7400</v>
      </c>
      <c r="I1826" s="16">
        <f t="shared" ref="I1826:I1829" si="270">H1826*G1826</f>
        <v>72342400</v>
      </c>
      <c r="J1826" s="17">
        <v>33</v>
      </c>
      <c r="K1826" s="34">
        <v>4502389215</v>
      </c>
      <c r="L1826" s="19">
        <v>5083145741</v>
      </c>
      <c r="M1826" s="20">
        <v>5113502033</v>
      </c>
      <c r="N1826" s="23"/>
      <c r="O1826" s="9" t="s">
        <v>37</v>
      </c>
      <c r="P1826" s="23"/>
      <c r="Q1826" s="24" t="s">
        <v>357</v>
      </c>
      <c r="R1826" s="25">
        <v>44783</v>
      </c>
      <c r="S1826" s="28"/>
      <c r="T1826" s="35"/>
      <c r="U1826" s="35"/>
      <c r="V1826" s="29"/>
      <c r="W1826" s="35"/>
      <c r="X1826" s="29"/>
      <c r="Y1826" s="36"/>
      <c r="Z1826" s="29"/>
      <c r="AA1826" s="31">
        <f t="shared" si="1"/>
        <v>44783</v>
      </c>
      <c r="AB1826" s="32" t="str">
        <f t="shared" si="5"/>
        <v>agosto</v>
      </c>
    </row>
    <row r="1827" spans="1:28" ht="12.75">
      <c r="A1827" s="9" t="s">
        <v>213</v>
      </c>
      <c r="B1827" s="10">
        <v>44785</v>
      </c>
      <c r="C1827" s="11"/>
      <c r="D1827" s="49">
        <v>33</v>
      </c>
      <c r="E1827" s="13" t="s">
        <v>2321</v>
      </c>
      <c r="F1827" s="13">
        <v>3025457</v>
      </c>
      <c r="G1827" s="37">
        <v>7419.5</v>
      </c>
      <c r="H1827" s="33">
        <v>8300</v>
      </c>
      <c r="I1827" s="16">
        <f t="shared" si="270"/>
        <v>61581850</v>
      </c>
      <c r="J1827" s="17">
        <v>14</v>
      </c>
      <c r="K1827" s="34">
        <v>4502388139</v>
      </c>
      <c r="L1827" s="19">
        <v>5083185879</v>
      </c>
      <c r="M1827" s="20">
        <v>5113515296</v>
      </c>
      <c r="N1827" s="23"/>
      <c r="O1827" s="9" t="s">
        <v>37</v>
      </c>
      <c r="P1827" s="23"/>
      <c r="Q1827" s="24" t="s">
        <v>31</v>
      </c>
      <c r="R1827" s="25">
        <v>44785</v>
      </c>
      <c r="S1827" s="28"/>
      <c r="T1827" s="35"/>
      <c r="U1827" s="35"/>
      <c r="V1827" s="29"/>
      <c r="W1827" s="35"/>
      <c r="X1827" s="29"/>
      <c r="Y1827" s="36"/>
      <c r="Z1827" s="29"/>
      <c r="AA1827" s="31">
        <f t="shared" si="1"/>
        <v>44785</v>
      </c>
      <c r="AB1827" s="32" t="str">
        <f t="shared" si="5"/>
        <v>agosto</v>
      </c>
    </row>
    <row r="1828" spans="1:28" ht="12.75">
      <c r="A1828" s="9" t="s">
        <v>213</v>
      </c>
      <c r="B1828" s="10">
        <v>44785</v>
      </c>
      <c r="C1828" s="11"/>
      <c r="D1828" s="49">
        <v>33</v>
      </c>
      <c r="E1828" s="13" t="s">
        <v>546</v>
      </c>
      <c r="F1828" s="13">
        <v>3025457</v>
      </c>
      <c r="G1828" s="37">
        <v>7419.5</v>
      </c>
      <c r="H1828" s="33">
        <v>100</v>
      </c>
      <c r="I1828" s="16">
        <f t="shared" si="270"/>
        <v>741950</v>
      </c>
      <c r="J1828" s="17">
        <v>0</v>
      </c>
      <c r="K1828" s="34">
        <v>4502388139</v>
      </c>
      <c r="L1828" s="19">
        <v>5083185879</v>
      </c>
      <c r="M1828" s="20">
        <v>5113515358</v>
      </c>
      <c r="N1828" s="23"/>
      <c r="O1828" s="9"/>
      <c r="P1828" s="23"/>
      <c r="Q1828" s="24" t="s">
        <v>31</v>
      </c>
      <c r="R1828" s="25">
        <v>44785</v>
      </c>
      <c r="S1828" s="28"/>
      <c r="T1828" s="35"/>
      <c r="U1828" s="35"/>
      <c r="V1828" s="29"/>
      <c r="W1828" s="35"/>
      <c r="X1828" s="29"/>
      <c r="Y1828" s="36"/>
      <c r="Z1828" s="29"/>
      <c r="AA1828" s="31">
        <f t="shared" si="1"/>
        <v>44785</v>
      </c>
      <c r="AB1828" s="32" t="str">
        <f t="shared" si="5"/>
        <v>agosto</v>
      </c>
    </row>
    <row r="1829" spans="1:28" ht="12.75">
      <c r="A1829" s="9" t="s">
        <v>58</v>
      </c>
      <c r="B1829" s="10">
        <v>44789</v>
      </c>
      <c r="C1829" s="11">
        <v>44789</v>
      </c>
      <c r="D1829" s="49">
        <v>33</v>
      </c>
      <c r="E1829" s="13" t="s">
        <v>2322</v>
      </c>
      <c r="F1829" s="13">
        <v>3025457</v>
      </c>
      <c r="G1829" s="14">
        <v>28636</v>
      </c>
      <c r="H1829" s="33">
        <v>8700</v>
      </c>
      <c r="I1829" s="16">
        <f t="shared" si="270"/>
        <v>249133200</v>
      </c>
      <c r="J1829" s="17">
        <v>60</v>
      </c>
      <c r="K1829" s="34">
        <v>4502388140</v>
      </c>
      <c r="L1829" s="19">
        <v>5083185880</v>
      </c>
      <c r="M1829" s="20">
        <v>5113512157</v>
      </c>
      <c r="N1829" s="23"/>
      <c r="O1829" s="9" t="s">
        <v>37</v>
      </c>
      <c r="P1829" s="23"/>
      <c r="Q1829" s="24" t="s">
        <v>31</v>
      </c>
      <c r="R1829" s="25">
        <v>44785</v>
      </c>
      <c r="S1829" s="28"/>
      <c r="T1829" s="35"/>
      <c r="U1829" s="35"/>
      <c r="V1829" s="29"/>
      <c r="W1829" s="35"/>
      <c r="X1829" s="29"/>
      <c r="Y1829" s="36"/>
      <c r="Z1829" s="29"/>
      <c r="AA1829" s="31">
        <f t="shared" si="1"/>
        <v>44785</v>
      </c>
      <c r="AB1829" s="32" t="str">
        <f t="shared" si="5"/>
        <v>agosto</v>
      </c>
    </row>
    <row r="1830" spans="1:28" ht="12.75">
      <c r="A1830" s="9" t="s">
        <v>58</v>
      </c>
      <c r="B1830" s="10">
        <v>44789</v>
      </c>
      <c r="C1830" s="11">
        <v>44789</v>
      </c>
      <c r="D1830" s="49">
        <v>33</v>
      </c>
      <c r="E1830" s="13" t="s">
        <v>2323</v>
      </c>
      <c r="F1830" s="13">
        <v>3025457</v>
      </c>
      <c r="G1830" s="14">
        <v>28636</v>
      </c>
      <c r="H1830" s="33">
        <f>8700-8697.23</f>
        <v>2.7700000000004366</v>
      </c>
      <c r="I1830" s="16">
        <f>-H1830*G1830</f>
        <v>-79321.720000012501</v>
      </c>
      <c r="J1830" s="17">
        <v>0</v>
      </c>
      <c r="K1830" s="34">
        <v>4502388140</v>
      </c>
      <c r="L1830" s="19">
        <v>5083185880</v>
      </c>
      <c r="M1830" s="20">
        <v>5113512159</v>
      </c>
      <c r="N1830" s="23"/>
      <c r="O1830" s="9"/>
      <c r="P1830" s="23"/>
      <c r="Q1830" s="24" t="s">
        <v>31</v>
      </c>
      <c r="R1830" s="25">
        <v>44785</v>
      </c>
      <c r="S1830" s="28"/>
      <c r="T1830" s="35"/>
      <c r="U1830" s="35"/>
      <c r="V1830" s="29"/>
      <c r="W1830" s="35"/>
      <c r="X1830" s="29"/>
      <c r="Y1830" s="36"/>
      <c r="Z1830" s="29"/>
      <c r="AA1830" s="31">
        <f t="shared" si="1"/>
        <v>44785</v>
      </c>
      <c r="AB1830" s="32" t="str">
        <f t="shared" si="5"/>
        <v>agosto</v>
      </c>
    </row>
    <row r="1831" spans="1:28" ht="12.75">
      <c r="A1831" s="9" t="s">
        <v>1141</v>
      </c>
      <c r="B1831" s="10">
        <v>44791</v>
      </c>
      <c r="C1831" s="11">
        <v>44791</v>
      </c>
      <c r="D1831" s="49">
        <v>33</v>
      </c>
      <c r="E1831" s="13" t="s">
        <v>2324</v>
      </c>
      <c r="F1831" s="13">
        <v>3025457</v>
      </c>
      <c r="G1831" s="14">
        <v>5980</v>
      </c>
      <c r="H1831" s="33">
        <v>8300</v>
      </c>
      <c r="I1831" s="16">
        <f>H1831*G1831</f>
        <v>49634000</v>
      </c>
      <c r="J1831" s="17">
        <v>14</v>
      </c>
      <c r="K1831" s="34">
        <v>4502388141</v>
      </c>
      <c r="L1831" s="19">
        <v>5083185881</v>
      </c>
      <c r="M1831" s="20">
        <v>5113517459</v>
      </c>
      <c r="N1831" s="23"/>
      <c r="O1831" s="9" t="s">
        <v>37</v>
      </c>
      <c r="P1831" s="23" t="s">
        <v>2325</v>
      </c>
      <c r="Q1831" s="24" t="s">
        <v>31</v>
      </c>
      <c r="R1831" s="25">
        <v>44785</v>
      </c>
      <c r="S1831" s="28"/>
      <c r="T1831" s="35"/>
      <c r="U1831" s="35"/>
      <c r="V1831" s="29"/>
      <c r="W1831" s="35"/>
      <c r="X1831" s="29"/>
      <c r="Y1831" s="36"/>
      <c r="Z1831" s="29"/>
      <c r="AA1831" s="31">
        <f t="shared" si="1"/>
        <v>44785</v>
      </c>
      <c r="AB1831" s="32" t="str">
        <f t="shared" si="5"/>
        <v>agosto</v>
      </c>
    </row>
    <row r="1832" spans="1:28" ht="12.75">
      <c r="A1832" s="9" t="s">
        <v>1141</v>
      </c>
      <c r="B1832" s="10">
        <v>44791</v>
      </c>
      <c r="C1832" s="11">
        <v>44791</v>
      </c>
      <c r="D1832" s="49">
        <v>33</v>
      </c>
      <c r="E1832" s="13" t="s">
        <v>893</v>
      </c>
      <c r="F1832" s="13">
        <v>3025457</v>
      </c>
      <c r="G1832" s="14">
        <v>5980</v>
      </c>
      <c r="H1832" s="33">
        <f>8300-8274.57</f>
        <v>25.430000000000291</v>
      </c>
      <c r="I1832" s="16">
        <f>-H1832*G1832</f>
        <v>-152071.40000000174</v>
      </c>
      <c r="J1832" s="17">
        <v>0</v>
      </c>
      <c r="K1832" s="34">
        <v>4502388141</v>
      </c>
      <c r="L1832" s="19">
        <v>5083185881</v>
      </c>
      <c r="M1832" s="20">
        <v>5113517460</v>
      </c>
      <c r="N1832" s="23"/>
      <c r="O1832" s="9"/>
      <c r="P1832" s="23"/>
      <c r="Q1832" s="24" t="s">
        <v>31</v>
      </c>
      <c r="R1832" s="25">
        <v>44785</v>
      </c>
      <c r="S1832" s="28"/>
      <c r="T1832" s="35"/>
      <c r="U1832" s="35"/>
      <c r="V1832" s="29"/>
      <c r="W1832" s="35"/>
      <c r="X1832" s="29"/>
      <c r="Y1832" s="36"/>
      <c r="Z1832" s="29"/>
      <c r="AA1832" s="31">
        <f t="shared" si="1"/>
        <v>44785</v>
      </c>
      <c r="AB1832" s="32" t="str">
        <f t="shared" si="5"/>
        <v>agosto</v>
      </c>
    </row>
    <row r="1833" spans="1:28" ht="12.75">
      <c r="A1833" s="9" t="s">
        <v>242</v>
      </c>
      <c r="B1833" s="10">
        <v>44785</v>
      </c>
      <c r="C1833" s="11">
        <v>44795</v>
      </c>
      <c r="D1833" s="49">
        <v>33</v>
      </c>
      <c r="E1833" s="13" t="s">
        <v>2326</v>
      </c>
      <c r="F1833" s="13">
        <v>3025457</v>
      </c>
      <c r="G1833" s="14">
        <v>12938</v>
      </c>
      <c r="H1833" s="33">
        <v>8300</v>
      </c>
      <c r="I1833" s="16">
        <f t="shared" ref="I1833:I1837" si="271">H1833*G1833</f>
        <v>107385400</v>
      </c>
      <c r="J1833" s="17">
        <v>30</v>
      </c>
      <c r="K1833" s="34">
        <v>4502388142</v>
      </c>
      <c r="L1833" s="19">
        <v>5083185986</v>
      </c>
      <c r="M1833" s="125">
        <v>5113524902</v>
      </c>
      <c r="N1833" s="23"/>
      <c r="O1833" s="9" t="s">
        <v>63</v>
      </c>
      <c r="P1833" s="23"/>
      <c r="Q1833" s="24" t="s">
        <v>31</v>
      </c>
      <c r="R1833" s="25">
        <v>44785</v>
      </c>
      <c r="S1833" s="28"/>
      <c r="T1833" s="35"/>
      <c r="U1833" s="35"/>
      <c r="V1833" s="29"/>
      <c r="W1833" s="35"/>
      <c r="X1833" s="29"/>
      <c r="Y1833" s="36"/>
      <c r="Z1833" s="29"/>
      <c r="AA1833" s="31">
        <f t="shared" si="1"/>
        <v>44785</v>
      </c>
      <c r="AB1833" s="32" t="str">
        <f t="shared" si="5"/>
        <v>agosto</v>
      </c>
    </row>
    <row r="1834" spans="1:28" ht="12.75">
      <c r="A1834" s="9" t="s">
        <v>242</v>
      </c>
      <c r="B1834" s="10">
        <v>44785</v>
      </c>
      <c r="C1834" s="11">
        <v>44795</v>
      </c>
      <c r="D1834" s="49">
        <v>33</v>
      </c>
      <c r="E1834" s="13" t="s">
        <v>422</v>
      </c>
      <c r="F1834" s="13">
        <v>3025457</v>
      </c>
      <c r="G1834" s="14">
        <v>12938</v>
      </c>
      <c r="H1834" s="33">
        <v>44</v>
      </c>
      <c r="I1834" s="16">
        <f t="shared" si="271"/>
        <v>569272</v>
      </c>
      <c r="J1834" s="17">
        <v>0</v>
      </c>
      <c r="K1834" s="34">
        <v>4502388142</v>
      </c>
      <c r="L1834" s="126">
        <v>5083185986</v>
      </c>
      <c r="M1834" s="127">
        <v>5113524903</v>
      </c>
      <c r="N1834" s="128"/>
      <c r="O1834" s="9"/>
      <c r="P1834" s="23"/>
      <c r="Q1834" s="24" t="s">
        <v>31</v>
      </c>
      <c r="R1834" s="25">
        <v>44785</v>
      </c>
      <c r="S1834" s="28"/>
      <c r="T1834" s="35"/>
      <c r="U1834" s="35"/>
      <c r="V1834" s="29"/>
      <c r="W1834" s="35"/>
      <c r="X1834" s="29"/>
      <c r="Y1834" s="36"/>
      <c r="Z1834" s="29"/>
      <c r="AA1834" s="31">
        <f t="shared" si="1"/>
        <v>44785</v>
      </c>
      <c r="AB1834" s="32" t="str">
        <f t="shared" si="5"/>
        <v>agosto</v>
      </c>
    </row>
    <row r="1835" spans="1:28" ht="12.75">
      <c r="A1835" s="9" t="s">
        <v>80</v>
      </c>
      <c r="B1835" s="10">
        <v>44785</v>
      </c>
      <c r="C1835" s="11">
        <v>44789</v>
      </c>
      <c r="D1835" s="49">
        <v>33</v>
      </c>
      <c r="E1835" s="13" t="s">
        <v>2327</v>
      </c>
      <c r="F1835" s="13">
        <v>3025457</v>
      </c>
      <c r="G1835" s="14">
        <v>20192</v>
      </c>
      <c r="H1835" s="15">
        <v>8000</v>
      </c>
      <c r="I1835" s="16">
        <f t="shared" si="271"/>
        <v>161536000</v>
      </c>
      <c r="J1835" s="17">
        <v>40</v>
      </c>
      <c r="K1835" s="34">
        <v>4502390419</v>
      </c>
      <c r="L1835" s="126">
        <v>5083185761</v>
      </c>
      <c r="M1835" s="127">
        <v>5113512117</v>
      </c>
      <c r="N1835" s="128" t="s">
        <v>37</v>
      </c>
      <c r="O1835" s="22" t="s">
        <v>1057</v>
      </c>
      <c r="P1835" s="23"/>
      <c r="Q1835" s="24" t="s">
        <v>31</v>
      </c>
      <c r="R1835" s="25">
        <v>44785</v>
      </c>
      <c r="S1835" s="28">
        <v>4902325247</v>
      </c>
      <c r="T1835" s="28">
        <v>4792500</v>
      </c>
      <c r="U1835" s="28" t="s">
        <v>2328</v>
      </c>
      <c r="V1835" s="29">
        <v>5113513222</v>
      </c>
      <c r="W1835" s="35"/>
      <c r="X1835" s="29"/>
      <c r="Y1835" s="36"/>
      <c r="Z1835" s="29"/>
      <c r="AA1835" s="31">
        <f t="shared" si="1"/>
        <v>44785</v>
      </c>
      <c r="AB1835" s="32" t="str">
        <f t="shared" si="5"/>
        <v>agosto</v>
      </c>
    </row>
    <row r="1836" spans="1:28" ht="12.75">
      <c r="A1836" s="9" t="s">
        <v>196</v>
      </c>
      <c r="B1836" s="10">
        <v>44785</v>
      </c>
      <c r="C1836" s="11"/>
      <c r="D1836" s="49">
        <v>33</v>
      </c>
      <c r="E1836" s="13" t="s">
        <v>2329</v>
      </c>
      <c r="F1836" s="13">
        <v>3025459</v>
      </c>
      <c r="G1836" s="14">
        <v>22463</v>
      </c>
      <c r="H1836" s="15">
        <v>8000</v>
      </c>
      <c r="I1836" s="16">
        <f t="shared" si="271"/>
        <v>179704000</v>
      </c>
      <c r="J1836" s="17">
        <v>42</v>
      </c>
      <c r="K1836" s="34">
        <v>4502390420</v>
      </c>
      <c r="L1836" s="126">
        <v>5083185762</v>
      </c>
      <c r="M1836" s="127">
        <v>5113510015</v>
      </c>
      <c r="N1836" s="128"/>
      <c r="O1836" s="22" t="s">
        <v>1794</v>
      </c>
      <c r="P1836" s="23"/>
      <c r="Q1836" s="24" t="s">
        <v>31</v>
      </c>
      <c r="R1836" s="25">
        <v>44785</v>
      </c>
      <c r="S1836" s="28">
        <v>4902325255</v>
      </c>
      <c r="T1836" s="35">
        <f>1638223*3</f>
        <v>4914669</v>
      </c>
      <c r="U1836" s="28" t="s">
        <v>2330</v>
      </c>
      <c r="V1836" s="29">
        <v>5113516720</v>
      </c>
      <c r="W1836" s="35"/>
      <c r="X1836" s="29"/>
      <c r="Y1836" s="36"/>
      <c r="Z1836" s="29"/>
      <c r="AA1836" s="31">
        <f t="shared" si="1"/>
        <v>44785</v>
      </c>
      <c r="AB1836" s="32" t="str">
        <f t="shared" si="5"/>
        <v>agosto</v>
      </c>
    </row>
    <row r="1837" spans="1:28" ht="12.75">
      <c r="A1837" s="9" t="s">
        <v>111</v>
      </c>
      <c r="B1837" s="10">
        <v>44786</v>
      </c>
      <c r="C1837" s="11">
        <v>44790</v>
      </c>
      <c r="D1837" s="49">
        <v>33</v>
      </c>
      <c r="E1837" s="13" t="s">
        <v>2331</v>
      </c>
      <c r="F1837" s="13">
        <v>3025459</v>
      </c>
      <c r="G1837" s="37">
        <v>6495.5</v>
      </c>
      <c r="H1837" s="33">
        <v>8300</v>
      </c>
      <c r="I1837" s="16">
        <f t="shared" si="271"/>
        <v>53912650</v>
      </c>
      <c r="J1837" s="17">
        <v>14</v>
      </c>
      <c r="K1837" s="34">
        <v>4502388143</v>
      </c>
      <c r="L1837" s="126">
        <v>5083185882</v>
      </c>
      <c r="M1837" s="127">
        <v>5113512162</v>
      </c>
      <c r="N1837" s="128"/>
      <c r="O1837" s="9" t="s">
        <v>63</v>
      </c>
      <c r="P1837" s="23"/>
      <c r="Q1837" s="24" t="s">
        <v>31</v>
      </c>
      <c r="R1837" s="25">
        <v>44785</v>
      </c>
      <c r="S1837" s="28"/>
      <c r="T1837" s="35"/>
      <c r="U1837" s="35"/>
      <c r="V1837" s="29"/>
      <c r="W1837" s="35"/>
      <c r="X1837" s="29"/>
      <c r="Y1837" s="36"/>
      <c r="Z1837" s="29"/>
      <c r="AA1837" s="31">
        <f t="shared" si="1"/>
        <v>44785</v>
      </c>
      <c r="AB1837" s="32" t="str">
        <f t="shared" si="5"/>
        <v>agosto</v>
      </c>
    </row>
    <row r="1838" spans="1:28" ht="12.75">
      <c r="A1838" s="9" t="s">
        <v>111</v>
      </c>
      <c r="B1838" s="10">
        <v>44786</v>
      </c>
      <c r="C1838" s="11">
        <v>44790</v>
      </c>
      <c r="D1838" s="49">
        <v>33</v>
      </c>
      <c r="E1838" s="13" t="s">
        <v>2332</v>
      </c>
      <c r="F1838" s="13">
        <v>3025459</v>
      </c>
      <c r="G1838" s="37">
        <v>6495.5</v>
      </c>
      <c r="H1838" s="33">
        <v>50</v>
      </c>
      <c r="I1838" s="16">
        <f>-H1838*G1838</f>
        <v>-324775</v>
      </c>
      <c r="J1838" s="17">
        <v>0</v>
      </c>
      <c r="K1838" s="34">
        <v>4502388143</v>
      </c>
      <c r="L1838" s="126">
        <v>5083185882</v>
      </c>
      <c r="M1838" s="127">
        <v>5113512164</v>
      </c>
      <c r="N1838" s="128"/>
      <c r="O1838" s="9"/>
      <c r="P1838" s="23"/>
      <c r="Q1838" s="24" t="s">
        <v>31</v>
      </c>
      <c r="R1838" s="25">
        <v>44785</v>
      </c>
      <c r="S1838" s="28"/>
      <c r="T1838" s="35"/>
      <c r="U1838" s="35"/>
      <c r="V1838" s="29"/>
      <c r="W1838" s="35"/>
      <c r="X1838" s="29"/>
      <c r="Y1838" s="36"/>
      <c r="Z1838" s="29"/>
      <c r="AA1838" s="31">
        <f t="shared" si="1"/>
        <v>44785</v>
      </c>
      <c r="AB1838" s="32" t="str">
        <f t="shared" si="5"/>
        <v>agosto</v>
      </c>
    </row>
    <row r="1839" spans="1:28" ht="12.75">
      <c r="A1839" s="9" t="s">
        <v>642</v>
      </c>
      <c r="B1839" s="10">
        <v>44785</v>
      </c>
      <c r="C1839" s="11"/>
      <c r="D1839" s="49">
        <v>33</v>
      </c>
      <c r="E1839" s="13" t="s">
        <v>2333</v>
      </c>
      <c r="F1839" s="13">
        <v>3025457</v>
      </c>
      <c r="G1839" s="14">
        <v>28516</v>
      </c>
      <c r="H1839" s="33">
        <v>8300</v>
      </c>
      <c r="I1839" s="16">
        <f>H1839*G1839</f>
        <v>236682800</v>
      </c>
      <c r="J1839" s="17">
        <v>60</v>
      </c>
      <c r="K1839" s="34">
        <v>4502388144</v>
      </c>
      <c r="L1839" s="126">
        <v>5083185987</v>
      </c>
      <c r="M1839" s="127">
        <v>5113525015</v>
      </c>
      <c r="N1839" s="128"/>
      <c r="O1839" s="9" t="s">
        <v>37</v>
      </c>
      <c r="P1839" s="23"/>
      <c r="Q1839" s="24" t="s">
        <v>31</v>
      </c>
      <c r="R1839" s="25">
        <v>44785</v>
      </c>
      <c r="S1839" s="28"/>
      <c r="T1839" s="35"/>
      <c r="U1839" s="35"/>
      <c r="V1839" s="29"/>
      <c r="W1839" s="35"/>
      <c r="X1839" s="29"/>
      <c r="Y1839" s="36"/>
      <c r="Z1839" s="29"/>
      <c r="AA1839" s="31">
        <f t="shared" si="1"/>
        <v>44785</v>
      </c>
      <c r="AB1839" s="32" t="str">
        <f t="shared" si="5"/>
        <v>agosto</v>
      </c>
    </row>
    <row r="1840" spans="1:28" ht="12.75">
      <c r="A1840" s="9" t="s">
        <v>642</v>
      </c>
      <c r="B1840" s="10">
        <v>44785</v>
      </c>
      <c r="C1840" s="11"/>
      <c r="D1840" s="49">
        <v>33</v>
      </c>
      <c r="E1840" s="13" t="s">
        <v>2334</v>
      </c>
      <c r="F1840" s="13">
        <v>3025457</v>
      </c>
      <c r="G1840" s="14">
        <v>28516</v>
      </c>
      <c r="H1840" s="33">
        <f>8300-8246.52</f>
        <v>53.479999999999563</v>
      </c>
      <c r="I1840" s="16">
        <f>-H1840*G1840</f>
        <v>-1525035.6799999876</v>
      </c>
      <c r="J1840" s="17">
        <v>0</v>
      </c>
      <c r="K1840" s="34">
        <v>4502388144</v>
      </c>
      <c r="L1840" s="126">
        <v>5083185987</v>
      </c>
      <c r="M1840" s="127">
        <v>5113525016</v>
      </c>
      <c r="N1840" s="128"/>
      <c r="O1840" s="9"/>
      <c r="P1840" s="23"/>
      <c r="Q1840" s="24" t="s">
        <v>31</v>
      </c>
      <c r="R1840" s="25">
        <v>44785</v>
      </c>
      <c r="S1840" s="28"/>
      <c r="T1840" s="35"/>
      <c r="U1840" s="35"/>
      <c r="V1840" s="29"/>
      <c r="W1840" s="35"/>
      <c r="X1840" s="29"/>
      <c r="Y1840" s="36"/>
      <c r="Z1840" s="29"/>
      <c r="AA1840" s="31">
        <f t="shared" si="1"/>
        <v>44785</v>
      </c>
      <c r="AB1840" s="32" t="str">
        <f t="shared" si="5"/>
        <v>agosto</v>
      </c>
    </row>
    <row r="1841" spans="1:28" ht="12.75">
      <c r="A1841" s="9" t="s">
        <v>58</v>
      </c>
      <c r="B1841" s="10">
        <v>44789</v>
      </c>
      <c r="C1841" s="11">
        <v>44789</v>
      </c>
      <c r="D1841" s="49">
        <v>33</v>
      </c>
      <c r="E1841" s="13" t="s">
        <v>2335</v>
      </c>
      <c r="F1841" s="13">
        <v>3025457</v>
      </c>
      <c r="G1841" s="14">
        <v>14759</v>
      </c>
      <c r="H1841" s="33">
        <v>8700</v>
      </c>
      <c r="I1841" s="16">
        <f>H1841*G1841</f>
        <v>128403300</v>
      </c>
      <c r="J1841" s="17">
        <v>30</v>
      </c>
      <c r="K1841" s="34">
        <v>4502388145</v>
      </c>
      <c r="L1841" s="126">
        <v>5083185883</v>
      </c>
      <c r="M1841" s="127">
        <v>5113512121</v>
      </c>
      <c r="N1841" s="128"/>
      <c r="O1841" s="9" t="s">
        <v>37</v>
      </c>
      <c r="P1841" s="23"/>
      <c r="Q1841" s="24" t="s">
        <v>31</v>
      </c>
      <c r="R1841" s="25">
        <v>44786</v>
      </c>
      <c r="S1841" s="28"/>
      <c r="T1841" s="35"/>
      <c r="U1841" s="35"/>
      <c r="V1841" s="29"/>
      <c r="W1841" s="35"/>
      <c r="X1841" s="29"/>
      <c r="Y1841" s="36"/>
      <c r="Z1841" s="29"/>
      <c r="AA1841" s="31">
        <f t="shared" si="1"/>
        <v>44786</v>
      </c>
      <c r="AB1841" s="32" t="str">
        <f t="shared" si="5"/>
        <v>agosto</v>
      </c>
    </row>
    <row r="1842" spans="1:28" ht="12.75">
      <c r="A1842" s="9" t="s">
        <v>58</v>
      </c>
      <c r="B1842" s="10">
        <v>44789</v>
      </c>
      <c r="C1842" s="11">
        <v>44789</v>
      </c>
      <c r="D1842" s="49">
        <v>33</v>
      </c>
      <c r="E1842" s="13" t="s">
        <v>2336</v>
      </c>
      <c r="F1842" s="13">
        <v>3025457</v>
      </c>
      <c r="G1842" s="14">
        <v>14759</v>
      </c>
      <c r="H1842" s="33">
        <f>8700-8529.71</f>
        <v>170.29000000000087</v>
      </c>
      <c r="I1842" s="16">
        <f>-H1842*G1842</f>
        <v>-2513310.1100000129</v>
      </c>
      <c r="J1842" s="17">
        <v>0</v>
      </c>
      <c r="K1842" s="34">
        <v>4502388145</v>
      </c>
      <c r="L1842" s="126">
        <v>5083185883</v>
      </c>
      <c r="M1842" s="127">
        <v>5113512125</v>
      </c>
      <c r="N1842" s="128"/>
      <c r="O1842" s="9"/>
      <c r="P1842" s="23"/>
      <c r="Q1842" s="24" t="s">
        <v>31</v>
      </c>
      <c r="R1842" s="25">
        <v>44786</v>
      </c>
      <c r="S1842" s="28"/>
      <c r="T1842" s="35"/>
      <c r="U1842" s="35"/>
      <c r="V1842" s="29"/>
      <c r="W1842" s="35"/>
      <c r="X1842" s="29"/>
      <c r="Y1842" s="36"/>
      <c r="Z1842" s="29"/>
      <c r="AA1842" s="31">
        <f t="shared" si="1"/>
        <v>44786</v>
      </c>
      <c r="AB1842" s="32" t="str">
        <f t="shared" si="5"/>
        <v>agosto</v>
      </c>
    </row>
    <row r="1843" spans="1:28" ht="12.75">
      <c r="A1843" s="9" t="s">
        <v>58</v>
      </c>
      <c r="B1843" s="10">
        <v>44789</v>
      </c>
      <c r="C1843" s="11">
        <v>44789</v>
      </c>
      <c r="D1843" s="49">
        <v>33</v>
      </c>
      <c r="E1843" s="13" t="s">
        <v>2337</v>
      </c>
      <c r="F1843" s="13">
        <v>3025457</v>
      </c>
      <c r="G1843" s="14">
        <v>7620</v>
      </c>
      <c r="H1843" s="33">
        <v>8700</v>
      </c>
      <c r="I1843" s="16">
        <f t="shared" ref="I1843:I1844" si="272">H1843*G1843</f>
        <v>66294000</v>
      </c>
      <c r="J1843" s="17">
        <v>15</v>
      </c>
      <c r="K1843" s="34">
        <v>4502388145</v>
      </c>
      <c r="L1843" s="126">
        <v>5083185883</v>
      </c>
      <c r="M1843" s="127">
        <v>5113512119</v>
      </c>
      <c r="N1843" s="128"/>
      <c r="O1843" s="9" t="s">
        <v>37</v>
      </c>
      <c r="P1843" s="23"/>
      <c r="Q1843" s="24" t="s">
        <v>31</v>
      </c>
      <c r="R1843" s="25">
        <v>44786</v>
      </c>
      <c r="S1843" s="28"/>
      <c r="T1843" s="35"/>
      <c r="U1843" s="35"/>
      <c r="V1843" s="29"/>
      <c r="W1843" s="35"/>
      <c r="X1843" s="29"/>
      <c r="Y1843" s="36"/>
      <c r="Z1843" s="29"/>
      <c r="AA1843" s="31">
        <f t="shared" si="1"/>
        <v>44786</v>
      </c>
      <c r="AB1843" s="32" t="str">
        <f t="shared" si="5"/>
        <v>agosto</v>
      </c>
    </row>
    <row r="1844" spans="1:28" ht="12.75">
      <c r="A1844" s="22" t="s">
        <v>404</v>
      </c>
      <c r="B1844" s="10">
        <v>44786</v>
      </c>
      <c r="C1844" s="11">
        <v>44789</v>
      </c>
      <c r="D1844" s="49">
        <v>33</v>
      </c>
      <c r="E1844" s="13" t="s">
        <v>2338</v>
      </c>
      <c r="F1844" s="13">
        <v>3025457</v>
      </c>
      <c r="G1844" s="14">
        <v>12055</v>
      </c>
      <c r="H1844" s="33">
        <v>8700</v>
      </c>
      <c r="I1844" s="16">
        <f t="shared" si="272"/>
        <v>104878500</v>
      </c>
      <c r="J1844" s="17">
        <v>28</v>
      </c>
      <c r="K1844" s="34">
        <v>4502388146</v>
      </c>
      <c r="L1844" s="126">
        <v>5083185884</v>
      </c>
      <c r="M1844" s="127">
        <v>5113513070</v>
      </c>
      <c r="N1844" s="128"/>
      <c r="O1844" s="9" t="s">
        <v>37</v>
      </c>
      <c r="P1844" s="23"/>
      <c r="Q1844" s="24" t="s">
        <v>31</v>
      </c>
      <c r="R1844" s="25">
        <v>44786</v>
      </c>
      <c r="S1844" s="28"/>
      <c r="T1844" s="35"/>
      <c r="U1844" s="35"/>
      <c r="V1844" s="29"/>
      <c r="W1844" s="35"/>
      <c r="X1844" s="29"/>
      <c r="Y1844" s="36"/>
      <c r="Z1844" s="29"/>
      <c r="AA1844" s="31">
        <f t="shared" si="1"/>
        <v>44786</v>
      </c>
      <c r="AB1844" s="32" t="str">
        <f t="shared" si="5"/>
        <v>agosto</v>
      </c>
    </row>
    <row r="1845" spans="1:28" ht="12.75">
      <c r="A1845" s="22" t="s">
        <v>404</v>
      </c>
      <c r="B1845" s="10">
        <v>44789</v>
      </c>
      <c r="C1845" s="11">
        <v>44789</v>
      </c>
      <c r="D1845" s="49">
        <v>33</v>
      </c>
      <c r="E1845" s="13" t="s">
        <v>304</v>
      </c>
      <c r="F1845" s="13">
        <v>3025457</v>
      </c>
      <c r="G1845" s="14">
        <v>12055</v>
      </c>
      <c r="H1845" s="33">
        <f>8700-8577.47</f>
        <v>122.53000000000065</v>
      </c>
      <c r="I1845" s="16">
        <f>-H1845*G1845</f>
        <v>-1477099.1500000078</v>
      </c>
      <c r="J1845" s="17">
        <v>0</v>
      </c>
      <c r="K1845" s="34">
        <v>4502388146</v>
      </c>
      <c r="L1845" s="126">
        <v>5083185884</v>
      </c>
      <c r="M1845" s="127">
        <v>5113513072</v>
      </c>
      <c r="N1845" s="128"/>
      <c r="O1845" s="9"/>
      <c r="P1845" s="23"/>
      <c r="Q1845" s="24" t="s">
        <v>31</v>
      </c>
      <c r="R1845" s="25">
        <v>44786</v>
      </c>
      <c r="S1845" s="28"/>
      <c r="T1845" s="35"/>
      <c r="U1845" s="35"/>
      <c r="V1845" s="29"/>
      <c r="W1845" s="35"/>
      <c r="X1845" s="29"/>
      <c r="Y1845" s="36"/>
      <c r="Z1845" s="29"/>
      <c r="AA1845" s="31">
        <f t="shared" si="1"/>
        <v>44786</v>
      </c>
      <c r="AB1845" s="32" t="str">
        <f t="shared" si="5"/>
        <v>agosto</v>
      </c>
    </row>
    <row r="1846" spans="1:28" ht="12.75">
      <c r="A1846" s="9" t="s">
        <v>209</v>
      </c>
      <c r="B1846" s="10">
        <v>44790</v>
      </c>
      <c r="C1846" s="11">
        <v>44790</v>
      </c>
      <c r="D1846" s="49">
        <v>33</v>
      </c>
      <c r="E1846" s="13" t="s">
        <v>2339</v>
      </c>
      <c r="F1846" s="13">
        <v>3025457</v>
      </c>
      <c r="G1846" s="14">
        <v>14131</v>
      </c>
      <c r="H1846" s="33">
        <v>8300</v>
      </c>
      <c r="I1846" s="16">
        <f>H1846*G1846</f>
        <v>117287300</v>
      </c>
      <c r="J1846" s="17">
        <v>30</v>
      </c>
      <c r="K1846" s="34">
        <v>4502388147</v>
      </c>
      <c r="L1846" s="126">
        <v>5083185885</v>
      </c>
      <c r="M1846" s="127">
        <v>5113509994</v>
      </c>
      <c r="N1846" s="128"/>
      <c r="O1846" s="23" t="s">
        <v>313</v>
      </c>
      <c r="P1846" s="23"/>
      <c r="Q1846" s="24" t="s">
        <v>31</v>
      </c>
      <c r="R1846" s="25">
        <v>44786</v>
      </c>
      <c r="S1846" s="28"/>
      <c r="T1846" s="35"/>
      <c r="U1846" s="35"/>
      <c r="V1846" s="29"/>
      <c r="W1846" s="35"/>
      <c r="X1846" s="29"/>
      <c r="Y1846" s="36"/>
      <c r="Z1846" s="29"/>
      <c r="AA1846" s="31">
        <f t="shared" si="1"/>
        <v>44786</v>
      </c>
      <c r="AB1846" s="32" t="str">
        <f t="shared" si="5"/>
        <v>agosto</v>
      </c>
    </row>
    <row r="1847" spans="1:28" ht="12.75">
      <c r="A1847" s="9" t="s">
        <v>209</v>
      </c>
      <c r="B1847" s="10">
        <v>44790</v>
      </c>
      <c r="C1847" s="11">
        <v>44790</v>
      </c>
      <c r="D1847" s="49">
        <v>33</v>
      </c>
      <c r="E1847" s="13" t="s">
        <v>2340</v>
      </c>
      <c r="F1847" s="13">
        <v>3025457</v>
      </c>
      <c r="G1847" s="14">
        <v>14131</v>
      </c>
      <c r="H1847" s="33">
        <v>50</v>
      </c>
      <c r="I1847" s="16">
        <f>-H1847*G1847</f>
        <v>-706550</v>
      </c>
      <c r="J1847" s="17">
        <v>0</v>
      </c>
      <c r="K1847" s="34">
        <v>4502388147</v>
      </c>
      <c r="L1847" s="126">
        <v>5083185885</v>
      </c>
      <c r="M1847" s="127">
        <v>5113510008</v>
      </c>
      <c r="N1847" s="128"/>
      <c r="O1847" s="9"/>
      <c r="P1847" s="23"/>
      <c r="Q1847" s="24" t="s">
        <v>31</v>
      </c>
      <c r="R1847" s="25">
        <v>44786</v>
      </c>
      <c r="S1847" s="28"/>
      <c r="T1847" s="35"/>
      <c r="U1847" s="35"/>
      <c r="V1847" s="29"/>
      <c r="W1847" s="35"/>
      <c r="X1847" s="29"/>
      <c r="Y1847" s="36"/>
      <c r="Z1847" s="29"/>
      <c r="AA1847" s="31">
        <f t="shared" si="1"/>
        <v>44786</v>
      </c>
      <c r="AB1847" s="32" t="str">
        <f t="shared" si="5"/>
        <v>agosto</v>
      </c>
    </row>
    <row r="1848" spans="1:28" ht="12.75">
      <c r="A1848" s="9" t="s">
        <v>2341</v>
      </c>
      <c r="B1848" s="10">
        <v>44787</v>
      </c>
      <c r="C1848" s="11">
        <v>44791</v>
      </c>
      <c r="D1848" s="49">
        <v>33</v>
      </c>
      <c r="E1848" s="13" t="s">
        <v>2342</v>
      </c>
      <c r="F1848" s="13">
        <v>3025457</v>
      </c>
      <c r="G1848" s="14">
        <v>13313.5</v>
      </c>
      <c r="H1848" s="33">
        <v>8300</v>
      </c>
      <c r="I1848" s="16">
        <f t="shared" ref="I1848:I1849" si="273">H1848*G1848</f>
        <v>110502050</v>
      </c>
      <c r="J1848" s="17">
        <v>28</v>
      </c>
      <c r="K1848" s="34">
        <v>4502390051</v>
      </c>
      <c r="L1848" s="126">
        <v>5083188174</v>
      </c>
      <c r="M1848" s="127">
        <v>5113517161</v>
      </c>
      <c r="N1848" s="128"/>
      <c r="O1848" s="9" t="s">
        <v>37</v>
      </c>
      <c r="P1848" s="23"/>
      <c r="Q1848" s="24" t="s">
        <v>31</v>
      </c>
      <c r="R1848" s="25">
        <v>44787</v>
      </c>
      <c r="S1848" s="28"/>
      <c r="T1848" s="35"/>
      <c r="U1848" s="35"/>
      <c r="V1848" s="29"/>
      <c r="W1848" s="35"/>
      <c r="X1848" s="29"/>
      <c r="Y1848" s="36"/>
      <c r="Z1848" s="29"/>
      <c r="AA1848" s="31">
        <f t="shared" si="1"/>
        <v>44787</v>
      </c>
      <c r="AB1848" s="32" t="str">
        <f t="shared" si="5"/>
        <v>agosto</v>
      </c>
    </row>
    <row r="1849" spans="1:28" ht="12.75">
      <c r="A1849" s="9" t="s">
        <v>338</v>
      </c>
      <c r="B1849" s="10">
        <v>44790</v>
      </c>
      <c r="C1849" s="11"/>
      <c r="D1849" s="49">
        <v>33</v>
      </c>
      <c r="E1849" s="13" t="s">
        <v>2343</v>
      </c>
      <c r="F1849" s="13">
        <v>3025457</v>
      </c>
      <c r="G1849" s="14">
        <v>6547</v>
      </c>
      <c r="H1849" s="33">
        <v>8400</v>
      </c>
      <c r="I1849" s="16">
        <f t="shared" si="273"/>
        <v>54994800</v>
      </c>
      <c r="J1849" s="17">
        <v>14</v>
      </c>
      <c r="K1849" s="34">
        <v>4502388148</v>
      </c>
      <c r="L1849" s="126">
        <v>5083188170</v>
      </c>
      <c r="M1849" s="127">
        <v>5113513099</v>
      </c>
      <c r="N1849" s="128"/>
      <c r="O1849" s="9" t="s">
        <v>63</v>
      </c>
      <c r="P1849" s="23"/>
      <c r="Q1849" s="24" t="s">
        <v>31</v>
      </c>
      <c r="R1849" s="25">
        <v>44787</v>
      </c>
      <c r="S1849" s="28"/>
      <c r="T1849" s="35"/>
      <c r="U1849" s="35"/>
      <c r="V1849" s="29"/>
      <c r="W1849" s="35"/>
      <c r="X1849" s="29"/>
      <c r="Y1849" s="36"/>
      <c r="Z1849" s="29"/>
      <c r="AA1849" s="31">
        <f t="shared" si="1"/>
        <v>44787</v>
      </c>
      <c r="AB1849" s="32" t="str">
        <f t="shared" si="5"/>
        <v>agosto</v>
      </c>
    </row>
    <row r="1850" spans="1:28" ht="12.75">
      <c r="A1850" s="9" t="s">
        <v>338</v>
      </c>
      <c r="B1850" s="10">
        <v>44790</v>
      </c>
      <c r="C1850" s="11"/>
      <c r="D1850" s="49">
        <v>33</v>
      </c>
      <c r="E1850" s="13" t="s">
        <v>2344</v>
      </c>
      <c r="F1850" s="13">
        <v>3025457</v>
      </c>
      <c r="G1850" s="14">
        <v>6547</v>
      </c>
      <c r="H1850" s="33">
        <v>50</v>
      </c>
      <c r="I1850" s="16">
        <f>-H1850*G1850</f>
        <v>-327350</v>
      </c>
      <c r="J1850" s="17">
        <v>0</v>
      </c>
      <c r="K1850" s="34">
        <v>4502388148</v>
      </c>
      <c r="L1850" s="126">
        <v>5083188170</v>
      </c>
      <c r="M1850" s="127">
        <v>5113513101</v>
      </c>
      <c r="N1850" s="128"/>
      <c r="O1850" s="9"/>
      <c r="P1850" s="23"/>
      <c r="Q1850" s="24" t="s">
        <v>31</v>
      </c>
      <c r="R1850" s="25">
        <v>44787</v>
      </c>
      <c r="S1850" s="28"/>
      <c r="T1850" s="35"/>
      <c r="U1850" s="35"/>
      <c r="V1850" s="29"/>
      <c r="W1850" s="35"/>
      <c r="X1850" s="29"/>
      <c r="Y1850" s="36"/>
      <c r="Z1850" s="29"/>
      <c r="AA1850" s="31">
        <f t="shared" si="1"/>
        <v>44787</v>
      </c>
      <c r="AB1850" s="32" t="str">
        <f t="shared" si="5"/>
        <v>agosto</v>
      </c>
    </row>
    <row r="1851" spans="1:28" ht="12.75">
      <c r="A1851" s="9" t="s">
        <v>233</v>
      </c>
      <c r="B1851" s="10">
        <v>44787</v>
      </c>
      <c r="C1851" s="11">
        <v>44789</v>
      </c>
      <c r="D1851" s="49">
        <v>33</v>
      </c>
      <c r="E1851" s="13" t="s">
        <v>2345</v>
      </c>
      <c r="F1851" s="13">
        <v>3025457</v>
      </c>
      <c r="G1851" s="37">
        <v>6478.5</v>
      </c>
      <c r="H1851" s="33">
        <v>8300</v>
      </c>
      <c r="I1851" s="16">
        <f t="shared" ref="I1851:I1852" si="274">H1851*G1851</f>
        <v>53771550</v>
      </c>
      <c r="J1851" s="17">
        <v>15</v>
      </c>
      <c r="K1851" s="34">
        <v>4502388149</v>
      </c>
      <c r="L1851" s="126">
        <v>5083188171</v>
      </c>
      <c r="M1851" s="127">
        <v>5113509945</v>
      </c>
      <c r="N1851" s="128"/>
      <c r="O1851" s="23" t="s">
        <v>63</v>
      </c>
      <c r="P1851" s="23"/>
      <c r="Q1851" s="24" t="s">
        <v>31</v>
      </c>
      <c r="R1851" s="25">
        <v>44787</v>
      </c>
      <c r="S1851" s="28"/>
      <c r="T1851" s="35"/>
      <c r="U1851" s="35"/>
      <c r="V1851" s="29"/>
      <c r="W1851" s="35"/>
      <c r="X1851" s="29"/>
      <c r="Y1851" s="36"/>
      <c r="Z1851" s="29"/>
      <c r="AA1851" s="31">
        <f t="shared" si="1"/>
        <v>44787</v>
      </c>
      <c r="AB1851" s="32" t="str">
        <f t="shared" si="5"/>
        <v>agosto</v>
      </c>
    </row>
    <row r="1852" spans="1:28" ht="12.75">
      <c r="A1852" s="9" t="s">
        <v>99</v>
      </c>
      <c r="B1852" s="10">
        <v>44790</v>
      </c>
      <c r="C1852" s="11">
        <v>44790</v>
      </c>
      <c r="D1852" s="49">
        <v>33</v>
      </c>
      <c r="E1852" s="13" t="s">
        <v>2346</v>
      </c>
      <c r="F1852" s="13">
        <v>3025457</v>
      </c>
      <c r="G1852" s="37">
        <v>7315.5</v>
      </c>
      <c r="H1852" s="33">
        <v>8300</v>
      </c>
      <c r="I1852" s="16">
        <f t="shared" si="274"/>
        <v>60718650</v>
      </c>
      <c r="J1852" s="17">
        <v>15</v>
      </c>
      <c r="K1852" s="34">
        <v>4502388150</v>
      </c>
      <c r="L1852" s="126">
        <v>5083188310</v>
      </c>
      <c r="M1852" s="127">
        <v>5113520276</v>
      </c>
      <c r="N1852" s="128"/>
      <c r="O1852" s="9" t="s">
        <v>37</v>
      </c>
      <c r="P1852" s="23"/>
      <c r="Q1852" s="24" t="s">
        <v>31</v>
      </c>
      <c r="R1852" s="25">
        <v>44787</v>
      </c>
      <c r="S1852" s="28"/>
      <c r="T1852" s="35"/>
      <c r="U1852" s="35"/>
      <c r="V1852" s="29"/>
      <c r="W1852" s="35"/>
      <c r="X1852" s="29"/>
      <c r="Y1852" s="36"/>
      <c r="Z1852" s="29"/>
      <c r="AA1852" s="31">
        <f t="shared" si="1"/>
        <v>44787</v>
      </c>
      <c r="AB1852" s="32" t="str">
        <f t="shared" si="5"/>
        <v>agosto</v>
      </c>
    </row>
    <row r="1853" spans="1:28" ht="12.75">
      <c r="A1853" s="9" t="s">
        <v>99</v>
      </c>
      <c r="B1853" s="10">
        <v>44790</v>
      </c>
      <c r="C1853" s="11"/>
      <c r="D1853" s="49">
        <v>33</v>
      </c>
      <c r="E1853" s="13" t="s">
        <v>2347</v>
      </c>
      <c r="F1853" s="13">
        <v>3025457</v>
      </c>
      <c r="G1853" s="37">
        <v>7315.5</v>
      </c>
      <c r="H1853" s="33">
        <v>100</v>
      </c>
      <c r="I1853" s="16">
        <f>-H1853*G1853</f>
        <v>-731550</v>
      </c>
      <c r="J1853" s="17">
        <v>0</v>
      </c>
      <c r="K1853" s="34">
        <v>4502388150</v>
      </c>
      <c r="L1853" s="126">
        <v>5083188310</v>
      </c>
      <c r="M1853" s="127">
        <v>5113520308</v>
      </c>
      <c r="N1853" s="128"/>
      <c r="O1853" s="9"/>
      <c r="P1853" s="23"/>
      <c r="Q1853" s="24" t="s">
        <v>31</v>
      </c>
      <c r="R1853" s="25">
        <v>44787</v>
      </c>
      <c r="S1853" s="28"/>
      <c r="T1853" s="35"/>
      <c r="U1853" s="35"/>
      <c r="V1853" s="29"/>
      <c r="W1853" s="35"/>
      <c r="X1853" s="29"/>
      <c r="Y1853" s="36"/>
      <c r="Z1853" s="29"/>
      <c r="AA1853" s="31">
        <f t="shared" si="1"/>
        <v>44787</v>
      </c>
      <c r="AB1853" s="32" t="str">
        <f t="shared" si="5"/>
        <v>agosto</v>
      </c>
    </row>
    <row r="1854" spans="1:28" ht="12.75">
      <c r="A1854" s="9" t="s">
        <v>111</v>
      </c>
      <c r="B1854" s="10">
        <v>44787</v>
      </c>
      <c r="C1854" s="11">
        <v>44790</v>
      </c>
      <c r="D1854" s="49">
        <v>33</v>
      </c>
      <c r="E1854" s="13" t="s">
        <v>2348</v>
      </c>
      <c r="F1854" s="13">
        <v>3025457</v>
      </c>
      <c r="G1854" s="37">
        <v>12526.5</v>
      </c>
      <c r="H1854" s="33">
        <v>8300</v>
      </c>
      <c r="I1854" s="16">
        <f>H1854*G1854</f>
        <v>103969950</v>
      </c>
      <c r="J1854" s="17">
        <v>28</v>
      </c>
      <c r="K1854" s="34">
        <v>4502388151</v>
      </c>
      <c r="L1854" s="126">
        <v>5083188172</v>
      </c>
      <c r="M1854" s="127">
        <v>5113512165</v>
      </c>
      <c r="N1854" s="128"/>
      <c r="O1854" s="9" t="s">
        <v>63</v>
      </c>
      <c r="P1854" s="23"/>
      <c r="Q1854" s="24" t="s">
        <v>31</v>
      </c>
      <c r="R1854" s="25">
        <v>44787</v>
      </c>
      <c r="S1854" s="28"/>
      <c r="T1854" s="35"/>
      <c r="U1854" s="35"/>
      <c r="V1854" s="29"/>
      <c r="W1854" s="35"/>
      <c r="X1854" s="29"/>
      <c r="Y1854" s="36"/>
      <c r="Z1854" s="29"/>
      <c r="AA1854" s="31">
        <f t="shared" si="1"/>
        <v>44787</v>
      </c>
      <c r="AB1854" s="32" t="str">
        <f t="shared" si="5"/>
        <v>agosto</v>
      </c>
    </row>
    <row r="1855" spans="1:28" ht="12.75">
      <c r="A1855" s="9" t="s">
        <v>111</v>
      </c>
      <c r="B1855" s="10">
        <v>44787</v>
      </c>
      <c r="C1855" s="11">
        <v>44790</v>
      </c>
      <c r="D1855" s="49">
        <v>33</v>
      </c>
      <c r="E1855" s="13" t="s">
        <v>2349</v>
      </c>
      <c r="F1855" s="13">
        <v>3025457</v>
      </c>
      <c r="G1855" s="37">
        <v>12526.5</v>
      </c>
      <c r="H1855" s="33">
        <v>50</v>
      </c>
      <c r="I1855" s="16">
        <f>-H1855*G1855</f>
        <v>-626325</v>
      </c>
      <c r="J1855" s="17">
        <v>0</v>
      </c>
      <c r="K1855" s="34">
        <v>4502388151</v>
      </c>
      <c r="L1855" s="126">
        <v>5083188172</v>
      </c>
      <c r="M1855" s="127">
        <v>5113512187</v>
      </c>
      <c r="N1855" s="128"/>
      <c r="O1855" s="9"/>
      <c r="P1855" s="23"/>
      <c r="Q1855" s="24" t="s">
        <v>31</v>
      </c>
      <c r="R1855" s="25">
        <v>44787</v>
      </c>
      <c r="S1855" s="28"/>
      <c r="T1855" s="35"/>
      <c r="U1855" s="35"/>
      <c r="V1855" s="29"/>
      <c r="W1855" s="35"/>
      <c r="X1855" s="29"/>
      <c r="Y1855" s="36"/>
      <c r="Z1855" s="29"/>
      <c r="AA1855" s="31">
        <f t="shared" si="1"/>
        <v>44787</v>
      </c>
      <c r="AB1855" s="32" t="str">
        <f t="shared" si="5"/>
        <v>agosto</v>
      </c>
    </row>
    <row r="1856" spans="1:28" ht="12.75">
      <c r="A1856" s="22" t="s">
        <v>404</v>
      </c>
      <c r="B1856" s="10">
        <v>44787</v>
      </c>
      <c r="C1856" s="11">
        <v>44789</v>
      </c>
      <c r="D1856" s="49">
        <v>33</v>
      </c>
      <c r="E1856" s="13" t="s">
        <v>2350</v>
      </c>
      <c r="F1856" s="13">
        <v>3025457</v>
      </c>
      <c r="G1856" s="37">
        <v>7716.5</v>
      </c>
      <c r="H1856" s="33">
        <v>8700</v>
      </c>
      <c r="I1856" s="16">
        <f>H1856*G1856</f>
        <v>67133550</v>
      </c>
      <c r="J1856" s="17">
        <v>14</v>
      </c>
      <c r="K1856" s="34">
        <v>4502388152</v>
      </c>
      <c r="L1856" s="126">
        <v>5083188173</v>
      </c>
      <c r="M1856" s="127">
        <v>5113513073</v>
      </c>
      <c r="N1856" s="128"/>
      <c r="O1856" s="9" t="s">
        <v>37</v>
      </c>
      <c r="P1856" s="23"/>
      <c r="Q1856" s="24" t="s">
        <v>31</v>
      </c>
      <c r="R1856" s="25">
        <v>44787</v>
      </c>
      <c r="S1856" s="28"/>
      <c r="T1856" s="35"/>
      <c r="U1856" s="35"/>
      <c r="V1856" s="29"/>
      <c r="W1856" s="35"/>
      <c r="X1856" s="29"/>
      <c r="Y1856" s="36"/>
      <c r="Z1856" s="29"/>
      <c r="AA1856" s="31">
        <f t="shared" si="1"/>
        <v>44787</v>
      </c>
      <c r="AB1856" s="32" t="str">
        <f t="shared" si="5"/>
        <v>agosto</v>
      </c>
    </row>
    <row r="1857" spans="1:28" ht="12.75">
      <c r="A1857" s="22" t="s">
        <v>404</v>
      </c>
      <c r="B1857" s="10">
        <v>44789</v>
      </c>
      <c r="C1857" s="11">
        <v>44789</v>
      </c>
      <c r="D1857" s="49">
        <v>33</v>
      </c>
      <c r="E1857" s="13" t="s">
        <v>325</v>
      </c>
      <c r="F1857" s="13">
        <v>3025457</v>
      </c>
      <c r="G1857" s="37">
        <v>7716.5</v>
      </c>
      <c r="H1857" s="33">
        <f>8700-8675.83</f>
        <v>24.170000000000073</v>
      </c>
      <c r="I1857" s="16">
        <f>-H1857*G1857</f>
        <v>-186507.80500000058</v>
      </c>
      <c r="J1857" s="17">
        <v>0</v>
      </c>
      <c r="K1857" s="34">
        <v>4502388152</v>
      </c>
      <c r="L1857" s="126">
        <v>5083188173</v>
      </c>
      <c r="M1857" s="127">
        <v>5113513076</v>
      </c>
      <c r="N1857" s="128"/>
      <c r="O1857" s="9"/>
      <c r="P1857" s="23"/>
      <c r="Q1857" s="24" t="s">
        <v>31</v>
      </c>
      <c r="R1857" s="25">
        <v>44787</v>
      </c>
      <c r="S1857" s="28"/>
      <c r="T1857" s="35"/>
      <c r="U1857" s="35"/>
      <c r="V1857" s="29"/>
      <c r="W1857" s="35"/>
      <c r="X1857" s="29"/>
      <c r="Y1857" s="36"/>
      <c r="Z1857" s="29"/>
      <c r="AA1857" s="31">
        <f t="shared" si="1"/>
        <v>44787</v>
      </c>
      <c r="AB1857" s="32" t="str">
        <f t="shared" si="5"/>
        <v>agosto</v>
      </c>
    </row>
    <row r="1858" spans="1:28" ht="12.75">
      <c r="A1858" s="9" t="s">
        <v>49</v>
      </c>
      <c r="B1858" s="10">
        <v>44787</v>
      </c>
      <c r="C1858" s="11">
        <v>44790</v>
      </c>
      <c r="D1858" s="49">
        <v>33</v>
      </c>
      <c r="E1858" s="13" t="s">
        <v>2351</v>
      </c>
      <c r="F1858" s="13">
        <v>3025459</v>
      </c>
      <c r="G1858" s="14">
        <v>15193</v>
      </c>
      <c r="H1858" s="15">
        <v>7950</v>
      </c>
      <c r="I1858" s="16">
        <f t="shared" ref="I1858:I1859" si="275">H1858*G1858</f>
        <v>120784350</v>
      </c>
      <c r="J1858" s="17">
        <v>28</v>
      </c>
      <c r="K1858" s="34">
        <v>4502390421</v>
      </c>
      <c r="L1858" s="126">
        <v>5083185796</v>
      </c>
      <c r="M1858" s="127">
        <v>5113510359</v>
      </c>
      <c r="N1858" s="128"/>
      <c r="O1858" s="22" t="s">
        <v>1217</v>
      </c>
      <c r="P1858" s="23"/>
      <c r="Q1858" s="24" t="s">
        <v>31</v>
      </c>
      <c r="R1858" s="25">
        <v>44787</v>
      </c>
      <c r="S1858" s="28">
        <v>4902325259</v>
      </c>
      <c r="T1858" s="35">
        <f>2982600*2</f>
        <v>5965200</v>
      </c>
      <c r="U1858" s="28" t="s">
        <v>2352</v>
      </c>
      <c r="V1858" s="29">
        <v>5113556644</v>
      </c>
      <c r="W1858" s="35"/>
      <c r="X1858" s="29"/>
      <c r="Y1858" s="36"/>
      <c r="Z1858" s="29"/>
      <c r="AA1858" s="31">
        <f t="shared" si="1"/>
        <v>44787</v>
      </c>
      <c r="AB1858" s="32" t="str">
        <f t="shared" si="5"/>
        <v>agosto</v>
      </c>
    </row>
    <row r="1859" spans="1:28" ht="12.75">
      <c r="A1859" s="9" t="s">
        <v>58</v>
      </c>
      <c r="B1859" s="10">
        <v>44791</v>
      </c>
      <c r="C1859" s="11">
        <v>44791</v>
      </c>
      <c r="D1859" s="49">
        <v>33</v>
      </c>
      <c r="E1859" s="13" t="s">
        <v>2353</v>
      </c>
      <c r="F1859" s="13">
        <v>3025457</v>
      </c>
      <c r="G1859" s="14">
        <v>14264</v>
      </c>
      <c r="H1859" s="33">
        <v>8700</v>
      </c>
      <c r="I1859" s="16">
        <f t="shared" si="275"/>
        <v>124096800</v>
      </c>
      <c r="J1859" s="17">
        <v>28</v>
      </c>
      <c r="K1859" s="34">
        <v>4502388154</v>
      </c>
      <c r="L1859" s="126">
        <v>5083200048</v>
      </c>
      <c r="M1859" s="127">
        <v>5113517783</v>
      </c>
      <c r="N1859" s="128"/>
      <c r="O1859" s="9" t="s">
        <v>37</v>
      </c>
      <c r="P1859" s="23"/>
      <c r="Q1859" s="24" t="s">
        <v>31</v>
      </c>
      <c r="R1859" s="25">
        <v>44788</v>
      </c>
      <c r="S1859" s="28"/>
      <c r="T1859" s="35"/>
      <c r="U1859" s="35"/>
      <c r="V1859" s="29"/>
      <c r="W1859" s="35"/>
      <c r="X1859" s="29"/>
      <c r="Y1859" s="36"/>
      <c r="Z1859" s="29"/>
      <c r="AA1859" s="31">
        <f t="shared" si="1"/>
        <v>44788</v>
      </c>
      <c r="AB1859" s="32" t="str">
        <f t="shared" si="5"/>
        <v>agosto</v>
      </c>
    </row>
    <row r="1860" spans="1:28" ht="12.75">
      <c r="A1860" s="9" t="s">
        <v>58</v>
      </c>
      <c r="B1860" s="10">
        <v>44791</v>
      </c>
      <c r="C1860" s="11">
        <v>44791</v>
      </c>
      <c r="D1860" s="49">
        <v>33</v>
      </c>
      <c r="E1860" s="13" t="s">
        <v>2354</v>
      </c>
      <c r="F1860" s="13">
        <v>3025457</v>
      </c>
      <c r="G1860" s="14">
        <v>14264</v>
      </c>
      <c r="H1860" s="33">
        <v>50</v>
      </c>
      <c r="I1860" s="16">
        <f>-H1860*G1860</f>
        <v>-713200</v>
      </c>
      <c r="J1860" s="17">
        <v>0</v>
      </c>
      <c r="K1860" s="34">
        <v>4502388154</v>
      </c>
      <c r="L1860" s="126">
        <v>5083200048</v>
      </c>
      <c r="M1860" s="127">
        <v>5113517786</v>
      </c>
      <c r="N1860" s="128"/>
      <c r="O1860" s="9"/>
      <c r="P1860" s="23"/>
      <c r="Q1860" s="24" t="s">
        <v>31</v>
      </c>
      <c r="R1860" s="25">
        <v>44788</v>
      </c>
      <c r="S1860" s="28"/>
      <c r="T1860" s="35"/>
      <c r="U1860" s="35"/>
      <c r="V1860" s="29"/>
      <c r="W1860" s="35"/>
      <c r="X1860" s="29"/>
      <c r="Y1860" s="36"/>
      <c r="Z1860" s="29"/>
      <c r="AA1860" s="31">
        <f t="shared" si="1"/>
        <v>44788</v>
      </c>
      <c r="AB1860" s="32" t="str">
        <f t="shared" si="5"/>
        <v>agosto</v>
      </c>
    </row>
    <row r="1861" spans="1:28" ht="12.75">
      <c r="A1861" s="9" t="s">
        <v>301</v>
      </c>
      <c r="B1861" s="10">
        <v>44795</v>
      </c>
      <c r="C1861" s="11">
        <v>44795</v>
      </c>
      <c r="D1861" s="49">
        <v>33</v>
      </c>
      <c r="E1861" s="13" t="s">
        <v>2355</v>
      </c>
      <c r="F1861" s="13">
        <v>3025457</v>
      </c>
      <c r="G1861" s="37">
        <v>13446.5</v>
      </c>
      <c r="H1861" s="33">
        <v>8400</v>
      </c>
      <c r="I1861" s="16">
        <f t="shared" ref="I1861:I1862" si="276">H1861*G1861</f>
        <v>112950600</v>
      </c>
      <c r="J1861" s="17">
        <v>28</v>
      </c>
      <c r="K1861" s="34">
        <v>4502388155</v>
      </c>
      <c r="L1861" s="126">
        <v>5083200049</v>
      </c>
      <c r="M1861" s="127">
        <v>5113523895</v>
      </c>
      <c r="N1861" s="128"/>
      <c r="O1861" s="9" t="s">
        <v>63</v>
      </c>
      <c r="P1861" s="23"/>
      <c r="Q1861" s="24" t="s">
        <v>31</v>
      </c>
      <c r="R1861" s="25">
        <v>44788</v>
      </c>
      <c r="S1861" s="28"/>
      <c r="T1861" s="35"/>
      <c r="U1861" s="35"/>
      <c r="V1861" s="29"/>
      <c r="W1861" s="35"/>
      <c r="X1861" s="29"/>
      <c r="Y1861" s="36"/>
      <c r="Z1861" s="29"/>
      <c r="AA1861" s="31">
        <f t="shared" si="1"/>
        <v>44788</v>
      </c>
      <c r="AB1861" s="32" t="str">
        <f t="shared" si="5"/>
        <v>agosto</v>
      </c>
    </row>
    <row r="1862" spans="1:28" ht="12.75">
      <c r="A1862" s="9" t="s">
        <v>46</v>
      </c>
      <c r="B1862" s="10">
        <v>44788</v>
      </c>
      <c r="C1862" s="11">
        <v>44791</v>
      </c>
      <c r="D1862" s="49">
        <v>33</v>
      </c>
      <c r="E1862" s="13" t="s">
        <v>2356</v>
      </c>
      <c r="F1862" s="13">
        <v>3025459</v>
      </c>
      <c r="G1862" s="37">
        <v>13339.5</v>
      </c>
      <c r="H1862" s="33">
        <v>8400</v>
      </c>
      <c r="I1862" s="16">
        <f t="shared" si="276"/>
        <v>112051800</v>
      </c>
      <c r="J1862" s="17">
        <v>29</v>
      </c>
      <c r="K1862" s="34">
        <v>4502388156</v>
      </c>
      <c r="L1862" s="126">
        <v>5083202571</v>
      </c>
      <c r="M1862" s="127">
        <v>5113514030</v>
      </c>
      <c r="N1862" s="128"/>
      <c r="O1862" s="9" t="s">
        <v>37</v>
      </c>
      <c r="P1862" s="23"/>
      <c r="Q1862" s="24" t="s">
        <v>31</v>
      </c>
      <c r="R1862" s="25">
        <v>44788</v>
      </c>
      <c r="S1862" s="28"/>
      <c r="T1862" s="35"/>
      <c r="U1862" s="35"/>
      <c r="V1862" s="29"/>
      <c r="W1862" s="35"/>
      <c r="X1862" s="29"/>
      <c r="Y1862" s="36"/>
      <c r="Z1862" s="29"/>
      <c r="AA1862" s="31">
        <f t="shared" si="1"/>
        <v>44788</v>
      </c>
      <c r="AB1862" s="32" t="str">
        <f t="shared" si="5"/>
        <v>agosto</v>
      </c>
    </row>
    <row r="1863" spans="1:28" ht="12.75">
      <c r="A1863" s="9" t="s">
        <v>46</v>
      </c>
      <c r="B1863" s="10">
        <v>44788</v>
      </c>
      <c r="C1863" s="11">
        <v>44791</v>
      </c>
      <c r="D1863" s="49">
        <v>33</v>
      </c>
      <c r="E1863" s="13" t="s">
        <v>60</v>
      </c>
      <c r="F1863" s="13">
        <v>3025459</v>
      </c>
      <c r="G1863" s="37">
        <v>13339.5</v>
      </c>
      <c r="H1863" s="33">
        <v>50</v>
      </c>
      <c r="I1863" s="16">
        <f>-H1863*G1863</f>
        <v>-666975</v>
      </c>
      <c r="J1863" s="17">
        <v>0</v>
      </c>
      <c r="K1863" s="34">
        <v>4502388156</v>
      </c>
      <c r="L1863" s="126">
        <v>5083202571</v>
      </c>
      <c r="M1863" s="127">
        <v>5113514031</v>
      </c>
      <c r="N1863" s="128"/>
      <c r="O1863" s="9"/>
      <c r="P1863" s="23"/>
      <c r="Q1863" s="24" t="s">
        <v>31</v>
      </c>
      <c r="R1863" s="25">
        <v>44788</v>
      </c>
      <c r="S1863" s="28"/>
      <c r="T1863" s="35"/>
      <c r="U1863" s="35"/>
      <c r="V1863" s="29"/>
      <c r="W1863" s="35"/>
      <c r="X1863" s="29"/>
      <c r="Y1863" s="36"/>
      <c r="Z1863" s="29"/>
      <c r="AA1863" s="31">
        <f t="shared" si="1"/>
        <v>44788</v>
      </c>
      <c r="AB1863" s="32" t="str">
        <f t="shared" si="5"/>
        <v>agosto</v>
      </c>
    </row>
    <row r="1864" spans="1:28" ht="12.75">
      <c r="A1864" s="9" t="s">
        <v>73</v>
      </c>
      <c r="B1864" s="10">
        <v>44791</v>
      </c>
      <c r="C1864" s="11">
        <v>44791</v>
      </c>
      <c r="D1864" s="49">
        <v>33</v>
      </c>
      <c r="E1864" s="13" t="s">
        <v>2357</v>
      </c>
      <c r="F1864" s="13">
        <v>3025459</v>
      </c>
      <c r="G1864" s="14">
        <v>6507</v>
      </c>
      <c r="H1864" s="33">
        <v>8700</v>
      </c>
      <c r="I1864" s="16">
        <f>H1864*G1864</f>
        <v>56610900</v>
      </c>
      <c r="J1864" s="17">
        <v>14</v>
      </c>
      <c r="K1864" s="34">
        <v>4502388157</v>
      </c>
      <c r="L1864" s="126">
        <v>5083200050</v>
      </c>
      <c r="M1864" s="127">
        <v>5113516437</v>
      </c>
      <c r="N1864" s="128"/>
      <c r="O1864" s="9" t="s">
        <v>63</v>
      </c>
      <c r="P1864" s="23"/>
      <c r="Q1864" s="24" t="s">
        <v>31</v>
      </c>
      <c r="R1864" s="25">
        <v>44788</v>
      </c>
      <c r="S1864" s="28"/>
      <c r="T1864" s="35"/>
      <c r="U1864" s="35"/>
      <c r="V1864" s="29"/>
      <c r="W1864" s="35"/>
      <c r="X1864" s="29"/>
      <c r="Y1864" s="36"/>
      <c r="Z1864" s="29"/>
      <c r="AA1864" s="31">
        <f t="shared" si="1"/>
        <v>44788</v>
      </c>
      <c r="AB1864" s="32" t="str">
        <f t="shared" si="5"/>
        <v>agosto</v>
      </c>
    </row>
    <row r="1865" spans="1:28" ht="12.75">
      <c r="A1865" s="9" t="s">
        <v>73</v>
      </c>
      <c r="B1865" s="10">
        <v>44791</v>
      </c>
      <c r="C1865" s="11">
        <v>44791</v>
      </c>
      <c r="D1865" s="49">
        <v>33</v>
      </c>
      <c r="E1865" s="13" t="s">
        <v>2358</v>
      </c>
      <c r="F1865" s="13">
        <v>3025459</v>
      </c>
      <c r="G1865" s="14">
        <v>6507</v>
      </c>
      <c r="H1865" s="33">
        <v>50</v>
      </c>
      <c r="I1865" s="16">
        <f>-H1865*G1865</f>
        <v>-325350</v>
      </c>
      <c r="J1865" s="17">
        <v>0</v>
      </c>
      <c r="K1865" s="34">
        <v>4502388157</v>
      </c>
      <c r="L1865" s="126">
        <v>5083200050</v>
      </c>
      <c r="M1865" s="127">
        <v>5113516438</v>
      </c>
      <c r="N1865" s="128"/>
      <c r="O1865" s="9"/>
      <c r="P1865" s="23"/>
      <c r="Q1865" s="24" t="s">
        <v>31</v>
      </c>
      <c r="R1865" s="25">
        <v>44788</v>
      </c>
      <c r="S1865" s="28"/>
      <c r="T1865" s="35"/>
      <c r="U1865" s="35"/>
      <c r="V1865" s="29"/>
      <c r="W1865" s="35"/>
      <c r="X1865" s="29"/>
      <c r="Y1865" s="36"/>
      <c r="Z1865" s="29"/>
      <c r="AA1865" s="31">
        <f t="shared" si="1"/>
        <v>44788</v>
      </c>
      <c r="AB1865" s="32" t="str">
        <f t="shared" si="5"/>
        <v>agosto</v>
      </c>
    </row>
    <row r="1866" spans="1:28" ht="12.75">
      <c r="A1866" s="22" t="s">
        <v>404</v>
      </c>
      <c r="B1866" s="10">
        <v>44788</v>
      </c>
      <c r="C1866" s="11">
        <v>44791</v>
      </c>
      <c r="D1866" s="49">
        <v>33</v>
      </c>
      <c r="E1866" s="13" t="s">
        <v>2359</v>
      </c>
      <c r="F1866" s="13">
        <v>3025459</v>
      </c>
      <c r="G1866" s="14">
        <v>7372</v>
      </c>
      <c r="H1866" s="33">
        <v>8700</v>
      </c>
      <c r="I1866" s="16">
        <f t="shared" ref="I1866:I1867" si="277">H1866*G1866</f>
        <v>64136400</v>
      </c>
      <c r="J1866" s="17">
        <v>15</v>
      </c>
      <c r="K1866" s="34">
        <v>4502388158</v>
      </c>
      <c r="L1866" s="126">
        <v>5083200051</v>
      </c>
      <c r="M1866" s="127">
        <v>5113513766</v>
      </c>
      <c r="N1866" s="128"/>
      <c r="O1866" s="9" t="s">
        <v>37</v>
      </c>
      <c r="P1866" s="23"/>
      <c r="Q1866" s="24" t="s">
        <v>31</v>
      </c>
      <c r="R1866" s="25">
        <v>44788</v>
      </c>
      <c r="S1866" s="28"/>
      <c r="T1866" s="35"/>
      <c r="U1866" s="35"/>
      <c r="V1866" s="29"/>
      <c r="W1866" s="35"/>
      <c r="X1866" s="29"/>
      <c r="Y1866" s="36"/>
      <c r="Z1866" s="29"/>
      <c r="AA1866" s="31">
        <f t="shared" si="1"/>
        <v>44788</v>
      </c>
      <c r="AB1866" s="32" t="str">
        <f t="shared" si="5"/>
        <v>agosto</v>
      </c>
    </row>
    <row r="1867" spans="1:28" ht="12.75">
      <c r="A1867" s="9" t="s">
        <v>2360</v>
      </c>
      <c r="B1867" s="10">
        <v>44803</v>
      </c>
      <c r="C1867" s="11"/>
      <c r="D1867" s="49">
        <v>33</v>
      </c>
      <c r="E1867" s="13" t="s">
        <v>2361</v>
      </c>
      <c r="F1867" s="13">
        <v>3025457</v>
      </c>
      <c r="G1867" s="37">
        <v>12465.5</v>
      </c>
      <c r="H1867" s="33">
        <v>8300</v>
      </c>
      <c r="I1867" s="16">
        <f t="shared" si="277"/>
        <v>103463650</v>
      </c>
      <c r="J1867" s="17">
        <v>28</v>
      </c>
      <c r="K1867" s="34">
        <v>4502388160</v>
      </c>
      <c r="L1867" s="126">
        <v>5083216996</v>
      </c>
      <c r="M1867" s="127">
        <v>5113552572</v>
      </c>
      <c r="N1867" s="23"/>
      <c r="O1867" s="9" t="s">
        <v>63</v>
      </c>
      <c r="P1867" s="23"/>
      <c r="Q1867" s="24" t="s">
        <v>31</v>
      </c>
      <c r="R1867" s="25">
        <v>44789</v>
      </c>
      <c r="S1867" s="28"/>
      <c r="T1867" s="35"/>
      <c r="U1867" s="35"/>
      <c r="V1867" s="29"/>
      <c r="W1867" s="35"/>
      <c r="X1867" s="29"/>
      <c r="Y1867" s="36"/>
      <c r="Z1867" s="29"/>
      <c r="AA1867" s="31">
        <f t="shared" si="1"/>
        <v>44789</v>
      </c>
      <c r="AB1867" s="32" t="str">
        <f t="shared" si="5"/>
        <v>agosto</v>
      </c>
    </row>
    <row r="1868" spans="1:28" ht="12.75">
      <c r="A1868" s="9" t="s">
        <v>2360</v>
      </c>
      <c r="B1868" s="10">
        <v>44803</v>
      </c>
      <c r="C1868" s="11">
        <v>44803</v>
      </c>
      <c r="D1868" s="49">
        <v>33</v>
      </c>
      <c r="E1868" s="13" t="s">
        <v>2362</v>
      </c>
      <c r="F1868" s="13">
        <v>3025457</v>
      </c>
      <c r="G1868" s="37">
        <v>12465.5</v>
      </c>
      <c r="H1868" s="33">
        <v>50</v>
      </c>
      <c r="I1868" s="16">
        <f>-H1868*G1868</f>
        <v>-623275</v>
      </c>
      <c r="J1868" s="17">
        <v>0</v>
      </c>
      <c r="K1868" s="34">
        <v>4502388160</v>
      </c>
      <c r="L1868" s="126">
        <v>5083216996</v>
      </c>
      <c r="M1868" s="127">
        <v>5113552596</v>
      </c>
      <c r="N1868" s="128"/>
      <c r="O1868" s="9"/>
      <c r="P1868" s="23"/>
      <c r="Q1868" s="24" t="s">
        <v>31</v>
      </c>
      <c r="R1868" s="25">
        <v>44789</v>
      </c>
      <c r="S1868" s="28"/>
      <c r="T1868" s="35"/>
      <c r="U1868" s="35"/>
      <c r="V1868" s="29"/>
      <c r="W1868" s="35"/>
      <c r="X1868" s="29"/>
      <c r="Y1868" s="36"/>
      <c r="Z1868" s="29"/>
      <c r="AA1868" s="31">
        <f t="shared" si="1"/>
        <v>44789</v>
      </c>
      <c r="AB1868" s="32" t="str">
        <f t="shared" si="5"/>
        <v>agosto</v>
      </c>
    </row>
    <row r="1869" spans="1:28" ht="12.75">
      <c r="A1869" s="9" t="s">
        <v>80</v>
      </c>
      <c r="B1869" s="10">
        <v>44789</v>
      </c>
      <c r="C1869" s="11">
        <v>44789</v>
      </c>
      <c r="D1869" s="49">
        <v>33</v>
      </c>
      <c r="E1869" s="13" t="s">
        <v>2363</v>
      </c>
      <c r="F1869" s="13">
        <v>3025457</v>
      </c>
      <c r="G1869" s="14">
        <v>20234</v>
      </c>
      <c r="H1869" s="15">
        <v>8000</v>
      </c>
      <c r="I1869" s="16">
        <f t="shared" ref="I1869:I1871" si="278">H1869*G1869</f>
        <v>161872000</v>
      </c>
      <c r="J1869" s="17">
        <v>42</v>
      </c>
      <c r="K1869" s="34">
        <v>4502391418</v>
      </c>
      <c r="L1869" s="126">
        <v>5083185761</v>
      </c>
      <c r="M1869" s="127">
        <v>5113512118</v>
      </c>
      <c r="N1869" s="128" t="s">
        <v>37</v>
      </c>
      <c r="O1869" s="22" t="s">
        <v>272</v>
      </c>
      <c r="P1869" s="23"/>
      <c r="Q1869" s="24" t="s">
        <v>31</v>
      </c>
      <c r="R1869" s="25">
        <v>44789</v>
      </c>
      <c r="S1869" s="28">
        <v>4902325262</v>
      </c>
      <c r="T1869" s="28">
        <f>1793900*3</f>
        <v>5381700</v>
      </c>
      <c r="U1869" s="28" t="s">
        <v>2364</v>
      </c>
      <c r="V1869" s="29">
        <v>5113516889</v>
      </c>
      <c r="W1869" s="35"/>
      <c r="X1869" s="29"/>
      <c r="Y1869" s="36"/>
      <c r="Z1869" s="29"/>
      <c r="AA1869" s="31">
        <f t="shared" si="1"/>
        <v>44789</v>
      </c>
      <c r="AB1869" s="32" t="str">
        <f t="shared" si="5"/>
        <v>agosto</v>
      </c>
    </row>
    <row r="1870" spans="1:28" ht="12.75">
      <c r="A1870" s="9" t="s">
        <v>58</v>
      </c>
      <c r="B1870" s="10">
        <v>44791</v>
      </c>
      <c r="C1870" s="11">
        <v>44791</v>
      </c>
      <c r="D1870" s="49">
        <v>33</v>
      </c>
      <c r="E1870" s="13" t="s">
        <v>2365</v>
      </c>
      <c r="F1870" s="13">
        <v>3025457</v>
      </c>
      <c r="G1870" s="14">
        <v>7555</v>
      </c>
      <c r="H1870" s="33">
        <v>8700</v>
      </c>
      <c r="I1870" s="16">
        <f t="shared" si="278"/>
        <v>65728500</v>
      </c>
      <c r="J1870" s="17">
        <v>14</v>
      </c>
      <c r="K1870" s="34">
        <v>4502388162</v>
      </c>
      <c r="L1870" s="126">
        <v>5083217344</v>
      </c>
      <c r="M1870" s="127">
        <v>5113521328</v>
      </c>
      <c r="N1870" s="128"/>
      <c r="O1870" s="9" t="s">
        <v>37</v>
      </c>
      <c r="P1870" s="23"/>
      <c r="Q1870" s="24" t="s">
        <v>31</v>
      </c>
      <c r="R1870" s="25">
        <v>44789</v>
      </c>
      <c r="S1870" s="28"/>
      <c r="T1870" s="35"/>
      <c r="U1870" s="35"/>
      <c r="V1870" s="29"/>
      <c r="W1870" s="35"/>
      <c r="X1870" s="29"/>
      <c r="Y1870" s="36"/>
      <c r="Z1870" s="29"/>
      <c r="AA1870" s="31">
        <f t="shared" si="1"/>
        <v>44789</v>
      </c>
      <c r="AB1870" s="32" t="str">
        <f t="shared" si="5"/>
        <v>agosto</v>
      </c>
    </row>
    <row r="1871" spans="1:28" ht="12.75">
      <c r="A1871" s="9" t="s">
        <v>58</v>
      </c>
      <c r="B1871" s="10">
        <v>44791</v>
      </c>
      <c r="C1871" s="11">
        <v>44791</v>
      </c>
      <c r="D1871" s="49">
        <v>33</v>
      </c>
      <c r="E1871" s="13" t="s">
        <v>2366</v>
      </c>
      <c r="F1871" s="13">
        <v>3025457</v>
      </c>
      <c r="G1871" s="37">
        <v>23261.5</v>
      </c>
      <c r="H1871" s="33">
        <v>8700</v>
      </c>
      <c r="I1871" s="16">
        <f t="shared" si="278"/>
        <v>202375050</v>
      </c>
      <c r="J1871" s="17">
        <v>50</v>
      </c>
      <c r="K1871" s="34">
        <v>4502388162</v>
      </c>
      <c r="L1871" s="126">
        <v>5083217344</v>
      </c>
      <c r="M1871" s="127">
        <v>5113522474</v>
      </c>
      <c r="N1871" s="128"/>
      <c r="O1871" s="9" t="s">
        <v>37</v>
      </c>
      <c r="P1871" s="23"/>
      <c r="Q1871" s="24" t="s">
        <v>31</v>
      </c>
      <c r="R1871" s="25">
        <v>44789</v>
      </c>
      <c r="S1871" s="28"/>
      <c r="T1871" s="35"/>
      <c r="U1871" s="35"/>
      <c r="V1871" s="29"/>
      <c r="W1871" s="35"/>
      <c r="X1871" s="29"/>
      <c r="Y1871" s="36"/>
      <c r="Z1871" s="29"/>
      <c r="AA1871" s="31">
        <f t="shared" si="1"/>
        <v>44789</v>
      </c>
      <c r="AB1871" s="32" t="str">
        <f t="shared" si="5"/>
        <v>agosto</v>
      </c>
    </row>
    <row r="1872" spans="1:28" ht="12.75">
      <c r="A1872" s="9" t="s">
        <v>58</v>
      </c>
      <c r="B1872" s="10">
        <v>44791</v>
      </c>
      <c r="C1872" s="11">
        <v>44791</v>
      </c>
      <c r="D1872" s="49">
        <v>33</v>
      </c>
      <c r="E1872" s="13" t="s">
        <v>2367</v>
      </c>
      <c r="F1872" s="13">
        <v>3025457</v>
      </c>
      <c r="G1872" s="37">
        <v>23261.5</v>
      </c>
      <c r="H1872" s="33">
        <f>8700-8587.56</f>
        <v>112.44000000000051</v>
      </c>
      <c r="I1872" s="16">
        <f>-H1872*G1872</f>
        <v>-2615523.0600000117</v>
      </c>
      <c r="J1872" s="17">
        <v>0</v>
      </c>
      <c r="K1872" s="34">
        <v>4502388162</v>
      </c>
      <c r="L1872" s="126">
        <v>5083217344</v>
      </c>
      <c r="M1872" s="127">
        <v>5113522475</v>
      </c>
      <c r="N1872" s="128"/>
      <c r="O1872" s="9"/>
      <c r="P1872" s="23"/>
      <c r="Q1872" s="24" t="s">
        <v>31</v>
      </c>
      <c r="R1872" s="25">
        <v>44789</v>
      </c>
      <c r="S1872" s="28"/>
      <c r="T1872" s="35"/>
      <c r="U1872" s="35"/>
      <c r="V1872" s="29"/>
      <c r="W1872" s="35"/>
      <c r="X1872" s="29"/>
      <c r="Y1872" s="36"/>
      <c r="Z1872" s="29"/>
      <c r="AA1872" s="31">
        <f t="shared" si="1"/>
        <v>44789</v>
      </c>
      <c r="AB1872" s="32" t="str">
        <f t="shared" si="5"/>
        <v>agosto</v>
      </c>
    </row>
    <row r="1873" spans="1:28" ht="12.75">
      <c r="A1873" s="9" t="s">
        <v>567</v>
      </c>
      <c r="B1873" s="10">
        <v>44789</v>
      </c>
      <c r="C1873" s="11">
        <v>44795</v>
      </c>
      <c r="D1873" s="49">
        <v>33</v>
      </c>
      <c r="E1873" s="13" t="s">
        <v>2368</v>
      </c>
      <c r="F1873" s="13">
        <v>3025457</v>
      </c>
      <c r="G1873" s="14">
        <v>7089</v>
      </c>
      <c r="H1873" s="33">
        <v>8300</v>
      </c>
      <c r="I1873" s="16">
        <f t="shared" ref="I1873:I1876" si="279">H1873*G1873</f>
        <v>58838700</v>
      </c>
      <c r="J1873" s="17">
        <v>15</v>
      </c>
      <c r="K1873" s="34">
        <v>4502388163</v>
      </c>
      <c r="L1873" s="126">
        <v>5083216997</v>
      </c>
      <c r="M1873" s="127">
        <v>5113524969</v>
      </c>
      <c r="N1873" s="128"/>
      <c r="O1873" s="9" t="s">
        <v>63</v>
      </c>
      <c r="P1873" s="23"/>
      <c r="Q1873" s="24" t="s">
        <v>31</v>
      </c>
      <c r="R1873" s="25">
        <v>44789</v>
      </c>
      <c r="S1873" s="28"/>
      <c r="T1873" s="35"/>
      <c r="U1873" s="35"/>
      <c r="V1873" s="29"/>
      <c r="W1873" s="35"/>
      <c r="X1873" s="29"/>
      <c r="Y1873" s="36"/>
      <c r="Z1873" s="29"/>
      <c r="AA1873" s="31">
        <f t="shared" si="1"/>
        <v>44789</v>
      </c>
      <c r="AB1873" s="32" t="str">
        <f t="shared" si="5"/>
        <v>agosto</v>
      </c>
    </row>
    <row r="1874" spans="1:28" ht="12.75">
      <c r="A1874" s="9" t="s">
        <v>567</v>
      </c>
      <c r="B1874" s="10">
        <v>44789</v>
      </c>
      <c r="C1874" s="11">
        <v>44795</v>
      </c>
      <c r="D1874" s="49">
        <v>33</v>
      </c>
      <c r="E1874" s="13" t="s">
        <v>546</v>
      </c>
      <c r="F1874" s="13">
        <v>3025457</v>
      </c>
      <c r="G1874" s="14">
        <v>7089</v>
      </c>
      <c r="H1874" s="33">
        <v>50</v>
      </c>
      <c r="I1874" s="16">
        <f t="shared" si="279"/>
        <v>354450</v>
      </c>
      <c r="J1874" s="17">
        <v>0</v>
      </c>
      <c r="K1874" s="34">
        <v>4502388163</v>
      </c>
      <c r="L1874" s="126">
        <v>5083216997</v>
      </c>
      <c r="M1874" s="127">
        <v>5113524975</v>
      </c>
      <c r="N1874" s="128"/>
      <c r="O1874" s="9"/>
      <c r="P1874" s="23"/>
      <c r="Q1874" s="24" t="s">
        <v>31</v>
      </c>
      <c r="R1874" s="25">
        <v>44789</v>
      </c>
      <c r="S1874" s="28"/>
      <c r="T1874" s="35"/>
      <c r="U1874" s="35"/>
      <c r="V1874" s="29"/>
      <c r="W1874" s="35"/>
      <c r="X1874" s="29"/>
      <c r="Y1874" s="36"/>
      <c r="Z1874" s="29"/>
      <c r="AA1874" s="31">
        <f t="shared" si="1"/>
        <v>44789</v>
      </c>
      <c r="AB1874" s="32" t="str">
        <f t="shared" si="5"/>
        <v>agosto</v>
      </c>
    </row>
    <row r="1875" spans="1:28" ht="12.75">
      <c r="A1875" s="9" t="s">
        <v>85</v>
      </c>
      <c r="B1875" s="10">
        <v>44789</v>
      </c>
      <c r="C1875" s="11">
        <v>44823</v>
      </c>
      <c r="D1875" s="49">
        <v>33</v>
      </c>
      <c r="E1875" s="13" t="s">
        <v>2369</v>
      </c>
      <c r="F1875" s="13">
        <v>3025459</v>
      </c>
      <c r="G1875" s="14">
        <v>20149</v>
      </c>
      <c r="H1875" s="15">
        <v>8000</v>
      </c>
      <c r="I1875" s="16">
        <f t="shared" si="279"/>
        <v>161192000</v>
      </c>
      <c r="J1875" s="17">
        <v>42</v>
      </c>
      <c r="K1875" s="34">
        <v>4502391419</v>
      </c>
      <c r="L1875" s="126">
        <v>5083204187</v>
      </c>
      <c r="M1875" s="127">
        <v>5113518028</v>
      </c>
      <c r="N1875" s="128"/>
      <c r="O1875" s="22" t="s">
        <v>272</v>
      </c>
      <c r="P1875" s="44" t="s">
        <v>63</v>
      </c>
      <c r="Q1875" s="24" t="s">
        <v>31</v>
      </c>
      <c r="R1875" s="25">
        <v>44789</v>
      </c>
      <c r="S1875" s="28">
        <v>4902325266</v>
      </c>
      <c r="T1875" s="35">
        <f>1793900*3</f>
        <v>5381700</v>
      </c>
      <c r="U1875" s="28" t="s">
        <v>2370</v>
      </c>
      <c r="V1875" s="29">
        <v>5113516400</v>
      </c>
      <c r="W1875" s="35"/>
      <c r="X1875" s="29"/>
      <c r="Y1875" s="36"/>
      <c r="Z1875" s="29"/>
      <c r="AA1875" s="31">
        <f t="shared" si="1"/>
        <v>44789</v>
      </c>
      <c r="AB1875" s="32" t="str">
        <f t="shared" si="5"/>
        <v>agosto</v>
      </c>
    </row>
    <row r="1876" spans="1:28" ht="12.75">
      <c r="A1876" s="9" t="s">
        <v>39</v>
      </c>
      <c r="B1876" s="10">
        <v>44792</v>
      </c>
      <c r="C1876" s="11">
        <v>44792</v>
      </c>
      <c r="D1876" s="49">
        <v>33</v>
      </c>
      <c r="E1876" s="13" t="s">
        <v>2371</v>
      </c>
      <c r="F1876" s="13">
        <v>3025459</v>
      </c>
      <c r="G1876" s="14">
        <v>6860</v>
      </c>
      <c r="H1876" s="33">
        <v>8700</v>
      </c>
      <c r="I1876" s="16">
        <f t="shared" si="279"/>
        <v>59682000</v>
      </c>
      <c r="J1876" s="17">
        <v>15</v>
      </c>
      <c r="K1876" s="34">
        <v>4502388164</v>
      </c>
      <c r="L1876" s="126">
        <v>5083217089</v>
      </c>
      <c r="M1876" s="127">
        <v>5113518031</v>
      </c>
      <c r="N1876" s="128"/>
      <c r="O1876" s="9" t="s">
        <v>37</v>
      </c>
      <c r="P1876" s="23"/>
      <c r="Q1876" s="24" t="s">
        <v>31</v>
      </c>
      <c r="R1876" s="25">
        <v>44789</v>
      </c>
      <c r="S1876" s="28"/>
      <c r="T1876" s="35"/>
      <c r="U1876" s="35"/>
      <c r="V1876" s="29"/>
      <c r="W1876" s="35"/>
      <c r="X1876" s="29"/>
      <c r="Y1876" s="36"/>
      <c r="Z1876" s="29"/>
      <c r="AA1876" s="31">
        <f t="shared" si="1"/>
        <v>44789</v>
      </c>
      <c r="AB1876" s="32" t="str">
        <f t="shared" si="5"/>
        <v>agosto</v>
      </c>
    </row>
    <row r="1877" spans="1:28" ht="12.75">
      <c r="A1877" s="9" t="s">
        <v>39</v>
      </c>
      <c r="B1877" s="10">
        <v>44792</v>
      </c>
      <c r="C1877" s="11">
        <v>44792</v>
      </c>
      <c r="D1877" s="49">
        <v>33</v>
      </c>
      <c r="E1877" s="13" t="s">
        <v>683</v>
      </c>
      <c r="F1877" s="13">
        <v>3025459</v>
      </c>
      <c r="G1877" s="14">
        <v>6860</v>
      </c>
      <c r="H1877" s="33">
        <f>8700-8575.63</f>
        <v>124.3700000000008</v>
      </c>
      <c r="I1877" s="16">
        <f>-H1877*G1877</f>
        <v>-853178.20000000554</v>
      </c>
      <c r="J1877" s="17">
        <v>0</v>
      </c>
      <c r="K1877" s="34">
        <v>4502388164</v>
      </c>
      <c r="L1877" s="126">
        <v>5083217089</v>
      </c>
      <c r="M1877" s="127">
        <v>5113518032</v>
      </c>
      <c r="N1877" s="128"/>
      <c r="O1877" s="9"/>
      <c r="P1877" s="23"/>
      <c r="Q1877" s="24" t="s">
        <v>31</v>
      </c>
      <c r="R1877" s="25">
        <v>44789</v>
      </c>
      <c r="S1877" s="28"/>
      <c r="T1877" s="35"/>
      <c r="U1877" s="35"/>
      <c r="V1877" s="29"/>
      <c r="W1877" s="35"/>
      <c r="X1877" s="29"/>
      <c r="Y1877" s="36"/>
      <c r="Z1877" s="29"/>
      <c r="AA1877" s="31">
        <f t="shared" si="1"/>
        <v>44789</v>
      </c>
      <c r="AB1877" s="32" t="str">
        <f t="shared" si="5"/>
        <v>agosto</v>
      </c>
    </row>
    <row r="1878" spans="1:28" ht="12.75">
      <c r="A1878" s="9" t="s">
        <v>58</v>
      </c>
      <c r="B1878" s="10">
        <v>44791</v>
      </c>
      <c r="C1878" s="11">
        <v>44791</v>
      </c>
      <c r="D1878" s="49">
        <v>33</v>
      </c>
      <c r="E1878" s="13" t="s">
        <v>2372</v>
      </c>
      <c r="F1878" s="13">
        <v>3025462</v>
      </c>
      <c r="G1878" s="14">
        <v>8192</v>
      </c>
      <c r="H1878" s="57">
        <v>7400</v>
      </c>
      <c r="I1878" s="16">
        <f t="shared" ref="I1878:I1881" si="280">H1878*G1878</f>
        <v>60620800</v>
      </c>
      <c r="J1878" s="17">
        <v>32</v>
      </c>
      <c r="K1878" s="34">
        <v>4502392622</v>
      </c>
      <c r="L1878" s="126">
        <v>5083234331</v>
      </c>
      <c r="M1878" s="127">
        <v>5113525173</v>
      </c>
      <c r="N1878" s="128"/>
      <c r="O1878" s="9" t="s">
        <v>37</v>
      </c>
      <c r="P1878" s="23"/>
      <c r="Q1878" s="24" t="s">
        <v>357</v>
      </c>
      <c r="R1878" s="25">
        <v>44790</v>
      </c>
      <c r="S1878" s="28"/>
      <c r="T1878" s="35"/>
      <c r="U1878" s="35"/>
      <c r="V1878" s="29"/>
      <c r="W1878" s="35"/>
      <c r="X1878" s="29"/>
      <c r="Y1878" s="36"/>
      <c r="Z1878" s="29"/>
      <c r="AA1878" s="31">
        <f t="shared" si="1"/>
        <v>44790</v>
      </c>
      <c r="AB1878" s="32" t="str">
        <f t="shared" si="5"/>
        <v>agosto</v>
      </c>
    </row>
    <row r="1879" spans="1:28" ht="12.75">
      <c r="A1879" s="9" t="s">
        <v>368</v>
      </c>
      <c r="B1879" s="10">
        <v>44791</v>
      </c>
      <c r="C1879" s="11">
        <v>44795</v>
      </c>
      <c r="D1879" s="53">
        <v>34</v>
      </c>
      <c r="E1879" s="13" t="s">
        <v>2373</v>
      </c>
      <c r="F1879" s="13">
        <v>3025457</v>
      </c>
      <c r="G1879" s="37">
        <v>6770.5</v>
      </c>
      <c r="H1879" s="33">
        <v>8200</v>
      </c>
      <c r="I1879" s="16">
        <f t="shared" si="280"/>
        <v>55518100</v>
      </c>
      <c r="J1879" s="17">
        <v>15</v>
      </c>
      <c r="K1879" s="34">
        <v>4502392145</v>
      </c>
      <c r="L1879" s="126">
        <v>5083260062</v>
      </c>
      <c r="M1879" s="127">
        <v>5113521499</v>
      </c>
      <c r="N1879" s="128"/>
      <c r="O1879" s="9" t="s">
        <v>63</v>
      </c>
      <c r="P1879" s="23"/>
      <c r="Q1879" s="24" t="s">
        <v>31</v>
      </c>
      <c r="R1879" s="25">
        <v>44791</v>
      </c>
      <c r="S1879" s="28"/>
      <c r="T1879" s="35"/>
      <c r="U1879" s="35"/>
      <c r="V1879" s="29"/>
      <c r="W1879" s="35"/>
      <c r="X1879" s="29"/>
      <c r="Y1879" s="36"/>
      <c r="Z1879" s="29"/>
      <c r="AA1879" s="31">
        <f t="shared" si="1"/>
        <v>44791</v>
      </c>
      <c r="AB1879" s="32" t="str">
        <f t="shared" si="5"/>
        <v>agosto</v>
      </c>
    </row>
    <row r="1880" spans="1:28" ht="12.75">
      <c r="A1880" s="9" t="s">
        <v>1270</v>
      </c>
      <c r="B1880" s="10">
        <v>44791</v>
      </c>
      <c r="C1880" s="11">
        <v>44797</v>
      </c>
      <c r="D1880" s="53">
        <v>34</v>
      </c>
      <c r="E1880" s="13" t="s">
        <v>2374</v>
      </c>
      <c r="F1880" s="13">
        <v>3025457</v>
      </c>
      <c r="G1880" s="37">
        <v>28660.5</v>
      </c>
      <c r="H1880" s="33">
        <v>8200</v>
      </c>
      <c r="I1880" s="16">
        <f t="shared" si="280"/>
        <v>235016100</v>
      </c>
      <c r="J1880" s="17">
        <v>56</v>
      </c>
      <c r="K1880" s="34">
        <v>4502392146</v>
      </c>
      <c r="L1880" s="126">
        <v>5083258499</v>
      </c>
      <c r="M1880" s="127">
        <v>5113528118</v>
      </c>
      <c r="N1880" s="128"/>
      <c r="O1880" s="23" t="s">
        <v>63</v>
      </c>
      <c r="P1880" s="23"/>
      <c r="Q1880" s="24" t="s">
        <v>31</v>
      </c>
      <c r="R1880" s="25">
        <v>44791</v>
      </c>
      <c r="S1880" s="28"/>
      <c r="T1880" s="35"/>
      <c r="U1880" s="35"/>
      <c r="V1880" s="29"/>
      <c r="W1880" s="35"/>
      <c r="X1880" s="29"/>
      <c r="Y1880" s="36"/>
      <c r="Z1880" s="29"/>
      <c r="AA1880" s="31">
        <f t="shared" si="1"/>
        <v>44791</v>
      </c>
      <c r="AB1880" s="32" t="str">
        <f t="shared" si="5"/>
        <v>agosto</v>
      </c>
    </row>
    <row r="1881" spans="1:28" ht="12.75">
      <c r="A1881" s="9" t="s">
        <v>135</v>
      </c>
      <c r="B1881" s="10">
        <v>44804</v>
      </c>
      <c r="C1881" s="11">
        <v>44804</v>
      </c>
      <c r="D1881" s="53">
        <v>34</v>
      </c>
      <c r="E1881" s="13" t="s">
        <v>2375</v>
      </c>
      <c r="F1881" s="13">
        <v>3025457</v>
      </c>
      <c r="G1881" s="37">
        <v>6017.5</v>
      </c>
      <c r="H1881" s="33">
        <v>8600</v>
      </c>
      <c r="I1881" s="16">
        <f t="shared" si="280"/>
        <v>51750500</v>
      </c>
      <c r="J1881" s="17">
        <v>15</v>
      </c>
      <c r="K1881" s="34">
        <v>4502392147</v>
      </c>
      <c r="L1881" s="126">
        <v>5083260063</v>
      </c>
      <c r="M1881" s="127">
        <v>5113556483</v>
      </c>
      <c r="N1881" s="128"/>
      <c r="O1881" s="23" t="s">
        <v>37</v>
      </c>
      <c r="P1881" s="23"/>
      <c r="Q1881" s="24" t="s">
        <v>31</v>
      </c>
      <c r="R1881" s="25">
        <v>44791</v>
      </c>
      <c r="S1881" s="28"/>
      <c r="T1881" s="35"/>
      <c r="U1881" s="35"/>
      <c r="V1881" s="29"/>
      <c r="W1881" s="35"/>
      <c r="X1881" s="29"/>
      <c r="Y1881" s="36"/>
      <c r="Z1881" s="29"/>
      <c r="AA1881" s="31">
        <f t="shared" si="1"/>
        <v>44791</v>
      </c>
      <c r="AB1881" s="32" t="str">
        <f t="shared" si="5"/>
        <v>agosto</v>
      </c>
    </row>
    <row r="1882" spans="1:28" ht="12.75">
      <c r="A1882" s="9" t="s">
        <v>135</v>
      </c>
      <c r="B1882" s="10">
        <v>44804</v>
      </c>
      <c r="C1882" s="11">
        <v>44804</v>
      </c>
      <c r="D1882" s="53">
        <v>34</v>
      </c>
      <c r="E1882" s="13" t="s">
        <v>1031</v>
      </c>
      <c r="F1882" s="13">
        <v>3025457</v>
      </c>
      <c r="G1882" s="37">
        <v>6017.5</v>
      </c>
      <c r="H1882" s="33">
        <f>8600-8505.41</f>
        <v>94.590000000000146</v>
      </c>
      <c r="I1882" s="16">
        <f>-H1882*G1882</f>
        <v>-569195.32500000088</v>
      </c>
      <c r="J1882" s="17">
        <v>0</v>
      </c>
      <c r="K1882" s="34">
        <v>4502392147</v>
      </c>
      <c r="L1882" s="126">
        <v>5083260063</v>
      </c>
      <c r="M1882" s="127">
        <v>5113556487</v>
      </c>
      <c r="N1882" s="128"/>
      <c r="O1882" s="23"/>
      <c r="P1882" s="23"/>
      <c r="Q1882" s="24" t="s">
        <v>31</v>
      </c>
      <c r="R1882" s="25">
        <v>44791</v>
      </c>
      <c r="S1882" s="28"/>
      <c r="T1882" s="35"/>
      <c r="U1882" s="35"/>
      <c r="V1882" s="29"/>
      <c r="W1882" s="35"/>
      <c r="X1882" s="29"/>
      <c r="Y1882" s="36"/>
      <c r="Z1882" s="29"/>
      <c r="AA1882" s="31">
        <f t="shared" si="1"/>
        <v>44791</v>
      </c>
      <c r="AB1882" s="32" t="str">
        <f t="shared" si="5"/>
        <v>agosto</v>
      </c>
    </row>
    <row r="1883" spans="1:28" ht="12.75">
      <c r="A1883" s="9" t="s">
        <v>73</v>
      </c>
      <c r="B1883" s="10">
        <v>44795</v>
      </c>
      <c r="C1883" s="11">
        <v>44795</v>
      </c>
      <c r="D1883" s="53">
        <v>34</v>
      </c>
      <c r="E1883" s="13" t="s">
        <v>2376</v>
      </c>
      <c r="F1883" s="13">
        <v>3025457</v>
      </c>
      <c r="G1883" s="14">
        <v>12832</v>
      </c>
      <c r="H1883" s="33">
        <v>8600</v>
      </c>
      <c r="I1883" s="16">
        <f t="shared" ref="I1883:I1888" si="281">H1883*G1883</f>
        <v>110355200</v>
      </c>
      <c r="J1883" s="17">
        <v>28</v>
      </c>
      <c r="K1883" s="34">
        <v>4502392148</v>
      </c>
      <c r="L1883" s="126">
        <v>5083258501</v>
      </c>
      <c r="M1883" s="127">
        <v>5113520807</v>
      </c>
      <c r="N1883" s="128"/>
      <c r="O1883" s="9" t="s">
        <v>63</v>
      </c>
      <c r="P1883" s="23"/>
      <c r="Q1883" s="24" t="s">
        <v>31</v>
      </c>
      <c r="R1883" s="25">
        <v>44791</v>
      </c>
      <c r="S1883" s="28"/>
      <c r="T1883" s="35"/>
      <c r="U1883" s="35"/>
      <c r="V1883" s="29"/>
      <c r="W1883" s="35"/>
      <c r="X1883" s="29"/>
      <c r="Y1883" s="36"/>
      <c r="Z1883" s="29"/>
      <c r="AA1883" s="31">
        <f t="shared" si="1"/>
        <v>44791</v>
      </c>
      <c r="AB1883" s="32" t="str">
        <f t="shared" si="5"/>
        <v>agosto</v>
      </c>
    </row>
    <row r="1884" spans="1:28" ht="12.75">
      <c r="A1884" s="9" t="s">
        <v>58</v>
      </c>
      <c r="B1884" s="10">
        <v>44795</v>
      </c>
      <c r="C1884" s="11">
        <v>44795</v>
      </c>
      <c r="D1884" s="53">
        <v>34</v>
      </c>
      <c r="E1884" s="13" t="s">
        <v>2377</v>
      </c>
      <c r="F1884" s="13">
        <v>3025459</v>
      </c>
      <c r="G1884" s="14">
        <v>7827</v>
      </c>
      <c r="H1884" s="33">
        <v>8600</v>
      </c>
      <c r="I1884" s="16">
        <f t="shared" si="281"/>
        <v>67312200</v>
      </c>
      <c r="J1884" s="17">
        <v>15</v>
      </c>
      <c r="K1884" s="34">
        <v>4502392149</v>
      </c>
      <c r="L1884" s="126">
        <v>5083258502</v>
      </c>
      <c r="M1884" s="127">
        <v>5113522628</v>
      </c>
      <c r="N1884" s="128"/>
      <c r="O1884" s="9" t="s">
        <v>37</v>
      </c>
      <c r="P1884" s="23"/>
      <c r="Q1884" s="24" t="s">
        <v>31</v>
      </c>
      <c r="R1884" s="25">
        <v>44791</v>
      </c>
      <c r="S1884" s="28"/>
      <c r="T1884" s="35"/>
      <c r="U1884" s="35"/>
      <c r="V1884" s="29"/>
      <c r="W1884" s="35"/>
      <c r="X1884" s="29"/>
      <c r="Y1884" s="36"/>
      <c r="Z1884" s="29"/>
      <c r="AA1884" s="31">
        <f t="shared" si="1"/>
        <v>44791</v>
      </c>
      <c r="AB1884" s="32" t="str">
        <f t="shared" si="5"/>
        <v>agosto</v>
      </c>
    </row>
    <row r="1885" spans="1:28" ht="12.75">
      <c r="A1885" s="9" t="s">
        <v>58</v>
      </c>
      <c r="B1885" s="10">
        <v>44795</v>
      </c>
      <c r="C1885" s="11">
        <v>44795</v>
      </c>
      <c r="D1885" s="53">
        <v>34</v>
      </c>
      <c r="E1885" s="13" t="s">
        <v>2377</v>
      </c>
      <c r="F1885" s="13">
        <v>3025460</v>
      </c>
      <c r="G1885" s="14">
        <v>22160</v>
      </c>
      <c r="H1885" s="33">
        <v>8600</v>
      </c>
      <c r="I1885" s="16">
        <f t="shared" si="281"/>
        <v>190576000</v>
      </c>
      <c r="J1885" s="17">
        <v>45</v>
      </c>
      <c r="K1885" s="34">
        <v>4502392158</v>
      </c>
      <c r="L1885" s="126">
        <v>5083258502</v>
      </c>
      <c r="M1885" s="127">
        <v>5113522628</v>
      </c>
      <c r="N1885" s="128"/>
      <c r="O1885" s="9" t="s">
        <v>37</v>
      </c>
      <c r="P1885" s="23"/>
      <c r="Q1885" s="24" t="s">
        <v>31</v>
      </c>
      <c r="R1885" s="25">
        <v>44791</v>
      </c>
      <c r="S1885" s="28"/>
      <c r="T1885" s="35"/>
      <c r="U1885" s="35"/>
      <c r="V1885" s="29"/>
      <c r="W1885" s="35"/>
      <c r="X1885" s="29"/>
      <c r="Y1885" s="36"/>
      <c r="Z1885" s="29"/>
      <c r="AA1885" s="31">
        <f t="shared" si="1"/>
        <v>44791</v>
      </c>
      <c r="AB1885" s="32" t="str">
        <f t="shared" si="5"/>
        <v>agosto</v>
      </c>
    </row>
    <row r="1886" spans="1:28" ht="12.75">
      <c r="A1886" s="9" t="s">
        <v>266</v>
      </c>
      <c r="B1886" s="10">
        <v>44791</v>
      </c>
      <c r="C1886" s="11">
        <v>44797</v>
      </c>
      <c r="D1886" s="53">
        <v>34</v>
      </c>
      <c r="E1886" s="13" t="s">
        <v>2378</v>
      </c>
      <c r="F1886" s="13">
        <v>3025460</v>
      </c>
      <c r="G1886" s="37">
        <v>14078.5</v>
      </c>
      <c r="H1886" s="33">
        <v>8200</v>
      </c>
      <c r="I1886" s="16">
        <f t="shared" si="281"/>
        <v>115443700</v>
      </c>
      <c r="J1886" s="17">
        <v>28</v>
      </c>
      <c r="K1886" s="34">
        <v>4502392150</v>
      </c>
      <c r="L1886" s="126">
        <v>5083258503</v>
      </c>
      <c r="M1886" s="127">
        <v>5113528088</v>
      </c>
      <c r="N1886" s="23"/>
      <c r="O1886" s="9" t="s">
        <v>37</v>
      </c>
      <c r="P1886" s="23"/>
      <c r="Q1886" s="24" t="s">
        <v>31</v>
      </c>
      <c r="R1886" s="25">
        <v>44791</v>
      </c>
      <c r="S1886" s="28"/>
      <c r="T1886" s="35"/>
      <c r="U1886" s="35"/>
      <c r="V1886" s="29"/>
      <c r="W1886" s="35"/>
      <c r="X1886" s="29"/>
      <c r="Y1886" s="36"/>
      <c r="Z1886" s="29"/>
      <c r="AA1886" s="31">
        <f t="shared" si="1"/>
        <v>44791</v>
      </c>
      <c r="AB1886" s="32" t="str">
        <f t="shared" si="5"/>
        <v>agosto</v>
      </c>
    </row>
    <row r="1887" spans="1:28" ht="12.75">
      <c r="A1887" s="22" t="s">
        <v>719</v>
      </c>
      <c r="B1887" s="10">
        <v>44791</v>
      </c>
      <c r="C1887" s="11">
        <v>44796</v>
      </c>
      <c r="D1887" s="53">
        <v>34</v>
      </c>
      <c r="E1887" s="13" t="s">
        <v>2379</v>
      </c>
      <c r="F1887" s="13">
        <v>3025460</v>
      </c>
      <c r="G1887" s="37">
        <v>6436.5</v>
      </c>
      <c r="H1887" s="33">
        <v>8300</v>
      </c>
      <c r="I1887" s="16">
        <f t="shared" si="281"/>
        <v>53422950</v>
      </c>
      <c r="J1887" s="17">
        <v>14</v>
      </c>
      <c r="K1887" s="34">
        <v>4502392151</v>
      </c>
      <c r="L1887" s="126">
        <v>5083258504</v>
      </c>
      <c r="M1887" s="127">
        <v>5113524543</v>
      </c>
      <c r="N1887" s="128"/>
      <c r="O1887" s="9" t="s">
        <v>37</v>
      </c>
      <c r="P1887" s="23"/>
      <c r="Q1887" s="24" t="s">
        <v>31</v>
      </c>
      <c r="R1887" s="25">
        <v>44791</v>
      </c>
      <c r="S1887" s="28"/>
      <c r="T1887" s="35"/>
      <c r="U1887" s="35"/>
      <c r="V1887" s="29"/>
      <c r="W1887" s="35"/>
      <c r="X1887" s="29"/>
      <c r="Y1887" s="36"/>
      <c r="Z1887" s="29"/>
      <c r="AA1887" s="31">
        <f t="shared" si="1"/>
        <v>44791</v>
      </c>
      <c r="AB1887" s="32" t="str">
        <f t="shared" si="5"/>
        <v>agosto</v>
      </c>
    </row>
    <row r="1888" spans="1:28" ht="12.75">
      <c r="A1888" s="22" t="s">
        <v>501</v>
      </c>
      <c r="B1888" s="10">
        <v>44795</v>
      </c>
      <c r="C1888" s="11"/>
      <c r="D1888" s="53">
        <v>34</v>
      </c>
      <c r="E1888" s="13" t="s">
        <v>2380</v>
      </c>
      <c r="F1888" s="13">
        <v>3025460</v>
      </c>
      <c r="G1888" s="14">
        <v>6812</v>
      </c>
      <c r="H1888" s="33">
        <v>8300</v>
      </c>
      <c r="I1888" s="16">
        <f t="shared" si="281"/>
        <v>56539600</v>
      </c>
      <c r="J1888" s="17">
        <v>14</v>
      </c>
      <c r="K1888" s="34">
        <v>4502392153</v>
      </c>
      <c r="L1888" s="126">
        <v>5083258505</v>
      </c>
      <c r="M1888" s="127">
        <v>5113525517</v>
      </c>
      <c r="N1888" s="128"/>
      <c r="O1888" s="9" t="s">
        <v>37</v>
      </c>
      <c r="P1888" s="23"/>
      <c r="Q1888" s="24" t="s">
        <v>31</v>
      </c>
      <c r="R1888" s="25">
        <v>44791</v>
      </c>
      <c r="S1888" s="28"/>
      <c r="T1888" s="35"/>
      <c r="U1888" s="35"/>
      <c r="V1888" s="29"/>
      <c r="W1888" s="35"/>
      <c r="X1888" s="29"/>
      <c r="Y1888" s="36"/>
      <c r="Z1888" s="29"/>
      <c r="AA1888" s="31">
        <f t="shared" si="1"/>
        <v>44791</v>
      </c>
      <c r="AB1888" s="32" t="str">
        <f t="shared" si="5"/>
        <v>agosto</v>
      </c>
    </row>
    <row r="1889" spans="1:28" ht="12.75">
      <c r="A1889" s="22" t="s">
        <v>501</v>
      </c>
      <c r="B1889" s="10">
        <v>44795</v>
      </c>
      <c r="C1889" s="11"/>
      <c r="D1889" s="53">
        <v>34</v>
      </c>
      <c r="E1889" s="13">
        <v>12</v>
      </c>
      <c r="F1889" s="13">
        <v>3025460</v>
      </c>
      <c r="G1889" s="14">
        <v>6812</v>
      </c>
      <c r="H1889" s="33">
        <f>8300-8295.62</f>
        <v>4.3799999999991996</v>
      </c>
      <c r="I1889" s="16">
        <f>-H1889*G1889</f>
        <v>-29836.559999994548</v>
      </c>
      <c r="J1889" s="17">
        <v>0</v>
      </c>
      <c r="K1889" s="34">
        <v>4502392153</v>
      </c>
      <c r="L1889" s="126">
        <v>5083258505</v>
      </c>
      <c r="M1889" s="127">
        <v>5113525521</v>
      </c>
      <c r="N1889" s="128"/>
      <c r="O1889" s="23"/>
      <c r="P1889" s="23"/>
      <c r="Q1889" s="24" t="s">
        <v>31</v>
      </c>
      <c r="R1889" s="25">
        <v>44791</v>
      </c>
      <c r="S1889" s="28"/>
      <c r="T1889" s="35"/>
      <c r="U1889" s="35"/>
      <c r="V1889" s="29"/>
      <c r="W1889" s="35"/>
      <c r="X1889" s="29"/>
      <c r="Y1889" s="36"/>
      <c r="Z1889" s="29"/>
      <c r="AA1889" s="31">
        <f t="shared" si="1"/>
        <v>44791</v>
      </c>
      <c r="AB1889" s="32" t="str">
        <f t="shared" si="5"/>
        <v>agosto</v>
      </c>
    </row>
    <row r="1890" spans="1:28" ht="12.75">
      <c r="A1890" s="9" t="s">
        <v>1102</v>
      </c>
      <c r="B1890" s="10">
        <v>44796</v>
      </c>
      <c r="C1890" s="11">
        <v>44796</v>
      </c>
      <c r="D1890" s="53">
        <v>34</v>
      </c>
      <c r="E1890" s="13" t="s">
        <v>2381</v>
      </c>
      <c r="F1890" s="13">
        <v>3025460</v>
      </c>
      <c r="G1890" s="37">
        <v>13927.5</v>
      </c>
      <c r="H1890" s="33">
        <v>8600</v>
      </c>
      <c r="I1890" s="16">
        <f>H1890*G1890</f>
        <v>119776500</v>
      </c>
      <c r="J1890" s="17">
        <v>30</v>
      </c>
      <c r="K1890" s="34">
        <v>4502392154</v>
      </c>
      <c r="L1890" s="126">
        <v>5083260064</v>
      </c>
      <c r="M1890" s="127">
        <v>5113527999</v>
      </c>
      <c r="N1890" s="23"/>
      <c r="O1890" s="9" t="s">
        <v>37</v>
      </c>
      <c r="P1890" s="23"/>
      <c r="Q1890" s="24" t="s">
        <v>31</v>
      </c>
      <c r="R1890" s="25">
        <v>44791</v>
      </c>
      <c r="S1890" s="28"/>
      <c r="T1890" s="35"/>
      <c r="U1890" s="35"/>
      <c r="V1890" s="29"/>
      <c r="W1890" s="35"/>
      <c r="X1890" s="29"/>
      <c r="Y1890" s="36"/>
      <c r="Z1890" s="29"/>
      <c r="AA1890" s="31">
        <f t="shared" si="1"/>
        <v>44791</v>
      </c>
      <c r="AB1890" s="32" t="str">
        <f t="shared" si="5"/>
        <v>agosto</v>
      </c>
    </row>
    <row r="1891" spans="1:28" ht="12.75">
      <c r="A1891" s="9" t="s">
        <v>1102</v>
      </c>
      <c r="B1891" s="10">
        <v>44796</v>
      </c>
      <c r="C1891" s="11">
        <v>44796</v>
      </c>
      <c r="D1891" s="53">
        <v>34</v>
      </c>
      <c r="E1891" s="13" t="s">
        <v>2382</v>
      </c>
      <c r="F1891" s="13">
        <v>3025460</v>
      </c>
      <c r="G1891" s="37">
        <v>13927.5</v>
      </c>
      <c r="H1891" s="33">
        <f>8600-8517.58</f>
        <v>82.420000000000073</v>
      </c>
      <c r="I1891" s="16">
        <f>-H1891*G1891</f>
        <v>-1147904.550000001</v>
      </c>
      <c r="J1891" s="17">
        <v>0</v>
      </c>
      <c r="K1891" s="34">
        <v>4502392154</v>
      </c>
      <c r="L1891" s="126">
        <v>5083260064</v>
      </c>
      <c r="M1891" s="127">
        <v>5113527999</v>
      </c>
      <c r="N1891" s="23"/>
      <c r="O1891" s="23"/>
      <c r="P1891" s="23"/>
      <c r="Q1891" s="24" t="s">
        <v>31</v>
      </c>
      <c r="R1891" s="25">
        <v>44791</v>
      </c>
      <c r="S1891" s="28"/>
      <c r="T1891" s="35"/>
      <c r="U1891" s="35"/>
      <c r="V1891" s="29"/>
      <c r="W1891" s="35"/>
      <c r="X1891" s="29"/>
      <c r="Y1891" s="36"/>
      <c r="Z1891" s="29"/>
      <c r="AA1891" s="31">
        <f t="shared" si="1"/>
        <v>44791</v>
      </c>
      <c r="AB1891" s="32" t="str">
        <f t="shared" si="5"/>
        <v>agosto</v>
      </c>
    </row>
    <row r="1892" spans="1:28" ht="12.75">
      <c r="A1892" s="9" t="s">
        <v>477</v>
      </c>
      <c r="B1892" s="10">
        <v>44796</v>
      </c>
      <c r="C1892" s="11">
        <v>44796</v>
      </c>
      <c r="D1892" s="53">
        <v>34</v>
      </c>
      <c r="E1892" s="13" t="s">
        <v>2383</v>
      </c>
      <c r="F1892" s="13">
        <v>3025460</v>
      </c>
      <c r="G1892" s="37">
        <v>12224.5</v>
      </c>
      <c r="H1892" s="33">
        <v>8200</v>
      </c>
      <c r="I1892" s="16">
        <f>H1892*G1892</f>
        <v>100240900</v>
      </c>
      <c r="J1892" s="17">
        <v>28</v>
      </c>
      <c r="K1892" s="34">
        <v>4502392156</v>
      </c>
      <c r="L1892" s="126">
        <v>5083258506</v>
      </c>
      <c r="M1892" s="127">
        <v>5113547048</v>
      </c>
      <c r="N1892" s="128"/>
      <c r="O1892" s="9" t="s">
        <v>37</v>
      </c>
      <c r="P1892" s="23"/>
      <c r="Q1892" s="24" t="s">
        <v>31</v>
      </c>
      <c r="R1892" s="25">
        <v>44791</v>
      </c>
      <c r="S1892" s="28"/>
      <c r="T1892" s="35"/>
      <c r="U1892" s="35"/>
      <c r="V1892" s="29"/>
      <c r="W1892" s="35"/>
      <c r="X1892" s="29"/>
      <c r="Y1892" s="36"/>
      <c r="Z1892" s="29"/>
      <c r="AA1892" s="31">
        <f t="shared" si="1"/>
        <v>44791</v>
      </c>
      <c r="AB1892" s="32" t="str">
        <f t="shared" si="5"/>
        <v>agosto</v>
      </c>
    </row>
    <row r="1893" spans="1:28" ht="12.75">
      <c r="A1893" s="9" t="s">
        <v>477</v>
      </c>
      <c r="B1893" s="10">
        <v>44796</v>
      </c>
      <c r="C1893" s="11">
        <v>44796</v>
      </c>
      <c r="D1893" s="53">
        <v>34</v>
      </c>
      <c r="E1893" s="13" t="s">
        <v>139</v>
      </c>
      <c r="F1893" s="13">
        <v>3025460</v>
      </c>
      <c r="G1893" s="37">
        <v>12224.5</v>
      </c>
      <c r="H1893" s="33">
        <v>50</v>
      </c>
      <c r="I1893" s="16">
        <f>-H1893*G1893</f>
        <v>-611225</v>
      </c>
      <c r="J1893" s="17">
        <v>0</v>
      </c>
      <c r="K1893" s="34">
        <v>4502392156</v>
      </c>
      <c r="L1893" s="126">
        <v>5083258506</v>
      </c>
      <c r="M1893" s="127">
        <v>5113547051</v>
      </c>
      <c r="N1893" s="128"/>
      <c r="O1893" s="23"/>
      <c r="P1893" s="23"/>
      <c r="Q1893" s="24" t="s">
        <v>31</v>
      </c>
      <c r="R1893" s="25">
        <v>44791</v>
      </c>
      <c r="S1893" s="28"/>
      <c r="T1893" s="35"/>
      <c r="U1893" s="35"/>
      <c r="V1893" s="29"/>
      <c r="W1893" s="35"/>
      <c r="X1893" s="29"/>
      <c r="Y1893" s="36"/>
      <c r="Z1893" s="29"/>
      <c r="AA1893" s="31">
        <f t="shared" si="1"/>
        <v>44791</v>
      </c>
      <c r="AB1893" s="32" t="str">
        <f t="shared" si="5"/>
        <v>agosto</v>
      </c>
    </row>
    <row r="1894" spans="1:28" ht="12.75">
      <c r="A1894" s="9" t="s">
        <v>471</v>
      </c>
      <c r="B1894" s="10">
        <v>44798</v>
      </c>
      <c r="C1894" s="11">
        <v>44798</v>
      </c>
      <c r="D1894" s="53">
        <v>34</v>
      </c>
      <c r="E1894" s="13" t="s">
        <v>2384</v>
      </c>
      <c r="F1894" s="13">
        <v>3025460</v>
      </c>
      <c r="G1894" s="14">
        <v>7148</v>
      </c>
      <c r="H1894" s="33">
        <v>8200</v>
      </c>
      <c r="I1894" s="16">
        <f>H1894*G1894</f>
        <v>58613600</v>
      </c>
      <c r="J1894" s="17">
        <v>14</v>
      </c>
      <c r="K1894" s="34">
        <v>4502392157</v>
      </c>
      <c r="L1894" s="126">
        <v>5083258507</v>
      </c>
      <c r="M1894" s="127">
        <v>5113560348</v>
      </c>
      <c r="N1894" s="128"/>
      <c r="O1894" s="9" t="s">
        <v>63</v>
      </c>
      <c r="P1894" s="23"/>
      <c r="Q1894" s="24" t="s">
        <v>31</v>
      </c>
      <c r="R1894" s="25">
        <v>44791</v>
      </c>
      <c r="S1894" s="28"/>
      <c r="T1894" s="35"/>
      <c r="U1894" s="35"/>
      <c r="V1894" s="29"/>
      <c r="W1894" s="35"/>
      <c r="X1894" s="29"/>
      <c r="Y1894" s="36"/>
      <c r="Z1894" s="29"/>
      <c r="AA1894" s="31">
        <f t="shared" si="1"/>
        <v>44791</v>
      </c>
      <c r="AB1894" s="32" t="str">
        <f t="shared" si="5"/>
        <v>agosto</v>
      </c>
    </row>
    <row r="1895" spans="1:28" ht="12.75">
      <c r="A1895" s="9" t="s">
        <v>471</v>
      </c>
      <c r="B1895" s="10">
        <v>44798</v>
      </c>
      <c r="C1895" s="11">
        <v>44798</v>
      </c>
      <c r="D1895" s="53">
        <v>34</v>
      </c>
      <c r="E1895" s="13" t="s">
        <v>1031</v>
      </c>
      <c r="F1895" s="13">
        <v>3025460</v>
      </c>
      <c r="G1895" s="14">
        <v>7148</v>
      </c>
      <c r="H1895" s="33">
        <v>50</v>
      </c>
      <c r="I1895" s="16">
        <f>-H1895*G1895</f>
        <v>-357400</v>
      </c>
      <c r="J1895" s="17">
        <v>0</v>
      </c>
      <c r="K1895" s="34">
        <v>4502392157</v>
      </c>
      <c r="L1895" s="126">
        <v>5083258507</v>
      </c>
      <c r="M1895" s="127">
        <v>5113560351</v>
      </c>
      <c r="N1895" s="128"/>
      <c r="O1895" s="23"/>
      <c r="P1895" s="23"/>
      <c r="Q1895" s="24" t="s">
        <v>31</v>
      </c>
      <c r="R1895" s="25">
        <v>44791</v>
      </c>
      <c r="S1895" s="28"/>
      <c r="T1895" s="35"/>
      <c r="U1895" s="35"/>
      <c r="V1895" s="29"/>
      <c r="W1895" s="35"/>
      <c r="X1895" s="29"/>
      <c r="Y1895" s="36"/>
      <c r="Z1895" s="29"/>
      <c r="AA1895" s="31">
        <f t="shared" si="1"/>
        <v>44791</v>
      </c>
      <c r="AB1895" s="32" t="str">
        <f t="shared" si="5"/>
        <v>agosto</v>
      </c>
    </row>
    <row r="1896" spans="1:28" ht="12.75">
      <c r="A1896" s="9" t="s">
        <v>338</v>
      </c>
      <c r="B1896" s="10"/>
      <c r="C1896" s="11"/>
      <c r="D1896" s="53">
        <v>34</v>
      </c>
      <c r="E1896" s="13" t="s">
        <v>2385</v>
      </c>
      <c r="F1896" s="13">
        <v>3025457</v>
      </c>
      <c r="G1896" s="37">
        <v>6912.5</v>
      </c>
      <c r="H1896" s="33">
        <v>8300</v>
      </c>
      <c r="I1896" s="16">
        <f>H1896*G1896</f>
        <v>57373750</v>
      </c>
      <c r="J1896" s="17">
        <v>14</v>
      </c>
      <c r="K1896" s="34">
        <v>4502392159</v>
      </c>
      <c r="L1896" s="126">
        <v>5083283181</v>
      </c>
      <c r="M1896" s="127">
        <v>5113524953</v>
      </c>
      <c r="N1896" s="128"/>
      <c r="O1896" s="23" t="s">
        <v>63</v>
      </c>
      <c r="P1896" s="23"/>
      <c r="Q1896" s="24" t="s">
        <v>31</v>
      </c>
      <c r="R1896" s="25">
        <v>44792</v>
      </c>
      <c r="S1896" s="28"/>
      <c r="T1896" s="35"/>
      <c r="U1896" s="35"/>
      <c r="V1896" s="29"/>
      <c r="W1896" s="35"/>
      <c r="X1896" s="29"/>
      <c r="Y1896" s="36"/>
      <c r="Z1896" s="29"/>
      <c r="AA1896" s="31">
        <f t="shared" si="1"/>
        <v>44792</v>
      </c>
      <c r="AB1896" s="32" t="str">
        <f t="shared" si="5"/>
        <v>agosto</v>
      </c>
    </row>
    <row r="1897" spans="1:28" ht="12.75">
      <c r="A1897" s="9" t="s">
        <v>338</v>
      </c>
      <c r="B1897" s="10"/>
      <c r="C1897" s="11"/>
      <c r="D1897" s="53">
        <v>34</v>
      </c>
      <c r="E1897" s="13" t="s">
        <v>2386</v>
      </c>
      <c r="F1897" s="13">
        <v>3025457</v>
      </c>
      <c r="G1897" s="37">
        <v>6912.5</v>
      </c>
      <c r="H1897" s="33">
        <v>100</v>
      </c>
      <c r="I1897" s="16">
        <f>-H1897*G1897</f>
        <v>-691250</v>
      </c>
      <c r="J1897" s="17">
        <v>0</v>
      </c>
      <c r="K1897" s="34">
        <v>4502392159</v>
      </c>
      <c r="L1897" s="126">
        <v>5083283181</v>
      </c>
      <c r="M1897" s="127">
        <v>5113524956</v>
      </c>
      <c r="N1897" s="128"/>
      <c r="O1897" s="23"/>
      <c r="P1897" s="23"/>
      <c r="Q1897" s="24" t="s">
        <v>31</v>
      </c>
      <c r="R1897" s="25">
        <v>44792</v>
      </c>
      <c r="S1897" s="28"/>
      <c r="T1897" s="35"/>
      <c r="U1897" s="35"/>
      <c r="V1897" s="29"/>
      <c r="W1897" s="35"/>
      <c r="X1897" s="29"/>
      <c r="Y1897" s="36"/>
      <c r="Z1897" s="29"/>
      <c r="AA1897" s="31">
        <f t="shared" si="1"/>
        <v>44792</v>
      </c>
      <c r="AB1897" s="32" t="str">
        <f t="shared" si="5"/>
        <v>agosto</v>
      </c>
    </row>
    <row r="1898" spans="1:28" ht="12.75">
      <c r="A1898" s="9" t="s">
        <v>949</v>
      </c>
      <c r="B1898" s="10">
        <v>44795</v>
      </c>
      <c r="C1898" s="11"/>
      <c r="D1898" s="53">
        <v>34</v>
      </c>
      <c r="E1898" s="13" t="s">
        <v>2387</v>
      </c>
      <c r="F1898" s="13">
        <v>3025457</v>
      </c>
      <c r="G1898" s="14">
        <v>6343</v>
      </c>
      <c r="H1898" s="33">
        <v>8200</v>
      </c>
      <c r="I1898" s="16">
        <f>H1898*G1898</f>
        <v>52012600</v>
      </c>
      <c r="J1898" s="17">
        <v>14</v>
      </c>
      <c r="K1898" s="34">
        <v>4502392160</v>
      </c>
      <c r="L1898" s="126">
        <v>5083283182</v>
      </c>
      <c r="M1898" s="127">
        <v>5113535821</v>
      </c>
      <c r="N1898" s="128"/>
      <c r="O1898" s="9" t="s">
        <v>37</v>
      </c>
      <c r="P1898" s="23"/>
      <c r="Q1898" s="24" t="s">
        <v>31</v>
      </c>
      <c r="R1898" s="25">
        <v>44792</v>
      </c>
      <c r="S1898" s="28"/>
      <c r="T1898" s="35"/>
      <c r="U1898" s="35"/>
      <c r="V1898" s="29"/>
      <c r="W1898" s="35"/>
      <c r="X1898" s="29"/>
      <c r="Y1898" s="36"/>
      <c r="Z1898" s="29"/>
      <c r="AA1898" s="31">
        <f t="shared" si="1"/>
        <v>44792</v>
      </c>
      <c r="AB1898" s="32" t="str">
        <f t="shared" si="5"/>
        <v>agosto</v>
      </c>
    </row>
    <row r="1899" spans="1:28" ht="12.75">
      <c r="A1899" s="9" t="s">
        <v>949</v>
      </c>
      <c r="B1899" s="10">
        <v>44796</v>
      </c>
      <c r="C1899" s="11"/>
      <c r="D1899" s="53">
        <v>34</v>
      </c>
      <c r="E1899" s="13" t="s">
        <v>706</v>
      </c>
      <c r="F1899" s="13">
        <v>3025457</v>
      </c>
      <c r="G1899" s="14">
        <v>6343</v>
      </c>
      <c r="H1899" s="33">
        <f>8200-8093.72</f>
        <v>106.27999999999975</v>
      </c>
      <c r="I1899" s="16">
        <f>-H1899*G1899</f>
        <v>-674134.03999999841</v>
      </c>
      <c r="J1899" s="17">
        <v>0</v>
      </c>
      <c r="K1899" s="34">
        <v>4502392160</v>
      </c>
      <c r="L1899" s="126">
        <v>5083283182</v>
      </c>
      <c r="M1899" s="127">
        <v>5113535824</v>
      </c>
      <c r="N1899" s="128"/>
      <c r="O1899" s="23"/>
      <c r="P1899" s="23"/>
      <c r="Q1899" s="24" t="s">
        <v>31</v>
      </c>
      <c r="R1899" s="25">
        <v>44792</v>
      </c>
      <c r="S1899" s="28"/>
      <c r="T1899" s="35"/>
      <c r="U1899" s="35"/>
      <c r="V1899" s="29"/>
      <c r="W1899" s="35"/>
      <c r="X1899" s="29"/>
      <c r="Y1899" s="36"/>
      <c r="Z1899" s="29"/>
      <c r="AA1899" s="31">
        <f t="shared" si="1"/>
        <v>44792</v>
      </c>
      <c r="AB1899" s="32" t="str">
        <f t="shared" si="5"/>
        <v>agosto</v>
      </c>
    </row>
    <row r="1900" spans="1:28" ht="12.75">
      <c r="A1900" s="9" t="s">
        <v>46</v>
      </c>
      <c r="B1900" s="10">
        <v>44793</v>
      </c>
      <c r="C1900" s="11">
        <v>44795</v>
      </c>
      <c r="D1900" s="53">
        <v>34</v>
      </c>
      <c r="E1900" s="13" t="s">
        <v>2388</v>
      </c>
      <c r="F1900" s="13">
        <v>3025459</v>
      </c>
      <c r="G1900" s="14">
        <v>34205</v>
      </c>
      <c r="H1900" s="33">
        <v>8300</v>
      </c>
      <c r="I1900" s="16">
        <f>H1900*G1900</f>
        <v>283901500</v>
      </c>
      <c r="J1900" s="17">
        <v>73</v>
      </c>
      <c r="K1900" s="34">
        <v>4502392161</v>
      </c>
      <c r="L1900" s="126">
        <v>5083283316</v>
      </c>
      <c r="M1900" s="127">
        <v>5113522629</v>
      </c>
      <c r="N1900" s="128"/>
      <c r="O1900" s="9" t="s">
        <v>37</v>
      </c>
      <c r="P1900" s="23"/>
      <c r="Q1900" s="24" t="s">
        <v>31</v>
      </c>
      <c r="R1900" s="25">
        <v>44792</v>
      </c>
      <c r="S1900" s="28"/>
      <c r="T1900" s="35"/>
      <c r="U1900" s="35"/>
      <c r="V1900" s="29"/>
      <c r="W1900" s="35"/>
      <c r="X1900" s="29"/>
      <c r="Y1900" s="36"/>
      <c r="Z1900" s="29"/>
      <c r="AA1900" s="31">
        <f t="shared" si="1"/>
        <v>44792</v>
      </c>
      <c r="AB1900" s="32" t="str">
        <f t="shared" si="5"/>
        <v>agosto</v>
      </c>
    </row>
    <row r="1901" spans="1:28" ht="12.75">
      <c r="A1901" s="9" t="s">
        <v>46</v>
      </c>
      <c r="B1901" s="10">
        <v>44793</v>
      </c>
      <c r="C1901" s="11">
        <v>44795</v>
      </c>
      <c r="D1901" s="76">
        <v>34</v>
      </c>
      <c r="E1901" s="61" t="s">
        <v>269</v>
      </c>
      <c r="F1901" s="63">
        <v>3025459</v>
      </c>
      <c r="G1901" s="62">
        <v>34205</v>
      </c>
      <c r="H1901" s="63">
        <f>8300-8245.47</f>
        <v>54.530000000000655</v>
      </c>
      <c r="I1901" s="64">
        <f>-H1901*G1901</f>
        <v>-1865198.6500000225</v>
      </c>
      <c r="J1901" s="65">
        <v>0</v>
      </c>
      <c r="K1901" s="66">
        <v>4502392161</v>
      </c>
      <c r="L1901" s="126">
        <v>5083283316</v>
      </c>
      <c r="M1901" s="127">
        <v>5113522630</v>
      </c>
      <c r="N1901" s="68"/>
      <c r="O1901" s="68"/>
      <c r="P1901" s="68"/>
      <c r="Q1901" s="129" t="s">
        <v>31</v>
      </c>
      <c r="R1901" s="25">
        <v>44792</v>
      </c>
      <c r="S1901" s="75"/>
      <c r="T1901" s="69"/>
      <c r="U1901" s="70"/>
      <c r="V1901" s="68"/>
      <c r="W1901" s="70"/>
      <c r="X1901" s="68"/>
      <c r="Y1901" s="71"/>
      <c r="Z1901" s="68"/>
      <c r="AA1901" s="130">
        <f t="shared" si="1"/>
        <v>44792</v>
      </c>
      <c r="AB1901" s="131" t="str">
        <f t="shared" si="5"/>
        <v>agosto</v>
      </c>
    </row>
    <row r="1902" spans="1:28" ht="12.75">
      <c r="A1902" s="9" t="s">
        <v>99</v>
      </c>
      <c r="B1902" s="10">
        <v>44796</v>
      </c>
      <c r="C1902" s="11">
        <v>44797</v>
      </c>
      <c r="D1902" s="53">
        <v>34</v>
      </c>
      <c r="E1902" s="13" t="s">
        <v>2389</v>
      </c>
      <c r="F1902" s="13">
        <v>3025460</v>
      </c>
      <c r="G1902" s="14">
        <v>21745</v>
      </c>
      <c r="H1902" s="33">
        <v>8200</v>
      </c>
      <c r="I1902" s="16">
        <f t="shared" ref="I1902:I1904" si="282">H1902*G1902</f>
        <v>178309000</v>
      </c>
      <c r="J1902" s="17">
        <v>43</v>
      </c>
      <c r="K1902" s="34">
        <v>4502392162</v>
      </c>
      <c r="L1902" s="126">
        <v>5083283317</v>
      </c>
      <c r="M1902" s="127">
        <v>5113528059</v>
      </c>
      <c r="N1902" s="128"/>
      <c r="O1902" s="9" t="s">
        <v>37</v>
      </c>
      <c r="P1902" s="23"/>
      <c r="Q1902" s="24" t="s">
        <v>31</v>
      </c>
      <c r="R1902" s="25">
        <v>44792</v>
      </c>
      <c r="S1902" s="28"/>
      <c r="T1902" s="35"/>
      <c r="U1902" s="35"/>
      <c r="V1902" s="29"/>
      <c r="W1902" s="35"/>
      <c r="X1902" s="29"/>
      <c r="Y1902" s="36"/>
      <c r="Z1902" s="29"/>
      <c r="AA1902" s="31">
        <f t="shared" si="1"/>
        <v>44792</v>
      </c>
      <c r="AB1902" s="32" t="str">
        <f t="shared" si="5"/>
        <v>agosto</v>
      </c>
    </row>
    <row r="1903" spans="1:28" ht="12.75">
      <c r="A1903" s="9" t="s">
        <v>99</v>
      </c>
      <c r="B1903" s="10">
        <v>44796</v>
      </c>
      <c r="C1903" s="11">
        <v>44797</v>
      </c>
      <c r="D1903" s="53">
        <v>34</v>
      </c>
      <c r="E1903" s="13" t="s">
        <v>2390</v>
      </c>
      <c r="F1903" s="13">
        <v>3025460</v>
      </c>
      <c r="G1903" s="14">
        <v>21745</v>
      </c>
      <c r="H1903" s="33">
        <v>50</v>
      </c>
      <c r="I1903" s="16">
        <f t="shared" si="282"/>
        <v>1087250</v>
      </c>
      <c r="J1903" s="17">
        <v>0</v>
      </c>
      <c r="K1903" s="34">
        <v>4502392162</v>
      </c>
      <c r="L1903" s="126">
        <v>5083283317</v>
      </c>
      <c r="M1903" s="127">
        <v>5113528064</v>
      </c>
      <c r="N1903" s="128"/>
      <c r="O1903" s="23"/>
      <c r="P1903" s="23"/>
      <c r="Q1903" s="24" t="s">
        <v>31</v>
      </c>
      <c r="R1903" s="25">
        <v>44792</v>
      </c>
      <c r="S1903" s="28"/>
      <c r="T1903" s="35"/>
      <c r="U1903" s="35"/>
      <c r="V1903" s="29"/>
      <c r="W1903" s="35"/>
      <c r="X1903" s="29"/>
      <c r="Y1903" s="36"/>
      <c r="Z1903" s="29"/>
      <c r="AA1903" s="31">
        <f t="shared" si="1"/>
        <v>44792</v>
      </c>
      <c r="AB1903" s="32" t="str">
        <f t="shared" si="5"/>
        <v>agosto</v>
      </c>
    </row>
    <row r="1904" spans="1:28" ht="12.75">
      <c r="A1904" s="9" t="s">
        <v>242</v>
      </c>
      <c r="B1904" s="10">
        <v>44792</v>
      </c>
      <c r="C1904" s="11"/>
      <c r="D1904" s="53">
        <v>34</v>
      </c>
      <c r="E1904" s="13" t="s">
        <v>105</v>
      </c>
      <c r="F1904" s="13">
        <v>3025460</v>
      </c>
      <c r="G1904" s="37">
        <v>6820.5</v>
      </c>
      <c r="H1904" s="33">
        <v>8200</v>
      </c>
      <c r="I1904" s="16">
        <f t="shared" si="282"/>
        <v>55928100</v>
      </c>
      <c r="J1904" s="17">
        <v>15</v>
      </c>
      <c r="K1904" s="34">
        <v>4502392163</v>
      </c>
      <c r="L1904" s="126">
        <v>5083283378</v>
      </c>
      <c r="M1904" s="127">
        <v>5113524947</v>
      </c>
      <c r="N1904" s="128"/>
      <c r="O1904" s="9" t="s">
        <v>37</v>
      </c>
      <c r="P1904" s="23"/>
      <c r="Q1904" s="24" t="s">
        <v>31</v>
      </c>
      <c r="R1904" s="25">
        <v>44792</v>
      </c>
      <c r="S1904" s="28"/>
      <c r="T1904" s="35"/>
      <c r="U1904" s="35"/>
      <c r="V1904" s="29"/>
      <c r="W1904" s="35"/>
      <c r="X1904" s="29"/>
      <c r="Y1904" s="36"/>
      <c r="Z1904" s="29"/>
      <c r="AA1904" s="31">
        <f t="shared" si="1"/>
        <v>44792</v>
      </c>
      <c r="AB1904" s="32" t="str">
        <f t="shared" si="5"/>
        <v>agosto</v>
      </c>
    </row>
    <row r="1905" spans="1:28" ht="12.75">
      <c r="A1905" s="9" t="s">
        <v>242</v>
      </c>
      <c r="B1905" s="10">
        <v>44792</v>
      </c>
      <c r="C1905" s="11"/>
      <c r="D1905" s="53">
        <v>34</v>
      </c>
      <c r="E1905" s="13" t="s">
        <v>397</v>
      </c>
      <c r="F1905" s="13">
        <v>3025460</v>
      </c>
      <c r="G1905" s="37">
        <v>6820.5</v>
      </c>
      <c r="H1905" s="33">
        <f>8200-8179.57</f>
        <v>20.430000000000291</v>
      </c>
      <c r="I1905" s="16">
        <f>-H1905*G1905</f>
        <v>-139342.81500000198</v>
      </c>
      <c r="J1905" s="17">
        <v>0</v>
      </c>
      <c r="K1905" s="34">
        <v>4502392163</v>
      </c>
      <c r="L1905" s="126">
        <v>5083283378</v>
      </c>
      <c r="M1905" s="127">
        <v>5113524949</v>
      </c>
      <c r="N1905" s="128"/>
      <c r="O1905" s="23"/>
      <c r="P1905" s="23"/>
      <c r="Q1905" s="24" t="s">
        <v>31</v>
      </c>
      <c r="R1905" s="25">
        <v>44792</v>
      </c>
      <c r="S1905" s="28"/>
      <c r="T1905" s="35"/>
      <c r="U1905" s="35"/>
      <c r="V1905" s="29"/>
      <c r="W1905" s="35"/>
      <c r="X1905" s="29"/>
      <c r="Y1905" s="36"/>
      <c r="Z1905" s="29"/>
      <c r="AA1905" s="31">
        <f t="shared" si="1"/>
        <v>44792</v>
      </c>
      <c r="AB1905" s="32" t="str">
        <f t="shared" si="5"/>
        <v>agosto</v>
      </c>
    </row>
    <row r="1906" spans="1:28" ht="12.75">
      <c r="A1906" s="9" t="s">
        <v>286</v>
      </c>
      <c r="B1906" s="10">
        <v>44797</v>
      </c>
      <c r="C1906" s="11"/>
      <c r="D1906" s="53">
        <v>34</v>
      </c>
      <c r="E1906" s="13" t="s">
        <v>2391</v>
      </c>
      <c r="F1906" s="13">
        <v>3025460</v>
      </c>
      <c r="G1906" s="14">
        <v>13281</v>
      </c>
      <c r="H1906" s="33">
        <v>8200</v>
      </c>
      <c r="I1906" s="16">
        <f>H1906*G1906</f>
        <v>108904200</v>
      </c>
      <c r="J1906" s="17">
        <v>30</v>
      </c>
      <c r="K1906" s="34">
        <v>4502392165</v>
      </c>
      <c r="L1906" s="19">
        <v>5083283183</v>
      </c>
      <c r="M1906" s="20">
        <v>5113557108</v>
      </c>
      <c r="N1906" s="23"/>
      <c r="O1906" s="9" t="s">
        <v>382</v>
      </c>
      <c r="P1906" s="23"/>
      <c r="Q1906" s="24" t="s">
        <v>31</v>
      </c>
      <c r="R1906" s="25">
        <v>44792</v>
      </c>
      <c r="S1906" s="28"/>
      <c r="T1906" s="35"/>
      <c r="U1906" s="35"/>
      <c r="V1906" s="29"/>
      <c r="W1906" s="35"/>
      <c r="X1906" s="29"/>
      <c r="Y1906" s="36"/>
      <c r="Z1906" s="29"/>
      <c r="AA1906" s="31">
        <f t="shared" si="1"/>
        <v>44792</v>
      </c>
      <c r="AB1906" s="32" t="str">
        <f t="shared" si="5"/>
        <v>agosto</v>
      </c>
    </row>
    <row r="1907" spans="1:28" ht="12.75">
      <c r="A1907" s="9" t="s">
        <v>286</v>
      </c>
      <c r="B1907" s="10">
        <v>44797</v>
      </c>
      <c r="C1907" s="11"/>
      <c r="D1907" s="53">
        <v>34</v>
      </c>
      <c r="E1907" s="13" t="s">
        <v>776</v>
      </c>
      <c r="F1907" s="13">
        <v>3025460</v>
      </c>
      <c r="G1907" s="14">
        <v>13281</v>
      </c>
      <c r="H1907" s="33">
        <f>8200-8194.2</f>
        <v>5.7999999999992724</v>
      </c>
      <c r="I1907" s="16">
        <f>-H1907*G1907</f>
        <v>-77029.79999999034</v>
      </c>
      <c r="J1907" s="17">
        <v>0</v>
      </c>
      <c r="K1907" s="34">
        <v>4502392165</v>
      </c>
      <c r="L1907" s="19">
        <v>5083283183</v>
      </c>
      <c r="M1907" s="20">
        <v>5113557109</v>
      </c>
      <c r="N1907" s="23"/>
      <c r="O1907" s="23"/>
      <c r="P1907" s="23"/>
      <c r="Q1907" s="24" t="s">
        <v>31</v>
      </c>
      <c r="R1907" s="25">
        <v>44792</v>
      </c>
      <c r="S1907" s="28"/>
      <c r="T1907" s="35"/>
      <c r="U1907" s="35"/>
      <c r="V1907" s="29"/>
      <c r="W1907" s="35"/>
      <c r="X1907" s="29"/>
      <c r="Y1907" s="36"/>
      <c r="Z1907" s="29"/>
      <c r="AA1907" s="31">
        <f t="shared" si="1"/>
        <v>44792</v>
      </c>
      <c r="AB1907" s="32" t="str">
        <f t="shared" si="5"/>
        <v>agosto</v>
      </c>
    </row>
    <row r="1908" spans="1:28" ht="12.75">
      <c r="A1908" s="9" t="s">
        <v>80</v>
      </c>
      <c r="B1908" s="10">
        <v>44639</v>
      </c>
      <c r="C1908" s="11">
        <v>44797</v>
      </c>
      <c r="D1908" s="53">
        <v>34</v>
      </c>
      <c r="E1908" s="13" t="s">
        <v>2392</v>
      </c>
      <c r="F1908" s="13">
        <v>3025460</v>
      </c>
      <c r="G1908" s="14">
        <v>39445</v>
      </c>
      <c r="H1908" s="57">
        <v>8100</v>
      </c>
      <c r="I1908" s="16">
        <f t="shared" ref="I1908:I1911" si="283">H1908*G1908</f>
        <v>319504500</v>
      </c>
      <c r="J1908" s="17">
        <v>84</v>
      </c>
      <c r="K1908" s="34">
        <v>4502395322</v>
      </c>
      <c r="L1908" s="19">
        <v>5083309397</v>
      </c>
      <c r="M1908" s="20">
        <v>5113530375</v>
      </c>
      <c r="N1908" s="23" t="s">
        <v>37</v>
      </c>
      <c r="O1908" s="23"/>
      <c r="P1908" s="23"/>
      <c r="Q1908" s="24" t="s">
        <v>82</v>
      </c>
      <c r="R1908" s="25">
        <v>44792</v>
      </c>
      <c r="S1908" s="28"/>
      <c r="T1908" s="35"/>
      <c r="U1908" s="35"/>
      <c r="V1908" s="29"/>
      <c r="W1908" s="35"/>
      <c r="X1908" s="29"/>
      <c r="Y1908" s="36"/>
      <c r="Z1908" s="29"/>
      <c r="AA1908" s="31">
        <f t="shared" si="1"/>
        <v>44792</v>
      </c>
      <c r="AB1908" s="32" t="str">
        <f t="shared" si="5"/>
        <v>agosto</v>
      </c>
    </row>
    <row r="1909" spans="1:28" ht="12.75">
      <c r="A1909" s="9" t="s">
        <v>83</v>
      </c>
      <c r="B1909" s="10">
        <v>44792</v>
      </c>
      <c r="C1909" s="11">
        <v>44795</v>
      </c>
      <c r="D1909" s="53">
        <v>34</v>
      </c>
      <c r="E1909" s="13" t="s">
        <v>2393</v>
      </c>
      <c r="F1909" s="13">
        <v>3025460</v>
      </c>
      <c r="G1909" s="14">
        <v>27490</v>
      </c>
      <c r="H1909" s="57">
        <v>8100</v>
      </c>
      <c r="I1909" s="16">
        <f t="shared" si="283"/>
        <v>222669000</v>
      </c>
      <c r="J1909" s="17">
        <v>56</v>
      </c>
      <c r="K1909" s="34">
        <v>4502395326</v>
      </c>
      <c r="L1909" s="19">
        <v>5083309485</v>
      </c>
      <c r="M1909" s="20">
        <v>5113563131</v>
      </c>
      <c r="N1909" s="23"/>
      <c r="O1909" s="9" t="s">
        <v>37</v>
      </c>
      <c r="P1909" s="23" t="s">
        <v>2394</v>
      </c>
      <c r="Q1909" s="24" t="s">
        <v>82</v>
      </c>
      <c r="R1909" s="25">
        <v>44792</v>
      </c>
      <c r="S1909" s="28"/>
      <c r="T1909" s="35"/>
      <c r="U1909" s="35"/>
      <c r="V1909" s="29"/>
      <c r="W1909" s="35"/>
      <c r="X1909" s="29"/>
      <c r="Y1909" s="36"/>
      <c r="Z1909" s="29"/>
      <c r="AA1909" s="31">
        <f t="shared" si="1"/>
        <v>44792</v>
      </c>
      <c r="AB1909" s="32" t="str">
        <f t="shared" si="5"/>
        <v>agosto</v>
      </c>
    </row>
    <row r="1910" spans="1:28" ht="12.75">
      <c r="A1910" s="9" t="s">
        <v>196</v>
      </c>
      <c r="B1910" s="10">
        <v>44792</v>
      </c>
      <c r="C1910" s="11"/>
      <c r="D1910" s="53">
        <v>34</v>
      </c>
      <c r="E1910" s="13" t="s">
        <v>2395</v>
      </c>
      <c r="F1910" s="13">
        <v>3025460</v>
      </c>
      <c r="G1910" s="14">
        <v>26667</v>
      </c>
      <c r="H1910" s="57">
        <v>8100</v>
      </c>
      <c r="I1910" s="16">
        <f t="shared" si="283"/>
        <v>216002700</v>
      </c>
      <c r="J1910" s="17">
        <v>56</v>
      </c>
      <c r="K1910" s="34">
        <v>4502395330</v>
      </c>
      <c r="L1910" s="19">
        <v>5083309631</v>
      </c>
      <c r="M1910" s="20">
        <v>5113525480</v>
      </c>
      <c r="N1910" s="23"/>
      <c r="O1910" s="23" t="s">
        <v>63</v>
      </c>
      <c r="P1910" s="23"/>
      <c r="Q1910" s="24" t="s">
        <v>82</v>
      </c>
      <c r="R1910" s="25">
        <v>44792</v>
      </c>
      <c r="S1910" s="28"/>
      <c r="T1910" s="35"/>
      <c r="U1910" s="35"/>
      <c r="V1910" s="29"/>
      <c r="W1910" s="35"/>
      <c r="X1910" s="29"/>
      <c r="Y1910" s="36"/>
      <c r="Z1910" s="29"/>
      <c r="AA1910" s="31">
        <f t="shared" si="1"/>
        <v>44792</v>
      </c>
      <c r="AB1910" s="32" t="str">
        <f t="shared" si="5"/>
        <v>agosto</v>
      </c>
    </row>
    <row r="1911" spans="1:28" ht="12.75">
      <c r="A1911" s="9" t="s">
        <v>96</v>
      </c>
      <c r="B1911" s="10">
        <v>44795</v>
      </c>
      <c r="C1911" s="11"/>
      <c r="D1911" s="53">
        <v>34</v>
      </c>
      <c r="E1911" s="13" t="s">
        <v>2396</v>
      </c>
      <c r="F1911" s="13">
        <v>3025457</v>
      </c>
      <c r="G1911" s="14">
        <v>12847</v>
      </c>
      <c r="H1911" s="33">
        <v>8300</v>
      </c>
      <c r="I1911" s="16">
        <f t="shared" si="283"/>
        <v>106630100</v>
      </c>
      <c r="J1911" s="17">
        <v>28</v>
      </c>
      <c r="K1911" s="34">
        <v>4502392166</v>
      </c>
      <c r="L1911" s="19">
        <v>5083283342</v>
      </c>
      <c r="M1911" s="20">
        <v>5113525010</v>
      </c>
      <c r="N1911" s="23"/>
      <c r="O1911" s="23" t="s">
        <v>63</v>
      </c>
      <c r="P1911" s="23"/>
      <c r="Q1911" s="24" t="s">
        <v>31</v>
      </c>
      <c r="R1911" s="25">
        <v>44793</v>
      </c>
      <c r="S1911" s="28"/>
      <c r="T1911" s="35"/>
      <c r="U1911" s="35"/>
      <c r="V1911" s="29"/>
      <c r="W1911" s="35"/>
      <c r="X1911" s="29"/>
      <c r="Y1911" s="36"/>
      <c r="Z1911" s="29"/>
      <c r="AA1911" s="31">
        <f t="shared" si="1"/>
        <v>44793</v>
      </c>
      <c r="AB1911" s="32" t="str">
        <f t="shared" si="5"/>
        <v>agosto</v>
      </c>
    </row>
    <row r="1912" spans="1:28" ht="12.75">
      <c r="A1912" s="9" t="s">
        <v>96</v>
      </c>
      <c r="B1912" s="10">
        <v>44795</v>
      </c>
      <c r="C1912" s="11"/>
      <c r="D1912" s="53">
        <v>34</v>
      </c>
      <c r="E1912" s="13" t="s">
        <v>2397</v>
      </c>
      <c r="F1912" s="13">
        <v>3025457</v>
      </c>
      <c r="G1912" s="14">
        <v>12847</v>
      </c>
      <c r="H1912" s="33">
        <f>8300-8296.91</f>
        <v>3.0900000000001455</v>
      </c>
      <c r="I1912" s="16">
        <f>-H1912*G1912</f>
        <v>-39697.230000001873</v>
      </c>
      <c r="J1912" s="17">
        <v>0</v>
      </c>
      <c r="K1912" s="34">
        <v>4502392166</v>
      </c>
      <c r="L1912" s="19">
        <v>5083283342</v>
      </c>
      <c r="M1912" s="20">
        <v>5113525011</v>
      </c>
      <c r="N1912" s="23"/>
      <c r="O1912" s="23"/>
      <c r="P1912" s="23"/>
      <c r="Q1912" s="24" t="s">
        <v>31</v>
      </c>
      <c r="R1912" s="25">
        <v>44793</v>
      </c>
      <c r="S1912" s="28"/>
      <c r="T1912" s="35"/>
      <c r="U1912" s="35"/>
      <c r="V1912" s="29"/>
      <c r="W1912" s="35"/>
      <c r="X1912" s="29"/>
      <c r="Y1912" s="36"/>
      <c r="Z1912" s="29"/>
      <c r="AA1912" s="31">
        <f t="shared" si="1"/>
        <v>44793</v>
      </c>
      <c r="AB1912" s="32" t="str">
        <f t="shared" si="5"/>
        <v>agosto</v>
      </c>
    </row>
    <row r="1913" spans="1:28" ht="12.75">
      <c r="A1913" s="9" t="s">
        <v>819</v>
      </c>
      <c r="B1913" s="10">
        <v>44793</v>
      </c>
      <c r="C1913" s="11"/>
      <c r="D1913" s="53">
        <v>34</v>
      </c>
      <c r="E1913" s="13">
        <v>6100</v>
      </c>
      <c r="F1913" s="13">
        <v>3025457</v>
      </c>
      <c r="G1913" s="37">
        <v>13724.5</v>
      </c>
      <c r="H1913" s="33">
        <v>8600</v>
      </c>
      <c r="I1913" s="16">
        <f>H1913*G1913</f>
        <v>118030700</v>
      </c>
      <c r="J1913" s="17">
        <v>29</v>
      </c>
      <c r="K1913" s="34">
        <v>4502392167</v>
      </c>
      <c r="L1913" s="19">
        <v>5083283379</v>
      </c>
      <c r="M1913" s="20">
        <v>5113533601</v>
      </c>
      <c r="N1913" s="23"/>
      <c r="O1913" s="9" t="s">
        <v>37</v>
      </c>
      <c r="P1913" s="23"/>
      <c r="Q1913" s="24" t="s">
        <v>31</v>
      </c>
      <c r="R1913" s="25">
        <v>44793</v>
      </c>
      <c r="S1913" s="28"/>
      <c r="T1913" s="35"/>
      <c r="U1913" s="35"/>
      <c r="V1913" s="29"/>
      <c r="W1913" s="35"/>
      <c r="X1913" s="29"/>
      <c r="Y1913" s="36"/>
      <c r="Z1913" s="29"/>
      <c r="AA1913" s="31">
        <f t="shared" si="1"/>
        <v>44793</v>
      </c>
      <c r="AB1913" s="32" t="str">
        <f t="shared" si="5"/>
        <v>agosto</v>
      </c>
    </row>
    <row r="1914" spans="1:28" ht="12.75">
      <c r="A1914" s="9" t="s">
        <v>819</v>
      </c>
      <c r="B1914" s="10">
        <v>44795</v>
      </c>
      <c r="C1914" s="11"/>
      <c r="D1914" s="53">
        <v>34</v>
      </c>
      <c r="E1914" s="13" t="s">
        <v>2398</v>
      </c>
      <c r="F1914" s="13">
        <v>3025457</v>
      </c>
      <c r="G1914" s="37">
        <v>13724.5</v>
      </c>
      <c r="H1914" s="33">
        <v>50</v>
      </c>
      <c r="I1914" s="16">
        <f>-H1914*G1914</f>
        <v>-686225</v>
      </c>
      <c r="J1914" s="17">
        <v>0</v>
      </c>
      <c r="K1914" s="34">
        <v>4502392167</v>
      </c>
      <c r="L1914" s="19">
        <v>5083283379</v>
      </c>
      <c r="M1914" s="20">
        <v>5113533602</v>
      </c>
      <c r="N1914" s="23"/>
      <c r="O1914" s="23"/>
      <c r="P1914" s="23"/>
      <c r="Q1914" s="24" t="s">
        <v>31</v>
      </c>
      <c r="R1914" s="25">
        <v>44793</v>
      </c>
      <c r="S1914" s="28"/>
      <c r="T1914" s="35"/>
      <c r="U1914" s="35"/>
      <c r="V1914" s="29"/>
      <c r="W1914" s="35"/>
      <c r="X1914" s="29"/>
      <c r="Y1914" s="36"/>
      <c r="Z1914" s="29"/>
      <c r="AA1914" s="31">
        <f t="shared" si="1"/>
        <v>44793</v>
      </c>
      <c r="AB1914" s="32" t="str">
        <f t="shared" si="5"/>
        <v>agosto</v>
      </c>
    </row>
    <row r="1915" spans="1:28" ht="12.75">
      <c r="A1915" s="9" t="s">
        <v>2135</v>
      </c>
      <c r="B1915" s="10">
        <v>44793</v>
      </c>
      <c r="C1915" s="11"/>
      <c r="D1915" s="53">
        <v>34</v>
      </c>
      <c r="E1915" s="13" t="s">
        <v>805</v>
      </c>
      <c r="F1915" s="13">
        <v>3025460</v>
      </c>
      <c r="G1915" s="37">
        <v>6750.5</v>
      </c>
      <c r="H1915" s="33">
        <v>8200</v>
      </c>
      <c r="I1915" s="16">
        <f>H1915*G1915</f>
        <v>55354100</v>
      </c>
      <c r="J1915" s="17">
        <v>15</v>
      </c>
      <c r="K1915" s="34">
        <v>4502392168</v>
      </c>
      <c r="L1915" s="19">
        <v>5083283343</v>
      </c>
      <c r="M1915" s="20">
        <v>5113541054</v>
      </c>
      <c r="N1915" s="23"/>
      <c r="O1915" s="9" t="s">
        <v>63</v>
      </c>
      <c r="P1915" s="23"/>
      <c r="Q1915" s="24" t="s">
        <v>31</v>
      </c>
      <c r="R1915" s="25">
        <v>44793</v>
      </c>
      <c r="S1915" s="28"/>
      <c r="T1915" s="35"/>
      <c r="U1915" s="35"/>
      <c r="V1915" s="29"/>
      <c r="W1915" s="35"/>
      <c r="X1915" s="29"/>
      <c r="Y1915" s="36"/>
      <c r="Z1915" s="29"/>
      <c r="AA1915" s="31">
        <f t="shared" si="1"/>
        <v>44793</v>
      </c>
      <c r="AB1915" s="32" t="str">
        <f t="shared" si="5"/>
        <v>agosto</v>
      </c>
    </row>
    <row r="1916" spans="1:28" ht="12.75">
      <c r="A1916" s="9" t="s">
        <v>2135</v>
      </c>
      <c r="B1916" s="10"/>
      <c r="C1916" s="11"/>
      <c r="D1916" s="53">
        <v>34</v>
      </c>
      <c r="E1916" s="13">
        <v>1112113</v>
      </c>
      <c r="F1916" s="13">
        <v>3025460</v>
      </c>
      <c r="G1916" s="37">
        <v>6750.5</v>
      </c>
      <c r="H1916" s="33">
        <f>8200-8138.93</f>
        <v>61.069999999999709</v>
      </c>
      <c r="I1916" s="16">
        <f>-H1916*G1916</f>
        <v>-412253.03499999805</v>
      </c>
      <c r="J1916" s="17">
        <v>0</v>
      </c>
      <c r="K1916" s="34">
        <v>4502392168</v>
      </c>
      <c r="L1916" s="19">
        <v>5083283343</v>
      </c>
      <c r="M1916" s="20">
        <v>5113541080</v>
      </c>
      <c r="N1916" s="23"/>
      <c r="O1916" s="23"/>
      <c r="P1916" s="23"/>
      <c r="Q1916" s="24" t="s">
        <v>31</v>
      </c>
      <c r="R1916" s="25">
        <v>44793</v>
      </c>
      <c r="S1916" s="28"/>
      <c r="T1916" s="35"/>
      <c r="U1916" s="35"/>
      <c r="V1916" s="29"/>
      <c r="W1916" s="35"/>
      <c r="X1916" s="29"/>
      <c r="Y1916" s="36"/>
      <c r="Z1916" s="29"/>
      <c r="AA1916" s="31">
        <f t="shared" si="1"/>
        <v>44793</v>
      </c>
      <c r="AB1916" s="32" t="str">
        <f t="shared" si="5"/>
        <v>agosto</v>
      </c>
    </row>
    <row r="1917" spans="1:28" ht="12.75">
      <c r="A1917" s="9" t="s">
        <v>58</v>
      </c>
      <c r="B1917" s="10">
        <v>44796</v>
      </c>
      <c r="C1917" s="11">
        <v>44796</v>
      </c>
      <c r="D1917" s="53">
        <v>34</v>
      </c>
      <c r="E1917" s="13" t="s">
        <v>2399</v>
      </c>
      <c r="F1917" s="13">
        <v>3025460</v>
      </c>
      <c r="G1917" s="14">
        <v>27037</v>
      </c>
      <c r="H1917" s="33">
        <v>8600</v>
      </c>
      <c r="I1917" s="16">
        <f>H1917*G1917</f>
        <v>232518200</v>
      </c>
      <c r="J1917" s="17">
        <v>60</v>
      </c>
      <c r="K1917" s="34">
        <v>4502392169</v>
      </c>
      <c r="L1917" s="19">
        <v>5083283344</v>
      </c>
      <c r="M1917" s="20">
        <v>5113524834</v>
      </c>
      <c r="N1917" s="23"/>
      <c r="O1917" s="9" t="s">
        <v>37</v>
      </c>
      <c r="P1917" s="23"/>
      <c r="Q1917" s="24" t="s">
        <v>31</v>
      </c>
      <c r="R1917" s="25">
        <v>44793</v>
      </c>
      <c r="S1917" s="28"/>
      <c r="T1917" s="35"/>
      <c r="U1917" s="35"/>
      <c r="V1917" s="29"/>
      <c r="W1917" s="35"/>
      <c r="X1917" s="29"/>
      <c r="Y1917" s="36"/>
      <c r="Z1917" s="29"/>
      <c r="AA1917" s="31">
        <f t="shared" si="1"/>
        <v>44793</v>
      </c>
      <c r="AB1917" s="32" t="str">
        <f t="shared" si="5"/>
        <v>agosto</v>
      </c>
    </row>
    <row r="1918" spans="1:28" ht="12.75">
      <c r="A1918" s="9" t="s">
        <v>58</v>
      </c>
      <c r="B1918" s="10">
        <v>44796</v>
      </c>
      <c r="C1918" s="11">
        <v>44796</v>
      </c>
      <c r="D1918" s="53">
        <v>34</v>
      </c>
      <c r="E1918" s="13" t="s">
        <v>2400</v>
      </c>
      <c r="F1918" s="13">
        <v>3025460</v>
      </c>
      <c r="G1918" s="14">
        <v>27037</v>
      </c>
      <c r="H1918" s="33">
        <v>150</v>
      </c>
      <c r="I1918" s="16">
        <f>-H1918*G1918</f>
        <v>-4055550</v>
      </c>
      <c r="J1918" s="17">
        <v>0</v>
      </c>
      <c r="K1918" s="34">
        <v>4502392169</v>
      </c>
      <c r="L1918" s="19">
        <v>5083283344</v>
      </c>
      <c r="M1918" s="20">
        <v>5113524847</v>
      </c>
      <c r="N1918" s="23"/>
      <c r="O1918" s="23"/>
      <c r="P1918" s="23"/>
      <c r="Q1918" s="24" t="s">
        <v>31</v>
      </c>
      <c r="R1918" s="25">
        <v>44793</v>
      </c>
      <c r="S1918" s="28"/>
      <c r="T1918" s="35"/>
      <c r="U1918" s="35"/>
      <c r="V1918" s="29"/>
      <c r="W1918" s="35"/>
      <c r="X1918" s="29"/>
      <c r="Y1918" s="36"/>
      <c r="Z1918" s="29"/>
      <c r="AA1918" s="31">
        <f t="shared" si="1"/>
        <v>44793</v>
      </c>
      <c r="AB1918" s="32" t="str">
        <f t="shared" si="5"/>
        <v>agosto</v>
      </c>
    </row>
    <row r="1919" spans="1:28" ht="12.75">
      <c r="A1919" s="9" t="s">
        <v>58</v>
      </c>
      <c r="B1919" s="10">
        <v>44796</v>
      </c>
      <c r="C1919" s="11">
        <v>44796</v>
      </c>
      <c r="D1919" s="53">
        <v>34</v>
      </c>
      <c r="E1919" s="13" t="s">
        <v>2401</v>
      </c>
      <c r="F1919" s="13">
        <v>3025460</v>
      </c>
      <c r="G1919" s="14">
        <v>42071.5</v>
      </c>
      <c r="H1919" s="33">
        <v>8600</v>
      </c>
      <c r="I1919" s="16">
        <f>H1919*G1919</f>
        <v>361814900</v>
      </c>
      <c r="J1919" s="17">
        <v>90</v>
      </c>
      <c r="K1919" s="34">
        <v>4502392169</v>
      </c>
      <c r="L1919" s="19">
        <v>5083283344</v>
      </c>
      <c r="M1919" s="20">
        <v>5113524847</v>
      </c>
      <c r="N1919" s="23"/>
      <c r="O1919" s="9" t="s">
        <v>37</v>
      </c>
      <c r="P1919" s="23"/>
      <c r="Q1919" s="24" t="s">
        <v>31</v>
      </c>
      <c r="R1919" s="25">
        <v>44793</v>
      </c>
      <c r="S1919" s="28"/>
      <c r="T1919" s="35"/>
      <c r="U1919" s="35"/>
      <c r="V1919" s="29"/>
      <c r="W1919" s="35"/>
      <c r="X1919" s="29"/>
      <c r="Y1919" s="36"/>
      <c r="Z1919" s="29"/>
      <c r="AA1919" s="31">
        <f t="shared" si="1"/>
        <v>44793</v>
      </c>
      <c r="AB1919" s="32" t="str">
        <f t="shared" si="5"/>
        <v>agosto</v>
      </c>
    </row>
    <row r="1920" spans="1:28" ht="12.75">
      <c r="A1920" s="9" t="s">
        <v>58</v>
      </c>
      <c r="B1920" s="10">
        <v>44796</v>
      </c>
      <c r="C1920" s="11">
        <v>44796</v>
      </c>
      <c r="D1920" s="53">
        <v>34</v>
      </c>
      <c r="E1920" s="13" t="s">
        <v>2402</v>
      </c>
      <c r="F1920" s="13">
        <v>3025460</v>
      </c>
      <c r="G1920" s="14">
        <v>42071.5</v>
      </c>
      <c r="H1920" s="33">
        <f>8600-8598.14</f>
        <v>1.8600000000005821</v>
      </c>
      <c r="I1920" s="16">
        <f>-H1920*G1920</f>
        <v>-78252.990000024496</v>
      </c>
      <c r="J1920" s="17">
        <v>0</v>
      </c>
      <c r="K1920" s="34">
        <v>4502392169</v>
      </c>
      <c r="L1920" s="19">
        <v>5083283344</v>
      </c>
      <c r="M1920" s="20">
        <v>5113524855</v>
      </c>
      <c r="N1920" s="23"/>
      <c r="O1920" s="23"/>
      <c r="P1920" s="23"/>
      <c r="Q1920" s="24" t="s">
        <v>31</v>
      </c>
      <c r="R1920" s="25">
        <v>44793</v>
      </c>
      <c r="S1920" s="28"/>
      <c r="T1920" s="35"/>
      <c r="U1920" s="35"/>
      <c r="V1920" s="29"/>
      <c r="W1920" s="35"/>
      <c r="X1920" s="29"/>
      <c r="Y1920" s="36"/>
      <c r="Z1920" s="29"/>
      <c r="AA1920" s="31">
        <f t="shared" si="1"/>
        <v>44793</v>
      </c>
      <c r="AB1920" s="32" t="str">
        <f t="shared" si="5"/>
        <v>agosto</v>
      </c>
    </row>
    <row r="1921" spans="1:28" ht="12.75">
      <c r="A1921" s="9" t="s">
        <v>111</v>
      </c>
      <c r="B1921" s="10">
        <v>44794</v>
      </c>
      <c r="C1921" s="11">
        <v>44796</v>
      </c>
      <c r="D1921" s="53">
        <v>34</v>
      </c>
      <c r="E1921" s="13" t="s">
        <v>2403</v>
      </c>
      <c r="F1921" s="13">
        <v>3025459</v>
      </c>
      <c r="G1921" s="14">
        <v>6508</v>
      </c>
      <c r="H1921" s="33">
        <v>8200</v>
      </c>
      <c r="I1921" s="16">
        <f>H1921*G1921</f>
        <v>53365600</v>
      </c>
      <c r="J1921" s="17">
        <v>14</v>
      </c>
      <c r="K1921" s="34">
        <v>4502392170</v>
      </c>
      <c r="L1921" s="19">
        <v>5083299495</v>
      </c>
      <c r="M1921" s="20">
        <v>5113525007</v>
      </c>
      <c r="N1921" s="128"/>
      <c r="O1921" s="9" t="s">
        <v>63</v>
      </c>
      <c r="P1921" s="23"/>
      <c r="Q1921" s="24" t="s">
        <v>31</v>
      </c>
      <c r="R1921" s="25">
        <v>44794</v>
      </c>
      <c r="S1921" s="28"/>
      <c r="T1921" s="35"/>
      <c r="U1921" s="35"/>
      <c r="V1921" s="29"/>
      <c r="W1921" s="35"/>
      <c r="X1921" s="29"/>
      <c r="Y1921" s="36"/>
      <c r="Z1921" s="29"/>
      <c r="AA1921" s="31">
        <f t="shared" si="1"/>
        <v>44794</v>
      </c>
      <c r="AB1921" s="32" t="str">
        <f t="shared" si="5"/>
        <v>agosto</v>
      </c>
    </row>
    <row r="1922" spans="1:28" ht="12.75">
      <c r="A1922" s="9" t="s">
        <v>111</v>
      </c>
      <c r="B1922" s="10">
        <v>44794</v>
      </c>
      <c r="C1922" s="11">
        <v>44796</v>
      </c>
      <c r="D1922" s="53">
        <v>34</v>
      </c>
      <c r="E1922" s="13" t="s">
        <v>2404</v>
      </c>
      <c r="F1922" s="13">
        <v>3025459</v>
      </c>
      <c r="G1922" s="14">
        <v>6508</v>
      </c>
      <c r="H1922" s="33">
        <v>50</v>
      </c>
      <c r="I1922" s="16">
        <f>-H1922*G1922</f>
        <v>-325400</v>
      </c>
      <c r="J1922" s="17">
        <v>0</v>
      </c>
      <c r="K1922" s="34">
        <v>4502392170</v>
      </c>
      <c r="L1922" s="19">
        <v>5083299495</v>
      </c>
      <c r="M1922" s="20">
        <v>5113525008</v>
      </c>
      <c r="N1922" s="128"/>
      <c r="O1922" s="23"/>
      <c r="P1922" s="23"/>
      <c r="Q1922" s="24" t="s">
        <v>31</v>
      </c>
      <c r="R1922" s="25">
        <v>44794</v>
      </c>
      <c r="S1922" s="28"/>
      <c r="T1922" s="35"/>
      <c r="U1922" s="35"/>
      <c r="V1922" s="29"/>
      <c r="W1922" s="35"/>
      <c r="X1922" s="29"/>
      <c r="Y1922" s="36"/>
      <c r="Z1922" s="29"/>
      <c r="AA1922" s="31">
        <f t="shared" si="1"/>
        <v>44794</v>
      </c>
      <c r="AB1922" s="32" t="str">
        <f t="shared" si="5"/>
        <v>agosto</v>
      </c>
    </row>
    <row r="1923" spans="1:28" ht="12.75">
      <c r="A1923" s="9" t="s">
        <v>28</v>
      </c>
      <c r="B1923" s="10">
        <v>44796</v>
      </c>
      <c r="C1923" s="11">
        <v>44796</v>
      </c>
      <c r="D1923" s="53">
        <v>34</v>
      </c>
      <c r="E1923" s="13" t="s">
        <v>2405</v>
      </c>
      <c r="F1923" s="13">
        <v>3025459</v>
      </c>
      <c r="G1923" s="14">
        <v>14761</v>
      </c>
      <c r="H1923" s="15">
        <v>7850</v>
      </c>
      <c r="I1923" s="16">
        <f t="shared" ref="I1923:I1928" si="284">H1923*G1923</f>
        <v>115873850</v>
      </c>
      <c r="J1923" s="17">
        <v>28</v>
      </c>
      <c r="K1923" s="34">
        <v>4502395075</v>
      </c>
      <c r="L1923" s="19">
        <v>5083299485</v>
      </c>
      <c r="M1923" s="20">
        <v>5113525048</v>
      </c>
      <c r="N1923" s="23"/>
      <c r="O1923" s="44" t="s">
        <v>1217</v>
      </c>
      <c r="P1923" s="23" t="s">
        <v>63</v>
      </c>
      <c r="Q1923" s="24" t="s">
        <v>31</v>
      </c>
      <c r="R1923" s="25">
        <v>44794</v>
      </c>
      <c r="S1923" s="28">
        <v>4902330092</v>
      </c>
      <c r="T1923" s="35">
        <f>2982600*2</f>
        <v>5965200</v>
      </c>
      <c r="U1923" s="28" t="s">
        <v>2406</v>
      </c>
      <c r="V1923" s="29">
        <v>5113541949</v>
      </c>
      <c r="W1923" s="35"/>
      <c r="X1923" s="29"/>
      <c r="Y1923" s="36"/>
      <c r="Z1923" s="29"/>
      <c r="AA1923" s="31">
        <f t="shared" si="1"/>
        <v>44794</v>
      </c>
      <c r="AB1923" s="32" t="str">
        <f t="shared" si="5"/>
        <v>agosto</v>
      </c>
    </row>
    <row r="1924" spans="1:28" ht="12.75">
      <c r="A1924" s="22" t="s">
        <v>404</v>
      </c>
      <c r="B1924" s="10">
        <v>44794</v>
      </c>
      <c r="C1924" s="11">
        <v>44796</v>
      </c>
      <c r="D1924" s="53">
        <v>34</v>
      </c>
      <c r="E1924" s="13" t="s">
        <v>2407</v>
      </c>
      <c r="F1924" s="13">
        <v>3025459</v>
      </c>
      <c r="G1924" s="14">
        <v>7362</v>
      </c>
      <c r="H1924" s="33">
        <v>8600</v>
      </c>
      <c r="I1924" s="16">
        <f t="shared" si="284"/>
        <v>63313200</v>
      </c>
      <c r="J1924" s="17">
        <v>15</v>
      </c>
      <c r="K1924" s="34">
        <v>4502392173</v>
      </c>
      <c r="L1924" s="19">
        <v>5083299496</v>
      </c>
      <c r="M1924" s="20">
        <v>5113530419</v>
      </c>
      <c r="N1924" s="23"/>
      <c r="O1924" s="9" t="s">
        <v>37</v>
      </c>
      <c r="P1924" s="23"/>
      <c r="Q1924" s="24" t="s">
        <v>31</v>
      </c>
      <c r="R1924" s="25">
        <v>44794</v>
      </c>
      <c r="S1924" s="28"/>
      <c r="T1924" s="35"/>
      <c r="U1924" s="35"/>
      <c r="V1924" s="29"/>
      <c r="W1924" s="35"/>
      <c r="X1924" s="29"/>
      <c r="Y1924" s="36"/>
      <c r="Z1924" s="29"/>
      <c r="AA1924" s="31">
        <f t="shared" si="1"/>
        <v>44794</v>
      </c>
      <c r="AB1924" s="32" t="str">
        <f t="shared" si="5"/>
        <v>agosto</v>
      </c>
    </row>
    <row r="1925" spans="1:28" ht="12.75">
      <c r="A1925" s="9" t="s">
        <v>85</v>
      </c>
      <c r="B1925" s="10">
        <v>44797</v>
      </c>
      <c r="C1925" s="11">
        <v>44797</v>
      </c>
      <c r="D1925" s="53">
        <v>34</v>
      </c>
      <c r="E1925" s="13" t="s">
        <v>2408</v>
      </c>
      <c r="F1925" s="13">
        <v>3025460</v>
      </c>
      <c r="G1925" s="14">
        <v>25494</v>
      </c>
      <c r="H1925" s="57">
        <v>8100</v>
      </c>
      <c r="I1925" s="16">
        <f t="shared" si="284"/>
        <v>206501400</v>
      </c>
      <c r="J1925" s="17">
        <v>56</v>
      </c>
      <c r="K1925" s="34">
        <v>4502396462</v>
      </c>
      <c r="L1925" s="19">
        <v>5083329816</v>
      </c>
      <c r="M1925" s="20">
        <v>5113530394</v>
      </c>
      <c r="N1925" s="23"/>
      <c r="O1925" s="9" t="s">
        <v>63</v>
      </c>
      <c r="P1925" s="23"/>
      <c r="Q1925" s="24" t="s">
        <v>82</v>
      </c>
      <c r="R1925" s="25">
        <v>44794</v>
      </c>
      <c r="S1925" s="28"/>
      <c r="T1925" s="35"/>
      <c r="U1925" s="35"/>
      <c r="V1925" s="29"/>
      <c r="W1925" s="35"/>
      <c r="X1925" s="29"/>
      <c r="Y1925" s="36"/>
      <c r="Z1925" s="29"/>
      <c r="AA1925" s="31">
        <f t="shared" si="1"/>
        <v>44794</v>
      </c>
      <c r="AB1925" s="32" t="str">
        <f t="shared" si="5"/>
        <v>agosto</v>
      </c>
    </row>
    <row r="1926" spans="1:28" ht="12.75">
      <c r="A1926" s="9" t="s">
        <v>89</v>
      </c>
      <c r="B1926" s="10"/>
      <c r="C1926" s="11"/>
      <c r="D1926" s="53">
        <v>34</v>
      </c>
      <c r="E1926" s="13" t="s">
        <v>2409</v>
      </c>
      <c r="F1926" s="13">
        <v>3025460</v>
      </c>
      <c r="G1926" s="14">
        <v>15211</v>
      </c>
      <c r="H1926" s="57">
        <v>8100</v>
      </c>
      <c r="I1926" s="16">
        <f t="shared" si="284"/>
        <v>123209100</v>
      </c>
      <c r="J1926" s="17">
        <v>30</v>
      </c>
      <c r="K1926" s="34">
        <v>4502396470</v>
      </c>
      <c r="L1926" s="19">
        <v>5083329970</v>
      </c>
      <c r="M1926" s="20">
        <v>5113530485</v>
      </c>
      <c r="N1926" s="23"/>
      <c r="O1926" s="9" t="s">
        <v>63</v>
      </c>
      <c r="P1926" s="23"/>
      <c r="Q1926" s="24" t="s">
        <v>82</v>
      </c>
      <c r="R1926" s="25">
        <v>44794</v>
      </c>
      <c r="S1926" s="28"/>
      <c r="T1926" s="35"/>
      <c r="U1926" s="35"/>
      <c r="V1926" s="29"/>
      <c r="W1926" s="35"/>
      <c r="X1926" s="29"/>
      <c r="Y1926" s="36"/>
      <c r="Z1926" s="29"/>
      <c r="AA1926" s="31">
        <f t="shared" si="1"/>
        <v>44794</v>
      </c>
      <c r="AB1926" s="32" t="str">
        <f t="shared" si="5"/>
        <v>agosto</v>
      </c>
    </row>
    <row r="1927" spans="1:28" ht="12.75">
      <c r="A1927" s="9" t="s">
        <v>443</v>
      </c>
      <c r="B1927" s="10">
        <v>44794</v>
      </c>
      <c r="C1927" s="11"/>
      <c r="D1927" s="53">
        <v>34</v>
      </c>
      <c r="E1927" s="13" t="s">
        <v>2410</v>
      </c>
      <c r="F1927" s="13">
        <v>3025460</v>
      </c>
      <c r="G1927" s="14">
        <v>24036</v>
      </c>
      <c r="H1927" s="57">
        <v>8187.24</v>
      </c>
      <c r="I1927" s="16">
        <f t="shared" si="284"/>
        <v>196788500.63999999</v>
      </c>
      <c r="J1927" s="17">
        <v>42</v>
      </c>
      <c r="K1927" s="34">
        <v>4502396480</v>
      </c>
      <c r="L1927" s="19">
        <v>5083330114</v>
      </c>
      <c r="M1927" s="20">
        <v>5113530490</v>
      </c>
      <c r="N1927" s="9"/>
      <c r="O1927" s="9" t="s">
        <v>63</v>
      </c>
      <c r="P1927" s="23"/>
      <c r="Q1927" s="24" t="s">
        <v>82</v>
      </c>
      <c r="R1927" s="25">
        <v>44794</v>
      </c>
      <c r="S1927" s="28"/>
      <c r="T1927" s="35"/>
      <c r="U1927" s="35"/>
      <c r="V1927" s="29"/>
      <c r="W1927" s="35"/>
      <c r="X1927" s="29"/>
      <c r="Y1927" s="36"/>
      <c r="Z1927" s="29"/>
      <c r="AA1927" s="31">
        <f t="shared" si="1"/>
        <v>44794</v>
      </c>
      <c r="AB1927" s="32" t="str">
        <f t="shared" si="5"/>
        <v>agosto</v>
      </c>
    </row>
    <row r="1928" spans="1:28" ht="12.75">
      <c r="A1928" s="9" t="s">
        <v>274</v>
      </c>
      <c r="B1928" s="10">
        <v>44795</v>
      </c>
      <c r="C1928" s="11">
        <v>44798</v>
      </c>
      <c r="D1928" s="53">
        <v>34</v>
      </c>
      <c r="E1928" s="13" t="s">
        <v>2411</v>
      </c>
      <c r="F1928" s="13">
        <v>3025459</v>
      </c>
      <c r="G1928" s="37">
        <v>26922.5</v>
      </c>
      <c r="H1928" s="33">
        <v>8600</v>
      </c>
      <c r="I1928" s="16">
        <f t="shared" si="284"/>
        <v>231533500</v>
      </c>
      <c r="J1928" s="17">
        <v>58</v>
      </c>
      <c r="K1928" s="34">
        <v>4502392175</v>
      </c>
      <c r="L1928" s="19">
        <v>5083312729</v>
      </c>
      <c r="M1928" s="20">
        <v>5113530433</v>
      </c>
      <c r="N1928" s="23"/>
      <c r="O1928" s="9" t="s">
        <v>63</v>
      </c>
      <c r="P1928" s="23"/>
      <c r="Q1928" s="24" t="s">
        <v>31</v>
      </c>
      <c r="R1928" s="25">
        <v>44795</v>
      </c>
      <c r="S1928" s="28"/>
      <c r="T1928" s="35"/>
      <c r="U1928" s="35"/>
      <c r="V1928" s="29"/>
      <c r="W1928" s="35"/>
      <c r="X1928" s="29"/>
      <c r="Y1928" s="36"/>
      <c r="Z1928" s="29"/>
      <c r="AA1928" s="31">
        <f t="shared" si="1"/>
        <v>44795</v>
      </c>
      <c r="AB1928" s="32" t="str">
        <f t="shared" si="5"/>
        <v>agosto</v>
      </c>
    </row>
    <row r="1929" spans="1:28" ht="12.75">
      <c r="A1929" s="9" t="s">
        <v>274</v>
      </c>
      <c r="B1929" s="10">
        <v>44795</v>
      </c>
      <c r="C1929" s="11">
        <v>44798</v>
      </c>
      <c r="D1929" s="53">
        <v>34</v>
      </c>
      <c r="E1929" s="13" t="s">
        <v>756</v>
      </c>
      <c r="F1929" s="13">
        <v>3025459</v>
      </c>
      <c r="G1929" s="37">
        <v>26922.5</v>
      </c>
      <c r="H1929" s="33">
        <f>8600-8598.52</f>
        <v>1.4799999999995634</v>
      </c>
      <c r="I1929" s="16">
        <f>-H1929*G1929</f>
        <v>-39845.299999988245</v>
      </c>
      <c r="J1929" s="17">
        <v>0</v>
      </c>
      <c r="K1929" s="34">
        <v>4502392175</v>
      </c>
      <c r="L1929" s="19">
        <v>5083312729</v>
      </c>
      <c r="M1929" s="20">
        <v>5113530532</v>
      </c>
      <c r="N1929" s="23"/>
      <c r="O1929" s="23"/>
      <c r="P1929" s="23"/>
      <c r="Q1929" s="24" t="s">
        <v>31</v>
      </c>
      <c r="R1929" s="25">
        <v>44795</v>
      </c>
      <c r="S1929" s="28"/>
      <c r="T1929" s="35"/>
      <c r="U1929" s="35"/>
      <c r="V1929" s="29"/>
      <c r="W1929" s="35"/>
      <c r="X1929" s="29"/>
      <c r="Y1929" s="36"/>
      <c r="Z1929" s="29"/>
      <c r="AA1929" s="31">
        <f t="shared" si="1"/>
        <v>44795</v>
      </c>
      <c r="AB1929" s="32" t="str">
        <f t="shared" si="5"/>
        <v>agosto</v>
      </c>
    </row>
    <row r="1930" spans="1:28" ht="12.75">
      <c r="A1930" s="9" t="s">
        <v>58</v>
      </c>
      <c r="B1930" s="10">
        <v>44805</v>
      </c>
      <c r="C1930" s="11">
        <v>44805</v>
      </c>
      <c r="D1930" s="53">
        <v>34</v>
      </c>
      <c r="E1930" s="13" t="s">
        <v>2412</v>
      </c>
      <c r="F1930" s="13">
        <v>3025460</v>
      </c>
      <c r="G1930" s="14">
        <v>6827</v>
      </c>
      <c r="H1930" s="33">
        <v>8600</v>
      </c>
      <c r="I1930" s="16">
        <f>H1930*G1930</f>
        <v>58712200</v>
      </c>
      <c r="J1930" s="17">
        <v>15</v>
      </c>
      <c r="K1930" s="34">
        <v>4502392176</v>
      </c>
      <c r="L1930" s="19">
        <v>5083312614</v>
      </c>
      <c r="M1930" s="20">
        <v>5113558539</v>
      </c>
      <c r="N1930" s="23"/>
      <c r="O1930" s="9" t="s">
        <v>37</v>
      </c>
      <c r="P1930" s="23"/>
      <c r="Q1930" s="24" t="s">
        <v>31</v>
      </c>
      <c r="R1930" s="25">
        <v>44795</v>
      </c>
      <c r="S1930" s="28"/>
      <c r="T1930" s="35"/>
      <c r="U1930" s="35"/>
      <c r="V1930" s="29"/>
      <c r="W1930" s="35"/>
      <c r="X1930" s="29"/>
      <c r="Y1930" s="36"/>
      <c r="Z1930" s="29"/>
      <c r="AA1930" s="31">
        <f t="shared" si="1"/>
        <v>44795</v>
      </c>
      <c r="AB1930" s="32" t="str">
        <f t="shared" si="5"/>
        <v>agosto</v>
      </c>
    </row>
    <row r="1931" spans="1:28" ht="12.75">
      <c r="A1931" s="9" t="s">
        <v>58</v>
      </c>
      <c r="B1931" s="10">
        <v>44805</v>
      </c>
      <c r="C1931" s="11">
        <v>44805</v>
      </c>
      <c r="D1931" s="53">
        <v>34</v>
      </c>
      <c r="E1931" s="13" t="s">
        <v>2413</v>
      </c>
      <c r="F1931" s="13">
        <v>3025460</v>
      </c>
      <c r="G1931" s="14">
        <v>6827</v>
      </c>
      <c r="H1931" s="33">
        <v>50</v>
      </c>
      <c r="I1931" s="16">
        <f>-H1931*G1931</f>
        <v>-341350</v>
      </c>
      <c r="J1931" s="17">
        <v>0</v>
      </c>
      <c r="K1931" s="34">
        <v>4502392176</v>
      </c>
      <c r="L1931" s="19">
        <v>5083312614</v>
      </c>
      <c r="M1931" s="20">
        <v>5113558540</v>
      </c>
      <c r="N1931" s="23"/>
      <c r="O1931" s="23"/>
      <c r="P1931" s="23"/>
      <c r="Q1931" s="24" t="s">
        <v>31</v>
      </c>
      <c r="R1931" s="25">
        <v>44795</v>
      </c>
      <c r="S1931" s="28"/>
      <c r="T1931" s="35"/>
      <c r="U1931" s="35"/>
      <c r="V1931" s="29"/>
      <c r="W1931" s="35"/>
      <c r="X1931" s="29"/>
      <c r="Y1931" s="36"/>
      <c r="Z1931" s="29"/>
      <c r="AA1931" s="31">
        <f t="shared" si="1"/>
        <v>44795</v>
      </c>
      <c r="AB1931" s="32" t="str">
        <f t="shared" si="5"/>
        <v>agosto</v>
      </c>
    </row>
    <row r="1932" spans="1:28" ht="12.75">
      <c r="A1932" s="9" t="s">
        <v>2311</v>
      </c>
      <c r="B1932" s="10">
        <v>44795</v>
      </c>
      <c r="C1932" s="11">
        <v>44803</v>
      </c>
      <c r="D1932" s="53">
        <v>34</v>
      </c>
      <c r="E1932" s="13" t="s">
        <v>2414</v>
      </c>
      <c r="F1932" s="13">
        <v>3025460</v>
      </c>
      <c r="G1932" s="37">
        <v>7025.5</v>
      </c>
      <c r="H1932" s="33">
        <v>8200</v>
      </c>
      <c r="I1932" s="16">
        <f>H1932*G1932</f>
        <v>57609100</v>
      </c>
      <c r="J1932" s="17">
        <v>14</v>
      </c>
      <c r="K1932" s="34">
        <v>4502392177</v>
      </c>
      <c r="L1932" s="19">
        <v>5083312615</v>
      </c>
      <c r="M1932" s="20">
        <v>5113547153</v>
      </c>
      <c r="N1932" s="23"/>
      <c r="O1932" s="23" t="s">
        <v>37</v>
      </c>
      <c r="P1932" s="23"/>
      <c r="Q1932" s="24" t="s">
        <v>31</v>
      </c>
      <c r="R1932" s="25">
        <v>44795</v>
      </c>
      <c r="S1932" s="28"/>
      <c r="T1932" s="35"/>
      <c r="U1932" s="35"/>
      <c r="V1932" s="29"/>
      <c r="W1932" s="35"/>
      <c r="X1932" s="29"/>
      <c r="Y1932" s="36"/>
      <c r="Z1932" s="29"/>
      <c r="AA1932" s="31">
        <f t="shared" si="1"/>
        <v>44795</v>
      </c>
      <c r="AB1932" s="32" t="str">
        <f t="shared" si="5"/>
        <v>agosto</v>
      </c>
    </row>
    <row r="1933" spans="1:28" ht="12.75">
      <c r="A1933" s="9" t="s">
        <v>2311</v>
      </c>
      <c r="B1933" s="10">
        <v>44795</v>
      </c>
      <c r="C1933" s="11">
        <v>44803</v>
      </c>
      <c r="D1933" s="53">
        <v>34</v>
      </c>
      <c r="E1933" s="13" t="s">
        <v>2415</v>
      </c>
      <c r="F1933" s="13">
        <v>3025460</v>
      </c>
      <c r="G1933" s="37">
        <v>7025.5</v>
      </c>
      <c r="H1933" s="33">
        <f>8200-8103.79</f>
        <v>96.210000000000036</v>
      </c>
      <c r="I1933" s="16">
        <f>-H1933*G1933</f>
        <v>-675923.35500000021</v>
      </c>
      <c r="J1933" s="17">
        <v>0</v>
      </c>
      <c r="K1933" s="34">
        <v>4502392177</v>
      </c>
      <c r="L1933" s="19">
        <v>5083312615</v>
      </c>
      <c r="M1933" s="20">
        <v>5113547156</v>
      </c>
      <c r="N1933" s="23"/>
      <c r="O1933" s="23"/>
      <c r="P1933" s="23"/>
      <c r="Q1933" s="24" t="s">
        <v>31</v>
      </c>
      <c r="R1933" s="25">
        <v>44795</v>
      </c>
      <c r="S1933" s="28"/>
      <c r="T1933" s="35"/>
      <c r="U1933" s="35"/>
      <c r="V1933" s="29"/>
      <c r="W1933" s="35"/>
      <c r="X1933" s="29"/>
      <c r="Y1933" s="36"/>
      <c r="Z1933" s="29"/>
      <c r="AA1933" s="31">
        <f t="shared" si="1"/>
        <v>44795</v>
      </c>
      <c r="AB1933" s="32" t="str">
        <f t="shared" si="5"/>
        <v>agosto</v>
      </c>
    </row>
    <row r="1934" spans="1:28" ht="12.75">
      <c r="A1934" s="9" t="s">
        <v>58</v>
      </c>
      <c r="B1934" s="10">
        <v>44799</v>
      </c>
      <c r="C1934" s="11">
        <v>44799</v>
      </c>
      <c r="D1934" s="53">
        <v>34</v>
      </c>
      <c r="E1934" s="13" t="s">
        <v>2416</v>
      </c>
      <c r="F1934" s="13">
        <v>3025457</v>
      </c>
      <c r="G1934" s="37">
        <v>13347.5</v>
      </c>
      <c r="H1934" s="33">
        <v>8600</v>
      </c>
      <c r="I1934" s="16">
        <f>H1934*G1934</f>
        <v>114788500</v>
      </c>
      <c r="J1934" s="17">
        <v>30</v>
      </c>
      <c r="K1934" s="34">
        <v>4502392178</v>
      </c>
      <c r="L1934" s="19">
        <v>5083330856</v>
      </c>
      <c r="M1934" s="20">
        <v>5113541498</v>
      </c>
      <c r="N1934" s="23"/>
      <c r="O1934" s="9" t="s">
        <v>37</v>
      </c>
      <c r="P1934" s="23"/>
      <c r="Q1934" s="24" t="s">
        <v>31</v>
      </c>
      <c r="R1934" s="25">
        <v>44796</v>
      </c>
      <c r="S1934" s="28"/>
      <c r="T1934" s="35"/>
      <c r="U1934" s="35"/>
      <c r="V1934" s="29"/>
      <c r="W1934" s="35"/>
      <c r="X1934" s="29"/>
      <c r="Y1934" s="36"/>
      <c r="Z1934" s="29"/>
      <c r="AA1934" s="31">
        <f t="shared" si="1"/>
        <v>44796</v>
      </c>
      <c r="AB1934" s="32" t="str">
        <f t="shared" si="5"/>
        <v>agosto</v>
      </c>
    </row>
    <row r="1935" spans="1:28" ht="12.75">
      <c r="A1935" s="9" t="s">
        <v>58</v>
      </c>
      <c r="B1935" s="10">
        <v>44799</v>
      </c>
      <c r="C1935" s="11">
        <v>44799</v>
      </c>
      <c r="D1935" s="53">
        <v>34</v>
      </c>
      <c r="E1935" s="13" t="s">
        <v>2417</v>
      </c>
      <c r="F1935" s="13">
        <v>3025457</v>
      </c>
      <c r="G1935" s="37">
        <v>13347.5</v>
      </c>
      <c r="H1935" s="33">
        <f>8600-8444.19</f>
        <v>155.80999999999949</v>
      </c>
      <c r="I1935" s="16">
        <f>-H1935*G1935</f>
        <v>-2079673.9749999931</v>
      </c>
      <c r="J1935" s="17">
        <v>0</v>
      </c>
      <c r="K1935" s="34">
        <v>4502392178</v>
      </c>
      <c r="L1935" s="19">
        <v>5083330856</v>
      </c>
      <c r="M1935" s="20">
        <v>5113541529</v>
      </c>
      <c r="N1935" s="23"/>
      <c r="O1935" s="23"/>
      <c r="P1935" s="23"/>
      <c r="Q1935" s="24" t="s">
        <v>31</v>
      </c>
      <c r="R1935" s="25">
        <v>44796</v>
      </c>
      <c r="S1935" s="28"/>
      <c r="T1935" s="35"/>
      <c r="U1935" s="35"/>
      <c r="V1935" s="29"/>
      <c r="W1935" s="35"/>
      <c r="X1935" s="29"/>
      <c r="Y1935" s="36"/>
      <c r="Z1935" s="29"/>
      <c r="AA1935" s="31">
        <f t="shared" si="1"/>
        <v>44796</v>
      </c>
      <c r="AB1935" s="32" t="str">
        <f t="shared" si="5"/>
        <v>agosto</v>
      </c>
    </row>
    <row r="1936" spans="1:28" ht="12.75">
      <c r="A1936" s="9" t="s">
        <v>39</v>
      </c>
      <c r="B1936" s="10">
        <v>44796</v>
      </c>
      <c r="C1936" s="11">
        <v>44802</v>
      </c>
      <c r="D1936" s="53">
        <v>34</v>
      </c>
      <c r="E1936" s="13" t="s">
        <v>2418</v>
      </c>
      <c r="F1936" s="13">
        <v>3025457</v>
      </c>
      <c r="G1936" s="37">
        <v>13466</v>
      </c>
      <c r="H1936" s="33">
        <v>8600</v>
      </c>
      <c r="I1936" s="16">
        <f>H1936*G1936</f>
        <v>115807600</v>
      </c>
      <c r="J1936" s="17">
        <v>30</v>
      </c>
      <c r="K1936" s="34">
        <v>4502392179</v>
      </c>
      <c r="L1936" s="19">
        <v>5083330857</v>
      </c>
      <c r="M1936" s="20">
        <v>5113547107</v>
      </c>
      <c r="N1936" s="23"/>
      <c r="O1936" s="9" t="s">
        <v>37</v>
      </c>
      <c r="P1936" s="23"/>
      <c r="Q1936" s="24" t="s">
        <v>31</v>
      </c>
      <c r="R1936" s="25">
        <v>44796</v>
      </c>
      <c r="S1936" s="28"/>
      <c r="T1936" s="35"/>
      <c r="U1936" s="35"/>
      <c r="V1936" s="29"/>
      <c r="W1936" s="35"/>
      <c r="X1936" s="29"/>
      <c r="Y1936" s="36"/>
      <c r="Z1936" s="29"/>
      <c r="AA1936" s="31">
        <f t="shared" si="1"/>
        <v>44796</v>
      </c>
      <c r="AB1936" s="32" t="str">
        <f t="shared" si="5"/>
        <v>agosto</v>
      </c>
    </row>
    <row r="1937" spans="1:28" ht="12.75">
      <c r="A1937" s="9" t="s">
        <v>39</v>
      </c>
      <c r="B1937" s="10">
        <v>44796</v>
      </c>
      <c r="C1937" s="11">
        <v>44802</v>
      </c>
      <c r="D1937" s="53">
        <v>34</v>
      </c>
      <c r="E1937" s="13" t="s">
        <v>688</v>
      </c>
      <c r="F1937" s="13">
        <v>3025457</v>
      </c>
      <c r="G1937" s="37">
        <v>13466</v>
      </c>
      <c r="H1937" s="33">
        <v>50</v>
      </c>
      <c r="I1937" s="16">
        <f>-H1937*G1937</f>
        <v>-673300</v>
      </c>
      <c r="J1937" s="17">
        <v>0</v>
      </c>
      <c r="K1937" s="34">
        <v>4502392179</v>
      </c>
      <c r="L1937" s="19">
        <v>5083330857</v>
      </c>
      <c r="M1937" s="20">
        <v>5113547110</v>
      </c>
      <c r="N1937" s="23"/>
      <c r="O1937" s="23"/>
      <c r="P1937" s="23"/>
      <c r="Q1937" s="24" t="s">
        <v>31</v>
      </c>
      <c r="R1937" s="25">
        <v>44796</v>
      </c>
      <c r="S1937" s="28"/>
      <c r="T1937" s="35"/>
      <c r="U1937" s="35"/>
      <c r="V1937" s="29"/>
      <c r="W1937" s="35"/>
      <c r="X1937" s="29"/>
      <c r="Y1937" s="36"/>
      <c r="Z1937" s="29"/>
      <c r="AA1937" s="31">
        <f t="shared" si="1"/>
        <v>44796</v>
      </c>
      <c r="AB1937" s="32" t="str">
        <f t="shared" si="5"/>
        <v>agosto</v>
      </c>
    </row>
    <row r="1938" spans="1:28" ht="12.75">
      <c r="A1938" s="9" t="s">
        <v>28</v>
      </c>
      <c r="B1938" s="10">
        <v>44796</v>
      </c>
      <c r="C1938" s="11">
        <v>44796</v>
      </c>
      <c r="D1938" s="53">
        <v>34</v>
      </c>
      <c r="E1938" s="13" t="s">
        <v>2419</v>
      </c>
      <c r="F1938" s="13">
        <v>3025457</v>
      </c>
      <c r="G1938" s="14">
        <v>7232</v>
      </c>
      <c r="H1938" s="15">
        <v>7850</v>
      </c>
      <c r="I1938" s="16">
        <f t="shared" ref="I1938:I1941" si="285">H1938*G1938</f>
        <v>56771200</v>
      </c>
      <c r="J1938" s="17">
        <v>14</v>
      </c>
      <c r="K1938" s="34">
        <v>4502395075</v>
      </c>
      <c r="L1938" s="19">
        <v>5083299485</v>
      </c>
      <c r="M1938" s="20">
        <v>5113525050</v>
      </c>
      <c r="N1938" s="23"/>
      <c r="O1938" s="44" t="s">
        <v>2420</v>
      </c>
      <c r="P1938" s="23" t="s">
        <v>63</v>
      </c>
      <c r="Q1938" s="24" t="s">
        <v>31</v>
      </c>
      <c r="R1938" s="25">
        <v>44796</v>
      </c>
      <c r="S1938" s="28">
        <v>4902330097</v>
      </c>
      <c r="T1938" s="35">
        <f>3062400</f>
        <v>3062400</v>
      </c>
      <c r="U1938" s="28" t="s">
        <v>2421</v>
      </c>
      <c r="V1938" s="29">
        <v>5113547785</v>
      </c>
      <c r="W1938" s="35"/>
      <c r="X1938" s="29"/>
      <c r="Y1938" s="36"/>
      <c r="Z1938" s="29"/>
      <c r="AA1938" s="31">
        <f t="shared" si="1"/>
        <v>44796</v>
      </c>
      <c r="AB1938" s="32" t="str">
        <f t="shared" si="5"/>
        <v>agosto</v>
      </c>
    </row>
    <row r="1939" spans="1:28" ht="12.75">
      <c r="A1939" s="9" t="s">
        <v>104</v>
      </c>
      <c r="B1939" s="10">
        <v>44799</v>
      </c>
      <c r="C1939" s="11">
        <v>44799</v>
      </c>
      <c r="D1939" s="53">
        <v>34</v>
      </c>
      <c r="E1939" s="13" t="s">
        <v>759</v>
      </c>
      <c r="F1939" s="13">
        <v>3025457</v>
      </c>
      <c r="G1939" s="37">
        <v>13173.5</v>
      </c>
      <c r="H1939" s="33">
        <v>8300</v>
      </c>
      <c r="I1939" s="16">
        <f t="shared" si="285"/>
        <v>109340050</v>
      </c>
      <c r="J1939" s="17">
        <v>28</v>
      </c>
      <c r="K1939" s="34">
        <v>4502392180</v>
      </c>
      <c r="L1939" s="19">
        <v>5083330888</v>
      </c>
      <c r="M1939" s="20">
        <v>5113541601</v>
      </c>
      <c r="N1939" s="23"/>
      <c r="O1939" s="9" t="s">
        <v>63</v>
      </c>
      <c r="P1939" s="23"/>
      <c r="Q1939" s="24" t="s">
        <v>31</v>
      </c>
      <c r="R1939" s="25">
        <v>44796</v>
      </c>
      <c r="S1939" s="28"/>
      <c r="T1939" s="35"/>
      <c r="U1939" s="35"/>
      <c r="V1939" s="29"/>
      <c r="W1939" s="35"/>
      <c r="X1939" s="29"/>
      <c r="Y1939" s="36"/>
      <c r="Z1939" s="29"/>
      <c r="AA1939" s="31">
        <f t="shared" si="1"/>
        <v>44796</v>
      </c>
      <c r="AB1939" s="32" t="str">
        <f t="shared" si="5"/>
        <v>agosto</v>
      </c>
    </row>
    <row r="1940" spans="1:28" ht="12.75">
      <c r="A1940" s="9" t="s">
        <v>104</v>
      </c>
      <c r="B1940" s="10">
        <v>44799</v>
      </c>
      <c r="C1940" s="11">
        <v>44799</v>
      </c>
      <c r="D1940" s="53">
        <v>34</v>
      </c>
      <c r="E1940" s="13" t="s">
        <v>582</v>
      </c>
      <c r="F1940" s="13">
        <v>3025457</v>
      </c>
      <c r="G1940" s="37">
        <v>13173.5</v>
      </c>
      <c r="H1940" s="33">
        <v>50</v>
      </c>
      <c r="I1940" s="16">
        <f t="shared" si="285"/>
        <v>658675</v>
      </c>
      <c r="J1940" s="17">
        <v>0</v>
      </c>
      <c r="K1940" s="34">
        <v>4502392180</v>
      </c>
      <c r="L1940" s="19">
        <v>5083330888</v>
      </c>
      <c r="M1940" s="20">
        <v>5113541603</v>
      </c>
      <c r="N1940" s="23"/>
      <c r="O1940" s="23"/>
      <c r="P1940" s="23"/>
      <c r="Q1940" s="24" t="s">
        <v>31</v>
      </c>
      <c r="R1940" s="25">
        <v>44796</v>
      </c>
      <c r="S1940" s="28"/>
      <c r="T1940" s="35"/>
      <c r="U1940" s="35"/>
      <c r="V1940" s="29"/>
      <c r="W1940" s="35"/>
      <c r="X1940" s="29"/>
      <c r="Y1940" s="36"/>
      <c r="Z1940" s="29"/>
      <c r="AA1940" s="31">
        <f t="shared" si="1"/>
        <v>44796</v>
      </c>
      <c r="AB1940" s="32" t="str">
        <f t="shared" si="5"/>
        <v>agosto</v>
      </c>
    </row>
    <row r="1941" spans="1:28" ht="12.75">
      <c r="A1941" s="22" t="s">
        <v>404</v>
      </c>
      <c r="B1941" s="10">
        <v>44796</v>
      </c>
      <c r="C1941" s="11">
        <v>44799</v>
      </c>
      <c r="D1941" s="53">
        <v>34</v>
      </c>
      <c r="E1941" s="13" t="s">
        <v>2422</v>
      </c>
      <c r="F1941" s="13">
        <v>3025459</v>
      </c>
      <c r="G1941" s="37">
        <v>26721</v>
      </c>
      <c r="H1941" s="33">
        <v>8600</v>
      </c>
      <c r="I1941" s="16">
        <f t="shared" si="285"/>
        <v>229800600</v>
      </c>
      <c r="J1941" s="17">
        <v>59</v>
      </c>
      <c r="K1941" s="34">
        <v>4502392181</v>
      </c>
      <c r="L1941" s="19">
        <v>5083330889</v>
      </c>
      <c r="M1941" s="20">
        <v>5113556530</v>
      </c>
      <c r="N1941" s="23"/>
      <c r="O1941" s="9" t="s">
        <v>37</v>
      </c>
      <c r="P1941" s="23"/>
      <c r="Q1941" s="24" t="s">
        <v>31</v>
      </c>
      <c r="R1941" s="25">
        <v>44796</v>
      </c>
      <c r="S1941" s="28"/>
      <c r="T1941" s="35"/>
      <c r="U1941" s="35"/>
      <c r="V1941" s="29"/>
      <c r="W1941" s="35"/>
      <c r="X1941" s="29"/>
      <c r="Y1941" s="36"/>
      <c r="Z1941" s="29"/>
      <c r="AA1941" s="31">
        <f t="shared" si="1"/>
        <v>44796</v>
      </c>
      <c r="AB1941" s="32" t="str">
        <f t="shared" si="5"/>
        <v>agosto</v>
      </c>
    </row>
    <row r="1942" spans="1:28" ht="12.75">
      <c r="A1942" s="22" t="s">
        <v>404</v>
      </c>
      <c r="B1942" s="10">
        <v>44796</v>
      </c>
      <c r="C1942" s="11">
        <v>44799</v>
      </c>
      <c r="D1942" s="53">
        <v>34</v>
      </c>
      <c r="E1942" s="13" t="s">
        <v>337</v>
      </c>
      <c r="F1942" s="13">
        <v>3025459</v>
      </c>
      <c r="G1942" s="37">
        <v>26721</v>
      </c>
      <c r="H1942" s="33">
        <f>8600-8487.13</f>
        <v>112.8700000000008</v>
      </c>
      <c r="I1942" s="16">
        <f>-H1942*G1942</f>
        <v>-3015999.2700000214</v>
      </c>
      <c r="J1942" s="17">
        <v>0</v>
      </c>
      <c r="K1942" s="34">
        <v>4502392181</v>
      </c>
      <c r="L1942" s="19">
        <v>5083330889</v>
      </c>
      <c r="M1942" s="20">
        <v>5113556531</v>
      </c>
      <c r="N1942" s="23"/>
      <c r="O1942" s="23"/>
      <c r="P1942" s="23"/>
      <c r="Q1942" s="24" t="s">
        <v>31</v>
      </c>
      <c r="R1942" s="25">
        <v>44796</v>
      </c>
      <c r="S1942" s="28"/>
      <c r="T1942" s="35"/>
      <c r="U1942" s="35"/>
      <c r="V1942" s="29"/>
      <c r="W1942" s="35"/>
      <c r="X1942" s="29"/>
      <c r="Y1942" s="36"/>
      <c r="Z1942" s="29"/>
      <c r="AA1942" s="31">
        <f t="shared" si="1"/>
        <v>44796</v>
      </c>
      <c r="AB1942" s="32" t="str">
        <f t="shared" si="5"/>
        <v>agosto</v>
      </c>
    </row>
    <row r="1943" spans="1:28" ht="12.75">
      <c r="A1943" s="9" t="s">
        <v>2423</v>
      </c>
      <c r="B1943" s="10">
        <v>44798</v>
      </c>
      <c r="C1943" s="11"/>
      <c r="D1943" s="53">
        <v>34</v>
      </c>
      <c r="E1943" s="13" t="s">
        <v>2424</v>
      </c>
      <c r="F1943" s="13">
        <v>3025460</v>
      </c>
      <c r="G1943" s="37">
        <v>12222</v>
      </c>
      <c r="H1943" s="33">
        <v>8200</v>
      </c>
      <c r="I1943" s="16">
        <f>H1943*G1943</f>
        <v>100220400</v>
      </c>
      <c r="J1943" s="17">
        <v>30</v>
      </c>
      <c r="K1943" s="34">
        <v>4502392183</v>
      </c>
      <c r="L1943" s="19">
        <v>5083331082</v>
      </c>
      <c r="M1943" s="20">
        <v>5113539191</v>
      </c>
      <c r="N1943" s="23"/>
      <c r="O1943" s="23" t="s">
        <v>37</v>
      </c>
      <c r="P1943" s="23"/>
      <c r="Q1943" s="24" t="s">
        <v>31</v>
      </c>
      <c r="R1943" s="25">
        <v>44796</v>
      </c>
      <c r="S1943" s="28"/>
      <c r="T1943" s="35"/>
      <c r="U1943" s="35"/>
      <c r="V1943" s="29"/>
      <c r="W1943" s="35"/>
      <c r="X1943" s="29"/>
      <c r="Y1943" s="36"/>
      <c r="Z1943" s="29"/>
      <c r="AA1943" s="31">
        <f t="shared" si="1"/>
        <v>44796</v>
      </c>
      <c r="AB1943" s="32" t="str">
        <f t="shared" si="5"/>
        <v>agosto</v>
      </c>
    </row>
    <row r="1944" spans="1:28" ht="12.75">
      <c r="A1944" s="9" t="s">
        <v>2423</v>
      </c>
      <c r="B1944" s="10">
        <v>44798</v>
      </c>
      <c r="C1944" s="11"/>
      <c r="D1944" s="53">
        <v>34</v>
      </c>
      <c r="E1944" s="13" t="s">
        <v>226</v>
      </c>
      <c r="F1944" s="13">
        <v>3025460</v>
      </c>
      <c r="G1944" s="37">
        <v>12222</v>
      </c>
      <c r="H1944" s="33">
        <f>8200-8172.62</f>
        <v>27.380000000000109</v>
      </c>
      <c r="I1944" s="16">
        <f>-H1944*G1944</f>
        <v>-334638.36000000132</v>
      </c>
      <c r="J1944" s="17">
        <v>0</v>
      </c>
      <c r="K1944" s="34">
        <v>4502392183</v>
      </c>
      <c r="L1944" s="19">
        <v>5083331082</v>
      </c>
      <c r="M1944" s="20">
        <v>5113539194</v>
      </c>
      <c r="N1944" s="23"/>
      <c r="O1944" s="23"/>
      <c r="P1944" s="23"/>
      <c r="Q1944" s="24" t="s">
        <v>31</v>
      </c>
      <c r="R1944" s="25">
        <v>44796</v>
      </c>
      <c r="S1944" s="28"/>
      <c r="T1944" s="35"/>
      <c r="U1944" s="35"/>
      <c r="V1944" s="29"/>
      <c r="W1944" s="35"/>
      <c r="X1944" s="29"/>
      <c r="Y1944" s="36"/>
      <c r="Z1944" s="29"/>
      <c r="AA1944" s="31">
        <f t="shared" si="1"/>
        <v>44796</v>
      </c>
      <c r="AB1944" s="32" t="str">
        <f t="shared" si="5"/>
        <v>agosto</v>
      </c>
    </row>
    <row r="1945" spans="1:28" ht="12.75">
      <c r="A1945" s="9" t="s">
        <v>99</v>
      </c>
      <c r="B1945" s="10">
        <v>44801</v>
      </c>
      <c r="C1945" s="11">
        <v>44803</v>
      </c>
      <c r="D1945" s="53">
        <v>34</v>
      </c>
      <c r="E1945" s="13" t="s">
        <v>2425</v>
      </c>
      <c r="F1945" s="13">
        <v>3025460</v>
      </c>
      <c r="G1945" s="37">
        <v>13925</v>
      </c>
      <c r="H1945" s="33">
        <v>8300</v>
      </c>
      <c r="I1945" s="16">
        <f t="shared" ref="I1945:I1953" si="286">H1945*G1945</f>
        <v>115577500</v>
      </c>
      <c r="J1945" s="17">
        <v>30</v>
      </c>
      <c r="K1945" s="34">
        <v>4502392184</v>
      </c>
      <c r="L1945" s="19">
        <v>5083331083</v>
      </c>
      <c r="M1945" s="20">
        <v>5113552985</v>
      </c>
      <c r="N1945" s="23"/>
      <c r="O1945" s="9" t="s">
        <v>37</v>
      </c>
      <c r="P1945" s="23"/>
      <c r="Q1945" s="24" t="s">
        <v>31</v>
      </c>
      <c r="R1945" s="25">
        <v>44796</v>
      </c>
      <c r="S1945" s="28"/>
      <c r="T1945" s="35"/>
      <c r="U1945" s="35"/>
      <c r="V1945" s="29"/>
      <c r="W1945" s="35"/>
      <c r="X1945" s="29"/>
      <c r="Y1945" s="36"/>
      <c r="Z1945" s="29"/>
      <c r="AA1945" s="31">
        <f t="shared" si="1"/>
        <v>44796</v>
      </c>
      <c r="AB1945" s="32" t="str">
        <f t="shared" si="5"/>
        <v>agosto</v>
      </c>
    </row>
    <row r="1946" spans="1:28" ht="12.75">
      <c r="A1946" s="9" t="s">
        <v>99</v>
      </c>
      <c r="B1946" s="10">
        <v>44801</v>
      </c>
      <c r="C1946" s="11">
        <v>44803</v>
      </c>
      <c r="D1946" s="53">
        <v>34</v>
      </c>
      <c r="E1946" s="13" t="s">
        <v>2426</v>
      </c>
      <c r="F1946" s="13">
        <v>3025460</v>
      </c>
      <c r="G1946" s="37">
        <v>13925</v>
      </c>
      <c r="H1946" s="33">
        <v>100</v>
      </c>
      <c r="I1946" s="16">
        <f t="shared" si="286"/>
        <v>1392500</v>
      </c>
      <c r="J1946" s="17">
        <v>0</v>
      </c>
      <c r="K1946" s="34">
        <v>4502392184</v>
      </c>
      <c r="L1946" s="19">
        <v>5083331083</v>
      </c>
      <c r="M1946" s="20">
        <v>5113553028</v>
      </c>
      <c r="N1946" s="23"/>
      <c r="O1946" s="23"/>
      <c r="P1946" s="23"/>
      <c r="Q1946" s="24" t="s">
        <v>31</v>
      </c>
      <c r="R1946" s="25">
        <v>44796</v>
      </c>
      <c r="S1946" s="28"/>
      <c r="T1946" s="35"/>
      <c r="U1946" s="35"/>
      <c r="V1946" s="29"/>
      <c r="W1946" s="35"/>
      <c r="X1946" s="29"/>
      <c r="Y1946" s="36"/>
      <c r="Z1946" s="29"/>
      <c r="AA1946" s="31">
        <f t="shared" si="1"/>
        <v>44796</v>
      </c>
      <c r="AB1946" s="32" t="str">
        <f t="shared" si="5"/>
        <v>agosto</v>
      </c>
    </row>
    <row r="1947" spans="1:28" ht="12.75">
      <c r="A1947" s="9" t="s">
        <v>2427</v>
      </c>
      <c r="B1947" s="10">
        <v>44797</v>
      </c>
      <c r="C1947" s="11">
        <v>44797</v>
      </c>
      <c r="D1947" s="53">
        <v>34</v>
      </c>
      <c r="E1947" s="13" t="s">
        <v>2428</v>
      </c>
      <c r="F1947" s="13">
        <v>3025460</v>
      </c>
      <c r="G1947" s="14">
        <v>7912</v>
      </c>
      <c r="H1947" s="15">
        <v>7950</v>
      </c>
      <c r="I1947" s="16">
        <f t="shared" si="286"/>
        <v>62900400</v>
      </c>
      <c r="J1947" s="17">
        <v>14</v>
      </c>
      <c r="K1947" s="34">
        <v>4502399386</v>
      </c>
      <c r="L1947" s="19">
        <v>5083402077</v>
      </c>
      <c r="M1947" s="20">
        <v>5113557910</v>
      </c>
      <c r="N1947" s="23">
        <v>0</v>
      </c>
      <c r="O1947" s="44" t="s">
        <v>2429</v>
      </c>
      <c r="P1947" s="23" t="s">
        <v>2430</v>
      </c>
      <c r="Q1947" s="24" t="s">
        <v>31</v>
      </c>
      <c r="R1947" s="25">
        <v>44796</v>
      </c>
      <c r="S1947" s="28">
        <v>4902330118</v>
      </c>
      <c r="T1947" s="27">
        <v>2982600</v>
      </c>
      <c r="U1947" s="28" t="s">
        <v>2431</v>
      </c>
      <c r="V1947" s="29">
        <v>5113547927</v>
      </c>
      <c r="W1947" s="35"/>
      <c r="X1947" s="29"/>
      <c r="Y1947" s="36"/>
      <c r="Z1947" s="29"/>
      <c r="AA1947" s="31">
        <f t="shared" si="1"/>
        <v>44796</v>
      </c>
      <c r="AB1947" s="32" t="str">
        <f t="shared" si="5"/>
        <v>agosto</v>
      </c>
    </row>
    <row r="1948" spans="1:28" ht="12.75">
      <c r="A1948" s="9" t="s">
        <v>58</v>
      </c>
      <c r="B1948" s="10">
        <v>44799</v>
      </c>
      <c r="C1948" s="11">
        <v>44799</v>
      </c>
      <c r="D1948" s="53">
        <v>34</v>
      </c>
      <c r="E1948" s="13" t="s">
        <v>2432</v>
      </c>
      <c r="F1948" s="13">
        <v>3025460</v>
      </c>
      <c r="G1948" s="37">
        <v>13685.5</v>
      </c>
      <c r="H1948" s="33">
        <v>8600</v>
      </c>
      <c r="I1948" s="16">
        <f t="shared" si="286"/>
        <v>117695300</v>
      </c>
      <c r="J1948" s="17">
        <v>30</v>
      </c>
      <c r="K1948" s="34">
        <v>4502395619</v>
      </c>
      <c r="L1948" s="19">
        <v>5083330890</v>
      </c>
      <c r="M1948" s="20">
        <v>5113535862</v>
      </c>
      <c r="N1948" s="23"/>
      <c r="O1948" s="9" t="s">
        <v>37</v>
      </c>
      <c r="P1948" s="23"/>
      <c r="Q1948" s="24" t="s">
        <v>31</v>
      </c>
      <c r="R1948" s="25">
        <v>44796</v>
      </c>
      <c r="S1948" s="28"/>
      <c r="T1948" s="35"/>
      <c r="U1948" s="35"/>
      <c r="V1948" s="29"/>
      <c r="W1948" s="35"/>
      <c r="X1948" s="29"/>
      <c r="Y1948" s="36"/>
      <c r="Z1948" s="29"/>
      <c r="AA1948" s="31">
        <f t="shared" si="1"/>
        <v>44796</v>
      </c>
      <c r="AB1948" s="32" t="str">
        <f t="shared" si="5"/>
        <v>agosto</v>
      </c>
    </row>
    <row r="1949" spans="1:28" ht="12.75">
      <c r="A1949" s="9" t="s">
        <v>94</v>
      </c>
      <c r="B1949" s="10">
        <v>44799</v>
      </c>
      <c r="C1949" s="11"/>
      <c r="D1949" s="53">
        <v>34</v>
      </c>
      <c r="E1949" s="13" t="s">
        <v>2433</v>
      </c>
      <c r="F1949" s="13">
        <v>3025460</v>
      </c>
      <c r="G1949" s="14">
        <v>13028</v>
      </c>
      <c r="H1949" s="57">
        <v>8100</v>
      </c>
      <c r="I1949" s="16">
        <f t="shared" si="286"/>
        <v>105526800</v>
      </c>
      <c r="J1949" s="17">
        <v>30</v>
      </c>
      <c r="K1949" s="34">
        <v>4502398955</v>
      </c>
      <c r="L1949" s="19">
        <v>5083373502</v>
      </c>
      <c r="M1949" s="20">
        <v>5113538419</v>
      </c>
      <c r="N1949" s="23"/>
      <c r="O1949" s="9" t="s">
        <v>63</v>
      </c>
      <c r="P1949" s="23"/>
      <c r="Q1949" s="24" t="s">
        <v>82</v>
      </c>
      <c r="R1949" s="25">
        <v>44796</v>
      </c>
      <c r="S1949" s="28"/>
      <c r="T1949" s="35"/>
      <c r="U1949" s="35"/>
      <c r="V1949" s="29"/>
      <c r="W1949" s="35"/>
      <c r="X1949" s="29"/>
      <c r="Y1949" s="36"/>
      <c r="Z1949" s="29"/>
      <c r="AA1949" s="31">
        <f t="shared" si="1"/>
        <v>44796</v>
      </c>
      <c r="AB1949" s="32" t="str">
        <f t="shared" si="5"/>
        <v>agosto</v>
      </c>
    </row>
    <row r="1950" spans="1:28" ht="12.75">
      <c r="A1950" s="9" t="s">
        <v>2434</v>
      </c>
      <c r="B1950" s="10">
        <v>44796</v>
      </c>
      <c r="C1950" s="11">
        <v>44800</v>
      </c>
      <c r="D1950" s="53">
        <v>34</v>
      </c>
      <c r="E1950" s="13" t="s">
        <v>2435</v>
      </c>
      <c r="F1950" s="13">
        <v>3025460</v>
      </c>
      <c r="G1950" s="14">
        <v>13407</v>
      </c>
      <c r="H1950" s="57">
        <v>8100</v>
      </c>
      <c r="I1950" s="16">
        <f t="shared" si="286"/>
        <v>108596700</v>
      </c>
      <c r="J1950" s="17">
        <v>28</v>
      </c>
      <c r="K1950" s="34">
        <v>4502398965</v>
      </c>
      <c r="L1950" s="19">
        <v>5083373710</v>
      </c>
      <c r="M1950" s="20">
        <v>5113544442</v>
      </c>
      <c r="N1950" s="23"/>
      <c r="O1950" s="23" t="s">
        <v>63</v>
      </c>
      <c r="P1950" s="23"/>
      <c r="Q1950" s="24" t="s">
        <v>82</v>
      </c>
      <c r="R1950" s="25">
        <v>44796</v>
      </c>
      <c r="S1950" s="28"/>
      <c r="T1950" s="35"/>
      <c r="U1950" s="35"/>
      <c r="V1950" s="29"/>
      <c r="W1950" s="35"/>
      <c r="X1950" s="29"/>
      <c r="Y1950" s="36"/>
      <c r="Z1950" s="29"/>
      <c r="AA1950" s="31">
        <f t="shared" si="1"/>
        <v>44796</v>
      </c>
      <c r="AB1950" s="32" t="str">
        <f t="shared" si="5"/>
        <v>agosto</v>
      </c>
    </row>
    <row r="1951" spans="1:28" ht="12.75">
      <c r="A1951" s="9" t="s">
        <v>1726</v>
      </c>
      <c r="B1951" s="10">
        <v>44800</v>
      </c>
      <c r="C1951" s="11"/>
      <c r="D1951" s="53">
        <v>34</v>
      </c>
      <c r="E1951" s="13" t="s">
        <v>2436</v>
      </c>
      <c r="F1951" s="13">
        <v>3025460</v>
      </c>
      <c r="G1951" s="14">
        <v>7459</v>
      </c>
      <c r="H1951" s="57">
        <v>8100</v>
      </c>
      <c r="I1951" s="16">
        <f t="shared" si="286"/>
        <v>60417900</v>
      </c>
      <c r="J1951" s="17">
        <v>14</v>
      </c>
      <c r="K1951" s="34">
        <v>4502398975</v>
      </c>
      <c r="L1951" s="19">
        <v>5083373890</v>
      </c>
      <c r="M1951" s="20">
        <v>5113538425</v>
      </c>
      <c r="N1951" s="23"/>
      <c r="O1951" s="9" t="s">
        <v>63</v>
      </c>
      <c r="P1951" s="23"/>
      <c r="Q1951" s="24" t="s">
        <v>82</v>
      </c>
      <c r="R1951" s="25">
        <v>44796</v>
      </c>
      <c r="S1951" s="28"/>
      <c r="T1951" s="35"/>
      <c r="U1951" s="35"/>
      <c r="V1951" s="29"/>
      <c r="W1951" s="35"/>
      <c r="X1951" s="29"/>
      <c r="Y1951" s="36"/>
      <c r="Z1951" s="29"/>
      <c r="AA1951" s="31">
        <f t="shared" si="1"/>
        <v>44796</v>
      </c>
      <c r="AB1951" s="32" t="str">
        <f t="shared" si="5"/>
        <v>agosto</v>
      </c>
    </row>
    <row r="1952" spans="1:28" ht="12.75">
      <c r="A1952" s="9" t="s">
        <v>245</v>
      </c>
      <c r="B1952" s="10">
        <v>44798</v>
      </c>
      <c r="C1952" s="11">
        <v>44803</v>
      </c>
      <c r="D1952" s="42">
        <v>35</v>
      </c>
      <c r="E1952" s="13" t="s">
        <v>2437</v>
      </c>
      <c r="F1952" s="13">
        <v>3025457</v>
      </c>
      <c r="G1952" s="14">
        <v>13267</v>
      </c>
      <c r="H1952" s="40">
        <v>8100</v>
      </c>
      <c r="I1952" s="16">
        <f t="shared" si="286"/>
        <v>107462700</v>
      </c>
      <c r="J1952" s="17">
        <v>28</v>
      </c>
      <c r="K1952" s="34">
        <v>4502396699</v>
      </c>
      <c r="L1952" s="19">
        <v>5083364264</v>
      </c>
      <c r="M1952" s="20">
        <v>5113550991</v>
      </c>
      <c r="N1952" s="23"/>
      <c r="O1952" s="9" t="s">
        <v>37</v>
      </c>
      <c r="P1952" s="23"/>
      <c r="Q1952" s="24" t="s">
        <v>31</v>
      </c>
      <c r="R1952" s="25">
        <v>44798</v>
      </c>
      <c r="S1952" s="28"/>
      <c r="T1952" s="35"/>
      <c r="U1952" s="35"/>
      <c r="V1952" s="29"/>
      <c r="W1952" s="35"/>
      <c r="X1952" s="29"/>
      <c r="Y1952" s="36"/>
      <c r="Z1952" s="29"/>
      <c r="AA1952" s="31">
        <f t="shared" si="1"/>
        <v>44798</v>
      </c>
      <c r="AB1952" s="32" t="str">
        <f t="shared" si="5"/>
        <v>agosto</v>
      </c>
    </row>
    <row r="1953" spans="1:28" ht="12.75">
      <c r="A1953" s="9" t="s">
        <v>213</v>
      </c>
      <c r="B1953" s="10">
        <v>44798</v>
      </c>
      <c r="C1953" s="11"/>
      <c r="D1953" s="42">
        <v>35</v>
      </c>
      <c r="E1953" s="13" t="s">
        <v>2438</v>
      </c>
      <c r="F1953" s="13">
        <v>3025457</v>
      </c>
      <c r="G1953" s="14">
        <v>14559</v>
      </c>
      <c r="H1953" s="40">
        <v>8100</v>
      </c>
      <c r="I1953" s="16">
        <f t="shared" si="286"/>
        <v>117927900</v>
      </c>
      <c r="J1953" s="17">
        <v>30</v>
      </c>
      <c r="K1953" s="34">
        <v>4502396700</v>
      </c>
      <c r="L1953" s="19">
        <v>5083367106</v>
      </c>
      <c r="M1953" s="20">
        <v>5113557865</v>
      </c>
      <c r="N1953" s="23"/>
      <c r="O1953" s="9" t="s">
        <v>37</v>
      </c>
      <c r="P1953" s="23"/>
      <c r="Q1953" s="24" t="s">
        <v>31</v>
      </c>
      <c r="R1953" s="25">
        <v>44798</v>
      </c>
      <c r="S1953" s="28"/>
      <c r="T1953" s="35"/>
      <c r="U1953" s="35"/>
      <c r="V1953" s="29"/>
      <c r="W1953" s="35"/>
      <c r="X1953" s="29"/>
      <c r="Y1953" s="36"/>
      <c r="Z1953" s="29"/>
      <c r="AA1953" s="31">
        <f t="shared" si="1"/>
        <v>44798</v>
      </c>
      <c r="AB1953" s="32" t="str">
        <f t="shared" si="5"/>
        <v>agosto</v>
      </c>
    </row>
    <row r="1954" spans="1:28" ht="12.75">
      <c r="A1954" s="9" t="s">
        <v>213</v>
      </c>
      <c r="B1954" s="10">
        <v>44798</v>
      </c>
      <c r="C1954" s="11"/>
      <c r="D1954" s="42">
        <v>35</v>
      </c>
      <c r="E1954" s="13" t="s">
        <v>1792</v>
      </c>
      <c r="F1954" s="13">
        <v>3025457</v>
      </c>
      <c r="G1954" s="14">
        <v>14559</v>
      </c>
      <c r="H1954" s="40">
        <f>8100-8094.58</f>
        <v>5.4200000000000728</v>
      </c>
      <c r="I1954" s="16">
        <f>-H1954*G1954</f>
        <v>-78909.780000001061</v>
      </c>
      <c r="J1954" s="17">
        <v>0</v>
      </c>
      <c r="K1954" s="34">
        <v>4502396700</v>
      </c>
      <c r="L1954" s="19">
        <v>5083367106</v>
      </c>
      <c r="M1954" s="20">
        <v>5113557891</v>
      </c>
      <c r="N1954" s="23"/>
      <c r="O1954" s="23"/>
      <c r="P1954" s="23"/>
      <c r="Q1954" s="24" t="s">
        <v>31</v>
      </c>
      <c r="R1954" s="25">
        <v>44798</v>
      </c>
      <c r="S1954" s="28"/>
      <c r="T1954" s="35"/>
      <c r="U1954" s="35"/>
      <c r="V1954" s="29"/>
      <c r="W1954" s="35"/>
      <c r="X1954" s="29"/>
      <c r="Y1954" s="36"/>
      <c r="Z1954" s="29"/>
      <c r="AA1954" s="31">
        <f t="shared" si="1"/>
        <v>44798</v>
      </c>
      <c r="AB1954" s="32" t="str">
        <f t="shared" si="5"/>
        <v>agosto</v>
      </c>
    </row>
    <row r="1955" spans="1:28" ht="12.75">
      <c r="A1955" s="22" t="s">
        <v>719</v>
      </c>
      <c r="B1955" s="10">
        <v>44798</v>
      </c>
      <c r="C1955" s="11">
        <v>44803</v>
      </c>
      <c r="D1955" s="42">
        <v>35</v>
      </c>
      <c r="E1955" s="13" t="s">
        <v>2439</v>
      </c>
      <c r="F1955" s="13">
        <v>3025457</v>
      </c>
      <c r="G1955" s="37">
        <v>14579.5</v>
      </c>
      <c r="H1955" s="40">
        <v>8100</v>
      </c>
      <c r="I1955" s="16">
        <f>H1955*G1955</f>
        <v>118093950</v>
      </c>
      <c r="J1955" s="17">
        <v>28</v>
      </c>
      <c r="K1955" s="34">
        <v>4502396701</v>
      </c>
      <c r="L1955" s="19">
        <v>5083364265</v>
      </c>
      <c r="M1955" s="20">
        <v>5113549082</v>
      </c>
      <c r="N1955" s="128"/>
      <c r="O1955" s="9" t="s">
        <v>37</v>
      </c>
      <c r="P1955" s="23"/>
      <c r="Q1955" s="24" t="s">
        <v>31</v>
      </c>
      <c r="R1955" s="25">
        <v>44798</v>
      </c>
      <c r="S1955" s="28"/>
      <c r="T1955" s="35"/>
      <c r="U1955" s="35"/>
      <c r="V1955" s="29"/>
      <c r="W1955" s="35"/>
      <c r="X1955" s="29"/>
      <c r="Y1955" s="36"/>
      <c r="Z1955" s="29"/>
      <c r="AA1955" s="31">
        <f t="shared" si="1"/>
        <v>44798</v>
      </c>
      <c r="AB1955" s="32" t="str">
        <f t="shared" si="5"/>
        <v>agosto</v>
      </c>
    </row>
    <row r="1956" spans="1:28" ht="12.75">
      <c r="A1956" s="22" t="s">
        <v>719</v>
      </c>
      <c r="B1956" s="10">
        <v>44798</v>
      </c>
      <c r="C1956" s="11">
        <v>44803</v>
      </c>
      <c r="D1956" s="42">
        <v>35</v>
      </c>
      <c r="E1956" s="13" t="s">
        <v>288</v>
      </c>
      <c r="F1956" s="13">
        <v>3025457</v>
      </c>
      <c r="G1956" s="37">
        <v>14579.5</v>
      </c>
      <c r="H1956" s="40">
        <f>8100-8091.64</f>
        <v>8.3599999999996726</v>
      </c>
      <c r="I1956" s="16">
        <f>-H1956*G1956</f>
        <v>-121884.61999999522</v>
      </c>
      <c r="J1956" s="17">
        <v>0</v>
      </c>
      <c r="K1956" s="34">
        <v>4502396701</v>
      </c>
      <c r="L1956" s="19">
        <v>5083364265</v>
      </c>
      <c r="M1956" s="20">
        <v>5113549083</v>
      </c>
      <c r="N1956" s="128"/>
      <c r="O1956" s="23"/>
      <c r="P1956" s="23"/>
      <c r="Q1956" s="24" t="s">
        <v>31</v>
      </c>
      <c r="R1956" s="25">
        <v>44798</v>
      </c>
      <c r="S1956" s="28"/>
      <c r="T1956" s="35"/>
      <c r="U1956" s="35"/>
      <c r="V1956" s="29"/>
      <c r="W1956" s="35"/>
      <c r="X1956" s="29"/>
      <c r="Y1956" s="36"/>
      <c r="Z1956" s="29"/>
      <c r="AA1956" s="31">
        <f t="shared" si="1"/>
        <v>44798</v>
      </c>
      <c r="AB1956" s="32" t="str">
        <f t="shared" si="5"/>
        <v>agosto</v>
      </c>
    </row>
    <row r="1957" spans="1:28" ht="12.75">
      <c r="A1957" s="9" t="s">
        <v>58</v>
      </c>
      <c r="B1957" s="10">
        <v>44803</v>
      </c>
      <c r="C1957" s="11">
        <v>44803</v>
      </c>
      <c r="D1957" s="42">
        <v>35</v>
      </c>
      <c r="E1957" s="13" t="s">
        <v>2440</v>
      </c>
      <c r="F1957" s="13">
        <v>3025457</v>
      </c>
      <c r="G1957" s="14">
        <v>41881</v>
      </c>
      <c r="H1957" s="40">
        <v>8500</v>
      </c>
      <c r="I1957" s="16">
        <f>H1957*G1957</f>
        <v>355988500</v>
      </c>
      <c r="J1957" s="17">
        <v>90</v>
      </c>
      <c r="K1957" s="34">
        <v>4502396702</v>
      </c>
      <c r="L1957" s="19">
        <v>5083364266</v>
      </c>
      <c r="M1957" s="20">
        <v>5113553110</v>
      </c>
      <c r="N1957" s="23"/>
      <c r="O1957" s="9" t="s">
        <v>37</v>
      </c>
      <c r="P1957" s="23"/>
      <c r="Q1957" s="24" t="s">
        <v>31</v>
      </c>
      <c r="R1957" s="25">
        <v>44798</v>
      </c>
      <c r="S1957" s="28"/>
      <c r="T1957" s="35"/>
      <c r="U1957" s="35"/>
      <c r="V1957" s="29"/>
      <c r="W1957" s="35"/>
      <c r="X1957" s="29"/>
      <c r="Y1957" s="36"/>
      <c r="Z1957" s="29"/>
      <c r="AA1957" s="31">
        <f t="shared" si="1"/>
        <v>44798</v>
      </c>
      <c r="AB1957" s="32" t="str">
        <f t="shared" si="5"/>
        <v>agosto</v>
      </c>
    </row>
    <row r="1958" spans="1:28" ht="12.75">
      <c r="A1958" s="9" t="s">
        <v>58</v>
      </c>
      <c r="B1958" s="10">
        <v>44803</v>
      </c>
      <c r="C1958" s="11">
        <v>44803</v>
      </c>
      <c r="D1958" s="42">
        <v>35</v>
      </c>
      <c r="E1958" s="13" t="s">
        <v>2441</v>
      </c>
      <c r="F1958" s="13">
        <v>3025457</v>
      </c>
      <c r="G1958" s="14">
        <v>41881</v>
      </c>
      <c r="H1958" s="40">
        <f>8500-8499.09</f>
        <v>0.90999999999985448</v>
      </c>
      <c r="I1958" s="16">
        <f>-H1958*G1958</f>
        <v>-38111.709999993909</v>
      </c>
      <c r="J1958" s="17">
        <v>0</v>
      </c>
      <c r="K1958" s="34">
        <v>4502396702</v>
      </c>
      <c r="L1958" s="19">
        <v>5083364266</v>
      </c>
      <c r="M1958" s="20">
        <v>5113553180</v>
      </c>
      <c r="N1958" s="23"/>
      <c r="O1958" s="23"/>
      <c r="P1958" s="23"/>
      <c r="Q1958" s="24" t="s">
        <v>31</v>
      </c>
      <c r="R1958" s="25">
        <v>44798</v>
      </c>
      <c r="S1958" s="28"/>
      <c r="T1958" s="35"/>
      <c r="U1958" s="35"/>
      <c r="V1958" s="29"/>
      <c r="W1958" s="35"/>
      <c r="X1958" s="29"/>
      <c r="Y1958" s="36"/>
      <c r="Z1958" s="29"/>
      <c r="AA1958" s="31">
        <f t="shared" si="1"/>
        <v>44798</v>
      </c>
      <c r="AB1958" s="32" t="str">
        <f t="shared" si="5"/>
        <v>agosto</v>
      </c>
    </row>
    <row r="1959" spans="1:28" ht="12.75">
      <c r="A1959" s="9" t="s">
        <v>58</v>
      </c>
      <c r="B1959" s="10">
        <v>44803</v>
      </c>
      <c r="C1959" s="11">
        <v>44803</v>
      </c>
      <c r="D1959" s="42">
        <v>35</v>
      </c>
      <c r="E1959" s="13" t="s">
        <v>2442</v>
      </c>
      <c r="F1959" s="13">
        <v>3025457</v>
      </c>
      <c r="G1959" s="14">
        <v>7023</v>
      </c>
      <c r="H1959" s="40">
        <v>8500</v>
      </c>
      <c r="I1959" s="16">
        <f t="shared" ref="I1959:I1960" si="287">H1959*G1959</f>
        <v>59695500</v>
      </c>
      <c r="J1959" s="17">
        <v>15</v>
      </c>
      <c r="K1959" s="34">
        <v>4502396702</v>
      </c>
      <c r="L1959" s="19">
        <v>5083364266</v>
      </c>
      <c r="M1959" s="20">
        <v>5113553398</v>
      </c>
      <c r="N1959" s="23"/>
      <c r="O1959" s="9" t="s">
        <v>37</v>
      </c>
      <c r="P1959" s="23"/>
      <c r="Q1959" s="24" t="s">
        <v>31</v>
      </c>
      <c r="R1959" s="25">
        <v>44798</v>
      </c>
      <c r="S1959" s="28"/>
      <c r="T1959" s="35"/>
      <c r="U1959" s="35"/>
      <c r="V1959" s="29"/>
      <c r="W1959" s="35"/>
      <c r="X1959" s="29"/>
      <c r="Y1959" s="36"/>
      <c r="Z1959" s="29"/>
      <c r="AA1959" s="31">
        <f t="shared" si="1"/>
        <v>44798</v>
      </c>
      <c r="AB1959" s="32" t="str">
        <f t="shared" si="5"/>
        <v>agosto</v>
      </c>
    </row>
    <row r="1960" spans="1:28" ht="12.75">
      <c r="A1960" s="22" t="s">
        <v>404</v>
      </c>
      <c r="B1960" s="10">
        <v>44799</v>
      </c>
      <c r="C1960" s="11">
        <v>44802</v>
      </c>
      <c r="D1960" s="42">
        <v>35</v>
      </c>
      <c r="E1960" s="13" t="s">
        <v>2443</v>
      </c>
      <c r="F1960" s="13">
        <v>3025457</v>
      </c>
      <c r="G1960" s="37">
        <v>13927.5</v>
      </c>
      <c r="H1960" s="40">
        <v>8500</v>
      </c>
      <c r="I1960" s="16">
        <f t="shared" si="287"/>
        <v>118383750</v>
      </c>
      <c r="J1960" s="17">
        <v>30</v>
      </c>
      <c r="K1960" s="34">
        <v>4502396703</v>
      </c>
      <c r="L1960" s="19">
        <v>5083364267</v>
      </c>
      <c r="M1960" s="20">
        <v>5113550472</v>
      </c>
      <c r="N1960" s="23"/>
      <c r="O1960" s="9" t="s">
        <v>37</v>
      </c>
      <c r="P1960" s="23"/>
      <c r="Q1960" s="24" t="s">
        <v>31</v>
      </c>
      <c r="R1960" s="25">
        <v>44798</v>
      </c>
      <c r="S1960" s="28"/>
      <c r="T1960" s="35"/>
      <c r="U1960" s="35"/>
      <c r="V1960" s="29"/>
      <c r="W1960" s="35"/>
      <c r="X1960" s="29"/>
      <c r="Y1960" s="36"/>
      <c r="Z1960" s="29"/>
      <c r="AA1960" s="31">
        <f t="shared" si="1"/>
        <v>44798</v>
      </c>
      <c r="AB1960" s="32" t="str">
        <f t="shared" si="5"/>
        <v>agosto</v>
      </c>
    </row>
    <row r="1961" spans="1:28" ht="12.75">
      <c r="A1961" s="22" t="s">
        <v>404</v>
      </c>
      <c r="B1961" s="10">
        <v>44802</v>
      </c>
      <c r="C1961" s="11">
        <v>44802</v>
      </c>
      <c r="D1961" s="42">
        <v>35</v>
      </c>
      <c r="E1961" s="13" t="s">
        <v>362</v>
      </c>
      <c r="F1961" s="13">
        <v>3025457</v>
      </c>
      <c r="G1961" s="37">
        <v>28218.5</v>
      </c>
      <c r="H1961" s="40">
        <v>100</v>
      </c>
      <c r="I1961" s="16">
        <f>-H1961*G1961</f>
        <v>-2821850</v>
      </c>
      <c r="J1961" s="17">
        <v>0</v>
      </c>
      <c r="K1961" s="34">
        <v>4502396703</v>
      </c>
      <c r="L1961" s="19">
        <v>5083364267</v>
      </c>
      <c r="M1961" s="20">
        <v>5113550473</v>
      </c>
      <c r="N1961" s="23"/>
      <c r="O1961" s="23"/>
      <c r="P1961" s="23"/>
      <c r="Q1961" s="24" t="s">
        <v>31</v>
      </c>
      <c r="R1961" s="25">
        <v>44798</v>
      </c>
      <c r="S1961" s="28"/>
      <c r="T1961" s="35"/>
      <c r="U1961" s="35"/>
      <c r="V1961" s="29"/>
      <c r="W1961" s="35"/>
      <c r="X1961" s="29"/>
      <c r="Y1961" s="36"/>
      <c r="Z1961" s="29"/>
      <c r="AA1961" s="31">
        <f t="shared" si="1"/>
        <v>44798</v>
      </c>
      <c r="AB1961" s="32" t="str">
        <f t="shared" si="5"/>
        <v>agosto</v>
      </c>
    </row>
    <row r="1962" spans="1:28" ht="12.75">
      <c r="A1962" s="22" t="s">
        <v>404</v>
      </c>
      <c r="B1962" s="10">
        <v>44799</v>
      </c>
      <c r="C1962" s="11">
        <v>44802</v>
      </c>
      <c r="D1962" s="42">
        <v>35</v>
      </c>
      <c r="E1962" s="13" t="s">
        <v>2443</v>
      </c>
      <c r="F1962" s="13">
        <v>3025457</v>
      </c>
      <c r="G1962" s="14">
        <v>14291</v>
      </c>
      <c r="H1962" s="40">
        <v>8500</v>
      </c>
      <c r="I1962" s="16">
        <f t="shared" ref="I1962:I1963" si="288">H1962*G1962</f>
        <v>121473500</v>
      </c>
      <c r="J1962" s="17">
        <v>30</v>
      </c>
      <c r="K1962" s="34">
        <v>4502396707</v>
      </c>
      <c r="L1962" s="19">
        <v>5083364267</v>
      </c>
      <c r="M1962" s="20">
        <v>5113550472</v>
      </c>
      <c r="N1962" s="23"/>
      <c r="O1962" s="9" t="s">
        <v>37</v>
      </c>
      <c r="P1962" s="23"/>
      <c r="Q1962" s="24" t="s">
        <v>31</v>
      </c>
      <c r="R1962" s="25">
        <v>44799</v>
      </c>
      <c r="S1962" s="28"/>
      <c r="T1962" s="35"/>
      <c r="U1962" s="35"/>
      <c r="V1962" s="29"/>
      <c r="W1962" s="35"/>
      <c r="X1962" s="29"/>
      <c r="Y1962" s="36"/>
      <c r="Z1962" s="29"/>
      <c r="AA1962" s="31">
        <f t="shared" si="1"/>
        <v>44799</v>
      </c>
      <c r="AB1962" s="32" t="str">
        <f t="shared" si="5"/>
        <v>agosto</v>
      </c>
    </row>
    <row r="1963" spans="1:28" ht="12.75">
      <c r="A1963" s="9" t="s">
        <v>230</v>
      </c>
      <c r="B1963" s="10">
        <v>44803</v>
      </c>
      <c r="C1963" s="11"/>
      <c r="D1963" s="42">
        <v>35</v>
      </c>
      <c r="E1963" s="13" t="s">
        <v>2444</v>
      </c>
      <c r="F1963" s="13">
        <v>3025460</v>
      </c>
      <c r="G1963" s="14">
        <v>7040</v>
      </c>
      <c r="H1963" s="40">
        <v>8100</v>
      </c>
      <c r="I1963" s="16">
        <f t="shared" si="288"/>
        <v>57024000</v>
      </c>
      <c r="J1963" s="17">
        <v>15</v>
      </c>
      <c r="K1963" s="34">
        <v>4502396704</v>
      </c>
      <c r="L1963" s="19">
        <v>5083364398</v>
      </c>
      <c r="M1963" s="20">
        <v>5113562380</v>
      </c>
      <c r="N1963" s="23"/>
      <c r="O1963" s="9" t="s">
        <v>37</v>
      </c>
      <c r="P1963" s="23"/>
      <c r="Q1963" s="24" t="s">
        <v>31</v>
      </c>
      <c r="R1963" s="25">
        <v>44798</v>
      </c>
      <c r="S1963" s="28"/>
      <c r="T1963" s="35"/>
      <c r="U1963" s="35"/>
      <c r="V1963" s="29"/>
      <c r="W1963" s="35"/>
      <c r="X1963" s="29"/>
      <c r="Y1963" s="36"/>
      <c r="Z1963" s="29"/>
      <c r="AA1963" s="31">
        <f t="shared" si="1"/>
        <v>44798</v>
      </c>
      <c r="AB1963" s="32" t="str">
        <f t="shared" si="5"/>
        <v>agosto</v>
      </c>
    </row>
    <row r="1964" spans="1:28" ht="12.75">
      <c r="A1964" s="9" t="s">
        <v>230</v>
      </c>
      <c r="B1964" s="10">
        <v>44803</v>
      </c>
      <c r="C1964" s="11"/>
      <c r="D1964" s="42">
        <v>35</v>
      </c>
      <c r="E1964" s="13" t="s">
        <v>2445</v>
      </c>
      <c r="F1964" s="13">
        <v>3025460</v>
      </c>
      <c r="G1964" s="14">
        <v>7040</v>
      </c>
      <c r="H1964" s="40">
        <v>50</v>
      </c>
      <c r="I1964" s="16">
        <f>-H1964*G1964</f>
        <v>-352000</v>
      </c>
      <c r="J1964" s="17">
        <v>0</v>
      </c>
      <c r="K1964" s="34">
        <v>4502396704</v>
      </c>
      <c r="L1964" s="19">
        <v>5083364398</v>
      </c>
      <c r="M1964" s="20">
        <v>5113562382</v>
      </c>
      <c r="N1964" s="23"/>
      <c r="O1964" s="23"/>
      <c r="P1964" s="23"/>
      <c r="Q1964" s="24" t="s">
        <v>31</v>
      </c>
      <c r="R1964" s="25">
        <v>44798</v>
      </c>
      <c r="S1964" s="28"/>
      <c r="T1964" s="35"/>
      <c r="U1964" s="35"/>
      <c r="V1964" s="29"/>
      <c r="W1964" s="35"/>
      <c r="X1964" s="29"/>
      <c r="Y1964" s="36"/>
      <c r="Z1964" s="29"/>
      <c r="AA1964" s="31">
        <f t="shared" si="1"/>
        <v>44798</v>
      </c>
      <c r="AB1964" s="32" t="str">
        <f t="shared" si="5"/>
        <v>agosto</v>
      </c>
    </row>
    <row r="1965" spans="1:28" ht="12.75">
      <c r="A1965" s="9" t="s">
        <v>58</v>
      </c>
      <c r="B1965" s="10">
        <v>44803</v>
      </c>
      <c r="C1965" s="11">
        <v>44803</v>
      </c>
      <c r="D1965" s="42">
        <v>35</v>
      </c>
      <c r="E1965" s="13" t="s">
        <v>2442</v>
      </c>
      <c r="F1965" s="13">
        <v>3025457</v>
      </c>
      <c r="G1965" s="14">
        <f>13505.5-G1959</f>
        <v>6482.5</v>
      </c>
      <c r="H1965" s="40">
        <v>8500</v>
      </c>
      <c r="I1965" s="16">
        <f>H1965*G1965</f>
        <v>55101250</v>
      </c>
      <c r="J1965" s="17">
        <v>17</v>
      </c>
      <c r="K1965" s="34">
        <v>4502396705</v>
      </c>
      <c r="L1965" s="19">
        <v>5083364266</v>
      </c>
      <c r="M1965" s="20">
        <v>5113553398</v>
      </c>
      <c r="N1965" s="23"/>
      <c r="O1965" s="9" t="s">
        <v>37</v>
      </c>
      <c r="P1965" s="23"/>
      <c r="Q1965" s="24" t="s">
        <v>31</v>
      </c>
      <c r="R1965" s="25">
        <v>44799</v>
      </c>
      <c r="S1965" s="28"/>
      <c r="T1965" s="35"/>
      <c r="U1965" s="35"/>
      <c r="V1965" s="29"/>
      <c r="W1965" s="35"/>
      <c r="X1965" s="29"/>
      <c r="Y1965" s="36"/>
      <c r="Z1965" s="29"/>
      <c r="AA1965" s="31">
        <f t="shared" si="1"/>
        <v>44799</v>
      </c>
      <c r="AB1965" s="32" t="str">
        <f t="shared" si="5"/>
        <v>agosto</v>
      </c>
    </row>
    <row r="1966" spans="1:28" ht="12.75">
      <c r="A1966" s="9" t="s">
        <v>58</v>
      </c>
      <c r="B1966" s="10">
        <v>44803</v>
      </c>
      <c r="C1966" s="11">
        <v>44803</v>
      </c>
      <c r="D1966" s="42">
        <v>35</v>
      </c>
      <c r="E1966" s="13" t="s">
        <v>2446</v>
      </c>
      <c r="F1966" s="13">
        <v>3025457</v>
      </c>
      <c r="G1966" s="14">
        <v>13505.5</v>
      </c>
      <c r="H1966" s="40">
        <f>8500-8476.99</f>
        <v>23.010000000000218</v>
      </c>
      <c r="I1966" s="16">
        <f>-H1966*G1966</f>
        <v>-310761.55500000296</v>
      </c>
      <c r="J1966" s="17">
        <v>0</v>
      </c>
      <c r="K1966" s="34">
        <v>4502396705</v>
      </c>
      <c r="L1966" s="19">
        <v>5083395155</v>
      </c>
      <c r="M1966" s="20">
        <v>5113553341</v>
      </c>
      <c r="N1966" s="23"/>
      <c r="O1966" s="23"/>
      <c r="P1966" s="23"/>
      <c r="Q1966" s="24" t="s">
        <v>31</v>
      </c>
      <c r="R1966" s="25">
        <v>44799</v>
      </c>
      <c r="S1966" s="28"/>
      <c r="T1966" s="35"/>
      <c r="U1966" s="35"/>
      <c r="V1966" s="29"/>
      <c r="W1966" s="35"/>
      <c r="X1966" s="29"/>
      <c r="Y1966" s="36"/>
      <c r="Z1966" s="29"/>
      <c r="AA1966" s="31">
        <f t="shared" si="1"/>
        <v>44799</v>
      </c>
      <c r="AB1966" s="32" t="str">
        <f t="shared" si="5"/>
        <v>agosto</v>
      </c>
    </row>
    <row r="1967" spans="1:28" ht="12.75">
      <c r="A1967" s="9" t="s">
        <v>58</v>
      </c>
      <c r="B1967" s="10">
        <v>44803</v>
      </c>
      <c r="C1967" s="11">
        <v>44803</v>
      </c>
      <c r="D1967" s="42">
        <v>35</v>
      </c>
      <c r="E1967" s="13" t="s">
        <v>2447</v>
      </c>
      <c r="F1967" s="13">
        <v>3025457</v>
      </c>
      <c r="G1967" s="14">
        <v>28982.5</v>
      </c>
      <c r="H1967" s="40">
        <v>8500</v>
      </c>
      <c r="I1967" s="16">
        <f t="shared" ref="I1967:I1972" si="289">H1967*G1967</f>
        <v>246351250</v>
      </c>
      <c r="J1967" s="17">
        <v>60</v>
      </c>
      <c r="K1967" s="34">
        <v>4502396705</v>
      </c>
      <c r="L1967" s="19">
        <v>5083395155</v>
      </c>
      <c r="M1967" s="20">
        <v>5113553276</v>
      </c>
      <c r="N1967" s="23"/>
      <c r="O1967" s="9" t="s">
        <v>37</v>
      </c>
      <c r="P1967" s="23"/>
      <c r="Q1967" s="24" t="s">
        <v>31</v>
      </c>
      <c r="R1967" s="25">
        <v>44799</v>
      </c>
      <c r="S1967" s="28"/>
      <c r="T1967" s="35"/>
      <c r="U1967" s="35"/>
      <c r="V1967" s="29"/>
      <c r="W1967" s="35"/>
      <c r="X1967" s="29"/>
      <c r="Y1967" s="36"/>
      <c r="Z1967" s="29"/>
      <c r="AA1967" s="31">
        <f t="shared" si="1"/>
        <v>44799</v>
      </c>
      <c r="AB1967" s="32" t="str">
        <f t="shared" si="5"/>
        <v>agosto</v>
      </c>
    </row>
    <row r="1968" spans="1:28" ht="12.75">
      <c r="A1968" s="9" t="s">
        <v>39</v>
      </c>
      <c r="B1968" s="10">
        <v>44799</v>
      </c>
      <c r="C1968" s="11">
        <v>44802</v>
      </c>
      <c r="D1968" s="42">
        <v>35</v>
      </c>
      <c r="E1968" s="13" t="s">
        <v>2448</v>
      </c>
      <c r="F1968" s="13">
        <v>3025457</v>
      </c>
      <c r="G1968" s="14">
        <v>6879.5</v>
      </c>
      <c r="H1968" s="40">
        <v>8500</v>
      </c>
      <c r="I1968" s="16">
        <f t="shared" si="289"/>
        <v>58475750</v>
      </c>
      <c r="J1968" s="17">
        <v>15</v>
      </c>
      <c r="K1968" s="34">
        <v>4502396706</v>
      </c>
      <c r="L1968" s="19">
        <v>5083395118</v>
      </c>
      <c r="M1968" s="20">
        <v>5113552468</v>
      </c>
      <c r="N1968" s="23"/>
      <c r="O1968" s="9" t="s">
        <v>37</v>
      </c>
      <c r="P1968" s="23"/>
      <c r="Q1968" s="24" t="s">
        <v>31</v>
      </c>
      <c r="R1968" s="25">
        <v>44799</v>
      </c>
      <c r="S1968" s="28"/>
      <c r="T1968" s="35"/>
      <c r="U1968" s="35"/>
      <c r="V1968" s="29"/>
      <c r="W1968" s="35"/>
      <c r="X1968" s="29"/>
      <c r="Y1968" s="36"/>
      <c r="Z1968" s="29"/>
      <c r="AA1968" s="31">
        <f t="shared" si="1"/>
        <v>44799</v>
      </c>
      <c r="AB1968" s="32" t="str">
        <f t="shared" si="5"/>
        <v>agosto</v>
      </c>
    </row>
    <row r="1969" spans="1:28" ht="12.75">
      <c r="A1969" s="9" t="s">
        <v>80</v>
      </c>
      <c r="B1969" s="10">
        <v>44799</v>
      </c>
      <c r="C1969" s="11">
        <v>44803</v>
      </c>
      <c r="D1969" s="42">
        <v>35</v>
      </c>
      <c r="E1969" s="13" t="s">
        <v>2449</v>
      </c>
      <c r="F1969" s="13">
        <v>3025460</v>
      </c>
      <c r="G1969" s="14">
        <v>19510</v>
      </c>
      <c r="H1969" s="57">
        <v>8000</v>
      </c>
      <c r="I1969" s="16">
        <f t="shared" si="289"/>
        <v>156080000</v>
      </c>
      <c r="J1969" s="17">
        <v>42</v>
      </c>
      <c r="K1969" s="34">
        <v>4502400556</v>
      </c>
      <c r="L1969" s="19">
        <v>5083421711</v>
      </c>
      <c r="M1969" s="20">
        <v>5113556476</v>
      </c>
      <c r="N1969" s="23" t="s">
        <v>37</v>
      </c>
      <c r="O1969" s="23"/>
      <c r="P1969" s="23"/>
      <c r="Q1969" s="24" t="s">
        <v>82</v>
      </c>
      <c r="R1969" s="25">
        <v>44799</v>
      </c>
      <c r="S1969" s="28"/>
      <c r="T1969" s="35"/>
      <c r="U1969" s="35"/>
      <c r="V1969" s="29"/>
      <c r="W1969" s="35"/>
      <c r="X1969" s="29"/>
      <c r="Y1969" s="36"/>
      <c r="Z1969" s="29"/>
      <c r="AA1969" s="31">
        <f t="shared" si="1"/>
        <v>44799</v>
      </c>
      <c r="AB1969" s="32" t="str">
        <f t="shared" si="5"/>
        <v>agosto</v>
      </c>
    </row>
    <row r="1970" spans="1:28" ht="12.75">
      <c r="A1970" s="9" t="s">
        <v>83</v>
      </c>
      <c r="B1970" s="10">
        <v>44799</v>
      </c>
      <c r="C1970" s="11">
        <v>44803</v>
      </c>
      <c r="D1970" s="42">
        <v>35</v>
      </c>
      <c r="E1970" s="13" t="s">
        <v>2450</v>
      </c>
      <c r="F1970" s="13">
        <v>3025460</v>
      </c>
      <c r="G1970" s="14">
        <v>27536</v>
      </c>
      <c r="H1970" s="57">
        <v>8000</v>
      </c>
      <c r="I1970" s="16">
        <f t="shared" si="289"/>
        <v>220288000</v>
      </c>
      <c r="J1970" s="17">
        <v>56</v>
      </c>
      <c r="K1970" s="34">
        <v>4502400541</v>
      </c>
      <c r="L1970" s="19">
        <v>5083421586</v>
      </c>
      <c r="M1970" s="20">
        <v>5113550886</v>
      </c>
      <c r="N1970" s="23"/>
      <c r="O1970" s="9" t="s">
        <v>37</v>
      </c>
      <c r="P1970" s="23"/>
      <c r="Q1970" s="24" t="s">
        <v>82</v>
      </c>
      <c r="R1970" s="25">
        <v>44799</v>
      </c>
      <c r="S1970" s="28"/>
      <c r="T1970" s="35"/>
      <c r="U1970" s="35"/>
      <c r="V1970" s="29"/>
      <c r="W1970" s="35"/>
      <c r="X1970" s="29"/>
      <c r="Y1970" s="36"/>
      <c r="Z1970" s="29"/>
      <c r="AA1970" s="31">
        <f t="shared" si="1"/>
        <v>44799</v>
      </c>
      <c r="AB1970" s="32" t="str">
        <f t="shared" si="5"/>
        <v>agosto</v>
      </c>
    </row>
    <row r="1971" spans="1:28" ht="12.75">
      <c r="A1971" s="9" t="s">
        <v>196</v>
      </c>
      <c r="B1971" s="10">
        <v>44799</v>
      </c>
      <c r="C1971" s="11"/>
      <c r="D1971" s="42">
        <v>35</v>
      </c>
      <c r="E1971" s="13" t="s">
        <v>2451</v>
      </c>
      <c r="F1971" s="13">
        <v>3025460</v>
      </c>
      <c r="G1971" s="14">
        <v>27374</v>
      </c>
      <c r="H1971" s="57">
        <v>8000</v>
      </c>
      <c r="I1971" s="16">
        <f t="shared" si="289"/>
        <v>218992000</v>
      </c>
      <c r="J1971" s="17">
        <v>56</v>
      </c>
      <c r="K1971" s="34">
        <v>4502400526</v>
      </c>
      <c r="L1971" s="19">
        <v>5083421468</v>
      </c>
      <c r="M1971" s="20">
        <v>5113547114</v>
      </c>
      <c r="N1971" s="23"/>
      <c r="O1971" s="23" t="s">
        <v>63</v>
      </c>
      <c r="P1971" s="23"/>
      <c r="Q1971" s="24" t="s">
        <v>82</v>
      </c>
      <c r="R1971" s="25">
        <v>44799</v>
      </c>
      <c r="S1971" s="28"/>
      <c r="T1971" s="35"/>
      <c r="U1971" s="35"/>
      <c r="V1971" s="29"/>
      <c r="W1971" s="35"/>
      <c r="X1971" s="29"/>
      <c r="Y1971" s="36"/>
      <c r="Z1971" s="29"/>
      <c r="AA1971" s="31">
        <f t="shared" si="1"/>
        <v>44799</v>
      </c>
      <c r="AB1971" s="32" t="str">
        <f t="shared" si="5"/>
        <v>agosto</v>
      </c>
    </row>
    <row r="1972" spans="1:28" ht="12.75">
      <c r="A1972" s="9" t="s">
        <v>58</v>
      </c>
      <c r="B1972" s="10">
        <v>44803</v>
      </c>
      <c r="C1972" s="11">
        <v>44803</v>
      </c>
      <c r="D1972" s="42">
        <v>35</v>
      </c>
      <c r="E1972" s="13" t="s">
        <v>2452</v>
      </c>
      <c r="F1972" s="13">
        <v>3025457</v>
      </c>
      <c r="G1972" s="37">
        <v>20788.5</v>
      </c>
      <c r="H1972" s="40">
        <v>8500</v>
      </c>
      <c r="I1972" s="16">
        <f t="shared" si="289"/>
        <v>176702250</v>
      </c>
      <c r="J1972" s="17">
        <v>45</v>
      </c>
      <c r="K1972" s="34">
        <v>4502396708</v>
      </c>
      <c r="L1972" s="19">
        <v>5083395124</v>
      </c>
      <c r="M1972" s="20">
        <v>5113553406</v>
      </c>
      <c r="N1972" s="23"/>
      <c r="O1972" s="9" t="s">
        <v>37</v>
      </c>
      <c r="P1972" s="23"/>
      <c r="Q1972" s="24" t="s">
        <v>31</v>
      </c>
      <c r="R1972" s="25">
        <v>44800</v>
      </c>
      <c r="S1972" s="28"/>
      <c r="T1972" s="35"/>
      <c r="U1972" s="35"/>
      <c r="V1972" s="29"/>
      <c r="W1972" s="35"/>
      <c r="X1972" s="29"/>
      <c r="Y1972" s="36"/>
      <c r="Z1972" s="29"/>
      <c r="AA1972" s="31">
        <f t="shared" si="1"/>
        <v>44800</v>
      </c>
      <c r="AB1972" s="32" t="str">
        <f t="shared" si="5"/>
        <v>agosto</v>
      </c>
    </row>
    <row r="1973" spans="1:28" ht="12.75">
      <c r="A1973" s="9" t="s">
        <v>58</v>
      </c>
      <c r="B1973" s="10">
        <v>44803</v>
      </c>
      <c r="C1973" s="11">
        <v>44803</v>
      </c>
      <c r="D1973" s="42">
        <v>35</v>
      </c>
      <c r="E1973" s="13" t="s">
        <v>2453</v>
      </c>
      <c r="F1973" s="13">
        <v>3025457</v>
      </c>
      <c r="G1973" s="37">
        <v>20788.5</v>
      </c>
      <c r="H1973" s="40">
        <f>8500-8492.74</f>
        <v>7.2600000000002183</v>
      </c>
      <c r="I1973" s="16">
        <f>-H1973*G1973</f>
        <v>-150924.51000000455</v>
      </c>
      <c r="J1973" s="17">
        <v>0</v>
      </c>
      <c r="K1973" s="34">
        <v>4502396708</v>
      </c>
      <c r="L1973" s="19">
        <v>5083395124</v>
      </c>
      <c r="M1973" s="20">
        <v>5113553500</v>
      </c>
      <c r="N1973" s="23"/>
      <c r="O1973" s="23"/>
      <c r="P1973" s="23"/>
      <c r="Q1973" s="24" t="s">
        <v>31</v>
      </c>
      <c r="R1973" s="25">
        <v>44800</v>
      </c>
      <c r="S1973" s="28"/>
      <c r="T1973" s="35"/>
      <c r="U1973" s="35"/>
      <c r="V1973" s="29"/>
      <c r="W1973" s="35"/>
      <c r="X1973" s="29"/>
      <c r="Y1973" s="36"/>
      <c r="Z1973" s="29"/>
      <c r="AA1973" s="31">
        <f t="shared" si="1"/>
        <v>44800</v>
      </c>
      <c r="AB1973" s="32" t="str">
        <f t="shared" si="5"/>
        <v>agosto</v>
      </c>
    </row>
    <row r="1974" spans="1:28" ht="12.75">
      <c r="A1974" s="9" t="s">
        <v>976</v>
      </c>
      <c r="B1974" s="10">
        <v>44802</v>
      </c>
      <c r="C1974" s="11">
        <v>44804</v>
      </c>
      <c r="D1974" s="42">
        <v>35</v>
      </c>
      <c r="E1974" s="13" t="s">
        <v>2454</v>
      </c>
      <c r="F1974" s="13">
        <v>3025457</v>
      </c>
      <c r="G1974" s="14">
        <v>14946</v>
      </c>
      <c r="H1974" s="15">
        <v>7600</v>
      </c>
      <c r="I1974" s="16">
        <f t="shared" ref="I1974:I1975" si="290">H1974*G1974</f>
        <v>113589600</v>
      </c>
      <c r="J1974" s="17">
        <v>28</v>
      </c>
      <c r="K1974" s="34">
        <v>4502399392</v>
      </c>
      <c r="L1974" s="19">
        <v>5083395359</v>
      </c>
      <c r="M1974" s="20">
        <v>5113563134</v>
      </c>
      <c r="N1974" s="23"/>
      <c r="O1974" s="44" t="s">
        <v>2455</v>
      </c>
      <c r="P1974" s="23" t="s">
        <v>2456</v>
      </c>
      <c r="Q1974" s="24" t="s">
        <v>31</v>
      </c>
      <c r="R1974" s="25">
        <v>44800</v>
      </c>
      <c r="S1974" s="28">
        <v>4902334134</v>
      </c>
      <c r="T1974" s="35">
        <f>3697950*2</f>
        <v>7395900</v>
      </c>
      <c r="U1974" s="28" t="s">
        <v>2457</v>
      </c>
      <c r="V1974" s="29">
        <v>5113551997</v>
      </c>
      <c r="W1974" s="35"/>
      <c r="X1974" s="29"/>
      <c r="Y1974" s="36"/>
      <c r="Z1974" s="29"/>
      <c r="AA1974" s="31">
        <f t="shared" si="1"/>
        <v>44800</v>
      </c>
      <c r="AB1974" s="32" t="str">
        <f t="shared" si="5"/>
        <v>agosto</v>
      </c>
    </row>
    <row r="1975" spans="1:28" ht="12.75">
      <c r="A1975" s="22" t="s">
        <v>404</v>
      </c>
      <c r="B1975" s="10">
        <v>44800</v>
      </c>
      <c r="C1975" s="11">
        <v>44803</v>
      </c>
      <c r="D1975" s="42">
        <v>35</v>
      </c>
      <c r="E1975" s="13" t="s">
        <v>2458</v>
      </c>
      <c r="F1975" s="13">
        <v>3025457</v>
      </c>
      <c r="G1975" s="14">
        <v>6393</v>
      </c>
      <c r="H1975" s="40">
        <v>8500</v>
      </c>
      <c r="I1975" s="16">
        <f t="shared" si="290"/>
        <v>54340500</v>
      </c>
      <c r="J1975" s="17">
        <v>14</v>
      </c>
      <c r="K1975" s="34">
        <v>4502396710</v>
      </c>
      <c r="L1975" s="19">
        <v>5083395125</v>
      </c>
      <c r="M1975" s="20">
        <v>5113556471</v>
      </c>
      <c r="N1975" s="23"/>
      <c r="O1975" s="9" t="s">
        <v>37</v>
      </c>
      <c r="P1975" s="23"/>
      <c r="Q1975" s="24" t="s">
        <v>31</v>
      </c>
      <c r="R1975" s="25">
        <v>44800</v>
      </c>
      <c r="S1975" s="28"/>
      <c r="T1975" s="35"/>
      <c r="U1975" s="35"/>
      <c r="V1975" s="29"/>
      <c r="W1975" s="35"/>
      <c r="X1975" s="29"/>
      <c r="Y1975" s="36"/>
      <c r="Z1975" s="29"/>
      <c r="AA1975" s="31">
        <f t="shared" si="1"/>
        <v>44800</v>
      </c>
      <c r="AB1975" s="32" t="str">
        <f t="shared" si="5"/>
        <v>agosto</v>
      </c>
    </row>
    <row r="1976" spans="1:28" ht="12.75">
      <c r="A1976" s="22" t="s">
        <v>404</v>
      </c>
      <c r="B1976" s="10">
        <v>44803</v>
      </c>
      <c r="C1976" s="11">
        <v>44803</v>
      </c>
      <c r="D1976" s="42">
        <v>35</v>
      </c>
      <c r="E1976" s="13" t="s">
        <v>375</v>
      </c>
      <c r="F1976" s="13">
        <v>3025457</v>
      </c>
      <c r="G1976" s="14">
        <v>6393</v>
      </c>
      <c r="H1976" s="40">
        <f>8500-8387.64</f>
        <v>112.36000000000058</v>
      </c>
      <c r="I1976" s="16">
        <f>-H1976*G1976</f>
        <v>-718317.48000000371</v>
      </c>
      <c r="J1976" s="17">
        <v>0</v>
      </c>
      <c r="K1976" s="34">
        <v>4502396710</v>
      </c>
      <c r="L1976" s="19">
        <v>5083395125</v>
      </c>
      <c r="M1976" s="20">
        <v>5113556474</v>
      </c>
      <c r="N1976" s="23"/>
      <c r="O1976" s="23"/>
      <c r="P1976" s="23"/>
      <c r="Q1976" s="24" t="s">
        <v>31</v>
      </c>
      <c r="R1976" s="25">
        <v>44800</v>
      </c>
      <c r="S1976" s="28"/>
      <c r="T1976" s="35"/>
      <c r="U1976" s="35"/>
      <c r="V1976" s="29"/>
      <c r="W1976" s="35"/>
      <c r="X1976" s="29"/>
      <c r="Y1976" s="36"/>
      <c r="Z1976" s="29"/>
      <c r="AA1976" s="31">
        <f t="shared" si="1"/>
        <v>44800</v>
      </c>
      <c r="AB1976" s="32" t="str">
        <f t="shared" si="5"/>
        <v>agosto</v>
      </c>
    </row>
    <row r="1977" spans="1:28" ht="12.75">
      <c r="A1977" s="9" t="s">
        <v>471</v>
      </c>
      <c r="B1977" s="10">
        <v>44800</v>
      </c>
      <c r="C1977" s="11">
        <v>44803</v>
      </c>
      <c r="D1977" s="42">
        <v>35</v>
      </c>
      <c r="E1977" s="13" t="s">
        <v>2459</v>
      </c>
      <c r="F1977" s="13">
        <v>3025457</v>
      </c>
      <c r="G1977" s="37">
        <v>6521.5</v>
      </c>
      <c r="H1977" s="40">
        <v>8100</v>
      </c>
      <c r="I1977" s="16">
        <f t="shared" ref="I1977:I1980" si="291">H1977*G1977</f>
        <v>52824150</v>
      </c>
      <c r="J1977" s="17">
        <v>14</v>
      </c>
      <c r="K1977" s="34">
        <v>4502396711</v>
      </c>
      <c r="L1977" s="19">
        <v>5083395126</v>
      </c>
      <c r="M1977" s="20">
        <v>5113552427</v>
      </c>
      <c r="N1977" s="128"/>
      <c r="O1977" s="9" t="s">
        <v>63</v>
      </c>
      <c r="P1977" s="23"/>
      <c r="Q1977" s="24" t="s">
        <v>31</v>
      </c>
      <c r="R1977" s="25">
        <v>44800</v>
      </c>
      <c r="S1977" s="28"/>
      <c r="T1977" s="35"/>
      <c r="U1977" s="35"/>
      <c r="V1977" s="29"/>
      <c r="W1977" s="35"/>
      <c r="X1977" s="29"/>
      <c r="Y1977" s="36"/>
      <c r="Z1977" s="29"/>
      <c r="AA1977" s="31">
        <f t="shared" si="1"/>
        <v>44800</v>
      </c>
      <c r="AB1977" s="32" t="str">
        <f t="shared" si="5"/>
        <v>agosto</v>
      </c>
    </row>
    <row r="1978" spans="1:28" ht="12.75">
      <c r="A1978" s="9" t="s">
        <v>305</v>
      </c>
      <c r="B1978" s="10">
        <v>44800</v>
      </c>
      <c r="C1978" s="11">
        <v>44803</v>
      </c>
      <c r="D1978" s="42">
        <v>35</v>
      </c>
      <c r="E1978" s="13" t="s">
        <v>2460</v>
      </c>
      <c r="F1978" s="13">
        <v>3025459</v>
      </c>
      <c r="G1978" s="14">
        <v>20840</v>
      </c>
      <c r="H1978" s="40">
        <v>8100</v>
      </c>
      <c r="I1978" s="16">
        <f t="shared" si="291"/>
        <v>168804000</v>
      </c>
      <c r="J1978" s="17">
        <v>45</v>
      </c>
      <c r="K1978" s="34">
        <v>4502396731</v>
      </c>
      <c r="L1978" s="19">
        <v>5083395157</v>
      </c>
      <c r="M1978" s="20">
        <v>5113552474</v>
      </c>
      <c r="N1978" s="23"/>
      <c r="O1978" s="9" t="s">
        <v>37</v>
      </c>
      <c r="P1978" s="23"/>
      <c r="Q1978" s="24" t="s">
        <v>31</v>
      </c>
      <c r="R1978" s="25">
        <v>44800</v>
      </c>
      <c r="S1978" s="28"/>
      <c r="T1978" s="35"/>
      <c r="U1978" s="35"/>
      <c r="V1978" s="29"/>
      <c r="W1978" s="35"/>
      <c r="X1978" s="29"/>
      <c r="Y1978" s="36"/>
      <c r="Z1978" s="29"/>
      <c r="AA1978" s="31">
        <f t="shared" si="1"/>
        <v>44800</v>
      </c>
      <c r="AB1978" s="32" t="str">
        <f t="shared" si="5"/>
        <v>agosto</v>
      </c>
    </row>
    <row r="1979" spans="1:28" ht="12.75">
      <c r="A1979" s="9" t="s">
        <v>276</v>
      </c>
      <c r="B1979" s="10">
        <v>44803</v>
      </c>
      <c r="C1979" s="11"/>
      <c r="D1979" s="42">
        <v>35</v>
      </c>
      <c r="E1979" s="13" t="s">
        <v>2215</v>
      </c>
      <c r="F1979" s="13">
        <v>3025459</v>
      </c>
      <c r="G1979" s="37">
        <v>13070.5</v>
      </c>
      <c r="H1979" s="33">
        <v>8100</v>
      </c>
      <c r="I1979" s="16">
        <f t="shared" si="291"/>
        <v>105871050</v>
      </c>
      <c r="J1979" s="17">
        <v>28</v>
      </c>
      <c r="K1979" s="34">
        <v>4502396736</v>
      </c>
      <c r="L1979" s="126">
        <v>5083395127</v>
      </c>
      <c r="M1979" s="127">
        <v>5113549085</v>
      </c>
      <c r="N1979" s="128"/>
      <c r="O1979" s="9" t="s">
        <v>63</v>
      </c>
      <c r="P1979" s="23"/>
      <c r="Q1979" s="24" t="s">
        <v>31</v>
      </c>
      <c r="R1979" s="25">
        <v>44800</v>
      </c>
      <c r="S1979" s="28"/>
      <c r="T1979" s="35"/>
      <c r="U1979" s="35"/>
      <c r="V1979" s="29"/>
      <c r="W1979" s="35"/>
      <c r="X1979" s="29"/>
      <c r="Y1979" s="36"/>
      <c r="Z1979" s="29"/>
      <c r="AA1979" s="31">
        <f t="shared" si="1"/>
        <v>44800</v>
      </c>
      <c r="AB1979" s="32" t="str">
        <f t="shared" si="5"/>
        <v>agosto</v>
      </c>
    </row>
    <row r="1980" spans="1:28" ht="12.75">
      <c r="A1980" s="9" t="s">
        <v>1102</v>
      </c>
      <c r="B1980" s="10">
        <v>44804</v>
      </c>
      <c r="C1980" s="11">
        <v>44810</v>
      </c>
      <c r="D1980" s="42">
        <v>35</v>
      </c>
      <c r="E1980" s="13" t="s">
        <v>2461</v>
      </c>
      <c r="F1980" s="13">
        <v>3025457</v>
      </c>
      <c r="G1980" s="14">
        <v>13709</v>
      </c>
      <c r="H1980" s="40">
        <v>8500</v>
      </c>
      <c r="I1980" s="16">
        <f t="shared" si="291"/>
        <v>116526500</v>
      </c>
      <c r="J1980" s="17">
        <v>30</v>
      </c>
      <c r="K1980" s="34">
        <v>4502396712</v>
      </c>
      <c r="L1980" s="19">
        <v>5083407155</v>
      </c>
      <c r="M1980" s="20">
        <v>5113563472</v>
      </c>
      <c r="N1980" s="23"/>
      <c r="O1980" s="23" t="s">
        <v>382</v>
      </c>
      <c r="P1980" s="23"/>
      <c r="Q1980" s="24" t="s">
        <v>31</v>
      </c>
      <c r="R1980" s="25">
        <v>44801</v>
      </c>
      <c r="S1980" s="28"/>
      <c r="T1980" s="35"/>
      <c r="U1980" s="35"/>
      <c r="V1980" s="29"/>
      <c r="W1980" s="35"/>
      <c r="X1980" s="29"/>
      <c r="Y1980" s="36"/>
      <c r="Z1980" s="29"/>
      <c r="AA1980" s="31">
        <f t="shared" si="1"/>
        <v>44801</v>
      </c>
      <c r="AB1980" s="32" t="str">
        <f t="shared" si="5"/>
        <v>agosto</v>
      </c>
    </row>
    <row r="1981" spans="1:28" ht="12.75">
      <c r="A1981" s="9" t="s">
        <v>1102</v>
      </c>
      <c r="B1981" s="10">
        <v>44804</v>
      </c>
      <c r="C1981" s="11">
        <v>44810</v>
      </c>
      <c r="D1981" s="42">
        <v>35</v>
      </c>
      <c r="E1981" s="13" t="s">
        <v>2462</v>
      </c>
      <c r="F1981" s="13">
        <v>3025457</v>
      </c>
      <c r="G1981" s="14">
        <v>13709</v>
      </c>
      <c r="H1981" s="40">
        <f>8500-8352.46</f>
        <v>147.54000000000087</v>
      </c>
      <c r="I1981" s="16">
        <f>-H1981*G1981</f>
        <v>-2022625.860000012</v>
      </c>
      <c r="J1981" s="17">
        <v>0</v>
      </c>
      <c r="K1981" s="34">
        <v>4502396712</v>
      </c>
      <c r="L1981" s="19">
        <v>5083407155</v>
      </c>
      <c r="M1981" s="20">
        <v>5113563473</v>
      </c>
      <c r="N1981" s="23"/>
      <c r="O1981" s="23"/>
      <c r="P1981" s="23"/>
      <c r="Q1981" s="24" t="s">
        <v>31</v>
      </c>
      <c r="R1981" s="25">
        <v>44801</v>
      </c>
      <c r="S1981" s="28"/>
      <c r="T1981" s="35"/>
      <c r="U1981" s="35"/>
      <c r="V1981" s="29"/>
      <c r="W1981" s="35"/>
      <c r="X1981" s="29"/>
      <c r="Y1981" s="36"/>
      <c r="Z1981" s="29"/>
      <c r="AA1981" s="31">
        <f t="shared" si="1"/>
        <v>44801</v>
      </c>
      <c r="AB1981" s="32" t="str">
        <f t="shared" si="5"/>
        <v>agosto</v>
      </c>
    </row>
    <row r="1982" spans="1:28" ht="12.75">
      <c r="A1982" s="9" t="s">
        <v>99</v>
      </c>
      <c r="B1982" s="10">
        <v>44803</v>
      </c>
      <c r="C1982" s="11">
        <v>44805</v>
      </c>
      <c r="D1982" s="42">
        <v>35</v>
      </c>
      <c r="E1982" s="13" t="s">
        <v>2463</v>
      </c>
      <c r="F1982" s="13">
        <v>3025457</v>
      </c>
      <c r="G1982" s="37">
        <v>6089.5</v>
      </c>
      <c r="H1982" s="40">
        <v>8100</v>
      </c>
      <c r="I1982" s="16">
        <f>H1982*G1982</f>
        <v>49324950</v>
      </c>
      <c r="J1982" s="17">
        <v>14</v>
      </c>
      <c r="K1982" s="34">
        <v>4502396713</v>
      </c>
      <c r="L1982" s="19">
        <v>5083407156</v>
      </c>
      <c r="M1982" s="20">
        <v>5113557893</v>
      </c>
      <c r="N1982" s="23"/>
      <c r="O1982" s="9" t="s">
        <v>37</v>
      </c>
      <c r="P1982" s="23"/>
      <c r="Q1982" s="24" t="s">
        <v>31</v>
      </c>
      <c r="R1982" s="25">
        <v>44801</v>
      </c>
      <c r="S1982" s="28"/>
      <c r="T1982" s="35"/>
      <c r="U1982" s="35"/>
      <c r="V1982" s="29"/>
      <c r="W1982" s="35"/>
      <c r="X1982" s="29"/>
      <c r="Y1982" s="36"/>
      <c r="Z1982" s="29"/>
      <c r="AA1982" s="31">
        <f t="shared" si="1"/>
        <v>44801</v>
      </c>
      <c r="AB1982" s="32" t="str">
        <f t="shared" si="5"/>
        <v>agosto</v>
      </c>
    </row>
    <row r="1983" spans="1:28" ht="12.75">
      <c r="A1983" s="9" t="s">
        <v>99</v>
      </c>
      <c r="B1983" s="10">
        <v>44803</v>
      </c>
      <c r="C1983" s="11">
        <v>44805</v>
      </c>
      <c r="D1983" s="42">
        <v>35</v>
      </c>
      <c r="E1983" s="13" t="s">
        <v>2464</v>
      </c>
      <c r="F1983" s="13">
        <v>3025457</v>
      </c>
      <c r="G1983" s="37">
        <v>6089.5</v>
      </c>
      <c r="H1983" s="40">
        <f>8100-7901.47</f>
        <v>198.52999999999975</v>
      </c>
      <c r="I1983" s="16">
        <f>-H1983*G1983</f>
        <v>-1208948.4349999984</v>
      </c>
      <c r="J1983" s="17">
        <v>0</v>
      </c>
      <c r="K1983" s="34">
        <v>4502396713</v>
      </c>
      <c r="L1983" s="19">
        <v>5083407156</v>
      </c>
      <c r="M1983" s="20">
        <v>5113557907</v>
      </c>
      <c r="N1983" s="23"/>
      <c r="O1983" s="23"/>
      <c r="P1983" s="23"/>
      <c r="Q1983" s="24" t="s">
        <v>31</v>
      </c>
      <c r="R1983" s="25">
        <v>44801</v>
      </c>
      <c r="S1983" s="28"/>
      <c r="T1983" s="35"/>
      <c r="U1983" s="35"/>
      <c r="V1983" s="29"/>
      <c r="W1983" s="35"/>
      <c r="X1983" s="29"/>
      <c r="Y1983" s="36"/>
      <c r="Z1983" s="29"/>
      <c r="AA1983" s="31">
        <f t="shared" si="1"/>
        <v>44801</v>
      </c>
      <c r="AB1983" s="32" t="str">
        <f t="shared" si="5"/>
        <v>agosto</v>
      </c>
    </row>
    <row r="1984" spans="1:28" ht="12.75">
      <c r="A1984" s="9" t="s">
        <v>80</v>
      </c>
      <c r="B1984" s="10">
        <v>44801</v>
      </c>
      <c r="C1984" s="11">
        <v>44804</v>
      </c>
      <c r="D1984" s="42">
        <v>35</v>
      </c>
      <c r="E1984" s="13" t="s">
        <v>2465</v>
      </c>
      <c r="F1984" s="13">
        <v>3025460</v>
      </c>
      <c r="G1984" s="14">
        <v>20481</v>
      </c>
      <c r="H1984" s="57">
        <v>7950</v>
      </c>
      <c r="I1984" s="16">
        <f t="shared" ref="I1984:I1989" si="292">H1984*G1984</f>
        <v>162823950</v>
      </c>
      <c r="J1984" s="17">
        <v>42</v>
      </c>
      <c r="K1984" s="34">
        <v>4502401364</v>
      </c>
      <c r="L1984" s="19">
        <v>5083440618</v>
      </c>
      <c r="M1984" s="20">
        <v>5113556481</v>
      </c>
      <c r="N1984" s="23" t="s">
        <v>37</v>
      </c>
      <c r="O1984" s="23"/>
      <c r="P1984" s="23"/>
      <c r="Q1984" s="24" t="s">
        <v>82</v>
      </c>
      <c r="R1984" s="25">
        <v>44801</v>
      </c>
      <c r="S1984" s="28"/>
      <c r="T1984" s="35"/>
      <c r="U1984" s="35"/>
      <c r="V1984" s="29"/>
      <c r="W1984" s="35"/>
      <c r="X1984" s="29"/>
      <c r="Y1984" s="36"/>
      <c r="Z1984" s="29"/>
      <c r="AA1984" s="31">
        <f t="shared" si="1"/>
        <v>44801</v>
      </c>
      <c r="AB1984" s="32" t="str">
        <f t="shared" si="5"/>
        <v>agosto</v>
      </c>
    </row>
    <row r="1985" spans="1:28" ht="12.75">
      <c r="A1985" s="9" t="s">
        <v>85</v>
      </c>
      <c r="B1985" s="10">
        <v>44801</v>
      </c>
      <c r="C1985" s="11">
        <v>44804</v>
      </c>
      <c r="D1985" s="42">
        <v>35</v>
      </c>
      <c r="E1985" s="13" t="s">
        <v>2466</v>
      </c>
      <c r="F1985" s="13">
        <v>3025460</v>
      </c>
      <c r="G1985" s="14">
        <v>25974</v>
      </c>
      <c r="H1985" s="57">
        <v>8000</v>
      </c>
      <c r="I1985" s="16">
        <f t="shared" si="292"/>
        <v>207792000</v>
      </c>
      <c r="J1985" s="17">
        <v>56</v>
      </c>
      <c r="K1985" s="34">
        <v>4502401366</v>
      </c>
      <c r="L1985" s="19">
        <v>5083440622</v>
      </c>
      <c r="M1985" s="20">
        <v>5113557594</v>
      </c>
      <c r="N1985" s="23"/>
      <c r="O1985" s="9" t="s">
        <v>63</v>
      </c>
      <c r="P1985" s="23"/>
      <c r="Q1985" s="24" t="s">
        <v>82</v>
      </c>
      <c r="R1985" s="25">
        <v>44801</v>
      </c>
      <c r="S1985" s="28"/>
      <c r="T1985" s="35"/>
      <c r="U1985" s="35"/>
      <c r="V1985" s="29"/>
      <c r="W1985" s="35"/>
      <c r="X1985" s="29"/>
      <c r="Y1985" s="36"/>
      <c r="Z1985" s="29"/>
      <c r="AA1985" s="31">
        <f t="shared" si="1"/>
        <v>44801</v>
      </c>
      <c r="AB1985" s="32" t="str">
        <f t="shared" si="5"/>
        <v>agosto</v>
      </c>
    </row>
    <row r="1986" spans="1:28" ht="12.75">
      <c r="A1986" s="9" t="s">
        <v>199</v>
      </c>
      <c r="B1986" s="10">
        <v>44801</v>
      </c>
      <c r="C1986" s="11">
        <v>44803</v>
      </c>
      <c r="D1986" s="42">
        <v>35</v>
      </c>
      <c r="E1986" s="13" t="s">
        <v>2467</v>
      </c>
      <c r="F1986" s="13">
        <v>3025460</v>
      </c>
      <c r="G1986" s="14">
        <v>15858</v>
      </c>
      <c r="H1986" s="57">
        <v>8000</v>
      </c>
      <c r="I1986" s="16">
        <f t="shared" si="292"/>
        <v>126864000</v>
      </c>
      <c r="J1986" s="17">
        <v>30</v>
      </c>
      <c r="K1986" s="34">
        <v>4502401369</v>
      </c>
      <c r="L1986" s="19">
        <v>5083440830</v>
      </c>
      <c r="M1986" s="20">
        <v>5113549084</v>
      </c>
      <c r="N1986" s="23"/>
      <c r="O1986" s="23" t="s">
        <v>63</v>
      </c>
      <c r="P1986" s="23"/>
      <c r="Q1986" s="24" t="s">
        <v>82</v>
      </c>
      <c r="R1986" s="25">
        <v>44801</v>
      </c>
      <c r="S1986" s="28"/>
      <c r="T1986" s="35"/>
      <c r="U1986" s="35"/>
      <c r="V1986" s="29"/>
      <c r="W1986" s="35"/>
      <c r="X1986" s="29"/>
      <c r="Y1986" s="36"/>
      <c r="Z1986" s="29"/>
      <c r="AA1986" s="31">
        <f t="shared" si="1"/>
        <v>44801</v>
      </c>
      <c r="AB1986" s="32" t="str">
        <f t="shared" si="5"/>
        <v>agosto</v>
      </c>
    </row>
    <row r="1987" spans="1:28" ht="12.75">
      <c r="A1987" s="9" t="s">
        <v>318</v>
      </c>
      <c r="B1987" s="10">
        <v>44807</v>
      </c>
      <c r="C1987" s="11"/>
      <c r="D1987" s="42">
        <v>35</v>
      </c>
      <c r="E1987" s="13" t="s">
        <v>2468</v>
      </c>
      <c r="F1987" s="13">
        <v>3025460</v>
      </c>
      <c r="G1987" s="14">
        <v>6453</v>
      </c>
      <c r="H1987" s="57">
        <v>7950</v>
      </c>
      <c r="I1987" s="16">
        <f t="shared" si="292"/>
        <v>51301350</v>
      </c>
      <c r="J1987" s="17">
        <v>14</v>
      </c>
      <c r="K1987" s="34">
        <v>4502401367</v>
      </c>
      <c r="L1987" s="19">
        <v>5083440750</v>
      </c>
      <c r="M1987" s="20">
        <v>5113560370</v>
      </c>
      <c r="N1987" s="23"/>
      <c r="O1987" s="23"/>
      <c r="P1987" s="23"/>
      <c r="Q1987" s="24" t="s">
        <v>82</v>
      </c>
      <c r="R1987" s="25">
        <v>44801</v>
      </c>
      <c r="S1987" s="28"/>
      <c r="T1987" s="35"/>
      <c r="U1987" s="35"/>
      <c r="V1987" s="29"/>
      <c r="W1987" s="35"/>
      <c r="X1987" s="29"/>
      <c r="Y1987" s="36"/>
      <c r="Z1987" s="29"/>
      <c r="AA1987" s="31">
        <f t="shared" si="1"/>
        <v>44801</v>
      </c>
      <c r="AB1987" s="32" t="str">
        <f t="shared" si="5"/>
        <v>agosto</v>
      </c>
    </row>
    <row r="1988" spans="1:28" ht="12.75">
      <c r="A1988" s="9" t="s">
        <v>94</v>
      </c>
      <c r="B1988" s="10">
        <v>44804</v>
      </c>
      <c r="C1988" s="11"/>
      <c r="D1988" s="42">
        <v>35</v>
      </c>
      <c r="E1988" s="13" t="s">
        <v>2469</v>
      </c>
      <c r="F1988" s="13">
        <v>3025460</v>
      </c>
      <c r="G1988" s="14">
        <v>6592</v>
      </c>
      <c r="H1988" s="57">
        <v>8000</v>
      </c>
      <c r="I1988" s="16">
        <f t="shared" si="292"/>
        <v>52736000</v>
      </c>
      <c r="J1988" s="17">
        <v>15</v>
      </c>
      <c r="K1988" s="34">
        <v>4502401368</v>
      </c>
      <c r="L1988" s="19">
        <v>5083440756</v>
      </c>
      <c r="M1988" s="20">
        <v>5113556534</v>
      </c>
      <c r="N1988" s="23"/>
      <c r="O1988" s="9" t="s">
        <v>63</v>
      </c>
      <c r="P1988" s="23"/>
      <c r="Q1988" s="24" t="s">
        <v>82</v>
      </c>
      <c r="R1988" s="25">
        <v>44801</v>
      </c>
      <c r="S1988" s="28"/>
      <c r="T1988" s="35"/>
      <c r="U1988" s="35"/>
      <c r="V1988" s="29"/>
      <c r="W1988" s="35"/>
      <c r="X1988" s="29"/>
      <c r="Y1988" s="36"/>
      <c r="Z1988" s="29"/>
      <c r="AA1988" s="31">
        <f t="shared" si="1"/>
        <v>44801</v>
      </c>
      <c r="AB1988" s="32" t="str">
        <f t="shared" si="5"/>
        <v>agosto</v>
      </c>
    </row>
    <row r="1989" spans="1:28" ht="12.75">
      <c r="A1989" s="9" t="s">
        <v>266</v>
      </c>
      <c r="B1989" s="10">
        <v>44802</v>
      </c>
      <c r="C1989" s="11">
        <v>44805</v>
      </c>
      <c r="D1989" s="42">
        <v>35</v>
      </c>
      <c r="E1989" s="13" t="s">
        <v>2470</v>
      </c>
      <c r="F1989" s="13">
        <v>3025457</v>
      </c>
      <c r="G1989" s="37">
        <v>12541.5</v>
      </c>
      <c r="H1989" s="40">
        <v>8100</v>
      </c>
      <c r="I1989" s="16">
        <f t="shared" si="292"/>
        <v>101586150</v>
      </c>
      <c r="J1989" s="17">
        <v>27</v>
      </c>
      <c r="K1989" s="34">
        <v>4502396714</v>
      </c>
      <c r="L1989" s="19">
        <v>5083412998</v>
      </c>
      <c r="M1989" s="20">
        <v>5113558545</v>
      </c>
      <c r="N1989" s="23"/>
      <c r="O1989" s="9" t="s">
        <v>37</v>
      </c>
      <c r="P1989" s="23"/>
      <c r="Q1989" s="24" t="s">
        <v>31</v>
      </c>
      <c r="R1989" s="25">
        <v>44802</v>
      </c>
      <c r="S1989" s="28"/>
      <c r="T1989" s="35"/>
      <c r="U1989" s="35"/>
      <c r="V1989" s="29"/>
      <c r="W1989" s="35"/>
      <c r="X1989" s="29"/>
      <c r="Y1989" s="36"/>
      <c r="Z1989" s="29"/>
      <c r="AA1989" s="31">
        <f t="shared" si="1"/>
        <v>44802</v>
      </c>
      <c r="AB1989" s="32" t="str">
        <f t="shared" si="5"/>
        <v>agosto</v>
      </c>
    </row>
    <row r="1990" spans="1:28" ht="12.75">
      <c r="A1990" s="9" t="s">
        <v>266</v>
      </c>
      <c r="B1990" s="10">
        <v>44802</v>
      </c>
      <c r="C1990" s="11">
        <v>44805</v>
      </c>
      <c r="D1990" s="42">
        <v>35</v>
      </c>
      <c r="E1990" s="13" t="s">
        <v>575</v>
      </c>
      <c r="F1990" s="13">
        <v>3025457</v>
      </c>
      <c r="G1990" s="37">
        <v>12541.5</v>
      </c>
      <c r="H1990" s="40">
        <v>50</v>
      </c>
      <c r="I1990" s="16">
        <f>-H1990*G1990</f>
        <v>-627075</v>
      </c>
      <c r="J1990" s="17">
        <v>0</v>
      </c>
      <c r="K1990" s="34">
        <v>4502396714</v>
      </c>
      <c r="L1990" s="19">
        <v>5083412998</v>
      </c>
      <c r="M1990" s="20">
        <v>5113558567</v>
      </c>
      <c r="N1990" s="23"/>
      <c r="O1990" s="23"/>
      <c r="P1990" s="23"/>
      <c r="Q1990" s="24" t="s">
        <v>31</v>
      </c>
      <c r="R1990" s="25">
        <v>44802</v>
      </c>
      <c r="S1990" s="28"/>
      <c r="T1990" s="35"/>
      <c r="U1990" s="35"/>
      <c r="V1990" s="29"/>
      <c r="W1990" s="35"/>
      <c r="X1990" s="29"/>
      <c r="Y1990" s="36"/>
      <c r="Z1990" s="29"/>
      <c r="AA1990" s="31">
        <f t="shared" si="1"/>
        <v>44802</v>
      </c>
      <c r="AB1990" s="32" t="str">
        <f t="shared" si="5"/>
        <v>agosto</v>
      </c>
    </row>
    <row r="1991" spans="1:28" ht="12.75">
      <c r="A1991" s="22" t="s">
        <v>774</v>
      </c>
      <c r="B1991" s="10">
        <v>44811</v>
      </c>
      <c r="C1991" s="11">
        <v>44812</v>
      </c>
      <c r="D1991" s="42">
        <v>35</v>
      </c>
      <c r="E1991" s="13" t="s">
        <v>2471</v>
      </c>
      <c r="F1991" s="13">
        <v>3025457</v>
      </c>
      <c r="G1991" s="14">
        <v>28209</v>
      </c>
      <c r="H1991" s="40">
        <v>8200</v>
      </c>
      <c r="I1991" s="16">
        <f t="shared" ref="I1991:I1996" si="293">H1991*G1991</f>
        <v>231313800</v>
      </c>
      <c r="J1991" s="17">
        <v>60</v>
      </c>
      <c r="K1991" s="34">
        <v>4502396715</v>
      </c>
      <c r="L1991" s="19">
        <v>5083412999</v>
      </c>
      <c r="M1991" s="20">
        <v>5113565856</v>
      </c>
      <c r="N1991" s="23"/>
      <c r="O1991" s="9" t="s">
        <v>63</v>
      </c>
      <c r="P1991" s="23"/>
      <c r="Q1991" s="24" t="s">
        <v>31</v>
      </c>
      <c r="R1991" s="25">
        <v>44802</v>
      </c>
      <c r="S1991" s="28"/>
      <c r="T1991" s="35"/>
      <c r="U1991" s="35"/>
      <c r="V1991" s="29"/>
      <c r="W1991" s="35"/>
      <c r="X1991" s="29"/>
      <c r="Y1991" s="36"/>
      <c r="Z1991" s="29"/>
      <c r="AA1991" s="31">
        <f t="shared" si="1"/>
        <v>44802</v>
      </c>
      <c r="AB1991" s="32" t="str">
        <f t="shared" si="5"/>
        <v>agosto</v>
      </c>
    </row>
    <row r="1992" spans="1:28" ht="12.75">
      <c r="A1992" s="9" t="s">
        <v>46</v>
      </c>
      <c r="B1992" s="10">
        <v>44803</v>
      </c>
      <c r="C1992" s="11">
        <v>44804</v>
      </c>
      <c r="D1992" s="42">
        <v>35</v>
      </c>
      <c r="E1992" s="13" t="s">
        <v>2472</v>
      </c>
      <c r="F1992" s="13">
        <v>3025457</v>
      </c>
      <c r="G1992" s="14">
        <v>34654</v>
      </c>
      <c r="H1992" s="40">
        <v>8200</v>
      </c>
      <c r="I1992" s="16">
        <f t="shared" si="293"/>
        <v>284162800</v>
      </c>
      <c r="J1992" s="17">
        <v>70</v>
      </c>
      <c r="K1992" s="34">
        <v>4502396716</v>
      </c>
      <c r="L1992" s="19">
        <v>5083413000</v>
      </c>
      <c r="M1992" s="20">
        <v>5113556418</v>
      </c>
      <c r="N1992" s="23"/>
      <c r="O1992" s="9" t="s">
        <v>37</v>
      </c>
      <c r="P1992" s="23"/>
      <c r="Q1992" s="24" t="s">
        <v>31</v>
      </c>
      <c r="R1992" s="25">
        <v>44802</v>
      </c>
      <c r="S1992" s="28"/>
      <c r="T1992" s="35"/>
      <c r="U1992" s="35"/>
      <c r="V1992" s="29"/>
      <c r="W1992" s="35"/>
      <c r="X1992" s="29"/>
      <c r="Y1992" s="36"/>
      <c r="Z1992" s="29"/>
      <c r="AA1992" s="31">
        <f t="shared" si="1"/>
        <v>44802</v>
      </c>
      <c r="AB1992" s="32" t="str">
        <f t="shared" si="5"/>
        <v>agosto</v>
      </c>
    </row>
    <row r="1993" spans="1:28" ht="12.75">
      <c r="A1993" s="9" t="s">
        <v>46</v>
      </c>
      <c r="B1993" s="10">
        <v>44803</v>
      </c>
      <c r="C1993" s="11">
        <v>44804</v>
      </c>
      <c r="D1993" s="42">
        <v>35</v>
      </c>
      <c r="E1993" s="13" t="s">
        <v>546</v>
      </c>
      <c r="F1993" s="13">
        <v>3025457</v>
      </c>
      <c r="G1993" s="14">
        <v>34654</v>
      </c>
      <c r="H1993" s="40">
        <f>8247.07-8200</f>
        <v>47.069999999999709</v>
      </c>
      <c r="I1993" s="16">
        <f t="shared" si="293"/>
        <v>1631163.77999999</v>
      </c>
      <c r="J1993" s="17">
        <v>0</v>
      </c>
      <c r="K1993" s="34">
        <v>4502396716</v>
      </c>
      <c r="L1993" s="19">
        <v>5083413000</v>
      </c>
      <c r="M1993" s="20">
        <v>5113556420</v>
      </c>
      <c r="N1993" s="23"/>
      <c r="O1993" s="23"/>
      <c r="P1993" s="23"/>
      <c r="Q1993" s="24" t="s">
        <v>31</v>
      </c>
      <c r="R1993" s="25">
        <v>44802</v>
      </c>
      <c r="S1993" s="28"/>
      <c r="T1993" s="35"/>
      <c r="U1993" s="35"/>
      <c r="V1993" s="29"/>
      <c r="W1993" s="35"/>
      <c r="X1993" s="29"/>
      <c r="Y1993" s="36"/>
      <c r="Z1993" s="29"/>
      <c r="AA1993" s="31">
        <f t="shared" si="1"/>
        <v>44802</v>
      </c>
      <c r="AB1993" s="32" t="str">
        <f t="shared" si="5"/>
        <v>agosto</v>
      </c>
    </row>
    <row r="1994" spans="1:28" ht="12.75">
      <c r="A1994" s="9" t="s">
        <v>2311</v>
      </c>
      <c r="B1994" s="10">
        <v>44802</v>
      </c>
      <c r="C1994" s="11"/>
      <c r="D1994" s="42">
        <v>35</v>
      </c>
      <c r="E1994" s="13" t="s">
        <v>2473</v>
      </c>
      <c r="F1994" s="13">
        <v>3025459</v>
      </c>
      <c r="G1994" s="14">
        <v>12840</v>
      </c>
      <c r="H1994" s="40">
        <v>8500</v>
      </c>
      <c r="I1994" s="16">
        <f t="shared" si="293"/>
        <v>109140000</v>
      </c>
      <c r="J1994" s="17">
        <v>29</v>
      </c>
      <c r="K1994" s="34">
        <v>4502396741</v>
      </c>
      <c r="L1994" s="19">
        <v>5083413293</v>
      </c>
      <c r="M1994" s="20">
        <v>5113565886</v>
      </c>
      <c r="N1994" s="23"/>
      <c r="O1994" s="23" t="s">
        <v>37</v>
      </c>
      <c r="P1994" s="23"/>
      <c r="Q1994" s="24" t="s">
        <v>31</v>
      </c>
      <c r="R1994" s="25">
        <v>44802</v>
      </c>
      <c r="S1994" s="28"/>
      <c r="T1994" s="35"/>
      <c r="U1994" s="35"/>
      <c r="V1994" s="29"/>
      <c r="W1994" s="35"/>
      <c r="X1994" s="29"/>
      <c r="Y1994" s="36"/>
      <c r="Z1994" s="29"/>
      <c r="AA1994" s="31">
        <f t="shared" si="1"/>
        <v>44802</v>
      </c>
      <c r="AB1994" s="32" t="str">
        <f t="shared" si="5"/>
        <v>agosto</v>
      </c>
    </row>
    <row r="1995" spans="1:28" ht="12.75">
      <c r="A1995" s="9" t="s">
        <v>58</v>
      </c>
      <c r="B1995" s="10">
        <v>44804</v>
      </c>
      <c r="C1995" s="11">
        <v>44804</v>
      </c>
      <c r="D1995" s="42">
        <v>35</v>
      </c>
      <c r="E1995" s="13" t="s">
        <v>2474</v>
      </c>
      <c r="F1995" s="13">
        <v>3025462</v>
      </c>
      <c r="G1995" s="14">
        <v>8983</v>
      </c>
      <c r="H1995" s="57">
        <v>7400</v>
      </c>
      <c r="I1995" s="16">
        <f t="shared" si="293"/>
        <v>66474200</v>
      </c>
      <c r="J1995" s="17">
        <v>33</v>
      </c>
      <c r="K1995" s="34">
        <v>4502401132</v>
      </c>
      <c r="L1995" s="19">
        <v>5083430001</v>
      </c>
      <c r="M1995" s="20">
        <v>5113557014</v>
      </c>
      <c r="N1995" s="23"/>
      <c r="O1995" s="23" t="s">
        <v>37</v>
      </c>
      <c r="P1995" s="23"/>
      <c r="Q1995" s="24" t="s">
        <v>357</v>
      </c>
      <c r="R1995" s="25">
        <v>44802</v>
      </c>
      <c r="S1995" s="28"/>
      <c r="T1995" s="35"/>
      <c r="U1995" s="35"/>
      <c r="V1995" s="29"/>
      <c r="W1995" s="35"/>
      <c r="X1995" s="29"/>
      <c r="Y1995" s="36"/>
      <c r="Z1995" s="29"/>
      <c r="AA1995" s="31">
        <f t="shared" si="1"/>
        <v>44802</v>
      </c>
      <c r="AB1995" s="32" t="str">
        <f t="shared" si="5"/>
        <v>agosto</v>
      </c>
    </row>
    <row r="1996" spans="1:28" ht="12.75">
      <c r="A1996" s="22" t="s">
        <v>774</v>
      </c>
      <c r="B1996" s="10">
        <v>44811</v>
      </c>
      <c r="C1996" s="11">
        <v>44812</v>
      </c>
      <c r="D1996" s="42">
        <v>35</v>
      </c>
      <c r="E1996" s="13" t="s">
        <v>805</v>
      </c>
      <c r="F1996" s="13">
        <v>3025457</v>
      </c>
      <c r="G1996" s="14">
        <v>27081</v>
      </c>
      <c r="H1996" s="40">
        <v>8200</v>
      </c>
      <c r="I1996" s="16">
        <f t="shared" si="293"/>
        <v>222064200</v>
      </c>
      <c r="J1996" s="17">
        <v>60</v>
      </c>
      <c r="K1996" s="34">
        <v>4502396717</v>
      </c>
      <c r="L1996" s="19">
        <v>5083432388</v>
      </c>
      <c r="M1996" s="20">
        <v>5113565877</v>
      </c>
      <c r="N1996" s="23"/>
      <c r="O1996" s="9" t="s">
        <v>63</v>
      </c>
      <c r="P1996" s="23"/>
      <c r="Q1996" s="24" t="s">
        <v>31</v>
      </c>
      <c r="R1996" s="25">
        <v>44803</v>
      </c>
      <c r="S1996" s="28"/>
      <c r="T1996" s="35"/>
      <c r="U1996" s="35"/>
      <c r="V1996" s="29"/>
      <c r="W1996" s="35"/>
      <c r="X1996" s="29"/>
      <c r="Y1996" s="36"/>
      <c r="Z1996" s="29"/>
      <c r="AA1996" s="31">
        <f t="shared" si="1"/>
        <v>44803</v>
      </c>
      <c r="AB1996" s="32" t="str">
        <f t="shared" si="5"/>
        <v>agosto</v>
      </c>
    </row>
    <row r="1997" spans="1:28" ht="12.75">
      <c r="A1997" s="22" t="s">
        <v>774</v>
      </c>
      <c r="B1997" s="10">
        <v>44811</v>
      </c>
      <c r="C1997" s="11">
        <v>44812</v>
      </c>
      <c r="D1997" s="42">
        <v>35</v>
      </c>
      <c r="E1997" s="13" t="s">
        <v>77</v>
      </c>
      <c r="F1997" s="13">
        <v>3025457</v>
      </c>
      <c r="G1997" s="14">
        <v>27081</v>
      </c>
      <c r="H1997" s="40">
        <v>100</v>
      </c>
      <c r="I1997" s="16">
        <f>-H1997*G1997</f>
        <v>-2708100</v>
      </c>
      <c r="J1997" s="17">
        <v>0</v>
      </c>
      <c r="K1997" s="34">
        <v>4502396717</v>
      </c>
      <c r="L1997" s="19">
        <v>5083432388</v>
      </c>
      <c r="M1997" s="20">
        <v>5113565880</v>
      </c>
      <c r="N1997" s="23"/>
      <c r="O1997" s="23"/>
      <c r="P1997" s="23"/>
      <c r="Q1997" s="24" t="s">
        <v>31</v>
      </c>
      <c r="R1997" s="25">
        <v>44803</v>
      </c>
      <c r="S1997" s="28"/>
      <c r="T1997" s="35"/>
      <c r="U1997" s="35"/>
      <c r="V1997" s="29"/>
      <c r="W1997" s="35"/>
      <c r="X1997" s="29"/>
      <c r="Y1997" s="36"/>
      <c r="Z1997" s="29"/>
      <c r="AA1997" s="31">
        <f t="shared" si="1"/>
        <v>44803</v>
      </c>
      <c r="AB1997" s="32" t="str">
        <f t="shared" si="5"/>
        <v>agosto</v>
      </c>
    </row>
    <row r="1998" spans="1:28" ht="12.75">
      <c r="A1998" s="45" t="s">
        <v>145</v>
      </c>
      <c r="B1998" s="10">
        <v>44809</v>
      </c>
      <c r="C1998" s="11">
        <v>44809</v>
      </c>
      <c r="D1998" s="42">
        <v>35</v>
      </c>
      <c r="E1998" s="13" t="s">
        <v>2475</v>
      </c>
      <c r="F1998" s="13">
        <v>3025457</v>
      </c>
      <c r="G1998" s="14">
        <v>6481</v>
      </c>
      <c r="H1998" s="40">
        <v>8200</v>
      </c>
      <c r="I1998" s="16">
        <f t="shared" ref="I1998:I2004" si="294">H1998*G1998</f>
        <v>53144200</v>
      </c>
      <c r="J1998" s="17">
        <v>15</v>
      </c>
      <c r="K1998" s="34">
        <v>4502396718</v>
      </c>
      <c r="L1998" s="19">
        <v>5083432389</v>
      </c>
      <c r="M1998" s="20">
        <v>5113562185</v>
      </c>
      <c r="N1998" s="23"/>
      <c r="O1998" s="23" t="s">
        <v>37</v>
      </c>
      <c r="P1998" s="23"/>
      <c r="Q1998" s="24" t="s">
        <v>31</v>
      </c>
      <c r="R1998" s="25">
        <v>44803</v>
      </c>
      <c r="S1998" s="28"/>
      <c r="T1998" s="35"/>
      <c r="U1998" s="35"/>
      <c r="V1998" s="29"/>
      <c r="W1998" s="35"/>
      <c r="X1998" s="29"/>
      <c r="Y1998" s="36"/>
      <c r="Z1998" s="29"/>
      <c r="AA1998" s="31">
        <f t="shared" si="1"/>
        <v>44803</v>
      </c>
      <c r="AB1998" s="32" t="str">
        <f t="shared" si="5"/>
        <v>agosto</v>
      </c>
    </row>
    <row r="1999" spans="1:28" ht="12.75">
      <c r="A1999" s="45" t="s">
        <v>145</v>
      </c>
      <c r="B1999" s="10">
        <v>44809</v>
      </c>
      <c r="C1999" s="11">
        <v>44809</v>
      </c>
      <c r="D1999" s="42">
        <v>35</v>
      </c>
      <c r="E1999" s="13" t="s">
        <v>2476</v>
      </c>
      <c r="F1999" s="13">
        <v>3025457</v>
      </c>
      <c r="G1999" s="14">
        <v>6481</v>
      </c>
      <c r="H1999" s="40">
        <v>50</v>
      </c>
      <c r="I1999" s="16">
        <f t="shared" si="294"/>
        <v>324050</v>
      </c>
      <c r="J1999" s="17">
        <v>0</v>
      </c>
      <c r="K1999" s="34">
        <v>4502396718</v>
      </c>
      <c r="L1999" s="19">
        <v>5083432389</v>
      </c>
      <c r="M1999" s="20">
        <v>5113562210</v>
      </c>
      <c r="N1999" s="23"/>
      <c r="O1999" s="23"/>
      <c r="P1999" s="23"/>
      <c r="Q1999" s="24" t="s">
        <v>31</v>
      </c>
      <c r="R1999" s="25">
        <v>44803</v>
      </c>
      <c r="S1999" s="28"/>
      <c r="T1999" s="35"/>
      <c r="U1999" s="35"/>
      <c r="V1999" s="29"/>
      <c r="W1999" s="35"/>
      <c r="X1999" s="29"/>
      <c r="Y1999" s="36"/>
      <c r="Z1999" s="29"/>
      <c r="AA1999" s="31">
        <f t="shared" si="1"/>
        <v>44803</v>
      </c>
      <c r="AB1999" s="32" t="str">
        <f t="shared" si="5"/>
        <v>agosto</v>
      </c>
    </row>
    <row r="2000" spans="1:28" ht="12.75">
      <c r="A2000" s="9" t="s">
        <v>180</v>
      </c>
      <c r="B2000" s="10">
        <v>44816</v>
      </c>
      <c r="C2000" s="11">
        <v>44816</v>
      </c>
      <c r="D2000" s="42">
        <v>35</v>
      </c>
      <c r="E2000" s="13" t="s">
        <v>759</v>
      </c>
      <c r="F2000" s="13">
        <v>3025457</v>
      </c>
      <c r="G2000" s="14">
        <v>6450</v>
      </c>
      <c r="H2000" s="40">
        <v>8200</v>
      </c>
      <c r="I2000" s="16">
        <f t="shared" si="294"/>
        <v>52890000</v>
      </c>
      <c r="J2000" s="17">
        <v>14</v>
      </c>
      <c r="K2000" s="34">
        <v>4502396720</v>
      </c>
      <c r="L2000" s="19">
        <v>5083432390</v>
      </c>
      <c r="M2000" s="20">
        <v>5113575989</v>
      </c>
      <c r="N2000" s="23"/>
      <c r="O2000" s="9" t="s">
        <v>63</v>
      </c>
      <c r="P2000" s="23"/>
      <c r="Q2000" s="24" t="s">
        <v>31</v>
      </c>
      <c r="R2000" s="25">
        <v>44803</v>
      </c>
      <c r="S2000" s="28"/>
      <c r="T2000" s="35"/>
      <c r="U2000" s="35"/>
      <c r="V2000" s="29"/>
      <c r="W2000" s="35"/>
      <c r="X2000" s="29"/>
      <c r="Y2000" s="36"/>
      <c r="Z2000" s="29"/>
      <c r="AA2000" s="31">
        <f t="shared" si="1"/>
        <v>44803</v>
      </c>
      <c r="AB2000" s="32" t="str">
        <f t="shared" si="5"/>
        <v>agosto</v>
      </c>
    </row>
    <row r="2001" spans="1:28" ht="12.75">
      <c r="A2001" s="9" t="s">
        <v>28</v>
      </c>
      <c r="B2001" s="10">
        <v>44804</v>
      </c>
      <c r="C2001" s="11">
        <v>44804</v>
      </c>
      <c r="D2001" s="42">
        <v>35</v>
      </c>
      <c r="E2001" s="13" t="s">
        <v>2477</v>
      </c>
      <c r="F2001" s="13">
        <v>3025459</v>
      </c>
      <c r="G2001" s="14">
        <v>14899</v>
      </c>
      <c r="H2001" s="15">
        <v>7800</v>
      </c>
      <c r="I2001" s="16">
        <f t="shared" si="294"/>
        <v>116212200</v>
      </c>
      <c r="J2001" s="17">
        <v>28</v>
      </c>
      <c r="K2001" s="34">
        <v>4502400810</v>
      </c>
      <c r="L2001" s="19">
        <v>5083425200</v>
      </c>
      <c r="M2001" s="20">
        <v>5113556612</v>
      </c>
      <c r="N2001" s="23"/>
      <c r="O2001" s="44" t="s">
        <v>2478</v>
      </c>
      <c r="P2001" s="23" t="s">
        <v>63</v>
      </c>
      <c r="Q2001" s="24" t="s">
        <v>31</v>
      </c>
      <c r="R2001" s="25">
        <v>44803</v>
      </c>
      <c r="S2001" s="28">
        <v>4902334135</v>
      </c>
      <c r="T2001" s="35">
        <f>3079200*2</f>
        <v>6158400</v>
      </c>
      <c r="U2001" s="28" t="s">
        <v>2479</v>
      </c>
      <c r="V2001" s="29">
        <v>5113552055</v>
      </c>
      <c r="W2001" s="35"/>
      <c r="X2001" s="29"/>
      <c r="Y2001" s="36"/>
      <c r="Z2001" s="29"/>
      <c r="AA2001" s="31">
        <f t="shared" si="1"/>
        <v>44803</v>
      </c>
      <c r="AB2001" s="32" t="str">
        <f t="shared" si="5"/>
        <v>agosto</v>
      </c>
    </row>
    <row r="2002" spans="1:28" ht="12.75">
      <c r="A2002" s="9" t="s">
        <v>73</v>
      </c>
      <c r="B2002" s="10">
        <v>44806</v>
      </c>
      <c r="C2002" s="11">
        <v>44806</v>
      </c>
      <c r="D2002" s="42">
        <v>35</v>
      </c>
      <c r="E2002" s="13" t="s">
        <v>2480</v>
      </c>
      <c r="F2002" s="13">
        <v>3025459</v>
      </c>
      <c r="G2002" s="14">
        <v>6515</v>
      </c>
      <c r="H2002" s="40">
        <v>8500</v>
      </c>
      <c r="I2002" s="16">
        <f t="shared" si="294"/>
        <v>55377500</v>
      </c>
      <c r="J2002" s="17">
        <v>14</v>
      </c>
      <c r="K2002" s="34">
        <v>4502396742</v>
      </c>
      <c r="L2002" s="19">
        <v>5083432391</v>
      </c>
      <c r="M2002" s="20">
        <v>5113559773</v>
      </c>
      <c r="N2002" s="23"/>
      <c r="O2002" s="9" t="s">
        <v>63</v>
      </c>
      <c r="P2002" s="23"/>
      <c r="Q2002" s="24" t="s">
        <v>31</v>
      </c>
      <c r="R2002" s="25">
        <v>44803</v>
      </c>
      <c r="S2002" s="28"/>
      <c r="T2002" s="35"/>
      <c r="U2002" s="35"/>
      <c r="V2002" s="29"/>
      <c r="W2002" s="35"/>
      <c r="X2002" s="29"/>
      <c r="Y2002" s="36"/>
      <c r="Z2002" s="29"/>
      <c r="AA2002" s="31">
        <f t="shared" si="1"/>
        <v>44803</v>
      </c>
      <c r="AB2002" s="32" t="str">
        <f t="shared" si="5"/>
        <v>agosto</v>
      </c>
    </row>
    <row r="2003" spans="1:28" ht="12.75">
      <c r="A2003" s="9" t="s">
        <v>213</v>
      </c>
      <c r="B2003" s="10">
        <v>44805</v>
      </c>
      <c r="C2003" s="11"/>
      <c r="D2003" s="49">
        <v>36</v>
      </c>
      <c r="E2003" s="13" t="s">
        <v>2481</v>
      </c>
      <c r="F2003" s="13">
        <v>3025457</v>
      </c>
      <c r="G2003" s="14">
        <v>7477</v>
      </c>
      <c r="H2003" s="33">
        <v>8050</v>
      </c>
      <c r="I2003" s="16">
        <f t="shared" si="294"/>
        <v>60189850</v>
      </c>
      <c r="J2003" s="17">
        <v>15</v>
      </c>
      <c r="K2003" s="34">
        <v>4502401836</v>
      </c>
      <c r="L2003" s="126">
        <v>5083489896</v>
      </c>
      <c r="M2003" s="127">
        <v>5113572865</v>
      </c>
      <c r="N2003" s="128"/>
      <c r="O2003" s="9" t="s">
        <v>37</v>
      </c>
      <c r="P2003" s="23"/>
      <c r="Q2003" s="24" t="s">
        <v>31</v>
      </c>
      <c r="R2003" s="25">
        <v>44805</v>
      </c>
      <c r="S2003" s="28"/>
      <c r="T2003" s="35"/>
      <c r="U2003" s="35"/>
      <c r="V2003" s="29"/>
      <c r="W2003" s="35"/>
      <c r="X2003" s="29"/>
      <c r="Y2003" s="36"/>
      <c r="Z2003" s="29"/>
      <c r="AA2003" s="31">
        <f t="shared" si="1"/>
        <v>44805</v>
      </c>
      <c r="AB2003" s="32" t="str">
        <f t="shared" si="5"/>
        <v>septiembre</v>
      </c>
    </row>
    <row r="2004" spans="1:28" ht="12.75">
      <c r="A2004" s="9" t="s">
        <v>58</v>
      </c>
      <c r="B2004" s="10">
        <v>44811</v>
      </c>
      <c r="C2004" s="11">
        <v>44811</v>
      </c>
      <c r="D2004" s="49">
        <v>36</v>
      </c>
      <c r="E2004" s="13" t="s">
        <v>2482</v>
      </c>
      <c r="F2004" s="13">
        <v>3025457</v>
      </c>
      <c r="G2004" s="14">
        <v>7272</v>
      </c>
      <c r="H2004" s="33">
        <v>8450</v>
      </c>
      <c r="I2004" s="16">
        <f t="shared" si="294"/>
        <v>61448400</v>
      </c>
      <c r="J2004" s="17">
        <v>15</v>
      </c>
      <c r="K2004" s="34">
        <v>4502401837</v>
      </c>
      <c r="L2004" s="126">
        <v>5083489897</v>
      </c>
      <c r="M2004" s="127">
        <v>5113567138</v>
      </c>
      <c r="N2004" s="128"/>
      <c r="O2004" s="9" t="s">
        <v>37</v>
      </c>
      <c r="P2004" s="23"/>
      <c r="Q2004" s="24" t="s">
        <v>31</v>
      </c>
      <c r="R2004" s="25">
        <v>44805</v>
      </c>
      <c r="S2004" s="28"/>
      <c r="T2004" s="35"/>
      <c r="U2004" s="35"/>
      <c r="V2004" s="29"/>
      <c r="W2004" s="35"/>
      <c r="X2004" s="29"/>
      <c r="Y2004" s="36"/>
      <c r="Z2004" s="29"/>
      <c r="AA2004" s="31">
        <f t="shared" si="1"/>
        <v>44805</v>
      </c>
      <c r="AB2004" s="32" t="str">
        <f t="shared" si="5"/>
        <v>septiembre</v>
      </c>
    </row>
    <row r="2005" spans="1:28" ht="12.75">
      <c r="A2005" s="9" t="s">
        <v>58</v>
      </c>
      <c r="B2005" s="10">
        <v>44811</v>
      </c>
      <c r="C2005" s="11">
        <v>44811</v>
      </c>
      <c r="D2005" s="49">
        <v>36</v>
      </c>
      <c r="E2005" s="13" t="s">
        <v>2483</v>
      </c>
      <c r="F2005" s="13">
        <v>3025457</v>
      </c>
      <c r="G2005" s="14">
        <v>7272</v>
      </c>
      <c r="H2005" s="33">
        <v>150</v>
      </c>
      <c r="I2005" s="16">
        <f>-H2005*G2005</f>
        <v>-1090800</v>
      </c>
      <c r="J2005" s="17">
        <v>0</v>
      </c>
      <c r="K2005" s="34">
        <v>4502401837</v>
      </c>
      <c r="L2005" s="126">
        <v>5083489897</v>
      </c>
      <c r="M2005" s="127">
        <v>5113567139</v>
      </c>
      <c r="N2005" s="128"/>
      <c r="O2005" s="9"/>
      <c r="P2005" s="23"/>
      <c r="Q2005" s="24" t="s">
        <v>31</v>
      </c>
      <c r="R2005" s="25">
        <v>44805</v>
      </c>
      <c r="S2005" s="28"/>
      <c r="T2005" s="35"/>
      <c r="U2005" s="35"/>
      <c r="V2005" s="29"/>
      <c r="W2005" s="35"/>
      <c r="X2005" s="29"/>
      <c r="Y2005" s="36"/>
      <c r="Z2005" s="29"/>
      <c r="AA2005" s="31">
        <f t="shared" si="1"/>
        <v>44805</v>
      </c>
      <c r="AB2005" s="32" t="str">
        <f t="shared" si="5"/>
        <v>septiembre</v>
      </c>
    </row>
    <row r="2006" spans="1:28" ht="12.75">
      <c r="A2006" s="9" t="s">
        <v>58</v>
      </c>
      <c r="B2006" s="10">
        <v>44811</v>
      </c>
      <c r="C2006" s="11">
        <v>44811</v>
      </c>
      <c r="D2006" s="49">
        <v>36</v>
      </c>
      <c r="E2006" s="13" t="s">
        <v>2484</v>
      </c>
      <c r="F2006" s="13">
        <v>3025457</v>
      </c>
      <c r="G2006" s="14">
        <v>33391</v>
      </c>
      <c r="H2006" s="33">
        <v>8450</v>
      </c>
      <c r="I2006" s="16">
        <f>H2006*G2006</f>
        <v>282153950</v>
      </c>
      <c r="J2006" s="17">
        <v>78</v>
      </c>
      <c r="K2006" s="34">
        <v>4502401837</v>
      </c>
      <c r="L2006" s="126">
        <v>5083489897</v>
      </c>
      <c r="M2006" s="127">
        <v>5113567143</v>
      </c>
      <c r="N2006" s="128"/>
      <c r="O2006" s="9" t="s">
        <v>37</v>
      </c>
      <c r="P2006" s="23"/>
      <c r="Q2006" s="24" t="s">
        <v>31</v>
      </c>
      <c r="R2006" s="25">
        <v>44805</v>
      </c>
      <c r="S2006" s="28"/>
      <c r="T2006" s="35"/>
      <c r="U2006" s="35"/>
      <c r="V2006" s="29"/>
      <c r="W2006" s="35"/>
      <c r="X2006" s="29"/>
      <c r="Y2006" s="36"/>
      <c r="Z2006" s="29"/>
      <c r="AA2006" s="31">
        <f t="shared" si="1"/>
        <v>44805</v>
      </c>
      <c r="AB2006" s="32" t="str">
        <f t="shared" si="5"/>
        <v>septiembre</v>
      </c>
    </row>
    <row r="2007" spans="1:28" ht="12.75">
      <c r="A2007" s="9" t="s">
        <v>58</v>
      </c>
      <c r="B2007" s="10">
        <v>44811</v>
      </c>
      <c r="C2007" s="11">
        <v>44811</v>
      </c>
      <c r="D2007" s="49">
        <v>36</v>
      </c>
      <c r="E2007" s="13" t="s">
        <v>2485</v>
      </c>
      <c r="F2007" s="13">
        <v>3025457</v>
      </c>
      <c r="G2007" s="14">
        <v>33391</v>
      </c>
      <c r="H2007" s="33">
        <f>8450-8437.99</f>
        <v>12.010000000000218</v>
      </c>
      <c r="I2007" s="16">
        <f>-H2007*G2007</f>
        <v>-401025.91000000731</v>
      </c>
      <c r="J2007" s="17">
        <v>0</v>
      </c>
      <c r="K2007" s="34">
        <v>4502401837</v>
      </c>
      <c r="L2007" s="126">
        <v>5083489897</v>
      </c>
      <c r="M2007" s="127">
        <v>5113567144</v>
      </c>
      <c r="N2007" s="128"/>
      <c r="O2007" s="9"/>
      <c r="P2007" s="23"/>
      <c r="Q2007" s="24" t="s">
        <v>31</v>
      </c>
      <c r="R2007" s="25">
        <v>44805</v>
      </c>
      <c r="S2007" s="28"/>
      <c r="T2007" s="35"/>
      <c r="U2007" s="35"/>
      <c r="V2007" s="29"/>
      <c r="W2007" s="35"/>
      <c r="X2007" s="29"/>
      <c r="Y2007" s="36"/>
      <c r="Z2007" s="29"/>
      <c r="AA2007" s="31">
        <f t="shared" si="1"/>
        <v>44805</v>
      </c>
      <c r="AB2007" s="32" t="str">
        <f t="shared" si="5"/>
        <v>septiembre</v>
      </c>
    </row>
    <row r="2008" spans="1:28" ht="12.75">
      <c r="A2008" s="22" t="s">
        <v>404</v>
      </c>
      <c r="B2008" s="10">
        <v>44806</v>
      </c>
      <c r="C2008" s="11">
        <v>44809</v>
      </c>
      <c r="D2008" s="49">
        <v>36</v>
      </c>
      <c r="E2008" s="13" t="s">
        <v>2486</v>
      </c>
      <c r="F2008" s="13">
        <v>3025457</v>
      </c>
      <c r="G2008" s="14">
        <v>13775</v>
      </c>
      <c r="H2008" s="33">
        <v>8450</v>
      </c>
      <c r="I2008" s="16">
        <f>H2008*G2008</f>
        <v>116398750</v>
      </c>
      <c r="J2008" s="17">
        <v>30</v>
      </c>
      <c r="K2008" s="34">
        <v>4502401838</v>
      </c>
      <c r="L2008" s="126">
        <v>5083487118</v>
      </c>
      <c r="M2008" s="127">
        <v>5113572739</v>
      </c>
      <c r="N2008" s="128"/>
      <c r="O2008" s="9" t="s">
        <v>37</v>
      </c>
      <c r="P2008" s="23"/>
      <c r="Q2008" s="24" t="s">
        <v>31</v>
      </c>
      <c r="R2008" s="25">
        <v>44805</v>
      </c>
      <c r="S2008" s="28"/>
      <c r="T2008" s="35"/>
      <c r="U2008" s="35"/>
      <c r="V2008" s="29"/>
      <c r="W2008" s="35"/>
      <c r="X2008" s="29"/>
      <c r="Y2008" s="36"/>
      <c r="Z2008" s="29"/>
      <c r="AA2008" s="31">
        <f t="shared" si="1"/>
        <v>44805</v>
      </c>
      <c r="AB2008" s="32" t="str">
        <f t="shared" si="5"/>
        <v>septiembre</v>
      </c>
    </row>
    <row r="2009" spans="1:28" ht="12.75">
      <c r="A2009" s="22" t="s">
        <v>404</v>
      </c>
      <c r="B2009" s="10">
        <v>44809</v>
      </c>
      <c r="C2009" s="11">
        <v>44809</v>
      </c>
      <c r="D2009" s="49">
        <v>36</v>
      </c>
      <c r="E2009" s="13" t="s">
        <v>389</v>
      </c>
      <c r="F2009" s="13">
        <v>3025457</v>
      </c>
      <c r="G2009" s="14">
        <v>13775</v>
      </c>
      <c r="H2009" s="33">
        <f>8450-8447.23</f>
        <v>2.7700000000004366</v>
      </c>
      <c r="I2009" s="16">
        <f>-H2009*G2009</f>
        <v>-38156.75000000601</v>
      </c>
      <c r="J2009" s="17">
        <v>0</v>
      </c>
      <c r="K2009" s="34">
        <v>4502401838</v>
      </c>
      <c r="L2009" s="126">
        <v>5083487118</v>
      </c>
      <c r="M2009" s="127">
        <v>5113572740</v>
      </c>
      <c r="N2009" s="128"/>
      <c r="O2009" s="9"/>
      <c r="P2009" s="23"/>
      <c r="Q2009" s="24" t="s">
        <v>31</v>
      </c>
      <c r="R2009" s="25">
        <v>44805</v>
      </c>
      <c r="S2009" s="28"/>
      <c r="T2009" s="35"/>
      <c r="U2009" s="35"/>
      <c r="V2009" s="29"/>
      <c r="W2009" s="35"/>
      <c r="X2009" s="29"/>
      <c r="Y2009" s="36"/>
      <c r="Z2009" s="29"/>
      <c r="AA2009" s="31">
        <f t="shared" si="1"/>
        <v>44805</v>
      </c>
      <c r="AB2009" s="32" t="str">
        <f t="shared" si="5"/>
        <v>septiembre</v>
      </c>
    </row>
    <row r="2010" spans="1:28" ht="12.75">
      <c r="A2010" s="9" t="s">
        <v>455</v>
      </c>
      <c r="B2010" s="10">
        <v>44805</v>
      </c>
      <c r="C2010" s="11">
        <v>44810</v>
      </c>
      <c r="D2010" s="49">
        <v>36</v>
      </c>
      <c r="E2010" s="13" t="s">
        <v>2487</v>
      </c>
      <c r="F2010" s="13">
        <v>3025457</v>
      </c>
      <c r="G2010" s="14">
        <v>21468</v>
      </c>
      <c r="H2010" s="33">
        <v>8000</v>
      </c>
      <c r="I2010" s="16">
        <f>H2010*G2010</f>
        <v>171744000</v>
      </c>
      <c r="J2010" s="17">
        <v>42</v>
      </c>
      <c r="K2010" s="34">
        <v>4502401839</v>
      </c>
      <c r="L2010" s="126">
        <v>5083487120</v>
      </c>
      <c r="M2010" s="127">
        <v>5113564458</v>
      </c>
      <c r="N2010" s="23"/>
      <c r="O2010" s="9" t="s">
        <v>63</v>
      </c>
      <c r="P2010" s="23"/>
      <c r="Q2010" s="24" t="s">
        <v>31</v>
      </c>
      <c r="R2010" s="25">
        <v>44805</v>
      </c>
      <c r="S2010" s="28"/>
      <c r="T2010" s="35"/>
      <c r="U2010" s="35"/>
      <c r="V2010" s="29"/>
      <c r="W2010" s="35"/>
      <c r="X2010" s="29"/>
      <c r="Y2010" s="36"/>
      <c r="Z2010" s="29"/>
      <c r="AA2010" s="31">
        <f t="shared" si="1"/>
        <v>44805</v>
      </c>
      <c r="AB2010" s="32" t="str">
        <f t="shared" si="5"/>
        <v>septiembre</v>
      </c>
    </row>
    <row r="2011" spans="1:28" ht="12.75">
      <c r="A2011" s="9" t="s">
        <v>455</v>
      </c>
      <c r="B2011" s="10">
        <v>44805</v>
      </c>
      <c r="C2011" s="11">
        <v>44810</v>
      </c>
      <c r="D2011" s="49">
        <v>36</v>
      </c>
      <c r="E2011" s="13" t="s">
        <v>2488</v>
      </c>
      <c r="F2011" s="13">
        <v>3025457</v>
      </c>
      <c r="G2011" s="14">
        <v>21468</v>
      </c>
      <c r="H2011" s="33">
        <f>8000-7997.18</f>
        <v>2.819999999999709</v>
      </c>
      <c r="I2011" s="16">
        <f>-H2011*G2011</f>
        <v>-60539.759999993752</v>
      </c>
      <c r="J2011" s="17">
        <v>0</v>
      </c>
      <c r="K2011" s="34">
        <v>4502401839</v>
      </c>
      <c r="L2011" s="126">
        <v>5083487120</v>
      </c>
      <c r="M2011" s="127">
        <v>5113564459</v>
      </c>
      <c r="N2011" s="23"/>
      <c r="O2011" s="9"/>
      <c r="P2011" s="23"/>
      <c r="Q2011" s="24" t="s">
        <v>31</v>
      </c>
      <c r="R2011" s="25">
        <v>44805</v>
      </c>
      <c r="S2011" s="28"/>
      <c r="T2011" s="35"/>
      <c r="U2011" s="35"/>
      <c r="V2011" s="29"/>
      <c r="W2011" s="35"/>
      <c r="X2011" s="29"/>
      <c r="Y2011" s="36"/>
      <c r="Z2011" s="29"/>
      <c r="AA2011" s="31">
        <f t="shared" si="1"/>
        <v>44805</v>
      </c>
      <c r="AB2011" s="32" t="str">
        <f t="shared" si="5"/>
        <v>septiembre</v>
      </c>
    </row>
    <row r="2012" spans="1:28" ht="12.75">
      <c r="A2012" s="9" t="s">
        <v>896</v>
      </c>
      <c r="B2012" s="10">
        <v>44809</v>
      </c>
      <c r="C2012" s="11"/>
      <c r="D2012" s="49">
        <v>36</v>
      </c>
      <c r="E2012" s="13" t="s">
        <v>2489</v>
      </c>
      <c r="F2012" s="13">
        <v>3025457</v>
      </c>
      <c r="G2012" s="37">
        <v>27905.5</v>
      </c>
      <c r="H2012" s="33">
        <v>8000</v>
      </c>
      <c r="I2012" s="16">
        <f>H2012*G2012</f>
        <v>223244000</v>
      </c>
      <c r="J2012" s="17">
        <v>56</v>
      </c>
      <c r="K2012" s="34">
        <v>4502401840</v>
      </c>
      <c r="L2012" s="126">
        <v>5083487122</v>
      </c>
      <c r="M2012" s="127">
        <v>5113563474</v>
      </c>
      <c r="N2012" s="128"/>
      <c r="O2012" s="9" t="s">
        <v>37</v>
      </c>
      <c r="P2012" s="23"/>
      <c r="Q2012" s="24" t="s">
        <v>31</v>
      </c>
      <c r="R2012" s="25">
        <v>44805</v>
      </c>
      <c r="S2012" s="28"/>
      <c r="T2012" s="35"/>
      <c r="U2012" s="35"/>
      <c r="V2012" s="29"/>
      <c r="W2012" s="35"/>
      <c r="X2012" s="29"/>
      <c r="Y2012" s="36"/>
      <c r="Z2012" s="29"/>
      <c r="AA2012" s="31">
        <f t="shared" si="1"/>
        <v>44805</v>
      </c>
      <c r="AB2012" s="32" t="str">
        <f t="shared" si="5"/>
        <v>septiembre</v>
      </c>
    </row>
    <row r="2013" spans="1:28" ht="12.75">
      <c r="A2013" s="9" t="s">
        <v>896</v>
      </c>
      <c r="B2013" s="10">
        <v>44809</v>
      </c>
      <c r="C2013" s="11"/>
      <c r="D2013" s="49">
        <v>36</v>
      </c>
      <c r="E2013" s="13" t="s">
        <v>226</v>
      </c>
      <c r="F2013" s="13">
        <v>3025457</v>
      </c>
      <c r="G2013" s="37">
        <v>27905.5</v>
      </c>
      <c r="H2013" s="33">
        <v>50</v>
      </c>
      <c r="I2013" s="16">
        <f>-H2013*G2013</f>
        <v>-1395275</v>
      </c>
      <c r="J2013" s="17">
        <v>0</v>
      </c>
      <c r="K2013" s="34">
        <v>4502401840</v>
      </c>
      <c r="L2013" s="126">
        <v>5083487122</v>
      </c>
      <c r="M2013" s="127">
        <v>5113563475</v>
      </c>
      <c r="N2013" s="128"/>
      <c r="O2013" s="9"/>
      <c r="P2013" s="23"/>
      <c r="Q2013" s="24" t="s">
        <v>31</v>
      </c>
      <c r="R2013" s="25">
        <v>44805</v>
      </c>
      <c r="S2013" s="28"/>
      <c r="T2013" s="35"/>
      <c r="U2013" s="35"/>
      <c r="V2013" s="29"/>
      <c r="W2013" s="35"/>
      <c r="X2013" s="29"/>
      <c r="Y2013" s="36"/>
      <c r="Z2013" s="29"/>
      <c r="AA2013" s="31">
        <f t="shared" si="1"/>
        <v>44805</v>
      </c>
      <c r="AB2013" s="32" t="str">
        <f t="shared" si="5"/>
        <v>septiembre</v>
      </c>
    </row>
    <row r="2014" spans="1:28" ht="12.75">
      <c r="A2014" s="9" t="s">
        <v>250</v>
      </c>
      <c r="B2014" s="10">
        <v>44805</v>
      </c>
      <c r="C2014" s="11">
        <v>44747</v>
      </c>
      <c r="D2014" s="49">
        <v>36</v>
      </c>
      <c r="E2014" s="13" t="s">
        <v>2490</v>
      </c>
      <c r="F2014" s="13">
        <v>3025457</v>
      </c>
      <c r="G2014" s="37">
        <v>14491.5</v>
      </c>
      <c r="H2014" s="33">
        <v>8000</v>
      </c>
      <c r="I2014" s="16">
        <f t="shared" ref="I2014:I2015" si="295">H2014*G2014</f>
        <v>115932000</v>
      </c>
      <c r="J2014" s="17">
        <v>30</v>
      </c>
      <c r="K2014" s="34">
        <v>4502401841</v>
      </c>
      <c r="L2014" s="126">
        <v>5083487123</v>
      </c>
      <c r="M2014" s="127">
        <v>5113567193</v>
      </c>
      <c r="N2014" s="128"/>
      <c r="O2014" s="9" t="s">
        <v>63</v>
      </c>
      <c r="P2014" s="23"/>
      <c r="Q2014" s="24" t="s">
        <v>31</v>
      </c>
      <c r="R2014" s="25">
        <v>44805</v>
      </c>
      <c r="S2014" s="28"/>
      <c r="T2014" s="35"/>
      <c r="U2014" s="35"/>
      <c r="V2014" s="29"/>
      <c r="W2014" s="35"/>
      <c r="X2014" s="29"/>
      <c r="Y2014" s="36"/>
      <c r="Z2014" s="29"/>
      <c r="AA2014" s="31">
        <f t="shared" si="1"/>
        <v>44805</v>
      </c>
      <c r="AB2014" s="32" t="str">
        <f t="shared" si="5"/>
        <v>septiembre</v>
      </c>
    </row>
    <row r="2015" spans="1:28" ht="12.75">
      <c r="A2015" s="9" t="s">
        <v>819</v>
      </c>
      <c r="B2015" s="10">
        <v>44807</v>
      </c>
      <c r="C2015" s="11"/>
      <c r="D2015" s="49">
        <v>36</v>
      </c>
      <c r="E2015" s="13">
        <v>6120</v>
      </c>
      <c r="F2015" s="13">
        <v>3025459</v>
      </c>
      <c r="G2015" s="14">
        <v>12092</v>
      </c>
      <c r="H2015" s="33">
        <v>8450</v>
      </c>
      <c r="I2015" s="16">
        <f t="shared" si="295"/>
        <v>102177400</v>
      </c>
      <c r="J2015" s="17">
        <v>29</v>
      </c>
      <c r="K2015" s="34">
        <v>4502401842</v>
      </c>
      <c r="L2015" s="126">
        <v>5083489908</v>
      </c>
      <c r="M2015" s="127">
        <v>5113568545</v>
      </c>
      <c r="N2015" s="128"/>
      <c r="O2015" s="9" t="s">
        <v>37</v>
      </c>
      <c r="P2015" s="23"/>
      <c r="Q2015" s="24" t="s">
        <v>31</v>
      </c>
      <c r="R2015" s="25">
        <v>44805</v>
      </c>
      <c r="S2015" s="28"/>
      <c r="T2015" s="35"/>
      <c r="U2015" s="35"/>
      <c r="V2015" s="29"/>
      <c r="W2015" s="35"/>
      <c r="X2015" s="29"/>
      <c r="Y2015" s="36"/>
      <c r="Z2015" s="29"/>
      <c r="AA2015" s="31">
        <f t="shared" si="1"/>
        <v>44805</v>
      </c>
      <c r="AB2015" s="32" t="str">
        <f t="shared" si="5"/>
        <v>septiembre</v>
      </c>
    </row>
    <row r="2016" spans="1:28" ht="12.75">
      <c r="A2016" s="9" t="s">
        <v>819</v>
      </c>
      <c r="B2016" s="10">
        <v>44807</v>
      </c>
      <c r="C2016" s="11"/>
      <c r="D2016" s="49">
        <v>36</v>
      </c>
      <c r="E2016" s="13" t="s">
        <v>2491</v>
      </c>
      <c r="F2016" s="13">
        <v>3025459</v>
      </c>
      <c r="G2016" s="14">
        <v>12092</v>
      </c>
      <c r="H2016" s="33">
        <f>8450-8283.92</f>
        <v>166.07999999999993</v>
      </c>
      <c r="I2016" s="16">
        <f>-H2016*G2016</f>
        <v>-2008239.3599999992</v>
      </c>
      <c r="J2016" s="17">
        <v>0</v>
      </c>
      <c r="K2016" s="34">
        <v>4502401842</v>
      </c>
      <c r="L2016" s="126">
        <v>5083489908</v>
      </c>
      <c r="M2016" s="127">
        <v>5113568546</v>
      </c>
      <c r="N2016" s="128"/>
      <c r="O2016" s="9"/>
      <c r="P2016" s="23"/>
      <c r="Q2016" s="24" t="s">
        <v>31</v>
      </c>
      <c r="R2016" s="25">
        <v>44805</v>
      </c>
      <c r="S2016" s="28"/>
      <c r="T2016" s="35"/>
      <c r="U2016" s="35"/>
      <c r="V2016" s="29"/>
      <c r="W2016" s="35"/>
      <c r="X2016" s="29"/>
      <c r="Y2016" s="36"/>
      <c r="Z2016" s="29"/>
      <c r="AA2016" s="31">
        <f t="shared" si="1"/>
        <v>44805</v>
      </c>
      <c r="AB2016" s="32" t="str">
        <f t="shared" si="5"/>
        <v>septiembre</v>
      </c>
    </row>
    <row r="2017" spans="1:28" ht="12.75">
      <c r="A2017" s="9" t="s">
        <v>621</v>
      </c>
      <c r="B2017" s="10">
        <v>44811</v>
      </c>
      <c r="C2017" s="11">
        <v>44811</v>
      </c>
      <c r="D2017" s="49">
        <v>36</v>
      </c>
      <c r="E2017" s="13" t="s">
        <v>2492</v>
      </c>
      <c r="F2017" s="13">
        <v>3025457</v>
      </c>
      <c r="G2017" s="14">
        <v>6078</v>
      </c>
      <c r="H2017" s="33">
        <v>8100</v>
      </c>
      <c r="I2017" s="16">
        <f t="shared" ref="I2017:I2018" si="296">H2017*G2017</f>
        <v>49231800</v>
      </c>
      <c r="J2017" s="17">
        <v>14</v>
      </c>
      <c r="K2017" s="34">
        <v>4502401843</v>
      </c>
      <c r="L2017" s="126">
        <v>5083508355</v>
      </c>
      <c r="M2017" s="127">
        <v>5113565852</v>
      </c>
      <c r="N2017" s="23"/>
      <c r="O2017" s="9" t="s">
        <v>63</v>
      </c>
      <c r="P2017" s="23"/>
      <c r="Q2017" s="24" t="s">
        <v>31</v>
      </c>
      <c r="R2017" s="25">
        <v>44806</v>
      </c>
      <c r="S2017" s="28"/>
      <c r="T2017" s="35"/>
      <c r="U2017" s="35"/>
      <c r="V2017" s="29"/>
      <c r="W2017" s="35"/>
      <c r="X2017" s="29"/>
      <c r="Y2017" s="36"/>
      <c r="Z2017" s="29"/>
      <c r="AA2017" s="31">
        <f t="shared" si="1"/>
        <v>44806</v>
      </c>
      <c r="AB2017" s="32" t="str">
        <f t="shared" si="5"/>
        <v>septiembre</v>
      </c>
    </row>
    <row r="2018" spans="1:28" ht="12.75">
      <c r="A2018" s="9" t="s">
        <v>58</v>
      </c>
      <c r="B2018" s="10">
        <v>44811</v>
      </c>
      <c r="C2018" s="11">
        <v>44811</v>
      </c>
      <c r="D2018" s="49">
        <v>36</v>
      </c>
      <c r="E2018" s="13" t="s">
        <v>2493</v>
      </c>
      <c r="F2018" s="13">
        <v>3025457</v>
      </c>
      <c r="G2018" s="14">
        <v>20232</v>
      </c>
      <c r="H2018" s="33">
        <v>8450</v>
      </c>
      <c r="I2018" s="16">
        <f t="shared" si="296"/>
        <v>170960400</v>
      </c>
      <c r="J2018" s="17">
        <v>45</v>
      </c>
      <c r="K2018" s="34">
        <v>4502401844</v>
      </c>
      <c r="L2018" s="126">
        <v>5083508356</v>
      </c>
      <c r="M2018" s="127">
        <v>5113567146</v>
      </c>
      <c r="N2018" s="128"/>
      <c r="O2018" s="9" t="s">
        <v>37</v>
      </c>
      <c r="P2018" s="23"/>
      <c r="Q2018" s="24" t="s">
        <v>31</v>
      </c>
      <c r="R2018" s="25">
        <v>44806</v>
      </c>
      <c r="S2018" s="28"/>
      <c r="T2018" s="35"/>
      <c r="U2018" s="35"/>
      <c r="V2018" s="29"/>
      <c r="W2018" s="35"/>
      <c r="X2018" s="29"/>
      <c r="Y2018" s="36"/>
      <c r="Z2018" s="29"/>
      <c r="AA2018" s="31">
        <f t="shared" si="1"/>
        <v>44806</v>
      </c>
      <c r="AB2018" s="32" t="str">
        <f t="shared" si="5"/>
        <v>septiembre</v>
      </c>
    </row>
    <row r="2019" spans="1:28" ht="12.75">
      <c r="A2019" s="9" t="s">
        <v>58</v>
      </c>
      <c r="B2019" s="10">
        <v>44811</v>
      </c>
      <c r="C2019" s="11">
        <v>44811</v>
      </c>
      <c r="D2019" s="49">
        <v>36</v>
      </c>
      <c r="E2019" s="13" t="s">
        <v>2494</v>
      </c>
      <c r="F2019" s="13">
        <v>3025457</v>
      </c>
      <c r="G2019" s="14">
        <v>20232</v>
      </c>
      <c r="H2019" s="33">
        <f>8450-8448.06</f>
        <v>1.9400000000005093</v>
      </c>
      <c r="I2019" s="16">
        <f>-H2019*G2019</f>
        <v>-39250.080000010305</v>
      </c>
      <c r="J2019" s="17">
        <v>0</v>
      </c>
      <c r="K2019" s="34">
        <v>4502401844</v>
      </c>
      <c r="L2019" s="126">
        <v>5083508356</v>
      </c>
      <c r="M2019" s="127">
        <v>5113567187</v>
      </c>
      <c r="N2019" s="128"/>
      <c r="O2019" s="9"/>
      <c r="P2019" s="23"/>
      <c r="Q2019" s="24" t="s">
        <v>31</v>
      </c>
      <c r="R2019" s="25">
        <v>44806</v>
      </c>
      <c r="S2019" s="28"/>
      <c r="T2019" s="35"/>
      <c r="U2019" s="35"/>
      <c r="V2019" s="29"/>
      <c r="W2019" s="35"/>
      <c r="X2019" s="29"/>
      <c r="Y2019" s="36"/>
      <c r="Z2019" s="29"/>
      <c r="AA2019" s="31">
        <f t="shared" si="1"/>
        <v>44806</v>
      </c>
      <c r="AB2019" s="32" t="str">
        <f t="shared" si="5"/>
        <v>septiembre</v>
      </c>
    </row>
    <row r="2020" spans="1:28" ht="12.75">
      <c r="A2020" s="9" t="s">
        <v>58</v>
      </c>
      <c r="B2020" s="10">
        <v>44811</v>
      </c>
      <c r="C2020" s="11">
        <v>44811</v>
      </c>
      <c r="D2020" s="49">
        <v>36</v>
      </c>
      <c r="E2020" s="13" t="s">
        <v>2495</v>
      </c>
      <c r="F2020" s="13">
        <v>3025457</v>
      </c>
      <c r="G2020" s="14">
        <v>6874</v>
      </c>
      <c r="H2020" s="33">
        <v>8450</v>
      </c>
      <c r="I2020" s="16">
        <f t="shared" ref="I2020:I2021" si="297">H2020*G2020</f>
        <v>58085300</v>
      </c>
      <c r="J2020" s="17">
        <v>15</v>
      </c>
      <c r="K2020" s="34">
        <v>4502401844</v>
      </c>
      <c r="L2020" s="126">
        <v>5083508356</v>
      </c>
      <c r="M2020" s="127">
        <v>5113567141</v>
      </c>
      <c r="N2020" s="128"/>
      <c r="O2020" s="9" t="s">
        <v>37</v>
      </c>
      <c r="P2020" s="23"/>
      <c r="Q2020" s="24" t="s">
        <v>31</v>
      </c>
      <c r="R2020" s="25">
        <v>44806</v>
      </c>
      <c r="S2020" s="28"/>
      <c r="T2020" s="35"/>
      <c r="U2020" s="35"/>
      <c r="V2020" s="29"/>
      <c r="W2020" s="35"/>
      <c r="X2020" s="29"/>
      <c r="Y2020" s="36"/>
      <c r="Z2020" s="29"/>
      <c r="AA2020" s="31">
        <f t="shared" si="1"/>
        <v>44806</v>
      </c>
      <c r="AB2020" s="32" t="str">
        <f t="shared" si="5"/>
        <v>septiembre</v>
      </c>
    </row>
    <row r="2021" spans="1:28" ht="12.75">
      <c r="A2021" s="9" t="s">
        <v>61</v>
      </c>
      <c r="B2021" s="10">
        <v>44810</v>
      </c>
      <c r="C2021" s="11">
        <v>44810</v>
      </c>
      <c r="D2021" s="49">
        <v>36</v>
      </c>
      <c r="E2021" s="13" t="s">
        <v>973</v>
      </c>
      <c r="F2021" s="13">
        <v>3025457</v>
      </c>
      <c r="G2021" s="14">
        <v>13831</v>
      </c>
      <c r="H2021" s="33">
        <v>8000</v>
      </c>
      <c r="I2021" s="16">
        <f t="shared" si="297"/>
        <v>110648000</v>
      </c>
      <c r="J2021" s="17">
        <v>30</v>
      </c>
      <c r="K2021" s="34">
        <v>4502401847</v>
      </c>
      <c r="L2021" s="126">
        <v>5083508620</v>
      </c>
      <c r="M2021" s="127">
        <v>5113565102</v>
      </c>
      <c r="N2021" s="128"/>
      <c r="O2021" s="9" t="s">
        <v>63</v>
      </c>
      <c r="P2021" s="23"/>
      <c r="Q2021" s="24" t="s">
        <v>31</v>
      </c>
      <c r="R2021" s="25">
        <v>44806</v>
      </c>
      <c r="S2021" s="28"/>
      <c r="T2021" s="35"/>
      <c r="U2021" s="35"/>
      <c r="V2021" s="29"/>
      <c r="W2021" s="35"/>
      <c r="X2021" s="29"/>
      <c r="Y2021" s="36"/>
      <c r="Z2021" s="29"/>
      <c r="AA2021" s="31">
        <f t="shared" si="1"/>
        <v>44806</v>
      </c>
      <c r="AB2021" s="32" t="str">
        <f t="shared" si="5"/>
        <v>septiembre</v>
      </c>
    </row>
    <row r="2022" spans="1:28" ht="12.75">
      <c r="A2022" s="9" t="s">
        <v>61</v>
      </c>
      <c r="B2022" s="10">
        <v>44810</v>
      </c>
      <c r="C2022" s="11">
        <v>44810</v>
      </c>
      <c r="D2022" s="49">
        <v>36</v>
      </c>
      <c r="E2022" s="13" t="s">
        <v>2496</v>
      </c>
      <c r="F2022" s="13">
        <v>3025457</v>
      </c>
      <c r="G2022" s="14">
        <v>13831</v>
      </c>
      <c r="H2022" s="33">
        <f>8000-7978.03</f>
        <v>21.970000000000255</v>
      </c>
      <c r="I2022" s="16">
        <f>-H2022*G2022</f>
        <v>-303867.0700000035</v>
      </c>
      <c r="J2022" s="17">
        <v>0</v>
      </c>
      <c r="K2022" s="34">
        <v>4502401847</v>
      </c>
      <c r="L2022" s="126">
        <v>5083508620</v>
      </c>
      <c r="M2022" s="127">
        <v>5113565103</v>
      </c>
      <c r="N2022" s="128"/>
      <c r="O2022" s="9"/>
      <c r="P2022" s="23"/>
      <c r="Q2022" s="24" t="s">
        <v>31</v>
      </c>
      <c r="R2022" s="25">
        <v>44806</v>
      </c>
      <c r="S2022" s="28"/>
      <c r="T2022" s="35"/>
      <c r="U2022" s="35"/>
      <c r="V2022" s="29"/>
      <c r="W2022" s="35"/>
      <c r="X2022" s="29"/>
      <c r="Y2022" s="36"/>
      <c r="Z2022" s="29"/>
      <c r="AA2022" s="31">
        <f t="shared" si="1"/>
        <v>44806</v>
      </c>
      <c r="AB2022" s="32" t="str">
        <f t="shared" si="5"/>
        <v>septiembre</v>
      </c>
    </row>
    <row r="2023" spans="1:28" ht="12.75">
      <c r="A2023" s="9" t="s">
        <v>80</v>
      </c>
      <c r="B2023" s="10">
        <v>44806</v>
      </c>
      <c r="C2023" s="11"/>
      <c r="D2023" s="49">
        <v>36</v>
      </c>
      <c r="E2023" s="13" t="s">
        <v>2497</v>
      </c>
      <c r="F2023" s="13">
        <v>3025459</v>
      </c>
      <c r="G2023" s="14">
        <v>20335</v>
      </c>
      <c r="H2023" s="15">
        <v>7750</v>
      </c>
      <c r="I2023" s="16">
        <f t="shared" ref="I2023:I2024" si="298">H2023*G2023</f>
        <v>157596250</v>
      </c>
      <c r="J2023" s="17">
        <v>42</v>
      </c>
      <c r="K2023" s="34">
        <v>4502405073</v>
      </c>
      <c r="L2023" s="126">
        <v>5083524550</v>
      </c>
      <c r="M2023" s="127">
        <v>5113562497</v>
      </c>
      <c r="N2023" s="23" t="s">
        <v>37</v>
      </c>
      <c r="O2023" s="22" t="s">
        <v>1057</v>
      </c>
      <c r="P2023" s="23"/>
      <c r="Q2023" s="24" t="s">
        <v>31</v>
      </c>
      <c r="R2023" s="25">
        <v>44806</v>
      </c>
      <c r="S2023" s="28">
        <v>4902338876</v>
      </c>
      <c r="T2023" s="28">
        <v>4792500</v>
      </c>
      <c r="U2023" s="28" t="s">
        <v>2498</v>
      </c>
      <c r="V2023" s="29">
        <v>5113562544</v>
      </c>
      <c r="W2023" s="35"/>
      <c r="X2023" s="29"/>
      <c r="Y2023" s="36"/>
      <c r="Z2023" s="29"/>
      <c r="AA2023" s="31">
        <f t="shared" si="1"/>
        <v>44806</v>
      </c>
      <c r="AB2023" s="32" t="str">
        <f t="shared" si="5"/>
        <v>septiembre</v>
      </c>
    </row>
    <row r="2024" spans="1:28" ht="12.75">
      <c r="A2024" s="9" t="s">
        <v>58</v>
      </c>
      <c r="B2024" s="10">
        <v>44811</v>
      </c>
      <c r="C2024" s="11">
        <v>44811</v>
      </c>
      <c r="D2024" s="49">
        <v>36</v>
      </c>
      <c r="E2024" s="13" t="s">
        <v>2499</v>
      </c>
      <c r="F2024" s="13">
        <v>3025457</v>
      </c>
      <c r="G2024" s="37">
        <v>33382.5</v>
      </c>
      <c r="H2024" s="33">
        <v>8450</v>
      </c>
      <c r="I2024" s="16">
        <f t="shared" si="298"/>
        <v>282082125</v>
      </c>
      <c r="J2024" s="17">
        <v>75</v>
      </c>
      <c r="K2024" s="34">
        <v>4502401848</v>
      </c>
      <c r="L2024" s="126">
        <v>5083508709</v>
      </c>
      <c r="M2024" s="127">
        <v>5113590860</v>
      </c>
      <c r="N2024" s="128"/>
      <c r="O2024" s="9" t="s">
        <v>37</v>
      </c>
      <c r="P2024" s="23"/>
      <c r="Q2024" s="24" t="s">
        <v>31</v>
      </c>
      <c r="R2024" s="25">
        <v>44807</v>
      </c>
      <c r="S2024" s="28"/>
      <c r="T2024" s="35"/>
      <c r="U2024" s="35"/>
      <c r="V2024" s="29"/>
      <c r="W2024" s="35"/>
      <c r="X2024" s="29"/>
      <c r="Y2024" s="36"/>
      <c r="Z2024" s="29"/>
      <c r="AA2024" s="31">
        <f t="shared" si="1"/>
        <v>44807</v>
      </c>
      <c r="AB2024" s="32" t="str">
        <f t="shared" si="5"/>
        <v>septiembre</v>
      </c>
    </row>
    <row r="2025" spans="1:28" ht="12.75">
      <c r="A2025" s="9" t="s">
        <v>58</v>
      </c>
      <c r="B2025" s="10">
        <v>44811</v>
      </c>
      <c r="C2025" s="11">
        <v>44823</v>
      </c>
      <c r="D2025" s="49">
        <v>36</v>
      </c>
      <c r="E2025" s="13" t="s">
        <v>2500</v>
      </c>
      <c r="F2025" s="13">
        <v>3025457</v>
      </c>
      <c r="G2025" s="37">
        <v>33382.5</v>
      </c>
      <c r="H2025" s="33">
        <f>8450-8438.38</f>
        <v>11.6200000000008</v>
      </c>
      <c r="I2025" s="16">
        <f>-H2025*G2025</f>
        <v>-387904.65000002674</v>
      </c>
      <c r="J2025" s="17">
        <v>0</v>
      </c>
      <c r="K2025" s="34">
        <v>4502401848</v>
      </c>
      <c r="L2025" s="126">
        <v>5083508709</v>
      </c>
      <c r="M2025" s="127">
        <v>5113590862</v>
      </c>
      <c r="N2025" s="128"/>
      <c r="O2025" s="9"/>
      <c r="P2025" s="23"/>
      <c r="Q2025" s="24" t="s">
        <v>31</v>
      </c>
      <c r="R2025" s="25">
        <v>44807</v>
      </c>
      <c r="S2025" s="28"/>
      <c r="T2025" s="35"/>
      <c r="U2025" s="35"/>
      <c r="V2025" s="29"/>
      <c r="W2025" s="35"/>
      <c r="X2025" s="29"/>
      <c r="Y2025" s="36"/>
      <c r="Z2025" s="29"/>
      <c r="AA2025" s="31">
        <f t="shared" si="1"/>
        <v>44807</v>
      </c>
      <c r="AB2025" s="32" t="str">
        <f t="shared" si="5"/>
        <v>septiembre</v>
      </c>
    </row>
    <row r="2026" spans="1:28" ht="12.75">
      <c r="A2026" s="9" t="s">
        <v>58</v>
      </c>
      <c r="B2026" s="10">
        <v>44812</v>
      </c>
      <c r="C2026" s="11">
        <v>44812</v>
      </c>
      <c r="D2026" s="49">
        <v>36</v>
      </c>
      <c r="E2026" s="13" t="s">
        <v>2501</v>
      </c>
      <c r="F2026" s="13">
        <v>3025457</v>
      </c>
      <c r="G2026" s="14">
        <v>13346</v>
      </c>
      <c r="H2026" s="33">
        <v>8450</v>
      </c>
      <c r="I2026" s="16">
        <f>H2026*G2026</f>
        <v>112773700</v>
      </c>
      <c r="J2026" s="17">
        <v>30</v>
      </c>
      <c r="K2026" s="34">
        <v>4502401848</v>
      </c>
      <c r="L2026" s="126">
        <v>5083508709</v>
      </c>
      <c r="M2026" s="127">
        <v>5113570711</v>
      </c>
      <c r="N2026" s="128"/>
      <c r="O2026" s="9" t="s">
        <v>37</v>
      </c>
      <c r="P2026" s="23"/>
      <c r="Q2026" s="24" t="s">
        <v>31</v>
      </c>
      <c r="R2026" s="25">
        <v>44807</v>
      </c>
      <c r="S2026" s="28"/>
      <c r="T2026" s="35"/>
      <c r="U2026" s="35"/>
      <c r="V2026" s="29"/>
      <c r="W2026" s="35"/>
      <c r="X2026" s="29"/>
      <c r="Y2026" s="36"/>
      <c r="Z2026" s="29"/>
      <c r="AA2026" s="31">
        <f t="shared" si="1"/>
        <v>44807</v>
      </c>
      <c r="AB2026" s="32" t="str">
        <f t="shared" si="5"/>
        <v>septiembre</v>
      </c>
    </row>
    <row r="2027" spans="1:28" ht="12.75">
      <c r="A2027" s="9" t="s">
        <v>58</v>
      </c>
      <c r="B2027" s="10">
        <v>44812</v>
      </c>
      <c r="C2027" s="11">
        <v>44812</v>
      </c>
      <c r="D2027" s="49">
        <v>36</v>
      </c>
      <c r="E2027" s="13" t="s">
        <v>2502</v>
      </c>
      <c r="F2027" s="13">
        <v>3025457</v>
      </c>
      <c r="G2027" s="14">
        <v>13346</v>
      </c>
      <c r="H2027" s="33">
        <f>8450-8447.03</f>
        <v>2.9699999999993452</v>
      </c>
      <c r="I2027" s="16">
        <f>-H2027*G2027</f>
        <v>-39637.619999991264</v>
      </c>
      <c r="J2027" s="17">
        <v>0</v>
      </c>
      <c r="K2027" s="34">
        <v>4502401848</v>
      </c>
      <c r="L2027" s="126">
        <v>5083508709</v>
      </c>
      <c r="M2027" s="127">
        <v>5113570712</v>
      </c>
      <c r="N2027" s="128"/>
      <c r="O2027" s="9"/>
      <c r="P2027" s="23"/>
      <c r="Q2027" s="24" t="s">
        <v>31</v>
      </c>
      <c r="R2027" s="25">
        <v>44807</v>
      </c>
      <c r="S2027" s="28"/>
      <c r="T2027" s="35"/>
      <c r="U2027" s="35"/>
      <c r="V2027" s="29"/>
      <c r="W2027" s="35"/>
      <c r="X2027" s="29"/>
      <c r="Y2027" s="36"/>
      <c r="Z2027" s="29"/>
      <c r="AA2027" s="31">
        <f t="shared" si="1"/>
        <v>44807</v>
      </c>
      <c r="AB2027" s="32" t="str">
        <f t="shared" si="5"/>
        <v>septiembre</v>
      </c>
    </row>
    <row r="2028" spans="1:28" ht="12.75">
      <c r="A2028" s="9" t="s">
        <v>73</v>
      </c>
      <c r="B2028" s="10">
        <v>44810</v>
      </c>
      <c r="C2028" s="11">
        <v>44816</v>
      </c>
      <c r="D2028" s="49">
        <v>36</v>
      </c>
      <c r="E2028" s="13" t="s">
        <v>2503</v>
      </c>
      <c r="F2028" s="13">
        <v>3025457</v>
      </c>
      <c r="G2028" s="37">
        <v>12688.5</v>
      </c>
      <c r="H2028" s="33">
        <v>8450</v>
      </c>
      <c r="I2028" s="16">
        <f t="shared" ref="I2028:I2029" si="299">H2028*G2028</f>
        <v>107217825</v>
      </c>
      <c r="J2028" s="17">
        <v>28</v>
      </c>
      <c r="K2028" s="34">
        <v>4502401849</v>
      </c>
      <c r="L2028" s="126">
        <v>5083508710</v>
      </c>
      <c r="M2028" s="127">
        <v>5113572896</v>
      </c>
      <c r="N2028" s="128"/>
      <c r="O2028" s="9" t="s">
        <v>63</v>
      </c>
      <c r="P2028" s="23"/>
      <c r="Q2028" s="24" t="s">
        <v>31</v>
      </c>
      <c r="R2028" s="25">
        <v>44807</v>
      </c>
      <c r="S2028" s="28"/>
      <c r="T2028" s="35"/>
      <c r="U2028" s="35"/>
      <c r="V2028" s="29"/>
      <c r="W2028" s="35"/>
      <c r="X2028" s="29"/>
      <c r="Y2028" s="36"/>
      <c r="Z2028" s="29"/>
      <c r="AA2028" s="31">
        <f t="shared" si="1"/>
        <v>44807</v>
      </c>
      <c r="AB2028" s="32" t="str">
        <f t="shared" si="5"/>
        <v>septiembre</v>
      </c>
    </row>
    <row r="2029" spans="1:28" ht="12.75">
      <c r="A2029" s="9" t="s">
        <v>1183</v>
      </c>
      <c r="B2029" s="10">
        <v>44807</v>
      </c>
      <c r="C2029" s="11">
        <v>44811</v>
      </c>
      <c r="D2029" s="49">
        <v>36</v>
      </c>
      <c r="E2029" s="13" t="s">
        <v>2504</v>
      </c>
      <c r="F2029" s="13">
        <v>3025457</v>
      </c>
      <c r="G2029" s="37">
        <v>13006.5</v>
      </c>
      <c r="H2029" s="33">
        <v>8400</v>
      </c>
      <c r="I2029" s="16">
        <f t="shared" si="299"/>
        <v>109254600</v>
      </c>
      <c r="J2029" s="17">
        <v>28</v>
      </c>
      <c r="K2029" s="34">
        <v>4502401850</v>
      </c>
      <c r="L2029" s="126">
        <v>5083508711</v>
      </c>
      <c r="M2029" s="127">
        <v>5113572861</v>
      </c>
      <c r="N2029" s="128"/>
      <c r="O2029" s="9" t="s">
        <v>37</v>
      </c>
      <c r="P2029" s="23"/>
      <c r="Q2029" s="24" t="s">
        <v>31</v>
      </c>
      <c r="R2029" s="25">
        <v>44807</v>
      </c>
      <c r="S2029" s="28"/>
      <c r="T2029" s="35"/>
      <c r="U2029" s="35"/>
      <c r="V2029" s="29"/>
      <c r="W2029" s="35"/>
      <c r="X2029" s="29"/>
      <c r="Y2029" s="36"/>
      <c r="Z2029" s="29"/>
      <c r="AA2029" s="31">
        <f t="shared" si="1"/>
        <v>44807</v>
      </c>
      <c r="AB2029" s="32" t="str">
        <f t="shared" si="5"/>
        <v>septiembre</v>
      </c>
    </row>
    <row r="2030" spans="1:28" ht="12.75">
      <c r="A2030" s="9" t="s">
        <v>1183</v>
      </c>
      <c r="B2030" s="10">
        <v>44810</v>
      </c>
      <c r="C2030" s="11">
        <v>44811</v>
      </c>
      <c r="D2030" s="49">
        <v>36</v>
      </c>
      <c r="E2030" s="13" t="s">
        <v>400</v>
      </c>
      <c r="F2030" s="13">
        <v>3025457</v>
      </c>
      <c r="G2030" s="37">
        <v>13006.5</v>
      </c>
      <c r="H2030" s="33">
        <v>100</v>
      </c>
      <c r="I2030" s="16">
        <f>-H2030*G2030</f>
        <v>-1300650</v>
      </c>
      <c r="J2030" s="17">
        <v>0</v>
      </c>
      <c r="K2030" s="34">
        <v>4502401850</v>
      </c>
      <c r="L2030" s="126">
        <v>5083508711</v>
      </c>
      <c r="M2030" s="127">
        <v>5113572862</v>
      </c>
      <c r="N2030" s="128"/>
      <c r="O2030" s="9"/>
      <c r="P2030" s="23"/>
      <c r="Q2030" s="24" t="s">
        <v>31</v>
      </c>
      <c r="R2030" s="25">
        <v>44807</v>
      </c>
      <c r="S2030" s="28"/>
      <c r="T2030" s="35"/>
      <c r="U2030" s="35"/>
      <c r="V2030" s="29"/>
      <c r="W2030" s="35"/>
      <c r="X2030" s="29"/>
      <c r="Y2030" s="36"/>
      <c r="Z2030" s="29"/>
      <c r="AA2030" s="31">
        <f t="shared" si="1"/>
        <v>44807</v>
      </c>
      <c r="AB2030" s="32" t="str">
        <f t="shared" si="5"/>
        <v>septiembre</v>
      </c>
    </row>
    <row r="2031" spans="1:28" ht="12.75">
      <c r="A2031" s="9" t="s">
        <v>28</v>
      </c>
      <c r="B2031" s="10">
        <v>44810</v>
      </c>
      <c r="C2031" s="11">
        <v>44810</v>
      </c>
      <c r="D2031" s="49">
        <v>36</v>
      </c>
      <c r="E2031" s="13" t="s">
        <v>2505</v>
      </c>
      <c r="F2031" s="13">
        <v>3025460</v>
      </c>
      <c r="G2031" s="14">
        <v>13706</v>
      </c>
      <c r="H2031" s="15">
        <v>7750</v>
      </c>
      <c r="I2031" s="16">
        <f t="shared" ref="I2031:I2036" si="300">H2031*G2031</f>
        <v>106221500</v>
      </c>
      <c r="J2031" s="17">
        <v>28</v>
      </c>
      <c r="K2031" s="34">
        <v>4502405074</v>
      </c>
      <c r="L2031" s="126">
        <v>5083524551</v>
      </c>
      <c r="M2031" s="127">
        <v>5113564798</v>
      </c>
      <c r="N2031" s="128"/>
      <c r="O2031" s="22" t="s">
        <v>1217</v>
      </c>
      <c r="P2031" s="23" t="s">
        <v>63</v>
      </c>
      <c r="Q2031" s="24" t="s">
        <v>31</v>
      </c>
      <c r="R2031" s="25">
        <v>44807</v>
      </c>
      <c r="S2031" s="28">
        <v>4902338886</v>
      </c>
      <c r="T2031" s="35">
        <f>2982600*2</f>
        <v>5965200</v>
      </c>
      <c r="U2031" s="28" t="s">
        <v>2506</v>
      </c>
      <c r="V2031" s="29">
        <v>5113562487</v>
      </c>
      <c r="W2031" s="35"/>
      <c r="X2031" s="29"/>
      <c r="Y2031" s="36"/>
      <c r="Z2031" s="29"/>
      <c r="AA2031" s="31">
        <f t="shared" si="1"/>
        <v>44807</v>
      </c>
      <c r="AB2031" s="32" t="str">
        <f t="shared" si="5"/>
        <v>septiembre</v>
      </c>
    </row>
    <row r="2032" spans="1:28" ht="12.75">
      <c r="A2032" s="9" t="s">
        <v>80</v>
      </c>
      <c r="B2032" s="10">
        <v>44808</v>
      </c>
      <c r="C2032" s="11"/>
      <c r="D2032" s="49">
        <v>36</v>
      </c>
      <c r="E2032" s="13" t="s">
        <v>2507</v>
      </c>
      <c r="F2032" s="13">
        <v>3025459</v>
      </c>
      <c r="G2032" s="14">
        <v>20332</v>
      </c>
      <c r="H2032" s="15">
        <v>7750</v>
      </c>
      <c r="I2032" s="16">
        <f t="shared" si="300"/>
        <v>157573000</v>
      </c>
      <c r="J2032" s="17">
        <v>42</v>
      </c>
      <c r="K2032" s="34">
        <v>4502405076</v>
      </c>
      <c r="L2032" s="126">
        <v>5083524552</v>
      </c>
      <c r="M2032" s="127">
        <v>5113562498</v>
      </c>
      <c r="N2032" s="23" t="s">
        <v>37</v>
      </c>
      <c r="O2032" s="22" t="s">
        <v>1057</v>
      </c>
      <c r="P2032" s="23"/>
      <c r="Q2032" s="24" t="s">
        <v>31</v>
      </c>
      <c r="R2032" s="25">
        <v>44808</v>
      </c>
      <c r="S2032" s="28">
        <v>4902338888</v>
      </c>
      <c r="T2032" s="28">
        <v>4792500</v>
      </c>
      <c r="U2032" s="28" t="s">
        <v>2508</v>
      </c>
      <c r="V2032" s="29">
        <v>5113564544</v>
      </c>
      <c r="W2032" s="35"/>
      <c r="X2032" s="29"/>
      <c r="Y2032" s="36"/>
      <c r="Z2032" s="29"/>
      <c r="AA2032" s="31">
        <f t="shared" si="1"/>
        <v>44808</v>
      </c>
      <c r="AB2032" s="32" t="str">
        <f t="shared" si="5"/>
        <v>septiembre</v>
      </c>
    </row>
    <row r="2033" spans="1:28" ht="12.75">
      <c r="A2033" s="9" t="s">
        <v>39</v>
      </c>
      <c r="B2033" s="10">
        <v>44810</v>
      </c>
      <c r="C2033" s="11">
        <v>44810</v>
      </c>
      <c r="D2033" s="49">
        <v>36</v>
      </c>
      <c r="E2033" s="13" t="s">
        <v>2509</v>
      </c>
      <c r="F2033" s="13">
        <v>3025459</v>
      </c>
      <c r="G2033" s="37">
        <v>6334.5</v>
      </c>
      <c r="H2033" s="33">
        <v>8450</v>
      </c>
      <c r="I2033" s="16">
        <f t="shared" si="300"/>
        <v>53526525</v>
      </c>
      <c r="J2033" s="17">
        <v>14</v>
      </c>
      <c r="K2033" s="34">
        <v>4502401851</v>
      </c>
      <c r="L2033" s="126">
        <v>5083519505</v>
      </c>
      <c r="M2033" s="127">
        <v>5113572742</v>
      </c>
      <c r="N2033" s="128"/>
      <c r="O2033" s="9" t="s">
        <v>37</v>
      </c>
      <c r="P2033" s="23"/>
      <c r="Q2033" s="24" t="s">
        <v>31</v>
      </c>
      <c r="R2033" s="25">
        <v>44808</v>
      </c>
      <c r="S2033" s="28"/>
      <c r="T2033" s="35"/>
      <c r="U2033" s="35"/>
      <c r="V2033" s="29"/>
      <c r="W2033" s="35"/>
      <c r="X2033" s="29"/>
      <c r="Y2033" s="36"/>
      <c r="Z2033" s="29"/>
      <c r="AA2033" s="31">
        <f t="shared" si="1"/>
        <v>44808</v>
      </c>
      <c r="AB2033" s="32" t="str">
        <f t="shared" si="5"/>
        <v>septiembre</v>
      </c>
    </row>
    <row r="2034" spans="1:28" ht="12.75">
      <c r="A2034" s="22" t="s">
        <v>404</v>
      </c>
      <c r="B2034" s="10">
        <v>44808</v>
      </c>
      <c r="C2034" s="11">
        <v>44810</v>
      </c>
      <c r="D2034" s="49">
        <v>36</v>
      </c>
      <c r="E2034" s="13" t="s">
        <v>2510</v>
      </c>
      <c r="F2034" s="13">
        <v>3025460</v>
      </c>
      <c r="G2034" s="14">
        <v>12196</v>
      </c>
      <c r="H2034" s="33">
        <v>8450</v>
      </c>
      <c r="I2034" s="16">
        <f t="shared" si="300"/>
        <v>103056200</v>
      </c>
      <c r="J2034" s="17">
        <v>28</v>
      </c>
      <c r="K2034" s="34">
        <v>4502401852</v>
      </c>
      <c r="L2034" s="126">
        <v>5083519506</v>
      </c>
      <c r="M2034" s="127">
        <v>5113574477</v>
      </c>
      <c r="N2034" s="128"/>
      <c r="O2034" s="9" t="s">
        <v>37</v>
      </c>
      <c r="P2034" s="23"/>
      <c r="Q2034" s="24" t="s">
        <v>31</v>
      </c>
      <c r="R2034" s="25">
        <v>44808</v>
      </c>
      <c r="S2034" s="28"/>
      <c r="T2034" s="35"/>
      <c r="U2034" s="35"/>
      <c r="V2034" s="29"/>
      <c r="W2034" s="35"/>
      <c r="X2034" s="29"/>
      <c r="Y2034" s="36"/>
      <c r="Z2034" s="29"/>
      <c r="AA2034" s="31">
        <f t="shared" si="1"/>
        <v>44808</v>
      </c>
      <c r="AB2034" s="32" t="str">
        <f t="shared" si="5"/>
        <v>septiembre</v>
      </c>
    </row>
    <row r="2035" spans="1:28" ht="12.75">
      <c r="A2035" s="22" t="s">
        <v>404</v>
      </c>
      <c r="B2035" s="10">
        <v>44810</v>
      </c>
      <c r="C2035" s="11">
        <v>44810</v>
      </c>
      <c r="D2035" s="49">
        <v>36</v>
      </c>
      <c r="E2035" s="13" t="s">
        <v>772</v>
      </c>
      <c r="F2035" s="13">
        <v>3025460</v>
      </c>
      <c r="G2035" s="14">
        <v>12196</v>
      </c>
      <c r="H2035" s="33">
        <f>8484.11-8450</f>
        <v>34.110000000000582</v>
      </c>
      <c r="I2035" s="16">
        <f t="shared" si="300"/>
        <v>416005.5600000071</v>
      </c>
      <c r="J2035" s="17">
        <v>0</v>
      </c>
      <c r="K2035" s="34">
        <v>4502401852</v>
      </c>
      <c r="L2035" s="126">
        <v>5083519506</v>
      </c>
      <c r="M2035" s="127">
        <v>5113574478</v>
      </c>
      <c r="N2035" s="128"/>
      <c r="O2035" s="9"/>
      <c r="P2035" s="23"/>
      <c r="Q2035" s="24" t="s">
        <v>31</v>
      </c>
      <c r="R2035" s="25">
        <v>44808</v>
      </c>
      <c r="S2035" s="28"/>
      <c r="T2035" s="35"/>
      <c r="U2035" s="35"/>
      <c r="V2035" s="29"/>
      <c r="W2035" s="35"/>
      <c r="X2035" s="29"/>
      <c r="Y2035" s="36"/>
      <c r="Z2035" s="29"/>
      <c r="AA2035" s="31">
        <f t="shared" si="1"/>
        <v>44808</v>
      </c>
      <c r="AB2035" s="32" t="str">
        <f t="shared" si="5"/>
        <v>septiembre</v>
      </c>
    </row>
    <row r="2036" spans="1:28" ht="12.75">
      <c r="A2036" s="22" t="s">
        <v>404</v>
      </c>
      <c r="B2036" s="10">
        <v>44809</v>
      </c>
      <c r="C2036" s="11">
        <v>44813</v>
      </c>
      <c r="D2036" s="49">
        <v>36</v>
      </c>
      <c r="E2036" s="13" t="s">
        <v>2511</v>
      </c>
      <c r="F2036" s="13">
        <v>3025459</v>
      </c>
      <c r="G2036" s="37">
        <v>6216.5</v>
      </c>
      <c r="H2036" s="33">
        <v>8450</v>
      </c>
      <c r="I2036" s="16">
        <f t="shared" si="300"/>
        <v>52529425</v>
      </c>
      <c r="J2036" s="17">
        <v>15</v>
      </c>
      <c r="K2036" s="34">
        <v>4502401853</v>
      </c>
      <c r="L2036" s="126">
        <v>5083539967</v>
      </c>
      <c r="M2036" s="127">
        <v>5113572744</v>
      </c>
      <c r="N2036" s="128"/>
      <c r="O2036" s="9" t="s">
        <v>37</v>
      </c>
      <c r="P2036" s="23"/>
      <c r="Q2036" s="24" t="s">
        <v>31</v>
      </c>
      <c r="R2036" s="25">
        <v>44809</v>
      </c>
      <c r="S2036" s="28"/>
      <c r="T2036" s="35"/>
      <c r="U2036" s="35"/>
      <c r="V2036" s="29"/>
      <c r="W2036" s="35"/>
      <c r="X2036" s="29"/>
      <c r="Y2036" s="36"/>
      <c r="Z2036" s="29"/>
      <c r="AA2036" s="31">
        <f t="shared" si="1"/>
        <v>44809</v>
      </c>
      <c r="AB2036" s="32" t="str">
        <f t="shared" si="5"/>
        <v>septiembre</v>
      </c>
    </row>
    <row r="2037" spans="1:28" ht="12.75">
      <c r="A2037" s="22" t="s">
        <v>404</v>
      </c>
      <c r="B2037" s="10">
        <v>44813</v>
      </c>
      <c r="C2037" s="11">
        <v>44813</v>
      </c>
      <c r="D2037" s="49">
        <v>36</v>
      </c>
      <c r="E2037" s="13" t="s">
        <v>391</v>
      </c>
      <c r="F2037" s="13">
        <v>3025459</v>
      </c>
      <c r="G2037" s="37">
        <v>6216.5</v>
      </c>
      <c r="H2037" s="33">
        <f>8450-8262.84</f>
        <v>187.15999999999985</v>
      </c>
      <c r="I2037" s="16">
        <f>-H2037*G2037</f>
        <v>-1163480.1399999992</v>
      </c>
      <c r="J2037" s="17">
        <v>0</v>
      </c>
      <c r="K2037" s="34">
        <v>4502401853</v>
      </c>
      <c r="L2037" s="126">
        <v>5083539967</v>
      </c>
      <c r="M2037" s="127">
        <v>5113572745</v>
      </c>
      <c r="N2037" s="128"/>
      <c r="O2037" s="9"/>
      <c r="P2037" s="23"/>
      <c r="Q2037" s="24" t="s">
        <v>31</v>
      </c>
      <c r="R2037" s="25">
        <v>44809</v>
      </c>
      <c r="S2037" s="28"/>
      <c r="T2037" s="35"/>
      <c r="U2037" s="35"/>
      <c r="V2037" s="29"/>
      <c r="W2037" s="35"/>
      <c r="X2037" s="29"/>
      <c r="Y2037" s="36"/>
      <c r="Z2037" s="29"/>
      <c r="AA2037" s="31">
        <f t="shared" si="1"/>
        <v>44809</v>
      </c>
      <c r="AB2037" s="32" t="str">
        <f t="shared" si="5"/>
        <v>septiembre</v>
      </c>
    </row>
    <row r="2038" spans="1:28" ht="12.75">
      <c r="A2038" s="22" t="s">
        <v>774</v>
      </c>
      <c r="B2038" s="10">
        <v>44811</v>
      </c>
      <c r="C2038" s="11">
        <v>44812</v>
      </c>
      <c r="D2038" s="49">
        <v>36</v>
      </c>
      <c r="E2038" s="13" t="s">
        <v>2512</v>
      </c>
      <c r="F2038" s="13">
        <v>3025460</v>
      </c>
      <c r="G2038" s="37">
        <v>20185.5</v>
      </c>
      <c r="H2038" s="33">
        <v>8100</v>
      </c>
      <c r="I2038" s="16">
        <f>H2038*G2038</f>
        <v>163502550</v>
      </c>
      <c r="J2038" s="17">
        <v>45</v>
      </c>
      <c r="K2038" s="34">
        <v>4502406272</v>
      </c>
      <c r="L2038" s="126">
        <v>5083555082</v>
      </c>
      <c r="M2038" s="127">
        <v>5113568006</v>
      </c>
      <c r="N2038" s="128"/>
      <c r="O2038" s="9" t="s">
        <v>63</v>
      </c>
      <c r="P2038" s="23"/>
      <c r="Q2038" s="24" t="s">
        <v>31</v>
      </c>
      <c r="R2038" s="25">
        <v>44809</v>
      </c>
      <c r="S2038" s="28"/>
      <c r="T2038" s="35"/>
      <c r="U2038" s="35"/>
      <c r="V2038" s="29"/>
      <c r="W2038" s="35"/>
      <c r="X2038" s="29"/>
      <c r="Y2038" s="36"/>
      <c r="Z2038" s="29"/>
      <c r="AA2038" s="31">
        <f t="shared" si="1"/>
        <v>44809</v>
      </c>
      <c r="AB2038" s="32" t="str">
        <f t="shared" si="5"/>
        <v>septiembre</v>
      </c>
    </row>
    <row r="2039" spans="1:28" ht="12.75">
      <c r="A2039" s="22" t="s">
        <v>774</v>
      </c>
      <c r="B2039" s="10">
        <v>44812</v>
      </c>
      <c r="C2039" s="11">
        <v>44812</v>
      </c>
      <c r="D2039" s="49">
        <v>36</v>
      </c>
      <c r="E2039" s="13" t="s">
        <v>244</v>
      </c>
      <c r="F2039" s="13">
        <v>3025460</v>
      </c>
      <c r="G2039" s="37">
        <v>20185.5</v>
      </c>
      <c r="H2039" s="33">
        <f>8100-8048.05</f>
        <v>51.949999999999818</v>
      </c>
      <c r="I2039" s="16">
        <f>-H2039*G2039</f>
        <v>-1048636.7249999964</v>
      </c>
      <c r="J2039" s="17">
        <v>0</v>
      </c>
      <c r="K2039" s="34">
        <v>4502406272</v>
      </c>
      <c r="L2039" s="126">
        <v>5083555082</v>
      </c>
      <c r="M2039" s="127">
        <v>5113568078</v>
      </c>
      <c r="N2039" s="128"/>
      <c r="O2039" s="9"/>
      <c r="P2039" s="23"/>
      <c r="Q2039" s="24" t="s">
        <v>31</v>
      </c>
      <c r="R2039" s="25">
        <v>44809</v>
      </c>
      <c r="S2039" s="28"/>
      <c r="T2039" s="35"/>
      <c r="U2039" s="35"/>
      <c r="V2039" s="29"/>
      <c r="W2039" s="35"/>
      <c r="X2039" s="29"/>
      <c r="Y2039" s="36"/>
      <c r="Z2039" s="29"/>
      <c r="AA2039" s="31">
        <f t="shared" si="1"/>
        <v>44809</v>
      </c>
      <c r="AB2039" s="32" t="str">
        <f t="shared" si="5"/>
        <v>septiembre</v>
      </c>
    </row>
    <row r="2040" spans="1:28" ht="12.75">
      <c r="A2040" s="9" t="s">
        <v>99</v>
      </c>
      <c r="B2040" s="10">
        <v>44811</v>
      </c>
      <c r="C2040" s="11">
        <v>44813</v>
      </c>
      <c r="D2040" s="49">
        <v>36</v>
      </c>
      <c r="E2040" s="13" t="s">
        <v>2513</v>
      </c>
      <c r="F2040" s="13">
        <v>3025460</v>
      </c>
      <c r="G2040" s="37">
        <v>6809.5</v>
      </c>
      <c r="H2040" s="33">
        <v>8000</v>
      </c>
      <c r="I2040" s="16">
        <f t="shared" ref="I2040:I2042" si="301">H2040*G2040</f>
        <v>54476000</v>
      </c>
      <c r="J2040" s="17">
        <v>15</v>
      </c>
      <c r="K2040" s="34">
        <v>4502401855</v>
      </c>
      <c r="L2040" s="126">
        <v>5083551578</v>
      </c>
      <c r="M2040" s="127">
        <v>5113569146</v>
      </c>
      <c r="N2040" s="128"/>
      <c r="O2040" s="9"/>
      <c r="P2040" s="23"/>
      <c r="Q2040" s="24" t="s">
        <v>31</v>
      </c>
      <c r="R2040" s="25">
        <v>44809</v>
      </c>
      <c r="S2040" s="28"/>
      <c r="T2040" s="35"/>
      <c r="U2040" s="35"/>
      <c r="V2040" s="29"/>
      <c r="W2040" s="35"/>
      <c r="X2040" s="29"/>
      <c r="Y2040" s="36"/>
      <c r="Z2040" s="29"/>
      <c r="AA2040" s="31">
        <f t="shared" si="1"/>
        <v>44809</v>
      </c>
      <c r="AB2040" s="32" t="str">
        <f t="shared" si="5"/>
        <v>septiembre</v>
      </c>
    </row>
    <row r="2041" spans="1:28" ht="12.75">
      <c r="A2041" s="9" t="s">
        <v>99</v>
      </c>
      <c r="B2041" s="10">
        <v>44811</v>
      </c>
      <c r="C2041" s="11">
        <v>44813</v>
      </c>
      <c r="D2041" s="49">
        <v>36</v>
      </c>
      <c r="E2041" s="13" t="s">
        <v>2514</v>
      </c>
      <c r="F2041" s="13">
        <v>3025460</v>
      </c>
      <c r="G2041" s="37">
        <v>6809.5</v>
      </c>
      <c r="H2041" s="33">
        <v>50</v>
      </c>
      <c r="I2041" s="16">
        <f t="shared" si="301"/>
        <v>340475</v>
      </c>
      <c r="J2041" s="17">
        <v>0</v>
      </c>
      <c r="K2041" s="34">
        <v>4502401855</v>
      </c>
      <c r="L2041" s="126">
        <v>5083551578</v>
      </c>
      <c r="M2041" s="127">
        <v>5113569178</v>
      </c>
      <c r="N2041" s="128"/>
      <c r="O2041" s="9"/>
      <c r="P2041" s="23"/>
      <c r="Q2041" s="24" t="s">
        <v>31</v>
      </c>
      <c r="R2041" s="25">
        <v>44809</v>
      </c>
      <c r="S2041" s="28"/>
      <c r="T2041" s="35"/>
      <c r="U2041" s="35"/>
      <c r="V2041" s="29"/>
      <c r="W2041" s="35"/>
      <c r="X2041" s="29"/>
      <c r="Y2041" s="36"/>
      <c r="Z2041" s="29"/>
      <c r="AA2041" s="31">
        <f t="shared" si="1"/>
        <v>44809</v>
      </c>
      <c r="AB2041" s="32" t="str">
        <f t="shared" si="5"/>
        <v>septiembre</v>
      </c>
    </row>
    <row r="2042" spans="1:28" ht="12.75">
      <c r="A2042" s="9" t="s">
        <v>1102</v>
      </c>
      <c r="B2042" s="10">
        <v>44813</v>
      </c>
      <c r="C2042" s="11">
        <v>44813</v>
      </c>
      <c r="D2042" s="49">
        <v>36</v>
      </c>
      <c r="E2042" s="13" t="s">
        <v>2515</v>
      </c>
      <c r="F2042" s="13">
        <v>3025460</v>
      </c>
      <c r="G2042" s="14">
        <v>13295</v>
      </c>
      <c r="H2042" s="33">
        <v>8450</v>
      </c>
      <c r="I2042" s="16">
        <f t="shared" si="301"/>
        <v>112342750</v>
      </c>
      <c r="J2042" s="17">
        <v>30</v>
      </c>
      <c r="K2042" s="34">
        <v>4502401856</v>
      </c>
      <c r="L2042" s="126">
        <v>5083551579</v>
      </c>
      <c r="M2042" s="127">
        <v>5113578627</v>
      </c>
      <c r="N2042" s="128"/>
      <c r="O2042" s="23" t="s">
        <v>382</v>
      </c>
      <c r="P2042" s="23"/>
      <c r="Q2042" s="24" t="s">
        <v>31</v>
      </c>
      <c r="R2042" s="25">
        <v>44809</v>
      </c>
      <c r="S2042" s="28"/>
      <c r="T2042" s="35"/>
      <c r="U2042" s="35"/>
      <c r="V2042" s="29"/>
      <c r="W2042" s="35"/>
      <c r="X2042" s="29"/>
      <c r="Y2042" s="36"/>
      <c r="Z2042" s="29"/>
      <c r="AA2042" s="31">
        <f t="shared" si="1"/>
        <v>44809</v>
      </c>
      <c r="AB2042" s="32" t="str">
        <f t="shared" si="5"/>
        <v>septiembre</v>
      </c>
    </row>
    <row r="2043" spans="1:28" ht="12.75">
      <c r="A2043" s="9" t="s">
        <v>1102</v>
      </c>
      <c r="B2043" s="10">
        <v>44813</v>
      </c>
      <c r="C2043" s="11">
        <v>44813</v>
      </c>
      <c r="D2043" s="49">
        <v>36</v>
      </c>
      <c r="E2043" s="13" t="s">
        <v>2516</v>
      </c>
      <c r="F2043" s="13">
        <v>3025460</v>
      </c>
      <c r="G2043" s="14">
        <v>13295</v>
      </c>
      <c r="H2043" s="33">
        <f>8450-8436.7</f>
        <v>13.299999999999272</v>
      </c>
      <c r="I2043" s="16">
        <f>-H2043*G2043</f>
        <v>-176823.49999999034</v>
      </c>
      <c r="J2043" s="17">
        <v>0</v>
      </c>
      <c r="K2043" s="34">
        <v>4502401856</v>
      </c>
      <c r="L2043" s="126">
        <v>5083551579</v>
      </c>
      <c r="M2043" s="127">
        <v>5113578631</v>
      </c>
      <c r="N2043" s="128"/>
      <c r="O2043" s="9"/>
      <c r="P2043" s="23"/>
      <c r="Q2043" s="24" t="s">
        <v>31</v>
      </c>
      <c r="R2043" s="25">
        <v>44809</v>
      </c>
      <c r="S2043" s="28"/>
      <c r="T2043" s="35"/>
      <c r="U2043" s="35"/>
      <c r="V2043" s="29"/>
      <c r="W2043" s="35"/>
      <c r="X2043" s="29"/>
      <c r="Y2043" s="36"/>
      <c r="Z2043" s="29"/>
      <c r="AA2043" s="31">
        <f t="shared" si="1"/>
        <v>44809</v>
      </c>
      <c r="AB2043" s="32" t="str">
        <f t="shared" si="5"/>
        <v>septiembre</v>
      </c>
    </row>
    <row r="2044" spans="1:28" ht="12.75">
      <c r="A2044" s="9" t="s">
        <v>2311</v>
      </c>
      <c r="B2044" s="10">
        <v>44812</v>
      </c>
      <c r="C2044" s="11"/>
      <c r="D2044" s="49">
        <v>36</v>
      </c>
      <c r="E2044" s="13" t="s">
        <v>2517</v>
      </c>
      <c r="F2044" s="13">
        <v>3025460</v>
      </c>
      <c r="G2044" s="37">
        <v>12820.5</v>
      </c>
      <c r="H2044" s="33">
        <v>8450</v>
      </c>
      <c r="I2044" s="16">
        <f>H2044*G2044</f>
        <v>108333225</v>
      </c>
      <c r="J2044" s="17">
        <v>28</v>
      </c>
      <c r="K2044" s="34">
        <v>4502401859</v>
      </c>
      <c r="L2044" s="126">
        <v>5083539980</v>
      </c>
      <c r="M2044" s="127">
        <v>5113583201</v>
      </c>
      <c r="N2044" s="128"/>
      <c r="O2044" s="23" t="s">
        <v>37</v>
      </c>
      <c r="P2044" s="23"/>
      <c r="Q2044" s="24" t="s">
        <v>31</v>
      </c>
      <c r="R2044" s="25">
        <v>44809</v>
      </c>
      <c r="S2044" s="28"/>
      <c r="T2044" s="35"/>
      <c r="U2044" s="35"/>
      <c r="V2044" s="29"/>
      <c r="W2044" s="35"/>
      <c r="X2044" s="29"/>
      <c r="Y2044" s="36"/>
      <c r="Z2044" s="29"/>
      <c r="AA2044" s="31">
        <f t="shared" si="1"/>
        <v>44809</v>
      </c>
      <c r="AB2044" s="32" t="str">
        <f t="shared" si="5"/>
        <v>septiembre</v>
      </c>
    </row>
    <row r="2045" spans="1:28" ht="12.75">
      <c r="A2045" s="9" t="s">
        <v>2311</v>
      </c>
      <c r="B2045" s="10">
        <v>44812</v>
      </c>
      <c r="C2045" s="11"/>
      <c r="D2045" s="49">
        <v>36</v>
      </c>
      <c r="E2045" s="13" t="s">
        <v>2518</v>
      </c>
      <c r="F2045" s="13">
        <v>3025460</v>
      </c>
      <c r="G2045" s="37">
        <v>12820.5</v>
      </c>
      <c r="H2045" s="33">
        <v>150</v>
      </c>
      <c r="I2045" s="16">
        <f>-H2045*G2045</f>
        <v>-1923075</v>
      </c>
      <c r="J2045" s="17">
        <v>0</v>
      </c>
      <c r="K2045" s="34">
        <v>4502401859</v>
      </c>
      <c r="L2045" s="126">
        <v>5083539980</v>
      </c>
      <c r="M2045" s="127">
        <v>5113583202</v>
      </c>
      <c r="N2045" s="128"/>
      <c r="O2045" s="9"/>
      <c r="P2045" s="23"/>
      <c r="Q2045" s="24" t="s">
        <v>31</v>
      </c>
      <c r="R2045" s="25">
        <v>44809</v>
      </c>
      <c r="S2045" s="28"/>
      <c r="T2045" s="35"/>
      <c r="U2045" s="35"/>
      <c r="V2045" s="29"/>
      <c r="W2045" s="35"/>
      <c r="X2045" s="29"/>
      <c r="Y2045" s="36"/>
      <c r="Z2045" s="29"/>
      <c r="AA2045" s="31">
        <f t="shared" si="1"/>
        <v>44809</v>
      </c>
      <c r="AB2045" s="32" t="str">
        <f t="shared" si="5"/>
        <v>septiembre</v>
      </c>
    </row>
    <row r="2046" spans="1:28" ht="12.75">
      <c r="A2046" s="9" t="s">
        <v>58</v>
      </c>
      <c r="B2046" s="10">
        <v>44812</v>
      </c>
      <c r="C2046" s="11">
        <v>44812</v>
      </c>
      <c r="D2046" s="49">
        <v>36</v>
      </c>
      <c r="E2046" s="13" t="s">
        <v>2519</v>
      </c>
      <c r="F2046" s="13">
        <v>3025460</v>
      </c>
      <c r="G2046" s="14">
        <v>6943</v>
      </c>
      <c r="H2046" s="33">
        <v>8450</v>
      </c>
      <c r="I2046" s="16">
        <f t="shared" ref="I2046:I2047" si="302">H2046*G2046</f>
        <v>58668350</v>
      </c>
      <c r="J2046" s="17">
        <v>15</v>
      </c>
      <c r="K2046" s="34">
        <v>4502401860</v>
      </c>
      <c r="L2046" s="126">
        <v>5083539981</v>
      </c>
      <c r="M2046" s="127">
        <v>5113570864</v>
      </c>
      <c r="N2046" s="128"/>
      <c r="O2046" s="9" t="s">
        <v>37</v>
      </c>
      <c r="P2046" s="23"/>
      <c r="Q2046" s="24" t="s">
        <v>31</v>
      </c>
      <c r="R2046" s="25">
        <v>44809</v>
      </c>
      <c r="S2046" s="28"/>
      <c r="T2046" s="35"/>
      <c r="U2046" s="35"/>
      <c r="V2046" s="29"/>
      <c r="W2046" s="35"/>
      <c r="X2046" s="29"/>
      <c r="Y2046" s="36"/>
      <c r="Z2046" s="29"/>
      <c r="AA2046" s="31">
        <f t="shared" si="1"/>
        <v>44809</v>
      </c>
      <c r="AB2046" s="32" t="str">
        <f t="shared" si="5"/>
        <v>septiembre</v>
      </c>
    </row>
    <row r="2047" spans="1:28" ht="12.75">
      <c r="A2047" s="22" t="s">
        <v>774</v>
      </c>
      <c r="B2047" s="10">
        <v>44812</v>
      </c>
      <c r="C2047" s="11">
        <v>44812</v>
      </c>
      <c r="D2047" s="49">
        <v>36</v>
      </c>
      <c r="E2047" s="13" t="s">
        <v>2520</v>
      </c>
      <c r="F2047" s="13">
        <v>3025457</v>
      </c>
      <c r="G2047" s="14">
        <v>19964</v>
      </c>
      <c r="H2047" s="33">
        <v>8100</v>
      </c>
      <c r="I2047" s="16">
        <f t="shared" si="302"/>
        <v>161708400</v>
      </c>
      <c r="J2047" s="17">
        <v>45</v>
      </c>
      <c r="K2047" s="34">
        <v>4502407302</v>
      </c>
      <c r="L2047" s="126">
        <v>5083575692</v>
      </c>
      <c r="M2047" s="127">
        <v>5113568138</v>
      </c>
      <c r="N2047" s="128"/>
      <c r="O2047" s="9" t="s">
        <v>63</v>
      </c>
      <c r="P2047" s="23"/>
      <c r="Q2047" s="24" t="s">
        <v>31</v>
      </c>
      <c r="R2047" s="25">
        <v>44810</v>
      </c>
      <c r="S2047" s="28"/>
      <c r="T2047" s="35"/>
      <c r="U2047" s="35"/>
      <c r="V2047" s="29"/>
      <c r="W2047" s="35"/>
      <c r="X2047" s="29"/>
      <c r="Y2047" s="36"/>
      <c r="Z2047" s="29"/>
      <c r="AA2047" s="31">
        <f t="shared" si="1"/>
        <v>44810</v>
      </c>
      <c r="AB2047" s="32" t="str">
        <f t="shared" si="5"/>
        <v>septiembre</v>
      </c>
    </row>
    <row r="2048" spans="1:28" ht="12.75">
      <c r="A2048" s="22" t="s">
        <v>774</v>
      </c>
      <c r="B2048" s="10">
        <v>44812</v>
      </c>
      <c r="C2048" s="11">
        <v>44812</v>
      </c>
      <c r="D2048" s="49">
        <v>36</v>
      </c>
      <c r="E2048" s="13" t="s">
        <v>1356</v>
      </c>
      <c r="F2048" s="13">
        <v>3025457</v>
      </c>
      <c r="G2048" s="14">
        <v>19964</v>
      </c>
      <c r="H2048" s="33">
        <f>8100-8094.14</f>
        <v>5.8599999999996726</v>
      </c>
      <c r="I2048" s="16">
        <f>-H2048*G2048</f>
        <v>-116989.03999999346</v>
      </c>
      <c r="J2048" s="17">
        <v>0</v>
      </c>
      <c r="K2048" s="34">
        <v>4502407302</v>
      </c>
      <c r="L2048" s="126">
        <v>5083575692</v>
      </c>
      <c r="M2048" s="127">
        <v>5113568140</v>
      </c>
      <c r="N2048" s="128"/>
      <c r="O2048" s="9"/>
      <c r="P2048" s="23"/>
      <c r="Q2048" s="24" t="s">
        <v>31</v>
      </c>
      <c r="R2048" s="25">
        <v>44810</v>
      </c>
      <c r="S2048" s="28"/>
      <c r="T2048" s="35"/>
      <c r="U2048" s="35"/>
      <c r="V2048" s="29"/>
      <c r="W2048" s="35"/>
      <c r="X2048" s="29"/>
      <c r="Y2048" s="36"/>
      <c r="Z2048" s="29"/>
      <c r="AA2048" s="31">
        <f t="shared" si="1"/>
        <v>44810</v>
      </c>
      <c r="AB2048" s="32" t="str">
        <f t="shared" si="5"/>
        <v>septiembre</v>
      </c>
    </row>
    <row r="2049" spans="1:28" ht="12.75">
      <c r="A2049" s="45" t="s">
        <v>145</v>
      </c>
      <c r="B2049" s="10">
        <v>44814</v>
      </c>
      <c r="C2049" s="11">
        <v>44817</v>
      </c>
      <c r="D2049" s="49">
        <v>36</v>
      </c>
      <c r="E2049" s="13" t="s">
        <v>2521</v>
      </c>
      <c r="F2049" s="13">
        <v>3025457</v>
      </c>
      <c r="G2049" s="37">
        <v>6509.5</v>
      </c>
      <c r="H2049" s="33">
        <v>8100</v>
      </c>
      <c r="I2049" s="16">
        <f t="shared" ref="I2049:I2052" si="303">H2049*G2049</f>
        <v>52726950</v>
      </c>
      <c r="J2049" s="17">
        <v>14</v>
      </c>
      <c r="K2049" s="34">
        <v>4502401863</v>
      </c>
      <c r="L2049" s="126">
        <v>5083542133</v>
      </c>
      <c r="M2049" s="127">
        <v>5113578687</v>
      </c>
      <c r="N2049" s="23"/>
      <c r="O2049" s="23" t="s">
        <v>37</v>
      </c>
      <c r="P2049" s="23"/>
      <c r="Q2049" s="24" t="s">
        <v>31</v>
      </c>
      <c r="R2049" s="25">
        <v>44810</v>
      </c>
      <c r="S2049" s="28"/>
      <c r="T2049" s="35"/>
      <c r="U2049" s="35"/>
      <c r="V2049" s="29"/>
      <c r="W2049" s="35"/>
      <c r="X2049" s="29"/>
      <c r="Y2049" s="36"/>
      <c r="Z2049" s="29"/>
      <c r="AA2049" s="31">
        <f t="shared" si="1"/>
        <v>44810</v>
      </c>
      <c r="AB2049" s="32" t="str">
        <f t="shared" si="5"/>
        <v>septiembre</v>
      </c>
    </row>
    <row r="2050" spans="1:28" ht="12.75">
      <c r="A2050" s="9" t="s">
        <v>83</v>
      </c>
      <c r="B2050" s="10">
        <v>44810</v>
      </c>
      <c r="C2050" s="11">
        <v>44812</v>
      </c>
      <c r="D2050" s="49">
        <v>36</v>
      </c>
      <c r="E2050" s="13" t="s">
        <v>2522</v>
      </c>
      <c r="F2050" s="13">
        <v>3025457</v>
      </c>
      <c r="G2050" s="14">
        <v>13190</v>
      </c>
      <c r="H2050" s="15">
        <v>7700</v>
      </c>
      <c r="I2050" s="16">
        <f t="shared" si="303"/>
        <v>101563000</v>
      </c>
      <c r="J2050" s="17">
        <v>28</v>
      </c>
      <c r="K2050" s="34">
        <v>4502405078</v>
      </c>
      <c r="L2050" s="126">
        <v>5083551420</v>
      </c>
      <c r="M2050" s="127">
        <v>5113569432</v>
      </c>
      <c r="N2050" s="23"/>
      <c r="O2050" s="22" t="s">
        <v>2523</v>
      </c>
      <c r="P2050" s="23"/>
      <c r="Q2050" s="24" t="s">
        <v>31</v>
      </c>
      <c r="R2050" s="25">
        <v>44810</v>
      </c>
      <c r="S2050" s="132">
        <v>4902338890</v>
      </c>
      <c r="T2050" s="35">
        <f>1816100*2</f>
        <v>3632200</v>
      </c>
      <c r="U2050" s="28" t="s">
        <v>2524</v>
      </c>
      <c r="V2050" s="29">
        <v>5113564958</v>
      </c>
      <c r="W2050" s="35"/>
      <c r="X2050" s="29"/>
      <c r="Y2050" s="36"/>
      <c r="Z2050" s="29"/>
      <c r="AA2050" s="31">
        <f t="shared" si="1"/>
        <v>44810</v>
      </c>
      <c r="AB2050" s="32" t="str">
        <f t="shared" si="5"/>
        <v>septiembre</v>
      </c>
    </row>
    <row r="2051" spans="1:28" ht="12.75">
      <c r="A2051" s="9" t="s">
        <v>85</v>
      </c>
      <c r="B2051" s="10">
        <v>44810</v>
      </c>
      <c r="C2051" s="11">
        <v>44812</v>
      </c>
      <c r="D2051" s="49">
        <v>36</v>
      </c>
      <c r="E2051" s="13" t="s">
        <v>2525</v>
      </c>
      <c r="F2051" s="13">
        <v>3025459</v>
      </c>
      <c r="G2051" s="14">
        <v>27635</v>
      </c>
      <c r="H2051" s="15">
        <v>7700</v>
      </c>
      <c r="I2051" s="16">
        <f t="shared" si="303"/>
        <v>212789500</v>
      </c>
      <c r="J2051" s="17">
        <v>56</v>
      </c>
      <c r="K2051" s="34">
        <v>4502405079</v>
      </c>
      <c r="L2051" s="126">
        <v>5083524553</v>
      </c>
      <c r="M2051" s="127">
        <v>5113568608</v>
      </c>
      <c r="N2051" s="9" t="s">
        <v>63</v>
      </c>
      <c r="O2051" s="22" t="s">
        <v>256</v>
      </c>
      <c r="P2051" s="23"/>
      <c r="Q2051" s="24" t="s">
        <v>31</v>
      </c>
      <c r="R2051" s="25">
        <v>44810</v>
      </c>
      <c r="S2051" s="28">
        <v>4902338894</v>
      </c>
      <c r="T2051" s="35">
        <f>1638223*4</f>
        <v>6552892</v>
      </c>
      <c r="U2051" s="28" t="s">
        <v>2526</v>
      </c>
      <c r="V2051" s="29">
        <v>5113564961</v>
      </c>
      <c r="W2051" s="35"/>
      <c r="X2051" s="29"/>
      <c r="Y2051" s="36"/>
      <c r="Z2051" s="29"/>
      <c r="AA2051" s="31">
        <f t="shared" si="1"/>
        <v>44810</v>
      </c>
      <c r="AB2051" s="32" t="str">
        <f t="shared" si="5"/>
        <v>septiembre</v>
      </c>
    </row>
    <row r="2052" spans="1:28" ht="12.75">
      <c r="A2052" s="22" t="s">
        <v>719</v>
      </c>
      <c r="B2052" s="10">
        <v>44816</v>
      </c>
      <c r="C2052" s="11">
        <v>44817</v>
      </c>
      <c r="D2052" s="53">
        <v>37</v>
      </c>
      <c r="E2052" s="13" t="s">
        <v>2527</v>
      </c>
      <c r="F2052" s="13">
        <v>3025457</v>
      </c>
      <c r="G2052" s="14">
        <v>7113</v>
      </c>
      <c r="H2052" s="33">
        <v>8000</v>
      </c>
      <c r="I2052" s="16">
        <f t="shared" si="303"/>
        <v>56904000</v>
      </c>
      <c r="J2052" s="17">
        <v>15</v>
      </c>
      <c r="K2052" s="34">
        <v>4502406466</v>
      </c>
      <c r="L2052" s="19">
        <v>5083597556</v>
      </c>
      <c r="M2052" s="20">
        <v>5113576298</v>
      </c>
      <c r="N2052" s="128"/>
      <c r="O2052" s="9" t="s">
        <v>37</v>
      </c>
      <c r="P2052" s="23"/>
      <c r="Q2052" s="24" t="s">
        <v>31</v>
      </c>
      <c r="R2052" s="25">
        <v>44812</v>
      </c>
      <c r="S2052" s="28"/>
      <c r="T2052" s="35"/>
      <c r="U2052" s="35"/>
      <c r="V2052" s="29"/>
      <c r="W2052" s="35"/>
      <c r="X2052" s="29"/>
      <c r="Y2052" s="36"/>
      <c r="Z2052" s="29"/>
      <c r="AA2052" s="31">
        <f t="shared" si="1"/>
        <v>44812</v>
      </c>
      <c r="AB2052" s="32" t="str">
        <f t="shared" si="5"/>
        <v>septiembre</v>
      </c>
    </row>
    <row r="2053" spans="1:28" ht="12.75">
      <c r="A2053" s="22" t="s">
        <v>719</v>
      </c>
      <c r="B2053" s="10">
        <v>44816</v>
      </c>
      <c r="C2053" s="11">
        <v>44817</v>
      </c>
      <c r="D2053" s="53">
        <v>37</v>
      </c>
      <c r="E2053" s="13" t="s">
        <v>77</v>
      </c>
      <c r="F2053" s="13">
        <v>3025457</v>
      </c>
      <c r="G2053" s="14">
        <v>7113</v>
      </c>
      <c r="H2053" s="33">
        <v>50</v>
      </c>
      <c r="I2053" s="16">
        <f>-H2053*G2053</f>
        <v>-355650</v>
      </c>
      <c r="J2053" s="17">
        <v>0</v>
      </c>
      <c r="K2053" s="34">
        <v>4502406466</v>
      </c>
      <c r="L2053" s="19">
        <v>5083597556</v>
      </c>
      <c r="M2053" s="20">
        <v>5113576299</v>
      </c>
      <c r="N2053" s="128"/>
      <c r="O2053" s="9"/>
      <c r="P2053" s="23"/>
      <c r="Q2053" s="24" t="s">
        <v>31</v>
      </c>
      <c r="R2053" s="25">
        <v>44812</v>
      </c>
      <c r="S2053" s="28"/>
      <c r="T2053" s="35"/>
      <c r="U2053" s="35"/>
      <c r="V2053" s="29"/>
      <c r="W2053" s="35"/>
      <c r="X2053" s="29"/>
      <c r="Y2053" s="36"/>
      <c r="Z2053" s="29"/>
      <c r="AA2053" s="31">
        <f t="shared" si="1"/>
        <v>44812</v>
      </c>
      <c r="AB2053" s="32" t="str">
        <f t="shared" si="5"/>
        <v>septiembre</v>
      </c>
    </row>
    <row r="2054" spans="1:28" ht="12.75">
      <c r="A2054" s="9" t="s">
        <v>58</v>
      </c>
      <c r="B2054" s="10">
        <v>44817</v>
      </c>
      <c r="C2054" s="11">
        <v>44817</v>
      </c>
      <c r="D2054" s="53">
        <v>37</v>
      </c>
      <c r="E2054" s="13" t="s">
        <v>2528</v>
      </c>
      <c r="F2054" s="13">
        <v>3025457</v>
      </c>
      <c r="G2054" s="37">
        <v>8873.5</v>
      </c>
      <c r="H2054" s="33">
        <v>8450</v>
      </c>
      <c r="I2054" s="16">
        <f t="shared" ref="I2054:I2056" si="304">H2054*G2054</f>
        <v>74981075</v>
      </c>
      <c r="J2054" s="17">
        <v>14</v>
      </c>
      <c r="K2054" s="34">
        <v>4502406467</v>
      </c>
      <c r="L2054" s="19">
        <v>5083597557</v>
      </c>
      <c r="M2054" s="20">
        <v>5113578519</v>
      </c>
      <c r="N2054" s="128"/>
      <c r="O2054" s="9" t="s">
        <v>37</v>
      </c>
      <c r="P2054" s="23"/>
      <c r="Q2054" s="24" t="s">
        <v>31</v>
      </c>
      <c r="R2054" s="25">
        <v>44812</v>
      </c>
      <c r="S2054" s="28"/>
      <c r="T2054" s="35"/>
      <c r="U2054" s="35"/>
      <c r="V2054" s="29"/>
      <c r="W2054" s="35"/>
      <c r="X2054" s="29"/>
      <c r="Y2054" s="36"/>
      <c r="Z2054" s="29"/>
      <c r="AA2054" s="31">
        <f t="shared" si="1"/>
        <v>44812</v>
      </c>
      <c r="AB2054" s="32" t="str">
        <f t="shared" si="5"/>
        <v>septiembre</v>
      </c>
    </row>
    <row r="2055" spans="1:28" ht="12.75">
      <c r="A2055" s="9" t="s">
        <v>58</v>
      </c>
      <c r="B2055" s="10">
        <v>44817</v>
      </c>
      <c r="C2055" s="11">
        <v>44817</v>
      </c>
      <c r="D2055" s="53">
        <v>37</v>
      </c>
      <c r="E2055" s="13" t="s">
        <v>2529</v>
      </c>
      <c r="F2055" s="13">
        <v>3025457</v>
      </c>
      <c r="G2055" s="37">
        <v>8873.5</v>
      </c>
      <c r="H2055" s="33">
        <v>50</v>
      </c>
      <c r="I2055" s="16">
        <f t="shared" si="304"/>
        <v>443675</v>
      </c>
      <c r="J2055" s="17">
        <v>0</v>
      </c>
      <c r="K2055" s="34">
        <v>4502406467</v>
      </c>
      <c r="L2055" s="19">
        <v>5083597557</v>
      </c>
      <c r="M2055" s="20">
        <v>5113578521</v>
      </c>
      <c r="N2055" s="23"/>
      <c r="O2055" s="9"/>
      <c r="P2055" s="23"/>
      <c r="Q2055" s="24" t="s">
        <v>31</v>
      </c>
      <c r="R2055" s="25">
        <v>44812</v>
      </c>
      <c r="S2055" s="28"/>
      <c r="T2055" s="35"/>
      <c r="U2055" s="35"/>
      <c r="V2055" s="29"/>
      <c r="W2055" s="35"/>
      <c r="X2055" s="29"/>
      <c r="Y2055" s="36"/>
      <c r="Z2055" s="29"/>
      <c r="AA2055" s="31">
        <f t="shared" si="1"/>
        <v>44812</v>
      </c>
      <c r="AB2055" s="32" t="str">
        <f t="shared" si="5"/>
        <v>septiembre</v>
      </c>
    </row>
    <row r="2056" spans="1:28" ht="12.75">
      <c r="A2056" s="9" t="s">
        <v>58</v>
      </c>
      <c r="B2056" s="10">
        <v>44817</v>
      </c>
      <c r="C2056" s="11">
        <v>44817</v>
      </c>
      <c r="D2056" s="53">
        <v>37</v>
      </c>
      <c r="E2056" s="13" t="s">
        <v>2530</v>
      </c>
      <c r="F2056" s="13">
        <v>3025457</v>
      </c>
      <c r="G2056" s="37">
        <v>6408.5</v>
      </c>
      <c r="H2056" s="33">
        <v>8450</v>
      </c>
      <c r="I2056" s="16">
        <f t="shared" si="304"/>
        <v>54151825</v>
      </c>
      <c r="J2056" s="17">
        <v>15</v>
      </c>
      <c r="K2056" s="34">
        <v>4502406467</v>
      </c>
      <c r="L2056" s="19">
        <v>5113578523</v>
      </c>
      <c r="M2056" s="20">
        <v>5113578523</v>
      </c>
      <c r="N2056" s="23"/>
      <c r="O2056" s="9" t="s">
        <v>37</v>
      </c>
      <c r="P2056" s="23"/>
      <c r="Q2056" s="24" t="s">
        <v>31</v>
      </c>
      <c r="R2056" s="25">
        <v>44812</v>
      </c>
      <c r="S2056" s="28"/>
      <c r="T2056" s="35"/>
      <c r="U2056" s="35"/>
      <c r="V2056" s="29"/>
      <c r="W2056" s="35"/>
      <c r="X2056" s="29"/>
      <c r="Y2056" s="36"/>
      <c r="Z2056" s="29"/>
      <c r="AA2056" s="31">
        <f t="shared" si="1"/>
        <v>44812</v>
      </c>
      <c r="AB2056" s="32" t="str">
        <f t="shared" si="5"/>
        <v>septiembre</v>
      </c>
    </row>
    <row r="2057" spans="1:28" ht="12.75">
      <c r="A2057" s="9" t="s">
        <v>58</v>
      </c>
      <c r="B2057" s="10">
        <v>44817</v>
      </c>
      <c r="C2057" s="11">
        <v>44817</v>
      </c>
      <c r="D2057" s="53">
        <v>37</v>
      </c>
      <c r="E2057" s="13" t="s">
        <v>127</v>
      </c>
      <c r="F2057" s="13">
        <v>3025457</v>
      </c>
      <c r="G2057" s="37">
        <v>6408.5</v>
      </c>
      <c r="H2057" s="33">
        <f>8450-8281.78</f>
        <v>168.21999999999935</v>
      </c>
      <c r="I2057" s="16">
        <f>-H2057*G2057</f>
        <v>-1078037.8699999957</v>
      </c>
      <c r="J2057" s="17">
        <v>0</v>
      </c>
      <c r="K2057" s="34">
        <v>4502406467</v>
      </c>
      <c r="L2057" s="19">
        <v>5113578523</v>
      </c>
      <c r="M2057" s="20">
        <v>5113578525</v>
      </c>
      <c r="N2057" s="23"/>
      <c r="O2057" s="9"/>
      <c r="P2057" s="23"/>
      <c r="Q2057" s="24" t="s">
        <v>31</v>
      </c>
      <c r="R2057" s="25">
        <v>44812</v>
      </c>
      <c r="S2057" s="28"/>
      <c r="T2057" s="35"/>
      <c r="U2057" s="35"/>
      <c r="V2057" s="29"/>
      <c r="W2057" s="35"/>
      <c r="X2057" s="29"/>
      <c r="Y2057" s="36"/>
      <c r="Z2057" s="29"/>
      <c r="AA2057" s="31">
        <f t="shared" si="1"/>
        <v>44812</v>
      </c>
      <c r="AB2057" s="32" t="str">
        <f t="shared" si="5"/>
        <v>septiembre</v>
      </c>
    </row>
    <row r="2058" spans="1:28" ht="12.75">
      <c r="A2058" s="9" t="s">
        <v>58</v>
      </c>
      <c r="B2058" s="10">
        <v>44817</v>
      </c>
      <c r="C2058" s="11">
        <v>44817</v>
      </c>
      <c r="D2058" s="53">
        <v>37</v>
      </c>
      <c r="E2058" s="13" t="s">
        <v>2531</v>
      </c>
      <c r="F2058" s="13">
        <v>3025457</v>
      </c>
      <c r="G2058" s="14">
        <v>33704</v>
      </c>
      <c r="H2058" s="33">
        <v>8450</v>
      </c>
      <c r="I2058" s="16">
        <f>H2058*G2058</f>
        <v>284798800</v>
      </c>
      <c r="J2058" s="17">
        <v>76</v>
      </c>
      <c r="K2058" s="34">
        <v>4502406467</v>
      </c>
      <c r="L2058" s="19">
        <v>5083597557</v>
      </c>
      <c r="M2058" s="20">
        <v>5113578548</v>
      </c>
      <c r="N2058" s="23"/>
      <c r="O2058" s="9" t="s">
        <v>37</v>
      </c>
      <c r="P2058" s="23"/>
      <c r="Q2058" s="24" t="s">
        <v>31</v>
      </c>
      <c r="R2058" s="25">
        <v>44812</v>
      </c>
      <c r="S2058" s="28"/>
      <c r="T2058" s="35"/>
      <c r="U2058" s="35"/>
      <c r="V2058" s="29"/>
      <c r="W2058" s="35"/>
      <c r="X2058" s="29"/>
      <c r="Y2058" s="36"/>
      <c r="Z2058" s="29"/>
      <c r="AA2058" s="31">
        <f t="shared" si="1"/>
        <v>44812</v>
      </c>
      <c r="AB2058" s="32" t="str">
        <f t="shared" si="5"/>
        <v>septiembre</v>
      </c>
    </row>
    <row r="2059" spans="1:28" ht="12.75">
      <c r="A2059" s="9" t="s">
        <v>58</v>
      </c>
      <c r="B2059" s="10">
        <v>44817</v>
      </c>
      <c r="C2059" s="11">
        <v>44817</v>
      </c>
      <c r="D2059" s="53">
        <v>37</v>
      </c>
      <c r="E2059" s="13" t="s">
        <v>2532</v>
      </c>
      <c r="F2059" s="13">
        <v>3025457</v>
      </c>
      <c r="G2059" s="14">
        <v>33704</v>
      </c>
      <c r="H2059" s="33">
        <f>8450-8428.29</f>
        <v>21.709999999999127</v>
      </c>
      <c r="I2059" s="16">
        <f>-H2059*G2059</f>
        <v>-731713.83999997051</v>
      </c>
      <c r="J2059" s="17">
        <v>0</v>
      </c>
      <c r="K2059" s="34">
        <v>4502406467</v>
      </c>
      <c r="L2059" s="19">
        <v>5083597557</v>
      </c>
      <c r="M2059" s="20">
        <v>5113578550</v>
      </c>
      <c r="N2059" s="23"/>
      <c r="O2059" s="9"/>
      <c r="P2059" s="23"/>
      <c r="Q2059" s="24" t="s">
        <v>31</v>
      </c>
      <c r="R2059" s="25">
        <v>44812</v>
      </c>
      <c r="S2059" s="28"/>
      <c r="T2059" s="35"/>
      <c r="U2059" s="35"/>
      <c r="V2059" s="29"/>
      <c r="W2059" s="35"/>
      <c r="X2059" s="29"/>
      <c r="Y2059" s="36"/>
      <c r="Z2059" s="29"/>
      <c r="AA2059" s="31">
        <f t="shared" si="1"/>
        <v>44812</v>
      </c>
      <c r="AB2059" s="32" t="str">
        <f t="shared" si="5"/>
        <v>septiembre</v>
      </c>
    </row>
    <row r="2060" spans="1:28" ht="12.75">
      <c r="A2060" s="22" t="s">
        <v>404</v>
      </c>
      <c r="B2060" s="10">
        <v>44813</v>
      </c>
      <c r="C2060" s="11">
        <v>44816</v>
      </c>
      <c r="D2060" s="53">
        <v>37</v>
      </c>
      <c r="E2060" s="13" t="s">
        <v>2533</v>
      </c>
      <c r="F2060" s="13">
        <v>3025457</v>
      </c>
      <c r="G2060" s="14">
        <v>19885</v>
      </c>
      <c r="H2060" s="33">
        <v>8450</v>
      </c>
      <c r="I2060" s="16">
        <f>H2060*G2060</f>
        <v>168028250</v>
      </c>
      <c r="J2060" s="17">
        <v>44</v>
      </c>
      <c r="K2060" s="34">
        <v>4502406468</v>
      </c>
      <c r="L2060" s="19">
        <v>5083597728</v>
      </c>
      <c r="M2060" s="20">
        <v>5113574480</v>
      </c>
      <c r="N2060" s="128"/>
      <c r="O2060" s="9" t="s">
        <v>37</v>
      </c>
      <c r="P2060" s="23"/>
      <c r="Q2060" s="24" t="s">
        <v>31</v>
      </c>
      <c r="R2060" s="25">
        <v>44812</v>
      </c>
      <c r="S2060" s="28"/>
      <c r="T2060" s="35"/>
      <c r="U2060" s="35"/>
      <c r="V2060" s="29"/>
      <c r="W2060" s="35"/>
      <c r="X2060" s="29"/>
      <c r="Y2060" s="36"/>
      <c r="Z2060" s="29"/>
      <c r="AA2060" s="31">
        <f t="shared" si="1"/>
        <v>44812</v>
      </c>
      <c r="AB2060" s="32" t="str">
        <f t="shared" si="5"/>
        <v>septiembre</v>
      </c>
    </row>
    <row r="2061" spans="1:28" ht="12.75">
      <c r="A2061" s="22" t="s">
        <v>404</v>
      </c>
      <c r="B2061" s="10">
        <v>44813</v>
      </c>
      <c r="C2061" s="11">
        <v>44816</v>
      </c>
      <c r="D2061" s="53">
        <v>37</v>
      </c>
      <c r="E2061" s="13" t="s">
        <v>1439</v>
      </c>
      <c r="F2061" s="13">
        <v>3025457</v>
      </c>
      <c r="G2061" s="14">
        <v>19885</v>
      </c>
      <c r="H2061" s="33">
        <f>8450-8334.48</f>
        <v>115.52000000000044</v>
      </c>
      <c r="I2061" s="16">
        <f>-H2061*G2061</f>
        <v>-2297115.2000000086</v>
      </c>
      <c r="J2061" s="17">
        <v>0</v>
      </c>
      <c r="K2061" s="34">
        <v>4502406468</v>
      </c>
      <c r="L2061" s="19">
        <v>5083597728</v>
      </c>
      <c r="M2061" s="20">
        <v>5113574481</v>
      </c>
      <c r="N2061" s="23"/>
      <c r="O2061" s="9"/>
      <c r="P2061" s="23"/>
      <c r="Q2061" s="24" t="s">
        <v>31</v>
      </c>
      <c r="R2061" s="25">
        <v>44812</v>
      </c>
      <c r="S2061" s="28"/>
      <c r="T2061" s="35"/>
      <c r="U2061" s="35"/>
      <c r="V2061" s="29"/>
      <c r="W2061" s="35"/>
      <c r="X2061" s="29"/>
      <c r="Y2061" s="36"/>
      <c r="Z2061" s="29"/>
      <c r="AA2061" s="31">
        <f t="shared" si="1"/>
        <v>44812</v>
      </c>
      <c r="AB2061" s="32" t="str">
        <f t="shared" si="5"/>
        <v>septiembre</v>
      </c>
    </row>
    <row r="2062" spans="1:28" ht="12.75">
      <c r="A2062" s="9" t="s">
        <v>209</v>
      </c>
      <c r="B2062" s="10">
        <v>44817</v>
      </c>
      <c r="C2062" s="11">
        <v>44817</v>
      </c>
      <c r="D2062" s="53">
        <v>37</v>
      </c>
      <c r="E2062" s="13" t="s">
        <v>2534</v>
      </c>
      <c r="F2062" s="13">
        <v>3025457</v>
      </c>
      <c r="G2062" s="14">
        <v>6991</v>
      </c>
      <c r="H2062" s="33">
        <v>8000</v>
      </c>
      <c r="I2062" s="16">
        <f>H2062*G2062</f>
        <v>55928000</v>
      </c>
      <c r="J2062" s="17">
        <v>15</v>
      </c>
      <c r="K2062" s="34">
        <v>4502406469</v>
      </c>
      <c r="L2062" s="19">
        <v>5083597729</v>
      </c>
      <c r="M2062" s="20">
        <v>5113577102</v>
      </c>
      <c r="N2062" s="23"/>
      <c r="O2062" s="23" t="s">
        <v>313</v>
      </c>
      <c r="P2062" s="23"/>
      <c r="Q2062" s="24" t="s">
        <v>31</v>
      </c>
      <c r="R2062" s="25">
        <v>44812</v>
      </c>
      <c r="S2062" s="28"/>
      <c r="T2062" s="35"/>
      <c r="U2062" s="35"/>
      <c r="V2062" s="29"/>
      <c r="W2062" s="35"/>
      <c r="X2062" s="29"/>
      <c r="Y2062" s="36"/>
      <c r="Z2062" s="29"/>
      <c r="AA2062" s="31">
        <f t="shared" si="1"/>
        <v>44812</v>
      </c>
      <c r="AB2062" s="32" t="str">
        <f t="shared" si="5"/>
        <v>septiembre</v>
      </c>
    </row>
    <row r="2063" spans="1:28" ht="12.75">
      <c r="A2063" s="9" t="s">
        <v>209</v>
      </c>
      <c r="B2063" s="10">
        <v>44817</v>
      </c>
      <c r="C2063" s="11">
        <v>44817</v>
      </c>
      <c r="D2063" s="53">
        <v>37</v>
      </c>
      <c r="E2063" s="13" t="s">
        <v>2535</v>
      </c>
      <c r="F2063" s="13">
        <v>3025457</v>
      </c>
      <c r="G2063" s="14">
        <v>6991</v>
      </c>
      <c r="H2063" s="33">
        <v>100</v>
      </c>
      <c r="I2063" s="16">
        <f>-H2063*G2063</f>
        <v>-699100</v>
      </c>
      <c r="J2063" s="17">
        <v>0</v>
      </c>
      <c r="K2063" s="34">
        <v>4502406469</v>
      </c>
      <c r="L2063" s="19">
        <v>5083597729</v>
      </c>
      <c r="M2063" s="20">
        <v>5113577125</v>
      </c>
      <c r="N2063" s="23"/>
      <c r="O2063" s="9"/>
      <c r="P2063" s="23"/>
      <c r="Q2063" s="24" t="s">
        <v>31</v>
      </c>
      <c r="R2063" s="25">
        <v>44812</v>
      </c>
      <c r="S2063" s="28"/>
      <c r="T2063" s="35"/>
      <c r="U2063" s="35"/>
      <c r="V2063" s="29"/>
      <c r="W2063" s="35"/>
      <c r="X2063" s="29"/>
      <c r="Y2063" s="36"/>
      <c r="Z2063" s="29"/>
      <c r="AA2063" s="31">
        <f t="shared" si="1"/>
        <v>44812</v>
      </c>
      <c r="AB2063" s="32" t="str">
        <f t="shared" si="5"/>
        <v>septiembre</v>
      </c>
    </row>
    <row r="2064" spans="1:28" ht="12.75">
      <c r="A2064" s="9" t="s">
        <v>485</v>
      </c>
      <c r="B2064" s="10">
        <v>44812</v>
      </c>
      <c r="C2064" s="11"/>
      <c r="D2064" s="53">
        <v>37</v>
      </c>
      <c r="E2064" s="13" t="s">
        <v>2536</v>
      </c>
      <c r="F2064" s="13">
        <v>3025459</v>
      </c>
      <c r="G2064" s="14">
        <v>6108</v>
      </c>
      <c r="H2064" s="33">
        <v>8450</v>
      </c>
      <c r="I2064" s="16">
        <f>H2064*G2064</f>
        <v>51612600</v>
      </c>
      <c r="J2064" s="17">
        <v>14</v>
      </c>
      <c r="K2064" s="34">
        <v>4502406471</v>
      </c>
      <c r="L2064" s="19">
        <v>5083597730</v>
      </c>
      <c r="M2064" s="20">
        <v>5113575910</v>
      </c>
      <c r="N2064" s="23"/>
      <c r="O2064" s="9" t="s">
        <v>313</v>
      </c>
      <c r="P2064" s="23"/>
      <c r="Q2064" s="24" t="s">
        <v>31</v>
      </c>
      <c r="R2064" s="25">
        <v>44812</v>
      </c>
      <c r="S2064" s="28"/>
      <c r="T2064" s="35"/>
      <c r="U2064" s="35"/>
      <c r="V2064" s="29"/>
      <c r="W2064" s="35"/>
      <c r="X2064" s="29"/>
      <c r="Y2064" s="36"/>
      <c r="Z2064" s="29"/>
      <c r="AA2064" s="31">
        <f t="shared" si="1"/>
        <v>44812</v>
      </c>
      <c r="AB2064" s="32" t="str">
        <f t="shared" si="5"/>
        <v>septiembre</v>
      </c>
    </row>
    <row r="2065" spans="1:28" ht="12.75">
      <c r="A2065" s="9" t="s">
        <v>485</v>
      </c>
      <c r="B2065" s="10">
        <v>44812</v>
      </c>
      <c r="C2065" s="11"/>
      <c r="D2065" s="53">
        <v>37</v>
      </c>
      <c r="E2065" s="13" t="s">
        <v>77</v>
      </c>
      <c r="F2065" s="13">
        <v>3025459</v>
      </c>
      <c r="G2065" s="14">
        <v>6108</v>
      </c>
      <c r="H2065" s="33">
        <v>50</v>
      </c>
      <c r="I2065" s="16">
        <f>-H2065*G2065</f>
        <v>-305400</v>
      </c>
      <c r="J2065" s="17">
        <v>0</v>
      </c>
      <c r="K2065" s="34">
        <v>4502406471</v>
      </c>
      <c r="L2065" s="19">
        <v>5083597730</v>
      </c>
      <c r="M2065" s="20">
        <v>5113575914</v>
      </c>
      <c r="N2065" s="23"/>
      <c r="O2065" s="9"/>
      <c r="P2065" s="23"/>
      <c r="Q2065" s="24" t="s">
        <v>31</v>
      </c>
      <c r="R2065" s="25">
        <v>44812</v>
      </c>
      <c r="S2065" s="28"/>
      <c r="T2065" s="35"/>
      <c r="U2065" s="35"/>
      <c r="V2065" s="29"/>
      <c r="W2065" s="35"/>
      <c r="X2065" s="29"/>
      <c r="Y2065" s="36"/>
      <c r="Z2065" s="29"/>
      <c r="AA2065" s="31">
        <f t="shared" si="1"/>
        <v>44812</v>
      </c>
      <c r="AB2065" s="32" t="str">
        <f t="shared" si="5"/>
        <v>septiembre</v>
      </c>
    </row>
    <row r="2066" spans="1:28" ht="12.75">
      <c r="A2066" s="9" t="s">
        <v>1412</v>
      </c>
      <c r="B2066" s="10">
        <v>44812</v>
      </c>
      <c r="C2066" s="11">
        <v>44816</v>
      </c>
      <c r="D2066" s="53">
        <v>37</v>
      </c>
      <c r="E2066" s="13" t="s">
        <v>1622</v>
      </c>
      <c r="F2066" s="13">
        <v>3025459</v>
      </c>
      <c r="G2066" s="14">
        <v>17553</v>
      </c>
      <c r="H2066" s="33">
        <v>8100</v>
      </c>
      <c r="I2066" s="16">
        <f>H2066*G2066</f>
        <v>142179300</v>
      </c>
      <c r="J2066" s="17">
        <v>42</v>
      </c>
      <c r="K2066" s="34">
        <v>4502406472</v>
      </c>
      <c r="L2066" s="19">
        <v>5083597731</v>
      </c>
      <c r="M2066" s="20">
        <v>5113578553</v>
      </c>
      <c r="N2066" s="23"/>
      <c r="O2066" s="9" t="s">
        <v>382</v>
      </c>
      <c r="P2066" s="23"/>
      <c r="Q2066" s="24" t="s">
        <v>31</v>
      </c>
      <c r="R2066" s="25">
        <v>44812</v>
      </c>
      <c r="S2066" s="28"/>
      <c r="T2066" s="35"/>
      <c r="U2066" s="35"/>
      <c r="V2066" s="29"/>
      <c r="W2066" s="35"/>
      <c r="X2066" s="29"/>
      <c r="Y2066" s="36"/>
      <c r="Z2066" s="29"/>
      <c r="AA2066" s="31">
        <f t="shared" si="1"/>
        <v>44812</v>
      </c>
      <c r="AB2066" s="32" t="str">
        <f t="shared" si="5"/>
        <v>septiembre</v>
      </c>
    </row>
    <row r="2067" spans="1:28" ht="12.75">
      <c r="A2067" s="9" t="s">
        <v>1412</v>
      </c>
      <c r="B2067" s="10">
        <v>44812</v>
      </c>
      <c r="C2067" s="11">
        <v>44816</v>
      </c>
      <c r="D2067" s="53">
        <v>37</v>
      </c>
      <c r="E2067" s="13" t="s">
        <v>334</v>
      </c>
      <c r="F2067" s="13">
        <v>3025459</v>
      </c>
      <c r="G2067" s="14">
        <v>17553</v>
      </c>
      <c r="H2067" s="33">
        <f>8100-8082.63</f>
        <v>17.369999999999891</v>
      </c>
      <c r="I2067" s="16">
        <f>-H2067*G2067</f>
        <v>-304895.60999999807</v>
      </c>
      <c r="J2067" s="17">
        <v>0</v>
      </c>
      <c r="K2067" s="34">
        <v>4502406472</v>
      </c>
      <c r="L2067" s="19">
        <v>5083597731</v>
      </c>
      <c r="M2067" s="20">
        <v>5113578555</v>
      </c>
      <c r="N2067" s="23"/>
      <c r="O2067" s="9"/>
      <c r="P2067" s="23"/>
      <c r="Q2067" s="24" t="s">
        <v>31</v>
      </c>
      <c r="R2067" s="25">
        <v>44812</v>
      </c>
      <c r="S2067" s="28"/>
      <c r="T2067" s="35"/>
      <c r="U2067" s="35"/>
      <c r="V2067" s="29"/>
      <c r="W2067" s="35"/>
      <c r="X2067" s="29"/>
      <c r="Y2067" s="36"/>
      <c r="Z2067" s="29"/>
      <c r="AA2067" s="31">
        <f t="shared" si="1"/>
        <v>44812</v>
      </c>
      <c r="AB2067" s="32" t="str">
        <f t="shared" si="5"/>
        <v>septiembre</v>
      </c>
    </row>
    <row r="2068" spans="1:28" ht="12.75">
      <c r="A2068" s="9" t="s">
        <v>96</v>
      </c>
      <c r="B2068" s="10">
        <v>44818</v>
      </c>
      <c r="C2068" s="11"/>
      <c r="D2068" s="53">
        <v>37</v>
      </c>
      <c r="E2068" s="13" t="s">
        <v>2537</v>
      </c>
      <c r="F2068" s="13">
        <v>3025459</v>
      </c>
      <c r="G2068" s="37">
        <v>6604.5</v>
      </c>
      <c r="H2068" s="33">
        <v>8100</v>
      </c>
      <c r="I2068" s="16">
        <f t="shared" ref="I2068:I2070" si="305">H2068*G2068</f>
        <v>53496450</v>
      </c>
      <c r="J2068" s="17">
        <v>14</v>
      </c>
      <c r="K2068" s="34">
        <v>4502406473</v>
      </c>
      <c r="L2068" s="19">
        <v>5083597732</v>
      </c>
      <c r="M2068" s="20">
        <v>5113588579</v>
      </c>
      <c r="N2068" s="23"/>
      <c r="O2068" s="23" t="s">
        <v>63</v>
      </c>
      <c r="P2068" s="23"/>
      <c r="Q2068" s="24" t="s">
        <v>31</v>
      </c>
      <c r="R2068" s="25">
        <v>44812</v>
      </c>
      <c r="S2068" s="28"/>
      <c r="T2068" s="35"/>
      <c r="U2068" s="35"/>
      <c r="V2068" s="29"/>
      <c r="W2068" s="35"/>
      <c r="X2068" s="29"/>
      <c r="Y2068" s="36"/>
      <c r="Z2068" s="29"/>
      <c r="AA2068" s="31">
        <f t="shared" si="1"/>
        <v>44812</v>
      </c>
      <c r="AB2068" s="32" t="str">
        <f t="shared" si="5"/>
        <v>septiembre</v>
      </c>
    </row>
    <row r="2069" spans="1:28" ht="12.75">
      <c r="A2069" s="9" t="s">
        <v>96</v>
      </c>
      <c r="B2069" s="10">
        <v>44818</v>
      </c>
      <c r="C2069" s="11"/>
      <c r="D2069" s="53">
        <v>37</v>
      </c>
      <c r="E2069" s="13" t="s">
        <v>2538</v>
      </c>
      <c r="F2069" s="13">
        <v>3025459</v>
      </c>
      <c r="G2069" s="37">
        <v>6604.5</v>
      </c>
      <c r="H2069" s="33">
        <v>50</v>
      </c>
      <c r="I2069" s="16">
        <f t="shared" si="305"/>
        <v>330225</v>
      </c>
      <c r="J2069" s="17">
        <v>0</v>
      </c>
      <c r="K2069" s="34">
        <v>4502406473</v>
      </c>
      <c r="L2069" s="19">
        <v>5083597732</v>
      </c>
      <c r="M2069" s="20">
        <v>5113588580</v>
      </c>
      <c r="N2069" s="23"/>
      <c r="O2069" s="9"/>
      <c r="P2069" s="23"/>
      <c r="Q2069" s="24" t="s">
        <v>31</v>
      </c>
      <c r="R2069" s="25">
        <v>44812</v>
      </c>
      <c r="S2069" s="28"/>
      <c r="T2069" s="35"/>
      <c r="U2069" s="35"/>
      <c r="V2069" s="29"/>
      <c r="W2069" s="35"/>
      <c r="X2069" s="29"/>
      <c r="Y2069" s="36"/>
      <c r="Z2069" s="29"/>
      <c r="AA2069" s="31">
        <f t="shared" si="1"/>
        <v>44812</v>
      </c>
      <c r="AB2069" s="32" t="str">
        <f t="shared" si="5"/>
        <v>septiembre</v>
      </c>
    </row>
    <row r="2070" spans="1:28" ht="12.75">
      <c r="A2070" s="9" t="s">
        <v>58</v>
      </c>
      <c r="B2070" s="10">
        <v>44818</v>
      </c>
      <c r="C2070" s="11">
        <v>44818</v>
      </c>
      <c r="D2070" s="53">
        <v>37</v>
      </c>
      <c r="E2070" s="13" t="s">
        <v>2539</v>
      </c>
      <c r="F2070" s="13">
        <v>3025457</v>
      </c>
      <c r="G2070" s="14">
        <v>19360</v>
      </c>
      <c r="H2070" s="33">
        <v>8450</v>
      </c>
      <c r="I2070" s="16">
        <f t="shared" si="305"/>
        <v>163592000</v>
      </c>
      <c r="J2070" s="17">
        <v>45</v>
      </c>
      <c r="K2070" s="34">
        <v>4502406475</v>
      </c>
      <c r="L2070" s="19">
        <v>5083613879</v>
      </c>
      <c r="M2070" s="20">
        <v>5113582608</v>
      </c>
      <c r="N2070" s="23"/>
      <c r="O2070" s="9" t="s">
        <v>37</v>
      </c>
      <c r="P2070" s="23"/>
      <c r="Q2070" s="24" t="s">
        <v>31</v>
      </c>
      <c r="R2070" s="25">
        <v>44813</v>
      </c>
      <c r="S2070" s="28"/>
      <c r="T2070" s="35"/>
      <c r="U2070" s="35"/>
      <c r="V2070" s="29"/>
      <c r="W2070" s="35"/>
      <c r="X2070" s="29"/>
      <c r="Y2070" s="36"/>
      <c r="Z2070" s="29"/>
      <c r="AA2070" s="31">
        <f t="shared" si="1"/>
        <v>44813</v>
      </c>
      <c r="AB2070" s="32" t="str">
        <f t="shared" si="5"/>
        <v>septiembre</v>
      </c>
    </row>
    <row r="2071" spans="1:28" ht="12.75">
      <c r="A2071" s="9" t="s">
        <v>58</v>
      </c>
      <c r="B2071" s="10">
        <v>44818</v>
      </c>
      <c r="C2071" s="11">
        <v>44818</v>
      </c>
      <c r="D2071" s="53">
        <v>37</v>
      </c>
      <c r="E2071" s="13" t="s">
        <v>295</v>
      </c>
      <c r="F2071" s="13">
        <v>3025457</v>
      </c>
      <c r="G2071" s="14">
        <v>19360</v>
      </c>
      <c r="H2071" s="33">
        <f>8450-8420.52</f>
        <v>29.479999999999563</v>
      </c>
      <c r="I2071" s="16">
        <f>-H2071*G2071</f>
        <v>-570732.79999999155</v>
      </c>
      <c r="J2071" s="17">
        <v>0</v>
      </c>
      <c r="K2071" s="34">
        <v>4502406475</v>
      </c>
      <c r="L2071" s="19">
        <v>5083613879</v>
      </c>
      <c r="M2071" s="20">
        <v>5113582609</v>
      </c>
      <c r="N2071" s="23"/>
      <c r="O2071" s="9"/>
      <c r="P2071" s="23"/>
      <c r="Q2071" s="24" t="s">
        <v>31</v>
      </c>
      <c r="R2071" s="25">
        <v>44813</v>
      </c>
      <c r="S2071" s="28"/>
      <c r="T2071" s="35"/>
      <c r="U2071" s="35"/>
      <c r="V2071" s="29"/>
      <c r="W2071" s="35"/>
      <c r="X2071" s="29"/>
      <c r="Y2071" s="36"/>
      <c r="Z2071" s="29"/>
      <c r="AA2071" s="31">
        <f t="shared" si="1"/>
        <v>44813</v>
      </c>
      <c r="AB2071" s="32" t="str">
        <f t="shared" si="5"/>
        <v>septiembre</v>
      </c>
    </row>
    <row r="2072" spans="1:28" ht="12.75">
      <c r="A2072" s="9" t="s">
        <v>58</v>
      </c>
      <c r="B2072" s="10">
        <v>44818</v>
      </c>
      <c r="C2072" s="11">
        <v>44818</v>
      </c>
      <c r="D2072" s="53">
        <v>37</v>
      </c>
      <c r="E2072" s="13" t="s">
        <v>2540</v>
      </c>
      <c r="F2072" s="13">
        <v>3025457</v>
      </c>
      <c r="G2072" s="14">
        <v>13792</v>
      </c>
      <c r="H2072" s="33">
        <v>8450</v>
      </c>
      <c r="I2072" s="16">
        <f t="shared" ref="I2072:I2076" si="306">H2072*G2072</f>
        <v>116542400</v>
      </c>
      <c r="J2072" s="17">
        <v>30</v>
      </c>
      <c r="K2072" s="34">
        <v>4502406475</v>
      </c>
      <c r="L2072" s="19">
        <v>5083613879</v>
      </c>
      <c r="M2072" s="20">
        <v>5113582556</v>
      </c>
      <c r="N2072" s="23"/>
      <c r="O2072" s="9" t="s">
        <v>37</v>
      </c>
      <c r="P2072" s="23"/>
      <c r="Q2072" s="24" t="s">
        <v>31</v>
      </c>
      <c r="R2072" s="25">
        <v>44813</v>
      </c>
      <c r="S2072" s="28"/>
      <c r="T2072" s="35"/>
      <c r="U2072" s="35"/>
      <c r="V2072" s="29"/>
      <c r="W2072" s="35"/>
      <c r="X2072" s="29"/>
      <c r="Y2072" s="36"/>
      <c r="Z2072" s="29"/>
      <c r="AA2072" s="31">
        <f t="shared" si="1"/>
        <v>44813</v>
      </c>
      <c r="AB2072" s="32" t="str">
        <f t="shared" si="5"/>
        <v>septiembre</v>
      </c>
    </row>
    <row r="2073" spans="1:28" ht="12.75">
      <c r="A2073" s="9" t="s">
        <v>28</v>
      </c>
      <c r="B2073" s="10">
        <v>44816</v>
      </c>
      <c r="C2073" s="11"/>
      <c r="D2073" s="53">
        <v>37</v>
      </c>
      <c r="E2073" s="13" t="s">
        <v>2541</v>
      </c>
      <c r="F2073" s="13">
        <v>3025457</v>
      </c>
      <c r="G2073" s="14">
        <v>35537</v>
      </c>
      <c r="H2073" s="15">
        <v>7750</v>
      </c>
      <c r="I2073" s="16">
        <f t="shared" si="306"/>
        <v>275411750</v>
      </c>
      <c r="J2073" s="17">
        <v>70</v>
      </c>
      <c r="K2073" s="34">
        <v>4502408606</v>
      </c>
      <c r="L2073" s="19">
        <v>5083614118</v>
      </c>
      <c r="M2073" s="23">
        <v>5113574482</v>
      </c>
      <c r="N2073" s="23"/>
      <c r="O2073" s="22" t="s">
        <v>2542</v>
      </c>
      <c r="P2073" s="23" t="s">
        <v>63</v>
      </c>
      <c r="Q2073" s="24" t="s">
        <v>31</v>
      </c>
      <c r="R2073" s="25">
        <v>44813</v>
      </c>
      <c r="S2073" s="28">
        <v>4902343227</v>
      </c>
      <c r="T2073" s="28">
        <v>15090800</v>
      </c>
      <c r="U2073" s="28" t="s">
        <v>2543</v>
      </c>
      <c r="V2073" s="29">
        <v>5113576481</v>
      </c>
      <c r="W2073" s="28" t="s">
        <v>2544</v>
      </c>
      <c r="X2073" s="29">
        <v>5113576482</v>
      </c>
      <c r="Y2073" s="30" t="s">
        <v>2545</v>
      </c>
      <c r="Z2073" s="29">
        <v>5113576484</v>
      </c>
      <c r="AA2073" s="31">
        <f t="shared" si="1"/>
        <v>44813</v>
      </c>
      <c r="AB2073" s="32" t="str">
        <f t="shared" si="5"/>
        <v>septiembre</v>
      </c>
    </row>
    <row r="2074" spans="1:28" ht="12.75">
      <c r="A2074" s="9" t="s">
        <v>96</v>
      </c>
      <c r="B2074" s="10">
        <v>44813</v>
      </c>
      <c r="C2074" s="11"/>
      <c r="D2074" s="53">
        <v>37</v>
      </c>
      <c r="E2074" s="13" t="s">
        <v>2546</v>
      </c>
      <c r="F2074" s="13">
        <v>3025459</v>
      </c>
      <c r="G2074" s="14">
        <v>12930.5</v>
      </c>
      <c r="H2074" s="33">
        <v>8100</v>
      </c>
      <c r="I2074" s="16">
        <f t="shared" si="306"/>
        <v>104737050</v>
      </c>
      <c r="J2074" s="17">
        <v>27</v>
      </c>
      <c r="K2074" s="34">
        <v>4502406476</v>
      </c>
      <c r="L2074" s="19">
        <v>5083613880</v>
      </c>
      <c r="M2074" s="20">
        <v>5113575988</v>
      </c>
      <c r="N2074" s="23"/>
      <c r="O2074" s="23" t="s">
        <v>63</v>
      </c>
      <c r="P2074" s="23"/>
      <c r="Q2074" s="24" t="s">
        <v>31</v>
      </c>
      <c r="R2074" s="25">
        <v>44813</v>
      </c>
      <c r="S2074" s="28"/>
      <c r="T2074" s="35"/>
      <c r="U2074" s="35"/>
      <c r="V2074" s="29"/>
      <c r="W2074" s="35"/>
      <c r="X2074" s="29"/>
      <c r="Y2074" s="36"/>
      <c r="Z2074" s="29"/>
      <c r="AA2074" s="31">
        <f t="shared" si="1"/>
        <v>44813</v>
      </c>
      <c r="AB2074" s="32" t="str">
        <f t="shared" si="5"/>
        <v>septiembre</v>
      </c>
    </row>
    <row r="2075" spans="1:28" ht="12.75">
      <c r="A2075" s="9" t="s">
        <v>80</v>
      </c>
      <c r="B2075" s="10">
        <v>44813</v>
      </c>
      <c r="C2075" s="11"/>
      <c r="D2075" s="53">
        <v>37</v>
      </c>
      <c r="E2075" s="13" t="s">
        <v>2547</v>
      </c>
      <c r="F2075" s="13">
        <v>3025459</v>
      </c>
      <c r="G2075" s="14">
        <v>19867</v>
      </c>
      <c r="H2075" s="15">
        <v>7800</v>
      </c>
      <c r="I2075" s="16">
        <f t="shared" si="306"/>
        <v>154962600</v>
      </c>
      <c r="J2075" s="17">
        <v>42</v>
      </c>
      <c r="K2075" s="34">
        <v>4502408608</v>
      </c>
      <c r="L2075" s="19">
        <v>5083614119</v>
      </c>
      <c r="M2075" s="20">
        <v>5113575951</v>
      </c>
      <c r="N2075" s="23" t="s">
        <v>37</v>
      </c>
      <c r="O2075" s="22" t="s">
        <v>1057</v>
      </c>
      <c r="P2075" s="23"/>
      <c r="Q2075" s="24" t="s">
        <v>31</v>
      </c>
      <c r="R2075" s="25">
        <v>44813</v>
      </c>
      <c r="S2075" s="28">
        <v>4902343228</v>
      </c>
      <c r="T2075" s="28">
        <v>4792500</v>
      </c>
      <c r="U2075" s="28" t="s">
        <v>2548</v>
      </c>
      <c r="V2075" s="29">
        <v>5113576758</v>
      </c>
      <c r="W2075" s="35"/>
      <c r="X2075" s="29"/>
      <c r="Y2075" s="36"/>
      <c r="Z2075" s="29"/>
      <c r="AA2075" s="31">
        <f t="shared" si="1"/>
        <v>44813</v>
      </c>
      <c r="AB2075" s="32" t="str">
        <f t="shared" si="5"/>
        <v>septiembre</v>
      </c>
    </row>
    <row r="2076" spans="1:28" ht="12.75">
      <c r="A2076" s="22" t="s">
        <v>719</v>
      </c>
      <c r="B2076" s="10">
        <v>44814</v>
      </c>
      <c r="C2076" s="11">
        <v>44817</v>
      </c>
      <c r="D2076" s="53">
        <v>37</v>
      </c>
      <c r="E2076" s="13" t="s">
        <v>2549</v>
      </c>
      <c r="F2076" s="13">
        <v>3025457</v>
      </c>
      <c r="G2076" s="37">
        <v>6488.5</v>
      </c>
      <c r="H2076" s="33">
        <v>8000</v>
      </c>
      <c r="I2076" s="16">
        <f t="shared" si="306"/>
        <v>51908000</v>
      </c>
      <c r="J2076" s="17">
        <v>15</v>
      </c>
      <c r="K2076" s="34">
        <v>4502406477</v>
      </c>
      <c r="L2076" s="19">
        <v>5083613883</v>
      </c>
      <c r="M2076" s="20">
        <v>5113576217</v>
      </c>
      <c r="N2076" s="23"/>
      <c r="O2076" s="9" t="s">
        <v>37</v>
      </c>
      <c r="P2076" s="23"/>
      <c r="Q2076" s="24" t="s">
        <v>31</v>
      </c>
      <c r="R2076" s="25">
        <v>44814</v>
      </c>
      <c r="S2076" s="28"/>
      <c r="T2076" s="35"/>
      <c r="U2076" s="35"/>
      <c r="V2076" s="29"/>
      <c r="W2076" s="35"/>
      <c r="X2076" s="29"/>
      <c r="Y2076" s="36"/>
      <c r="Z2076" s="29"/>
      <c r="AA2076" s="31">
        <f t="shared" si="1"/>
        <v>44814</v>
      </c>
      <c r="AB2076" s="32" t="str">
        <f t="shared" si="5"/>
        <v>septiembre</v>
      </c>
    </row>
    <row r="2077" spans="1:28" ht="12.75">
      <c r="A2077" s="22" t="s">
        <v>719</v>
      </c>
      <c r="B2077" s="10">
        <v>44814</v>
      </c>
      <c r="C2077" s="11">
        <v>44817</v>
      </c>
      <c r="D2077" s="53">
        <v>37</v>
      </c>
      <c r="E2077" s="13" t="s">
        <v>244</v>
      </c>
      <c r="F2077" s="13">
        <v>3025457</v>
      </c>
      <c r="G2077" s="37">
        <v>6488.5</v>
      </c>
      <c r="H2077" s="33">
        <f>8000-7993.97</f>
        <v>6.0299999999997453</v>
      </c>
      <c r="I2077" s="16">
        <f>-H2077*G2077</f>
        <v>-39125.654999998347</v>
      </c>
      <c r="J2077" s="17">
        <v>0</v>
      </c>
      <c r="K2077" s="34">
        <v>4502406477</v>
      </c>
      <c r="L2077" s="19">
        <v>5083613883</v>
      </c>
      <c r="M2077" s="20">
        <v>5113576218</v>
      </c>
      <c r="N2077" s="23"/>
      <c r="O2077" s="9"/>
      <c r="P2077" s="23"/>
      <c r="Q2077" s="24" t="s">
        <v>31</v>
      </c>
      <c r="R2077" s="25">
        <v>44814</v>
      </c>
      <c r="S2077" s="28"/>
      <c r="T2077" s="35"/>
      <c r="U2077" s="35"/>
      <c r="V2077" s="29"/>
      <c r="W2077" s="35"/>
      <c r="X2077" s="29"/>
      <c r="Y2077" s="36"/>
      <c r="Z2077" s="29"/>
      <c r="AA2077" s="31">
        <f t="shared" si="1"/>
        <v>44814</v>
      </c>
      <c r="AB2077" s="32" t="str">
        <f t="shared" si="5"/>
        <v>septiembre</v>
      </c>
    </row>
    <row r="2078" spans="1:28" ht="12.75">
      <c r="A2078" s="9" t="s">
        <v>58</v>
      </c>
      <c r="B2078" s="10">
        <v>44818</v>
      </c>
      <c r="C2078" s="11">
        <v>44818</v>
      </c>
      <c r="D2078" s="53">
        <v>37</v>
      </c>
      <c r="E2078" s="13" t="s">
        <v>2550</v>
      </c>
      <c r="F2078" s="13">
        <v>3025457</v>
      </c>
      <c r="G2078" s="14">
        <v>35970</v>
      </c>
      <c r="H2078" s="33">
        <v>8450</v>
      </c>
      <c r="I2078" s="16">
        <f>H2078*G2078</f>
        <v>303946500</v>
      </c>
      <c r="J2078" s="17">
        <v>75</v>
      </c>
      <c r="K2078" s="34">
        <v>4502406478</v>
      </c>
      <c r="L2078" s="19">
        <v>5083613884</v>
      </c>
      <c r="M2078" s="20">
        <v>5113582550</v>
      </c>
      <c r="N2078" s="23"/>
      <c r="O2078" s="9" t="s">
        <v>37</v>
      </c>
      <c r="P2078" s="23"/>
      <c r="Q2078" s="24" t="s">
        <v>31</v>
      </c>
      <c r="R2078" s="25">
        <v>44814</v>
      </c>
      <c r="S2078" s="28"/>
      <c r="T2078" s="35"/>
      <c r="U2078" s="35"/>
      <c r="V2078" s="29"/>
      <c r="W2078" s="35"/>
      <c r="X2078" s="29"/>
      <c r="Y2078" s="36"/>
      <c r="Z2078" s="29"/>
      <c r="AA2078" s="31">
        <f t="shared" si="1"/>
        <v>44814</v>
      </c>
      <c r="AB2078" s="32" t="str">
        <f t="shared" si="5"/>
        <v>septiembre</v>
      </c>
    </row>
    <row r="2079" spans="1:28" ht="12.75">
      <c r="A2079" s="9" t="s">
        <v>58</v>
      </c>
      <c r="B2079" s="10">
        <v>44818</v>
      </c>
      <c r="C2079" s="11">
        <v>44818</v>
      </c>
      <c r="D2079" s="53">
        <v>37</v>
      </c>
      <c r="E2079" s="13" t="s">
        <v>249</v>
      </c>
      <c r="F2079" s="13">
        <v>3025457</v>
      </c>
      <c r="G2079" s="14">
        <v>35970</v>
      </c>
      <c r="H2079" s="33">
        <f>8450-8433.24</f>
        <v>16.760000000000218</v>
      </c>
      <c r="I2079" s="16">
        <f>-H2079*G2079</f>
        <v>-602857.20000000787</v>
      </c>
      <c r="J2079" s="17">
        <v>0</v>
      </c>
      <c r="K2079" s="34">
        <v>4502406478</v>
      </c>
      <c r="L2079" s="19">
        <v>5083613884</v>
      </c>
      <c r="M2079" s="20">
        <v>5113582552</v>
      </c>
      <c r="N2079" s="23"/>
      <c r="O2079" s="9"/>
      <c r="P2079" s="23"/>
      <c r="Q2079" s="24" t="s">
        <v>31</v>
      </c>
      <c r="R2079" s="25">
        <v>44814</v>
      </c>
      <c r="S2079" s="28"/>
      <c r="T2079" s="35"/>
      <c r="U2079" s="35"/>
      <c r="V2079" s="29"/>
      <c r="W2079" s="35"/>
      <c r="X2079" s="29"/>
      <c r="Y2079" s="36"/>
      <c r="Z2079" s="29"/>
      <c r="AA2079" s="31">
        <f t="shared" si="1"/>
        <v>44814</v>
      </c>
      <c r="AB2079" s="32" t="str">
        <f t="shared" si="5"/>
        <v>septiembre</v>
      </c>
    </row>
    <row r="2080" spans="1:28" ht="12.75">
      <c r="A2080" s="9" t="s">
        <v>976</v>
      </c>
      <c r="B2080" s="10">
        <v>44813</v>
      </c>
      <c r="C2080" s="11"/>
      <c r="D2080" s="53">
        <v>37</v>
      </c>
      <c r="E2080" s="13" t="s">
        <v>2551</v>
      </c>
      <c r="F2080" s="13">
        <v>3025457</v>
      </c>
      <c r="G2080" s="14">
        <v>14814</v>
      </c>
      <c r="H2080" s="15">
        <v>7600</v>
      </c>
      <c r="I2080" s="16">
        <f t="shared" ref="I2080:I2081" si="307">H2080*G2080</f>
        <v>112586400</v>
      </c>
      <c r="J2080" s="17">
        <v>28</v>
      </c>
      <c r="K2080" s="34">
        <v>4502408609</v>
      </c>
      <c r="L2080" s="19">
        <v>5083614120</v>
      </c>
      <c r="M2080" s="20">
        <v>5113579457</v>
      </c>
      <c r="N2080" s="23" t="s">
        <v>37</v>
      </c>
      <c r="O2080" s="22" t="s">
        <v>1367</v>
      </c>
      <c r="P2080" s="23"/>
      <c r="Q2080" s="24" t="s">
        <v>31</v>
      </c>
      <c r="R2080" s="25">
        <v>44814</v>
      </c>
      <c r="S2080" s="28">
        <v>4902343230</v>
      </c>
      <c r="T2080" s="35">
        <f>3562300*2</f>
        <v>7124600</v>
      </c>
      <c r="U2080" s="28" t="s">
        <v>2552</v>
      </c>
      <c r="V2080" s="29"/>
      <c r="W2080" s="35"/>
      <c r="X2080" s="29"/>
      <c r="Y2080" s="36"/>
      <c r="Z2080" s="29"/>
      <c r="AA2080" s="31">
        <f t="shared" si="1"/>
        <v>44814</v>
      </c>
      <c r="AB2080" s="32" t="str">
        <f t="shared" si="5"/>
        <v>septiembre</v>
      </c>
    </row>
    <row r="2081" spans="1:28" ht="12.75">
      <c r="A2081" s="9" t="s">
        <v>46</v>
      </c>
      <c r="B2081" s="10">
        <v>44814</v>
      </c>
      <c r="C2081" s="11">
        <v>44817</v>
      </c>
      <c r="D2081" s="53">
        <v>37</v>
      </c>
      <c r="E2081" s="13" t="s">
        <v>2553</v>
      </c>
      <c r="F2081" s="13">
        <v>3025457</v>
      </c>
      <c r="G2081" s="37">
        <v>24780.5</v>
      </c>
      <c r="H2081" s="33">
        <v>8100</v>
      </c>
      <c r="I2081" s="16">
        <f t="shared" si="307"/>
        <v>200722050</v>
      </c>
      <c r="J2081" s="17">
        <v>57</v>
      </c>
      <c r="K2081" s="34">
        <v>4502406479</v>
      </c>
      <c r="L2081" s="19">
        <v>5083614023</v>
      </c>
      <c r="M2081" s="20">
        <v>5113575991</v>
      </c>
      <c r="N2081" s="23"/>
      <c r="O2081" s="9" t="s">
        <v>37</v>
      </c>
      <c r="P2081" s="23"/>
      <c r="Q2081" s="24" t="s">
        <v>31</v>
      </c>
      <c r="R2081" s="25">
        <v>44814</v>
      </c>
      <c r="S2081" s="28"/>
      <c r="T2081" s="35"/>
      <c r="U2081" s="35"/>
      <c r="V2081" s="29"/>
      <c r="W2081" s="35"/>
      <c r="X2081" s="29"/>
      <c r="Y2081" s="36"/>
      <c r="Z2081" s="29"/>
      <c r="AA2081" s="31">
        <f t="shared" si="1"/>
        <v>44814</v>
      </c>
      <c r="AB2081" s="32" t="str">
        <f t="shared" si="5"/>
        <v>septiembre</v>
      </c>
    </row>
    <row r="2082" spans="1:28" ht="12.75">
      <c r="A2082" s="9" t="s">
        <v>46</v>
      </c>
      <c r="B2082" s="10">
        <v>44814</v>
      </c>
      <c r="C2082" s="11">
        <v>44817</v>
      </c>
      <c r="D2082" s="53">
        <v>37</v>
      </c>
      <c r="E2082" s="13" t="s">
        <v>79</v>
      </c>
      <c r="F2082" s="13">
        <v>3025457</v>
      </c>
      <c r="G2082" s="37">
        <v>24780.5</v>
      </c>
      <c r="H2082" s="33">
        <f>8100-8084.61</f>
        <v>15.390000000000327</v>
      </c>
      <c r="I2082" s="16">
        <f>-H2082*G2082</f>
        <v>-381371.89500000811</v>
      </c>
      <c r="J2082" s="17">
        <v>0</v>
      </c>
      <c r="K2082" s="34">
        <v>4502406479</v>
      </c>
      <c r="L2082" s="19">
        <v>5083614023</v>
      </c>
      <c r="M2082" s="20">
        <v>5113575993</v>
      </c>
      <c r="N2082" s="23"/>
      <c r="O2082" s="9"/>
      <c r="P2082" s="23"/>
      <c r="Q2082" s="24" t="s">
        <v>31</v>
      </c>
      <c r="R2082" s="25">
        <v>44814</v>
      </c>
      <c r="S2082" s="28"/>
      <c r="T2082" s="35"/>
      <c r="U2082" s="35"/>
      <c r="V2082" s="29"/>
      <c r="W2082" s="35"/>
      <c r="X2082" s="29"/>
      <c r="Y2082" s="36"/>
      <c r="Z2082" s="29"/>
      <c r="AA2082" s="31">
        <f t="shared" si="1"/>
        <v>44814</v>
      </c>
      <c r="AB2082" s="32" t="str">
        <f t="shared" si="5"/>
        <v>septiembre</v>
      </c>
    </row>
    <row r="2083" spans="1:28" ht="12.75">
      <c r="A2083" s="9" t="s">
        <v>633</v>
      </c>
      <c r="B2083" s="10">
        <v>44819</v>
      </c>
      <c r="C2083" s="11"/>
      <c r="D2083" s="53">
        <v>37</v>
      </c>
      <c r="E2083" s="13" t="s">
        <v>2554</v>
      </c>
      <c r="F2083" s="13">
        <v>3025457</v>
      </c>
      <c r="G2083" s="37">
        <v>6127.5</v>
      </c>
      <c r="H2083" s="33">
        <v>8000</v>
      </c>
      <c r="I2083" s="16">
        <f t="shared" ref="I2083:I2086" si="308">H2083*G2083</f>
        <v>49020000</v>
      </c>
      <c r="J2083" s="17">
        <v>14</v>
      </c>
      <c r="K2083" s="34">
        <v>4502406480</v>
      </c>
      <c r="L2083" s="19">
        <v>5083620824</v>
      </c>
      <c r="M2083" s="20">
        <v>5113585179</v>
      </c>
      <c r="N2083" s="23"/>
      <c r="O2083" s="9" t="s">
        <v>37</v>
      </c>
      <c r="P2083" s="23"/>
      <c r="Q2083" s="24" t="s">
        <v>31</v>
      </c>
      <c r="R2083" s="25">
        <v>44815</v>
      </c>
      <c r="S2083" s="28"/>
      <c r="T2083" s="35"/>
      <c r="U2083" s="35"/>
      <c r="V2083" s="29"/>
      <c r="W2083" s="35"/>
      <c r="X2083" s="29"/>
      <c r="Y2083" s="36"/>
      <c r="Z2083" s="29"/>
      <c r="AA2083" s="31">
        <f t="shared" si="1"/>
        <v>44815</v>
      </c>
      <c r="AB2083" s="32" t="str">
        <f t="shared" si="5"/>
        <v>septiembre</v>
      </c>
    </row>
    <row r="2084" spans="1:28" ht="12.75">
      <c r="A2084" s="22" t="s">
        <v>2555</v>
      </c>
      <c r="B2084" s="10">
        <v>44815</v>
      </c>
      <c r="C2084" s="11"/>
      <c r="D2084" s="53">
        <v>37</v>
      </c>
      <c r="E2084" s="13" t="s">
        <v>2556</v>
      </c>
      <c r="F2084" s="13">
        <v>3025457</v>
      </c>
      <c r="G2084" s="37">
        <v>5953.5</v>
      </c>
      <c r="H2084" s="33">
        <v>8100</v>
      </c>
      <c r="I2084" s="16">
        <f t="shared" si="308"/>
        <v>48223350</v>
      </c>
      <c r="J2084" s="17">
        <v>14</v>
      </c>
      <c r="K2084" s="34">
        <v>4502411659</v>
      </c>
      <c r="L2084" s="19">
        <v>5083672043</v>
      </c>
      <c r="M2084" s="20">
        <v>5113581873</v>
      </c>
      <c r="N2084" s="23"/>
      <c r="O2084" s="9" t="s">
        <v>37</v>
      </c>
      <c r="P2084" s="23"/>
      <c r="Q2084" s="24" t="s">
        <v>31</v>
      </c>
      <c r="R2084" s="25">
        <v>44815</v>
      </c>
      <c r="S2084" s="28"/>
      <c r="T2084" s="35"/>
      <c r="U2084" s="35"/>
      <c r="V2084" s="29"/>
      <c r="W2084" s="35"/>
      <c r="X2084" s="29"/>
      <c r="Y2084" s="36"/>
      <c r="Z2084" s="29"/>
      <c r="AA2084" s="31">
        <f t="shared" si="1"/>
        <v>44815</v>
      </c>
      <c r="AB2084" s="32" t="str">
        <f t="shared" si="5"/>
        <v>septiembre</v>
      </c>
    </row>
    <row r="2085" spans="1:28" ht="12.75">
      <c r="A2085" s="22" t="s">
        <v>2555</v>
      </c>
      <c r="B2085" s="10">
        <v>44815</v>
      </c>
      <c r="C2085" s="11"/>
      <c r="D2085" s="53">
        <v>37</v>
      </c>
      <c r="E2085" s="13" t="s">
        <v>1448</v>
      </c>
      <c r="F2085" s="13">
        <v>3025457</v>
      </c>
      <c r="G2085" s="37">
        <v>5953.5</v>
      </c>
      <c r="H2085" s="33">
        <f>8293.33-8100</f>
        <v>193.32999999999993</v>
      </c>
      <c r="I2085" s="16">
        <f t="shared" si="308"/>
        <v>1150990.1549999996</v>
      </c>
      <c r="J2085" s="17">
        <v>0</v>
      </c>
      <c r="K2085" s="34">
        <v>4502411659</v>
      </c>
      <c r="L2085" s="19">
        <v>5083672043</v>
      </c>
      <c r="M2085" s="20">
        <v>5113581875</v>
      </c>
      <c r="N2085" s="23"/>
      <c r="O2085" s="9"/>
      <c r="P2085" s="23"/>
      <c r="Q2085" s="24" t="s">
        <v>31</v>
      </c>
      <c r="R2085" s="25">
        <v>44815</v>
      </c>
      <c r="S2085" s="28"/>
      <c r="T2085" s="35"/>
      <c r="U2085" s="35"/>
      <c r="V2085" s="29"/>
      <c r="W2085" s="35"/>
      <c r="X2085" s="29"/>
      <c r="Y2085" s="36"/>
      <c r="Z2085" s="29"/>
      <c r="AA2085" s="31">
        <f t="shared" si="1"/>
        <v>44815</v>
      </c>
      <c r="AB2085" s="32" t="str">
        <f t="shared" si="5"/>
        <v>septiembre</v>
      </c>
    </row>
    <row r="2086" spans="1:28" ht="12.75">
      <c r="A2086" s="9" t="s">
        <v>242</v>
      </c>
      <c r="B2086" s="10">
        <v>44815</v>
      </c>
      <c r="C2086" s="11"/>
      <c r="D2086" s="53">
        <v>37</v>
      </c>
      <c r="E2086" s="13" t="s">
        <v>1777</v>
      </c>
      <c r="F2086" s="13">
        <v>3025457</v>
      </c>
      <c r="G2086" s="37">
        <v>4017.5</v>
      </c>
      <c r="H2086" s="33">
        <v>8000</v>
      </c>
      <c r="I2086" s="16">
        <f t="shared" si="308"/>
        <v>32140000</v>
      </c>
      <c r="J2086" s="17">
        <v>14</v>
      </c>
      <c r="K2086" s="34">
        <v>4502406482</v>
      </c>
      <c r="L2086" s="19">
        <v>5083620826</v>
      </c>
      <c r="M2086" s="20">
        <v>5113583287</v>
      </c>
      <c r="N2086" s="23"/>
      <c r="O2086" s="9" t="s">
        <v>37</v>
      </c>
      <c r="P2086" s="23"/>
      <c r="Q2086" s="24" t="s">
        <v>31</v>
      </c>
      <c r="R2086" s="25">
        <v>44815</v>
      </c>
      <c r="S2086" s="28"/>
      <c r="T2086" s="35"/>
      <c r="U2086" s="35"/>
      <c r="V2086" s="29"/>
      <c r="W2086" s="35"/>
      <c r="X2086" s="29"/>
      <c r="Y2086" s="36"/>
      <c r="Z2086" s="29"/>
      <c r="AA2086" s="31">
        <f t="shared" si="1"/>
        <v>44815</v>
      </c>
      <c r="AB2086" s="32" t="str">
        <f t="shared" si="5"/>
        <v>septiembre</v>
      </c>
    </row>
    <row r="2087" spans="1:28" ht="12.75">
      <c r="A2087" s="9" t="s">
        <v>242</v>
      </c>
      <c r="B2087" s="10">
        <v>44815</v>
      </c>
      <c r="C2087" s="11"/>
      <c r="D2087" s="53">
        <v>37</v>
      </c>
      <c r="E2087" s="13" t="s">
        <v>427</v>
      </c>
      <c r="F2087" s="13">
        <v>3025457</v>
      </c>
      <c r="G2087" s="37">
        <v>4017.5</v>
      </c>
      <c r="H2087" s="33">
        <f>8000-7969.65</f>
        <v>30.350000000000364</v>
      </c>
      <c r="I2087" s="16">
        <f>-H2087*G2087</f>
        <v>-121931.12500000146</v>
      </c>
      <c r="J2087" s="17">
        <v>0</v>
      </c>
      <c r="K2087" s="34">
        <v>4502406482</v>
      </c>
      <c r="L2087" s="19">
        <v>5083620826</v>
      </c>
      <c r="M2087" s="20">
        <v>5113583291</v>
      </c>
      <c r="N2087" s="23"/>
      <c r="O2087" s="9"/>
      <c r="P2087" s="23"/>
      <c r="Q2087" s="24" t="s">
        <v>31</v>
      </c>
      <c r="R2087" s="25">
        <v>44815</v>
      </c>
      <c r="S2087" s="28"/>
      <c r="T2087" s="35"/>
      <c r="U2087" s="35"/>
      <c r="V2087" s="29"/>
      <c r="W2087" s="35"/>
      <c r="X2087" s="29"/>
      <c r="Y2087" s="36"/>
      <c r="Z2087" s="29"/>
      <c r="AA2087" s="31">
        <f t="shared" si="1"/>
        <v>44815</v>
      </c>
      <c r="AB2087" s="32" t="str">
        <f t="shared" si="5"/>
        <v>septiembre</v>
      </c>
    </row>
    <row r="2088" spans="1:28" ht="12.75">
      <c r="A2088" s="22" t="s">
        <v>2557</v>
      </c>
      <c r="B2088" s="10">
        <v>44816</v>
      </c>
      <c r="C2088" s="11"/>
      <c r="D2088" s="53">
        <v>37</v>
      </c>
      <c r="E2088" s="13" t="s">
        <v>2558</v>
      </c>
      <c r="F2088" s="13">
        <v>3025457</v>
      </c>
      <c r="G2088" s="14">
        <v>6852</v>
      </c>
      <c r="H2088" s="33">
        <v>8100</v>
      </c>
      <c r="I2088" s="16">
        <f>H2088*G2088</f>
        <v>55501200</v>
      </c>
      <c r="J2088" s="17">
        <v>15</v>
      </c>
      <c r="K2088" s="34">
        <v>4502406483</v>
      </c>
      <c r="L2088" s="19">
        <v>5083621751</v>
      </c>
      <c r="M2088" s="20">
        <v>5113597681</v>
      </c>
      <c r="N2088" s="23"/>
      <c r="O2088" s="9" t="s">
        <v>37</v>
      </c>
      <c r="P2088" s="23"/>
      <c r="Q2088" s="24" t="s">
        <v>31</v>
      </c>
      <c r="R2088" s="25">
        <v>44815</v>
      </c>
      <c r="S2088" s="28"/>
      <c r="T2088" s="35"/>
      <c r="U2088" s="35"/>
      <c r="V2088" s="29"/>
      <c r="W2088" s="35"/>
      <c r="X2088" s="29"/>
      <c r="Y2088" s="36"/>
      <c r="Z2088" s="29"/>
      <c r="AA2088" s="31">
        <f t="shared" si="1"/>
        <v>44815</v>
      </c>
      <c r="AB2088" s="32" t="str">
        <f t="shared" si="5"/>
        <v>septiembre</v>
      </c>
    </row>
    <row r="2089" spans="1:28" ht="12.75">
      <c r="A2089" s="22" t="s">
        <v>2557</v>
      </c>
      <c r="B2089" s="10">
        <v>44820</v>
      </c>
      <c r="C2089" s="11"/>
      <c r="D2089" s="53">
        <v>37</v>
      </c>
      <c r="E2089" s="13" t="s">
        <v>2559</v>
      </c>
      <c r="F2089" s="13">
        <v>3025457</v>
      </c>
      <c r="G2089" s="14">
        <v>6852</v>
      </c>
      <c r="H2089" s="33">
        <f>8100-8074.58</f>
        <v>25.420000000000073</v>
      </c>
      <c r="I2089" s="16">
        <f>-H2089*G2089</f>
        <v>-174177.84000000049</v>
      </c>
      <c r="J2089" s="17">
        <v>0</v>
      </c>
      <c r="K2089" s="34">
        <v>4502406483</v>
      </c>
      <c r="L2089" s="19">
        <v>5083621751</v>
      </c>
      <c r="M2089" s="20">
        <v>5113597682</v>
      </c>
      <c r="N2089" s="23"/>
      <c r="O2089" s="9"/>
      <c r="P2089" s="23"/>
      <c r="Q2089" s="24" t="s">
        <v>31</v>
      </c>
      <c r="R2089" s="25">
        <v>44815</v>
      </c>
      <c r="S2089" s="28"/>
      <c r="T2089" s="35"/>
      <c r="U2089" s="35"/>
      <c r="V2089" s="29"/>
      <c r="W2089" s="35"/>
      <c r="X2089" s="29"/>
      <c r="Y2089" s="36"/>
      <c r="Z2089" s="29"/>
      <c r="AA2089" s="31">
        <f t="shared" si="1"/>
        <v>44815</v>
      </c>
      <c r="AB2089" s="32" t="str">
        <f t="shared" si="5"/>
        <v>septiembre</v>
      </c>
    </row>
    <row r="2090" spans="1:28" ht="12.75">
      <c r="A2090" s="9" t="s">
        <v>338</v>
      </c>
      <c r="B2090" s="10">
        <v>44818</v>
      </c>
      <c r="C2090" s="11"/>
      <c r="D2090" s="53">
        <v>37</v>
      </c>
      <c r="E2090" s="13" t="s">
        <v>2560</v>
      </c>
      <c r="F2090" s="13">
        <v>3025457</v>
      </c>
      <c r="G2090" s="37">
        <v>6512.5</v>
      </c>
      <c r="H2090" s="33">
        <v>8100</v>
      </c>
      <c r="I2090" s="16">
        <f>H2090*G2090</f>
        <v>52751250</v>
      </c>
      <c r="J2090" s="17">
        <v>14</v>
      </c>
      <c r="K2090" s="34">
        <v>4502406484</v>
      </c>
      <c r="L2090" s="19">
        <v>5083620827</v>
      </c>
      <c r="M2090" s="20">
        <v>5113582857</v>
      </c>
      <c r="N2090" s="44"/>
      <c r="O2090" s="23" t="s">
        <v>63</v>
      </c>
      <c r="P2090" s="23"/>
      <c r="Q2090" s="24" t="s">
        <v>31</v>
      </c>
      <c r="R2090" s="25">
        <v>44815</v>
      </c>
      <c r="S2090" s="28"/>
      <c r="T2090" s="35"/>
      <c r="U2090" s="35"/>
      <c r="V2090" s="29"/>
      <c r="W2090" s="35"/>
      <c r="X2090" s="29"/>
      <c r="Y2090" s="36"/>
      <c r="Z2090" s="29"/>
      <c r="AA2090" s="31">
        <f t="shared" si="1"/>
        <v>44815</v>
      </c>
      <c r="AB2090" s="32" t="str">
        <f t="shared" si="5"/>
        <v>septiembre</v>
      </c>
    </row>
    <row r="2091" spans="1:28" ht="12.75">
      <c r="A2091" s="9" t="s">
        <v>338</v>
      </c>
      <c r="B2091" s="10">
        <v>44818</v>
      </c>
      <c r="C2091" s="11"/>
      <c r="D2091" s="53">
        <v>37</v>
      </c>
      <c r="E2091" s="13" t="s">
        <v>2561</v>
      </c>
      <c r="F2091" s="13">
        <v>3025457</v>
      </c>
      <c r="G2091" s="37">
        <v>6512.5</v>
      </c>
      <c r="H2091" s="33">
        <v>100</v>
      </c>
      <c r="I2091" s="16">
        <f>-H2091*G2091</f>
        <v>-651250</v>
      </c>
      <c r="J2091" s="17">
        <v>0</v>
      </c>
      <c r="K2091" s="34">
        <v>4502406484</v>
      </c>
      <c r="L2091" s="19">
        <v>5083620827</v>
      </c>
      <c r="M2091" s="20">
        <v>5113582859</v>
      </c>
      <c r="N2091" s="23"/>
      <c r="O2091" s="9"/>
      <c r="P2091" s="23"/>
      <c r="Q2091" s="24" t="s">
        <v>31</v>
      </c>
      <c r="R2091" s="25">
        <v>44815</v>
      </c>
      <c r="S2091" s="28"/>
      <c r="T2091" s="35"/>
      <c r="U2091" s="35"/>
      <c r="V2091" s="29"/>
      <c r="W2091" s="35"/>
      <c r="X2091" s="29"/>
      <c r="Y2091" s="36"/>
      <c r="Z2091" s="29"/>
      <c r="AA2091" s="31">
        <f t="shared" si="1"/>
        <v>44815</v>
      </c>
      <c r="AB2091" s="32" t="str">
        <f t="shared" si="5"/>
        <v>septiembre</v>
      </c>
    </row>
    <row r="2092" spans="1:28" ht="12.75">
      <c r="A2092" s="9" t="s">
        <v>1102</v>
      </c>
      <c r="B2092" s="10">
        <v>44819</v>
      </c>
      <c r="C2092" s="11">
        <v>44820</v>
      </c>
      <c r="D2092" s="53">
        <v>37</v>
      </c>
      <c r="E2092" s="13" t="s">
        <v>2562</v>
      </c>
      <c r="F2092" s="13">
        <v>3025457</v>
      </c>
      <c r="G2092" s="37">
        <v>6243.5</v>
      </c>
      <c r="H2092" s="33">
        <v>8500</v>
      </c>
      <c r="I2092" s="16">
        <f>H2092*G2092</f>
        <v>53069750</v>
      </c>
      <c r="J2092" s="17">
        <v>15</v>
      </c>
      <c r="K2092" s="34">
        <v>4502406485</v>
      </c>
      <c r="L2092" s="19">
        <v>5083621248</v>
      </c>
      <c r="M2092" s="20">
        <v>5113595072</v>
      </c>
      <c r="N2092" s="23"/>
      <c r="O2092" s="23" t="s">
        <v>382</v>
      </c>
      <c r="P2092" s="23"/>
      <c r="Q2092" s="24" t="s">
        <v>31</v>
      </c>
      <c r="R2092" s="25">
        <v>44815</v>
      </c>
      <c r="S2092" s="28"/>
      <c r="T2092" s="35"/>
      <c r="U2092" s="35"/>
      <c r="V2092" s="29"/>
      <c r="W2092" s="35"/>
      <c r="X2092" s="29"/>
      <c r="Y2092" s="36"/>
      <c r="Z2092" s="29"/>
      <c r="AA2092" s="31">
        <f t="shared" si="1"/>
        <v>44815</v>
      </c>
      <c r="AB2092" s="32" t="str">
        <f t="shared" si="5"/>
        <v>septiembre</v>
      </c>
    </row>
    <row r="2093" spans="1:28" ht="12.75">
      <c r="A2093" s="9" t="s">
        <v>1102</v>
      </c>
      <c r="B2093" s="10">
        <v>44819</v>
      </c>
      <c r="C2093" s="11">
        <v>44820</v>
      </c>
      <c r="D2093" s="53">
        <v>37</v>
      </c>
      <c r="E2093" s="13" t="s">
        <v>2563</v>
      </c>
      <c r="F2093" s="13">
        <v>3025457</v>
      </c>
      <c r="G2093" s="37">
        <v>6243.5</v>
      </c>
      <c r="H2093" s="33">
        <f>8500-8275.38</f>
        <v>224.6200000000008</v>
      </c>
      <c r="I2093" s="16">
        <f>-H2093*G2093</f>
        <v>-1402414.9700000051</v>
      </c>
      <c r="J2093" s="17">
        <v>0</v>
      </c>
      <c r="K2093" s="34">
        <v>4502406485</v>
      </c>
      <c r="L2093" s="19">
        <v>5083621248</v>
      </c>
      <c r="M2093" s="20">
        <v>5113595073</v>
      </c>
      <c r="N2093" s="44"/>
      <c r="O2093" s="9"/>
      <c r="P2093" s="23"/>
      <c r="Q2093" s="24" t="s">
        <v>31</v>
      </c>
      <c r="R2093" s="25">
        <v>44815</v>
      </c>
      <c r="S2093" s="28"/>
      <c r="T2093" s="35"/>
      <c r="U2093" s="35"/>
      <c r="V2093" s="29"/>
      <c r="W2093" s="35"/>
      <c r="X2093" s="29"/>
      <c r="Y2093" s="36"/>
      <c r="Z2093" s="29"/>
      <c r="AA2093" s="31">
        <f t="shared" si="1"/>
        <v>44815</v>
      </c>
      <c r="AB2093" s="32" t="str">
        <f t="shared" si="5"/>
        <v>septiembre</v>
      </c>
    </row>
    <row r="2094" spans="1:28" ht="12.75">
      <c r="A2094" s="9" t="s">
        <v>804</v>
      </c>
      <c r="B2094" s="10">
        <v>44815</v>
      </c>
      <c r="C2094" s="11">
        <v>44818</v>
      </c>
      <c r="D2094" s="53">
        <v>37</v>
      </c>
      <c r="E2094" s="13" t="s">
        <v>2564</v>
      </c>
      <c r="F2094" s="13">
        <v>3025457</v>
      </c>
      <c r="G2094" s="14">
        <v>6039</v>
      </c>
      <c r="H2094" s="33">
        <v>8450</v>
      </c>
      <c r="I2094" s="16">
        <f t="shared" ref="I2094:I2097" si="309">H2094*G2094</f>
        <v>51029550</v>
      </c>
      <c r="J2094" s="17">
        <v>14</v>
      </c>
      <c r="K2094" s="34">
        <v>4502406486</v>
      </c>
      <c r="L2094" s="19">
        <v>5083621249</v>
      </c>
      <c r="M2094" s="20">
        <v>5113579842</v>
      </c>
      <c r="N2094" s="23"/>
      <c r="O2094" s="9" t="s">
        <v>37</v>
      </c>
      <c r="P2094" s="23"/>
      <c r="Q2094" s="24" t="s">
        <v>31</v>
      </c>
      <c r="R2094" s="25">
        <v>44815</v>
      </c>
      <c r="S2094" s="28"/>
      <c r="T2094" s="35"/>
      <c r="U2094" s="35"/>
      <c r="V2094" s="29"/>
      <c r="W2094" s="35"/>
      <c r="X2094" s="29"/>
      <c r="Y2094" s="36"/>
      <c r="Z2094" s="29"/>
      <c r="AA2094" s="31">
        <f t="shared" si="1"/>
        <v>44815</v>
      </c>
      <c r="AB2094" s="32" t="str">
        <f t="shared" si="5"/>
        <v>septiembre</v>
      </c>
    </row>
    <row r="2095" spans="1:28" ht="12.75">
      <c r="A2095" s="9" t="s">
        <v>804</v>
      </c>
      <c r="B2095" s="10">
        <v>44815</v>
      </c>
      <c r="C2095" s="11">
        <v>44818</v>
      </c>
      <c r="D2095" s="53">
        <v>37</v>
      </c>
      <c r="E2095" s="13" t="s">
        <v>130</v>
      </c>
      <c r="F2095" s="13">
        <v>3025457</v>
      </c>
      <c r="G2095" s="14">
        <v>6039</v>
      </c>
      <c r="H2095" s="33">
        <v>100</v>
      </c>
      <c r="I2095" s="16">
        <f t="shared" si="309"/>
        <v>603900</v>
      </c>
      <c r="J2095" s="17">
        <v>0</v>
      </c>
      <c r="K2095" s="34">
        <v>4502406486</v>
      </c>
      <c r="L2095" s="19">
        <v>5083621249</v>
      </c>
      <c r="M2095" s="20">
        <v>5113588583</v>
      </c>
      <c r="N2095" s="23"/>
      <c r="O2095" s="9"/>
      <c r="P2095" s="23"/>
      <c r="Q2095" s="24" t="s">
        <v>31</v>
      </c>
      <c r="R2095" s="25">
        <v>44815</v>
      </c>
      <c r="S2095" s="28"/>
      <c r="T2095" s="35"/>
      <c r="U2095" s="35"/>
      <c r="V2095" s="29"/>
      <c r="W2095" s="35"/>
      <c r="X2095" s="29"/>
      <c r="Y2095" s="36"/>
      <c r="Z2095" s="29"/>
      <c r="AA2095" s="31">
        <f t="shared" si="1"/>
        <v>44815</v>
      </c>
      <c r="AB2095" s="32" t="str">
        <f t="shared" si="5"/>
        <v>septiembre</v>
      </c>
    </row>
    <row r="2096" spans="1:28" ht="12.75">
      <c r="A2096" s="9" t="s">
        <v>196</v>
      </c>
      <c r="B2096" s="10">
        <v>44815</v>
      </c>
      <c r="C2096" s="11"/>
      <c r="D2096" s="53">
        <v>37</v>
      </c>
      <c r="E2096" s="13" t="s">
        <v>2565</v>
      </c>
      <c r="F2096" s="13">
        <v>3025459</v>
      </c>
      <c r="G2096" s="14">
        <v>28943</v>
      </c>
      <c r="H2096" s="15">
        <v>7800</v>
      </c>
      <c r="I2096" s="16">
        <f t="shared" si="309"/>
        <v>225755400</v>
      </c>
      <c r="J2096" s="17">
        <v>56</v>
      </c>
      <c r="K2096" s="34">
        <v>4502408610</v>
      </c>
      <c r="L2096" s="19">
        <v>5083614122</v>
      </c>
      <c r="M2096" s="20">
        <v>5113574667</v>
      </c>
      <c r="N2096" s="23"/>
      <c r="O2096" s="22" t="s">
        <v>1003</v>
      </c>
      <c r="P2096" s="23"/>
      <c r="Q2096" s="24" t="s">
        <v>31</v>
      </c>
      <c r="R2096" s="25">
        <v>44815</v>
      </c>
      <c r="S2096" s="28">
        <v>4902343231</v>
      </c>
      <c r="T2096" s="35">
        <f>1771100*4</f>
        <v>7084400</v>
      </c>
      <c r="U2096" s="28" t="s">
        <v>2566</v>
      </c>
      <c r="V2096" s="29">
        <v>5113576541</v>
      </c>
      <c r="W2096" s="35"/>
      <c r="X2096" s="29"/>
      <c r="Y2096" s="36"/>
      <c r="Z2096" s="29"/>
      <c r="AA2096" s="31">
        <f t="shared" si="1"/>
        <v>44815</v>
      </c>
      <c r="AB2096" s="32" t="str">
        <f t="shared" si="5"/>
        <v>septiembre</v>
      </c>
    </row>
    <row r="2097" spans="1:28" ht="12.75">
      <c r="A2097" s="22" t="s">
        <v>501</v>
      </c>
      <c r="B2097" s="10">
        <v>44818</v>
      </c>
      <c r="C2097" s="11"/>
      <c r="D2097" s="53">
        <v>37</v>
      </c>
      <c r="E2097" s="13" t="s">
        <v>2567</v>
      </c>
      <c r="F2097" s="13">
        <v>3025460</v>
      </c>
      <c r="G2097" s="37">
        <v>6747.5</v>
      </c>
      <c r="H2097" s="33">
        <v>8100</v>
      </c>
      <c r="I2097" s="16">
        <f t="shared" si="309"/>
        <v>54654750</v>
      </c>
      <c r="J2097" s="17">
        <v>14</v>
      </c>
      <c r="K2097" s="34">
        <v>4502406487</v>
      </c>
      <c r="L2097" s="19">
        <v>5083621250</v>
      </c>
      <c r="M2097" s="20">
        <v>5113580757</v>
      </c>
      <c r="N2097" s="128"/>
      <c r="O2097" s="9" t="s">
        <v>37</v>
      </c>
      <c r="P2097" s="23"/>
      <c r="Q2097" s="24" t="s">
        <v>31</v>
      </c>
      <c r="R2097" s="25">
        <v>44815</v>
      </c>
      <c r="S2097" s="28"/>
      <c r="T2097" s="35"/>
      <c r="U2097" s="35"/>
      <c r="V2097" s="29"/>
      <c r="W2097" s="35"/>
      <c r="X2097" s="29"/>
      <c r="Y2097" s="36"/>
      <c r="Z2097" s="29"/>
      <c r="AA2097" s="31">
        <f t="shared" si="1"/>
        <v>44815</v>
      </c>
      <c r="AB2097" s="32" t="str">
        <f t="shared" si="5"/>
        <v>septiembre</v>
      </c>
    </row>
    <row r="2098" spans="1:28" ht="12.75">
      <c r="A2098" s="22" t="s">
        <v>501</v>
      </c>
      <c r="B2098" s="10">
        <v>44818</v>
      </c>
      <c r="C2098" s="113"/>
      <c r="D2098" s="76">
        <v>37</v>
      </c>
      <c r="E2098" s="61">
        <v>14</v>
      </c>
      <c r="F2098" s="63">
        <v>3025460</v>
      </c>
      <c r="G2098" s="95">
        <v>6747.5</v>
      </c>
      <c r="H2098" s="63">
        <f>8100-8034.83</f>
        <v>65.170000000000073</v>
      </c>
      <c r="I2098" s="64">
        <f>-H2098*G2098</f>
        <v>-439734.57500000048</v>
      </c>
      <c r="J2098" s="65">
        <v>0</v>
      </c>
      <c r="K2098" s="66">
        <v>4502406487</v>
      </c>
      <c r="L2098" s="19">
        <v>5083621250</v>
      </c>
      <c r="M2098" s="20">
        <v>5113580759</v>
      </c>
      <c r="N2098" s="133"/>
      <c r="O2098" s="68"/>
      <c r="P2098" s="68"/>
      <c r="Q2098" s="129" t="s">
        <v>31</v>
      </c>
      <c r="R2098" s="74">
        <v>44815</v>
      </c>
      <c r="S2098" s="75"/>
      <c r="T2098" s="69"/>
      <c r="U2098" s="70"/>
      <c r="V2098" s="68"/>
      <c r="W2098" s="70"/>
      <c r="X2098" s="68"/>
      <c r="Y2098" s="71"/>
      <c r="Z2098" s="68"/>
      <c r="AA2098" s="130">
        <f t="shared" si="1"/>
        <v>44815</v>
      </c>
      <c r="AB2098" s="131" t="str">
        <f t="shared" si="5"/>
        <v>septiembre</v>
      </c>
    </row>
    <row r="2099" spans="1:28" ht="12.75">
      <c r="A2099" s="9" t="s">
        <v>289</v>
      </c>
      <c r="B2099" s="10">
        <v>44815</v>
      </c>
      <c r="C2099" s="11"/>
      <c r="D2099" s="53">
        <v>37</v>
      </c>
      <c r="E2099" s="13" t="s">
        <v>789</v>
      </c>
      <c r="F2099" s="13">
        <v>3025460</v>
      </c>
      <c r="G2099" s="14">
        <v>7280</v>
      </c>
      <c r="H2099" s="33">
        <v>8500</v>
      </c>
      <c r="I2099" s="16">
        <f>H2099*G2099</f>
        <v>61880000</v>
      </c>
      <c r="J2099" s="17">
        <v>15</v>
      </c>
      <c r="K2099" s="34">
        <v>4502406488</v>
      </c>
      <c r="L2099" s="19">
        <v>5083621251</v>
      </c>
      <c r="M2099" s="20">
        <v>5113582890</v>
      </c>
      <c r="N2099" s="23"/>
      <c r="O2099" s="23" t="s">
        <v>37</v>
      </c>
      <c r="P2099" s="23"/>
      <c r="Q2099" s="24" t="s">
        <v>31</v>
      </c>
      <c r="R2099" s="25">
        <v>44815</v>
      </c>
      <c r="S2099" s="28"/>
      <c r="T2099" s="35"/>
      <c r="U2099" s="35"/>
      <c r="V2099" s="29"/>
      <c r="W2099" s="35"/>
      <c r="X2099" s="29"/>
      <c r="Y2099" s="36"/>
      <c r="Z2099" s="29"/>
      <c r="AA2099" s="31">
        <f t="shared" si="1"/>
        <v>44815</v>
      </c>
      <c r="AB2099" s="32" t="str">
        <f t="shared" si="5"/>
        <v>septiembre</v>
      </c>
    </row>
    <row r="2100" spans="1:28" ht="12.75">
      <c r="A2100" s="9" t="s">
        <v>289</v>
      </c>
      <c r="B2100" s="10">
        <v>44819</v>
      </c>
      <c r="C2100" s="11">
        <v>44819</v>
      </c>
      <c r="D2100" s="53">
        <v>37</v>
      </c>
      <c r="E2100" s="13" t="s">
        <v>2568</v>
      </c>
      <c r="F2100" s="13">
        <v>3025460</v>
      </c>
      <c r="G2100" s="14">
        <v>7280</v>
      </c>
      <c r="H2100" s="33">
        <v>150</v>
      </c>
      <c r="I2100" s="16">
        <f>-H2100*G2100</f>
        <v>-1092000</v>
      </c>
      <c r="J2100" s="17">
        <v>0</v>
      </c>
      <c r="K2100" s="34">
        <v>4502406488</v>
      </c>
      <c r="L2100" s="19">
        <v>5083621251</v>
      </c>
      <c r="M2100" s="20">
        <v>5113582893</v>
      </c>
      <c r="N2100" s="23"/>
      <c r="O2100" s="9"/>
      <c r="P2100" s="23"/>
      <c r="Q2100" s="24" t="s">
        <v>31</v>
      </c>
      <c r="R2100" s="25">
        <v>44815</v>
      </c>
      <c r="S2100" s="28"/>
      <c r="T2100" s="35"/>
      <c r="U2100" s="35"/>
      <c r="V2100" s="29"/>
      <c r="W2100" s="35"/>
      <c r="X2100" s="29"/>
      <c r="Y2100" s="36"/>
      <c r="Z2100" s="29"/>
      <c r="AA2100" s="31">
        <f t="shared" si="1"/>
        <v>44815</v>
      </c>
      <c r="AB2100" s="32" t="str">
        <f t="shared" si="5"/>
        <v>septiembre</v>
      </c>
    </row>
    <row r="2101" spans="1:28" ht="12.75">
      <c r="A2101" s="9" t="s">
        <v>89</v>
      </c>
      <c r="B2101" s="10">
        <v>44815</v>
      </c>
      <c r="C2101" s="11"/>
      <c r="D2101" s="53">
        <v>37</v>
      </c>
      <c r="E2101" s="13" t="s">
        <v>2569</v>
      </c>
      <c r="F2101" s="13">
        <v>3025460</v>
      </c>
      <c r="G2101" s="14">
        <v>15339</v>
      </c>
      <c r="H2101" s="57">
        <v>8000</v>
      </c>
      <c r="I2101" s="16">
        <f t="shared" ref="I2101:I2107" si="310">H2101*G2101</f>
        <v>122712000</v>
      </c>
      <c r="J2101" s="17">
        <v>30</v>
      </c>
      <c r="K2101" s="34">
        <v>4502410646</v>
      </c>
      <c r="L2101" s="19">
        <v>5083650984</v>
      </c>
      <c r="M2101" s="20">
        <v>5113590944</v>
      </c>
      <c r="N2101" s="23"/>
      <c r="O2101" s="9" t="s">
        <v>63</v>
      </c>
      <c r="P2101" s="23"/>
      <c r="Q2101" s="24" t="s">
        <v>82</v>
      </c>
      <c r="R2101" s="25">
        <v>44815</v>
      </c>
      <c r="S2101" s="28"/>
      <c r="T2101" s="35"/>
      <c r="U2101" s="35"/>
      <c r="V2101" s="29"/>
      <c r="W2101" s="35"/>
      <c r="X2101" s="29"/>
      <c r="Y2101" s="36"/>
      <c r="Z2101" s="29"/>
      <c r="AA2101" s="31">
        <f t="shared" si="1"/>
        <v>44815</v>
      </c>
      <c r="AB2101" s="32" t="str">
        <f t="shared" si="5"/>
        <v>septiembre</v>
      </c>
    </row>
    <row r="2102" spans="1:28" ht="12.75">
      <c r="A2102" s="22" t="s">
        <v>199</v>
      </c>
      <c r="B2102" s="10">
        <v>44815</v>
      </c>
      <c r="C2102" s="11">
        <v>44818</v>
      </c>
      <c r="D2102" s="53">
        <v>37</v>
      </c>
      <c r="E2102" s="13" t="s">
        <v>2570</v>
      </c>
      <c r="F2102" s="13">
        <v>3025460</v>
      </c>
      <c r="G2102" s="14">
        <v>15334</v>
      </c>
      <c r="H2102" s="57">
        <v>8000</v>
      </c>
      <c r="I2102" s="16">
        <f t="shared" si="310"/>
        <v>122672000</v>
      </c>
      <c r="J2102" s="17">
        <v>28</v>
      </c>
      <c r="K2102" s="34">
        <v>4502410648</v>
      </c>
      <c r="L2102" s="19">
        <v>5083651051</v>
      </c>
      <c r="M2102" s="20">
        <v>5113582257</v>
      </c>
      <c r="N2102" s="23"/>
      <c r="O2102" s="23" t="s">
        <v>63</v>
      </c>
      <c r="P2102" s="23"/>
      <c r="Q2102" s="24" t="s">
        <v>82</v>
      </c>
      <c r="R2102" s="25">
        <v>44815</v>
      </c>
      <c r="S2102" s="28"/>
      <c r="T2102" s="35"/>
      <c r="U2102" s="35"/>
      <c r="V2102" s="29"/>
      <c r="W2102" s="35"/>
      <c r="X2102" s="29"/>
      <c r="Y2102" s="36"/>
      <c r="Z2102" s="29"/>
      <c r="AA2102" s="31">
        <f t="shared" si="1"/>
        <v>44815</v>
      </c>
      <c r="AB2102" s="32" t="str">
        <f t="shared" si="5"/>
        <v>septiembre</v>
      </c>
    </row>
    <row r="2103" spans="1:28" ht="12.75">
      <c r="A2103" s="9" t="s">
        <v>314</v>
      </c>
      <c r="B2103" s="10">
        <v>44817</v>
      </c>
      <c r="C2103" s="11">
        <v>44817</v>
      </c>
      <c r="D2103" s="53">
        <v>37</v>
      </c>
      <c r="E2103" s="13" t="s">
        <v>1447</v>
      </c>
      <c r="F2103" s="13">
        <v>3025460</v>
      </c>
      <c r="G2103" s="14">
        <v>6835</v>
      </c>
      <c r="H2103" s="57">
        <v>8000</v>
      </c>
      <c r="I2103" s="16">
        <f t="shared" si="310"/>
        <v>54680000</v>
      </c>
      <c r="J2103" s="17">
        <v>14</v>
      </c>
      <c r="K2103" s="34">
        <v>4502410649</v>
      </c>
      <c r="L2103" s="19">
        <v>5083651057</v>
      </c>
      <c r="M2103" s="20">
        <v>5113578952</v>
      </c>
      <c r="N2103" s="23"/>
      <c r="O2103" s="9" t="s">
        <v>63</v>
      </c>
      <c r="P2103" s="23"/>
      <c r="Q2103" s="24" t="s">
        <v>82</v>
      </c>
      <c r="R2103" s="25">
        <v>44815</v>
      </c>
      <c r="S2103" s="28"/>
      <c r="T2103" s="35"/>
      <c r="U2103" s="35"/>
      <c r="V2103" s="29"/>
      <c r="W2103" s="35"/>
      <c r="X2103" s="29"/>
      <c r="Y2103" s="36"/>
      <c r="Z2103" s="29"/>
      <c r="AA2103" s="31">
        <f t="shared" si="1"/>
        <v>44815</v>
      </c>
      <c r="AB2103" s="32" t="str">
        <f t="shared" si="5"/>
        <v>septiembre</v>
      </c>
    </row>
    <row r="2104" spans="1:28" ht="12.75">
      <c r="A2104" s="9" t="s">
        <v>443</v>
      </c>
      <c r="B2104" s="10">
        <v>44815</v>
      </c>
      <c r="C2104" s="11"/>
      <c r="D2104" s="53">
        <v>37</v>
      </c>
      <c r="E2104" s="13" t="s">
        <v>2571</v>
      </c>
      <c r="F2104" s="13">
        <v>3025460</v>
      </c>
      <c r="G2104" s="14">
        <v>21009</v>
      </c>
      <c r="H2104" s="57">
        <v>8150</v>
      </c>
      <c r="I2104" s="16">
        <f t="shared" si="310"/>
        <v>171223350</v>
      </c>
      <c r="J2104" s="17">
        <v>39</v>
      </c>
      <c r="K2104" s="34">
        <v>4502410651</v>
      </c>
      <c r="L2104" s="19">
        <v>5083651126</v>
      </c>
      <c r="M2104" s="20">
        <v>5113582610</v>
      </c>
      <c r="N2104" s="9"/>
      <c r="O2104" s="9" t="s">
        <v>63</v>
      </c>
      <c r="P2104" s="23"/>
      <c r="Q2104" s="24" t="s">
        <v>82</v>
      </c>
      <c r="R2104" s="25">
        <v>44815</v>
      </c>
      <c r="S2104" s="28"/>
      <c r="T2104" s="35"/>
      <c r="U2104" s="35"/>
      <c r="V2104" s="29"/>
      <c r="W2104" s="35"/>
      <c r="X2104" s="29"/>
      <c r="Y2104" s="36"/>
      <c r="Z2104" s="29"/>
      <c r="AA2104" s="31">
        <f t="shared" si="1"/>
        <v>44815</v>
      </c>
      <c r="AB2104" s="32" t="str">
        <f t="shared" si="5"/>
        <v>septiembre</v>
      </c>
    </row>
    <row r="2105" spans="1:28" ht="12.75">
      <c r="A2105" s="9" t="s">
        <v>318</v>
      </c>
      <c r="B2105" s="10">
        <v>44819</v>
      </c>
      <c r="C2105" s="11"/>
      <c r="D2105" s="53">
        <v>37</v>
      </c>
      <c r="E2105" s="13" t="s">
        <v>2572</v>
      </c>
      <c r="F2105" s="13">
        <v>3025460</v>
      </c>
      <c r="G2105" s="14">
        <v>6420</v>
      </c>
      <c r="H2105" s="57">
        <v>8000</v>
      </c>
      <c r="I2105" s="16">
        <f t="shared" si="310"/>
        <v>51360000</v>
      </c>
      <c r="J2105" s="17">
        <v>14</v>
      </c>
      <c r="K2105" s="34">
        <v>4502410653</v>
      </c>
      <c r="L2105" s="19">
        <v>5083651183</v>
      </c>
      <c r="M2105" s="20">
        <v>5113584620</v>
      </c>
      <c r="N2105" s="23"/>
      <c r="O2105" s="23" t="s">
        <v>63</v>
      </c>
      <c r="P2105" s="23"/>
      <c r="Q2105" s="24" t="s">
        <v>82</v>
      </c>
      <c r="R2105" s="25">
        <v>44815</v>
      </c>
      <c r="S2105" s="28"/>
      <c r="T2105" s="35"/>
      <c r="U2105" s="35"/>
      <c r="V2105" s="29"/>
      <c r="W2105" s="35"/>
      <c r="X2105" s="29"/>
      <c r="Y2105" s="36"/>
      <c r="Z2105" s="29"/>
      <c r="AA2105" s="31">
        <f t="shared" si="1"/>
        <v>44815</v>
      </c>
      <c r="AB2105" s="32" t="str">
        <f t="shared" si="5"/>
        <v>septiembre</v>
      </c>
    </row>
    <row r="2106" spans="1:28" ht="12.75">
      <c r="A2106" s="22" t="s">
        <v>2573</v>
      </c>
      <c r="B2106" s="10">
        <v>44818</v>
      </c>
      <c r="C2106" s="11">
        <v>44818</v>
      </c>
      <c r="D2106" s="53">
        <v>37</v>
      </c>
      <c r="E2106" s="13" t="s">
        <v>2574</v>
      </c>
      <c r="F2106" s="13">
        <v>3025460</v>
      </c>
      <c r="G2106" s="14">
        <v>6648</v>
      </c>
      <c r="H2106" s="57">
        <v>8000</v>
      </c>
      <c r="I2106" s="16">
        <f t="shared" si="310"/>
        <v>53184000</v>
      </c>
      <c r="J2106" s="17">
        <v>14</v>
      </c>
      <c r="K2106" s="34">
        <v>4502410656</v>
      </c>
      <c r="L2106" s="19">
        <v>5083651184</v>
      </c>
      <c r="M2106" s="20">
        <v>5113579306</v>
      </c>
      <c r="N2106" s="44"/>
      <c r="O2106" s="9" t="s">
        <v>313</v>
      </c>
      <c r="P2106" s="23"/>
      <c r="Q2106" s="24" t="s">
        <v>82</v>
      </c>
      <c r="R2106" s="25">
        <v>44815</v>
      </c>
      <c r="S2106" s="28"/>
      <c r="T2106" s="35"/>
      <c r="U2106" s="35"/>
      <c r="V2106" s="29"/>
      <c r="W2106" s="35"/>
      <c r="X2106" s="29"/>
      <c r="Y2106" s="36"/>
      <c r="Z2106" s="29"/>
      <c r="AA2106" s="31">
        <f t="shared" si="1"/>
        <v>44815</v>
      </c>
      <c r="AB2106" s="32" t="str">
        <f t="shared" si="5"/>
        <v>septiembre</v>
      </c>
    </row>
    <row r="2107" spans="1:28" ht="12.75">
      <c r="A2107" s="22" t="s">
        <v>404</v>
      </c>
      <c r="B2107" s="10">
        <v>44816</v>
      </c>
      <c r="C2107" s="11">
        <v>44818</v>
      </c>
      <c r="D2107" s="53">
        <v>37</v>
      </c>
      <c r="E2107" s="13" t="s">
        <v>2575</v>
      </c>
      <c r="F2107" s="13">
        <v>3025457</v>
      </c>
      <c r="G2107" s="14">
        <v>26313</v>
      </c>
      <c r="H2107" s="33">
        <v>8450</v>
      </c>
      <c r="I2107" s="16">
        <f t="shared" si="310"/>
        <v>222344850</v>
      </c>
      <c r="J2107" s="17">
        <v>57</v>
      </c>
      <c r="K2107" s="34">
        <v>4502406489</v>
      </c>
      <c r="L2107" s="19">
        <v>5083639987</v>
      </c>
      <c r="M2107" s="20">
        <v>5113588683</v>
      </c>
      <c r="N2107" s="23"/>
      <c r="O2107" s="9" t="s">
        <v>37</v>
      </c>
      <c r="P2107" s="23"/>
      <c r="Q2107" s="24" t="s">
        <v>31</v>
      </c>
      <c r="R2107" s="25">
        <v>44816</v>
      </c>
      <c r="S2107" s="28"/>
      <c r="T2107" s="35"/>
      <c r="U2107" s="35"/>
      <c r="V2107" s="29"/>
      <c r="W2107" s="35"/>
      <c r="X2107" s="29"/>
      <c r="Y2107" s="36"/>
      <c r="Z2107" s="29"/>
      <c r="AA2107" s="31">
        <f t="shared" si="1"/>
        <v>44816</v>
      </c>
      <c r="AB2107" s="32" t="str">
        <f t="shared" si="5"/>
        <v>septiembre</v>
      </c>
    </row>
    <row r="2108" spans="1:28" ht="12.75">
      <c r="A2108" s="22" t="s">
        <v>404</v>
      </c>
      <c r="B2108" s="10">
        <v>44818</v>
      </c>
      <c r="C2108" s="11">
        <v>44818</v>
      </c>
      <c r="D2108" s="53">
        <v>37</v>
      </c>
      <c r="E2108" s="13" t="s">
        <v>424</v>
      </c>
      <c r="F2108" s="13">
        <v>3025457</v>
      </c>
      <c r="G2108" s="14">
        <v>26313</v>
      </c>
      <c r="H2108" s="33">
        <f>8450-8425.95</f>
        <v>24.049999999999272</v>
      </c>
      <c r="I2108" s="16">
        <f>-H2108*G2108</f>
        <v>-632827.64999998081</v>
      </c>
      <c r="J2108" s="17">
        <v>0</v>
      </c>
      <c r="K2108" s="34">
        <v>4502406489</v>
      </c>
      <c r="L2108" s="19">
        <v>5083639987</v>
      </c>
      <c r="M2108" s="20">
        <v>5113588737</v>
      </c>
      <c r="N2108" s="23"/>
      <c r="O2108" s="9"/>
      <c r="P2108" s="23"/>
      <c r="Q2108" s="24" t="s">
        <v>31</v>
      </c>
      <c r="R2108" s="25">
        <v>44816</v>
      </c>
      <c r="S2108" s="28"/>
      <c r="T2108" s="35"/>
      <c r="U2108" s="35"/>
      <c r="V2108" s="29"/>
      <c r="W2108" s="35"/>
      <c r="X2108" s="29"/>
      <c r="Y2108" s="36"/>
      <c r="Z2108" s="29"/>
      <c r="AA2108" s="31">
        <f t="shared" si="1"/>
        <v>44816</v>
      </c>
      <c r="AB2108" s="32" t="str">
        <f t="shared" si="5"/>
        <v>septiembre</v>
      </c>
    </row>
    <row r="2109" spans="1:28" ht="12.75">
      <c r="A2109" s="9" t="s">
        <v>39</v>
      </c>
      <c r="B2109" s="10">
        <v>44816</v>
      </c>
      <c r="C2109" s="11">
        <v>44818</v>
      </c>
      <c r="D2109" s="53">
        <v>37</v>
      </c>
      <c r="E2109" s="13" t="s">
        <v>2576</v>
      </c>
      <c r="F2109" s="13">
        <v>3025457</v>
      </c>
      <c r="G2109" s="14">
        <v>6663</v>
      </c>
      <c r="H2109" s="33">
        <v>8450</v>
      </c>
      <c r="I2109" s="16">
        <f>H2109*G2109</f>
        <v>56302350</v>
      </c>
      <c r="J2109" s="17">
        <v>15</v>
      </c>
      <c r="K2109" s="34">
        <v>4502406490</v>
      </c>
      <c r="L2109" s="19">
        <v>5083640618</v>
      </c>
      <c r="M2109" s="20">
        <v>5113588740</v>
      </c>
      <c r="N2109" s="128"/>
      <c r="O2109" s="9" t="s">
        <v>37</v>
      </c>
      <c r="P2109" s="23"/>
      <c r="Q2109" s="24" t="s">
        <v>31</v>
      </c>
      <c r="R2109" s="25">
        <v>44816</v>
      </c>
      <c r="S2109" s="28"/>
      <c r="T2109" s="35"/>
      <c r="U2109" s="35"/>
      <c r="V2109" s="29"/>
      <c r="W2109" s="35"/>
      <c r="X2109" s="29"/>
      <c r="Y2109" s="36"/>
      <c r="Z2109" s="29"/>
      <c r="AA2109" s="31">
        <f t="shared" si="1"/>
        <v>44816</v>
      </c>
      <c r="AB2109" s="32" t="str">
        <f t="shared" si="5"/>
        <v>septiembre</v>
      </c>
    </row>
    <row r="2110" spans="1:28" ht="12.75">
      <c r="A2110" s="9" t="s">
        <v>39</v>
      </c>
      <c r="B2110" s="10">
        <v>44816</v>
      </c>
      <c r="C2110" s="11">
        <v>44818</v>
      </c>
      <c r="D2110" s="53">
        <v>37</v>
      </c>
      <c r="E2110" s="13" t="s">
        <v>718</v>
      </c>
      <c r="F2110" s="13">
        <v>3025457</v>
      </c>
      <c r="G2110" s="14">
        <v>6663</v>
      </c>
      <c r="H2110" s="33">
        <v>100</v>
      </c>
      <c r="I2110" s="16">
        <f>-H2110*G2110</f>
        <v>-666300</v>
      </c>
      <c r="J2110" s="17">
        <v>0</v>
      </c>
      <c r="K2110" s="34">
        <v>4502406490</v>
      </c>
      <c r="L2110" s="19">
        <v>5083640618</v>
      </c>
      <c r="M2110" s="20">
        <v>5113588743</v>
      </c>
      <c r="N2110" s="23"/>
      <c r="O2110" s="9"/>
      <c r="P2110" s="23"/>
      <c r="Q2110" s="24" t="s">
        <v>31</v>
      </c>
      <c r="R2110" s="25">
        <v>44816</v>
      </c>
      <c r="S2110" s="28"/>
      <c r="T2110" s="35"/>
      <c r="U2110" s="35"/>
      <c r="V2110" s="29"/>
      <c r="W2110" s="35"/>
      <c r="X2110" s="29"/>
      <c r="Y2110" s="36"/>
      <c r="Z2110" s="29"/>
      <c r="AA2110" s="31">
        <f t="shared" si="1"/>
        <v>44816</v>
      </c>
      <c r="AB2110" s="32" t="str">
        <f t="shared" si="5"/>
        <v>septiembre</v>
      </c>
    </row>
    <row r="2111" spans="1:28" ht="12.75">
      <c r="A2111" s="9" t="s">
        <v>104</v>
      </c>
      <c r="B2111" s="10">
        <v>44819</v>
      </c>
      <c r="C2111" s="11">
        <v>44819</v>
      </c>
      <c r="D2111" s="53">
        <v>37</v>
      </c>
      <c r="E2111" s="13" t="s">
        <v>2577</v>
      </c>
      <c r="F2111" s="13">
        <v>3025457</v>
      </c>
      <c r="G2111" s="37">
        <v>6965.5</v>
      </c>
      <c r="H2111" s="33">
        <v>8100</v>
      </c>
      <c r="I2111" s="16">
        <f t="shared" ref="I2111:I2117" si="311">H2111*G2111</f>
        <v>56420550</v>
      </c>
      <c r="J2111" s="17">
        <v>14</v>
      </c>
      <c r="K2111" s="34">
        <v>4502406491</v>
      </c>
      <c r="L2111" s="19">
        <v>5083640619</v>
      </c>
      <c r="M2111" s="20">
        <v>5113585062</v>
      </c>
      <c r="N2111" s="23"/>
      <c r="O2111" s="9" t="s">
        <v>63</v>
      </c>
      <c r="P2111" s="23"/>
      <c r="Q2111" s="24" t="s">
        <v>31</v>
      </c>
      <c r="R2111" s="25">
        <v>44816</v>
      </c>
      <c r="S2111" s="28"/>
      <c r="T2111" s="35"/>
      <c r="U2111" s="35"/>
      <c r="V2111" s="29"/>
      <c r="W2111" s="35"/>
      <c r="X2111" s="29"/>
      <c r="Y2111" s="36"/>
      <c r="Z2111" s="29"/>
      <c r="AA2111" s="31">
        <f t="shared" si="1"/>
        <v>44816</v>
      </c>
      <c r="AB2111" s="32" t="str">
        <f t="shared" si="5"/>
        <v>septiembre</v>
      </c>
    </row>
    <row r="2112" spans="1:28" ht="12.75">
      <c r="A2112" s="9" t="s">
        <v>80</v>
      </c>
      <c r="B2112" s="10">
        <v>44816</v>
      </c>
      <c r="C2112" s="11">
        <v>44818</v>
      </c>
      <c r="D2112" s="53">
        <v>37</v>
      </c>
      <c r="E2112" s="13" t="s">
        <v>2578</v>
      </c>
      <c r="F2112" s="13">
        <v>3025459</v>
      </c>
      <c r="G2112" s="14">
        <v>20969</v>
      </c>
      <c r="H2112" s="15">
        <v>7800</v>
      </c>
      <c r="I2112" s="16">
        <f t="shared" si="311"/>
        <v>163558200</v>
      </c>
      <c r="J2112" s="17">
        <v>42</v>
      </c>
      <c r="K2112" s="34">
        <v>4502408612</v>
      </c>
      <c r="L2112" s="19">
        <v>5083640840</v>
      </c>
      <c r="M2112" s="20">
        <v>5113581870</v>
      </c>
      <c r="N2112" s="23" t="s">
        <v>37</v>
      </c>
      <c r="O2112" s="22" t="s">
        <v>272</v>
      </c>
      <c r="P2112" s="23"/>
      <c r="Q2112" s="24" t="s">
        <v>31</v>
      </c>
      <c r="R2112" s="25">
        <v>44816</v>
      </c>
      <c r="S2112" s="28">
        <v>4902343232</v>
      </c>
      <c r="T2112" s="27">
        <f>1793900*3</f>
        <v>5381700</v>
      </c>
      <c r="U2112" s="28" t="s">
        <v>2579</v>
      </c>
      <c r="V2112" s="29">
        <v>5113578600</v>
      </c>
      <c r="W2112" s="35"/>
      <c r="X2112" s="29"/>
      <c r="Y2112" s="36"/>
      <c r="Z2112" s="29"/>
      <c r="AA2112" s="31">
        <f t="shared" si="1"/>
        <v>44816</v>
      </c>
      <c r="AB2112" s="32" t="str">
        <f t="shared" si="5"/>
        <v>septiembre</v>
      </c>
    </row>
    <row r="2113" spans="1:28" ht="12.75">
      <c r="A2113" s="9" t="s">
        <v>104</v>
      </c>
      <c r="B2113" s="10">
        <v>44819</v>
      </c>
      <c r="C2113" s="11">
        <v>44819</v>
      </c>
      <c r="D2113" s="53">
        <v>37</v>
      </c>
      <c r="E2113" s="13" t="s">
        <v>290</v>
      </c>
      <c r="F2113" s="13">
        <v>3025459</v>
      </c>
      <c r="G2113" s="37">
        <v>6113.5</v>
      </c>
      <c r="H2113" s="33">
        <v>8100</v>
      </c>
      <c r="I2113" s="16">
        <f t="shared" si="311"/>
        <v>49519350</v>
      </c>
      <c r="J2113" s="17">
        <v>14</v>
      </c>
      <c r="K2113" s="34">
        <v>4502407994</v>
      </c>
      <c r="L2113" s="19">
        <v>5083640620</v>
      </c>
      <c r="M2113" s="20">
        <v>5113584795</v>
      </c>
      <c r="N2113" s="23"/>
      <c r="O2113" s="9" t="s">
        <v>63</v>
      </c>
      <c r="P2113" s="23"/>
      <c r="Q2113" s="24" t="s">
        <v>31</v>
      </c>
      <c r="R2113" s="25">
        <v>44816</v>
      </c>
      <c r="S2113" s="28"/>
      <c r="T2113" s="35"/>
      <c r="U2113" s="35"/>
      <c r="V2113" s="29"/>
      <c r="W2113" s="35"/>
      <c r="X2113" s="29"/>
      <c r="Y2113" s="36"/>
      <c r="Z2113" s="29"/>
      <c r="AA2113" s="31">
        <f t="shared" si="1"/>
        <v>44816</v>
      </c>
      <c r="AB2113" s="32" t="str">
        <f t="shared" si="5"/>
        <v>septiembre</v>
      </c>
    </row>
    <row r="2114" spans="1:28" ht="12.75">
      <c r="A2114" s="9" t="s">
        <v>58</v>
      </c>
      <c r="B2114" s="10">
        <v>44818</v>
      </c>
      <c r="C2114" s="11">
        <v>44818</v>
      </c>
      <c r="D2114" s="53">
        <v>37</v>
      </c>
      <c r="E2114" s="13" t="s">
        <v>2580</v>
      </c>
      <c r="F2114" s="13">
        <v>3025462</v>
      </c>
      <c r="G2114" s="14">
        <v>17653</v>
      </c>
      <c r="H2114" s="57">
        <v>7500</v>
      </c>
      <c r="I2114" s="16">
        <f t="shared" si="311"/>
        <v>132397500</v>
      </c>
      <c r="J2114" s="17">
        <v>62</v>
      </c>
      <c r="K2114" s="34">
        <v>4502410678</v>
      </c>
      <c r="L2114" s="19">
        <v>5083651502</v>
      </c>
      <c r="M2114" s="20">
        <v>5113582548</v>
      </c>
      <c r="N2114" s="23"/>
      <c r="O2114" s="9" t="s">
        <v>37</v>
      </c>
      <c r="P2114" s="23"/>
      <c r="Q2114" s="24" t="s">
        <v>357</v>
      </c>
      <c r="R2114" s="25">
        <v>44816</v>
      </c>
      <c r="S2114" s="28"/>
      <c r="T2114" s="35"/>
      <c r="U2114" s="35"/>
      <c r="V2114" s="29"/>
      <c r="W2114" s="35"/>
      <c r="X2114" s="29"/>
      <c r="Y2114" s="36"/>
      <c r="Z2114" s="29"/>
      <c r="AA2114" s="31">
        <f t="shared" si="1"/>
        <v>44816</v>
      </c>
      <c r="AB2114" s="32" t="str">
        <f t="shared" si="5"/>
        <v>septiembre</v>
      </c>
    </row>
    <row r="2115" spans="1:28" ht="12.75">
      <c r="A2115" s="22" t="s">
        <v>719</v>
      </c>
      <c r="B2115" s="10">
        <v>44817</v>
      </c>
      <c r="C2115" s="11">
        <v>44820</v>
      </c>
      <c r="D2115" s="53">
        <v>37</v>
      </c>
      <c r="E2115" s="13" t="s">
        <v>2581</v>
      </c>
      <c r="F2115" s="13">
        <v>3025457</v>
      </c>
      <c r="G2115" s="14">
        <v>7787</v>
      </c>
      <c r="H2115" s="33">
        <v>8000</v>
      </c>
      <c r="I2115" s="16">
        <f t="shared" si="311"/>
        <v>62296000</v>
      </c>
      <c r="J2115" s="17">
        <v>15</v>
      </c>
      <c r="K2115" s="34">
        <v>4502406492</v>
      </c>
      <c r="L2115" s="19">
        <v>5083643305</v>
      </c>
      <c r="M2115" s="20">
        <v>5113588745</v>
      </c>
      <c r="N2115" s="23"/>
      <c r="O2115" s="9" t="s">
        <v>37</v>
      </c>
      <c r="P2115" s="23"/>
      <c r="Q2115" s="24" t="s">
        <v>31</v>
      </c>
      <c r="R2115" s="25">
        <v>44817</v>
      </c>
      <c r="S2115" s="28"/>
      <c r="T2115" s="35"/>
      <c r="U2115" s="35"/>
      <c r="V2115" s="29"/>
      <c r="W2115" s="35"/>
      <c r="X2115" s="29"/>
      <c r="Y2115" s="36"/>
      <c r="Z2115" s="29"/>
      <c r="AA2115" s="31">
        <f t="shared" si="1"/>
        <v>44817</v>
      </c>
      <c r="AB2115" s="32" t="str">
        <f t="shared" si="5"/>
        <v>septiembre</v>
      </c>
    </row>
    <row r="2116" spans="1:28" ht="12.75">
      <c r="A2116" s="9" t="s">
        <v>1120</v>
      </c>
      <c r="B2116" s="10">
        <v>44816</v>
      </c>
      <c r="C2116" s="11"/>
      <c r="D2116" s="53">
        <v>37</v>
      </c>
      <c r="E2116" s="13" t="s">
        <v>2582</v>
      </c>
      <c r="F2116" s="13">
        <v>3025457</v>
      </c>
      <c r="G2116" s="14">
        <v>14921</v>
      </c>
      <c r="H2116" s="15">
        <v>7700</v>
      </c>
      <c r="I2116" s="16">
        <f t="shared" si="311"/>
        <v>114891700</v>
      </c>
      <c r="J2116" s="17">
        <v>28</v>
      </c>
      <c r="K2116" s="34">
        <v>4502408613</v>
      </c>
      <c r="L2116" s="19">
        <v>5083652538</v>
      </c>
      <c r="M2116" s="20">
        <v>5113582264</v>
      </c>
      <c r="N2116" s="9" t="s">
        <v>63</v>
      </c>
      <c r="O2116" s="22" t="s">
        <v>2583</v>
      </c>
      <c r="P2116" s="23"/>
      <c r="Q2116" s="24" t="s">
        <v>31</v>
      </c>
      <c r="R2116" s="25">
        <v>44817</v>
      </c>
      <c r="S2116" s="28">
        <v>4902343233</v>
      </c>
      <c r="T2116" s="35">
        <f>1961700*2</f>
        <v>3923400</v>
      </c>
      <c r="U2116" s="28" t="s">
        <v>2584</v>
      </c>
      <c r="V2116" s="29">
        <v>5113582958</v>
      </c>
      <c r="W2116" s="35"/>
      <c r="X2116" s="29"/>
      <c r="Y2116" s="36"/>
      <c r="Z2116" s="29"/>
      <c r="AA2116" s="31">
        <f t="shared" si="1"/>
        <v>44817</v>
      </c>
      <c r="AB2116" s="32" t="str">
        <f t="shared" si="5"/>
        <v>septiembre</v>
      </c>
    </row>
    <row r="2117" spans="1:28" ht="12.75">
      <c r="A2117" s="9" t="s">
        <v>39</v>
      </c>
      <c r="B2117" s="10">
        <v>44817</v>
      </c>
      <c r="C2117" s="11">
        <v>44819</v>
      </c>
      <c r="D2117" s="76">
        <v>37</v>
      </c>
      <c r="E2117" s="61" t="s">
        <v>2585</v>
      </c>
      <c r="F2117" s="63">
        <v>3025457</v>
      </c>
      <c r="G2117" s="62">
        <v>12181</v>
      </c>
      <c r="H2117" s="63">
        <v>8450</v>
      </c>
      <c r="I2117" s="64">
        <f t="shared" si="311"/>
        <v>102929450</v>
      </c>
      <c r="J2117" s="78">
        <v>30</v>
      </c>
      <c r="K2117" s="66">
        <v>4502406493</v>
      </c>
      <c r="L2117" s="19">
        <v>5083643306</v>
      </c>
      <c r="M2117" s="20">
        <v>5113588789</v>
      </c>
      <c r="N2117" s="23"/>
      <c r="O2117" s="9" t="s">
        <v>37</v>
      </c>
      <c r="P2117" s="68"/>
      <c r="Q2117" s="129" t="s">
        <v>31</v>
      </c>
      <c r="R2117" s="74">
        <v>44817</v>
      </c>
      <c r="S2117" s="75"/>
      <c r="T2117" s="69"/>
      <c r="U2117" s="134"/>
      <c r="V2117" s="68"/>
      <c r="W2117" s="70"/>
      <c r="X2117" s="68"/>
      <c r="Y2117" s="71"/>
      <c r="Z2117" s="68"/>
      <c r="AA2117" s="130">
        <f t="shared" si="1"/>
        <v>44817</v>
      </c>
      <c r="AB2117" s="131" t="str">
        <f t="shared" si="5"/>
        <v>septiembre</v>
      </c>
    </row>
    <row r="2118" spans="1:28" ht="12.75">
      <c r="A2118" s="9" t="s">
        <v>39</v>
      </c>
      <c r="B2118" s="10">
        <v>44819</v>
      </c>
      <c r="C2118" s="11">
        <v>44819</v>
      </c>
      <c r="D2118" s="53">
        <v>37</v>
      </c>
      <c r="E2118" s="13" t="s">
        <v>736</v>
      </c>
      <c r="F2118" s="13">
        <v>3025457</v>
      </c>
      <c r="G2118" s="14">
        <v>12181</v>
      </c>
      <c r="H2118" s="33">
        <f>8450-8305.5</f>
        <v>144.5</v>
      </c>
      <c r="I2118" s="16">
        <f>-H2118*G2118</f>
        <v>-1760154.5</v>
      </c>
      <c r="J2118" s="17">
        <v>0</v>
      </c>
      <c r="K2118" s="34">
        <v>4502406493</v>
      </c>
      <c r="L2118" s="19">
        <v>5083643306</v>
      </c>
      <c r="M2118" s="20">
        <v>5113588793</v>
      </c>
      <c r="N2118" s="23"/>
      <c r="O2118" s="9"/>
      <c r="P2118" s="23"/>
      <c r="Q2118" s="24" t="s">
        <v>31</v>
      </c>
      <c r="R2118" s="25">
        <v>44817</v>
      </c>
      <c r="S2118" s="28"/>
      <c r="T2118" s="35"/>
      <c r="U2118" s="35"/>
      <c r="V2118" s="29"/>
      <c r="W2118" s="35"/>
      <c r="X2118" s="29"/>
      <c r="Y2118" s="36"/>
      <c r="Z2118" s="29"/>
      <c r="AA2118" s="31">
        <f t="shared" si="1"/>
        <v>44817</v>
      </c>
      <c r="AB2118" s="32" t="str">
        <f t="shared" si="5"/>
        <v>septiembre</v>
      </c>
    </row>
    <row r="2119" spans="1:28" ht="12.75">
      <c r="A2119" s="9" t="s">
        <v>567</v>
      </c>
      <c r="B2119" s="10">
        <v>44817</v>
      </c>
      <c r="C2119" s="11">
        <v>44820</v>
      </c>
      <c r="D2119" s="53">
        <v>37</v>
      </c>
      <c r="E2119" s="13" t="s">
        <v>2586</v>
      </c>
      <c r="F2119" s="13">
        <v>3025457</v>
      </c>
      <c r="G2119" s="37">
        <v>14281.5</v>
      </c>
      <c r="H2119" s="33">
        <v>8000</v>
      </c>
      <c r="I2119" s="64">
        <f t="shared" ref="I2119:I2123" si="312">H2119*G2119</f>
        <v>114252000</v>
      </c>
      <c r="J2119" s="17">
        <v>30</v>
      </c>
      <c r="K2119" s="34">
        <v>4502406494</v>
      </c>
      <c r="L2119" s="19">
        <v>5083652608</v>
      </c>
      <c r="M2119" s="20">
        <v>5113588795</v>
      </c>
      <c r="N2119" s="23"/>
      <c r="O2119" s="9" t="s">
        <v>63</v>
      </c>
      <c r="P2119" s="23"/>
      <c r="Q2119" s="24" t="s">
        <v>31</v>
      </c>
      <c r="R2119" s="25">
        <v>44817</v>
      </c>
      <c r="S2119" s="28"/>
      <c r="T2119" s="35"/>
      <c r="U2119" s="35"/>
      <c r="V2119" s="29"/>
      <c r="W2119" s="35"/>
      <c r="X2119" s="29"/>
      <c r="Y2119" s="36"/>
      <c r="Z2119" s="29"/>
      <c r="AA2119" s="31">
        <f t="shared" si="1"/>
        <v>44817</v>
      </c>
      <c r="AB2119" s="32" t="str">
        <f t="shared" si="5"/>
        <v>septiembre</v>
      </c>
    </row>
    <row r="2120" spans="1:28" ht="12.75">
      <c r="A2120" s="9" t="s">
        <v>83</v>
      </c>
      <c r="B2120" s="10">
        <v>44817</v>
      </c>
      <c r="C2120" s="11">
        <v>44819</v>
      </c>
      <c r="D2120" s="53">
        <v>37</v>
      </c>
      <c r="E2120" s="13" t="s">
        <v>2587</v>
      </c>
      <c r="F2120" s="13">
        <v>3025460</v>
      </c>
      <c r="G2120" s="14">
        <v>27100</v>
      </c>
      <c r="H2120" s="57">
        <v>8047.71</v>
      </c>
      <c r="I2120" s="64">
        <f t="shared" si="312"/>
        <v>218092941</v>
      </c>
      <c r="J2120" s="17">
        <v>56</v>
      </c>
      <c r="K2120" s="34">
        <v>4502412474</v>
      </c>
      <c r="L2120" s="19">
        <v>5083690925</v>
      </c>
      <c r="M2120" s="20">
        <v>5113588829</v>
      </c>
      <c r="N2120" s="23"/>
      <c r="O2120" s="22" t="s">
        <v>37</v>
      </c>
      <c r="P2120" s="23"/>
      <c r="Q2120" s="24" t="s">
        <v>82</v>
      </c>
      <c r="R2120" s="25">
        <v>44817</v>
      </c>
      <c r="S2120" s="28"/>
      <c r="T2120" s="35"/>
      <c r="U2120" s="35"/>
      <c r="V2120" s="29"/>
      <c r="W2120" s="35"/>
      <c r="X2120" s="29"/>
      <c r="Y2120" s="36"/>
      <c r="Z2120" s="29"/>
      <c r="AA2120" s="31">
        <f t="shared" si="1"/>
        <v>44817</v>
      </c>
      <c r="AB2120" s="32" t="str">
        <f t="shared" si="5"/>
        <v>septiembre</v>
      </c>
    </row>
    <row r="2121" spans="1:28" ht="12.75">
      <c r="A2121" s="9" t="s">
        <v>85</v>
      </c>
      <c r="B2121" s="10">
        <v>44817</v>
      </c>
      <c r="C2121" s="11">
        <v>44820</v>
      </c>
      <c r="D2121" s="53">
        <v>37</v>
      </c>
      <c r="E2121" s="13" t="s">
        <v>2588</v>
      </c>
      <c r="F2121" s="13">
        <v>3025460</v>
      </c>
      <c r="G2121" s="14">
        <v>25851</v>
      </c>
      <c r="H2121" s="57">
        <v>8000</v>
      </c>
      <c r="I2121" s="64">
        <f t="shared" si="312"/>
        <v>206808000</v>
      </c>
      <c r="J2121" s="17">
        <v>56</v>
      </c>
      <c r="K2121" s="34">
        <v>4502412464</v>
      </c>
      <c r="L2121" s="19">
        <v>5083690722</v>
      </c>
      <c r="M2121" s="20">
        <v>5113588832</v>
      </c>
      <c r="N2121" s="23"/>
      <c r="O2121" s="9" t="s">
        <v>63</v>
      </c>
      <c r="P2121" s="23"/>
      <c r="Q2121" s="24" t="s">
        <v>82</v>
      </c>
      <c r="R2121" s="25">
        <v>44817</v>
      </c>
      <c r="S2121" s="28"/>
      <c r="T2121" s="35"/>
      <c r="U2121" s="35"/>
      <c r="V2121" s="29"/>
      <c r="W2121" s="35"/>
      <c r="X2121" s="29"/>
      <c r="Y2121" s="36"/>
      <c r="Z2121" s="29"/>
      <c r="AA2121" s="31">
        <f t="shared" si="1"/>
        <v>44817</v>
      </c>
      <c r="AB2121" s="32" t="str">
        <f t="shared" si="5"/>
        <v>septiembre</v>
      </c>
    </row>
    <row r="2122" spans="1:28" ht="12.75">
      <c r="A2122" s="22" t="s">
        <v>2589</v>
      </c>
      <c r="B2122" s="10">
        <v>44826</v>
      </c>
      <c r="C2122" s="11"/>
      <c r="D2122" s="53">
        <v>37</v>
      </c>
      <c r="E2122" s="13" t="s">
        <v>2590</v>
      </c>
      <c r="F2122" s="13">
        <v>3025460</v>
      </c>
      <c r="G2122" s="14">
        <v>15299</v>
      </c>
      <c r="H2122" s="57">
        <v>8083.87</v>
      </c>
      <c r="I2122" s="64">
        <f t="shared" si="312"/>
        <v>123675127.13</v>
      </c>
      <c r="J2122" s="17">
        <v>28</v>
      </c>
      <c r="K2122" s="34">
        <v>4502412473</v>
      </c>
      <c r="L2122" s="19">
        <v>5083691942</v>
      </c>
      <c r="M2122" s="20">
        <v>5113600650</v>
      </c>
      <c r="N2122" s="23"/>
      <c r="O2122" s="9" t="s">
        <v>63</v>
      </c>
      <c r="P2122" s="23"/>
      <c r="Q2122" s="24" t="s">
        <v>82</v>
      </c>
      <c r="R2122" s="25">
        <v>44817</v>
      </c>
      <c r="S2122" s="28"/>
      <c r="T2122" s="35"/>
      <c r="U2122" s="35"/>
      <c r="V2122" s="29"/>
      <c r="W2122" s="35"/>
      <c r="X2122" s="29"/>
      <c r="Y2122" s="36"/>
      <c r="Z2122" s="29"/>
      <c r="AA2122" s="31">
        <f t="shared" si="1"/>
        <v>44817</v>
      </c>
      <c r="AB2122" s="32" t="str">
        <f t="shared" si="5"/>
        <v>septiembre</v>
      </c>
    </row>
    <row r="2123" spans="1:28" ht="12.75">
      <c r="A2123" s="22" t="s">
        <v>404</v>
      </c>
      <c r="B2123" s="10">
        <v>44819</v>
      </c>
      <c r="C2123" s="11">
        <v>44823</v>
      </c>
      <c r="D2123" s="42">
        <v>38</v>
      </c>
      <c r="E2123" s="13" t="s">
        <v>2591</v>
      </c>
      <c r="F2123" s="13">
        <v>3025457</v>
      </c>
      <c r="G2123" s="14">
        <v>6027</v>
      </c>
      <c r="H2123" s="33">
        <v>8500</v>
      </c>
      <c r="I2123" s="64">
        <f t="shared" si="312"/>
        <v>51229500</v>
      </c>
      <c r="J2123" s="17">
        <v>15</v>
      </c>
      <c r="K2123" s="34">
        <v>4502411223</v>
      </c>
      <c r="L2123" s="126">
        <v>5083693821</v>
      </c>
      <c r="M2123" s="20">
        <v>5113591468</v>
      </c>
      <c r="N2123" s="128"/>
      <c r="O2123" s="9" t="s">
        <v>37</v>
      </c>
      <c r="P2123" s="23"/>
      <c r="Q2123" s="24" t="s">
        <v>31</v>
      </c>
      <c r="R2123" s="25">
        <v>44819</v>
      </c>
      <c r="S2123" s="28"/>
      <c r="T2123" s="35"/>
      <c r="U2123" s="35"/>
      <c r="V2123" s="29"/>
      <c r="W2123" s="35"/>
      <c r="X2123" s="29"/>
      <c r="Y2123" s="36"/>
      <c r="Z2123" s="29"/>
      <c r="AA2123" s="31">
        <f t="shared" si="1"/>
        <v>44819</v>
      </c>
      <c r="AB2123" s="32" t="str">
        <f t="shared" si="5"/>
        <v>septiembre</v>
      </c>
    </row>
    <row r="2124" spans="1:28" ht="12.75">
      <c r="A2124" s="22" t="s">
        <v>404</v>
      </c>
      <c r="B2124" s="10">
        <v>44823</v>
      </c>
      <c r="C2124" s="11">
        <v>44823</v>
      </c>
      <c r="D2124" s="42">
        <v>38</v>
      </c>
      <c r="E2124" s="13" t="s">
        <v>434</v>
      </c>
      <c r="F2124" s="13">
        <v>3025457</v>
      </c>
      <c r="G2124" s="14">
        <v>6027</v>
      </c>
      <c r="H2124" s="33">
        <f>8500-8248.78</f>
        <v>251.21999999999935</v>
      </c>
      <c r="I2124" s="64">
        <f>-H2124*G2124</f>
        <v>-1514102.939999996</v>
      </c>
      <c r="J2124" s="17">
        <v>0</v>
      </c>
      <c r="K2124" s="34">
        <v>4502411223</v>
      </c>
      <c r="L2124" s="126">
        <v>5083693821</v>
      </c>
      <c r="M2124" s="20">
        <v>5113591471</v>
      </c>
      <c r="N2124" s="128"/>
      <c r="O2124" s="9"/>
      <c r="P2124" s="23"/>
      <c r="Q2124" s="24" t="s">
        <v>31</v>
      </c>
      <c r="R2124" s="25">
        <v>44819</v>
      </c>
      <c r="S2124" s="28"/>
      <c r="T2124" s="35"/>
      <c r="U2124" s="35"/>
      <c r="V2124" s="29"/>
      <c r="W2124" s="35"/>
      <c r="X2124" s="29"/>
      <c r="Y2124" s="36"/>
      <c r="Z2124" s="29"/>
      <c r="AA2124" s="31">
        <f t="shared" si="1"/>
        <v>44819</v>
      </c>
      <c r="AB2124" s="32" t="str">
        <f t="shared" si="5"/>
        <v>septiembre</v>
      </c>
    </row>
    <row r="2125" spans="1:28" ht="12.75">
      <c r="A2125" s="9" t="s">
        <v>73</v>
      </c>
      <c r="B2125" s="10">
        <v>44823</v>
      </c>
      <c r="C2125" s="11">
        <v>44827</v>
      </c>
      <c r="D2125" s="42">
        <v>38</v>
      </c>
      <c r="E2125" s="13" t="s">
        <v>2592</v>
      </c>
      <c r="F2125" s="13">
        <v>3025457</v>
      </c>
      <c r="G2125" s="37">
        <v>13147.5</v>
      </c>
      <c r="H2125" s="33">
        <v>8500</v>
      </c>
      <c r="I2125" s="64">
        <f>H2125*G2125</f>
        <v>111753750</v>
      </c>
      <c r="J2125" s="17">
        <v>28</v>
      </c>
      <c r="K2125" s="34">
        <v>4502411224</v>
      </c>
      <c r="L2125" s="126">
        <v>5083693822</v>
      </c>
      <c r="M2125" s="20">
        <v>5113632584</v>
      </c>
      <c r="N2125" s="23"/>
      <c r="O2125" s="9" t="s">
        <v>63</v>
      </c>
      <c r="P2125" s="23"/>
      <c r="Q2125" s="24" t="s">
        <v>31</v>
      </c>
      <c r="R2125" s="25">
        <v>44819</v>
      </c>
      <c r="S2125" s="28"/>
      <c r="T2125" s="35"/>
      <c r="U2125" s="35"/>
      <c r="V2125" s="29"/>
      <c r="W2125" s="35"/>
      <c r="X2125" s="29"/>
      <c r="Y2125" s="36"/>
      <c r="Z2125" s="29"/>
      <c r="AA2125" s="31">
        <f t="shared" si="1"/>
        <v>44819</v>
      </c>
      <c r="AB2125" s="32" t="str">
        <f t="shared" si="5"/>
        <v>septiembre</v>
      </c>
    </row>
    <row r="2126" spans="1:28" ht="12.75">
      <c r="A2126" s="9" t="s">
        <v>73</v>
      </c>
      <c r="B2126" s="10">
        <v>44823</v>
      </c>
      <c r="C2126" s="11">
        <v>44827</v>
      </c>
      <c r="D2126" s="42">
        <v>38</v>
      </c>
      <c r="E2126" s="13" t="s">
        <v>2593</v>
      </c>
      <c r="F2126" s="13">
        <v>3025457</v>
      </c>
      <c r="G2126" s="37">
        <v>13147.5</v>
      </c>
      <c r="H2126" s="33">
        <v>50</v>
      </c>
      <c r="I2126" s="64">
        <f>-H2126*G2126</f>
        <v>-657375</v>
      </c>
      <c r="J2126" s="17">
        <v>0</v>
      </c>
      <c r="K2126" s="34">
        <v>4502411224</v>
      </c>
      <c r="L2126" s="126">
        <v>5083693822</v>
      </c>
      <c r="M2126" s="20">
        <v>5113632647</v>
      </c>
      <c r="N2126" s="23"/>
      <c r="O2126" s="9"/>
      <c r="P2126" s="23"/>
      <c r="Q2126" s="24" t="s">
        <v>31</v>
      </c>
      <c r="R2126" s="25">
        <v>44819</v>
      </c>
      <c r="S2126" s="28"/>
      <c r="T2126" s="35"/>
      <c r="U2126" s="35"/>
      <c r="V2126" s="29"/>
      <c r="W2126" s="35"/>
      <c r="X2126" s="29"/>
      <c r="Y2126" s="36"/>
      <c r="Z2126" s="29"/>
      <c r="AA2126" s="31">
        <f t="shared" si="1"/>
        <v>44819</v>
      </c>
      <c r="AB2126" s="32" t="str">
        <f t="shared" si="5"/>
        <v>septiembre</v>
      </c>
    </row>
    <row r="2127" spans="1:28" ht="12.75">
      <c r="A2127" s="9" t="s">
        <v>58</v>
      </c>
      <c r="B2127" s="10">
        <v>44823</v>
      </c>
      <c r="C2127" s="11">
        <v>44823</v>
      </c>
      <c r="D2127" s="42">
        <v>38</v>
      </c>
      <c r="E2127" s="13" t="s">
        <v>2594</v>
      </c>
      <c r="F2127" s="13">
        <v>3025457</v>
      </c>
      <c r="G2127" s="37">
        <v>6348.5</v>
      </c>
      <c r="H2127" s="33">
        <v>8500</v>
      </c>
      <c r="I2127" s="64">
        <f t="shared" ref="I2127:I2128" si="313">H2127*G2127</f>
        <v>53962250</v>
      </c>
      <c r="J2127" s="17">
        <v>15</v>
      </c>
      <c r="K2127" s="34">
        <v>4502411225</v>
      </c>
      <c r="L2127" s="126">
        <v>5083694011</v>
      </c>
      <c r="M2127" s="20">
        <v>5113594418</v>
      </c>
      <c r="N2127" s="128"/>
      <c r="O2127" s="9" t="s">
        <v>37</v>
      </c>
      <c r="P2127" s="23"/>
      <c r="Q2127" s="24" t="s">
        <v>31</v>
      </c>
      <c r="R2127" s="25">
        <v>44819</v>
      </c>
      <c r="S2127" s="28"/>
      <c r="T2127" s="35"/>
      <c r="U2127" s="35"/>
      <c r="V2127" s="29"/>
      <c r="W2127" s="35"/>
      <c r="X2127" s="29"/>
      <c r="Y2127" s="36"/>
      <c r="Z2127" s="29"/>
      <c r="AA2127" s="31">
        <f t="shared" si="1"/>
        <v>44819</v>
      </c>
      <c r="AB2127" s="32" t="str">
        <f t="shared" si="5"/>
        <v>septiembre</v>
      </c>
    </row>
    <row r="2128" spans="1:28" ht="12.75">
      <c r="A2128" s="9" t="s">
        <v>116</v>
      </c>
      <c r="B2128" s="10">
        <v>44817</v>
      </c>
      <c r="C2128" s="11"/>
      <c r="D2128" s="42">
        <v>38</v>
      </c>
      <c r="E2128" s="13" t="s">
        <v>2595</v>
      </c>
      <c r="F2128" s="13">
        <v>3025457</v>
      </c>
      <c r="G2128" s="14">
        <v>217505</v>
      </c>
      <c r="H2128" s="15">
        <v>9035</v>
      </c>
      <c r="I2128" s="16">
        <f t="shared" si="313"/>
        <v>1965157675</v>
      </c>
      <c r="J2128" s="17">
        <v>420</v>
      </c>
      <c r="K2128" s="34">
        <v>4502411300</v>
      </c>
      <c r="L2128" s="126">
        <v>5083660241</v>
      </c>
      <c r="M2128" s="20">
        <v>5113580506</v>
      </c>
      <c r="N2128" s="23" t="s">
        <v>37</v>
      </c>
      <c r="O2128" s="22" t="s">
        <v>2596</v>
      </c>
      <c r="P2128" s="23"/>
      <c r="Q2128" s="24" t="s">
        <v>31</v>
      </c>
      <c r="R2128" s="25">
        <v>44819</v>
      </c>
      <c r="S2128" s="28">
        <v>4902347660</v>
      </c>
      <c r="T2128" s="28">
        <v>5450000</v>
      </c>
      <c r="U2128" s="28" t="s">
        <v>2597</v>
      </c>
      <c r="V2128" s="29">
        <v>5113585831</v>
      </c>
      <c r="W2128" s="28" t="s">
        <v>2598</v>
      </c>
      <c r="X2128" s="29">
        <v>5113585830</v>
      </c>
      <c r="Y2128" s="36"/>
      <c r="Z2128" s="29"/>
      <c r="AA2128" s="31">
        <f t="shared" si="1"/>
        <v>44819</v>
      </c>
      <c r="AB2128" s="32" t="str">
        <f t="shared" si="5"/>
        <v>septiembre</v>
      </c>
    </row>
    <row r="2129" spans="1:28" ht="12.75">
      <c r="A2129" s="9" t="s">
        <v>58</v>
      </c>
      <c r="B2129" s="10">
        <v>44823</v>
      </c>
      <c r="C2129" s="11">
        <v>44823</v>
      </c>
      <c r="D2129" s="42">
        <v>38</v>
      </c>
      <c r="E2129" s="61" t="s">
        <v>514</v>
      </c>
      <c r="F2129" s="63">
        <v>3025457</v>
      </c>
      <c r="G2129" s="95">
        <v>6348.5</v>
      </c>
      <c r="H2129" s="63">
        <f>8500-8381.33</f>
        <v>118.67000000000007</v>
      </c>
      <c r="I2129" s="64">
        <f>-H2129*G2129</f>
        <v>-753376.49500000046</v>
      </c>
      <c r="J2129" s="73">
        <v>0</v>
      </c>
      <c r="K2129" s="135">
        <v>4502411225</v>
      </c>
      <c r="L2129" s="126">
        <v>5083694011</v>
      </c>
      <c r="M2129" s="20">
        <v>5113594425</v>
      </c>
      <c r="N2129" s="68"/>
      <c r="O2129" s="67"/>
      <c r="P2129" s="68"/>
      <c r="Q2129" s="129" t="s">
        <v>31</v>
      </c>
      <c r="R2129" s="74">
        <v>44819</v>
      </c>
      <c r="S2129" s="75"/>
      <c r="T2129" s="69"/>
      <c r="U2129" s="70"/>
      <c r="V2129" s="68"/>
      <c r="W2129" s="70"/>
      <c r="X2129" s="68"/>
      <c r="Y2129" s="71"/>
      <c r="Z2129" s="68"/>
      <c r="AA2129" s="130">
        <f t="shared" si="1"/>
        <v>44819</v>
      </c>
      <c r="AB2129" s="131" t="str">
        <f t="shared" si="5"/>
        <v>septiembre</v>
      </c>
    </row>
    <row r="2130" spans="1:28" ht="12.75">
      <c r="A2130" s="9" t="s">
        <v>58</v>
      </c>
      <c r="B2130" s="10">
        <v>44823</v>
      </c>
      <c r="C2130" s="11">
        <v>44823</v>
      </c>
      <c r="D2130" s="42">
        <v>38</v>
      </c>
      <c r="E2130" s="61" t="s">
        <v>2599</v>
      </c>
      <c r="F2130" s="63">
        <v>3025457</v>
      </c>
      <c r="G2130" s="136">
        <v>34843.5</v>
      </c>
      <c r="H2130" s="63">
        <v>8500</v>
      </c>
      <c r="I2130" s="64">
        <f>H2130*G2130</f>
        <v>296169750</v>
      </c>
      <c r="J2130" s="73">
        <v>77</v>
      </c>
      <c r="K2130" s="135">
        <v>4502411225</v>
      </c>
      <c r="L2130" s="126">
        <v>5083694011</v>
      </c>
      <c r="M2130" s="20">
        <v>5113594458</v>
      </c>
      <c r="N2130" s="128"/>
      <c r="O2130" s="9" t="s">
        <v>37</v>
      </c>
      <c r="P2130" s="68"/>
      <c r="Q2130" s="129" t="s">
        <v>31</v>
      </c>
      <c r="R2130" s="74">
        <v>44819</v>
      </c>
      <c r="S2130" s="75"/>
      <c r="T2130" s="69"/>
      <c r="U2130" s="70"/>
      <c r="V2130" s="68"/>
      <c r="W2130" s="70"/>
      <c r="X2130" s="68"/>
      <c r="Y2130" s="71"/>
      <c r="Z2130" s="68"/>
      <c r="AA2130" s="130">
        <f t="shared" si="1"/>
        <v>44819</v>
      </c>
      <c r="AB2130" s="131" t="str">
        <f t="shared" si="5"/>
        <v>septiembre</v>
      </c>
    </row>
    <row r="2131" spans="1:28" ht="12.75">
      <c r="A2131" s="9" t="s">
        <v>58</v>
      </c>
      <c r="B2131" s="10">
        <v>44823</v>
      </c>
      <c r="C2131" s="11">
        <v>44823</v>
      </c>
      <c r="D2131" s="42">
        <v>38</v>
      </c>
      <c r="E2131" s="61" t="s">
        <v>845</v>
      </c>
      <c r="F2131" s="63">
        <v>3025457</v>
      </c>
      <c r="G2131" s="136">
        <v>34843.5</v>
      </c>
      <c r="H2131" s="63">
        <f>8500-8495.7</f>
        <v>4.2999999999992724</v>
      </c>
      <c r="I2131" s="64">
        <f>-H2131*G2131</f>
        <v>-149827.04999997464</v>
      </c>
      <c r="J2131" s="73">
        <v>0</v>
      </c>
      <c r="K2131" s="135">
        <v>4502411225</v>
      </c>
      <c r="L2131" s="126">
        <v>5083694011</v>
      </c>
      <c r="M2131" s="20">
        <v>5113594462</v>
      </c>
      <c r="N2131" s="68"/>
      <c r="O2131" s="67"/>
      <c r="P2131" s="68"/>
      <c r="Q2131" s="129" t="s">
        <v>31</v>
      </c>
      <c r="R2131" s="74">
        <v>44819</v>
      </c>
      <c r="S2131" s="75"/>
      <c r="T2131" s="69"/>
      <c r="U2131" s="70"/>
      <c r="V2131" s="68"/>
      <c r="W2131" s="70"/>
      <c r="X2131" s="68"/>
      <c r="Y2131" s="71"/>
      <c r="Z2131" s="68"/>
      <c r="AA2131" s="130">
        <f t="shared" si="1"/>
        <v>44819</v>
      </c>
      <c r="AB2131" s="131" t="str">
        <f t="shared" si="5"/>
        <v>septiembre</v>
      </c>
    </row>
    <row r="2132" spans="1:28" ht="12.75">
      <c r="A2132" s="9" t="s">
        <v>80</v>
      </c>
      <c r="B2132" s="10">
        <v>44819</v>
      </c>
      <c r="C2132" s="11"/>
      <c r="D2132" s="42">
        <v>38</v>
      </c>
      <c r="E2132" s="13" t="s">
        <v>2600</v>
      </c>
      <c r="F2132" s="13">
        <v>3025459</v>
      </c>
      <c r="G2132" s="14">
        <v>19992</v>
      </c>
      <c r="H2132" s="15">
        <v>7800</v>
      </c>
      <c r="I2132" s="64">
        <f t="shared" ref="I2132:I2133" si="314">H2132*G2132</f>
        <v>155937600</v>
      </c>
      <c r="J2132" s="17">
        <v>41</v>
      </c>
      <c r="K2132" s="34">
        <v>4502412650</v>
      </c>
      <c r="L2132" s="126">
        <v>5083694280</v>
      </c>
      <c r="M2132" s="20">
        <v>5113591684</v>
      </c>
      <c r="N2132" s="23" t="s">
        <v>37</v>
      </c>
      <c r="O2132" s="22" t="s">
        <v>1057</v>
      </c>
      <c r="P2132" s="23"/>
      <c r="Q2132" s="24" t="s">
        <v>31</v>
      </c>
      <c r="R2132" s="25">
        <v>44819</v>
      </c>
      <c r="S2132" s="28">
        <v>4902347661</v>
      </c>
      <c r="T2132" s="27">
        <v>4792500</v>
      </c>
      <c r="U2132" s="28" t="s">
        <v>2601</v>
      </c>
      <c r="V2132" s="29">
        <v>5113599199</v>
      </c>
      <c r="W2132" s="35"/>
      <c r="X2132" s="29"/>
      <c r="Y2132" s="36"/>
      <c r="Z2132" s="29"/>
      <c r="AA2132" s="31">
        <f t="shared" si="1"/>
        <v>44819</v>
      </c>
      <c r="AB2132" s="32" t="str">
        <f t="shared" si="5"/>
        <v>septiembre</v>
      </c>
    </row>
    <row r="2133" spans="1:28" ht="12.75">
      <c r="A2133" s="9" t="s">
        <v>296</v>
      </c>
      <c r="B2133" s="10">
        <v>44819</v>
      </c>
      <c r="C2133" s="11">
        <v>44825</v>
      </c>
      <c r="D2133" s="42">
        <v>38</v>
      </c>
      <c r="E2133" s="13" t="s">
        <v>2602</v>
      </c>
      <c r="F2133" s="13">
        <v>3025459</v>
      </c>
      <c r="G2133" s="14">
        <v>14001</v>
      </c>
      <c r="H2133" s="33">
        <v>8500</v>
      </c>
      <c r="I2133" s="64">
        <f t="shared" si="314"/>
        <v>119008500</v>
      </c>
      <c r="J2133" s="17">
        <v>28</v>
      </c>
      <c r="K2133" s="34">
        <v>4502411226</v>
      </c>
      <c r="L2133" s="126">
        <v>5083693823</v>
      </c>
      <c r="M2133" s="20">
        <v>5113599364</v>
      </c>
      <c r="N2133" s="128"/>
      <c r="O2133" s="23" t="s">
        <v>63</v>
      </c>
      <c r="P2133" s="23"/>
      <c r="Q2133" s="24" t="s">
        <v>31</v>
      </c>
      <c r="R2133" s="25">
        <v>44819</v>
      </c>
      <c r="S2133" s="28"/>
      <c r="T2133" s="35"/>
      <c r="U2133" s="35"/>
      <c r="V2133" s="29"/>
      <c r="W2133" s="35"/>
      <c r="X2133" s="29"/>
      <c r="Y2133" s="36"/>
      <c r="Z2133" s="29"/>
      <c r="AA2133" s="31">
        <f t="shared" si="1"/>
        <v>44819</v>
      </c>
      <c r="AB2133" s="32" t="str">
        <f t="shared" si="5"/>
        <v>septiembre</v>
      </c>
    </row>
    <row r="2134" spans="1:28" ht="12.75">
      <c r="A2134" s="9" t="s">
        <v>296</v>
      </c>
      <c r="B2134" s="10">
        <v>44819</v>
      </c>
      <c r="C2134" s="11">
        <v>44825</v>
      </c>
      <c r="D2134" s="42">
        <v>38</v>
      </c>
      <c r="E2134" s="13" t="s">
        <v>127</v>
      </c>
      <c r="F2134" s="13">
        <v>3025459</v>
      </c>
      <c r="G2134" s="14">
        <v>14001</v>
      </c>
      <c r="H2134" s="33">
        <v>50</v>
      </c>
      <c r="I2134" s="64">
        <f>-H2134*G2134</f>
        <v>-700050</v>
      </c>
      <c r="J2134" s="17">
        <v>0</v>
      </c>
      <c r="K2134" s="34">
        <v>4502411226</v>
      </c>
      <c r="L2134" s="126">
        <v>5083693823</v>
      </c>
      <c r="M2134" s="20">
        <v>5113599407</v>
      </c>
      <c r="N2134" s="128"/>
      <c r="O2134" s="9"/>
      <c r="P2134" s="23"/>
      <c r="Q2134" s="24" t="s">
        <v>31</v>
      </c>
      <c r="R2134" s="25">
        <v>44819</v>
      </c>
      <c r="S2134" s="28"/>
      <c r="T2134" s="35"/>
      <c r="U2134" s="35"/>
      <c r="V2134" s="29"/>
      <c r="W2134" s="35"/>
      <c r="X2134" s="29"/>
      <c r="Y2134" s="36"/>
      <c r="Z2134" s="29"/>
      <c r="AA2134" s="31">
        <f t="shared" si="1"/>
        <v>44819</v>
      </c>
      <c r="AB2134" s="32" t="str">
        <f t="shared" si="5"/>
        <v>septiembre</v>
      </c>
    </row>
    <row r="2135" spans="1:28" ht="12.75">
      <c r="A2135" s="9" t="s">
        <v>83</v>
      </c>
      <c r="B2135" s="10">
        <v>44820</v>
      </c>
      <c r="C2135" s="11">
        <v>44823</v>
      </c>
      <c r="D2135" s="42">
        <v>38</v>
      </c>
      <c r="E2135" s="13" t="s">
        <v>2603</v>
      </c>
      <c r="F2135" s="13">
        <v>3025457</v>
      </c>
      <c r="G2135" s="14">
        <v>27048</v>
      </c>
      <c r="H2135" s="15">
        <v>7800</v>
      </c>
      <c r="I2135" s="64">
        <f t="shared" ref="I2135:I2137" si="315">H2135*G2135</f>
        <v>210974400</v>
      </c>
      <c r="J2135" s="17">
        <v>56</v>
      </c>
      <c r="K2135" s="34">
        <v>4502412653</v>
      </c>
      <c r="L2135" s="126">
        <v>5083694286</v>
      </c>
      <c r="M2135" s="20">
        <v>5113589947</v>
      </c>
      <c r="N2135" s="23"/>
      <c r="O2135" s="22" t="s">
        <v>2604</v>
      </c>
      <c r="P2135" s="23"/>
      <c r="Q2135" s="24" t="s">
        <v>31</v>
      </c>
      <c r="R2135" s="25">
        <v>44820</v>
      </c>
      <c r="S2135" s="28">
        <v>4902347663</v>
      </c>
      <c r="T2135" s="28">
        <v>7128500</v>
      </c>
      <c r="U2135" s="28" t="s">
        <v>2605</v>
      </c>
      <c r="V2135" s="29">
        <v>5113587692</v>
      </c>
      <c r="W2135" s="28" t="s">
        <v>2606</v>
      </c>
      <c r="X2135" s="29">
        <v>5113587693</v>
      </c>
      <c r="Y2135" s="36"/>
      <c r="Z2135" s="29"/>
      <c r="AA2135" s="31">
        <f t="shared" si="1"/>
        <v>44820</v>
      </c>
      <c r="AB2135" s="32" t="str">
        <f t="shared" si="5"/>
        <v>septiembre</v>
      </c>
    </row>
    <row r="2136" spans="1:28" ht="12.75">
      <c r="A2136" s="9" t="s">
        <v>116</v>
      </c>
      <c r="B2136" s="10">
        <v>44817</v>
      </c>
      <c r="C2136" s="11"/>
      <c r="D2136" s="42">
        <v>38</v>
      </c>
      <c r="E2136" s="13" t="s">
        <v>2595</v>
      </c>
      <c r="F2136" s="13">
        <v>3025457</v>
      </c>
      <c r="G2136" s="14"/>
      <c r="H2136" s="15">
        <v>9035</v>
      </c>
      <c r="I2136" s="16">
        <f t="shared" si="315"/>
        <v>0</v>
      </c>
      <c r="J2136" s="17">
        <v>42</v>
      </c>
      <c r="K2136" s="34">
        <v>4502411300</v>
      </c>
      <c r="L2136" s="126">
        <v>5083660241</v>
      </c>
      <c r="M2136" s="20">
        <v>5113580506</v>
      </c>
      <c r="N2136" s="23" t="s">
        <v>37</v>
      </c>
      <c r="O2136" s="22" t="s">
        <v>2607</v>
      </c>
      <c r="P2136" s="23"/>
      <c r="Q2136" s="24" t="s">
        <v>31</v>
      </c>
      <c r="R2136" s="25">
        <v>44820</v>
      </c>
      <c r="S2136" s="28">
        <v>4902347665</v>
      </c>
      <c r="T2136" s="35">
        <f>1750000*3</f>
        <v>5250000</v>
      </c>
      <c r="U2136" s="28" t="s">
        <v>2608</v>
      </c>
      <c r="V2136" s="29">
        <v>5113587691</v>
      </c>
      <c r="W2136" s="35"/>
      <c r="X2136" s="29"/>
      <c r="Y2136" s="36"/>
      <c r="Z2136" s="29"/>
      <c r="AA2136" s="31">
        <f t="shared" si="1"/>
        <v>44820</v>
      </c>
      <c r="AB2136" s="32" t="str">
        <f t="shared" si="5"/>
        <v>septiembre</v>
      </c>
    </row>
    <row r="2137" spans="1:28" ht="12.75">
      <c r="A2137" s="9" t="s">
        <v>58</v>
      </c>
      <c r="B2137" s="10">
        <v>44823</v>
      </c>
      <c r="C2137" s="11">
        <v>44823</v>
      </c>
      <c r="D2137" s="42">
        <v>38</v>
      </c>
      <c r="E2137" s="13" t="s">
        <v>2609</v>
      </c>
      <c r="F2137" s="13">
        <v>3025457</v>
      </c>
      <c r="G2137" s="37">
        <v>13452.5</v>
      </c>
      <c r="H2137" s="33">
        <v>8500</v>
      </c>
      <c r="I2137" s="16">
        <f t="shared" si="315"/>
        <v>114346250</v>
      </c>
      <c r="J2137" s="17">
        <v>30</v>
      </c>
      <c r="K2137" s="34">
        <v>4502411228</v>
      </c>
      <c r="L2137" s="126">
        <v>5083716559</v>
      </c>
      <c r="M2137" s="20">
        <v>5113594487</v>
      </c>
      <c r="N2137" s="128"/>
      <c r="O2137" s="9" t="s">
        <v>37</v>
      </c>
      <c r="P2137" s="23"/>
      <c r="Q2137" s="24" t="s">
        <v>31</v>
      </c>
      <c r="R2137" s="25">
        <v>44820</v>
      </c>
      <c r="S2137" s="28"/>
      <c r="T2137" s="35"/>
      <c r="U2137" s="35"/>
      <c r="V2137" s="29"/>
      <c r="W2137" s="35"/>
      <c r="X2137" s="29"/>
      <c r="Y2137" s="36"/>
      <c r="Z2137" s="29"/>
      <c r="AA2137" s="31">
        <f t="shared" si="1"/>
        <v>44820</v>
      </c>
      <c r="AB2137" s="32" t="str">
        <f t="shared" si="5"/>
        <v>septiembre</v>
      </c>
    </row>
    <row r="2138" spans="1:28" ht="12.75">
      <c r="A2138" s="9" t="s">
        <v>58</v>
      </c>
      <c r="B2138" s="10">
        <v>44823</v>
      </c>
      <c r="C2138" s="11">
        <v>44823</v>
      </c>
      <c r="D2138" s="42">
        <v>38</v>
      </c>
      <c r="E2138" s="13" t="s">
        <v>108</v>
      </c>
      <c r="F2138" s="13">
        <v>3025457</v>
      </c>
      <c r="G2138" s="37">
        <v>13452.5</v>
      </c>
      <c r="H2138" s="33">
        <f>8500-8494.13</f>
        <v>5.8700000000008004</v>
      </c>
      <c r="I2138" s="16">
        <f>-H2138*G2138</f>
        <v>-78966.175000010771</v>
      </c>
      <c r="J2138" s="17">
        <v>0</v>
      </c>
      <c r="K2138" s="34">
        <v>4502411228</v>
      </c>
      <c r="L2138" s="126">
        <v>5083716559</v>
      </c>
      <c r="M2138" s="20">
        <v>5113594491</v>
      </c>
      <c r="N2138" s="128"/>
      <c r="O2138" s="9"/>
      <c r="P2138" s="23"/>
      <c r="Q2138" s="24" t="s">
        <v>31</v>
      </c>
      <c r="R2138" s="25">
        <v>44820</v>
      </c>
      <c r="S2138" s="28"/>
      <c r="T2138" s="35"/>
      <c r="U2138" s="35"/>
      <c r="V2138" s="29"/>
      <c r="W2138" s="35"/>
      <c r="X2138" s="29"/>
      <c r="Y2138" s="36"/>
      <c r="Z2138" s="29"/>
      <c r="AA2138" s="31">
        <f t="shared" si="1"/>
        <v>44820</v>
      </c>
      <c r="AB2138" s="32" t="str">
        <f t="shared" si="5"/>
        <v>septiembre</v>
      </c>
    </row>
    <row r="2139" spans="1:28" ht="12.75">
      <c r="A2139" s="9" t="s">
        <v>58</v>
      </c>
      <c r="B2139" s="10">
        <v>44823</v>
      </c>
      <c r="C2139" s="11">
        <v>44823</v>
      </c>
      <c r="D2139" s="42">
        <v>38</v>
      </c>
      <c r="E2139" s="13" t="s">
        <v>2610</v>
      </c>
      <c r="F2139" s="13">
        <v>3025457</v>
      </c>
      <c r="G2139" s="14">
        <v>13242</v>
      </c>
      <c r="H2139" s="33">
        <v>8500</v>
      </c>
      <c r="I2139" s="16">
        <f>H2139*G2139</f>
        <v>112557000</v>
      </c>
      <c r="J2139" s="17">
        <v>30</v>
      </c>
      <c r="K2139" s="34">
        <v>4502411228</v>
      </c>
      <c r="L2139" s="126">
        <v>5083716559</v>
      </c>
      <c r="M2139" s="20">
        <v>5113594494</v>
      </c>
      <c r="N2139" s="128"/>
      <c r="O2139" s="9" t="s">
        <v>37</v>
      </c>
      <c r="P2139" s="23"/>
      <c r="Q2139" s="24" t="s">
        <v>31</v>
      </c>
      <c r="R2139" s="25">
        <v>44820</v>
      </c>
      <c r="S2139" s="28"/>
      <c r="T2139" s="35"/>
      <c r="U2139" s="35"/>
      <c r="V2139" s="29"/>
      <c r="W2139" s="35"/>
      <c r="X2139" s="29"/>
      <c r="Y2139" s="36"/>
      <c r="Z2139" s="29"/>
      <c r="AA2139" s="31">
        <f t="shared" si="1"/>
        <v>44820</v>
      </c>
      <c r="AB2139" s="32" t="str">
        <f t="shared" si="5"/>
        <v>septiembre</v>
      </c>
    </row>
    <row r="2140" spans="1:28" ht="12.75">
      <c r="A2140" s="9" t="s">
        <v>58</v>
      </c>
      <c r="B2140" s="10">
        <v>44823</v>
      </c>
      <c r="C2140" s="11">
        <v>44823</v>
      </c>
      <c r="D2140" s="42">
        <v>38</v>
      </c>
      <c r="E2140" s="13" t="s">
        <v>300</v>
      </c>
      <c r="F2140" s="13">
        <v>3025457</v>
      </c>
      <c r="G2140" s="14">
        <v>13242</v>
      </c>
      <c r="H2140" s="33">
        <f>8500-8326.54</f>
        <v>173.45999999999913</v>
      </c>
      <c r="I2140" s="16">
        <f>-H2140*G2140</f>
        <v>-2296957.3199999887</v>
      </c>
      <c r="J2140" s="17">
        <v>0</v>
      </c>
      <c r="K2140" s="34">
        <v>4502411228</v>
      </c>
      <c r="L2140" s="126">
        <v>5083716559</v>
      </c>
      <c r="M2140" s="20">
        <v>5113594528</v>
      </c>
      <c r="N2140" s="128"/>
      <c r="O2140" s="9"/>
      <c r="P2140" s="23"/>
      <c r="Q2140" s="24" t="s">
        <v>31</v>
      </c>
      <c r="R2140" s="25">
        <v>44820</v>
      </c>
      <c r="S2140" s="28"/>
      <c r="T2140" s="35"/>
      <c r="U2140" s="35"/>
      <c r="V2140" s="29"/>
      <c r="W2140" s="35"/>
      <c r="X2140" s="29"/>
      <c r="Y2140" s="36"/>
      <c r="Z2140" s="29"/>
      <c r="AA2140" s="31">
        <f t="shared" si="1"/>
        <v>44820</v>
      </c>
      <c r="AB2140" s="32" t="str">
        <f t="shared" si="5"/>
        <v>septiembre</v>
      </c>
    </row>
    <row r="2141" spans="1:28" ht="12.75">
      <c r="A2141" s="9" t="s">
        <v>276</v>
      </c>
      <c r="B2141" s="10">
        <v>44824</v>
      </c>
      <c r="C2141" s="11"/>
      <c r="D2141" s="42">
        <v>38</v>
      </c>
      <c r="E2141" s="13" t="s">
        <v>2611</v>
      </c>
      <c r="F2141" s="13">
        <v>3025459</v>
      </c>
      <c r="G2141" s="37">
        <v>12697.5</v>
      </c>
      <c r="H2141" s="33">
        <v>8000</v>
      </c>
      <c r="I2141" s="16">
        <f>H2141*G2141</f>
        <v>101580000</v>
      </c>
      <c r="J2141" s="17">
        <v>28</v>
      </c>
      <c r="K2141" s="34">
        <v>4502411229</v>
      </c>
      <c r="L2141" s="126">
        <v>5083716560</v>
      </c>
      <c r="M2141" s="20">
        <v>5113591378</v>
      </c>
      <c r="N2141" s="128"/>
      <c r="O2141" s="9" t="s">
        <v>63</v>
      </c>
      <c r="P2141" s="23"/>
      <c r="Q2141" s="24" t="s">
        <v>31</v>
      </c>
      <c r="R2141" s="25">
        <v>44820</v>
      </c>
      <c r="S2141" s="28"/>
      <c r="T2141" s="35"/>
      <c r="U2141" s="35"/>
      <c r="V2141" s="29"/>
      <c r="W2141" s="35"/>
      <c r="X2141" s="29"/>
      <c r="Y2141" s="36"/>
      <c r="Z2141" s="29"/>
      <c r="AA2141" s="31">
        <f t="shared" si="1"/>
        <v>44820</v>
      </c>
      <c r="AB2141" s="32" t="str">
        <f t="shared" si="5"/>
        <v>septiembre</v>
      </c>
    </row>
    <row r="2142" spans="1:28" ht="12.75">
      <c r="A2142" s="9" t="s">
        <v>276</v>
      </c>
      <c r="B2142" s="10">
        <v>44824</v>
      </c>
      <c r="C2142" s="11"/>
      <c r="D2142" s="42">
        <v>38</v>
      </c>
      <c r="E2142" s="13" t="s">
        <v>2612</v>
      </c>
      <c r="F2142" s="13">
        <v>3025459</v>
      </c>
      <c r="G2142" s="37">
        <v>12697.5</v>
      </c>
      <c r="H2142" s="33">
        <v>50</v>
      </c>
      <c r="I2142" s="16">
        <f>-H2142*G2142</f>
        <v>-634875</v>
      </c>
      <c r="J2142" s="17">
        <v>0</v>
      </c>
      <c r="K2142" s="34">
        <v>4502411229</v>
      </c>
      <c r="L2142" s="126">
        <v>5083716560</v>
      </c>
      <c r="M2142" s="20">
        <v>5113591384</v>
      </c>
      <c r="N2142" s="128"/>
      <c r="O2142" s="9"/>
      <c r="P2142" s="23"/>
      <c r="Q2142" s="24" t="s">
        <v>31</v>
      </c>
      <c r="R2142" s="25">
        <v>44820</v>
      </c>
      <c r="S2142" s="28"/>
      <c r="T2142" s="35"/>
      <c r="U2142" s="35"/>
      <c r="V2142" s="29"/>
      <c r="W2142" s="35"/>
      <c r="X2142" s="29"/>
      <c r="Y2142" s="36"/>
      <c r="Z2142" s="29"/>
      <c r="AA2142" s="31">
        <f t="shared" si="1"/>
        <v>44820</v>
      </c>
      <c r="AB2142" s="32" t="str">
        <f t="shared" si="5"/>
        <v>septiembre</v>
      </c>
    </row>
    <row r="2143" spans="1:28" ht="12.75">
      <c r="A2143" s="22" t="s">
        <v>404</v>
      </c>
      <c r="B2143" s="10">
        <v>44820</v>
      </c>
      <c r="C2143" s="11">
        <v>44823</v>
      </c>
      <c r="D2143" s="42">
        <v>38</v>
      </c>
      <c r="E2143" s="13" t="s">
        <v>2613</v>
      </c>
      <c r="F2143" s="13">
        <v>3025459</v>
      </c>
      <c r="G2143" s="14">
        <v>6906</v>
      </c>
      <c r="H2143" s="33">
        <v>8500</v>
      </c>
      <c r="I2143" s="16">
        <f>H2143*G2143</f>
        <v>58701000</v>
      </c>
      <c r="J2143" s="17">
        <v>15</v>
      </c>
      <c r="K2143" s="34">
        <v>4502411231</v>
      </c>
      <c r="L2143" s="126">
        <v>5083717216</v>
      </c>
      <c r="M2143" s="20">
        <v>5113591413</v>
      </c>
      <c r="N2143" s="128"/>
      <c r="O2143" s="9" t="s">
        <v>37</v>
      </c>
      <c r="P2143" s="23"/>
      <c r="Q2143" s="24" t="s">
        <v>31</v>
      </c>
      <c r="R2143" s="25">
        <v>44820</v>
      </c>
      <c r="S2143" s="28"/>
      <c r="T2143" s="35"/>
      <c r="U2143" s="35"/>
      <c r="V2143" s="29"/>
      <c r="W2143" s="35"/>
      <c r="X2143" s="29"/>
      <c r="Y2143" s="36"/>
      <c r="Z2143" s="29"/>
      <c r="AA2143" s="31">
        <f t="shared" si="1"/>
        <v>44820</v>
      </c>
      <c r="AB2143" s="32" t="str">
        <f t="shared" si="5"/>
        <v>septiembre</v>
      </c>
    </row>
    <row r="2144" spans="1:28" ht="12.75">
      <c r="A2144" s="22" t="s">
        <v>404</v>
      </c>
      <c r="B2144" s="10">
        <v>44823</v>
      </c>
      <c r="C2144" s="11">
        <v>44823</v>
      </c>
      <c r="D2144" s="42">
        <v>38</v>
      </c>
      <c r="E2144" s="13" t="s">
        <v>447</v>
      </c>
      <c r="F2144" s="13">
        <v>3025459</v>
      </c>
      <c r="G2144" s="14">
        <v>6906</v>
      </c>
      <c r="H2144" s="33">
        <v>50</v>
      </c>
      <c r="I2144" s="16">
        <f>-H2144*G2144</f>
        <v>-345300</v>
      </c>
      <c r="J2144" s="17">
        <v>0</v>
      </c>
      <c r="K2144" s="34">
        <v>4502411231</v>
      </c>
      <c r="L2144" s="126">
        <v>5083717216</v>
      </c>
      <c r="M2144" s="20">
        <v>5113591414</v>
      </c>
      <c r="N2144" s="128"/>
      <c r="O2144" s="9"/>
      <c r="P2144" s="23"/>
      <c r="Q2144" s="24" t="s">
        <v>31</v>
      </c>
      <c r="R2144" s="25">
        <v>44820</v>
      </c>
      <c r="S2144" s="28"/>
      <c r="T2144" s="35"/>
      <c r="U2144" s="35"/>
      <c r="V2144" s="29"/>
      <c r="W2144" s="35"/>
      <c r="X2144" s="29"/>
      <c r="Y2144" s="36"/>
      <c r="Z2144" s="29"/>
      <c r="AA2144" s="31">
        <f t="shared" si="1"/>
        <v>44820</v>
      </c>
      <c r="AB2144" s="32" t="str">
        <f t="shared" si="5"/>
        <v>septiembre</v>
      </c>
    </row>
    <row r="2145" spans="1:28" ht="12.75">
      <c r="A2145" s="22" t="s">
        <v>404</v>
      </c>
      <c r="B2145" s="10">
        <v>44821</v>
      </c>
      <c r="C2145" s="11">
        <v>44825</v>
      </c>
      <c r="D2145" s="42">
        <v>38</v>
      </c>
      <c r="E2145" s="13" t="s">
        <v>2614</v>
      </c>
      <c r="F2145" s="13">
        <v>3025457</v>
      </c>
      <c r="G2145" s="14">
        <v>19453</v>
      </c>
      <c r="H2145" s="33">
        <v>8500</v>
      </c>
      <c r="I2145" s="16">
        <f>H2145*G2145</f>
        <v>165350500</v>
      </c>
      <c r="J2145" s="17">
        <v>42</v>
      </c>
      <c r="K2145" s="34">
        <v>4502411232</v>
      </c>
      <c r="L2145" s="126">
        <v>5083727328</v>
      </c>
      <c r="M2145" s="20">
        <v>5113597686</v>
      </c>
      <c r="N2145" s="23"/>
      <c r="O2145" s="9" t="s">
        <v>37</v>
      </c>
      <c r="P2145" s="23"/>
      <c r="Q2145" s="24" t="s">
        <v>31</v>
      </c>
      <c r="R2145" s="25">
        <v>44821</v>
      </c>
      <c r="S2145" s="28"/>
      <c r="T2145" s="35"/>
      <c r="U2145" s="35"/>
      <c r="V2145" s="29"/>
      <c r="W2145" s="35"/>
      <c r="X2145" s="29"/>
      <c r="Y2145" s="36"/>
      <c r="Z2145" s="29"/>
      <c r="AA2145" s="31">
        <f t="shared" si="1"/>
        <v>44821</v>
      </c>
      <c r="AB2145" s="32" t="str">
        <f t="shared" si="5"/>
        <v>septiembre</v>
      </c>
    </row>
    <row r="2146" spans="1:28" ht="12.75">
      <c r="A2146" s="22" t="s">
        <v>404</v>
      </c>
      <c r="B2146" s="10">
        <v>44824</v>
      </c>
      <c r="C2146" s="11">
        <v>44825</v>
      </c>
      <c r="D2146" s="42">
        <v>38</v>
      </c>
      <c r="E2146" s="13" t="s">
        <v>510</v>
      </c>
      <c r="F2146" s="13">
        <v>3025457</v>
      </c>
      <c r="G2146" s="14">
        <v>19453</v>
      </c>
      <c r="H2146" s="33">
        <v>50</v>
      </c>
      <c r="I2146" s="16">
        <f>-H2146*G2146</f>
        <v>-972650</v>
      </c>
      <c r="J2146" s="17">
        <v>0</v>
      </c>
      <c r="K2146" s="34">
        <v>4502411232</v>
      </c>
      <c r="L2146" s="126">
        <v>5083727328</v>
      </c>
      <c r="M2146" s="20">
        <v>5113597809</v>
      </c>
      <c r="N2146" s="128"/>
      <c r="O2146" s="9"/>
      <c r="P2146" s="23"/>
      <c r="Q2146" s="24" t="s">
        <v>31</v>
      </c>
      <c r="R2146" s="25">
        <v>44821</v>
      </c>
      <c r="S2146" s="28"/>
      <c r="T2146" s="35"/>
      <c r="U2146" s="35"/>
      <c r="V2146" s="29"/>
      <c r="W2146" s="35"/>
      <c r="X2146" s="29"/>
      <c r="Y2146" s="36"/>
      <c r="Z2146" s="29"/>
      <c r="AA2146" s="31">
        <f t="shared" si="1"/>
        <v>44821</v>
      </c>
      <c r="AB2146" s="32" t="str">
        <f t="shared" si="5"/>
        <v>septiembre</v>
      </c>
    </row>
    <row r="2147" spans="1:28" ht="12.75">
      <c r="A2147" s="9" t="s">
        <v>80</v>
      </c>
      <c r="B2147" s="10">
        <v>44820</v>
      </c>
      <c r="C2147" s="11"/>
      <c r="D2147" s="42">
        <v>38</v>
      </c>
      <c r="E2147" s="13" t="s">
        <v>2615</v>
      </c>
      <c r="F2147" s="13">
        <v>3025457</v>
      </c>
      <c r="G2147" s="14">
        <v>19966</v>
      </c>
      <c r="H2147" s="15">
        <v>7800</v>
      </c>
      <c r="I2147" s="16">
        <f t="shared" ref="I2147:I2149" si="316">H2147*G2147</f>
        <v>155734800</v>
      </c>
      <c r="J2147" s="17">
        <v>42</v>
      </c>
      <c r="K2147" s="34">
        <v>4502412658</v>
      </c>
      <c r="L2147" s="126">
        <v>5083726055</v>
      </c>
      <c r="M2147" s="20">
        <v>5113594571</v>
      </c>
      <c r="N2147" s="23" t="s">
        <v>37</v>
      </c>
      <c r="O2147" s="88" t="s">
        <v>272</v>
      </c>
      <c r="P2147" s="23"/>
      <c r="Q2147" s="24" t="s">
        <v>31</v>
      </c>
      <c r="R2147" s="25">
        <v>44821</v>
      </c>
      <c r="S2147" s="28">
        <v>4902347666</v>
      </c>
      <c r="T2147" s="35">
        <f>1793900*3</f>
        <v>5381700</v>
      </c>
      <c r="U2147" s="28" t="s">
        <v>2616</v>
      </c>
      <c r="V2147" s="29">
        <v>5113589260</v>
      </c>
      <c r="W2147" s="35"/>
      <c r="X2147" s="29"/>
      <c r="Y2147" s="36"/>
      <c r="Z2147" s="29"/>
      <c r="AA2147" s="31">
        <f t="shared" si="1"/>
        <v>44821</v>
      </c>
      <c r="AB2147" s="32" t="str">
        <f t="shared" si="5"/>
        <v>septiembre</v>
      </c>
    </row>
    <row r="2148" spans="1:28" ht="12.75">
      <c r="A2148" s="9" t="s">
        <v>28</v>
      </c>
      <c r="B2148" s="10">
        <v>44823</v>
      </c>
      <c r="C2148" s="11">
        <v>44823</v>
      </c>
      <c r="D2148" s="42">
        <v>38</v>
      </c>
      <c r="E2148" s="13" t="s">
        <v>2617</v>
      </c>
      <c r="F2148" s="13">
        <v>3025457</v>
      </c>
      <c r="G2148" s="14">
        <v>32999</v>
      </c>
      <c r="H2148" s="15">
        <v>7750</v>
      </c>
      <c r="I2148" s="16">
        <f t="shared" si="316"/>
        <v>255742250</v>
      </c>
      <c r="J2148" s="17">
        <v>70</v>
      </c>
      <c r="K2148" s="34">
        <v>4502412659</v>
      </c>
      <c r="L2148" s="126">
        <v>5083726056</v>
      </c>
      <c r="M2148" s="20">
        <v>5113591306</v>
      </c>
      <c r="N2148" s="128"/>
      <c r="O2148" s="22" t="s">
        <v>2618</v>
      </c>
      <c r="P2148" s="128" t="s">
        <v>63</v>
      </c>
      <c r="Q2148" s="24" t="s">
        <v>31</v>
      </c>
      <c r="R2148" s="25">
        <v>44821</v>
      </c>
      <c r="S2148" s="28">
        <v>4902347668</v>
      </c>
      <c r="T2148" s="28">
        <v>15094140</v>
      </c>
      <c r="U2148" s="28" t="s">
        <v>2619</v>
      </c>
      <c r="V2148" s="29">
        <v>5113589259</v>
      </c>
      <c r="W2148" s="29" t="s">
        <v>2620</v>
      </c>
      <c r="X2148" s="28">
        <v>5113589258</v>
      </c>
      <c r="Y2148" s="36"/>
      <c r="Z2148" s="29"/>
      <c r="AA2148" s="31">
        <f t="shared" si="1"/>
        <v>44821</v>
      </c>
      <c r="AB2148" s="32" t="str">
        <f t="shared" si="5"/>
        <v>septiembre</v>
      </c>
    </row>
    <row r="2149" spans="1:28" ht="12.75">
      <c r="A2149" s="9" t="s">
        <v>58</v>
      </c>
      <c r="B2149" s="10">
        <v>44824</v>
      </c>
      <c r="C2149" s="11">
        <v>44824</v>
      </c>
      <c r="D2149" s="42">
        <v>38</v>
      </c>
      <c r="E2149" s="13" t="s">
        <v>2621</v>
      </c>
      <c r="F2149" s="13">
        <v>3025457</v>
      </c>
      <c r="G2149" s="37">
        <v>13522.5</v>
      </c>
      <c r="H2149" s="33">
        <v>8500</v>
      </c>
      <c r="I2149" s="16">
        <f t="shared" si="316"/>
        <v>114941250</v>
      </c>
      <c r="J2149" s="17">
        <v>32</v>
      </c>
      <c r="K2149" s="34">
        <v>4502411233</v>
      </c>
      <c r="L2149" s="126">
        <v>5083728242</v>
      </c>
      <c r="M2149" s="20">
        <v>5113594807</v>
      </c>
      <c r="N2149" s="128"/>
      <c r="O2149" s="9" t="s">
        <v>37</v>
      </c>
      <c r="P2149" s="23"/>
      <c r="Q2149" s="24" t="s">
        <v>31</v>
      </c>
      <c r="R2149" s="25">
        <v>44822</v>
      </c>
      <c r="S2149" s="28"/>
      <c r="T2149" s="35"/>
      <c r="U2149" s="35"/>
      <c r="V2149" s="29"/>
      <c r="W2149" s="35"/>
      <c r="X2149" s="29"/>
      <c r="Y2149" s="36"/>
      <c r="Z2149" s="29"/>
      <c r="AA2149" s="31">
        <f t="shared" si="1"/>
        <v>44822</v>
      </c>
      <c r="AB2149" s="32" t="str">
        <f t="shared" si="5"/>
        <v>septiembre</v>
      </c>
    </row>
    <row r="2150" spans="1:28" ht="12.75">
      <c r="A2150" s="9" t="s">
        <v>58</v>
      </c>
      <c r="B2150" s="10">
        <v>44824</v>
      </c>
      <c r="C2150" s="11">
        <v>44824</v>
      </c>
      <c r="D2150" s="42">
        <v>38</v>
      </c>
      <c r="E2150" s="13" t="s">
        <v>2362</v>
      </c>
      <c r="F2150" s="13">
        <v>3025457</v>
      </c>
      <c r="G2150" s="37">
        <v>13522.5</v>
      </c>
      <c r="H2150" s="33">
        <f>8500-8491.24</f>
        <v>8.7600000000002183</v>
      </c>
      <c r="I2150" s="16">
        <f>-H2150*G2150</f>
        <v>-118457.10000000295</v>
      </c>
      <c r="J2150" s="17">
        <v>0</v>
      </c>
      <c r="K2150" s="34">
        <v>4502411233</v>
      </c>
      <c r="L2150" s="126">
        <v>5083728242</v>
      </c>
      <c r="M2150" s="20">
        <v>5113594811</v>
      </c>
      <c r="N2150" s="128"/>
      <c r="O2150" s="9"/>
      <c r="P2150" s="23"/>
      <c r="Q2150" s="24" t="s">
        <v>31</v>
      </c>
      <c r="R2150" s="25">
        <v>44822</v>
      </c>
      <c r="S2150" s="28"/>
      <c r="T2150" s="35"/>
      <c r="U2150" s="35"/>
      <c r="V2150" s="29"/>
      <c r="W2150" s="35"/>
      <c r="X2150" s="29"/>
      <c r="Y2150" s="36"/>
      <c r="Z2150" s="29"/>
      <c r="AA2150" s="31">
        <f t="shared" si="1"/>
        <v>44822</v>
      </c>
      <c r="AB2150" s="32" t="str">
        <f t="shared" si="5"/>
        <v>septiembre</v>
      </c>
    </row>
    <row r="2151" spans="1:28" ht="12.75">
      <c r="A2151" s="9" t="s">
        <v>58</v>
      </c>
      <c r="B2151" s="10">
        <v>44824</v>
      </c>
      <c r="C2151" s="11">
        <v>44824</v>
      </c>
      <c r="D2151" s="42">
        <v>38</v>
      </c>
      <c r="E2151" s="13" t="s">
        <v>2622</v>
      </c>
      <c r="F2151" s="13">
        <v>3025457</v>
      </c>
      <c r="G2151" s="37">
        <v>26535.5</v>
      </c>
      <c r="H2151" s="33">
        <v>8500</v>
      </c>
      <c r="I2151" s="16">
        <f>H2151*G2151</f>
        <v>225551750</v>
      </c>
      <c r="J2151" s="17">
        <v>60</v>
      </c>
      <c r="K2151" s="34">
        <v>4502411233</v>
      </c>
      <c r="L2151" s="126">
        <v>5083728242</v>
      </c>
      <c r="M2151" s="20">
        <v>5113594816</v>
      </c>
      <c r="N2151" s="128"/>
      <c r="O2151" s="9" t="s">
        <v>37</v>
      </c>
      <c r="P2151" s="23"/>
      <c r="Q2151" s="24" t="s">
        <v>31</v>
      </c>
      <c r="R2151" s="25">
        <v>44822</v>
      </c>
      <c r="S2151" s="28"/>
      <c r="T2151" s="35"/>
      <c r="U2151" s="35"/>
      <c r="V2151" s="29"/>
      <c r="W2151" s="35"/>
      <c r="X2151" s="29"/>
      <c r="Y2151" s="36"/>
      <c r="Z2151" s="29"/>
      <c r="AA2151" s="31">
        <f t="shared" si="1"/>
        <v>44822</v>
      </c>
      <c r="AB2151" s="32" t="str">
        <f t="shared" si="5"/>
        <v>septiembre</v>
      </c>
    </row>
    <row r="2152" spans="1:28" ht="12.75">
      <c r="A2152" s="9" t="s">
        <v>58</v>
      </c>
      <c r="B2152" s="10">
        <v>44824</v>
      </c>
      <c r="C2152" s="11">
        <v>44824</v>
      </c>
      <c r="D2152" s="42">
        <v>38</v>
      </c>
      <c r="E2152" s="13" t="s">
        <v>1185</v>
      </c>
      <c r="F2152" s="13">
        <v>3025457</v>
      </c>
      <c r="G2152" s="37">
        <v>26535.5</v>
      </c>
      <c r="H2152" s="33">
        <f>8500-8395.66</f>
        <v>104.34000000000015</v>
      </c>
      <c r="I2152" s="16">
        <f>-H2152*G2152</f>
        <v>-2768714.070000004</v>
      </c>
      <c r="J2152" s="17">
        <v>0</v>
      </c>
      <c r="K2152" s="34">
        <v>4502411233</v>
      </c>
      <c r="L2152" s="126">
        <v>5083728242</v>
      </c>
      <c r="M2152" s="20">
        <v>5113594849</v>
      </c>
      <c r="N2152" s="128"/>
      <c r="O2152" s="9"/>
      <c r="P2152" s="23"/>
      <c r="Q2152" s="24" t="s">
        <v>31</v>
      </c>
      <c r="R2152" s="25">
        <v>44822</v>
      </c>
      <c r="S2152" s="28"/>
      <c r="T2152" s="35"/>
      <c r="U2152" s="35"/>
      <c r="V2152" s="29"/>
      <c r="W2152" s="35"/>
      <c r="X2152" s="29"/>
      <c r="Y2152" s="36"/>
      <c r="Z2152" s="29"/>
      <c r="AA2152" s="31">
        <f t="shared" si="1"/>
        <v>44822</v>
      </c>
      <c r="AB2152" s="32" t="str">
        <f t="shared" si="5"/>
        <v>septiembre</v>
      </c>
    </row>
    <row r="2153" spans="1:28" ht="12.75">
      <c r="A2153" s="9" t="s">
        <v>1141</v>
      </c>
      <c r="B2153" s="10">
        <v>44826</v>
      </c>
      <c r="C2153" s="11"/>
      <c r="D2153" s="42">
        <v>38</v>
      </c>
      <c r="E2153" s="13" t="s">
        <v>2623</v>
      </c>
      <c r="F2153" s="13">
        <v>3025457</v>
      </c>
      <c r="G2153" s="37">
        <v>6353.5</v>
      </c>
      <c r="H2153" s="33">
        <v>8000</v>
      </c>
      <c r="I2153" s="16">
        <f>H2153*G2153</f>
        <v>50828000</v>
      </c>
      <c r="J2153" s="17">
        <v>14</v>
      </c>
      <c r="K2153" s="34">
        <v>4502411234</v>
      </c>
      <c r="L2153" s="126">
        <v>5083748183</v>
      </c>
      <c r="M2153" s="20">
        <v>5113602764</v>
      </c>
      <c r="N2153" s="128"/>
      <c r="O2153" s="9" t="s">
        <v>37</v>
      </c>
      <c r="P2153" s="23"/>
      <c r="Q2153" s="24" t="s">
        <v>31</v>
      </c>
      <c r="R2153" s="25">
        <v>44823</v>
      </c>
      <c r="S2153" s="28"/>
      <c r="T2153" s="35"/>
      <c r="U2153" s="35"/>
      <c r="V2153" s="29"/>
      <c r="W2153" s="35"/>
      <c r="X2153" s="29"/>
      <c r="Y2153" s="36"/>
      <c r="Z2153" s="29"/>
      <c r="AA2153" s="31">
        <f t="shared" si="1"/>
        <v>44823</v>
      </c>
      <c r="AB2153" s="32" t="str">
        <f t="shared" si="5"/>
        <v>septiembre</v>
      </c>
    </row>
    <row r="2154" spans="1:28" ht="12.75">
      <c r="A2154" s="9" t="s">
        <v>1141</v>
      </c>
      <c r="B2154" s="10">
        <v>44826</v>
      </c>
      <c r="C2154" s="11"/>
      <c r="D2154" s="42">
        <v>38</v>
      </c>
      <c r="E2154" s="13" t="s">
        <v>139</v>
      </c>
      <c r="F2154" s="13">
        <v>3025457</v>
      </c>
      <c r="G2154" s="37">
        <v>6353.5</v>
      </c>
      <c r="H2154" s="33">
        <v>100</v>
      </c>
      <c r="I2154" s="16">
        <f>-H2154*G2154</f>
        <v>-635350</v>
      </c>
      <c r="J2154" s="17">
        <v>0</v>
      </c>
      <c r="K2154" s="34">
        <v>4502411234</v>
      </c>
      <c r="L2154" s="126">
        <v>5083748183</v>
      </c>
      <c r="M2154" s="20">
        <v>5113602905</v>
      </c>
      <c r="N2154" s="128"/>
      <c r="O2154" s="9"/>
      <c r="P2154" s="23"/>
      <c r="Q2154" s="24" t="s">
        <v>31</v>
      </c>
      <c r="R2154" s="25">
        <v>44823</v>
      </c>
      <c r="S2154" s="28"/>
      <c r="T2154" s="35"/>
      <c r="U2154" s="35"/>
      <c r="V2154" s="29"/>
      <c r="W2154" s="35"/>
      <c r="X2154" s="29"/>
      <c r="Y2154" s="36"/>
      <c r="Z2154" s="29"/>
      <c r="AA2154" s="31">
        <f t="shared" si="1"/>
        <v>44823</v>
      </c>
      <c r="AB2154" s="32" t="str">
        <f t="shared" si="5"/>
        <v>septiembre</v>
      </c>
    </row>
    <row r="2155" spans="1:28" ht="12.75">
      <c r="A2155" s="22" t="s">
        <v>501</v>
      </c>
      <c r="B2155" s="10">
        <v>44825</v>
      </c>
      <c r="C2155" s="11"/>
      <c r="D2155" s="42">
        <v>38</v>
      </c>
      <c r="E2155" s="13" t="s">
        <v>2624</v>
      </c>
      <c r="F2155" s="13">
        <v>3025457</v>
      </c>
      <c r="G2155" s="37">
        <v>6523.5</v>
      </c>
      <c r="H2155" s="33">
        <v>8100</v>
      </c>
      <c r="I2155" s="16">
        <f t="shared" ref="I2155:I2158" si="317">H2155*G2155</f>
        <v>52840350</v>
      </c>
      <c r="J2155" s="17">
        <v>14</v>
      </c>
      <c r="K2155" s="34">
        <v>4502411235</v>
      </c>
      <c r="L2155" s="126">
        <v>5083748184</v>
      </c>
      <c r="M2155" s="20">
        <v>5113597830</v>
      </c>
      <c r="N2155" s="128"/>
      <c r="O2155" s="9" t="s">
        <v>37</v>
      </c>
      <c r="P2155" s="23"/>
      <c r="Q2155" s="24" t="s">
        <v>31</v>
      </c>
      <c r="R2155" s="25">
        <v>44823</v>
      </c>
      <c r="S2155" s="28"/>
      <c r="T2155" s="35"/>
      <c r="U2155" s="35"/>
      <c r="V2155" s="29"/>
      <c r="W2155" s="35"/>
      <c r="X2155" s="29"/>
      <c r="Y2155" s="36"/>
      <c r="Z2155" s="29"/>
      <c r="AA2155" s="31">
        <f t="shared" si="1"/>
        <v>44823</v>
      </c>
      <c r="AB2155" s="32" t="str">
        <f t="shared" si="5"/>
        <v>septiembre</v>
      </c>
    </row>
    <row r="2156" spans="1:28" ht="12.75">
      <c r="A2156" s="22" t="s">
        <v>501</v>
      </c>
      <c r="B2156" s="10">
        <v>44825</v>
      </c>
      <c r="C2156" s="11"/>
      <c r="D2156" s="42">
        <v>38</v>
      </c>
      <c r="E2156" s="13" t="s">
        <v>2625</v>
      </c>
      <c r="F2156" s="13">
        <v>3025457</v>
      </c>
      <c r="G2156" s="37">
        <v>6523.5</v>
      </c>
      <c r="H2156" s="33">
        <f>8140.11-8100</f>
        <v>40.109999999999673</v>
      </c>
      <c r="I2156" s="16">
        <f t="shared" si="317"/>
        <v>261657.58499999787</v>
      </c>
      <c r="J2156" s="17">
        <v>0</v>
      </c>
      <c r="K2156" s="34">
        <v>4502411235</v>
      </c>
      <c r="L2156" s="126">
        <v>5083748184</v>
      </c>
      <c r="M2156" s="20">
        <v>5113597836</v>
      </c>
      <c r="N2156" s="128"/>
      <c r="O2156" s="9"/>
      <c r="P2156" s="23"/>
      <c r="Q2156" s="24" t="s">
        <v>31</v>
      </c>
      <c r="R2156" s="25">
        <v>44823</v>
      </c>
      <c r="S2156" s="28"/>
      <c r="T2156" s="35"/>
      <c r="U2156" s="35"/>
      <c r="V2156" s="29"/>
      <c r="W2156" s="35"/>
      <c r="X2156" s="29"/>
      <c r="Y2156" s="36"/>
      <c r="Z2156" s="29"/>
      <c r="AA2156" s="31">
        <f t="shared" si="1"/>
        <v>44823</v>
      </c>
      <c r="AB2156" s="32" t="str">
        <f t="shared" si="5"/>
        <v>septiembre</v>
      </c>
    </row>
    <row r="2157" spans="1:28" ht="12.75">
      <c r="A2157" s="9" t="s">
        <v>209</v>
      </c>
      <c r="B2157" s="10">
        <v>44825</v>
      </c>
      <c r="C2157" s="11">
        <v>44839</v>
      </c>
      <c r="D2157" s="42">
        <v>38</v>
      </c>
      <c r="E2157" s="13" t="s">
        <v>2626</v>
      </c>
      <c r="F2157" s="13">
        <v>3025457</v>
      </c>
      <c r="G2157" s="37">
        <v>7000.5</v>
      </c>
      <c r="H2157" s="33">
        <v>8000</v>
      </c>
      <c r="I2157" s="16">
        <f t="shared" si="317"/>
        <v>56004000</v>
      </c>
      <c r="J2157" s="17">
        <v>15</v>
      </c>
      <c r="K2157" s="34">
        <v>4502411236</v>
      </c>
      <c r="L2157" s="126">
        <v>5083748185</v>
      </c>
      <c r="M2157" s="20">
        <v>5113599327</v>
      </c>
      <c r="N2157" s="128"/>
      <c r="O2157" s="23" t="s">
        <v>313</v>
      </c>
      <c r="P2157" s="23"/>
      <c r="Q2157" s="24" t="s">
        <v>31</v>
      </c>
      <c r="R2157" s="25">
        <v>44823</v>
      </c>
      <c r="S2157" s="28"/>
      <c r="T2157" s="35"/>
      <c r="U2157" s="35"/>
      <c r="V2157" s="29"/>
      <c r="W2157" s="35"/>
      <c r="X2157" s="29"/>
      <c r="Y2157" s="36"/>
      <c r="Z2157" s="29"/>
      <c r="AA2157" s="31">
        <f t="shared" si="1"/>
        <v>44823</v>
      </c>
      <c r="AB2157" s="32" t="str">
        <f t="shared" si="5"/>
        <v>septiembre</v>
      </c>
    </row>
    <row r="2158" spans="1:28" ht="12.75">
      <c r="A2158" s="9" t="s">
        <v>46</v>
      </c>
      <c r="B2158" s="10">
        <v>44823</v>
      </c>
      <c r="C2158" s="11">
        <v>44825</v>
      </c>
      <c r="D2158" s="42">
        <v>38</v>
      </c>
      <c r="E2158" s="13" t="s">
        <v>2627</v>
      </c>
      <c r="F2158" s="13">
        <v>3025457</v>
      </c>
      <c r="G2158" s="14">
        <v>12751</v>
      </c>
      <c r="H2158" s="33">
        <v>8100</v>
      </c>
      <c r="I2158" s="16">
        <f t="shared" si="317"/>
        <v>103283100</v>
      </c>
      <c r="J2158" s="17">
        <v>28</v>
      </c>
      <c r="K2158" s="34">
        <v>4502411238</v>
      </c>
      <c r="L2158" s="126">
        <v>5083748186</v>
      </c>
      <c r="M2158" s="20">
        <v>5113595167</v>
      </c>
      <c r="N2158" s="128"/>
      <c r="O2158" s="9" t="s">
        <v>37</v>
      </c>
      <c r="P2158" s="23"/>
      <c r="Q2158" s="24" t="s">
        <v>31</v>
      </c>
      <c r="R2158" s="25">
        <v>44823</v>
      </c>
      <c r="S2158" s="28"/>
      <c r="T2158" s="35"/>
      <c r="U2158" s="35"/>
      <c r="V2158" s="29"/>
      <c r="W2158" s="35"/>
      <c r="X2158" s="29"/>
      <c r="Y2158" s="36"/>
      <c r="Z2158" s="29"/>
      <c r="AA2158" s="31">
        <f t="shared" si="1"/>
        <v>44823</v>
      </c>
      <c r="AB2158" s="32" t="str">
        <f t="shared" si="5"/>
        <v>septiembre</v>
      </c>
    </row>
    <row r="2159" spans="1:28" ht="12.75">
      <c r="A2159" s="9" t="s">
        <v>46</v>
      </c>
      <c r="B2159" s="10">
        <v>44823</v>
      </c>
      <c r="C2159" s="11">
        <v>44825</v>
      </c>
      <c r="D2159" s="42">
        <v>38</v>
      </c>
      <c r="E2159" s="13" t="s">
        <v>72</v>
      </c>
      <c r="F2159" s="13">
        <v>3025457</v>
      </c>
      <c r="G2159" s="14">
        <v>12751</v>
      </c>
      <c r="H2159" s="33">
        <v>50</v>
      </c>
      <c r="I2159" s="16">
        <f>-H2159*G2159</f>
        <v>-637550</v>
      </c>
      <c r="J2159" s="17">
        <v>0</v>
      </c>
      <c r="K2159" s="34">
        <v>4502411238</v>
      </c>
      <c r="L2159" s="126">
        <v>5083748186</v>
      </c>
      <c r="M2159" s="20">
        <v>5113595169</v>
      </c>
      <c r="N2159" s="128"/>
      <c r="O2159" s="9"/>
      <c r="P2159" s="23"/>
      <c r="Q2159" s="24" t="s">
        <v>31</v>
      </c>
      <c r="R2159" s="25">
        <v>44823</v>
      </c>
      <c r="S2159" s="28"/>
      <c r="T2159" s="35"/>
      <c r="U2159" s="35"/>
      <c r="V2159" s="29"/>
      <c r="W2159" s="35"/>
      <c r="X2159" s="29"/>
      <c r="Y2159" s="36"/>
      <c r="Z2159" s="29"/>
      <c r="AA2159" s="31">
        <f t="shared" si="1"/>
        <v>44823</v>
      </c>
      <c r="AB2159" s="32" t="str">
        <f t="shared" si="5"/>
        <v>septiembre</v>
      </c>
    </row>
    <row r="2160" spans="1:28" ht="12.75">
      <c r="A2160" s="9" t="s">
        <v>233</v>
      </c>
      <c r="B2160" s="10">
        <v>44823</v>
      </c>
      <c r="C2160" s="11">
        <v>44825</v>
      </c>
      <c r="D2160" s="42">
        <v>38</v>
      </c>
      <c r="E2160" s="13" t="s">
        <v>2628</v>
      </c>
      <c r="F2160" s="13">
        <v>3025457</v>
      </c>
      <c r="G2160" s="37">
        <v>13496.5</v>
      </c>
      <c r="H2160" s="33">
        <v>8150</v>
      </c>
      <c r="I2160" s="16">
        <f>H2160*G2160</f>
        <v>109996475</v>
      </c>
      <c r="J2160" s="17">
        <v>30</v>
      </c>
      <c r="K2160" s="34">
        <v>4502411376</v>
      </c>
      <c r="L2160" s="126">
        <v>5083748218</v>
      </c>
      <c r="M2160" s="20">
        <v>5113595039</v>
      </c>
      <c r="N2160" s="128"/>
      <c r="O2160" s="23" t="s">
        <v>63</v>
      </c>
      <c r="P2160" s="23"/>
      <c r="Q2160" s="24" t="s">
        <v>31</v>
      </c>
      <c r="R2160" s="25">
        <v>44823</v>
      </c>
      <c r="S2160" s="28"/>
      <c r="T2160" s="35"/>
      <c r="U2160" s="35"/>
      <c r="V2160" s="29"/>
      <c r="W2160" s="35"/>
      <c r="X2160" s="29"/>
      <c r="Y2160" s="36"/>
      <c r="Z2160" s="29"/>
      <c r="AA2160" s="31">
        <f t="shared" si="1"/>
        <v>44823</v>
      </c>
      <c r="AB2160" s="32" t="str">
        <f t="shared" si="5"/>
        <v>septiembre</v>
      </c>
    </row>
    <row r="2161" spans="1:28" ht="12.75">
      <c r="A2161" s="9" t="s">
        <v>233</v>
      </c>
      <c r="B2161" s="10">
        <v>44823</v>
      </c>
      <c r="C2161" s="11">
        <v>44825</v>
      </c>
      <c r="D2161" s="42">
        <v>38</v>
      </c>
      <c r="E2161" s="13" t="s">
        <v>2629</v>
      </c>
      <c r="F2161" s="13">
        <v>3025457</v>
      </c>
      <c r="G2161" s="37">
        <v>13496.5</v>
      </c>
      <c r="H2161" s="33">
        <f>8150-8027.35</f>
        <v>122.64999999999964</v>
      </c>
      <c r="I2161" s="16">
        <f>-H2161*G2161</f>
        <v>-1655345.7249999952</v>
      </c>
      <c r="J2161" s="17">
        <v>0</v>
      </c>
      <c r="K2161" s="34">
        <v>4502411376</v>
      </c>
      <c r="L2161" s="126">
        <v>5083748218</v>
      </c>
      <c r="M2161" s="20">
        <v>5113595042</v>
      </c>
      <c r="N2161" s="128"/>
      <c r="O2161" s="23" t="s">
        <v>63</v>
      </c>
      <c r="P2161" s="23"/>
      <c r="Q2161" s="24" t="s">
        <v>31</v>
      </c>
      <c r="R2161" s="25">
        <v>44823</v>
      </c>
      <c r="S2161" s="28"/>
      <c r="T2161" s="35"/>
      <c r="U2161" s="35"/>
      <c r="V2161" s="29"/>
      <c r="W2161" s="35"/>
      <c r="X2161" s="29"/>
      <c r="Y2161" s="36"/>
      <c r="Z2161" s="29"/>
      <c r="AA2161" s="31">
        <f t="shared" si="1"/>
        <v>44823</v>
      </c>
      <c r="AB2161" s="32" t="str">
        <f t="shared" si="5"/>
        <v>septiembre</v>
      </c>
    </row>
    <row r="2162" spans="1:28" ht="12.75">
      <c r="A2162" s="9" t="s">
        <v>58</v>
      </c>
      <c r="B2162" s="10">
        <v>44825</v>
      </c>
      <c r="C2162" s="11">
        <v>44825</v>
      </c>
      <c r="D2162" s="42">
        <v>38</v>
      </c>
      <c r="E2162" s="13" t="s">
        <v>2630</v>
      </c>
      <c r="F2162" s="13">
        <v>3025459</v>
      </c>
      <c r="G2162" s="37">
        <v>6806.5</v>
      </c>
      <c r="H2162" s="33">
        <v>8500</v>
      </c>
      <c r="I2162" s="16">
        <f>H2162*G2162</f>
        <v>57855250</v>
      </c>
      <c r="J2162" s="17">
        <v>14</v>
      </c>
      <c r="K2162" s="34">
        <v>4502411239</v>
      </c>
      <c r="L2162" s="126">
        <v>5083748187</v>
      </c>
      <c r="M2162" s="20">
        <v>5113611679</v>
      </c>
      <c r="N2162" s="128"/>
      <c r="O2162" s="9" t="s">
        <v>37</v>
      </c>
      <c r="P2162" s="23"/>
      <c r="Q2162" s="24" t="s">
        <v>31</v>
      </c>
      <c r="R2162" s="25">
        <v>44823</v>
      </c>
      <c r="S2162" s="28"/>
      <c r="T2162" s="35"/>
      <c r="U2162" s="35"/>
      <c r="V2162" s="29"/>
      <c r="W2162" s="35"/>
      <c r="X2162" s="29"/>
      <c r="Y2162" s="36"/>
      <c r="Z2162" s="29"/>
      <c r="AA2162" s="31">
        <f t="shared" si="1"/>
        <v>44823</v>
      </c>
      <c r="AB2162" s="32" t="str">
        <f t="shared" si="5"/>
        <v>septiembre</v>
      </c>
    </row>
    <row r="2163" spans="1:28" ht="12.75">
      <c r="A2163" s="9" t="s">
        <v>58</v>
      </c>
      <c r="B2163" s="10">
        <v>44825</v>
      </c>
      <c r="C2163" s="11">
        <v>44825</v>
      </c>
      <c r="D2163" s="42">
        <v>38</v>
      </c>
      <c r="E2163" s="13" t="s">
        <v>1589</v>
      </c>
      <c r="F2163" s="13">
        <v>3025459</v>
      </c>
      <c r="G2163" s="37">
        <v>6806.5</v>
      </c>
      <c r="H2163" s="33">
        <v>150</v>
      </c>
      <c r="I2163" s="16">
        <f>-H2163*G2163</f>
        <v>-1020975</v>
      </c>
      <c r="J2163" s="17">
        <v>0</v>
      </c>
      <c r="K2163" s="34">
        <v>4502411239</v>
      </c>
      <c r="L2163" s="126">
        <v>5083748187</v>
      </c>
      <c r="M2163" s="20">
        <v>5113611683</v>
      </c>
      <c r="N2163" s="128"/>
      <c r="O2163" s="9"/>
      <c r="P2163" s="23"/>
      <c r="Q2163" s="24" t="s">
        <v>31</v>
      </c>
      <c r="R2163" s="25">
        <v>44823</v>
      </c>
      <c r="S2163" s="28"/>
      <c r="T2163" s="35"/>
      <c r="U2163" s="35"/>
      <c r="V2163" s="29"/>
      <c r="W2163" s="35"/>
      <c r="X2163" s="29"/>
      <c r="Y2163" s="36"/>
      <c r="Z2163" s="29"/>
      <c r="AA2163" s="31">
        <f t="shared" si="1"/>
        <v>44823</v>
      </c>
      <c r="AB2163" s="32" t="str">
        <f t="shared" si="5"/>
        <v>septiembre</v>
      </c>
    </row>
    <row r="2164" spans="1:28" ht="12.75">
      <c r="A2164" s="9" t="s">
        <v>39</v>
      </c>
      <c r="B2164" s="10">
        <v>44824</v>
      </c>
      <c r="C2164" s="11">
        <v>44827</v>
      </c>
      <c r="D2164" s="42">
        <v>38</v>
      </c>
      <c r="E2164" s="13" t="s">
        <v>2631</v>
      </c>
      <c r="F2164" s="13">
        <v>3025457</v>
      </c>
      <c r="G2164" s="14">
        <v>12627</v>
      </c>
      <c r="H2164" s="33">
        <v>8500</v>
      </c>
      <c r="I2164" s="16">
        <f>H2164*G2164</f>
        <v>107329500</v>
      </c>
      <c r="J2164" s="17">
        <v>29</v>
      </c>
      <c r="K2164" s="34">
        <v>4502411240</v>
      </c>
      <c r="L2164" s="126">
        <v>5083770356</v>
      </c>
      <c r="M2164" s="20">
        <v>5113602215</v>
      </c>
      <c r="N2164" s="23"/>
      <c r="O2164" s="9" t="s">
        <v>37</v>
      </c>
      <c r="P2164" s="23"/>
      <c r="Q2164" s="24" t="s">
        <v>31</v>
      </c>
      <c r="R2164" s="25">
        <v>44824</v>
      </c>
      <c r="S2164" s="28"/>
      <c r="T2164" s="35"/>
      <c r="U2164" s="35"/>
      <c r="V2164" s="29"/>
      <c r="W2164" s="35"/>
      <c r="X2164" s="29"/>
      <c r="Y2164" s="36"/>
      <c r="Z2164" s="29"/>
      <c r="AA2164" s="31">
        <f t="shared" si="1"/>
        <v>44824</v>
      </c>
      <c r="AB2164" s="32" t="str">
        <f t="shared" si="5"/>
        <v>septiembre</v>
      </c>
    </row>
    <row r="2165" spans="1:28" ht="12.75">
      <c r="A2165" s="9" t="s">
        <v>39</v>
      </c>
      <c r="B2165" s="10">
        <v>44827</v>
      </c>
      <c r="C2165" s="11">
        <v>44827</v>
      </c>
      <c r="D2165" s="42">
        <v>38</v>
      </c>
      <c r="E2165" s="13" t="s">
        <v>746</v>
      </c>
      <c r="F2165" s="13">
        <v>3025457</v>
      </c>
      <c r="G2165" s="14">
        <v>12627</v>
      </c>
      <c r="H2165" s="33">
        <f>8500-8443.95</f>
        <v>56.049999999999272</v>
      </c>
      <c r="I2165" s="16">
        <f>-H2165*G2165</f>
        <v>-707743.34999999078</v>
      </c>
      <c r="J2165" s="17">
        <v>0</v>
      </c>
      <c r="K2165" s="34">
        <v>4502411240</v>
      </c>
      <c r="L2165" s="126">
        <v>5083770356</v>
      </c>
      <c r="M2165" s="20">
        <v>5113602257</v>
      </c>
      <c r="N2165" s="128"/>
      <c r="O2165" s="9"/>
      <c r="P2165" s="23"/>
      <c r="Q2165" s="24" t="s">
        <v>31</v>
      </c>
      <c r="R2165" s="25">
        <v>44824</v>
      </c>
      <c r="S2165" s="28"/>
      <c r="T2165" s="35"/>
      <c r="U2165" s="35"/>
      <c r="V2165" s="29"/>
      <c r="W2165" s="35"/>
      <c r="X2165" s="29"/>
      <c r="Y2165" s="36"/>
      <c r="Z2165" s="29"/>
      <c r="AA2165" s="31">
        <f t="shared" si="1"/>
        <v>44824</v>
      </c>
      <c r="AB2165" s="32" t="str">
        <f t="shared" si="5"/>
        <v>septiembre</v>
      </c>
    </row>
    <row r="2166" spans="1:28" ht="12.75">
      <c r="A2166" s="22" t="s">
        <v>774</v>
      </c>
      <c r="B2166" s="10">
        <v>44827</v>
      </c>
      <c r="C2166" s="11">
        <v>44827</v>
      </c>
      <c r="D2166" s="42">
        <v>38</v>
      </c>
      <c r="E2166" s="13" t="s">
        <v>984</v>
      </c>
      <c r="F2166" s="13">
        <v>3025457</v>
      </c>
      <c r="G2166" s="37">
        <v>13706.5</v>
      </c>
      <c r="H2166" s="33">
        <v>8100</v>
      </c>
      <c r="I2166" s="16">
        <f>H2166*G2166</f>
        <v>111022650</v>
      </c>
      <c r="J2166" s="17">
        <v>28</v>
      </c>
      <c r="K2166" s="34">
        <v>4502411242</v>
      </c>
      <c r="L2166" s="126">
        <v>5083779785</v>
      </c>
      <c r="M2166" s="20">
        <v>5113607457</v>
      </c>
      <c r="N2166" s="128"/>
      <c r="O2166" s="9" t="s">
        <v>63</v>
      </c>
      <c r="P2166" s="23"/>
      <c r="Q2166" s="24" t="s">
        <v>31</v>
      </c>
      <c r="R2166" s="25">
        <v>44824</v>
      </c>
      <c r="S2166" s="28"/>
      <c r="T2166" s="35"/>
      <c r="U2166" s="35"/>
      <c r="V2166" s="29"/>
      <c r="W2166" s="35"/>
      <c r="X2166" s="29"/>
      <c r="Y2166" s="36"/>
      <c r="Z2166" s="29"/>
      <c r="AA2166" s="31">
        <f t="shared" si="1"/>
        <v>44824</v>
      </c>
      <c r="AB2166" s="32" t="str">
        <f t="shared" si="5"/>
        <v>septiembre</v>
      </c>
    </row>
    <row r="2167" spans="1:28" ht="12.75">
      <c r="A2167" s="22" t="s">
        <v>774</v>
      </c>
      <c r="B2167" s="10">
        <v>44827</v>
      </c>
      <c r="C2167" s="11">
        <v>44827</v>
      </c>
      <c r="D2167" s="42">
        <v>38</v>
      </c>
      <c r="E2167" s="13" t="s">
        <v>537</v>
      </c>
      <c r="F2167" s="13">
        <v>3025457</v>
      </c>
      <c r="G2167" s="37">
        <v>13706.5</v>
      </c>
      <c r="H2167" s="33">
        <v>50</v>
      </c>
      <c r="I2167" s="16">
        <f>-H2167*G2167</f>
        <v>-685325</v>
      </c>
      <c r="J2167" s="17">
        <v>0</v>
      </c>
      <c r="K2167" s="34">
        <v>4502411242</v>
      </c>
      <c r="L2167" s="126">
        <v>5083779785</v>
      </c>
      <c r="M2167" s="20">
        <v>5113607462</v>
      </c>
      <c r="N2167" s="128"/>
      <c r="O2167" s="9"/>
      <c r="P2167" s="23"/>
      <c r="Q2167" s="24" t="s">
        <v>31</v>
      </c>
      <c r="R2167" s="25">
        <v>44824</v>
      </c>
      <c r="S2167" s="28"/>
      <c r="T2167" s="35"/>
      <c r="U2167" s="35"/>
      <c r="V2167" s="29"/>
      <c r="W2167" s="35"/>
      <c r="X2167" s="29"/>
      <c r="Y2167" s="36"/>
      <c r="Z2167" s="29"/>
      <c r="AA2167" s="31">
        <f t="shared" si="1"/>
        <v>44824</v>
      </c>
      <c r="AB2167" s="32" t="str">
        <f t="shared" si="5"/>
        <v>septiembre</v>
      </c>
    </row>
    <row r="2168" spans="1:28" ht="12.75">
      <c r="A2168" s="9" t="s">
        <v>443</v>
      </c>
      <c r="B2168" s="10">
        <v>44824</v>
      </c>
      <c r="C2168" s="11"/>
      <c r="D2168" s="42">
        <v>38</v>
      </c>
      <c r="E2168" s="13" t="s">
        <v>2632</v>
      </c>
      <c r="F2168" s="13">
        <v>3025457</v>
      </c>
      <c r="G2168" s="14">
        <v>22009</v>
      </c>
      <c r="H2168" s="15">
        <v>7800</v>
      </c>
      <c r="I2168" s="16">
        <f t="shared" ref="I2168:I2171" si="318">H2168*G2168</f>
        <v>171670200</v>
      </c>
      <c r="J2168" s="17">
        <v>42</v>
      </c>
      <c r="K2168" s="34">
        <v>4502412663</v>
      </c>
      <c r="L2168" s="126">
        <v>5083731223</v>
      </c>
      <c r="M2168" s="20">
        <v>5113607806</v>
      </c>
      <c r="N2168" s="9" t="s">
        <v>63</v>
      </c>
      <c r="O2168" s="22" t="s">
        <v>2165</v>
      </c>
      <c r="P2168" s="23"/>
      <c r="Q2168" s="24" t="s">
        <v>31</v>
      </c>
      <c r="R2168" s="25">
        <v>44824</v>
      </c>
      <c r="S2168" s="28">
        <v>4902347669</v>
      </c>
      <c r="T2168" s="35">
        <f>1840900*3</f>
        <v>5522700</v>
      </c>
      <c r="U2168" s="28" t="s">
        <v>2633</v>
      </c>
      <c r="V2168" s="29">
        <v>5113592744</v>
      </c>
      <c r="W2168" s="35"/>
      <c r="X2168" s="29"/>
      <c r="Y2168" s="36"/>
      <c r="Z2168" s="29"/>
      <c r="AA2168" s="31">
        <f t="shared" si="1"/>
        <v>44824</v>
      </c>
      <c r="AB2168" s="32" t="str">
        <f t="shared" si="5"/>
        <v>septiembre</v>
      </c>
    </row>
    <row r="2169" spans="1:28" ht="12.75">
      <c r="A2169" s="9" t="s">
        <v>116</v>
      </c>
      <c r="B2169" s="10">
        <v>44817</v>
      </c>
      <c r="C2169" s="11"/>
      <c r="D2169" s="42">
        <v>38</v>
      </c>
      <c r="E2169" s="13" t="s">
        <v>2595</v>
      </c>
      <c r="F2169" s="13">
        <v>3025457</v>
      </c>
      <c r="G2169" s="14"/>
      <c r="H2169" s="15">
        <v>9035</v>
      </c>
      <c r="I2169" s="16">
        <f t="shared" si="318"/>
        <v>0</v>
      </c>
      <c r="J2169" s="17">
        <v>98</v>
      </c>
      <c r="K2169" s="34">
        <v>4502411300</v>
      </c>
      <c r="L2169" s="126">
        <v>5083660241</v>
      </c>
      <c r="M2169" s="20">
        <v>5113580506</v>
      </c>
      <c r="N2169" s="23" t="s">
        <v>37</v>
      </c>
      <c r="O2169" s="22" t="s">
        <v>2634</v>
      </c>
      <c r="P2169" s="23"/>
      <c r="Q2169" s="24" t="s">
        <v>31</v>
      </c>
      <c r="R2169" s="25">
        <v>44824</v>
      </c>
      <c r="S2169" s="28">
        <v>4902347671</v>
      </c>
      <c r="T2169" s="35">
        <f>1750000*7</f>
        <v>12250000</v>
      </c>
      <c r="U2169" s="28" t="s">
        <v>2635</v>
      </c>
      <c r="V2169" s="29">
        <v>5113611110</v>
      </c>
      <c r="W2169" s="28" t="s">
        <v>2636</v>
      </c>
      <c r="X2169" s="29">
        <v>5113611112</v>
      </c>
      <c r="Y2169" s="36"/>
      <c r="Z2169" s="29"/>
      <c r="AA2169" s="31">
        <f t="shared" si="1"/>
        <v>44824</v>
      </c>
      <c r="AB2169" s="32" t="str">
        <f t="shared" si="5"/>
        <v>septiembre</v>
      </c>
    </row>
    <row r="2170" spans="1:28" ht="12.75">
      <c r="A2170" s="9" t="s">
        <v>247</v>
      </c>
      <c r="B2170" s="10">
        <v>44831</v>
      </c>
      <c r="C2170" s="11">
        <v>44831</v>
      </c>
      <c r="D2170" s="49">
        <v>39</v>
      </c>
      <c r="E2170" s="13" t="s">
        <v>2637</v>
      </c>
      <c r="F2170" s="13">
        <v>3025457</v>
      </c>
      <c r="G2170" s="37">
        <v>7581.5</v>
      </c>
      <c r="H2170" s="33">
        <v>8100</v>
      </c>
      <c r="I2170" s="16">
        <f t="shared" si="318"/>
        <v>61410150</v>
      </c>
      <c r="J2170" s="17">
        <v>15</v>
      </c>
      <c r="K2170" s="34">
        <v>4502415773</v>
      </c>
      <c r="L2170" s="126">
        <v>5083801232</v>
      </c>
      <c r="M2170" s="20">
        <v>5113611436</v>
      </c>
      <c r="N2170" s="128"/>
      <c r="O2170" s="9" t="s">
        <v>63</v>
      </c>
      <c r="P2170" s="23"/>
      <c r="Q2170" s="24" t="s">
        <v>31</v>
      </c>
      <c r="R2170" s="25">
        <v>44826</v>
      </c>
      <c r="S2170" s="28"/>
      <c r="T2170" s="35"/>
      <c r="U2170" s="35"/>
      <c r="V2170" s="29"/>
      <c r="W2170" s="35"/>
      <c r="X2170" s="29"/>
      <c r="Y2170" s="36"/>
      <c r="Z2170" s="29"/>
      <c r="AA2170" s="31">
        <f t="shared" si="1"/>
        <v>44826</v>
      </c>
      <c r="AB2170" s="32" t="str">
        <f t="shared" si="5"/>
        <v>septiembre</v>
      </c>
    </row>
    <row r="2171" spans="1:28" ht="12.75">
      <c r="A2171" s="9" t="s">
        <v>1984</v>
      </c>
      <c r="B2171" s="10">
        <v>44832</v>
      </c>
      <c r="C2171" s="11">
        <v>44833</v>
      </c>
      <c r="D2171" s="49">
        <v>39</v>
      </c>
      <c r="E2171" s="13" t="s">
        <v>2638</v>
      </c>
      <c r="F2171" s="13">
        <v>3025457</v>
      </c>
      <c r="G2171" s="37">
        <v>6515.5</v>
      </c>
      <c r="H2171" s="33">
        <v>8200</v>
      </c>
      <c r="I2171" s="16">
        <f t="shared" si="318"/>
        <v>53427100</v>
      </c>
      <c r="J2171" s="17">
        <v>14</v>
      </c>
      <c r="K2171" s="34">
        <v>4502415774</v>
      </c>
      <c r="L2171" s="126">
        <v>5083796567</v>
      </c>
      <c r="M2171" s="20">
        <v>5113622000</v>
      </c>
      <c r="N2171" s="128"/>
      <c r="O2171" s="22" t="s">
        <v>63</v>
      </c>
      <c r="P2171" s="23"/>
      <c r="Q2171" s="24" t="s">
        <v>31</v>
      </c>
      <c r="R2171" s="25">
        <v>44826</v>
      </c>
      <c r="S2171" s="28"/>
      <c r="T2171" s="35"/>
      <c r="U2171" s="35"/>
      <c r="V2171" s="29"/>
      <c r="W2171" s="35"/>
      <c r="X2171" s="29"/>
      <c r="Y2171" s="36"/>
      <c r="Z2171" s="29"/>
      <c r="AA2171" s="31">
        <f t="shared" si="1"/>
        <v>44826</v>
      </c>
      <c r="AB2171" s="32" t="str">
        <f t="shared" si="5"/>
        <v>septiembre</v>
      </c>
    </row>
    <row r="2172" spans="1:28" ht="12.75">
      <c r="A2172" s="9" t="s">
        <v>1984</v>
      </c>
      <c r="B2172" s="10">
        <v>44833</v>
      </c>
      <c r="C2172" s="11">
        <v>44833</v>
      </c>
      <c r="D2172" s="49">
        <v>39</v>
      </c>
      <c r="E2172" s="13" t="s">
        <v>2639</v>
      </c>
      <c r="F2172" s="13">
        <v>3025457</v>
      </c>
      <c r="G2172" s="37">
        <v>6515.5</v>
      </c>
      <c r="H2172" s="33">
        <v>50</v>
      </c>
      <c r="I2172" s="16">
        <f>-H2172*G2172</f>
        <v>-325775</v>
      </c>
      <c r="J2172" s="17">
        <v>0</v>
      </c>
      <c r="K2172" s="34">
        <v>4502415774</v>
      </c>
      <c r="L2172" s="126">
        <v>5083796567</v>
      </c>
      <c r="M2172" s="20">
        <v>5113622004</v>
      </c>
      <c r="N2172" s="128"/>
      <c r="O2172" s="9"/>
      <c r="P2172" s="23"/>
      <c r="Q2172" s="24" t="s">
        <v>31</v>
      </c>
      <c r="R2172" s="25">
        <v>44826</v>
      </c>
      <c r="S2172" s="28"/>
      <c r="T2172" s="35"/>
      <c r="U2172" s="35"/>
      <c r="V2172" s="29"/>
      <c r="W2172" s="35"/>
      <c r="X2172" s="29"/>
      <c r="Y2172" s="36"/>
      <c r="Z2172" s="29"/>
      <c r="AA2172" s="31">
        <f t="shared" si="1"/>
        <v>44826</v>
      </c>
      <c r="AB2172" s="32" t="str">
        <f t="shared" si="5"/>
        <v>septiembre</v>
      </c>
    </row>
    <row r="2173" spans="1:28" ht="12.75">
      <c r="A2173" s="9" t="s">
        <v>416</v>
      </c>
      <c r="B2173" s="10">
        <v>44826</v>
      </c>
      <c r="C2173" s="11">
        <v>44832</v>
      </c>
      <c r="D2173" s="49">
        <v>39</v>
      </c>
      <c r="E2173" s="13" t="s">
        <v>2640</v>
      </c>
      <c r="F2173" s="13">
        <v>3025457</v>
      </c>
      <c r="G2173" s="37">
        <v>6462.5</v>
      </c>
      <c r="H2173" s="33">
        <v>8550</v>
      </c>
      <c r="I2173" s="16">
        <f>H2173*G2173</f>
        <v>55254375</v>
      </c>
      <c r="J2173" s="17">
        <v>15</v>
      </c>
      <c r="K2173" s="34">
        <v>4502415775</v>
      </c>
      <c r="L2173" s="126">
        <v>5083801233</v>
      </c>
      <c r="M2173" s="20">
        <v>5113616222</v>
      </c>
      <c r="N2173" s="128"/>
      <c r="O2173" s="23" t="s">
        <v>37</v>
      </c>
      <c r="P2173" s="23"/>
      <c r="Q2173" s="24" t="s">
        <v>31</v>
      </c>
      <c r="R2173" s="25">
        <v>44826</v>
      </c>
      <c r="S2173" s="28"/>
      <c r="T2173" s="35"/>
      <c r="U2173" s="35"/>
      <c r="V2173" s="29"/>
      <c r="W2173" s="35"/>
      <c r="X2173" s="29"/>
      <c r="Y2173" s="36"/>
      <c r="Z2173" s="29"/>
      <c r="AA2173" s="31">
        <f t="shared" si="1"/>
        <v>44826</v>
      </c>
      <c r="AB2173" s="32" t="str">
        <f t="shared" si="5"/>
        <v>septiembre</v>
      </c>
    </row>
    <row r="2174" spans="1:28" ht="12.75">
      <c r="A2174" s="9" t="s">
        <v>416</v>
      </c>
      <c r="B2174" s="10">
        <v>44826</v>
      </c>
      <c r="C2174" s="11">
        <v>44832</v>
      </c>
      <c r="D2174" s="49">
        <v>39</v>
      </c>
      <c r="E2174" s="13" t="s">
        <v>2641</v>
      </c>
      <c r="F2174" s="13">
        <v>3025457</v>
      </c>
      <c r="G2174" s="37">
        <v>6462.5</v>
      </c>
      <c r="H2174" s="33">
        <f>8550-8387.93</f>
        <v>162.06999999999971</v>
      </c>
      <c r="I2174" s="16">
        <f>-H2174*G2174</f>
        <v>-1047377.3749999981</v>
      </c>
      <c r="J2174" s="17">
        <v>0</v>
      </c>
      <c r="K2174" s="34">
        <v>4502415775</v>
      </c>
      <c r="L2174" s="126">
        <v>5083801233</v>
      </c>
      <c r="M2174" s="20">
        <v>5113616226</v>
      </c>
      <c r="N2174" s="128"/>
      <c r="O2174" s="9"/>
      <c r="P2174" s="23"/>
      <c r="Q2174" s="24" t="s">
        <v>31</v>
      </c>
      <c r="R2174" s="25">
        <v>44826</v>
      </c>
      <c r="S2174" s="28"/>
      <c r="T2174" s="35"/>
      <c r="U2174" s="35"/>
      <c r="V2174" s="29"/>
      <c r="W2174" s="35"/>
      <c r="X2174" s="29"/>
      <c r="Y2174" s="36"/>
      <c r="Z2174" s="29"/>
      <c r="AA2174" s="31">
        <f t="shared" si="1"/>
        <v>44826</v>
      </c>
      <c r="AB2174" s="32" t="str">
        <f t="shared" si="5"/>
        <v>septiembre</v>
      </c>
    </row>
    <row r="2175" spans="1:28" ht="12.75">
      <c r="A2175" s="9" t="s">
        <v>245</v>
      </c>
      <c r="B2175" s="10">
        <v>44826</v>
      </c>
      <c r="C2175" s="11">
        <v>44831</v>
      </c>
      <c r="D2175" s="49">
        <v>39</v>
      </c>
      <c r="E2175" s="13" t="s">
        <v>2642</v>
      </c>
      <c r="F2175" s="13">
        <v>3025457</v>
      </c>
      <c r="G2175" s="14">
        <v>12832</v>
      </c>
      <c r="H2175" s="33">
        <v>8100</v>
      </c>
      <c r="I2175" s="16">
        <f t="shared" ref="I2175:I2176" si="319">H2175*G2175</f>
        <v>103939200</v>
      </c>
      <c r="J2175" s="17">
        <v>28</v>
      </c>
      <c r="K2175" s="34">
        <v>4502415776</v>
      </c>
      <c r="L2175" s="126">
        <v>5083796728</v>
      </c>
      <c r="M2175" s="20">
        <v>5113614041</v>
      </c>
      <c r="N2175" s="128"/>
      <c r="O2175" s="9" t="s">
        <v>37</v>
      </c>
      <c r="P2175" s="23"/>
      <c r="Q2175" s="24" t="s">
        <v>31</v>
      </c>
      <c r="R2175" s="25">
        <v>44826</v>
      </c>
      <c r="S2175" s="28"/>
      <c r="T2175" s="35"/>
      <c r="U2175" s="35"/>
      <c r="V2175" s="29"/>
      <c r="W2175" s="35"/>
      <c r="X2175" s="29"/>
      <c r="Y2175" s="36"/>
      <c r="Z2175" s="29"/>
      <c r="AA2175" s="31">
        <f t="shared" si="1"/>
        <v>44826</v>
      </c>
      <c r="AB2175" s="32" t="str">
        <f t="shared" si="5"/>
        <v>septiembre</v>
      </c>
    </row>
    <row r="2176" spans="1:28" ht="12.75">
      <c r="A2176" s="9" t="s">
        <v>58</v>
      </c>
      <c r="B2176" s="10">
        <v>44833</v>
      </c>
      <c r="C2176" s="11">
        <v>44833</v>
      </c>
      <c r="D2176" s="49">
        <v>39</v>
      </c>
      <c r="E2176" s="13" t="s">
        <v>2643</v>
      </c>
      <c r="F2176" s="13">
        <v>3025457</v>
      </c>
      <c r="G2176" s="14">
        <v>45386</v>
      </c>
      <c r="H2176" s="33">
        <v>8550</v>
      </c>
      <c r="I2176" s="16">
        <f t="shared" si="319"/>
        <v>388050300</v>
      </c>
      <c r="J2176" s="17">
        <v>107</v>
      </c>
      <c r="K2176" s="34">
        <v>4502415777</v>
      </c>
      <c r="L2176" s="126">
        <v>5083801234</v>
      </c>
      <c r="M2176" s="20">
        <v>5113625067</v>
      </c>
      <c r="N2176" s="128"/>
      <c r="O2176" s="9" t="s">
        <v>37</v>
      </c>
      <c r="P2176" s="23"/>
      <c r="Q2176" s="24" t="s">
        <v>31</v>
      </c>
      <c r="R2176" s="25">
        <v>44826</v>
      </c>
      <c r="S2176" s="28"/>
      <c r="T2176" s="35"/>
      <c r="U2176" s="35"/>
      <c r="V2176" s="29"/>
      <c r="W2176" s="35"/>
      <c r="X2176" s="29"/>
      <c r="Y2176" s="36"/>
      <c r="Z2176" s="29"/>
      <c r="AA2176" s="31">
        <f t="shared" si="1"/>
        <v>44826</v>
      </c>
      <c r="AB2176" s="32" t="str">
        <f t="shared" si="5"/>
        <v>septiembre</v>
      </c>
    </row>
    <row r="2177" spans="1:28" ht="12.75">
      <c r="A2177" s="9" t="s">
        <v>58</v>
      </c>
      <c r="B2177" s="10">
        <v>44833</v>
      </c>
      <c r="C2177" s="11">
        <v>44833</v>
      </c>
      <c r="D2177" s="49">
        <v>39</v>
      </c>
      <c r="E2177" s="13" t="s">
        <v>64</v>
      </c>
      <c r="F2177" s="13">
        <v>3025457</v>
      </c>
      <c r="G2177" s="14">
        <v>45386</v>
      </c>
      <c r="H2177" s="33">
        <f>8550-8530.51</f>
        <v>19.489999999999782</v>
      </c>
      <c r="I2177" s="16">
        <f>-H2177*G2177</f>
        <v>-884573.13999999012</v>
      </c>
      <c r="J2177" s="17">
        <v>0</v>
      </c>
      <c r="K2177" s="34">
        <v>4502415777</v>
      </c>
      <c r="L2177" s="126">
        <v>5083801234</v>
      </c>
      <c r="M2177" s="20">
        <v>5113625071</v>
      </c>
      <c r="N2177" s="128"/>
      <c r="O2177" s="9"/>
      <c r="P2177" s="23"/>
      <c r="Q2177" s="24" t="s">
        <v>31</v>
      </c>
      <c r="R2177" s="25">
        <v>44826</v>
      </c>
      <c r="S2177" s="28"/>
      <c r="T2177" s="35"/>
      <c r="U2177" s="35"/>
      <c r="V2177" s="29"/>
      <c r="W2177" s="35"/>
      <c r="X2177" s="29"/>
      <c r="Y2177" s="36"/>
      <c r="Z2177" s="29"/>
      <c r="AA2177" s="31">
        <f t="shared" si="1"/>
        <v>44826</v>
      </c>
      <c r="AB2177" s="32" t="str">
        <f t="shared" si="5"/>
        <v>septiembre</v>
      </c>
    </row>
    <row r="2178" spans="1:28" ht="12.75">
      <c r="A2178" s="9" t="s">
        <v>116</v>
      </c>
      <c r="B2178" s="10">
        <v>44817</v>
      </c>
      <c r="C2178" s="11"/>
      <c r="D2178" s="49">
        <v>39</v>
      </c>
      <c r="E2178" s="13" t="s">
        <v>2595</v>
      </c>
      <c r="F2178" s="13">
        <v>3025457</v>
      </c>
      <c r="G2178" s="14"/>
      <c r="H2178" s="15">
        <v>9035</v>
      </c>
      <c r="I2178" s="16">
        <f t="shared" ref="I2178:I2179" si="320">H2178*G2178</f>
        <v>0</v>
      </c>
      <c r="J2178" s="17">
        <v>70</v>
      </c>
      <c r="K2178" s="34">
        <v>4502411300</v>
      </c>
      <c r="L2178" s="126">
        <v>5083660241</v>
      </c>
      <c r="M2178" s="20">
        <v>5113580506</v>
      </c>
      <c r="N2178" s="23" t="s">
        <v>37</v>
      </c>
      <c r="O2178" s="22" t="s">
        <v>2174</v>
      </c>
      <c r="P2178" s="23"/>
      <c r="Q2178" s="24" t="s">
        <v>31</v>
      </c>
      <c r="R2178" s="25">
        <v>44826</v>
      </c>
      <c r="S2178" s="28">
        <v>4902351852</v>
      </c>
      <c r="T2178" s="35">
        <f>1750000*5</f>
        <v>8750000</v>
      </c>
      <c r="U2178" s="28" t="s">
        <v>2644</v>
      </c>
      <c r="V2178" s="29">
        <v>5113610694</v>
      </c>
      <c r="W2178" s="35"/>
      <c r="X2178" s="29"/>
      <c r="Y2178" s="36"/>
      <c r="Z2178" s="29"/>
      <c r="AA2178" s="31">
        <f t="shared" si="1"/>
        <v>44826</v>
      </c>
      <c r="AB2178" s="32" t="str">
        <f t="shared" si="5"/>
        <v>septiembre</v>
      </c>
    </row>
    <row r="2179" spans="1:28" ht="12.75">
      <c r="A2179" s="9" t="s">
        <v>61</v>
      </c>
      <c r="B2179" s="10">
        <v>44831</v>
      </c>
      <c r="C2179" s="11"/>
      <c r="D2179" s="49">
        <v>39</v>
      </c>
      <c r="E2179" s="13" t="s">
        <v>2645</v>
      </c>
      <c r="F2179" s="13">
        <v>3025457</v>
      </c>
      <c r="G2179" s="14">
        <v>13615</v>
      </c>
      <c r="H2179" s="33">
        <v>8100</v>
      </c>
      <c r="I2179" s="16">
        <f t="shared" si="320"/>
        <v>110281500</v>
      </c>
      <c r="J2179" s="17">
        <v>30</v>
      </c>
      <c r="K2179" s="34">
        <v>4502415778</v>
      </c>
      <c r="L2179" s="126">
        <v>5083796729</v>
      </c>
      <c r="M2179" s="20">
        <v>5113612588</v>
      </c>
      <c r="N2179" s="128"/>
      <c r="O2179" s="9" t="s">
        <v>63</v>
      </c>
      <c r="P2179" s="23"/>
      <c r="Q2179" s="24" t="s">
        <v>31</v>
      </c>
      <c r="R2179" s="25">
        <v>44826</v>
      </c>
      <c r="S2179" s="28"/>
      <c r="T2179" s="35"/>
      <c r="U2179" s="35"/>
      <c r="V2179" s="29"/>
      <c r="W2179" s="35"/>
      <c r="X2179" s="29"/>
      <c r="Y2179" s="36"/>
      <c r="Z2179" s="29"/>
      <c r="AA2179" s="31">
        <f t="shared" si="1"/>
        <v>44826</v>
      </c>
      <c r="AB2179" s="32" t="str">
        <f t="shared" si="5"/>
        <v>septiembre</v>
      </c>
    </row>
    <row r="2180" spans="1:28" ht="12.75">
      <c r="A2180" s="9" t="s">
        <v>61</v>
      </c>
      <c r="B2180" s="10">
        <v>44831</v>
      </c>
      <c r="C2180" s="11"/>
      <c r="D2180" s="49">
        <v>39</v>
      </c>
      <c r="E2180" s="13" t="s">
        <v>2155</v>
      </c>
      <c r="F2180" s="13">
        <v>3025457</v>
      </c>
      <c r="G2180" s="14">
        <v>13615</v>
      </c>
      <c r="H2180" s="33">
        <f>8100-7995.49</f>
        <v>104.51000000000022</v>
      </c>
      <c r="I2180" s="16">
        <f>-H2180*G2180</f>
        <v>-1422903.6500000029</v>
      </c>
      <c r="J2180" s="17">
        <v>0</v>
      </c>
      <c r="K2180" s="34">
        <v>4502415778</v>
      </c>
      <c r="L2180" s="126">
        <v>5083796729</v>
      </c>
      <c r="M2180" s="20">
        <v>5113612591</v>
      </c>
      <c r="N2180" s="128"/>
      <c r="O2180" s="9"/>
      <c r="P2180" s="23"/>
      <c r="Q2180" s="24" t="s">
        <v>31</v>
      </c>
      <c r="R2180" s="25">
        <v>44826</v>
      </c>
      <c r="S2180" s="28"/>
      <c r="T2180" s="35"/>
      <c r="U2180" s="35"/>
      <c r="V2180" s="29"/>
      <c r="W2180" s="35"/>
      <c r="X2180" s="29"/>
      <c r="Y2180" s="36"/>
      <c r="Z2180" s="29"/>
      <c r="AA2180" s="31">
        <f t="shared" si="1"/>
        <v>44826</v>
      </c>
      <c r="AB2180" s="32" t="str">
        <f t="shared" si="5"/>
        <v>septiembre</v>
      </c>
    </row>
    <row r="2181" spans="1:28" ht="12.75">
      <c r="A2181" s="22" t="s">
        <v>404</v>
      </c>
      <c r="B2181" s="10">
        <v>44828</v>
      </c>
      <c r="C2181" s="11">
        <v>44832</v>
      </c>
      <c r="D2181" s="49">
        <v>39</v>
      </c>
      <c r="E2181" s="61" t="s">
        <v>2646</v>
      </c>
      <c r="F2181" s="13">
        <v>3025457</v>
      </c>
      <c r="G2181" s="37">
        <v>6744.5</v>
      </c>
      <c r="H2181" s="33">
        <v>8550</v>
      </c>
      <c r="I2181" s="16">
        <f t="shared" ref="I2181:I2182" si="321">H2181*G2181</f>
        <v>57665475</v>
      </c>
      <c r="J2181" s="17">
        <v>16</v>
      </c>
      <c r="K2181" s="137">
        <v>4502421098</v>
      </c>
      <c r="L2181" s="126">
        <v>5083821328</v>
      </c>
      <c r="M2181" s="20">
        <v>5113622043</v>
      </c>
      <c r="N2181" s="128"/>
      <c r="O2181" s="9" t="s">
        <v>37</v>
      </c>
      <c r="P2181" s="23"/>
      <c r="Q2181" s="24" t="s">
        <v>31</v>
      </c>
      <c r="R2181" s="25">
        <v>44827</v>
      </c>
      <c r="S2181" s="28"/>
      <c r="T2181" s="35"/>
      <c r="U2181" s="35"/>
      <c r="V2181" s="29"/>
      <c r="W2181" s="35"/>
      <c r="X2181" s="29"/>
      <c r="Y2181" s="36"/>
      <c r="Z2181" s="29"/>
      <c r="AA2181" s="31">
        <f t="shared" si="1"/>
        <v>44827</v>
      </c>
      <c r="AB2181" s="32" t="str">
        <f t="shared" si="5"/>
        <v>septiembre</v>
      </c>
    </row>
    <row r="2182" spans="1:28" ht="12.75">
      <c r="A2182" s="22" t="s">
        <v>404</v>
      </c>
      <c r="B2182" s="10">
        <v>44828</v>
      </c>
      <c r="C2182" s="11">
        <v>44832</v>
      </c>
      <c r="D2182" s="60">
        <v>39</v>
      </c>
      <c r="E2182" s="61" t="s">
        <v>2646</v>
      </c>
      <c r="F2182" s="13">
        <v>3025460</v>
      </c>
      <c r="G2182" s="14">
        <v>13817</v>
      </c>
      <c r="H2182" s="63">
        <v>8550</v>
      </c>
      <c r="I2182" s="16">
        <f t="shared" si="321"/>
        <v>118135350</v>
      </c>
      <c r="J2182" s="73">
        <v>31</v>
      </c>
      <c r="K2182" s="138">
        <v>4502416272</v>
      </c>
      <c r="L2182" s="139">
        <v>5083821328</v>
      </c>
      <c r="M2182" s="20">
        <v>5113622043</v>
      </c>
      <c r="N2182" s="68"/>
      <c r="O2182" s="9" t="s">
        <v>37</v>
      </c>
      <c r="P2182" s="68"/>
      <c r="Q2182" s="129" t="s">
        <v>31</v>
      </c>
      <c r="R2182" s="74">
        <v>44827</v>
      </c>
      <c r="S2182" s="75"/>
      <c r="T2182" s="69"/>
      <c r="U2182" s="70"/>
      <c r="V2182" s="68"/>
      <c r="W2182" s="70"/>
      <c r="X2182" s="68"/>
      <c r="Y2182" s="71"/>
      <c r="Z2182" s="68"/>
      <c r="AA2182" s="130">
        <f t="shared" si="1"/>
        <v>44827</v>
      </c>
      <c r="AB2182" s="131" t="str">
        <f t="shared" si="5"/>
        <v>septiembre</v>
      </c>
    </row>
    <row r="2183" spans="1:28" ht="12.75">
      <c r="A2183" s="22" t="s">
        <v>404</v>
      </c>
      <c r="B2183" s="10">
        <v>44831</v>
      </c>
      <c r="C2183" s="11">
        <v>44832</v>
      </c>
      <c r="D2183" s="60">
        <v>39</v>
      </c>
      <c r="E2183" s="61" t="s">
        <v>539</v>
      </c>
      <c r="F2183" s="13">
        <v>3025460</v>
      </c>
      <c r="G2183" s="37">
        <v>20561.5</v>
      </c>
      <c r="H2183" s="63">
        <f>8550-8442.47</f>
        <v>107.53000000000065</v>
      </c>
      <c r="I2183" s="16">
        <f>-H2183*G2183</f>
        <v>-2210978.0950000132</v>
      </c>
      <c r="J2183" s="73">
        <v>0</v>
      </c>
      <c r="K2183" s="138">
        <v>4502416272</v>
      </c>
      <c r="L2183" s="139">
        <v>5083821328</v>
      </c>
      <c r="M2183" s="20">
        <v>5113622260</v>
      </c>
      <c r="N2183" s="68"/>
      <c r="O2183" s="67"/>
      <c r="P2183" s="68"/>
      <c r="Q2183" s="129" t="s">
        <v>31</v>
      </c>
      <c r="R2183" s="74">
        <v>44827</v>
      </c>
      <c r="S2183" s="75"/>
      <c r="T2183" s="69"/>
      <c r="U2183" s="70"/>
      <c r="V2183" s="68"/>
      <c r="W2183" s="70"/>
      <c r="X2183" s="68"/>
      <c r="Y2183" s="71"/>
      <c r="Z2183" s="68"/>
      <c r="AA2183" s="130">
        <f t="shared" si="1"/>
        <v>44827</v>
      </c>
      <c r="AB2183" s="131" t="str">
        <f t="shared" si="5"/>
        <v>septiembre</v>
      </c>
    </row>
    <row r="2184" spans="1:28" ht="12.75">
      <c r="A2184" s="9" t="s">
        <v>80</v>
      </c>
      <c r="B2184" s="10">
        <v>44827</v>
      </c>
      <c r="C2184" s="11"/>
      <c r="D2184" s="49">
        <v>39</v>
      </c>
      <c r="E2184" s="13" t="s">
        <v>2647</v>
      </c>
      <c r="F2184" s="13">
        <v>3025459</v>
      </c>
      <c r="G2184" s="14">
        <v>19854</v>
      </c>
      <c r="H2184" s="15">
        <v>7900</v>
      </c>
      <c r="I2184" s="16">
        <f t="shared" ref="I2184:I2185" si="322">H2184*G2184</f>
        <v>156846600</v>
      </c>
      <c r="J2184" s="17">
        <v>42</v>
      </c>
      <c r="K2184" s="34">
        <v>4502417893</v>
      </c>
      <c r="L2184" s="126">
        <v>5083821193</v>
      </c>
      <c r="M2184" s="20">
        <v>5113616217</v>
      </c>
      <c r="N2184" s="23" t="s">
        <v>37</v>
      </c>
      <c r="O2184" s="22" t="s">
        <v>272</v>
      </c>
      <c r="P2184" s="23" t="s">
        <v>37</v>
      </c>
      <c r="Q2184" s="24" t="s">
        <v>31</v>
      </c>
      <c r="R2184" s="25">
        <v>44827</v>
      </c>
      <c r="S2184" s="28">
        <v>4902352521</v>
      </c>
      <c r="T2184" s="35">
        <f>1793900*3</f>
        <v>5381700</v>
      </c>
      <c r="U2184" s="28" t="s">
        <v>2648</v>
      </c>
      <c r="V2184" s="29">
        <v>5113610616</v>
      </c>
      <c r="W2184" s="35"/>
      <c r="X2184" s="29"/>
      <c r="Y2184" s="36"/>
      <c r="Z2184" s="29"/>
      <c r="AA2184" s="31">
        <f t="shared" si="1"/>
        <v>44827</v>
      </c>
      <c r="AB2184" s="32" t="str">
        <f t="shared" si="5"/>
        <v>septiembre</v>
      </c>
    </row>
    <row r="2185" spans="1:28" ht="12.75">
      <c r="A2185" s="9" t="s">
        <v>276</v>
      </c>
      <c r="B2185" s="10">
        <v>44833</v>
      </c>
      <c r="C2185" s="11"/>
      <c r="D2185" s="49">
        <v>39</v>
      </c>
      <c r="E2185" s="13" t="s">
        <v>2649</v>
      </c>
      <c r="F2185" s="13">
        <v>3025460</v>
      </c>
      <c r="G2185" s="14">
        <v>6524</v>
      </c>
      <c r="H2185" s="33">
        <v>8100</v>
      </c>
      <c r="I2185" s="16">
        <f t="shared" si="322"/>
        <v>52844400</v>
      </c>
      <c r="J2185" s="17">
        <v>14</v>
      </c>
      <c r="K2185" s="34">
        <v>4502415781</v>
      </c>
      <c r="L2185" s="126">
        <v>5083821064</v>
      </c>
      <c r="M2185" s="20">
        <v>5113620897</v>
      </c>
      <c r="N2185" s="128"/>
      <c r="O2185" s="9" t="s">
        <v>63</v>
      </c>
      <c r="P2185" s="23"/>
      <c r="Q2185" s="24" t="s">
        <v>31</v>
      </c>
      <c r="R2185" s="25">
        <v>44827</v>
      </c>
      <c r="S2185" s="28"/>
      <c r="T2185" s="35"/>
      <c r="U2185" s="35"/>
      <c r="V2185" s="29"/>
      <c r="W2185" s="35"/>
      <c r="X2185" s="29"/>
      <c r="Y2185" s="36"/>
      <c r="Z2185" s="29"/>
      <c r="AA2185" s="31">
        <f t="shared" si="1"/>
        <v>44827</v>
      </c>
      <c r="AB2185" s="32" t="str">
        <f t="shared" si="5"/>
        <v>septiembre</v>
      </c>
    </row>
    <row r="2186" spans="1:28" ht="12.75">
      <c r="A2186" s="9" t="s">
        <v>276</v>
      </c>
      <c r="B2186" s="10">
        <v>44833</v>
      </c>
      <c r="C2186" s="11"/>
      <c r="D2186" s="49">
        <v>39</v>
      </c>
      <c r="E2186" s="13" t="s">
        <v>2650</v>
      </c>
      <c r="F2186" s="13">
        <v>3025460</v>
      </c>
      <c r="G2186" s="14">
        <v>6524</v>
      </c>
      <c r="H2186" s="33">
        <v>50</v>
      </c>
      <c r="I2186" s="16">
        <f>-H2186*G2186</f>
        <v>-326200</v>
      </c>
      <c r="J2186" s="17">
        <v>0</v>
      </c>
      <c r="K2186" s="34">
        <v>4502415781</v>
      </c>
      <c r="L2186" s="126">
        <v>5083821064</v>
      </c>
      <c r="M2186" s="20">
        <v>5113620898</v>
      </c>
      <c r="N2186" s="128"/>
      <c r="O2186" s="9"/>
      <c r="P2186" s="23"/>
      <c r="Q2186" s="24" t="s">
        <v>31</v>
      </c>
      <c r="R2186" s="25">
        <v>44827</v>
      </c>
      <c r="S2186" s="28"/>
      <c r="T2186" s="35"/>
      <c r="U2186" s="35"/>
      <c r="V2186" s="29"/>
      <c r="W2186" s="35"/>
      <c r="X2186" s="29"/>
      <c r="Y2186" s="36"/>
      <c r="Z2186" s="29"/>
      <c r="AA2186" s="31">
        <f t="shared" si="1"/>
        <v>44827</v>
      </c>
      <c r="AB2186" s="32" t="str">
        <f t="shared" si="5"/>
        <v>septiembre</v>
      </c>
    </row>
    <row r="2187" spans="1:28" ht="12.75">
      <c r="A2187" s="9" t="s">
        <v>233</v>
      </c>
      <c r="B2187" s="10">
        <v>44827</v>
      </c>
      <c r="C2187" s="11">
        <v>44832</v>
      </c>
      <c r="D2187" s="49">
        <v>39</v>
      </c>
      <c r="E2187" s="13" t="s">
        <v>2651</v>
      </c>
      <c r="F2187" s="13">
        <v>3025460</v>
      </c>
      <c r="G2187" s="14">
        <v>6872.5</v>
      </c>
      <c r="H2187" s="33">
        <v>8150</v>
      </c>
      <c r="I2187" s="16">
        <f>H2187*G2187</f>
        <v>56010875</v>
      </c>
      <c r="J2187" s="17">
        <v>15</v>
      </c>
      <c r="K2187" s="34">
        <v>4502415782</v>
      </c>
      <c r="L2187" s="126">
        <v>5083821065</v>
      </c>
      <c r="M2187" s="20">
        <v>5113616153</v>
      </c>
      <c r="N2187" s="128"/>
      <c r="O2187" s="23" t="s">
        <v>63</v>
      </c>
      <c r="P2187" s="23"/>
      <c r="Q2187" s="24" t="s">
        <v>31</v>
      </c>
      <c r="R2187" s="25">
        <v>44827</v>
      </c>
      <c r="S2187" s="28"/>
      <c r="T2187" s="35"/>
      <c r="U2187" s="35"/>
      <c r="V2187" s="29"/>
      <c r="W2187" s="35"/>
      <c r="X2187" s="29"/>
      <c r="Y2187" s="36"/>
      <c r="Z2187" s="29"/>
      <c r="AA2187" s="31">
        <f t="shared" si="1"/>
        <v>44827</v>
      </c>
      <c r="AB2187" s="32" t="str">
        <f t="shared" si="5"/>
        <v>septiembre</v>
      </c>
    </row>
    <row r="2188" spans="1:28" ht="12.75">
      <c r="A2188" s="9" t="s">
        <v>233</v>
      </c>
      <c r="B2188" s="10">
        <v>44827</v>
      </c>
      <c r="C2188" s="11">
        <v>44832</v>
      </c>
      <c r="D2188" s="49">
        <v>39</v>
      </c>
      <c r="E2188" s="13" t="s">
        <v>2652</v>
      </c>
      <c r="F2188" s="13">
        <v>3025460</v>
      </c>
      <c r="G2188" s="14">
        <v>6872.5</v>
      </c>
      <c r="H2188" s="33">
        <f>8150-8085.06</f>
        <v>64.9399999999996</v>
      </c>
      <c r="I2188" s="16">
        <f>-H2188*G2188</f>
        <v>-446300.14999999723</v>
      </c>
      <c r="J2188" s="17">
        <v>0</v>
      </c>
      <c r="K2188" s="34">
        <v>4502415782</v>
      </c>
      <c r="L2188" s="126">
        <v>5083821065</v>
      </c>
      <c r="M2188" s="20">
        <v>5113616155</v>
      </c>
      <c r="N2188" s="128"/>
      <c r="O2188" s="9"/>
      <c r="P2188" s="23"/>
      <c r="Q2188" s="24" t="s">
        <v>31</v>
      </c>
      <c r="R2188" s="25">
        <v>44827</v>
      </c>
      <c r="S2188" s="28"/>
      <c r="T2188" s="35"/>
      <c r="U2188" s="35"/>
      <c r="V2188" s="29"/>
      <c r="W2188" s="35"/>
      <c r="X2188" s="29"/>
      <c r="Y2188" s="36"/>
      <c r="Z2188" s="29"/>
      <c r="AA2188" s="31">
        <f t="shared" si="1"/>
        <v>44827</v>
      </c>
      <c r="AB2188" s="32" t="str">
        <f t="shared" si="5"/>
        <v>septiembre</v>
      </c>
    </row>
    <row r="2189" spans="1:28" ht="12.75">
      <c r="A2189" s="9" t="s">
        <v>196</v>
      </c>
      <c r="B2189" s="10">
        <v>44827</v>
      </c>
      <c r="C2189" s="11"/>
      <c r="D2189" s="49">
        <v>39</v>
      </c>
      <c r="E2189" s="13" t="s">
        <v>2653</v>
      </c>
      <c r="F2189" s="13">
        <v>3025460</v>
      </c>
      <c r="G2189" s="14">
        <v>27298</v>
      </c>
      <c r="H2189" s="57">
        <v>8100</v>
      </c>
      <c r="I2189" s="16">
        <f t="shared" ref="I2189:I2196" si="323">H2189*G2189</f>
        <v>221113800</v>
      </c>
      <c r="J2189" s="17">
        <v>56</v>
      </c>
      <c r="K2189" s="34">
        <v>4502419928</v>
      </c>
      <c r="L2189" s="126">
        <v>5083866592</v>
      </c>
      <c r="M2189" s="20">
        <v>5113622734</v>
      </c>
      <c r="N2189" s="128"/>
      <c r="O2189" s="23" t="s">
        <v>63</v>
      </c>
      <c r="P2189" s="23"/>
      <c r="Q2189" s="24" t="s">
        <v>82</v>
      </c>
      <c r="R2189" s="25">
        <v>44827</v>
      </c>
      <c r="S2189" s="28"/>
      <c r="T2189" s="35"/>
      <c r="U2189" s="35"/>
      <c r="V2189" s="29"/>
      <c r="W2189" s="35"/>
      <c r="X2189" s="29"/>
      <c r="Y2189" s="36"/>
      <c r="Z2189" s="29"/>
      <c r="AA2189" s="31">
        <f t="shared" si="1"/>
        <v>44827</v>
      </c>
      <c r="AB2189" s="32" t="str">
        <f t="shared" si="5"/>
        <v>septiembre</v>
      </c>
    </row>
    <row r="2190" spans="1:28" ht="12.75">
      <c r="A2190" s="9" t="s">
        <v>85</v>
      </c>
      <c r="B2190" s="10">
        <v>44827</v>
      </c>
      <c r="C2190" s="11">
        <v>44833</v>
      </c>
      <c r="D2190" s="49">
        <v>39</v>
      </c>
      <c r="E2190" s="13" t="s">
        <v>2654</v>
      </c>
      <c r="F2190" s="13">
        <v>3025460</v>
      </c>
      <c r="G2190" s="14">
        <v>25236</v>
      </c>
      <c r="H2190" s="57">
        <v>8100</v>
      </c>
      <c r="I2190" s="16">
        <f t="shared" si="323"/>
        <v>204411600</v>
      </c>
      <c r="J2190" s="17">
        <v>56</v>
      </c>
      <c r="K2190" s="34">
        <v>4502419933</v>
      </c>
      <c r="L2190" s="126">
        <v>5083866731</v>
      </c>
      <c r="M2190" s="20">
        <v>5113622120</v>
      </c>
      <c r="N2190" s="128"/>
      <c r="O2190" s="9" t="s">
        <v>63</v>
      </c>
      <c r="P2190" s="23"/>
      <c r="Q2190" s="24" t="s">
        <v>82</v>
      </c>
      <c r="R2190" s="25">
        <v>44827</v>
      </c>
      <c r="S2190" s="28"/>
      <c r="T2190" s="35"/>
      <c r="U2190" s="35"/>
      <c r="V2190" s="29"/>
      <c r="W2190" s="35"/>
      <c r="X2190" s="29"/>
      <c r="Y2190" s="36"/>
      <c r="Z2190" s="29"/>
      <c r="AA2190" s="31">
        <f t="shared" si="1"/>
        <v>44827</v>
      </c>
      <c r="AB2190" s="32" t="str">
        <f t="shared" si="5"/>
        <v>septiembre</v>
      </c>
    </row>
    <row r="2191" spans="1:28" ht="12.75">
      <c r="A2191" s="9" t="s">
        <v>1726</v>
      </c>
      <c r="B2191" s="10">
        <v>44832</v>
      </c>
      <c r="C2191" s="11"/>
      <c r="D2191" s="49">
        <v>39</v>
      </c>
      <c r="E2191" s="13" t="s">
        <v>2655</v>
      </c>
      <c r="F2191" s="13">
        <v>3025460</v>
      </c>
      <c r="G2191" s="14">
        <v>13660</v>
      </c>
      <c r="H2191" s="57">
        <v>8050</v>
      </c>
      <c r="I2191" s="16">
        <f t="shared" si="323"/>
        <v>109963000</v>
      </c>
      <c r="J2191" s="17">
        <v>28</v>
      </c>
      <c r="K2191" s="34">
        <v>4502419934</v>
      </c>
      <c r="L2191" s="126">
        <v>5083866756</v>
      </c>
      <c r="M2191" s="20">
        <v>5113617390</v>
      </c>
      <c r="N2191" s="128"/>
      <c r="O2191" s="9" t="s">
        <v>63</v>
      </c>
      <c r="P2191" s="23"/>
      <c r="Q2191" s="24" t="s">
        <v>82</v>
      </c>
      <c r="R2191" s="25">
        <v>44827</v>
      </c>
      <c r="S2191" s="28"/>
      <c r="T2191" s="35"/>
      <c r="U2191" s="35"/>
      <c r="V2191" s="29"/>
      <c r="W2191" s="35"/>
      <c r="X2191" s="29"/>
      <c r="Y2191" s="36"/>
      <c r="Z2191" s="29"/>
      <c r="AA2191" s="31">
        <f t="shared" si="1"/>
        <v>44827</v>
      </c>
      <c r="AB2191" s="32" t="str">
        <f t="shared" si="5"/>
        <v>septiembre</v>
      </c>
    </row>
    <row r="2192" spans="1:28" ht="12.75">
      <c r="A2192" s="22" t="s">
        <v>404</v>
      </c>
      <c r="B2192" s="10">
        <v>44829</v>
      </c>
      <c r="C2192" s="11">
        <v>44832</v>
      </c>
      <c r="D2192" s="49">
        <v>39</v>
      </c>
      <c r="E2192" s="13" t="s">
        <v>2656</v>
      </c>
      <c r="F2192" s="13">
        <v>3025459</v>
      </c>
      <c r="G2192" s="37">
        <v>12873.5</v>
      </c>
      <c r="H2192" s="63">
        <v>8550</v>
      </c>
      <c r="I2192" s="16">
        <f t="shared" si="323"/>
        <v>110068425</v>
      </c>
      <c r="J2192" s="17">
        <v>29</v>
      </c>
      <c r="K2192" s="34">
        <v>4502417819</v>
      </c>
      <c r="L2192" s="126">
        <v>5083821047</v>
      </c>
      <c r="M2192" s="20">
        <v>5113616823</v>
      </c>
      <c r="N2192" s="128"/>
      <c r="O2192" s="9" t="s">
        <v>37</v>
      </c>
      <c r="P2192" s="23"/>
      <c r="Q2192" s="129" t="s">
        <v>31</v>
      </c>
      <c r="R2192" s="25">
        <v>44828</v>
      </c>
      <c r="S2192" s="28"/>
      <c r="T2192" s="35"/>
      <c r="U2192" s="35"/>
      <c r="V2192" s="29"/>
      <c r="W2192" s="35"/>
      <c r="X2192" s="29"/>
      <c r="Y2192" s="36"/>
      <c r="Z2192" s="29"/>
      <c r="AA2192" s="31">
        <f t="shared" si="1"/>
        <v>44828</v>
      </c>
      <c r="AB2192" s="32" t="str">
        <f t="shared" si="5"/>
        <v>septiembre</v>
      </c>
    </row>
    <row r="2193" spans="1:28" ht="12.75">
      <c r="A2193" s="22" t="s">
        <v>404</v>
      </c>
      <c r="B2193" s="10">
        <v>44829</v>
      </c>
      <c r="C2193" s="11">
        <v>44832</v>
      </c>
      <c r="D2193" s="49">
        <v>39</v>
      </c>
      <c r="E2193" s="13" t="s">
        <v>2656</v>
      </c>
      <c r="F2193" s="13">
        <v>3025457</v>
      </c>
      <c r="G2193" s="14">
        <v>12136</v>
      </c>
      <c r="H2193" s="63">
        <v>8550</v>
      </c>
      <c r="I2193" s="16">
        <f t="shared" si="323"/>
        <v>103762800</v>
      </c>
      <c r="J2193" s="17">
        <v>28</v>
      </c>
      <c r="K2193" s="34">
        <v>4502417809</v>
      </c>
      <c r="L2193" s="126">
        <v>5083821047</v>
      </c>
      <c r="M2193" s="20">
        <v>5113616823</v>
      </c>
      <c r="N2193" s="128"/>
      <c r="O2193" s="9" t="s">
        <v>37</v>
      </c>
      <c r="P2193" s="23"/>
      <c r="Q2193" s="129" t="s">
        <v>31</v>
      </c>
      <c r="R2193" s="25">
        <v>44828</v>
      </c>
      <c r="S2193" s="28"/>
      <c r="T2193" s="35"/>
      <c r="U2193" s="35"/>
      <c r="V2193" s="29"/>
      <c r="W2193" s="35"/>
      <c r="X2193" s="29"/>
      <c r="Y2193" s="36"/>
      <c r="Z2193" s="29"/>
      <c r="AA2193" s="31">
        <f t="shared" si="1"/>
        <v>44828</v>
      </c>
      <c r="AB2193" s="32" t="str">
        <f t="shared" si="5"/>
        <v>septiembre</v>
      </c>
    </row>
    <row r="2194" spans="1:28" ht="12.75">
      <c r="A2194" s="22" t="s">
        <v>404</v>
      </c>
      <c r="B2194" s="10">
        <v>44832</v>
      </c>
      <c r="C2194" s="11">
        <v>44832</v>
      </c>
      <c r="D2194" s="49">
        <v>39</v>
      </c>
      <c r="E2194" s="13" t="s">
        <v>422</v>
      </c>
      <c r="F2194" s="13">
        <v>3025457</v>
      </c>
      <c r="G2194" s="14">
        <v>25009.5</v>
      </c>
      <c r="H2194" s="63">
        <f>8598.5-8550</f>
        <v>48.5</v>
      </c>
      <c r="I2194" s="16">
        <f t="shared" si="323"/>
        <v>1212960.75</v>
      </c>
      <c r="J2194" s="17">
        <v>0</v>
      </c>
      <c r="K2194" s="34">
        <v>4502417809</v>
      </c>
      <c r="L2194" s="126">
        <v>5083821066</v>
      </c>
      <c r="M2194" s="20">
        <v>5113616882</v>
      </c>
      <c r="N2194" s="128"/>
      <c r="O2194" s="22"/>
      <c r="P2194" s="23"/>
      <c r="Q2194" s="129" t="s">
        <v>31</v>
      </c>
      <c r="R2194" s="25">
        <v>44828</v>
      </c>
      <c r="S2194" s="28"/>
      <c r="T2194" s="35"/>
      <c r="U2194" s="35"/>
      <c r="V2194" s="29"/>
      <c r="W2194" s="35"/>
      <c r="X2194" s="29"/>
      <c r="Y2194" s="36"/>
      <c r="Z2194" s="29"/>
      <c r="AA2194" s="31">
        <f t="shared" si="1"/>
        <v>44828</v>
      </c>
      <c r="AB2194" s="32" t="str">
        <f t="shared" si="5"/>
        <v>septiembre</v>
      </c>
    </row>
    <row r="2195" spans="1:28" ht="12.75">
      <c r="A2195" s="9" t="s">
        <v>28</v>
      </c>
      <c r="B2195" s="10">
        <v>44832</v>
      </c>
      <c r="C2195" s="11">
        <v>44832</v>
      </c>
      <c r="D2195" s="49">
        <v>39</v>
      </c>
      <c r="E2195" s="13" t="s">
        <v>2657</v>
      </c>
      <c r="F2195" s="13">
        <v>3025457</v>
      </c>
      <c r="G2195" s="14">
        <v>34649</v>
      </c>
      <c r="H2195" s="15">
        <v>7800</v>
      </c>
      <c r="I2195" s="16">
        <f t="shared" si="323"/>
        <v>270262200</v>
      </c>
      <c r="J2195" s="17">
        <v>70</v>
      </c>
      <c r="K2195" s="34">
        <v>4502417894</v>
      </c>
      <c r="L2195" s="126">
        <v>5083821194</v>
      </c>
      <c r="M2195" s="20">
        <v>5113616151</v>
      </c>
      <c r="N2195" s="23"/>
      <c r="O2195" s="22" t="s">
        <v>2658</v>
      </c>
      <c r="P2195" s="23" t="s">
        <v>63</v>
      </c>
      <c r="Q2195" s="24" t="s">
        <v>31</v>
      </c>
      <c r="R2195" s="25">
        <v>44828</v>
      </c>
      <c r="S2195" s="28">
        <v>4902352523</v>
      </c>
      <c r="T2195" s="35">
        <f>3042980*5</f>
        <v>15214900</v>
      </c>
      <c r="U2195" s="28" t="s">
        <v>2659</v>
      </c>
      <c r="V2195" s="29">
        <v>5113610446</v>
      </c>
      <c r="W2195" s="35"/>
      <c r="X2195" s="29"/>
      <c r="Y2195" s="36"/>
      <c r="Z2195" s="29"/>
      <c r="AA2195" s="31">
        <f t="shared" si="1"/>
        <v>44828</v>
      </c>
      <c r="AB2195" s="32" t="str">
        <f t="shared" si="5"/>
        <v>septiembre</v>
      </c>
    </row>
    <row r="2196" spans="1:28" ht="12.75">
      <c r="A2196" s="9" t="s">
        <v>58</v>
      </c>
      <c r="B2196" s="10">
        <v>44833</v>
      </c>
      <c r="C2196" s="11">
        <v>44833</v>
      </c>
      <c r="D2196" s="49">
        <v>39</v>
      </c>
      <c r="E2196" s="13" t="s">
        <v>2660</v>
      </c>
      <c r="F2196" s="13">
        <v>3025457</v>
      </c>
      <c r="G2196" s="14">
        <v>13507</v>
      </c>
      <c r="H2196" s="33">
        <v>8550</v>
      </c>
      <c r="I2196" s="16">
        <f t="shared" si="323"/>
        <v>115484850</v>
      </c>
      <c r="J2196" s="17">
        <v>29</v>
      </c>
      <c r="K2196" s="34">
        <v>4502415783</v>
      </c>
      <c r="L2196" s="126">
        <v>5083821045</v>
      </c>
      <c r="M2196" s="20">
        <v>5113625099</v>
      </c>
      <c r="N2196" s="128"/>
      <c r="O2196" s="9" t="s">
        <v>37</v>
      </c>
      <c r="P2196" s="23"/>
      <c r="Q2196" s="24" t="s">
        <v>31</v>
      </c>
      <c r="R2196" s="25">
        <v>44828</v>
      </c>
      <c r="S2196" s="28"/>
      <c r="T2196" s="35"/>
      <c r="U2196" s="35"/>
      <c r="V2196" s="29"/>
      <c r="W2196" s="35"/>
      <c r="X2196" s="29"/>
      <c r="Y2196" s="36"/>
      <c r="Z2196" s="29"/>
      <c r="AA2196" s="31">
        <f t="shared" si="1"/>
        <v>44828</v>
      </c>
      <c r="AB2196" s="32" t="str">
        <f t="shared" si="5"/>
        <v>septiembre</v>
      </c>
    </row>
    <row r="2197" spans="1:28" ht="12.75">
      <c r="A2197" s="9" t="s">
        <v>58</v>
      </c>
      <c r="B2197" s="10">
        <v>44833</v>
      </c>
      <c r="C2197" s="11">
        <v>44833</v>
      </c>
      <c r="D2197" s="49">
        <v>39</v>
      </c>
      <c r="E2197" s="13" t="s">
        <v>400</v>
      </c>
      <c r="F2197" s="13">
        <v>3025457</v>
      </c>
      <c r="G2197" s="14">
        <v>13507</v>
      </c>
      <c r="H2197" s="33">
        <f>8550-8366.38</f>
        <v>183.6200000000008</v>
      </c>
      <c r="I2197" s="16">
        <f>-H2197*G2197</f>
        <v>-2480155.340000011</v>
      </c>
      <c r="J2197" s="17">
        <v>0</v>
      </c>
      <c r="K2197" s="34">
        <v>4502415783</v>
      </c>
      <c r="L2197" s="126">
        <v>5083821045</v>
      </c>
      <c r="M2197" s="20">
        <v>5113625104</v>
      </c>
      <c r="N2197" s="128"/>
      <c r="O2197" s="9"/>
      <c r="P2197" s="23"/>
      <c r="Q2197" s="24" t="s">
        <v>31</v>
      </c>
      <c r="R2197" s="25">
        <v>44828</v>
      </c>
      <c r="S2197" s="28"/>
      <c r="T2197" s="35"/>
      <c r="U2197" s="35"/>
      <c r="V2197" s="29"/>
      <c r="W2197" s="35"/>
      <c r="X2197" s="29"/>
      <c r="Y2197" s="36"/>
      <c r="Z2197" s="29"/>
      <c r="AA2197" s="31">
        <f t="shared" si="1"/>
        <v>44828</v>
      </c>
      <c r="AB2197" s="32" t="str">
        <f t="shared" si="5"/>
        <v>septiembre</v>
      </c>
    </row>
    <row r="2198" spans="1:28" ht="12.75">
      <c r="A2198" s="9" t="s">
        <v>58</v>
      </c>
      <c r="B2198" s="10">
        <v>44833</v>
      </c>
      <c r="C2198" s="11">
        <v>44833</v>
      </c>
      <c r="D2198" s="49">
        <v>39</v>
      </c>
      <c r="E2198" s="13" t="s">
        <v>2661</v>
      </c>
      <c r="F2198" s="13">
        <v>3025457</v>
      </c>
      <c r="G2198" s="37">
        <v>14678.5</v>
      </c>
      <c r="H2198" s="33">
        <v>8550</v>
      </c>
      <c r="I2198" s="16">
        <f t="shared" ref="I2198:I2199" si="324">H2198*G2198</f>
        <v>125501175</v>
      </c>
      <c r="J2198" s="17">
        <v>30</v>
      </c>
      <c r="K2198" s="34">
        <v>4502415783</v>
      </c>
      <c r="L2198" s="126">
        <v>5083821045</v>
      </c>
      <c r="M2198" s="20">
        <v>5113625259</v>
      </c>
      <c r="N2198" s="128"/>
      <c r="O2198" s="9" t="s">
        <v>37</v>
      </c>
      <c r="P2198" s="23"/>
      <c r="Q2198" s="24" t="s">
        <v>31</v>
      </c>
      <c r="R2198" s="25">
        <v>44828</v>
      </c>
      <c r="S2198" s="28"/>
      <c r="T2198" s="35"/>
      <c r="U2198" s="35"/>
      <c r="V2198" s="29"/>
      <c r="W2198" s="35"/>
      <c r="X2198" s="29"/>
      <c r="Y2198" s="36"/>
      <c r="Z2198" s="29"/>
      <c r="AA2198" s="31">
        <f t="shared" si="1"/>
        <v>44828</v>
      </c>
      <c r="AB2198" s="32" t="str">
        <f t="shared" si="5"/>
        <v>septiembre</v>
      </c>
    </row>
    <row r="2199" spans="1:28" ht="12.75">
      <c r="A2199" s="9" t="s">
        <v>58</v>
      </c>
      <c r="B2199" s="10">
        <v>44833</v>
      </c>
      <c r="C2199" s="11">
        <v>44833</v>
      </c>
      <c r="D2199" s="49">
        <v>39</v>
      </c>
      <c r="E2199" s="13" t="s">
        <v>2662</v>
      </c>
      <c r="F2199" s="13">
        <v>3025457</v>
      </c>
      <c r="G2199" s="14">
        <v>22617</v>
      </c>
      <c r="H2199" s="33">
        <v>8550</v>
      </c>
      <c r="I2199" s="16">
        <f t="shared" si="324"/>
        <v>193375350</v>
      </c>
      <c r="J2199" s="17">
        <v>44</v>
      </c>
      <c r="K2199" s="34">
        <v>4502415783</v>
      </c>
      <c r="L2199" s="126">
        <v>5083821045</v>
      </c>
      <c r="M2199" s="20">
        <v>5113625264</v>
      </c>
      <c r="N2199" s="128"/>
      <c r="O2199" s="9" t="s">
        <v>37</v>
      </c>
      <c r="P2199" s="23"/>
      <c r="Q2199" s="24" t="s">
        <v>31</v>
      </c>
      <c r="R2199" s="25">
        <v>44828</v>
      </c>
      <c r="S2199" s="28"/>
      <c r="T2199" s="35"/>
      <c r="U2199" s="35"/>
      <c r="V2199" s="29"/>
      <c r="W2199" s="35"/>
      <c r="X2199" s="29"/>
      <c r="Y2199" s="36"/>
      <c r="Z2199" s="29"/>
      <c r="AA2199" s="31">
        <f t="shared" si="1"/>
        <v>44828</v>
      </c>
      <c r="AB2199" s="32" t="str">
        <f t="shared" si="5"/>
        <v>septiembre</v>
      </c>
    </row>
    <row r="2200" spans="1:28" ht="12.75">
      <c r="A2200" s="9" t="s">
        <v>58</v>
      </c>
      <c r="B2200" s="10">
        <v>44833</v>
      </c>
      <c r="C2200" s="11">
        <v>44833</v>
      </c>
      <c r="D2200" s="49">
        <v>39</v>
      </c>
      <c r="E2200" s="13" t="s">
        <v>1634</v>
      </c>
      <c r="F2200" s="13">
        <v>3025457</v>
      </c>
      <c r="G2200" s="14">
        <v>22617</v>
      </c>
      <c r="H2200" s="33">
        <f>8550-8462.06</f>
        <v>87.940000000000509</v>
      </c>
      <c r="I2200" s="16">
        <f>-H2200*G2200</f>
        <v>-1988938.9800000116</v>
      </c>
      <c r="J2200" s="17">
        <v>0</v>
      </c>
      <c r="K2200" s="34">
        <v>4502415783</v>
      </c>
      <c r="L2200" s="126">
        <v>5083821045</v>
      </c>
      <c r="M2200" s="20">
        <v>5113625266</v>
      </c>
      <c r="N2200" s="128"/>
      <c r="O2200" s="9"/>
      <c r="P2200" s="23"/>
      <c r="Q2200" s="24" t="s">
        <v>31</v>
      </c>
      <c r="R2200" s="25">
        <v>44828</v>
      </c>
      <c r="S2200" s="28"/>
      <c r="T2200" s="35"/>
      <c r="U2200" s="35"/>
      <c r="V2200" s="29"/>
      <c r="W2200" s="35"/>
      <c r="X2200" s="29"/>
      <c r="Y2200" s="36"/>
      <c r="Z2200" s="29"/>
      <c r="AA2200" s="31">
        <f t="shared" si="1"/>
        <v>44828</v>
      </c>
      <c r="AB2200" s="32" t="str">
        <f t="shared" si="5"/>
        <v>septiembre</v>
      </c>
    </row>
    <row r="2201" spans="1:28" ht="12.75">
      <c r="A2201" s="9" t="s">
        <v>116</v>
      </c>
      <c r="B2201" s="10">
        <v>44817</v>
      </c>
      <c r="C2201" s="11"/>
      <c r="D2201" s="49">
        <v>39</v>
      </c>
      <c r="E2201" s="13" t="s">
        <v>2595</v>
      </c>
      <c r="F2201" s="13">
        <v>3025459</v>
      </c>
      <c r="G2201" s="14"/>
      <c r="H2201" s="15">
        <v>9035</v>
      </c>
      <c r="I2201" s="16">
        <f t="shared" ref="I2201:I2202" si="325">H2201*G2201</f>
        <v>0</v>
      </c>
      <c r="J2201" s="17">
        <v>42</v>
      </c>
      <c r="K2201" s="34">
        <v>4502411300</v>
      </c>
      <c r="L2201" s="126">
        <v>5083660241</v>
      </c>
      <c r="M2201" s="20">
        <v>5113580506</v>
      </c>
      <c r="N2201" s="23" t="s">
        <v>37</v>
      </c>
      <c r="O2201" s="22" t="s">
        <v>2663</v>
      </c>
      <c r="P2201" s="23"/>
      <c r="Q2201" s="24" t="s">
        <v>31</v>
      </c>
      <c r="R2201" s="25">
        <v>44828</v>
      </c>
      <c r="S2201" s="28">
        <v>4902352524</v>
      </c>
      <c r="T2201" s="35">
        <f>1850000*3</f>
        <v>5550000</v>
      </c>
      <c r="U2201" s="28" t="s">
        <v>2664</v>
      </c>
      <c r="V2201" s="29">
        <v>5113620881</v>
      </c>
      <c r="W2201" s="35"/>
      <c r="X2201" s="29"/>
      <c r="Y2201" s="36"/>
      <c r="Z2201" s="29"/>
      <c r="AA2201" s="31">
        <f t="shared" si="1"/>
        <v>44828</v>
      </c>
      <c r="AB2201" s="32" t="str">
        <f t="shared" si="5"/>
        <v>septiembre</v>
      </c>
    </row>
    <row r="2202" spans="1:28" ht="12.75">
      <c r="A2202" s="9" t="s">
        <v>1102</v>
      </c>
      <c r="B2202" s="10">
        <v>44832</v>
      </c>
      <c r="C2202" s="11"/>
      <c r="D2202" s="49">
        <v>39</v>
      </c>
      <c r="E2202" s="13" t="s">
        <v>2665</v>
      </c>
      <c r="F2202" s="13">
        <v>3025457</v>
      </c>
      <c r="G2202" s="14">
        <v>12106</v>
      </c>
      <c r="H2202" s="33">
        <v>8550</v>
      </c>
      <c r="I2202" s="16">
        <f t="shared" si="325"/>
        <v>103506300</v>
      </c>
      <c r="J2202" s="17">
        <v>30</v>
      </c>
      <c r="K2202" s="34">
        <v>4502415784</v>
      </c>
      <c r="L2202" s="126">
        <v>5083834479</v>
      </c>
      <c r="M2202" s="20">
        <v>5113622559</v>
      </c>
      <c r="N2202" s="140"/>
      <c r="O2202" s="9" t="s">
        <v>37</v>
      </c>
      <c r="P2202" s="23"/>
      <c r="Q2202" s="24" t="s">
        <v>31</v>
      </c>
      <c r="R2202" s="25">
        <v>44829</v>
      </c>
      <c r="S2202" s="28"/>
      <c r="T2202" s="35"/>
      <c r="U2202" s="35"/>
      <c r="V2202" s="29"/>
      <c r="W2202" s="35"/>
      <c r="X2202" s="29"/>
      <c r="Y2202" s="36"/>
      <c r="Z2202" s="29"/>
      <c r="AA2202" s="31">
        <f t="shared" si="1"/>
        <v>44829</v>
      </c>
      <c r="AB2202" s="32" t="str">
        <f t="shared" si="5"/>
        <v>septiembre</v>
      </c>
    </row>
    <row r="2203" spans="1:28" ht="12.75">
      <c r="A2203" s="9" t="s">
        <v>1102</v>
      </c>
      <c r="B2203" s="10">
        <v>44832</v>
      </c>
      <c r="C2203" s="11"/>
      <c r="D2203" s="49">
        <v>39</v>
      </c>
      <c r="E2203" s="13" t="s">
        <v>2666</v>
      </c>
      <c r="F2203" s="13">
        <v>3025457</v>
      </c>
      <c r="G2203" s="14">
        <v>12106</v>
      </c>
      <c r="H2203" s="33">
        <f>8550-8343.91</f>
        <v>206.09000000000015</v>
      </c>
      <c r="I2203" s="16">
        <f>-H2203*G2203</f>
        <v>-2494925.5400000019</v>
      </c>
      <c r="J2203" s="17">
        <v>0</v>
      </c>
      <c r="K2203" s="34">
        <v>4502415784</v>
      </c>
      <c r="L2203" s="126">
        <v>5083834479</v>
      </c>
      <c r="M2203" s="20">
        <v>5113622651</v>
      </c>
      <c r="N2203" s="140"/>
      <c r="O2203" s="9"/>
      <c r="P2203" s="23"/>
      <c r="Q2203" s="24" t="s">
        <v>31</v>
      </c>
      <c r="R2203" s="25">
        <v>44829</v>
      </c>
      <c r="S2203" s="28"/>
      <c r="T2203" s="35"/>
      <c r="U2203" s="35"/>
      <c r="V2203" s="29"/>
      <c r="W2203" s="35"/>
      <c r="X2203" s="29"/>
      <c r="Y2203" s="36"/>
      <c r="Z2203" s="29"/>
      <c r="AA2203" s="31">
        <f t="shared" si="1"/>
        <v>44829</v>
      </c>
      <c r="AB2203" s="32" t="str">
        <f t="shared" si="5"/>
        <v>septiembre</v>
      </c>
    </row>
    <row r="2204" spans="1:28" ht="12.75">
      <c r="A2204" s="9" t="s">
        <v>58</v>
      </c>
      <c r="B2204" s="10">
        <v>44833</v>
      </c>
      <c r="C2204" s="11">
        <v>44833</v>
      </c>
      <c r="D2204" s="49">
        <v>39</v>
      </c>
      <c r="E2204" s="13" t="s">
        <v>2667</v>
      </c>
      <c r="F2204" s="13">
        <v>3025457</v>
      </c>
      <c r="G2204" s="37">
        <v>20323.5</v>
      </c>
      <c r="H2204" s="33">
        <v>8550</v>
      </c>
      <c r="I2204" s="16">
        <f>H2204*G2204</f>
        <v>173765925</v>
      </c>
      <c r="J2204" s="17">
        <v>45</v>
      </c>
      <c r="K2204" s="34">
        <v>4502415785</v>
      </c>
      <c r="L2204" s="126">
        <v>5083833764</v>
      </c>
      <c r="M2204" s="20">
        <v>5113625844</v>
      </c>
      <c r="N2204" s="128"/>
      <c r="O2204" s="9" t="s">
        <v>37</v>
      </c>
      <c r="P2204" s="23"/>
      <c r="Q2204" s="24" t="s">
        <v>31</v>
      </c>
      <c r="R2204" s="25">
        <v>44829</v>
      </c>
      <c r="S2204" s="28"/>
      <c r="T2204" s="35"/>
      <c r="U2204" s="35"/>
      <c r="V2204" s="29"/>
      <c r="W2204" s="35"/>
      <c r="X2204" s="29"/>
      <c r="Y2204" s="36"/>
      <c r="Z2204" s="29"/>
      <c r="AA2204" s="31">
        <f t="shared" si="1"/>
        <v>44829</v>
      </c>
      <c r="AB2204" s="32" t="str">
        <f t="shared" si="5"/>
        <v>septiembre</v>
      </c>
    </row>
    <row r="2205" spans="1:28" ht="12.75">
      <c r="A2205" s="9" t="s">
        <v>58</v>
      </c>
      <c r="B2205" s="10">
        <v>44834</v>
      </c>
      <c r="C2205" s="11">
        <v>44834</v>
      </c>
      <c r="D2205" s="49">
        <v>39</v>
      </c>
      <c r="E2205" s="13" t="s">
        <v>1337</v>
      </c>
      <c r="F2205" s="13">
        <v>3025457</v>
      </c>
      <c r="G2205" s="37">
        <v>20323.5</v>
      </c>
      <c r="H2205" s="33">
        <f>8550-8419.77</f>
        <v>130.22999999999956</v>
      </c>
      <c r="I2205" s="16">
        <f>-H2205*G2205</f>
        <v>-2646729.4049999909</v>
      </c>
      <c r="J2205" s="17">
        <v>0</v>
      </c>
      <c r="K2205" s="34">
        <v>4502415785</v>
      </c>
      <c r="L2205" s="126">
        <v>5083833764</v>
      </c>
      <c r="M2205" s="20">
        <v>5113625858</v>
      </c>
      <c r="N2205" s="128"/>
      <c r="O2205" s="9"/>
      <c r="P2205" s="23"/>
      <c r="Q2205" s="24" t="s">
        <v>31</v>
      </c>
      <c r="R2205" s="25">
        <v>44829</v>
      </c>
      <c r="S2205" s="28"/>
      <c r="T2205" s="35"/>
      <c r="U2205" s="35"/>
      <c r="V2205" s="29"/>
      <c r="W2205" s="35"/>
      <c r="X2205" s="29"/>
      <c r="Y2205" s="36"/>
      <c r="Z2205" s="29"/>
      <c r="AA2205" s="31">
        <f t="shared" si="1"/>
        <v>44829</v>
      </c>
      <c r="AB2205" s="32" t="str">
        <f t="shared" si="5"/>
        <v>septiembre</v>
      </c>
    </row>
    <row r="2206" spans="1:28" ht="12.75">
      <c r="A2206" s="9" t="s">
        <v>58</v>
      </c>
      <c r="B2206" s="10">
        <v>44833</v>
      </c>
      <c r="C2206" s="11">
        <v>44833</v>
      </c>
      <c r="D2206" s="49">
        <v>39</v>
      </c>
      <c r="E2206" s="13" t="s">
        <v>2668</v>
      </c>
      <c r="F2206" s="13">
        <v>3025457</v>
      </c>
      <c r="G2206" s="37">
        <v>7654.5</v>
      </c>
      <c r="H2206" s="33">
        <v>8550</v>
      </c>
      <c r="I2206" s="16">
        <f t="shared" ref="I2206:I2213" si="326">H2206*G2206</f>
        <v>65445975</v>
      </c>
      <c r="J2206" s="17">
        <v>14</v>
      </c>
      <c r="K2206" s="34">
        <v>4502415785</v>
      </c>
      <c r="L2206" s="126">
        <v>5083833764</v>
      </c>
      <c r="M2206" s="20">
        <v>5113625339</v>
      </c>
      <c r="N2206" s="128"/>
      <c r="O2206" s="9" t="s">
        <v>37</v>
      </c>
      <c r="P2206" s="23"/>
      <c r="Q2206" s="24" t="s">
        <v>31</v>
      </c>
      <c r="R2206" s="25">
        <v>44829</v>
      </c>
      <c r="S2206" s="28"/>
      <c r="T2206" s="35"/>
      <c r="U2206" s="35"/>
      <c r="V2206" s="29"/>
      <c r="W2206" s="35"/>
      <c r="X2206" s="29"/>
      <c r="Y2206" s="36"/>
      <c r="Z2206" s="29"/>
      <c r="AA2206" s="31">
        <f t="shared" si="1"/>
        <v>44829</v>
      </c>
      <c r="AB2206" s="32" t="str">
        <f t="shared" si="5"/>
        <v>septiembre</v>
      </c>
    </row>
    <row r="2207" spans="1:28" ht="12.75">
      <c r="A2207" s="9" t="s">
        <v>633</v>
      </c>
      <c r="B2207" s="10">
        <v>44834</v>
      </c>
      <c r="C2207" s="11"/>
      <c r="D2207" s="49">
        <v>39</v>
      </c>
      <c r="E2207" s="13" t="s">
        <v>2669</v>
      </c>
      <c r="F2207" s="13">
        <v>3025460</v>
      </c>
      <c r="G2207" s="14">
        <v>6910</v>
      </c>
      <c r="H2207" s="33">
        <v>8100</v>
      </c>
      <c r="I2207" s="16">
        <f t="shared" si="326"/>
        <v>55971000</v>
      </c>
      <c r="J2207" s="17">
        <v>14</v>
      </c>
      <c r="K2207" s="34">
        <v>4502415788</v>
      </c>
      <c r="L2207" s="126">
        <v>5083833765</v>
      </c>
      <c r="M2207" s="20">
        <v>5113632430</v>
      </c>
      <c r="N2207" s="128"/>
      <c r="O2207" s="9" t="s">
        <v>37</v>
      </c>
      <c r="P2207" s="23"/>
      <c r="Q2207" s="24" t="s">
        <v>31</v>
      </c>
      <c r="R2207" s="25">
        <v>44829</v>
      </c>
      <c r="S2207" s="28"/>
      <c r="T2207" s="35"/>
      <c r="U2207" s="35"/>
      <c r="V2207" s="29"/>
      <c r="W2207" s="35"/>
      <c r="X2207" s="29"/>
      <c r="Y2207" s="36"/>
      <c r="Z2207" s="29"/>
      <c r="AA2207" s="31">
        <f t="shared" si="1"/>
        <v>44829</v>
      </c>
      <c r="AB2207" s="32" t="str">
        <f t="shared" si="5"/>
        <v>septiembre</v>
      </c>
    </row>
    <row r="2208" spans="1:28" ht="12.75">
      <c r="A2208" s="9" t="s">
        <v>199</v>
      </c>
      <c r="B2208" s="10">
        <v>44829</v>
      </c>
      <c r="C2208" s="11">
        <v>44833</v>
      </c>
      <c r="D2208" s="49">
        <v>39</v>
      </c>
      <c r="E2208" s="13" t="s">
        <v>2670</v>
      </c>
      <c r="F2208" s="13">
        <v>3025460</v>
      </c>
      <c r="G2208" s="14">
        <v>15708</v>
      </c>
      <c r="H2208" s="57">
        <v>8100</v>
      </c>
      <c r="I2208" s="16">
        <f t="shared" si="326"/>
        <v>127234800</v>
      </c>
      <c r="J2208" s="17">
        <v>30</v>
      </c>
      <c r="K2208" s="34">
        <v>4502420655</v>
      </c>
      <c r="L2208" s="126">
        <v>5083878712</v>
      </c>
      <c r="M2208" s="20">
        <v>5113624626</v>
      </c>
      <c r="N2208" s="128"/>
      <c r="O2208" s="23" t="s">
        <v>63</v>
      </c>
      <c r="P2208" s="23"/>
      <c r="Q2208" s="24" t="s">
        <v>82</v>
      </c>
      <c r="R2208" s="25">
        <v>44829</v>
      </c>
      <c r="S2208" s="28"/>
      <c r="T2208" s="35"/>
      <c r="U2208" s="35"/>
      <c r="V2208" s="29"/>
      <c r="W2208" s="35"/>
      <c r="X2208" s="29"/>
      <c r="Y2208" s="36"/>
      <c r="Z2208" s="29"/>
      <c r="AA2208" s="31">
        <f t="shared" si="1"/>
        <v>44829</v>
      </c>
      <c r="AB2208" s="32" t="str">
        <f t="shared" si="5"/>
        <v>septiembre</v>
      </c>
    </row>
    <row r="2209" spans="1:28" ht="12.75">
      <c r="A2209" s="9" t="s">
        <v>94</v>
      </c>
      <c r="B2209" s="10">
        <v>44833</v>
      </c>
      <c r="C2209" s="11">
        <v>44833</v>
      </c>
      <c r="D2209" s="49">
        <v>39</v>
      </c>
      <c r="E2209" s="13" t="s">
        <v>2671</v>
      </c>
      <c r="F2209" s="13">
        <v>3025460</v>
      </c>
      <c r="G2209" s="14">
        <v>19429</v>
      </c>
      <c r="H2209" s="57">
        <v>8045.96</v>
      </c>
      <c r="I2209" s="16">
        <f t="shared" si="326"/>
        <v>156324956.84</v>
      </c>
      <c r="J2209" s="17">
        <v>45</v>
      </c>
      <c r="K2209" s="34">
        <v>4502420658</v>
      </c>
      <c r="L2209" s="126">
        <v>5083878714</v>
      </c>
      <c r="M2209" s="20">
        <v>5113622173</v>
      </c>
      <c r="N2209" s="128"/>
      <c r="O2209" s="9" t="s">
        <v>63</v>
      </c>
      <c r="P2209" s="23"/>
      <c r="Q2209" s="24" t="s">
        <v>82</v>
      </c>
      <c r="R2209" s="25">
        <v>44829</v>
      </c>
      <c r="S2209" s="28"/>
      <c r="T2209" s="35"/>
      <c r="U2209" s="35"/>
      <c r="V2209" s="29"/>
      <c r="W2209" s="35"/>
      <c r="X2209" s="29"/>
      <c r="Y2209" s="36"/>
      <c r="Z2209" s="29"/>
      <c r="AA2209" s="31">
        <f t="shared" si="1"/>
        <v>44829</v>
      </c>
      <c r="AB2209" s="32" t="str">
        <f t="shared" si="5"/>
        <v>septiembre</v>
      </c>
    </row>
    <row r="2210" spans="1:28" ht="12.75">
      <c r="A2210" s="9" t="s">
        <v>2672</v>
      </c>
      <c r="B2210" s="10">
        <v>44833</v>
      </c>
      <c r="C2210" s="11"/>
      <c r="D2210" s="49">
        <v>39</v>
      </c>
      <c r="E2210" s="13" t="s">
        <v>2673</v>
      </c>
      <c r="F2210" s="13">
        <v>3025460</v>
      </c>
      <c r="G2210" s="14">
        <v>13614</v>
      </c>
      <c r="H2210" s="57">
        <v>8050</v>
      </c>
      <c r="I2210" s="16">
        <f t="shared" si="326"/>
        <v>109592700</v>
      </c>
      <c r="J2210" s="17">
        <v>30</v>
      </c>
      <c r="K2210" s="34">
        <v>4502420661</v>
      </c>
      <c r="L2210" s="126">
        <v>5083878717</v>
      </c>
      <c r="M2210" s="20">
        <v>5113630867</v>
      </c>
      <c r="N2210" s="128"/>
      <c r="O2210" s="9" t="s">
        <v>37</v>
      </c>
      <c r="P2210" s="23"/>
      <c r="Q2210" s="24" t="s">
        <v>82</v>
      </c>
      <c r="R2210" s="25">
        <v>44829</v>
      </c>
      <c r="S2210" s="28"/>
      <c r="T2210" s="35"/>
      <c r="U2210" s="35"/>
      <c r="V2210" s="29"/>
      <c r="W2210" s="35"/>
      <c r="X2210" s="29"/>
      <c r="Y2210" s="36"/>
      <c r="Z2210" s="29"/>
      <c r="AA2210" s="31">
        <f t="shared" si="1"/>
        <v>44829</v>
      </c>
      <c r="AB2210" s="32" t="str">
        <f t="shared" si="5"/>
        <v>septiembre</v>
      </c>
    </row>
    <row r="2211" spans="1:28" ht="12.75">
      <c r="A2211" s="22" t="s">
        <v>1083</v>
      </c>
      <c r="B2211" s="10">
        <v>44829</v>
      </c>
      <c r="C2211" s="11"/>
      <c r="D2211" s="49">
        <v>39</v>
      </c>
      <c r="E2211" s="13" t="s">
        <v>2674</v>
      </c>
      <c r="F2211" s="13">
        <v>3025460</v>
      </c>
      <c r="G2211" s="14">
        <v>6047</v>
      </c>
      <c r="H2211" s="57">
        <v>8150</v>
      </c>
      <c r="I2211" s="16">
        <f t="shared" si="326"/>
        <v>49283050</v>
      </c>
      <c r="J2211" s="17">
        <v>14</v>
      </c>
      <c r="K2211" s="34">
        <v>4502420670</v>
      </c>
      <c r="L2211" s="126">
        <v>5083878849</v>
      </c>
      <c r="M2211" s="20">
        <v>5113622175</v>
      </c>
      <c r="N2211" s="128"/>
      <c r="O2211" s="23" t="s">
        <v>63</v>
      </c>
      <c r="P2211" s="23"/>
      <c r="Q2211" s="24" t="s">
        <v>82</v>
      </c>
      <c r="R2211" s="25">
        <v>44829</v>
      </c>
      <c r="S2211" s="28"/>
      <c r="T2211" s="35"/>
      <c r="U2211" s="35"/>
      <c r="V2211" s="29"/>
      <c r="W2211" s="35"/>
      <c r="X2211" s="29"/>
      <c r="Y2211" s="36"/>
      <c r="Z2211" s="29"/>
      <c r="AA2211" s="31">
        <f t="shared" si="1"/>
        <v>44829</v>
      </c>
      <c r="AB2211" s="32" t="str">
        <f t="shared" si="5"/>
        <v>septiembre</v>
      </c>
    </row>
    <row r="2212" spans="1:28" ht="12.75">
      <c r="A2212" s="22" t="s">
        <v>2675</v>
      </c>
      <c r="B2212" s="10">
        <v>44830</v>
      </c>
      <c r="C2212" s="11">
        <v>44833</v>
      </c>
      <c r="D2212" s="49">
        <v>39</v>
      </c>
      <c r="E2212" s="13" t="s">
        <v>2676</v>
      </c>
      <c r="F2212" s="13">
        <v>3025460</v>
      </c>
      <c r="G2212" s="14">
        <v>11938</v>
      </c>
      <c r="H2212" s="33">
        <v>8083.77</v>
      </c>
      <c r="I2212" s="16">
        <f t="shared" si="326"/>
        <v>96504046.260000005</v>
      </c>
      <c r="J2212" s="17">
        <v>28</v>
      </c>
      <c r="K2212" s="34">
        <v>4502420675</v>
      </c>
      <c r="L2212" s="126">
        <v>5083878851</v>
      </c>
      <c r="M2212" s="20">
        <v>5113620641</v>
      </c>
      <c r="N2212" s="128"/>
      <c r="O2212" s="9" t="s">
        <v>63</v>
      </c>
      <c r="P2212" s="23"/>
      <c r="Q2212" s="24" t="s">
        <v>82</v>
      </c>
      <c r="R2212" s="25">
        <v>44829</v>
      </c>
      <c r="S2212" s="28"/>
      <c r="T2212" s="35"/>
      <c r="U2212" s="35"/>
      <c r="V2212" s="29"/>
      <c r="W2212" s="35"/>
      <c r="X2212" s="29"/>
      <c r="Y2212" s="36"/>
      <c r="Z2212" s="29"/>
      <c r="AA2212" s="31">
        <f t="shared" si="1"/>
        <v>44829</v>
      </c>
      <c r="AB2212" s="32" t="str">
        <f t="shared" si="5"/>
        <v>septiembre</v>
      </c>
    </row>
    <row r="2213" spans="1:28" ht="12.75">
      <c r="A2213" s="9" t="s">
        <v>73</v>
      </c>
      <c r="B2213" s="10">
        <v>44832</v>
      </c>
      <c r="C2213" s="11">
        <v>44832</v>
      </c>
      <c r="D2213" s="49">
        <v>39</v>
      </c>
      <c r="E2213" s="13" t="s">
        <v>2677</v>
      </c>
      <c r="F2213" s="13">
        <v>3025457</v>
      </c>
      <c r="G2213" s="37">
        <v>12964.5</v>
      </c>
      <c r="H2213" s="33">
        <v>8550</v>
      </c>
      <c r="I2213" s="16">
        <f t="shared" si="326"/>
        <v>110846475</v>
      </c>
      <c r="J2213" s="17">
        <v>28</v>
      </c>
      <c r="K2213" s="34">
        <v>4502415789</v>
      </c>
      <c r="L2213" s="126">
        <v>5083857913</v>
      </c>
      <c r="M2213" s="20">
        <v>5113636048</v>
      </c>
      <c r="N2213" s="128"/>
      <c r="O2213" s="9" t="s">
        <v>63</v>
      </c>
      <c r="P2213" s="23"/>
      <c r="Q2213" s="24" t="s">
        <v>31</v>
      </c>
      <c r="R2213" s="25">
        <v>44830</v>
      </c>
      <c r="S2213" s="28"/>
      <c r="T2213" s="35"/>
      <c r="U2213" s="35"/>
      <c r="V2213" s="29"/>
      <c r="W2213" s="35"/>
      <c r="X2213" s="29"/>
      <c r="Y2213" s="36"/>
      <c r="Z2213" s="29"/>
      <c r="AA2213" s="31">
        <f t="shared" si="1"/>
        <v>44830</v>
      </c>
      <c r="AB2213" s="32" t="str">
        <f t="shared" si="5"/>
        <v>septiembre</v>
      </c>
    </row>
    <row r="2214" spans="1:28" ht="12.75">
      <c r="A2214" s="9" t="s">
        <v>73</v>
      </c>
      <c r="B2214" s="10">
        <v>44832</v>
      </c>
      <c r="C2214" s="11">
        <v>44832</v>
      </c>
      <c r="D2214" s="49">
        <v>39</v>
      </c>
      <c r="E2214" s="13" t="s">
        <v>2678</v>
      </c>
      <c r="F2214" s="13">
        <v>3025457</v>
      </c>
      <c r="G2214" s="37">
        <v>12964.5</v>
      </c>
      <c r="H2214" s="33">
        <v>50</v>
      </c>
      <c r="I2214" s="16">
        <f>-H2214*G2214</f>
        <v>-648225</v>
      </c>
      <c r="J2214" s="17">
        <v>0</v>
      </c>
      <c r="K2214" s="34">
        <v>4502415789</v>
      </c>
      <c r="L2214" s="126">
        <v>5083857913</v>
      </c>
      <c r="M2214" s="20">
        <v>5113636051</v>
      </c>
      <c r="N2214" s="128"/>
      <c r="O2214" s="9"/>
      <c r="P2214" s="23"/>
      <c r="Q2214" s="24" t="s">
        <v>31</v>
      </c>
      <c r="R2214" s="25">
        <v>44830</v>
      </c>
      <c r="S2214" s="28"/>
      <c r="T2214" s="35"/>
      <c r="U2214" s="35"/>
      <c r="V2214" s="29"/>
      <c r="W2214" s="35"/>
      <c r="X2214" s="29"/>
      <c r="Y2214" s="36"/>
      <c r="Z2214" s="29"/>
      <c r="AA2214" s="31">
        <f t="shared" si="1"/>
        <v>44830</v>
      </c>
      <c r="AB2214" s="32" t="str">
        <f t="shared" si="5"/>
        <v>septiembre</v>
      </c>
    </row>
    <row r="2215" spans="1:28" ht="12.75">
      <c r="A2215" s="22" t="s">
        <v>404</v>
      </c>
      <c r="B2215" s="10">
        <v>44830</v>
      </c>
      <c r="C2215" s="11">
        <v>44832</v>
      </c>
      <c r="D2215" s="49">
        <v>39</v>
      </c>
      <c r="E2215" s="13" t="s">
        <v>2679</v>
      </c>
      <c r="F2215" s="13">
        <v>3025460</v>
      </c>
      <c r="G2215" s="14">
        <v>20492</v>
      </c>
      <c r="H2215" s="33">
        <v>8550</v>
      </c>
      <c r="I2215" s="16">
        <f t="shared" ref="I2215:I2216" si="327">H2215*G2215</f>
        <v>175206600</v>
      </c>
      <c r="J2215" s="17">
        <v>42</v>
      </c>
      <c r="K2215" s="34">
        <v>4502415790</v>
      </c>
      <c r="L2215" s="126">
        <v>5083857914</v>
      </c>
      <c r="M2215" s="20">
        <v>5113626302</v>
      </c>
      <c r="N2215" s="128"/>
      <c r="O2215" s="9" t="s">
        <v>37</v>
      </c>
      <c r="P2215" s="23"/>
      <c r="Q2215" s="24" t="s">
        <v>31</v>
      </c>
      <c r="R2215" s="25">
        <v>44830</v>
      </c>
      <c r="S2215" s="28"/>
      <c r="T2215" s="35"/>
      <c r="U2215" s="35"/>
      <c r="V2215" s="29"/>
      <c r="W2215" s="35"/>
      <c r="X2215" s="29"/>
      <c r="Y2215" s="36"/>
      <c r="Z2215" s="29"/>
      <c r="AA2215" s="31">
        <f t="shared" si="1"/>
        <v>44830</v>
      </c>
      <c r="AB2215" s="32" t="str">
        <f t="shared" si="5"/>
        <v>septiembre</v>
      </c>
    </row>
    <row r="2216" spans="1:28" ht="12.75">
      <c r="A2216" s="22" t="s">
        <v>404</v>
      </c>
      <c r="B2216" s="10">
        <v>44830</v>
      </c>
      <c r="C2216" s="11">
        <v>44832</v>
      </c>
      <c r="D2216" s="49">
        <v>39</v>
      </c>
      <c r="E2216" s="13" t="s">
        <v>2679</v>
      </c>
      <c r="F2216" s="13">
        <v>3025457</v>
      </c>
      <c r="G2216" s="14">
        <v>7015</v>
      </c>
      <c r="H2216" s="33">
        <v>8550</v>
      </c>
      <c r="I2216" s="16">
        <f t="shared" si="327"/>
        <v>59978250</v>
      </c>
      <c r="J2216" s="17">
        <v>15</v>
      </c>
      <c r="K2216" s="34">
        <v>4502418548</v>
      </c>
      <c r="L2216" s="126">
        <v>5083857914</v>
      </c>
      <c r="M2216" s="20">
        <v>5113626302</v>
      </c>
      <c r="N2216" s="128"/>
      <c r="O2216" s="9" t="s">
        <v>37</v>
      </c>
      <c r="P2216" s="23"/>
      <c r="Q2216" s="24" t="s">
        <v>31</v>
      </c>
      <c r="R2216" s="25">
        <v>44831</v>
      </c>
      <c r="S2216" s="28"/>
      <c r="T2216" s="35"/>
      <c r="U2216" s="35"/>
      <c r="V2216" s="29"/>
      <c r="W2216" s="35"/>
      <c r="X2216" s="29"/>
      <c r="Y2216" s="36"/>
      <c r="Z2216" s="29"/>
      <c r="AA2216" s="31">
        <f t="shared" si="1"/>
        <v>44831</v>
      </c>
      <c r="AB2216" s="32" t="str">
        <f t="shared" si="5"/>
        <v>septiembre</v>
      </c>
    </row>
    <row r="2217" spans="1:28" ht="12.75">
      <c r="A2217" s="22" t="s">
        <v>404</v>
      </c>
      <c r="B2217" s="10">
        <v>44832</v>
      </c>
      <c r="C2217" s="11">
        <v>44832</v>
      </c>
      <c r="D2217" s="49">
        <v>39</v>
      </c>
      <c r="E2217" s="13" t="s">
        <v>418</v>
      </c>
      <c r="F2217" s="13">
        <v>3025457</v>
      </c>
      <c r="G2217" s="14">
        <v>27507</v>
      </c>
      <c r="H2217" s="33">
        <f>8550-8496.39</f>
        <v>53.610000000000582</v>
      </c>
      <c r="I2217" s="16">
        <f>-H2217*G2217</f>
        <v>-1474650.2700000161</v>
      </c>
      <c r="J2217" s="17">
        <v>0</v>
      </c>
      <c r="K2217" s="34">
        <v>4502418548</v>
      </c>
      <c r="L2217" s="126">
        <v>5083888404</v>
      </c>
      <c r="M2217" s="20">
        <v>5113626305</v>
      </c>
      <c r="N2217" s="128"/>
      <c r="O2217" s="9"/>
      <c r="P2217" s="23"/>
      <c r="Q2217" s="24" t="s">
        <v>31</v>
      </c>
      <c r="R2217" s="25">
        <v>44831</v>
      </c>
      <c r="S2217" s="28"/>
      <c r="T2217" s="35"/>
      <c r="U2217" s="35"/>
      <c r="V2217" s="29"/>
      <c r="W2217" s="35"/>
      <c r="X2217" s="29"/>
      <c r="Y2217" s="36"/>
      <c r="Z2217" s="29"/>
      <c r="AA2217" s="31">
        <f t="shared" si="1"/>
        <v>44831</v>
      </c>
      <c r="AB2217" s="32" t="str">
        <f t="shared" si="5"/>
        <v>septiembre</v>
      </c>
    </row>
    <row r="2218" spans="1:28" ht="12.75">
      <c r="A2218" s="9" t="s">
        <v>274</v>
      </c>
      <c r="B2218" s="10">
        <v>44830</v>
      </c>
      <c r="C2218" s="11">
        <v>44834</v>
      </c>
      <c r="D2218" s="49">
        <v>39</v>
      </c>
      <c r="E2218" s="13" t="s">
        <v>2680</v>
      </c>
      <c r="F2218" s="13">
        <v>3025460</v>
      </c>
      <c r="G2218" s="14">
        <v>20835</v>
      </c>
      <c r="H2218" s="33">
        <v>8550</v>
      </c>
      <c r="I2218" s="16">
        <f t="shared" ref="I2218:I2219" si="328">H2218*G2218</f>
        <v>178139250</v>
      </c>
      <c r="J2218" s="17">
        <v>42</v>
      </c>
      <c r="K2218" s="34">
        <v>4502415791</v>
      </c>
      <c r="L2218" s="126">
        <v>5083888401</v>
      </c>
      <c r="M2218" s="20">
        <v>5113625917</v>
      </c>
      <c r="N2218" s="128"/>
      <c r="O2218" s="9" t="s">
        <v>63</v>
      </c>
      <c r="P2218" s="23"/>
      <c r="Q2218" s="24" t="s">
        <v>31</v>
      </c>
      <c r="R2218" s="25">
        <v>44830</v>
      </c>
      <c r="S2218" s="28"/>
      <c r="T2218" s="35"/>
      <c r="U2218" s="35"/>
      <c r="V2218" s="29"/>
      <c r="W2218" s="35"/>
      <c r="X2218" s="29"/>
      <c r="Y2218" s="36"/>
      <c r="Z2218" s="29"/>
      <c r="AA2218" s="31">
        <f t="shared" si="1"/>
        <v>44830</v>
      </c>
      <c r="AB2218" s="32" t="str">
        <f t="shared" si="5"/>
        <v>septiembre</v>
      </c>
    </row>
    <row r="2219" spans="1:28" ht="12.75">
      <c r="A2219" s="9" t="s">
        <v>39</v>
      </c>
      <c r="B2219" s="10">
        <v>44830</v>
      </c>
      <c r="C2219" s="11">
        <v>44834</v>
      </c>
      <c r="D2219" s="49">
        <v>39</v>
      </c>
      <c r="E2219" s="13" t="s">
        <v>2681</v>
      </c>
      <c r="F2219" s="13">
        <v>3025457</v>
      </c>
      <c r="G2219" s="37">
        <v>5989.5</v>
      </c>
      <c r="H2219" s="33">
        <v>8550</v>
      </c>
      <c r="I2219" s="16">
        <f t="shared" si="328"/>
        <v>51210225</v>
      </c>
      <c r="J2219" s="17">
        <v>14</v>
      </c>
      <c r="K2219" s="34">
        <v>4502415792</v>
      </c>
      <c r="L2219" s="126">
        <v>5083889580</v>
      </c>
      <c r="M2219" s="20">
        <v>5113628299</v>
      </c>
      <c r="N2219" s="128"/>
      <c r="O2219" s="9" t="s">
        <v>37</v>
      </c>
      <c r="P2219" s="23"/>
      <c r="Q2219" s="24" t="s">
        <v>31</v>
      </c>
      <c r="R2219" s="25">
        <v>44831</v>
      </c>
      <c r="S2219" s="28"/>
      <c r="T2219" s="35"/>
      <c r="U2219" s="35"/>
      <c r="V2219" s="29"/>
      <c r="W2219" s="35"/>
      <c r="X2219" s="29"/>
      <c r="Y2219" s="36"/>
      <c r="Z2219" s="29"/>
      <c r="AA2219" s="31">
        <f t="shared" si="1"/>
        <v>44831</v>
      </c>
      <c r="AB2219" s="32" t="str">
        <f t="shared" si="5"/>
        <v>septiembre</v>
      </c>
    </row>
    <row r="2220" spans="1:28" ht="12.75">
      <c r="A2220" s="9" t="s">
        <v>39</v>
      </c>
      <c r="B2220" s="10">
        <v>44834</v>
      </c>
      <c r="C2220" s="11">
        <v>44834</v>
      </c>
      <c r="D2220" s="49">
        <v>39</v>
      </c>
      <c r="E2220" s="13" t="s">
        <v>748</v>
      </c>
      <c r="F2220" s="13">
        <v>3025457</v>
      </c>
      <c r="G2220" s="37">
        <v>5989.5</v>
      </c>
      <c r="H2220" s="33">
        <v>100</v>
      </c>
      <c r="I2220" s="16">
        <f>-H2220*G2220</f>
        <v>-598950</v>
      </c>
      <c r="J2220" s="17">
        <v>0</v>
      </c>
      <c r="K2220" s="34">
        <v>4502415792</v>
      </c>
      <c r="L2220" s="126">
        <v>5083889580</v>
      </c>
      <c r="M2220" s="20">
        <v>5113628302</v>
      </c>
      <c r="N2220" s="128"/>
      <c r="O2220" s="9"/>
      <c r="P2220" s="23"/>
      <c r="Q2220" s="24" t="s">
        <v>31</v>
      </c>
      <c r="R2220" s="25">
        <v>44831</v>
      </c>
      <c r="S2220" s="28"/>
      <c r="T2220" s="35"/>
      <c r="U2220" s="35"/>
      <c r="V2220" s="29"/>
      <c r="W2220" s="35"/>
      <c r="X2220" s="29"/>
      <c r="Y2220" s="36"/>
      <c r="Z2220" s="29"/>
      <c r="AA2220" s="31">
        <f t="shared" si="1"/>
        <v>44831</v>
      </c>
      <c r="AB2220" s="32" t="str">
        <f t="shared" si="5"/>
        <v>septiembre</v>
      </c>
    </row>
    <row r="2221" spans="1:28" ht="12.75">
      <c r="A2221" s="9" t="s">
        <v>80</v>
      </c>
      <c r="B2221" s="10">
        <v>44831</v>
      </c>
      <c r="C2221" s="11"/>
      <c r="D2221" s="49">
        <v>39</v>
      </c>
      <c r="E2221" s="13" t="s">
        <v>2682</v>
      </c>
      <c r="F2221" s="13">
        <v>3025457</v>
      </c>
      <c r="G2221" s="14">
        <v>20303</v>
      </c>
      <c r="H2221" s="15">
        <v>7900</v>
      </c>
      <c r="I2221" s="16">
        <f t="shared" ref="I2221:I2226" si="329">H2221*G2221</f>
        <v>160393700</v>
      </c>
      <c r="J2221" s="17">
        <v>42</v>
      </c>
      <c r="K2221" s="34">
        <v>4502419807</v>
      </c>
      <c r="L2221" s="126">
        <v>5083857845</v>
      </c>
      <c r="M2221" s="20">
        <v>5113624964</v>
      </c>
      <c r="N2221" s="23" t="s">
        <v>37</v>
      </c>
      <c r="O2221" s="22" t="s">
        <v>1057</v>
      </c>
      <c r="P2221" s="23"/>
      <c r="Q2221" s="24" t="s">
        <v>31</v>
      </c>
      <c r="R2221" s="25">
        <v>44831</v>
      </c>
      <c r="S2221" s="28">
        <v>4902352526</v>
      </c>
      <c r="T2221" s="28">
        <v>4792500</v>
      </c>
      <c r="U2221" s="28" t="s">
        <v>2683</v>
      </c>
      <c r="V2221" s="29">
        <v>5113627899</v>
      </c>
      <c r="W2221" s="35"/>
      <c r="X2221" s="29"/>
      <c r="Y2221" s="36"/>
      <c r="Z2221" s="29"/>
      <c r="AA2221" s="31">
        <f t="shared" si="1"/>
        <v>44831</v>
      </c>
      <c r="AB2221" s="32" t="str">
        <f t="shared" si="5"/>
        <v>septiembre</v>
      </c>
    </row>
    <row r="2222" spans="1:28" ht="12.75">
      <c r="A2222" s="9" t="s">
        <v>168</v>
      </c>
      <c r="B2222" s="10">
        <v>44833</v>
      </c>
      <c r="C2222" s="11">
        <v>44834</v>
      </c>
      <c r="D2222" s="49">
        <v>39</v>
      </c>
      <c r="E2222" s="13" t="s">
        <v>2684</v>
      </c>
      <c r="F2222" s="13">
        <v>3025459</v>
      </c>
      <c r="G2222" s="14">
        <v>12983</v>
      </c>
      <c r="H2222" s="33">
        <v>8550</v>
      </c>
      <c r="I2222" s="16">
        <f t="shared" si="329"/>
        <v>111004650</v>
      </c>
      <c r="J2222" s="17">
        <v>28</v>
      </c>
      <c r="K2222" s="34">
        <v>4502415793</v>
      </c>
      <c r="L2222" s="126">
        <v>5083889581</v>
      </c>
      <c r="M2222" s="20">
        <v>5113625838</v>
      </c>
      <c r="N2222" s="128"/>
      <c r="O2222" s="9" t="s">
        <v>63</v>
      </c>
      <c r="P2222" s="23"/>
      <c r="Q2222" s="24" t="s">
        <v>31</v>
      </c>
      <c r="R2222" s="25">
        <v>44831</v>
      </c>
      <c r="S2222" s="28"/>
      <c r="T2222" s="35"/>
      <c r="U2222" s="35"/>
      <c r="V2222" s="29"/>
      <c r="W2222" s="35"/>
      <c r="X2222" s="29"/>
      <c r="Y2222" s="36"/>
      <c r="Z2222" s="29"/>
      <c r="AA2222" s="31">
        <f t="shared" si="1"/>
        <v>44831</v>
      </c>
      <c r="AB2222" s="32" t="str">
        <f t="shared" si="5"/>
        <v>septiembre</v>
      </c>
    </row>
    <row r="2223" spans="1:28" ht="12.75">
      <c r="A2223" s="9" t="s">
        <v>116</v>
      </c>
      <c r="B2223" s="10">
        <v>44817</v>
      </c>
      <c r="C2223" s="11"/>
      <c r="D2223" s="49">
        <v>39</v>
      </c>
      <c r="E2223" s="13" t="s">
        <v>2595</v>
      </c>
      <c r="F2223" s="13">
        <v>3025460</v>
      </c>
      <c r="G2223" s="14"/>
      <c r="H2223" s="15">
        <v>9035</v>
      </c>
      <c r="I2223" s="16">
        <f t="shared" si="329"/>
        <v>0</v>
      </c>
      <c r="J2223" s="17">
        <v>28</v>
      </c>
      <c r="K2223" s="34">
        <v>4502411300</v>
      </c>
      <c r="L2223" s="126">
        <v>5083660241</v>
      </c>
      <c r="M2223" s="20">
        <v>5113580506</v>
      </c>
      <c r="N2223" s="23" t="s">
        <v>37</v>
      </c>
      <c r="O2223" s="88" t="s">
        <v>2685</v>
      </c>
      <c r="P2223" s="23"/>
      <c r="Q2223" s="24" t="s">
        <v>31</v>
      </c>
      <c r="R2223" s="25">
        <v>44828</v>
      </c>
      <c r="S2223" s="28">
        <v>4902352527</v>
      </c>
      <c r="T2223" s="27">
        <v>3600000</v>
      </c>
      <c r="U2223" s="28" t="s">
        <v>2686</v>
      </c>
      <c r="V2223" s="29">
        <v>5113620765</v>
      </c>
      <c r="W2223" s="28" t="s">
        <v>2687</v>
      </c>
      <c r="X2223" s="29">
        <v>5113620760</v>
      </c>
      <c r="Y2223" s="36"/>
      <c r="Z2223" s="29"/>
      <c r="AA2223" s="31">
        <f t="shared" si="1"/>
        <v>44828</v>
      </c>
      <c r="AB2223" s="32" t="str">
        <f t="shared" si="5"/>
        <v>septiembre</v>
      </c>
    </row>
    <row r="2224" spans="1:28" ht="12.75">
      <c r="A2224" s="9" t="s">
        <v>65</v>
      </c>
      <c r="B2224" s="10">
        <v>44831</v>
      </c>
      <c r="C2224" s="11"/>
      <c r="D2224" s="49">
        <v>39</v>
      </c>
      <c r="E2224" s="13" t="s">
        <v>2688</v>
      </c>
      <c r="F2224" s="13">
        <v>3025460</v>
      </c>
      <c r="G2224" s="14">
        <v>14169</v>
      </c>
      <c r="H2224" s="15">
        <v>8200</v>
      </c>
      <c r="I2224" s="16">
        <f t="shared" si="329"/>
        <v>116185800</v>
      </c>
      <c r="J2224" s="17">
        <v>28</v>
      </c>
      <c r="K2224" s="34">
        <v>4502419808</v>
      </c>
      <c r="L2224" s="126">
        <v>5083857846</v>
      </c>
      <c r="M2224" s="20">
        <v>5113624743</v>
      </c>
      <c r="N2224" s="128"/>
      <c r="O2224" s="22" t="s">
        <v>1353</v>
      </c>
      <c r="P2224" s="9" t="s">
        <v>63</v>
      </c>
      <c r="Q2224" s="24" t="s">
        <v>31</v>
      </c>
      <c r="R2224" s="25">
        <v>44831</v>
      </c>
      <c r="S2224" s="28">
        <v>4902352531</v>
      </c>
      <c r="T2224" s="35">
        <f>920000*2</f>
        <v>1840000</v>
      </c>
      <c r="U2224" s="28" t="s">
        <v>2689</v>
      </c>
      <c r="V2224" s="29">
        <v>5113621043</v>
      </c>
      <c r="W2224" s="35"/>
      <c r="X2224" s="29"/>
      <c r="Y2224" s="36"/>
      <c r="Z2224" s="29"/>
      <c r="AA2224" s="31">
        <f t="shared" si="1"/>
        <v>44831</v>
      </c>
      <c r="AB2224" s="32" t="str">
        <f t="shared" si="5"/>
        <v>septiembre</v>
      </c>
    </row>
    <row r="2225" spans="1:28" ht="12.75">
      <c r="A2225" s="9" t="s">
        <v>58</v>
      </c>
      <c r="B2225" s="10">
        <v>44834</v>
      </c>
      <c r="C2225" s="11">
        <v>44834</v>
      </c>
      <c r="D2225" s="49">
        <v>39</v>
      </c>
      <c r="E2225" s="13" t="s">
        <v>2690</v>
      </c>
      <c r="F2225" s="13">
        <v>3025460</v>
      </c>
      <c r="G2225" s="37">
        <v>14885.5</v>
      </c>
      <c r="H2225" s="33">
        <v>8550</v>
      </c>
      <c r="I2225" s="16">
        <f t="shared" si="329"/>
        <v>127271025</v>
      </c>
      <c r="J2225" s="17">
        <v>32</v>
      </c>
      <c r="K2225" s="34">
        <v>4502415794</v>
      </c>
      <c r="L2225" s="126">
        <v>5083889731</v>
      </c>
      <c r="M2225" s="20">
        <v>5113630657</v>
      </c>
      <c r="N2225" s="128"/>
      <c r="O2225" s="9" t="s">
        <v>37</v>
      </c>
      <c r="P2225" s="23"/>
      <c r="Q2225" s="24" t="s">
        <v>31</v>
      </c>
      <c r="R2225" s="25">
        <v>44831</v>
      </c>
      <c r="S2225" s="28"/>
      <c r="T2225" s="35"/>
      <c r="U2225" s="35"/>
      <c r="V2225" s="29"/>
      <c r="W2225" s="35"/>
      <c r="X2225" s="29"/>
      <c r="Y2225" s="36"/>
      <c r="Z2225" s="29"/>
      <c r="AA2225" s="31">
        <f t="shared" si="1"/>
        <v>44831</v>
      </c>
      <c r="AB2225" s="32" t="str">
        <f t="shared" si="5"/>
        <v>septiembre</v>
      </c>
    </row>
    <row r="2226" spans="1:28" ht="12.75">
      <c r="A2226" s="9" t="s">
        <v>2279</v>
      </c>
      <c r="B2226" s="10">
        <v>44831</v>
      </c>
      <c r="C2226" s="11">
        <v>44838</v>
      </c>
      <c r="D2226" s="49">
        <v>39</v>
      </c>
      <c r="E2226" s="13" t="s">
        <v>2691</v>
      </c>
      <c r="F2226" s="13">
        <v>3025460</v>
      </c>
      <c r="G2226" s="37">
        <v>6159.5</v>
      </c>
      <c r="H2226" s="33">
        <v>8200</v>
      </c>
      <c r="I2226" s="16">
        <f t="shared" si="329"/>
        <v>50507900</v>
      </c>
      <c r="J2226" s="17">
        <v>15</v>
      </c>
      <c r="K2226" s="34">
        <v>4502415795</v>
      </c>
      <c r="L2226" s="126">
        <v>5083889732</v>
      </c>
      <c r="M2226" s="20">
        <v>5113633814</v>
      </c>
      <c r="N2226" s="23"/>
      <c r="O2226" s="9" t="s">
        <v>63</v>
      </c>
      <c r="P2226" s="23"/>
      <c r="Q2226" s="24" t="s">
        <v>31</v>
      </c>
      <c r="R2226" s="25">
        <v>44831</v>
      </c>
      <c r="S2226" s="28"/>
      <c r="T2226" s="35"/>
      <c r="U2226" s="35"/>
      <c r="V2226" s="29"/>
      <c r="W2226" s="35"/>
      <c r="X2226" s="29"/>
      <c r="Y2226" s="36"/>
      <c r="Z2226" s="29"/>
      <c r="AA2226" s="31">
        <f t="shared" si="1"/>
        <v>44831</v>
      </c>
      <c r="AB2226" s="32" t="str">
        <f t="shared" si="5"/>
        <v>septiembre</v>
      </c>
    </row>
    <row r="2227" spans="1:28" ht="12.75">
      <c r="A2227" s="9" t="s">
        <v>2279</v>
      </c>
      <c r="B2227" s="10">
        <v>44834</v>
      </c>
      <c r="C2227" s="11">
        <v>44838</v>
      </c>
      <c r="D2227" s="49">
        <v>39</v>
      </c>
      <c r="E2227" s="13" t="s">
        <v>400</v>
      </c>
      <c r="F2227" s="13">
        <v>3025460</v>
      </c>
      <c r="G2227" s="37">
        <v>6159.5</v>
      </c>
      <c r="H2227" s="33">
        <f>8200-8143.66</f>
        <v>56.340000000000146</v>
      </c>
      <c r="I2227" s="16">
        <f>-H2227*G2227</f>
        <v>-347026.23000000091</v>
      </c>
      <c r="J2227" s="17">
        <v>0</v>
      </c>
      <c r="K2227" s="34">
        <v>4502415795</v>
      </c>
      <c r="L2227" s="126">
        <v>5083889732</v>
      </c>
      <c r="M2227" s="20">
        <v>5113633815</v>
      </c>
      <c r="N2227" s="23"/>
      <c r="O2227" s="9"/>
      <c r="P2227" s="23"/>
      <c r="Q2227" s="24" t="s">
        <v>31</v>
      </c>
      <c r="R2227" s="25">
        <v>44831</v>
      </c>
      <c r="S2227" s="28"/>
      <c r="T2227" s="35"/>
      <c r="U2227" s="35"/>
      <c r="V2227" s="29"/>
      <c r="W2227" s="35"/>
      <c r="X2227" s="29"/>
      <c r="Y2227" s="36"/>
      <c r="Z2227" s="29"/>
      <c r="AA2227" s="31">
        <f t="shared" si="1"/>
        <v>44831</v>
      </c>
      <c r="AB2227" s="32" t="str">
        <f t="shared" si="5"/>
        <v>septiembre</v>
      </c>
    </row>
    <row r="2228" spans="1:28" ht="12.75">
      <c r="A2228" s="22" t="s">
        <v>404</v>
      </c>
      <c r="B2228" s="10">
        <v>44831</v>
      </c>
      <c r="C2228" s="11">
        <v>44834</v>
      </c>
      <c r="D2228" s="49">
        <v>39</v>
      </c>
      <c r="E2228" s="13" t="s">
        <v>2692</v>
      </c>
      <c r="F2228" s="13">
        <v>3025460</v>
      </c>
      <c r="G2228" s="37">
        <v>6038.5</v>
      </c>
      <c r="H2228" s="33">
        <v>8550</v>
      </c>
      <c r="I2228" s="16">
        <f>H2228*G2228</f>
        <v>51629175</v>
      </c>
      <c r="J2228" s="17">
        <v>14</v>
      </c>
      <c r="K2228" s="34">
        <v>4502417463</v>
      </c>
      <c r="L2228" s="126">
        <v>5083889583</v>
      </c>
      <c r="M2228" s="20">
        <v>5113629128</v>
      </c>
      <c r="N2228" s="128"/>
      <c r="O2228" s="9" t="s">
        <v>37</v>
      </c>
      <c r="P2228" s="23"/>
      <c r="Q2228" s="24" t="s">
        <v>31</v>
      </c>
      <c r="R2228" s="25">
        <v>44831</v>
      </c>
      <c r="S2228" s="28"/>
      <c r="T2228" s="35"/>
      <c r="U2228" s="35"/>
      <c r="V2228" s="29"/>
      <c r="W2228" s="35"/>
      <c r="X2228" s="29"/>
      <c r="Y2228" s="36"/>
      <c r="Z2228" s="29"/>
      <c r="AA2228" s="31">
        <f t="shared" si="1"/>
        <v>44831</v>
      </c>
      <c r="AB2228" s="32" t="str">
        <f t="shared" si="5"/>
        <v>septiembre</v>
      </c>
    </row>
    <row r="2229" spans="1:28" ht="12.75">
      <c r="A2229" s="22" t="s">
        <v>404</v>
      </c>
      <c r="B2229" s="10">
        <v>44834</v>
      </c>
      <c r="C2229" s="11">
        <v>44834</v>
      </c>
      <c r="D2229" s="49">
        <v>39</v>
      </c>
      <c r="E2229" s="13" t="s">
        <v>1990</v>
      </c>
      <c r="F2229" s="13">
        <v>3025460</v>
      </c>
      <c r="G2229" s="37">
        <v>6038.5</v>
      </c>
      <c r="H2229" s="33">
        <v>150</v>
      </c>
      <c r="I2229" s="16">
        <f>-H2229*G2229</f>
        <v>-905775</v>
      </c>
      <c r="J2229" s="17">
        <v>0</v>
      </c>
      <c r="K2229" s="34">
        <v>4502417463</v>
      </c>
      <c r="L2229" s="126">
        <v>5083889583</v>
      </c>
      <c r="M2229" s="20">
        <v>5113629132</v>
      </c>
      <c r="N2229" s="128"/>
      <c r="O2229" s="9"/>
      <c r="P2229" s="23"/>
      <c r="Q2229" s="24" t="s">
        <v>31</v>
      </c>
      <c r="R2229" s="25">
        <v>44831</v>
      </c>
      <c r="S2229" s="28"/>
      <c r="T2229" s="35"/>
      <c r="U2229" s="35"/>
      <c r="V2229" s="29"/>
      <c r="W2229" s="35"/>
      <c r="X2229" s="29"/>
      <c r="Y2229" s="36"/>
      <c r="Z2229" s="29"/>
      <c r="AA2229" s="31">
        <f t="shared" si="1"/>
        <v>44831</v>
      </c>
      <c r="AB2229" s="32" t="str">
        <f t="shared" si="5"/>
        <v>septiembre</v>
      </c>
    </row>
    <row r="2230" spans="1:28" ht="12.75">
      <c r="A2230" s="9" t="s">
        <v>58</v>
      </c>
      <c r="B2230" s="10">
        <v>44834</v>
      </c>
      <c r="C2230" s="11">
        <v>44834</v>
      </c>
      <c r="D2230" s="49">
        <v>39</v>
      </c>
      <c r="E2230" s="13" t="s">
        <v>2693</v>
      </c>
      <c r="F2230" s="13">
        <v>3025462</v>
      </c>
      <c r="G2230" s="14">
        <v>16393</v>
      </c>
      <c r="H2230" s="57">
        <v>7500</v>
      </c>
      <c r="I2230" s="16">
        <f t="shared" ref="I2230:I2231" si="330">H2230*G2230</f>
        <v>122947500</v>
      </c>
      <c r="J2230" s="17">
        <v>62</v>
      </c>
      <c r="K2230" s="34">
        <v>4502421822</v>
      </c>
      <c r="L2230" s="126">
        <v>5083908287</v>
      </c>
      <c r="M2230" s="20">
        <v>5113630556</v>
      </c>
      <c r="N2230" s="128"/>
      <c r="O2230" s="9" t="s">
        <v>37</v>
      </c>
      <c r="P2230" s="23"/>
      <c r="Q2230" s="24" t="s">
        <v>357</v>
      </c>
      <c r="R2230" s="25">
        <v>44832</v>
      </c>
      <c r="S2230" s="28"/>
      <c r="T2230" s="35"/>
      <c r="U2230" s="35"/>
      <c r="V2230" s="29"/>
      <c r="W2230" s="35"/>
      <c r="X2230" s="29"/>
      <c r="Y2230" s="36"/>
      <c r="Z2230" s="29"/>
      <c r="AA2230" s="31">
        <f t="shared" si="1"/>
        <v>44832</v>
      </c>
      <c r="AB2230" s="32" t="str">
        <f t="shared" si="5"/>
        <v>septiembre</v>
      </c>
    </row>
    <row r="2231" spans="1:28" ht="12.75">
      <c r="A2231" s="9" t="s">
        <v>58</v>
      </c>
      <c r="B2231" s="10">
        <v>44839</v>
      </c>
      <c r="C2231" s="11">
        <v>44839</v>
      </c>
      <c r="D2231" s="53">
        <v>40</v>
      </c>
      <c r="E2231" s="13" t="s">
        <v>2694</v>
      </c>
      <c r="F2231" s="13">
        <v>3025457</v>
      </c>
      <c r="G2231" s="37">
        <v>14905.5</v>
      </c>
      <c r="H2231" s="33">
        <v>8600</v>
      </c>
      <c r="I2231" s="16">
        <f t="shared" si="330"/>
        <v>128187300</v>
      </c>
      <c r="J2231" s="17">
        <v>31</v>
      </c>
      <c r="K2231" s="34">
        <v>4502420553</v>
      </c>
      <c r="L2231" s="19">
        <v>5083913301</v>
      </c>
      <c r="M2231" s="20">
        <v>5113636053</v>
      </c>
      <c r="N2231" s="23"/>
      <c r="O2231" s="9" t="s">
        <v>37</v>
      </c>
      <c r="P2231" s="23"/>
      <c r="Q2231" s="24" t="s">
        <v>31</v>
      </c>
      <c r="R2231" s="25">
        <v>44833</v>
      </c>
      <c r="S2231" s="28"/>
      <c r="T2231" s="35"/>
      <c r="U2231" s="35"/>
      <c r="V2231" s="29"/>
      <c r="W2231" s="35"/>
      <c r="X2231" s="29"/>
      <c r="Y2231" s="36"/>
      <c r="Z2231" s="29"/>
      <c r="AA2231" s="31">
        <f t="shared" si="1"/>
        <v>44833</v>
      </c>
      <c r="AB2231" s="32" t="str">
        <f t="shared" si="5"/>
        <v>septiembre</v>
      </c>
    </row>
    <row r="2232" spans="1:28" ht="12.75">
      <c r="A2232" s="9" t="s">
        <v>58</v>
      </c>
      <c r="B2232" s="10">
        <v>44839</v>
      </c>
      <c r="C2232" s="11">
        <v>44839</v>
      </c>
      <c r="D2232" s="53">
        <v>40</v>
      </c>
      <c r="E2232" s="13" t="s">
        <v>465</v>
      </c>
      <c r="F2232" s="13">
        <v>3025457</v>
      </c>
      <c r="G2232" s="37">
        <v>14905.5</v>
      </c>
      <c r="H2232" s="33">
        <f>8600-8445.01</f>
        <v>154.98999999999978</v>
      </c>
      <c r="I2232" s="16">
        <f>-H2232*G2232</f>
        <v>-2310203.4449999966</v>
      </c>
      <c r="J2232" s="17">
        <v>0</v>
      </c>
      <c r="K2232" s="34">
        <v>4502420553</v>
      </c>
      <c r="L2232" s="19">
        <v>5083913301</v>
      </c>
      <c r="M2232" s="20">
        <v>5113636067</v>
      </c>
      <c r="N2232" s="23"/>
      <c r="O2232" s="9"/>
      <c r="P2232" s="23"/>
      <c r="Q2232" s="24" t="s">
        <v>31</v>
      </c>
      <c r="R2232" s="25">
        <v>44833</v>
      </c>
      <c r="S2232" s="28"/>
      <c r="T2232" s="35"/>
      <c r="U2232" s="35"/>
      <c r="V2232" s="29"/>
      <c r="W2232" s="35"/>
      <c r="X2232" s="29"/>
      <c r="Y2232" s="36"/>
      <c r="Z2232" s="29"/>
      <c r="AA2232" s="31">
        <f t="shared" si="1"/>
        <v>44833</v>
      </c>
      <c r="AB2232" s="32" t="str">
        <f t="shared" si="5"/>
        <v>septiembre</v>
      </c>
    </row>
    <row r="2233" spans="1:28" ht="12.75">
      <c r="A2233" s="9" t="s">
        <v>58</v>
      </c>
      <c r="B2233" s="10">
        <v>44839</v>
      </c>
      <c r="C2233" s="11">
        <v>44839</v>
      </c>
      <c r="D2233" s="53">
        <v>40</v>
      </c>
      <c r="E2233" s="13" t="s">
        <v>2695</v>
      </c>
      <c r="F2233" s="13">
        <v>3025457</v>
      </c>
      <c r="G2233" s="37">
        <v>22174.5</v>
      </c>
      <c r="H2233" s="33">
        <v>8600</v>
      </c>
      <c r="I2233" s="16">
        <f t="shared" ref="I2233:I2234" si="331">H2233*G2233</f>
        <v>190700700</v>
      </c>
      <c r="J2233" s="17">
        <v>45</v>
      </c>
      <c r="K2233" s="34">
        <v>4502420553</v>
      </c>
      <c r="L2233" s="19">
        <v>5083912985</v>
      </c>
      <c r="M2233" s="20">
        <v>5113636068</v>
      </c>
      <c r="N2233" s="23"/>
      <c r="O2233" s="9" t="s">
        <v>37</v>
      </c>
      <c r="P2233" s="23"/>
      <c r="Q2233" s="24" t="s">
        <v>31</v>
      </c>
      <c r="R2233" s="25">
        <v>44833</v>
      </c>
      <c r="S2233" s="28"/>
      <c r="T2233" s="35"/>
      <c r="U2233" s="35"/>
      <c r="V2233" s="29"/>
      <c r="W2233" s="35"/>
      <c r="X2233" s="29"/>
      <c r="Y2233" s="36"/>
      <c r="Z2233" s="29"/>
      <c r="AA2233" s="31">
        <f t="shared" si="1"/>
        <v>44833</v>
      </c>
      <c r="AB2233" s="32" t="str">
        <f t="shared" si="5"/>
        <v>septiembre</v>
      </c>
    </row>
    <row r="2234" spans="1:28" ht="12.75">
      <c r="A2234" s="9" t="s">
        <v>58</v>
      </c>
      <c r="B2234" s="10">
        <v>44839</v>
      </c>
      <c r="C2234" s="11">
        <v>44839</v>
      </c>
      <c r="D2234" s="53">
        <v>40</v>
      </c>
      <c r="E2234" s="13" t="s">
        <v>2695</v>
      </c>
      <c r="F2234" s="13">
        <v>3025459</v>
      </c>
      <c r="G2234" s="14">
        <v>33593</v>
      </c>
      <c r="H2234" s="33">
        <v>8600</v>
      </c>
      <c r="I2234" s="16">
        <f t="shared" si="331"/>
        <v>288899800</v>
      </c>
      <c r="J2234" s="17">
        <v>73</v>
      </c>
      <c r="K2234" s="34">
        <v>4502420555</v>
      </c>
      <c r="L2234" s="19">
        <v>5083912985</v>
      </c>
      <c r="M2234" s="20">
        <v>5113636068</v>
      </c>
      <c r="N2234" s="23"/>
      <c r="O2234" s="9" t="s">
        <v>37</v>
      </c>
      <c r="P2234" s="23"/>
      <c r="Q2234" s="24" t="s">
        <v>31</v>
      </c>
      <c r="R2234" s="25">
        <v>44833</v>
      </c>
      <c r="S2234" s="28"/>
      <c r="T2234" s="35"/>
      <c r="U2234" s="35"/>
      <c r="V2234" s="29"/>
      <c r="W2234" s="35"/>
      <c r="X2234" s="29"/>
      <c r="Y2234" s="36"/>
      <c r="Z2234" s="29"/>
      <c r="AA2234" s="31">
        <f t="shared" si="1"/>
        <v>44833</v>
      </c>
      <c r="AB2234" s="32" t="str">
        <f t="shared" si="5"/>
        <v>septiembre</v>
      </c>
    </row>
    <row r="2235" spans="1:28" ht="12.75">
      <c r="A2235" s="9" t="s">
        <v>58</v>
      </c>
      <c r="B2235" s="10">
        <v>44839</v>
      </c>
      <c r="C2235" s="11">
        <v>44839</v>
      </c>
      <c r="D2235" s="53">
        <v>40</v>
      </c>
      <c r="E2235" s="13" t="s">
        <v>1342</v>
      </c>
      <c r="F2235" s="13">
        <v>3025459</v>
      </c>
      <c r="G2235" s="37">
        <v>55767.5</v>
      </c>
      <c r="H2235" s="33">
        <f>8600-8588.8</f>
        <v>11.200000000000728</v>
      </c>
      <c r="I2235" s="16">
        <f>-H2235*G2235</f>
        <v>-624596.00000004063</v>
      </c>
      <c r="J2235" s="17">
        <v>0</v>
      </c>
      <c r="K2235" s="34">
        <v>4502420555</v>
      </c>
      <c r="L2235" s="19">
        <v>5113636071</v>
      </c>
      <c r="M2235" s="20">
        <v>5113636071</v>
      </c>
      <c r="N2235" s="23"/>
      <c r="O2235" s="9"/>
      <c r="P2235" s="23"/>
      <c r="Q2235" s="24" t="s">
        <v>31</v>
      </c>
      <c r="R2235" s="25">
        <v>44833</v>
      </c>
      <c r="S2235" s="28"/>
      <c r="T2235" s="35"/>
      <c r="U2235" s="35"/>
      <c r="V2235" s="29"/>
      <c r="W2235" s="35"/>
      <c r="X2235" s="29"/>
      <c r="Y2235" s="36"/>
      <c r="Z2235" s="29"/>
      <c r="AA2235" s="31">
        <f t="shared" si="1"/>
        <v>44833</v>
      </c>
      <c r="AB2235" s="32" t="str">
        <f t="shared" si="5"/>
        <v>septiembre</v>
      </c>
    </row>
    <row r="2236" spans="1:28" ht="12.75">
      <c r="A2236" s="22" t="s">
        <v>719</v>
      </c>
      <c r="B2236" s="10">
        <v>44837</v>
      </c>
      <c r="C2236" s="11">
        <v>44838</v>
      </c>
      <c r="D2236" s="53">
        <v>40</v>
      </c>
      <c r="E2236" s="13" t="s">
        <v>2696</v>
      </c>
      <c r="F2236" s="13">
        <v>3025457</v>
      </c>
      <c r="G2236" s="37">
        <v>11571.5</v>
      </c>
      <c r="H2236" s="33">
        <v>8150</v>
      </c>
      <c r="I2236" s="16">
        <f>H2236*G2236</f>
        <v>94307725</v>
      </c>
      <c r="J2236" s="17">
        <v>28</v>
      </c>
      <c r="K2236" s="34">
        <v>4502420554</v>
      </c>
      <c r="L2236" s="19">
        <v>5083912984</v>
      </c>
      <c r="M2236" s="20">
        <v>5113634171</v>
      </c>
      <c r="N2236" s="23"/>
      <c r="O2236" s="9" t="s">
        <v>37</v>
      </c>
      <c r="P2236" s="23"/>
      <c r="Q2236" s="24" t="s">
        <v>31</v>
      </c>
      <c r="R2236" s="25">
        <v>44833</v>
      </c>
      <c r="S2236" s="28"/>
      <c r="T2236" s="35"/>
      <c r="U2236" s="35"/>
      <c r="V2236" s="29"/>
      <c r="W2236" s="35"/>
      <c r="X2236" s="29"/>
      <c r="Y2236" s="36"/>
      <c r="Z2236" s="29"/>
      <c r="AA2236" s="31">
        <f t="shared" si="1"/>
        <v>44833</v>
      </c>
      <c r="AB2236" s="32" t="str">
        <f t="shared" si="5"/>
        <v>septiembre</v>
      </c>
    </row>
    <row r="2237" spans="1:28" ht="12.75">
      <c r="A2237" s="22" t="s">
        <v>719</v>
      </c>
      <c r="B2237" s="10">
        <v>44837</v>
      </c>
      <c r="C2237" s="11">
        <v>44838</v>
      </c>
      <c r="D2237" s="53">
        <v>40</v>
      </c>
      <c r="E2237" s="13" t="s">
        <v>1356</v>
      </c>
      <c r="F2237" s="13">
        <v>3025457</v>
      </c>
      <c r="G2237" s="37">
        <v>11571.5</v>
      </c>
      <c r="H2237" s="33">
        <f>8150-7971.24</f>
        <v>178.76000000000022</v>
      </c>
      <c r="I2237" s="16">
        <f>-H2237*G2237</f>
        <v>-2068521.3400000024</v>
      </c>
      <c r="J2237" s="17">
        <v>0</v>
      </c>
      <c r="K2237" s="34">
        <v>4502420554</v>
      </c>
      <c r="L2237" s="19">
        <v>5083912984</v>
      </c>
      <c r="M2237" s="20">
        <v>5113634174</v>
      </c>
      <c r="N2237" s="23"/>
      <c r="O2237" s="9"/>
      <c r="P2237" s="23"/>
      <c r="Q2237" s="24" t="s">
        <v>31</v>
      </c>
      <c r="R2237" s="25">
        <v>44833</v>
      </c>
      <c r="S2237" s="28"/>
      <c r="T2237" s="35"/>
      <c r="U2237" s="35"/>
      <c r="V2237" s="29"/>
      <c r="W2237" s="35"/>
      <c r="X2237" s="29"/>
      <c r="Y2237" s="36"/>
      <c r="Z2237" s="29"/>
      <c r="AA2237" s="31">
        <f t="shared" si="1"/>
        <v>44833</v>
      </c>
      <c r="AB2237" s="32" t="str">
        <f t="shared" si="5"/>
        <v>septiembre</v>
      </c>
    </row>
    <row r="2238" spans="1:28" ht="12.75">
      <c r="A2238" s="9" t="s">
        <v>85</v>
      </c>
      <c r="B2238" s="10">
        <v>44835</v>
      </c>
      <c r="C2238" s="11">
        <v>44838</v>
      </c>
      <c r="D2238" s="53">
        <v>40</v>
      </c>
      <c r="E2238" s="13" t="s">
        <v>2697</v>
      </c>
      <c r="F2238" s="13">
        <v>3025457</v>
      </c>
      <c r="G2238" s="14">
        <v>19944</v>
      </c>
      <c r="H2238" s="15">
        <v>8000</v>
      </c>
      <c r="I2238" s="16">
        <f t="shared" ref="I2238:I2242" si="332">H2238*G2238</f>
        <v>159552000</v>
      </c>
      <c r="J2238" s="17">
        <v>42</v>
      </c>
      <c r="K2238" s="34">
        <v>4502421179</v>
      </c>
      <c r="L2238" s="19">
        <v>5083900172</v>
      </c>
      <c r="M2238" s="20">
        <v>5113633862</v>
      </c>
      <c r="N2238" s="23"/>
      <c r="O2238" s="22" t="s">
        <v>272</v>
      </c>
      <c r="P2238" s="9" t="s">
        <v>63</v>
      </c>
      <c r="Q2238" s="24" t="s">
        <v>31</v>
      </c>
      <c r="R2238" s="25">
        <v>44833</v>
      </c>
      <c r="S2238" s="28">
        <v>4902356375</v>
      </c>
      <c r="T2238" s="35">
        <f>1793900*3</f>
        <v>5381700</v>
      </c>
      <c r="U2238" s="28" t="s">
        <v>2698</v>
      </c>
      <c r="V2238" s="29">
        <v>5113625280</v>
      </c>
      <c r="W2238" s="35"/>
      <c r="X2238" s="29"/>
      <c r="Y2238" s="36"/>
      <c r="Z2238" s="29"/>
      <c r="AA2238" s="31">
        <f t="shared" si="1"/>
        <v>44833</v>
      </c>
      <c r="AB2238" s="32" t="str">
        <f t="shared" si="5"/>
        <v>septiembre</v>
      </c>
    </row>
    <row r="2239" spans="1:28" ht="12.75">
      <c r="A2239" s="9" t="s">
        <v>2699</v>
      </c>
      <c r="B2239" s="10">
        <v>44833</v>
      </c>
      <c r="C2239" s="11">
        <v>44838</v>
      </c>
      <c r="D2239" s="53">
        <v>40</v>
      </c>
      <c r="E2239" s="13" t="s">
        <v>2206</v>
      </c>
      <c r="F2239" s="13">
        <v>3025457</v>
      </c>
      <c r="G2239" s="14">
        <v>6895</v>
      </c>
      <c r="H2239" s="15">
        <v>8000</v>
      </c>
      <c r="I2239" s="16">
        <f t="shared" si="332"/>
        <v>55160000</v>
      </c>
      <c r="J2239" s="17">
        <v>14</v>
      </c>
      <c r="K2239" s="34">
        <v>4502420751</v>
      </c>
      <c r="L2239" s="19">
        <v>5083893575</v>
      </c>
      <c r="M2239" s="20">
        <v>5113633034</v>
      </c>
      <c r="N2239" s="23"/>
      <c r="O2239" s="22" t="s">
        <v>2700</v>
      </c>
      <c r="P2239" s="23" t="s">
        <v>63</v>
      </c>
      <c r="Q2239" s="24" t="s">
        <v>31</v>
      </c>
      <c r="R2239" s="25">
        <v>44833</v>
      </c>
      <c r="S2239" s="28">
        <v>4502420751</v>
      </c>
      <c r="T2239" s="28">
        <v>3497950</v>
      </c>
      <c r="U2239" s="28" t="s">
        <v>2701</v>
      </c>
      <c r="V2239" s="29">
        <v>5113625279</v>
      </c>
      <c r="W2239" s="35"/>
      <c r="X2239" s="29"/>
      <c r="Y2239" s="36"/>
      <c r="Z2239" s="29"/>
      <c r="AA2239" s="31">
        <f t="shared" si="1"/>
        <v>44833</v>
      </c>
      <c r="AB2239" s="32" t="str">
        <f t="shared" si="5"/>
        <v>septiembre</v>
      </c>
    </row>
    <row r="2240" spans="1:28" ht="12.75">
      <c r="A2240" s="9" t="s">
        <v>976</v>
      </c>
      <c r="B2240" s="10">
        <v>44835</v>
      </c>
      <c r="C2240" s="11">
        <v>44840</v>
      </c>
      <c r="D2240" s="53">
        <v>40</v>
      </c>
      <c r="E2240" s="13" t="s">
        <v>2702</v>
      </c>
      <c r="F2240" s="13">
        <v>3025459</v>
      </c>
      <c r="G2240" s="14">
        <v>14780</v>
      </c>
      <c r="H2240" s="15">
        <v>7850</v>
      </c>
      <c r="I2240" s="16">
        <f t="shared" si="332"/>
        <v>116023000</v>
      </c>
      <c r="J2240" s="17">
        <v>28</v>
      </c>
      <c r="K2240" s="34">
        <v>4502421181</v>
      </c>
      <c r="L2240" s="19">
        <v>5083900267</v>
      </c>
      <c r="M2240" s="20">
        <v>5113641642</v>
      </c>
      <c r="N2240" s="23" t="s">
        <v>37</v>
      </c>
      <c r="O2240" s="22" t="s">
        <v>2455</v>
      </c>
      <c r="P2240" s="23"/>
      <c r="Q2240" s="24" t="s">
        <v>31</v>
      </c>
      <c r="R2240" s="25">
        <v>44833</v>
      </c>
      <c r="S2240" s="28">
        <v>4902356376</v>
      </c>
      <c r="T2240" s="35">
        <f>3697950*2</f>
        <v>7395900</v>
      </c>
      <c r="U2240" s="28" t="s">
        <v>2703</v>
      </c>
      <c r="V2240" s="29">
        <v>5113628024</v>
      </c>
      <c r="W2240" s="35"/>
      <c r="X2240" s="29"/>
      <c r="Y2240" s="36"/>
      <c r="Z2240" s="29"/>
      <c r="AA2240" s="31">
        <f t="shared" si="1"/>
        <v>44833</v>
      </c>
      <c r="AB2240" s="32" t="str">
        <f t="shared" si="5"/>
        <v>septiembre</v>
      </c>
    </row>
    <row r="2241" spans="1:28" ht="12.75">
      <c r="A2241" s="9" t="s">
        <v>28</v>
      </c>
      <c r="B2241" s="10">
        <v>44837</v>
      </c>
      <c r="C2241" s="11"/>
      <c r="D2241" s="53">
        <v>40</v>
      </c>
      <c r="E2241" s="13" t="s">
        <v>2704</v>
      </c>
      <c r="F2241" s="13">
        <v>3025457</v>
      </c>
      <c r="G2241" s="14">
        <v>36340</v>
      </c>
      <c r="H2241" s="15">
        <v>7900</v>
      </c>
      <c r="I2241" s="16">
        <f t="shared" si="332"/>
        <v>287086000</v>
      </c>
      <c r="J2241" s="17">
        <v>70</v>
      </c>
      <c r="K2241" s="34">
        <v>4502421203</v>
      </c>
      <c r="L2241" s="19">
        <v>5083937555</v>
      </c>
      <c r="M2241" s="20">
        <v>5113633731</v>
      </c>
      <c r="N2241" s="23" t="s">
        <v>37</v>
      </c>
      <c r="O2241" s="22" t="s">
        <v>2705</v>
      </c>
      <c r="P2241" s="23"/>
      <c r="Q2241" s="24" t="s">
        <v>31</v>
      </c>
      <c r="R2241" s="25">
        <v>44834</v>
      </c>
      <c r="S2241" s="28">
        <v>4902356797</v>
      </c>
      <c r="T2241" s="28">
        <v>15442400</v>
      </c>
      <c r="U2241" s="28" t="s">
        <v>2706</v>
      </c>
      <c r="V2241" s="29">
        <v>5113630690</v>
      </c>
      <c r="W2241" s="28" t="s">
        <v>2707</v>
      </c>
      <c r="X2241" s="29">
        <v>5113630691</v>
      </c>
      <c r="Y2241" s="30" t="s">
        <v>2708</v>
      </c>
      <c r="Z2241" s="29">
        <v>5113630692</v>
      </c>
      <c r="AA2241" s="31">
        <f t="shared" si="1"/>
        <v>44834</v>
      </c>
      <c r="AB2241" s="32" t="str">
        <f t="shared" si="5"/>
        <v>septiembre</v>
      </c>
    </row>
    <row r="2242" spans="1:28" ht="12.75">
      <c r="A2242" s="9" t="s">
        <v>804</v>
      </c>
      <c r="B2242" s="10">
        <v>44838</v>
      </c>
      <c r="C2242" s="11">
        <v>44838</v>
      </c>
      <c r="D2242" s="53">
        <v>40</v>
      </c>
      <c r="E2242" s="13" t="s">
        <v>474</v>
      </c>
      <c r="F2242" s="13">
        <v>3025457</v>
      </c>
      <c r="G2242" s="37">
        <v>5873.5</v>
      </c>
      <c r="H2242" s="33">
        <v>8600</v>
      </c>
      <c r="I2242" s="16">
        <f t="shared" si="332"/>
        <v>50512100</v>
      </c>
      <c r="J2242" s="17">
        <v>14</v>
      </c>
      <c r="K2242" s="34">
        <v>4502420556</v>
      </c>
      <c r="L2242" s="19">
        <v>5083937529</v>
      </c>
      <c r="M2242" s="20">
        <v>5113632935</v>
      </c>
      <c r="N2242" s="23"/>
      <c r="O2242" s="9" t="s">
        <v>37</v>
      </c>
      <c r="P2242" s="23"/>
      <c r="Q2242" s="24" t="s">
        <v>31</v>
      </c>
      <c r="R2242" s="25">
        <v>44834</v>
      </c>
      <c r="S2242" s="28"/>
      <c r="T2242" s="35"/>
      <c r="U2242" s="35"/>
      <c r="V2242" s="29"/>
      <c r="W2242" s="35"/>
      <c r="X2242" s="29"/>
      <c r="Y2242" s="36"/>
      <c r="Z2242" s="29"/>
      <c r="AA2242" s="31">
        <f t="shared" si="1"/>
        <v>44834</v>
      </c>
      <c r="AB2242" s="32" t="str">
        <f t="shared" si="5"/>
        <v>septiembre</v>
      </c>
    </row>
    <row r="2243" spans="1:28" ht="12.75">
      <c r="A2243" s="9" t="s">
        <v>804</v>
      </c>
      <c r="B2243" s="10">
        <v>44838</v>
      </c>
      <c r="C2243" s="11">
        <v>44838</v>
      </c>
      <c r="D2243" s="53">
        <v>40</v>
      </c>
      <c r="E2243" s="13" t="s">
        <v>1705</v>
      </c>
      <c r="F2243" s="13">
        <v>3025457</v>
      </c>
      <c r="G2243" s="37">
        <v>5873.5</v>
      </c>
      <c r="H2243" s="33">
        <f>8600-8593.27</f>
        <v>6.7299999999995634</v>
      </c>
      <c r="I2243" s="16">
        <f>-H2243*G2243</f>
        <v>-39528.654999997438</v>
      </c>
      <c r="J2243" s="17">
        <v>0</v>
      </c>
      <c r="K2243" s="34">
        <v>4502420556</v>
      </c>
      <c r="L2243" s="19">
        <v>5113633027</v>
      </c>
      <c r="M2243" s="20">
        <v>5113633027</v>
      </c>
      <c r="N2243" s="23"/>
      <c r="O2243" s="9"/>
      <c r="P2243" s="23"/>
      <c r="Q2243" s="24" t="s">
        <v>31</v>
      </c>
      <c r="R2243" s="25">
        <v>44834</v>
      </c>
      <c r="S2243" s="28"/>
      <c r="T2243" s="35"/>
      <c r="U2243" s="35"/>
      <c r="V2243" s="29"/>
      <c r="W2243" s="35"/>
      <c r="X2243" s="29"/>
      <c r="Y2243" s="36"/>
      <c r="Z2243" s="29"/>
      <c r="AA2243" s="31">
        <f t="shared" si="1"/>
        <v>44834</v>
      </c>
      <c r="AB2243" s="32" t="str">
        <f t="shared" si="5"/>
        <v>septiembre</v>
      </c>
    </row>
    <row r="2244" spans="1:28" ht="12.75">
      <c r="A2244" s="9" t="s">
        <v>1102</v>
      </c>
      <c r="B2244" s="10">
        <v>44840</v>
      </c>
      <c r="C2244" s="11">
        <v>44841</v>
      </c>
      <c r="D2244" s="53">
        <v>40</v>
      </c>
      <c r="E2244" s="13" t="s">
        <v>2709</v>
      </c>
      <c r="F2244" s="13">
        <v>3025457</v>
      </c>
      <c r="G2244" s="14">
        <v>11841</v>
      </c>
      <c r="H2244" s="33">
        <v>8600</v>
      </c>
      <c r="I2244" s="16">
        <f>H2244*G2244</f>
        <v>101832600</v>
      </c>
      <c r="J2244" s="17">
        <v>30</v>
      </c>
      <c r="K2244" s="34">
        <v>4502420557</v>
      </c>
      <c r="L2244" s="19">
        <v>5083937553</v>
      </c>
      <c r="M2244" s="20">
        <v>5113640857</v>
      </c>
      <c r="N2244" s="23"/>
      <c r="O2244" s="9" t="s">
        <v>37</v>
      </c>
      <c r="P2244" s="23"/>
      <c r="Q2244" s="24" t="s">
        <v>31</v>
      </c>
      <c r="R2244" s="25">
        <v>44834</v>
      </c>
      <c r="S2244" s="28"/>
      <c r="T2244" s="35"/>
      <c r="U2244" s="35"/>
      <c r="V2244" s="29"/>
      <c r="W2244" s="35"/>
      <c r="X2244" s="29"/>
      <c r="Y2244" s="36"/>
      <c r="Z2244" s="29"/>
      <c r="AA2244" s="31">
        <f t="shared" si="1"/>
        <v>44834</v>
      </c>
      <c r="AB2244" s="32" t="str">
        <f t="shared" si="5"/>
        <v>septiembre</v>
      </c>
    </row>
    <row r="2245" spans="1:28" ht="12.75">
      <c r="A2245" s="9" t="s">
        <v>1102</v>
      </c>
      <c r="B2245" s="10">
        <v>44840</v>
      </c>
      <c r="C2245" s="11">
        <v>44841</v>
      </c>
      <c r="D2245" s="53">
        <v>40</v>
      </c>
      <c r="E2245" s="13" t="s">
        <v>2710</v>
      </c>
      <c r="F2245" s="13">
        <v>3025457</v>
      </c>
      <c r="G2245" s="14">
        <v>11841</v>
      </c>
      <c r="H2245" s="33">
        <f>8600-8382.92</f>
        <v>217.07999999999993</v>
      </c>
      <c r="I2245" s="16">
        <f>-H2245*G2245</f>
        <v>-2570444.2799999993</v>
      </c>
      <c r="J2245" s="17">
        <v>0</v>
      </c>
      <c r="K2245" s="34">
        <v>4502420557</v>
      </c>
      <c r="L2245" s="19">
        <v>5083937553</v>
      </c>
      <c r="M2245" s="20">
        <v>5113640858</v>
      </c>
      <c r="N2245" s="23"/>
      <c r="O2245" s="9"/>
      <c r="P2245" s="23"/>
      <c r="Q2245" s="24" t="s">
        <v>31</v>
      </c>
      <c r="R2245" s="25">
        <v>44834</v>
      </c>
      <c r="S2245" s="28"/>
      <c r="T2245" s="35"/>
      <c r="U2245" s="35"/>
      <c r="V2245" s="29"/>
      <c r="W2245" s="35"/>
      <c r="X2245" s="29"/>
      <c r="Y2245" s="36"/>
      <c r="Z2245" s="29"/>
      <c r="AA2245" s="31">
        <f t="shared" si="1"/>
        <v>44834</v>
      </c>
      <c r="AB2245" s="32" t="str">
        <f t="shared" si="5"/>
        <v>septiembre</v>
      </c>
    </row>
    <row r="2246" spans="1:28" ht="12.75">
      <c r="A2246" s="22" t="s">
        <v>404</v>
      </c>
      <c r="B2246" s="10">
        <v>44835</v>
      </c>
      <c r="C2246" s="11">
        <v>44838</v>
      </c>
      <c r="D2246" s="53">
        <v>40</v>
      </c>
      <c r="E2246" s="13" t="s">
        <v>2711</v>
      </c>
      <c r="F2246" s="13">
        <v>3025457</v>
      </c>
      <c r="G2246" s="14">
        <v>21486</v>
      </c>
      <c r="H2246" s="33">
        <v>8600</v>
      </c>
      <c r="I2246" s="16">
        <f>H2246*G2246</f>
        <v>184779600</v>
      </c>
      <c r="J2246" s="17">
        <v>45</v>
      </c>
      <c r="K2246" s="34">
        <v>4502420558</v>
      </c>
      <c r="L2246" s="19">
        <v>5083937530</v>
      </c>
      <c r="M2246" s="20">
        <v>5113634397</v>
      </c>
      <c r="N2246" s="23"/>
      <c r="O2246" s="9" t="s">
        <v>37</v>
      </c>
      <c r="P2246" s="23"/>
      <c r="Q2246" s="24" t="s">
        <v>31</v>
      </c>
      <c r="R2246" s="25">
        <v>44834</v>
      </c>
      <c r="S2246" s="28"/>
      <c r="T2246" s="35"/>
      <c r="U2246" s="35"/>
      <c r="V2246" s="29"/>
      <c r="W2246" s="35"/>
      <c r="X2246" s="29"/>
      <c r="Y2246" s="36"/>
      <c r="Z2246" s="29"/>
      <c r="AA2246" s="31">
        <f t="shared" si="1"/>
        <v>44834</v>
      </c>
      <c r="AB2246" s="32" t="str">
        <f t="shared" si="5"/>
        <v>septiembre</v>
      </c>
    </row>
    <row r="2247" spans="1:28" ht="12.75">
      <c r="A2247" s="22" t="s">
        <v>404</v>
      </c>
      <c r="B2247" s="10">
        <v>44838</v>
      </c>
      <c r="C2247" s="11">
        <v>44838</v>
      </c>
      <c r="D2247" s="53">
        <v>40</v>
      </c>
      <c r="E2247" s="13" t="s">
        <v>554</v>
      </c>
      <c r="F2247" s="13">
        <v>3025457</v>
      </c>
      <c r="G2247" s="14">
        <v>21486</v>
      </c>
      <c r="H2247" s="33">
        <v>50</v>
      </c>
      <c r="I2247" s="16">
        <f>-H2247*G2247</f>
        <v>-1074300</v>
      </c>
      <c r="J2247" s="17">
        <v>0</v>
      </c>
      <c r="K2247" s="34">
        <v>4502420558</v>
      </c>
      <c r="L2247" s="19">
        <v>5083937530</v>
      </c>
      <c r="M2247" s="20">
        <v>5113634400</v>
      </c>
      <c r="N2247" s="23"/>
      <c r="O2247" s="9"/>
      <c r="P2247" s="23"/>
      <c r="Q2247" s="24" t="s">
        <v>31</v>
      </c>
      <c r="R2247" s="25">
        <v>44834</v>
      </c>
      <c r="S2247" s="28"/>
      <c r="T2247" s="35"/>
      <c r="U2247" s="35"/>
      <c r="V2247" s="29"/>
      <c r="W2247" s="35"/>
      <c r="X2247" s="29"/>
      <c r="Y2247" s="36"/>
      <c r="Z2247" s="29"/>
      <c r="AA2247" s="31">
        <f t="shared" si="1"/>
        <v>44834</v>
      </c>
      <c r="AB2247" s="32" t="str">
        <f t="shared" si="5"/>
        <v>septiembre</v>
      </c>
    </row>
    <row r="2248" spans="1:28" ht="12.75">
      <c r="A2248" s="9" t="s">
        <v>116</v>
      </c>
      <c r="B2248" s="10">
        <v>44817</v>
      </c>
      <c r="C2248" s="11"/>
      <c r="D2248" s="53">
        <v>40</v>
      </c>
      <c r="E2248" s="13" t="s">
        <v>2595</v>
      </c>
      <c r="F2248" s="13">
        <v>3025459</v>
      </c>
      <c r="G2248" s="37"/>
      <c r="H2248" s="15">
        <v>9035</v>
      </c>
      <c r="I2248" s="16">
        <f t="shared" ref="I2248:I2251" si="333">H2248*G2248</f>
        <v>0</v>
      </c>
      <c r="J2248" s="17">
        <v>56</v>
      </c>
      <c r="K2248" s="34">
        <v>4502411300</v>
      </c>
      <c r="L2248" s="126">
        <v>5083660241</v>
      </c>
      <c r="M2248" s="20">
        <v>5113580506</v>
      </c>
      <c r="N2248" s="23" t="s">
        <v>37</v>
      </c>
      <c r="O2248" s="88" t="s">
        <v>2712</v>
      </c>
      <c r="P2248" s="23"/>
      <c r="Q2248" s="24" t="s">
        <v>31</v>
      </c>
      <c r="R2248" s="25">
        <v>44834</v>
      </c>
      <c r="S2248" s="28">
        <v>4902356799</v>
      </c>
      <c r="T2248" s="35">
        <f>1750000*4</f>
        <v>7000000</v>
      </c>
      <c r="U2248" s="28" t="s">
        <v>2713</v>
      </c>
      <c r="V2248" s="29">
        <v>5113632011</v>
      </c>
      <c r="W2248" s="141" t="s">
        <v>2714</v>
      </c>
      <c r="X2248" s="29">
        <v>5113658654</v>
      </c>
      <c r="Y2248" s="36"/>
      <c r="Z2248" s="29"/>
      <c r="AA2248" s="31">
        <f t="shared" si="1"/>
        <v>44834</v>
      </c>
      <c r="AB2248" s="32" t="str">
        <f t="shared" si="5"/>
        <v>septiembre</v>
      </c>
    </row>
    <row r="2249" spans="1:28" ht="12.75">
      <c r="A2249" s="9" t="s">
        <v>80</v>
      </c>
      <c r="B2249" s="10">
        <v>44834</v>
      </c>
      <c r="C2249" s="11"/>
      <c r="D2249" s="53">
        <v>40</v>
      </c>
      <c r="E2249" s="13" t="s">
        <v>2715</v>
      </c>
      <c r="F2249" s="13">
        <v>3025459</v>
      </c>
      <c r="G2249" s="14">
        <v>19362</v>
      </c>
      <c r="H2249" s="15">
        <v>8000</v>
      </c>
      <c r="I2249" s="16">
        <f t="shared" si="333"/>
        <v>154896000</v>
      </c>
      <c r="J2249" s="17">
        <v>42</v>
      </c>
      <c r="K2249" s="34">
        <v>4502421205</v>
      </c>
      <c r="L2249" s="19">
        <v>5083937552</v>
      </c>
      <c r="M2249" s="20">
        <v>5113633732</v>
      </c>
      <c r="N2249" s="23" t="s">
        <v>37</v>
      </c>
      <c r="O2249" s="22" t="s">
        <v>272</v>
      </c>
      <c r="P2249" s="23"/>
      <c r="Q2249" s="24" t="s">
        <v>31</v>
      </c>
      <c r="R2249" s="25">
        <v>44834</v>
      </c>
      <c r="S2249" s="28">
        <v>4902356800</v>
      </c>
      <c r="T2249" s="35">
        <f>1793900*3</f>
        <v>5381700</v>
      </c>
      <c r="U2249" s="28" t="s">
        <v>2716</v>
      </c>
      <c r="V2249" s="29">
        <v>5113630689</v>
      </c>
      <c r="W2249" s="35"/>
      <c r="X2249" s="29"/>
      <c r="Y2249" s="36"/>
      <c r="Z2249" s="29"/>
      <c r="AA2249" s="31">
        <f t="shared" si="1"/>
        <v>44834</v>
      </c>
      <c r="AB2249" s="32" t="str">
        <f t="shared" si="5"/>
        <v>septiembre</v>
      </c>
    </row>
    <row r="2250" spans="1:28" ht="12.75">
      <c r="A2250" s="9" t="s">
        <v>2717</v>
      </c>
      <c r="B2250" s="10">
        <v>44839</v>
      </c>
      <c r="C2250" s="11"/>
      <c r="D2250" s="53">
        <v>40</v>
      </c>
      <c r="E2250" s="13" t="s">
        <v>2718</v>
      </c>
      <c r="F2250" s="13">
        <v>3025457</v>
      </c>
      <c r="G2250" s="37">
        <v>13227.5</v>
      </c>
      <c r="H2250" s="33">
        <v>8600</v>
      </c>
      <c r="I2250" s="16">
        <f t="shared" si="333"/>
        <v>113756500</v>
      </c>
      <c r="J2250" s="17">
        <v>28</v>
      </c>
      <c r="K2250" s="34">
        <v>4502420559</v>
      </c>
      <c r="L2250" s="19">
        <v>5083937461</v>
      </c>
      <c r="M2250" s="20">
        <v>5113636169</v>
      </c>
      <c r="N2250" s="23"/>
      <c r="O2250" s="9" t="s">
        <v>63</v>
      </c>
      <c r="P2250" s="23"/>
      <c r="Q2250" s="24" t="s">
        <v>31</v>
      </c>
      <c r="R2250" s="25">
        <v>44835</v>
      </c>
      <c r="S2250" s="28"/>
      <c r="T2250" s="35"/>
      <c r="U2250" s="35"/>
      <c r="V2250" s="29"/>
      <c r="W2250" s="35"/>
      <c r="X2250" s="29"/>
      <c r="Y2250" s="36"/>
      <c r="Z2250" s="29"/>
      <c r="AA2250" s="31">
        <f t="shared" si="1"/>
        <v>44835</v>
      </c>
      <c r="AB2250" s="32" t="str">
        <f t="shared" si="5"/>
        <v>octubre</v>
      </c>
    </row>
    <row r="2251" spans="1:28" ht="12.75">
      <c r="A2251" s="9" t="s">
        <v>46</v>
      </c>
      <c r="B2251" s="10">
        <v>44835</v>
      </c>
      <c r="C2251" s="11"/>
      <c r="D2251" s="53">
        <v>40</v>
      </c>
      <c r="E2251" s="13" t="s">
        <v>2719</v>
      </c>
      <c r="F2251" s="13">
        <v>3025457</v>
      </c>
      <c r="G2251" s="14">
        <v>25166</v>
      </c>
      <c r="H2251" s="33">
        <v>8250</v>
      </c>
      <c r="I2251" s="16">
        <f t="shared" si="333"/>
        <v>207619500</v>
      </c>
      <c r="J2251" s="17">
        <v>58</v>
      </c>
      <c r="K2251" s="34">
        <v>4502420560</v>
      </c>
      <c r="L2251" s="19">
        <v>5083944531</v>
      </c>
      <c r="M2251" s="20">
        <v>5113634344</v>
      </c>
      <c r="N2251" s="23"/>
      <c r="O2251" s="9" t="s">
        <v>37</v>
      </c>
      <c r="P2251" s="23"/>
      <c r="Q2251" s="24" t="s">
        <v>31</v>
      </c>
      <c r="R2251" s="25">
        <v>44835</v>
      </c>
      <c r="S2251" s="28"/>
      <c r="T2251" s="35"/>
      <c r="U2251" s="35"/>
      <c r="V2251" s="29"/>
      <c r="W2251" s="35"/>
      <c r="X2251" s="29"/>
      <c r="Y2251" s="36"/>
      <c r="Z2251" s="29"/>
      <c r="AA2251" s="31">
        <f t="shared" si="1"/>
        <v>44835</v>
      </c>
      <c r="AB2251" s="32" t="str">
        <f t="shared" si="5"/>
        <v>octubre</v>
      </c>
    </row>
    <row r="2252" spans="1:28" ht="12.75">
      <c r="A2252" s="9" t="s">
        <v>46</v>
      </c>
      <c r="B2252" s="10">
        <v>44835</v>
      </c>
      <c r="C2252" s="11"/>
      <c r="D2252" s="53">
        <v>40</v>
      </c>
      <c r="E2252" s="13" t="s">
        <v>115</v>
      </c>
      <c r="F2252" s="13">
        <v>3025457</v>
      </c>
      <c r="G2252" s="14">
        <v>25166</v>
      </c>
      <c r="H2252" s="33">
        <f>8250-8228.56</f>
        <v>21.440000000000509</v>
      </c>
      <c r="I2252" s="16">
        <f>-H2252*G2252</f>
        <v>-539559.04000001284</v>
      </c>
      <c r="J2252" s="17">
        <v>0</v>
      </c>
      <c r="K2252" s="34">
        <v>4502420560</v>
      </c>
      <c r="L2252" s="19">
        <v>5083944531</v>
      </c>
      <c r="M2252" s="20">
        <v>5113634345</v>
      </c>
      <c r="N2252" s="23"/>
      <c r="O2252" s="9"/>
      <c r="P2252" s="23"/>
      <c r="Q2252" s="24" t="s">
        <v>31</v>
      </c>
      <c r="R2252" s="25">
        <v>44835</v>
      </c>
      <c r="S2252" s="28"/>
      <c r="T2252" s="35"/>
      <c r="U2252" s="35"/>
      <c r="V2252" s="29"/>
      <c r="W2252" s="35"/>
      <c r="X2252" s="29"/>
      <c r="Y2252" s="36"/>
      <c r="Z2252" s="29"/>
      <c r="AA2252" s="31">
        <f t="shared" si="1"/>
        <v>44835</v>
      </c>
      <c r="AB2252" s="32" t="str">
        <f t="shared" si="5"/>
        <v>octubre</v>
      </c>
    </row>
    <row r="2253" spans="1:28" ht="12.75">
      <c r="A2253" s="9" t="s">
        <v>469</v>
      </c>
      <c r="B2253" s="10">
        <v>44839</v>
      </c>
      <c r="C2253" s="11"/>
      <c r="D2253" s="53">
        <v>40</v>
      </c>
      <c r="E2253" s="13" t="s">
        <v>2720</v>
      </c>
      <c r="F2253" s="13">
        <v>3025457</v>
      </c>
      <c r="G2253" s="37">
        <v>6256.5</v>
      </c>
      <c r="H2253" s="33">
        <v>8150</v>
      </c>
      <c r="I2253" s="16">
        <f t="shared" ref="I2253:I2254" si="334">H2253*G2253</f>
        <v>50990475</v>
      </c>
      <c r="J2253" s="17">
        <v>14</v>
      </c>
      <c r="K2253" s="34">
        <v>4502420561</v>
      </c>
      <c r="L2253" s="19">
        <v>5083937462</v>
      </c>
      <c r="M2253" s="20">
        <v>5113641155</v>
      </c>
      <c r="N2253" s="23"/>
      <c r="O2253" s="9" t="s">
        <v>63</v>
      </c>
      <c r="P2253" s="23"/>
      <c r="Q2253" s="24" t="s">
        <v>31</v>
      </c>
      <c r="R2253" s="25">
        <v>44835</v>
      </c>
      <c r="S2253" s="28"/>
      <c r="T2253" s="35"/>
      <c r="U2253" s="35"/>
      <c r="V2253" s="29"/>
      <c r="W2253" s="35"/>
      <c r="X2253" s="29"/>
      <c r="Y2253" s="36"/>
      <c r="Z2253" s="29"/>
      <c r="AA2253" s="31">
        <f t="shared" si="1"/>
        <v>44835</v>
      </c>
      <c r="AB2253" s="32" t="str">
        <f t="shared" si="5"/>
        <v>octubre</v>
      </c>
    </row>
    <row r="2254" spans="1:28" ht="12.75">
      <c r="A2254" s="9" t="s">
        <v>58</v>
      </c>
      <c r="B2254" s="10">
        <v>44839</v>
      </c>
      <c r="C2254" s="11">
        <v>44839</v>
      </c>
      <c r="D2254" s="53">
        <v>40</v>
      </c>
      <c r="E2254" s="13" t="s">
        <v>2721</v>
      </c>
      <c r="F2254" s="13">
        <v>3025457</v>
      </c>
      <c r="G2254" s="37">
        <v>21037.5</v>
      </c>
      <c r="H2254" s="33">
        <v>8600</v>
      </c>
      <c r="I2254" s="16">
        <f t="shared" si="334"/>
        <v>180922500</v>
      </c>
      <c r="J2254" s="17">
        <v>45</v>
      </c>
      <c r="K2254" s="34">
        <v>4502420562</v>
      </c>
      <c r="L2254" s="19">
        <v>5083944603</v>
      </c>
      <c r="M2254" s="20">
        <v>5113636075</v>
      </c>
      <c r="N2254" s="23"/>
      <c r="O2254" s="9" t="s">
        <v>37</v>
      </c>
      <c r="P2254" s="23"/>
      <c r="Q2254" s="24" t="s">
        <v>31</v>
      </c>
      <c r="R2254" s="25">
        <v>44836</v>
      </c>
      <c r="S2254" s="28"/>
      <c r="T2254" s="35"/>
      <c r="U2254" s="35"/>
      <c r="V2254" s="29"/>
      <c r="W2254" s="35"/>
      <c r="X2254" s="29"/>
      <c r="Y2254" s="36"/>
      <c r="Z2254" s="29"/>
      <c r="AA2254" s="31">
        <f t="shared" si="1"/>
        <v>44836</v>
      </c>
      <c r="AB2254" s="32" t="str">
        <f t="shared" si="5"/>
        <v>octubre</v>
      </c>
    </row>
    <row r="2255" spans="1:28" ht="12.75">
      <c r="A2255" s="9" t="s">
        <v>58</v>
      </c>
      <c r="B2255" s="10">
        <v>44839</v>
      </c>
      <c r="C2255" s="11">
        <v>44839</v>
      </c>
      <c r="D2255" s="53">
        <v>40</v>
      </c>
      <c r="E2255" s="13" t="s">
        <v>1595</v>
      </c>
      <c r="F2255" s="13">
        <v>3025457</v>
      </c>
      <c r="G2255" s="37">
        <v>21037.5</v>
      </c>
      <c r="H2255" s="33">
        <f>8600-8528.26</f>
        <v>71.739999999999782</v>
      </c>
      <c r="I2255" s="16">
        <f>-H2255*G2255</f>
        <v>-1509230.2499999953</v>
      </c>
      <c r="J2255" s="17">
        <v>0</v>
      </c>
      <c r="K2255" s="34">
        <v>4502420562</v>
      </c>
      <c r="L2255" s="19">
        <v>5083944603</v>
      </c>
      <c r="M2255" s="20">
        <v>5113636076</v>
      </c>
      <c r="N2255" s="23"/>
      <c r="O2255" s="9"/>
      <c r="P2255" s="23"/>
      <c r="Q2255" s="24" t="s">
        <v>31</v>
      </c>
      <c r="R2255" s="25">
        <v>44836</v>
      </c>
      <c r="S2255" s="28"/>
      <c r="T2255" s="35"/>
      <c r="U2255" s="35"/>
      <c r="V2255" s="29"/>
      <c r="W2255" s="35"/>
      <c r="X2255" s="29"/>
      <c r="Y2255" s="36"/>
      <c r="Z2255" s="29"/>
      <c r="AA2255" s="31">
        <f t="shared" si="1"/>
        <v>44836</v>
      </c>
      <c r="AB2255" s="32" t="str">
        <f t="shared" si="5"/>
        <v>octubre</v>
      </c>
    </row>
    <row r="2256" spans="1:28" ht="12.75">
      <c r="A2256" s="9" t="s">
        <v>58</v>
      </c>
      <c r="B2256" s="10">
        <v>44839</v>
      </c>
      <c r="C2256" s="11">
        <v>44839</v>
      </c>
      <c r="D2256" s="53">
        <v>40</v>
      </c>
      <c r="E2256" s="13" t="s">
        <v>2722</v>
      </c>
      <c r="F2256" s="13">
        <v>3025457</v>
      </c>
      <c r="G2256" s="14">
        <v>21434</v>
      </c>
      <c r="H2256" s="33">
        <v>8600</v>
      </c>
      <c r="I2256" s="16">
        <f>H2256*G2256</f>
        <v>184332400</v>
      </c>
      <c r="J2256" s="17">
        <v>45</v>
      </c>
      <c r="K2256" s="34">
        <v>4502420562</v>
      </c>
      <c r="L2256" s="19">
        <v>5083944603</v>
      </c>
      <c r="M2256" s="20">
        <v>5113636097</v>
      </c>
      <c r="N2256" s="23"/>
      <c r="O2256" s="9" t="s">
        <v>37</v>
      </c>
      <c r="P2256" s="23"/>
      <c r="Q2256" s="24" t="s">
        <v>31</v>
      </c>
      <c r="R2256" s="25">
        <v>44836</v>
      </c>
      <c r="S2256" s="28"/>
      <c r="T2256" s="35"/>
      <c r="U2256" s="35"/>
      <c r="V2256" s="29"/>
      <c r="W2256" s="35"/>
      <c r="X2256" s="29"/>
      <c r="Y2256" s="36"/>
      <c r="Z2256" s="29"/>
      <c r="AA2256" s="31">
        <f t="shared" si="1"/>
        <v>44836</v>
      </c>
      <c r="AB2256" s="32" t="str">
        <f t="shared" si="5"/>
        <v>octubre</v>
      </c>
    </row>
    <row r="2257" spans="1:28" ht="12.75">
      <c r="A2257" s="9" t="s">
        <v>58</v>
      </c>
      <c r="B2257" s="10">
        <v>44839</v>
      </c>
      <c r="C2257" s="11">
        <v>44839</v>
      </c>
      <c r="D2257" s="53">
        <v>40</v>
      </c>
      <c r="E2257" s="13" t="s">
        <v>1705</v>
      </c>
      <c r="F2257" s="13">
        <v>3025457</v>
      </c>
      <c r="G2257" s="14">
        <v>21434</v>
      </c>
      <c r="H2257" s="33">
        <f>8600-8598.15</f>
        <v>1.8500000000003638</v>
      </c>
      <c r="I2257" s="16">
        <f>-H2257*G2257</f>
        <v>-39652.900000007794</v>
      </c>
      <c r="J2257" s="17">
        <v>0</v>
      </c>
      <c r="K2257" s="34">
        <v>4502420562</v>
      </c>
      <c r="L2257" s="19">
        <v>5083944603</v>
      </c>
      <c r="M2257" s="20">
        <v>5113636099</v>
      </c>
      <c r="N2257" s="23"/>
      <c r="O2257" s="9"/>
      <c r="P2257" s="23"/>
      <c r="Q2257" s="24" t="s">
        <v>31</v>
      </c>
      <c r="R2257" s="25">
        <v>44836</v>
      </c>
      <c r="S2257" s="28"/>
      <c r="T2257" s="35"/>
      <c r="U2257" s="35"/>
      <c r="V2257" s="29"/>
      <c r="W2257" s="35"/>
      <c r="X2257" s="29"/>
      <c r="Y2257" s="36"/>
      <c r="Z2257" s="29"/>
      <c r="AA2257" s="31">
        <f t="shared" si="1"/>
        <v>44836</v>
      </c>
      <c r="AB2257" s="32" t="str">
        <f t="shared" si="5"/>
        <v>octubre</v>
      </c>
    </row>
    <row r="2258" spans="1:28" ht="12.75">
      <c r="A2258" s="9" t="s">
        <v>209</v>
      </c>
      <c r="B2258" s="10">
        <v>44839</v>
      </c>
      <c r="C2258" s="11"/>
      <c r="D2258" s="53">
        <v>40</v>
      </c>
      <c r="E2258" s="13" t="s">
        <v>2723</v>
      </c>
      <c r="F2258" s="13">
        <v>3025457</v>
      </c>
      <c r="G2258" s="14">
        <v>6993</v>
      </c>
      <c r="H2258" s="33">
        <v>8150</v>
      </c>
      <c r="I2258" s="16">
        <f t="shared" ref="I2258:I2259" si="335">H2258*G2258</f>
        <v>56992950</v>
      </c>
      <c r="J2258" s="17">
        <v>15</v>
      </c>
      <c r="K2258" s="34">
        <v>4502420563</v>
      </c>
      <c r="L2258" s="19">
        <v>5083944604</v>
      </c>
      <c r="M2258" s="20">
        <v>5113635139</v>
      </c>
      <c r="N2258" s="23"/>
      <c r="O2258" s="23" t="s">
        <v>313</v>
      </c>
      <c r="P2258" s="23"/>
      <c r="Q2258" s="24" t="s">
        <v>31</v>
      </c>
      <c r="R2258" s="25">
        <v>44836</v>
      </c>
      <c r="S2258" s="28"/>
      <c r="T2258" s="35"/>
      <c r="U2258" s="35"/>
      <c r="V2258" s="29"/>
      <c r="W2258" s="35"/>
      <c r="X2258" s="29"/>
      <c r="Y2258" s="36"/>
      <c r="Z2258" s="29"/>
      <c r="AA2258" s="31">
        <f t="shared" si="1"/>
        <v>44836</v>
      </c>
      <c r="AB2258" s="32" t="str">
        <f t="shared" si="5"/>
        <v>octubre</v>
      </c>
    </row>
    <row r="2259" spans="1:28" ht="12.75">
      <c r="A2259" s="9" t="s">
        <v>58</v>
      </c>
      <c r="B2259" s="10">
        <v>44840</v>
      </c>
      <c r="C2259" s="11">
        <v>44840</v>
      </c>
      <c r="D2259" s="53">
        <v>40</v>
      </c>
      <c r="E2259" s="13" t="s">
        <v>2724</v>
      </c>
      <c r="F2259" s="13">
        <v>3025457</v>
      </c>
      <c r="G2259" s="37">
        <v>14666.5</v>
      </c>
      <c r="H2259" s="33">
        <v>8600</v>
      </c>
      <c r="I2259" s="16">
        <f t="shared" si="335"/>
        <v>126131900</v>
      </c>
      <c r="J2259" s="17">
        <v>31</v>
      </c>
      <c r="K2259" s="34">
        <v>4502420564</v>
      </c>
      <c r="L2259" s="19">
        <v>5083973543</v>
      </c>
      <c r="M2259" s="20">
        <v>5113640859</v>
      </c>
      <c r="N2259" s="23"/>
      <c r="O2259" s="9" t="s">
        <v>37</v>
      </c>
      <c r="P2259" s="23"/>
      <c r="Q2259" s="24" t="s">
        <v>31</v>
      </c>
      <c r="R2259" s="25">
        <v>44837</v>
      </c>
      <c r="S2259" s="28"/>
      <c r="T2259" s="35"/>
      <c r="U2259" s="35"/>
      <c r="V2259" s="29"/>
      <c r="W2259" s="35"/>
      <c r="X2259" s="29"/>
      <c r="Y2259" s="36"/>
      <c r="Z2259" s="29"/>
      <c r="AA2259" s="31">
        <f t="shared" si="1"/>
        <v>44837</v>
      </c>
      <c r="AB2259" s="32" t="str">
        <f t="shared" si="5"/>
        <v>octubre</v>
      </c>
    </row>
    <row r="2260" spans="1:28" ht="12.75">
      <c r="A2260" s="9" t="s">
        <v>58</v>
      </c>
      <c r="B2260" s="10">
        <v>44840</v>
      </c>
      <c r="C2260" s="11">
        <v>44840</v>
      </c>
      <c r="D2260" s="53">
        <v>40</v>
      </c>
      <c r="E2260" s="13" t="s">
        <v>2155</v>
      </c>
      <c r="F2260" s="13">
        <v>3025457</v>
      </c>
      <c r="G2260" s="37">
        <v>14666.5</v>
      </c>
      <c r="H2260" s="33">
        <f>8600-8477.81</f>
        <v>122.19000000000051</v>
      </c>
      <c r="I2260" s="16">
        <f>-H2260*G2260</f>
        <v>-1792099.6350000075</v>
      </c>
      <c r="J2260" s="17">
        <v>0</v>
      </c>
      <c r="K2260" s="34">
        <v>4502420564</v>
      </c>
      <c r="L2260" s="19">
        <v>5083973543</v>
      </c>
      <c r="M2260" s="20">
        <v>5113640860</v>
      </c>
      <c r="N2260" s="23"/>
      <c r="O2260" s="9"/>
      <c r="P2260" s="23"/>
      <c r="Q2260" s="24" t="s">
        <v>31</v>
      </c>
      <c r="R2260" s="25">
        <v>44837</v>
      </c>
      <c r="S2260" s="28"/>
      <c r="T2260" s="35"/>
      <c r="U2260" s="35"/>
      <c r="V2260" s="29"/>
      <c r="W2260" s="35"/>
      <c r="X2260" s="29"/>
      <c r="Y2260" s="36"/>
      <c r="Z2260" s="29"/>
      <c r="AA2260" s="31">
        <f t="shared" si="1"/>
        <v>44837</v>
      </c>
      <c r="AB2260" s="32" t="str">
        <f t="shared" si="5"/>
        <v>octubre</v>
      </c>
    </row>
    <row r="2261" spans="1:28" ht="12.75">
      <c r="A2261" s="9" t="s">
        <v>58</v>
      </c>
      <c r="B2261" s="10">
        <v>44840</v>
      </c>
      <c r="C2261" s="11">
        <v>44840</v>
      </c>
      <c r="D2261" s="53">
        <v>40</v>
      </c>
      <c r="E2261" s="13" t="s">
        <v>2725</v>
      </c>
      <c r="F2261" s="13">
        <v>3025457</v>
      </c>
      <c r="G2261" s="14">
        <v>13320</v>
      </c>
      <c r="H2261" s="33">
        <v>8600</v>
      </c>
      <c r="I2261" s="16">
        <f t="shared" ref="I2261:I2264" si="336">H2261*G2261</f>
        <v>114552000</v>
      </c>
      <c r="J2261" s="17">
        <v>60</v>
      </c>
      <c r="K2261" s="34">
        <v>4502420564</v>
      </c>
      <c r="L2261" s="19">
        <v>5083973543</v>
      </c>
      <c r="M2261" s="20">
        <v>5113640861</v>
      </c>
      <c r="N2261" s="23"/>
      <c r="O2261" s="9" t="s">
        <v>37</v>
      </c>
      <c r="P2261" s="23"/>
      <c r="Q2261" s="24" t="s">
        <v>31</v>
      </c>
      <c r="R2261" s="25">
        <v>44837</v>
      </c>
      <c r="S2261" s="28"/>
      <c r="T2261" s="35"/>
      <c r="U2261" s="35"/>
      <c r="V2261" s="29"/>
      <c r="W2261" s="35"/>
      <c r="X2261" s="29"/>
      <c r="Y2261" s="36"/>
      <c r="Z2261" s="29"/>
      <c r="AA2261" s="31">
        <f t="shared" si="1"/>
        <v>44837</v>
      </c>
      <c r="AB2261" s="32" t="str">
        <f t="shared" si="5"/>
        <v>octubre</v>
      </c>
    </row>
    <row r="2262" spans="1:28" ht="12.75">
      <c r="A2262" s="22" t="s">
        <v>404</v>
      </c>
      <c r="B2262" s="10">
        <v>44837</v>
      </c>
      <c r="C2262" s="11">
        <v>44839</v>
      </c>
      <c r="D2262" s="53">
        <v>40</v>
      </c>
      <c r="E2262" s="13" t="s">
        <v>2726</v>
      </c>
      <c r="F2262" s="13">
        <v>3025457</v>
      </c>
      <c r="G2262" s="37">
        <v>14857.5</v>
      </c>
      <c r="H2262" s="33">
        <v>8600</v>
      </c>
      <c r="I2262" s="16">
        <f t="shared" si="336"/>
        <v>127774500</v>
      </c>
      <c r="J2262" s="17">
        <v>30</v>
      </c>
      <c r="K2262" s="34">
        <v>4502420565</v>
      </c>
      <c r="L2262" s="19">
        <v>5083962979</v>
      </c>
      <c r="M2262" s="20">
        <v>5113636101</v>
      </c>
      <c r="N2262" s="23"/>
      <c r="O2262" s="9" t="s">
        <v>37</v>
      </c>
      <c r="P2262" s="23"/>
      <c r="Q2262" s="24" t="s">
        <v>31</v>
      </c>
      <c r="R2262" s="25">
        <v>44837</v>
      </c>
      <c r="S2262" s="28"/>
      <c r="T2262" s="35"/>
      <c r="U2262" s="35"/>
      <c r="V2262" s="29"/>
      <c r="W2262" s="35"/>
      <c r="X2262" s="29"/>
      <c r="Y2262" s="36"/>
      <c r="Z2262" s="29"/>
      <c r="AA2262" s="31">
        <f t="shared" si="1"/>
        <v>44837</v>
      </c>
      <c r="AB2262" s="32" t="str">
        <f t="shared" si="5"/>
        <v>octubre</v>
      </c>
    </row>
    <row r="2263" spans="1:28" ht="12.75">
      <c r="A2263" s="22" t="s">
        <v>404</v>
      </c>
      <c r="B2263" s="10">
        <v>44839</v>
      </c>
      <c r="C2263" s="11">
        <v>44839</v>
      </c>
      <c r="D2263" s="53">
        <v>40</v>
      </c>
      <c r="E2263" s="13" t="s">
        <v>569</v>
      </c>
      <c r="F2263" s="13">
        <v>3025457</v>
      </c>
      <c r="G2263" s="37">
        <v>14857.5</v>
      </c>
      <c r="H2263" s="33">
        <v>50</v>
      </c>
      <c r="I2263" s="16">
        <f t="shared" si="336"/>
        <v>742875</v>
      </c>
      <c r="J2263" s="17">
        <v>0</v>
      </c>
      <c r="K2263" s="34">
        <v>4502420565</v>
      </c>
      <c r="L2263" s="19">
        <v>5083962979</v>
      </c>
      <c r="M2263" s="20">
        <v>5113636103</v>
      </c>
      <c r="N2263" s="23"/>
      <c r="O2263" s="9"/>
      <c r="P2263" s="23"/>
      <c r="Q2263" s="24" t="s">
        <v>31</v>
      </c>
      <c r="R2263" s="25">
        <v>44837</v>
      </c>
      <c r="S2263" s="28"/>
      <c r="T2263" s="35"/>
      <c r="U2263" s="35"/>
      <c r="V2263" s="29"/>
      <c r="W2263" s="35"/>
      <c r="X2263" s="29"/>
      <c r="Y2263" s="36"/>
      <c r="Z2263" s="29"/>
      <c r="AA2263" s="31">
        <f t="shared" si="1"/>
        <v>44837</v>
      </c>
      <c r="AB2263" s="32" t="str">
        <f t="shared" si="5"/>
        <v>octubre</v>
      </c>
    </row>
    <row r="2264" spans="1:28" ht="12.75">
      <c r="A2264" s="9" t="s">
        <v>39</v>
      </c>
      <c r="B2264" s="10">
        <v>44837</v>
      </c>
      <c r="C2264" s="11">
        <v>44839</v>
      </c>
      <c r="D2264" s="53">
        <v>40</v>
      </c>
      <c r="E2264" s="13" t="s">
        <v>2727</v>
      </c>
      <c r="F2264" s="13">
        <v>3025457</v>
      </c>
      <c r="G2264" s="37">
        <v>6700.5</v>
      </c>
      <c r="H2264" s="33">
        <v>8600</v>
      </c>
      <c r="I2264" s="16">
        <f t="shared" si="336"/>
        <v>57624300</v>
      </c>
      <c r="J2264" s="17">
        <v>15</v>
      </c>
      <c r="K2264" s="34">
        <v>4502420567</v>
      </c>
      <c r="L2264" s="19">
        <v>5083962980</v>
      </c>
      <c r="M2264" s="20">
        <v>5113636104</v>
      </c>
      <c r="N2264" s="128"/>
      <c r="O2264" s="9" t="s">
        <v>37</v>
      </c>
      <c r="P2264" s="23"/>
      <c r="Q2264" s="24" t="s">
        <v>31</v>
      </c>
      <c r="R2264" s="25">
        <v>44837</v>
      </c>
      <c r="S2264" s="28"/>
      <c r="T2264" s="35"/>
      <c r="U2264" s="35"/>
      <c r="V2264" s="29"/>
      <c r="W2264" s="35"/>
      <c r="X2264" s="29"/>
      <c r="Y2264" s="36"/>
      <c r="Z2264" s="29"/>
      <c r="AA2264" s="31">
        <f t="shared" si="1"/>
        <v>44837</v>
      </c>
      <c r="AB2264" s="32" t="str">
        <f t="shared" si="5"/>
        <v>octubre</v>
      </c>
    </row>
    <row r="2265" spans="1:28" ht="12.75">
      <c r="A2265" s="9" t="s">
        <v>39</v>
      </c>
      <c r="B2265" s="10">
        <v>44839</v>
      </c>
      <c r="C2265" s="11">
        <v>44839</v>
      </c>
      <c r="D2265" s="53">
        <v>40</v>
      </c>
      <c r="E2265" s="13" t="s">
        <v>750</v>
      </c>
      <c r="F2265" s="13">
        <v>3025457</v>
      </c>
      <c r="G2265" s="37">
        <v>6700.5</v>
      </c>
      <c r="H2265" s="33">
        <v>50</v>
      </c>
      <c r="I2265" s="16">
        <f>-H2265*G2265</f>
        <v>-335025</v>
      </c>
      <c r="J2265" s="17">
        <v>0</v>
      </c>
      <c r="K2265" s="34">
        <v>4502420567</v>
      </c>
      <c r="L2265" s="19">
        <v>5083962980</v>
      </c>
      <c r="M2265" s="20">
        <v>5113636105</v>
      </c>
      <c r="N2265" s="23"/>
      <c r="O2265" s="9"/>
      <c r="P2265" s="23"/>
      <c r="Q2265" s="24" t="s">
        <v>31</v>
      </c>
      <c r="R2265" s="25">
        <v>44837</v>
      </c>
      <c r="S2265" s="28"/>
      <c r="T2265" s="35"/>
      <c r="U2265" s="35"/>
      <c r="V2265" s="29"/>
      <c r="W2265" s="35"/>
      <c r="X2265" s="29"/>
      <c r="Y2265" s="36"/>
      <c r="Z2265" s="29"/>
      <c r="AA2265" s="31">
        <f t="shared" si="1"/>
        <v>44837</v>
      </c>
      <c r="AB2265" s="32" t="str">
        <f t="shared" si="5"/>
        <v>octubre</v>
      </c>
    </row>
    <row r="2266" spans="1:28" ht="12.75">
      <c r="A2266" s="9" t="s">
        <v>73</v>
      </c>
      <c r="B2266" s="10">
        <v>44839</v>
      </c>
      <c r="C2266" s="11"/>
      <c r="D2266" s="53">
        <v>40</v>
      </c>
      <c r="E2266" s="13" t="s">
        <v>2728</v>
      </c>
      <c r="F2266" s="13">
        <v>3025459</v>
      </c>
      <c r="G2266" s="14">
        <v>12716</v>
      </c>
      <c r="H2266" s="33">
        <v>8600</v>
      </c>
      <c r="I2266" s="16">
        <f t="shared" ref="I2266:I2269" si="337">H2266*G2266</f>
        <v>109357600</v>
      </c>
      <c r="J2266" s="17">
        <v>28</v>
      </c>
      <c r="K2266" s="34">
        <v>4502420568</v>
      </c>
      <c r="L2266" s="19">
        <v>5083962981</v>
      </c>
      <c r="M2266" s="20">
        <v>5113643840</v>
      </c>
      <c r="N2266" s="23"/>
      <c r="O2266" s="9" t="s">
        <v>63</v>
      </c>
      <c r="P2266" s="23"/>
      <c r="Q2266" s="24" t="s">
        <v>31</v>
      </c>
      <c r="R2266" s="25">
        <v>44837</v>
      </c>
      <c r="S2266" s="28"/>
      <c r="T2266" s="35"/>
      <c r="U2266" s="35"/>
      <c r="V2266" s="29"/>
      <c r="W2266" s="35"/>
      <c r="X2266" s="29"/>
      <c r="Y2266" s="36"/>
      <c r="Z2266" s="29"/>
      <c r="AA2266" s="31">
        <f t="shared" si="1"/>
        <v>44837</v>
      </c>
      <c r="AB2266" s="32" t="str">
        <f t="shared" si="5"/>
        <v>octubre</v>
      </c>
    </row>
    <row r="2267" spans="1:28" ht="12.75">
      <c r="A2267" s="9" t="s">
        <v>80</v>
      </c>
      <c r="B2267" s="10">
        <v>44837</v>
      </c>
      <c r="C2267" s="11"/>
      <c r="D2267" s="53">
        <v>40</v>
      </c>
      <c r="E2267" s="13" t="s">
        <v>2729</v>
      </c>
      <c r="F2267" s="13">
        <v>3025459</v>
      </c>
      <c r="G2267" s="14">
        <v>20213</v>
      </c>
      <c r="H2267" s="15">
        <v>8000</v>
      </c>
      <c r="I2267" s="16">
        <f t="shared" si="337"/>
        <v>161704000</v>
      </c>
      <c r="J2267" s="17">
        <v>42</v>
      </c>
      <c r="K2267" s="34">
        <v>4502422762</v>
      </c>
      <c r="L2267" s="19">
        <v>5083937603</v>
      </c>
      <c r="M2267" s="20">
        <v>5113642155</v>
      </c>
      <c r="N2267" s="23" t="s">
        <v>37</v>
      </c>
      <c r="O2267" s="88" t="s">
        <v>1057</v>
      </c>
      <c r="P2267" s="23"/>
      <c r="Q2267" s="24" t="s">
        <v>31</v>
      </c>
      <c r="R2267" s="25">
        <v>44837</v>
      </c>
      <c r="S2267" s="28">
        <v>4902356802</v>
      </c>
      <c r="T2267" s="28">
        <v>4792500</v>
      </c>
      <c r="U2267" s="28" t="s">
        <v>2730</v>
      </c>
      <c r="V2267" s="29">
        <v>5113636547</v>
      </c>
      <c r="W2267" s="35"/>
      <c r="X2267" s="29"/>
      <c r="Y2267" s="36"/>
      <c r="Z2267" s="29"/>
      <c r="AA2267" s="31">
        <f t="shared" si="1"/>
        <v>44837</v>
      </c>
      <c r="AB2267" s="32" t="str">
        <f t="shared" si="5"/>
        <v>octubre</v>
      </c>
    </row>
    <row r="2268" spans="1:28" ht="12.75">
      <c r="A2268" s="9" t="s">
        <v>94</v>
      </c>
      <c r="B2268" s="10">
        <v>44842</v>
      </c>
      <c r="C2268" s="11"/>
      <c r="D2268" s="53">
        <v>40</v>
      </c>
      <c r="E2268" s="13" t="s">
        <v>2731</v>
      </c>
      <c r="F2268" s="13">
        <v>3025457</v>
      </c>
      <c r="G2268" s="14">
        <v>13042</v>
      </c>
      <c r="H2268" s="15">
        <v>7950</v>
      </c>
      <c r="I2268" s="16">
        <f t="shared" si="337"/>
        <v>103683900</v>
      </c>
      <c r="J2268" s="17">
        <v>28</v>
      </c>
      <c r="K2268" s="34">
        <v>4502424536</v>
      </c>
      <c r="L2268" s="19">
        <v>5083971714</v>
      </c>
      <c r="M2268" s="20">
        <v>5113641966</v>
      </c>
      <c r="N2268" s="9" t="s">
        <v>63</v>
      </c>
      <c r="O2268" s="88" t="s">
        <v>1046</v>
      </c>
      <c r="P2268" s="23"/>
      <c r="Q2268" s="24" t="s">
        <v>31</v>
      </c>
      <c r="R2268" s="25">
        <v>44838</v>
      </c>
      <c r="S2268" s="28">
        <v>4902356804</v>
      </c>
      <c r="T2268" s="35">
        <f>1623900*2</f>
        <v>3247800</v>
      </c>
      <c r="U2268" s="28" t="s">
        <v>2732</v>
      </c>
      <c r="V2268" s="29">
        <v>5113634958</v>
      </c>
      <c r="W2268" s="35"/>
      <c r="X2268" s="29"/>
      <c r="Y2268" s="36"/>
      <c r="Z2268" s="29"/>
      <c r="AA2268" s="31">
        <f t="shared" si="1"/>
        <v>44838</v>
      </c>
      <c r="AB2268" s="32" t="str">
        <f t="shared" si="5"/>
        <v>octubre</v>
      </c>
    </row>
    <row r="2269" spans="1:28" ht="12.75">
      <c r="A2269" s="9" t="s">
        <v>58</v>
      </c>
      <c r="B2269" s="10">
        <v>44840</v>
      </c>
      <c r="C2269" s="11">
        <v>44840</v>
      </c>
      <c r="D2269" s="53">
        <v>40</v>
      </c>
      <c r="E2269" s="13" t="s">
        <v>2733</v>
      </c>
      <c r="F2269" s="13">
        <v>3025457</v>
      </c>
      <c r="G2269" s="37">
        <v>7118.5</v>
      </c>
      <c r="H2269" s="33">
        <v>8650</v>
      </c>
      <c r="I2269" s="16">
        <f t="shared" si="337"/>
        <v>61575025</v>
      </c>
      <c r="J2269" s="17">
        <v>15</v>
      </c>
      <c r="K2269" s="34">
        <v>4502423641</v>
      </c>
      <c r="L2269" s="19">
        <v>5083973456</v>
      </c>
      <c r="M2269" s="20">
        <v>5113640862</v>
      </c>
      <c r="N2269" s="23"/>
      <c r="O2269" s="9" t="s">
        <v>37</v>
      </c>
      <c r="P2269" s="23"/>
      <c r="Q2269" s="24" t="s">
        <v>31</v>
      </c>
      <c r="R2269" s="25">
        <v>44838</v>
      </c>
      <c r="S2269" s="28"/>
      <c r="T2269" s="35"/>
      <c r="U2269" s="35"/>
      <c r="V2269" s="29"/>
      <c r="W2269" s="35"/>
      <c r="X2269" s="29"/>
      <c r="Y2269" s="36"/>
      <c r="Z2269" s="29"/>
      <c r="AA2269" s="31">
        <f t="shared" si="1"/>
        <v>44838</v>
      </c>
      <c r="AB2269" s="32" t="str">
        <f t="shared" si="5"/>
        <v>octubre</v>
      </c>
    </row>
    <row r="2270" spans="1:28" ht="12.75">
      <c r="A2270" s="9" t="s">
        <v>58</v>
      </c>
      <c r="B2270" s="10">
        <v>44840</v>
      </c>
      <c r="C2270" s="11">
        <v>44840</v>
      </c>
      <c r="D2270" s="53">
        <v>40</v>
      </c>
      <c r="E2270" s="13" t="s">
        <v>2734</v>
      </c>
      <c r="F2270" s="13">
        <v>3025457</v>
      </c>
      <c r="G2270" s="37">
        <v>7118.5</v>
      </c>
      <c r="H2270" s="33">
        <v>100</v>
      </c>
      <c r="I2270" s="16">
        <f>-H2270*G2270</f>
        <v>-711850</v>
      </c>
      <c r="J2270" s="17">
        <v>0</v>
      </c>
      <c r="K2270" s="34">
        <v>4502423641</v>
      </c>
      <c r="L2270" s="19">
        <v>5083973456</v>
      </c>
      <c r="M2270" s="20">
        <v>5113640863</v>
      </c>
      <c r="N2270" s="23"/>
      <c r="O2270" s="9"/>
      <c r="P2270" s="23"/>
      <c r="Q2270" s="24" t="s">
        <v>31</v>
      </c>
      <c r="R2270" s="25">
        <v>44838</v>
      </c>
      <c r="S2270" s="28"/>
      <c r="T2270" s="35"/>
      <c r="U2270" s="35"/>
      <c r="V2270" s="29"/>
      <c r="W2270" s="35"/>
      <c r="X2270" s="29"/>
      <c r="Y2270" s="36"/>
      <c r="Z2270" s="29"/>
      <c r="AA2270" s="31">
        <f t="shared" si="1"/>
        <v>44838</v>
      </c>
      <c r="AB2270" s="32" t="str">
        <f t="shared" si="5"/>
        <v>octubre</v>
      </c>
    </row>
    <row r="2271" spans="1:28" ht="12.75">
      <c r="A2271" s="9" t="s">
        <v>58</v>
      </c>
      <c r="B2271" s="10">
        <v>44840</v>
      </c>
      <c r="C2271" s="11">
        <v>44840</v>
      </c>
      <c r="D2271" s="53">
        <v>40</v>
      </c>
      <c r="E2271" s="13" t="s">
        <v>2735</v>
      </c>
      <c r="F2271" s="13">
        <v>3025457</v>
      </c>
      <c r="G2271" s="37">
        <v>27822.5</v>
      </c>
      <c r="H2271" s="33">
        <v>8650</v>
      </c>
      <c r="I2271" s="16">
        <f t="shared" ref="I2271:I2272" si="338">H2271*G2271</f>
        <v>240664625</v>
      </c>
      <c r="J2271" s="17">
        <v>60</v>
      </c>
      <c r="K2271" s="34">
        <v>4502423641</v>
      </c>
      <c r="L2271" s="19">
        <v>5083973456</v>
      </c>
      <c r="M2271" s="20">
        <v>5113640866</v>
      </c>
      <c r="N2271" s="23"/>
      <c r="O2271" s="9" t="s">
        <v>37</v>
      </c>
      <c r="P2271" s="23"/>
      <c r="Q2271" s="24" t="s">
        <v>31</v>
      </c>
      <c r="R2271" s="25">
        <v>44838</v>
      </c>
      <c r="S2271" s="28"/>
      <c r="T2271" s="35"/>
      <c r="U2271" s="35"/>
      <c r="V2271" s="29"/>
      <c r="W2271" s="35"/>
      <c r="X2271" s="29"/>
      <c r="Y2271" s="36"/>
      <c r="Z2271" s="29"/>
      <c r="AA2271" s="31">
        <f t="shared" si="1"/>
        <v>44838</v>
      </c>
      <c r="AB2271" s="32" t="str">
        <f t="shared" si="5"/>
        <v>octubre</v>
      </c>
    </row>
    <row r="2272" spans="1:28" ht="12.75">
      <c r="A2272" s="9" t="s">
        <v>1248</v>
      </c>
      <c r="B2272" s="10">
        <v>44844</v>
      </c>
      <c r="C2272" s="11">
        <v>44844</v>
      </c>
      <c r="D2272" s="53">
        <v>40</v>
      </c>
      <c r="E2272" s="13" t="s">
        <v>2736</v>
      </c>
      <c r="F2272" s="13">
        <v>3025457</v>
      </c>
      <c r="G2272" s="37">
        <v>6316.5</v>
      </c>
      <c r="H2272" s="33">
        <v>8250</v>
      </c>
      <c r="I2272" s="16">
        <f t="shared" si="338"/>
        <v>52111125</v>
      </c>
      <c r="J2272" s="17">
        <v>14</v>
      </c>
      <c r="K2272" s="34">
        <v>4502422110</v>
      </c>
      <c r="L2272" s="19">
        <v>5083973455</v>
      </c>
      <c r="M2272" s="20">
        <v>5113645016</v>
      </c>
      <c r="N2272" s="23"/>
      <c r="O2272" s="23" t="s">
        <v>37</v>
      </c>
      <c r="P2272" s="23"/>
      <c r="Q2272" s="24" t="s">
        <v>31</v>
      </c>
      <c r="R2272" s="25">
        <v>44838</v>
      </c>
      <c r="S2272" s="28"/>
      <c r="T2272" s="35"/>
      <c r="U2272" s="35"/>
      <c r="V2272" s="29"/>
      <c r="W2272" s="35"/>
      <c r="X2272" s="29"/>
      <c r="Y2272" s="36"/>
      <c r="Z2272" s="29"/>
      <c r="AA2272" s="31">
        <f t="shared" si="1"/>
        <v>44838</v>
      </c>
      <c r="AB2272" s="32" t="str">
        <f t="shared" si="5"/>
        <v>octubre</v>
      </c>
    </row>
    <row r="2273" spans="1:28" ht="12.75">
      <c r="A2273" s="9" t="s">
        <v>1248</v>
      </c>
      <c r="B2273" s="10">
        <v>44844</v>
      </c>
      <c r="C2273" s="11">
        <v>44844</v>
      </c>
      <c r="D2273" s="53">
        <v>40</v>
      </c>
      <c r="E2273" s="13" t="s">
        <v>706</v>
      </c>
      <c r="F2273" s="13">
        <v>3025457</v>
      </c>
      <c r="G2273" s="37">
        <v>6316.5</v>
      </c>
      <c r="H2273" s="33">
        <v>100</v>
      </c>
      <c r="I2273" s="16">
        <f>-H2273*G2273</f>
        <v>-631650</v>
      </c>
      <c r="J2273" s="17">
        <v>0</v>
      </c>
      <c r="K2273" s="34">
        <v>4502422110</v>
      </c>
      <c r="L2273" s="19">
        <v>5083973455</v>
      </c>
      <c r="M2273" s="20">
        <v>5113645049</v>
      </c>
      <c r="N2273" s="23"/>
      <c r="O2273" s="9"/>
      <c r="P2273" s="23"/>
      <c r="Q2273" s="24" t="s">
        <v>31</v>
      </c>
      <c r="R2273" s="25">
        <v>44838</v>
      </c>
      <c r="S2273" s="28"/>
      <c r="T2273" s="35"/>
      <c r="U2273" s="35"/>
      <c r="V2273" s="29"/>
      <c r="W2273" s="35"/>
      <c r="X2273" s="29"/>
      <c r="Y2273" s="36"/>
      <c r="Z2273" s="29"/>
      <c r="AA2273" s="31">
        <f t="shared" si="1"/>
        <v>44838</v>
      </c>
      <c r="AB2273" s="32" t="str">
        <f t="shared" si="5"/>
        <v>octubre</v>
      </c>
    </row>
    <row r="2274" spans="1:28" ht="12.75">
      <c r="A2274" s="9" t="s">
        <v>196</v>
      </c>
      <c r="B2274" s="10">
        <v>44838</v>
      </c>
      <c r="C2274" s="11"/>
      <c r="D2274" s="53">
        <v>40</v>
      </c>
      <c r="E2274" s="13" t="s">
        <v>2737</v>
      </c>
      <c r="F2274" s="13">
        <v>3025459</v>
      </c>
      <c r="G2274" s="14">
        <v>28613</v>
      </c>
      <c r="H2274" s="15">
        <v>8000</v>
      </c>
      <c r="I2274" s="16">
        <f t="shared" ref="I2274:I2277" si="339">H2274*G2274</f>
        <v>228904000</v>
      </c>
      <c r="J2274" s="17">
        <v>56</v>
      </c>
      <c r="K2274" s="34">
        <v>4502424542</v>
      </c>
      <c r="L2274" s="19">
        <v>5083971715</v>
      </c>
      <c r="M2274" s="20">
        <v>5113642001</v>
      </c>
      <c r="N2274" s="23" t="s">
        <v>63</v>
      </c>
      <c r="O2274" s="88" t="s">
        <v>1003</v>
      </c>
      <c r="P2274" s="23"/>
      <c r="Q2274" s="24" t="s">
        <v>31</v>
      </c>
      <c r="R2274" s="25">
        <v>44838</v>
      </c>
      <c r="S2274" s="28">
        <v>4902356805</v>
      </c>
      <c r="T2274" s="35">
        <f>1771100*4</f>
        <v>7084400</v>
      </c>
      <c r="U2274" s="28" t="s">
        <v>2738</v>
      </c>
      <c r="V2274" s="29">
        <v>5113634960</v>
      </c>
      <c r="W2274" s="35"/>
      <c r="X2274" s="29"/>
      <c r="Y2274" s="36"/>
      <c r="Z2274" s="29"/>
      <c r="AA2274" s="31">
        <f t="shared" si="1"/>
        <v>44838</v>
      </c>
      <c r="AB2274" s="32" t="str">
        <f t="shared" si="5"/>
        <v>octubre</v>
      </c>
    </row>
    <row r="2275" spans="1:28" ht="12.75">
      <c r="A2275" s="9" t="s">
        <v>58</v>
      </c>
      <c r="B2275" s="10">
        <v>44845</v>
      </c>
      <c r="C2275" s="11">
        <v>44845</v>
      </c>
      <c r="D2275" s="53">
        <v>40</v>
      </c>
      <c r="E2275" s="13" t="s">
        <v>2739</v>
      </c>
      <c r="F2275" s="13">
        <v>3025462</v>
      </c>
      <c r="G2275" s="14">
        <v>8899</v>
      </c>
      <c r="H2275" s="57">
        <v>7600</v>
      </c>
      <c r="I2275" s="16">
        <f t="shared" si="339"/>
        <v>67632400</v>
      </c>
      <c r="J2275" s="17">
        <v>32</v>
      </c>
      <c r="K2275" s="34">
        <v>4502426606</v>
      </c>
      <c r="L2275" s="19">
        <v>5084005312</v>
      </c>
      <c r="M2275" s="20">
        <v>5113650536</v>
      </c>
      <c r="N2275" s="23"/>
      <c r="O2275" s="9" t="s">
        <v>37</v>
      </c>
      <c r="P2275" s="23"/>
      <c r="Q2275" s="24" t="s">
        <v>357</v>
      </c>
      <c r="R2275" s="25">
        <v>44839</v>
      </c>
      <c r="S2275" s="28"/>
      <c r="T2275" s="35"/>
      <c r="U2275" s="35"/>
      <c r="V2275" s="29"/>
      <c r="W2275" s="35"/>
      <c r="X2275" s="29"/>
      <c r="Y2275" s="36"/>
      <c r="Z2275" s="29"/>
      <c r="AA2275" s="31">
        <f t="shared" si="1"/>
        <v>44839</v>
      </c>
      <c r="AB2275" s="32" t="str">
        <f t="shared" si="5"/>
        <v>octubre</v>
      </c>
    </row>
    <row r="2276" spans="1:28" ht="12.75">
      <c r="A2276" s="9" t="s">
        <v>368</v>
      </c>
      <c r="B2276" s="10">
        <v>44840</v>
      </c>
      <c r="C2276" s="11">
        <v>44844</v>
      </c>
      <c r="D2276" s="42">
        <v>41</v>
      </c>
      <c r="E2276" s="13" t="s">
        <v>2740</v>
      </c>
      <c r="F2276" s="13">
        <v>3025457</v>
      </c>
      <c r="G2276" s="14">
        <v>6798</v>
      </c>
      <c r="H2276" s="33">
        <v>8250</v>
      </c>
      <c r="I2276" s="16">
        <f t="shared" si="339"/>
        <v>56083500</v>
      </c>
      <c r="J2276" s="17">
        <v>15</v>
      </c>
      <c r="K2276" s="34">
        <v>4502425131</v>
      </c>
      <c r="L2276" s="126">
        <v>5084011218</v>
      </c>
      <c r="M2276" s="20">
        <v>5113643844</v>
      </c>
      <c r="N2276" s="128"/>
      <c r="O2276" s="9" t="s">
        <v>63</v>
      </c>
      <c r="P2276" s="23"/>
      <c r="Q2276" s="24" t="s">
        <v>31</v>
      </c>
      <c r="R2276" s="25">
        <v>44840</v>
      </c>
      <c r="S2276" s="28"/>
      <c r="T2276" s="35"/>
      <c r="U2276" s="35"/>
      <c r="V2276" s="29"/>
      <c r="W2276" s="35"/>
      <c r="X2276" s="29"/>
      <c r="Y2276" s="36"/>
      <c r="Z2276" s="29"/>
      <c r="AA2276" s="31">
        <f t="shared" si="1"/>
        <v>44840</v>
      </c>
      <c r="AB2276" s="32" t="str">
        <f t="shared" si="5"/>
        <v>octubre</v>
      </c>
    </row>
    <row r="2277" spans="1:28" ht="12.75">
      <c r="A2277" s="9" t="s">
        <v>416</v>
      </c>
      <c r="B2277" s="10">
        <v>44841</v>
      </c>
      <c r="C2277" s="11">
        <v>44846</v>
      </c>
      <c r="D2277" s="42">
        <v>41</v>
      </c>
      <c r="E2277" s="13" t="s">
        <v>2741</v>
      </c>
      <c r="F2277" s="13">
        <v>3025457</v>
      </c>
      <c r="G2277" s="14">
        <v>7840</v>
      </c>
      <c r="H2277" s="33">
        <v>8700</v>
      </c>
      <c r="I2277" s="16">
        <f t="shared" si="339"/>
        <v>68208000</v>
      </c>
      <c r="J2277" s="17">
        <v>18</v>
      </c>
      <c r="K2277" s="34">
        <v>4502425132</v>
      </c>
      <c r="L2277" s="126">
        <v>5084011219</v>
      </c>
      <c r="M2277" s="20">
        <v>5113647195</v>
      </c>
      <c r="N2277" s="128"/>
      <c r="O2277" s="23" t="s">
        <v>37</v>
      </c>
      <c r="P2277" s="23"/>
      <c r="Q2277" s="24" t="s">
        <v>31</v>
      </c>
      <c r="R2277" s="25">
        <v>44840</v>
      </c>
      <c r="S2277" s="28"/>
      <c r="T2277" s="35"/>
      <c r="U2277" s="35"/>
      <c r="V2277" s="29"/>
      <c r="W2277" s="35"/>
      <c r="X2277" s="29"/>
      <c r="Y2277" s="36"/>
      <c r="Z2277" s="29"/>
      <c r="AA2277" s="31">
        <f t="shared" si="1"/>
        <v>44840</v>
      </c>
      <c r="AB2277" s="32" t="str">
        <f t="shared" si="5"/>
        <v>octubre</v>
      </c>
    </row>
    <row r="2278" spans="1:28" ht="12.75">
      <c r="A2278" s="9" t="s">
        <v>416</v>
      </c>
      <c r="B2278" s="10">
        <v>44841</v>
      </c>
      <c r="C2278" s="11">
        <v>44846</v>
      </c>
      <c r="D2278" s="42">
        <v>41</v>
      </c>
      <c r="E2278" s="13" t="s">
        <v>909</v>
      </c>
      <c r="F2278" s="13">
        <v>3025457</v>
      </c>
      <c r="G2278" s="14">
        <v>7840</v>
      </c>
      <c r="H2278" s="33">
        <f>8700-8690.08</f>
        <v>9.9200000000000728</v>
      </c>
      <c r="I2278" s="16">
        <f>-H2278*G2278</f>
        <v>-77772.80000000057</v>
      </c>
      <c r="J2278" s="17">
        <v>0</v>
      </c>
      <c r="K2278" s="34">
        <v>4502425132</v>
      </c>
      <c r="L2278" s="126">
        <v>5084011219</v>
      </c>
      <c r="M2278" s="20">
        <v>5113647247</v>
      </c>
      <c r="N2278" s="128"/>
      <c r="O2278" s="23"/>
      <c r="P2278" s="23"/>
      <c r="Q2278" s="24" t="s">
        <v>31</v>
      </c>
      <c r="R2278" s="25">
        <v>44840</v>
      </c>
      <c r="S2278" s="28"/>
      <c r="T2278" s="35"/>
      <c r="U2278" s="35"/>
      <c r="V2278" s="29"/>
      <c r="W2278" s="35"/>
      <c r="X2278" s="29"/>
      <c r="Y2278" s="36"/>
      <c r="Z2278" s="29"/>
      <c r="AA2278" s="31">
        <f t="shared" si="1"/>
        <v>44840</v>
      </c>
      <c r="AB2278" s="32" t="str">
        <f t="shared" si="5"/>
        <v>octubre</v>
      </c>
    </row>
    <row r="2279" spans="1:28" ht="12.75">
      <c r="A2279" s="9" t="s">
        <v>80</v>
      </c>
      <c r="B2279" s="10">
        <v>44840</v>
      </c>
      <c r="C2279" s="11"/>
      <c r="D2279" s="42">
        <v>41</v>
      </c>
      <c r="E2279" s="13" t="s">
        <v>2742</v>
      </c>
      <c r="F2279" s="13">
        <v>3025457</v>
      </c>
      <c r="G2279" s="14">
        <v>20305</v>
      </c>
      <c r="H2279" s="15">
        <v>8050</v>
      </c>
      <c r="I2279" s="16">
        <f t="shared" ref="I2279:I2283" si="340">H2279*G2279</f>
        <v>163455250</v>
      </c>
      <c r="J2279" s="17">
        <v>42</v>
      </c>
      <c r="K2279" s="34">
        <v>4502427042</v>
      </c>
      <c r="L2279" s="126">
        <v>5084010773</v>
      </c>
      <c r="M2279" s="20">
        <v>5113647250</v>
      </c>
      <c r="N2279" s="23" t="s">
        <v>37</v>
      </c>
      <c r="O2279" s="124" t="s">
        <v>2743</v>
      </c>
      <c r="P2279" s="23"/>
      <c r="Q2279" s="24" t="s">
        <v>31</v>
      </c>
      <c r="R2279" s="25">
        <v>44840</v>
      </c>
      <c r="S2279" s="28">
        <v>4902361241</v>
      </c>
      <c r="T2279" s="27">
        <v>4150000</v>
      </c>
      <c r="U2279" s="28" t="s">
        <v>2744</v>
      </c>
      <c r="V2279" s="29">
        <v>5113658655</v>
      </c>
      <c r="W2279" s="35"/>
      <c r="X2279" s="29"/>
      <c r="Y2279" s="36"/>
      <c r="Z2279" s="29"/>
      <c r="AA2279" s="31">
        <f t="shared" si="1"/>
        <v>44840</v>
      </c>
      <c r="AB2279" s="32" t="str">
        <f t="shared" si="5"/>
        <v>octubre</v>
      </c>
    </row>
    <row r="2280" spans="1:28" ht="12.75">
      <c r="A2280" s="9" t="s">
        <v>80</v>
      </c>
      <c r="B2280" s="10">
        <v>44841</v>
      </c>
      <c r="C2280" s="11">
        <v>44844</v>
      </c>
      <c r="D2280" s="42">
        <v>41</v>
      </c>
      <c r="E2280" s="13" t="s">
        <v>2745</v>
      </c>
      <c r="F2280" s="13">
        <v>3025457</v>
      </c>
      <c r="G2280" s="14">
        <v>20305</v>
      </c>
      <c r="H2280" s="15">
        <f>8074-8050</f>
        <v>24</v>
      </c>
      <c r="I2280" s="16">
        <f t="shared" si="340"/>
        <v>487320</v>
      </c>
      <c r="J2280" s="17">
        <v>0</v>
      </c>
      <c r="K2280" s="34">
        <v>4502427042</v>
      </c>
      <c r="L2280" s="126">
        <v>5084010773</v>
      </c>
      <c r="M2280" s="20">
        <v>5113647252</v>
      </c>
      <c r="N2280" s="128"/>
      <c r="O2280" s="124"/>
      <c r="P2280" s="23"/>
      <c r="Q2280" s="24" t="s">
        <v>31</v>
      </c>
      <c r="R2280" s="25">
        <v>44840</v>
      </c>
      <c r="S2280" s="28"/>
      <c r="T2280" s="27"/>
      <c r="U2280" s="35"/>
      <c r="V2280" s="29"/>
      <c r="W2280" s="35"/>
      <c r="X2280" s="29"/>
      <c r="Y2280" s="36"/>
      <c r="Z2280" s="29"/>
      <c r="AA2280" s="31">
        <f t="shared" si="1"/>
        <v>44840</v>
      </c>
      <c r="AB2280" s="32" t="str">
        <f t="shared" si="5"/>
        <v>octubre</v>
      </c>
    </row>
    <row r="2281" spans="1:28" ht="12.75">
      <c r="A2281" s="9" t="s">
        <v>567</v>
      </c>
      <c r="B2281" s="10">
        <v>44845</v>
      </c>
      <c r="C2281" s="11">
        <v>44847</v>
      </c>
      <c r="D2281" s="42">
        <v>41</v>
      </c>
      <c r="E2281" s="13" t="s">
        <v>2746</v>
      </c>
      <c r="F2281" s="13">
        <v>3025460</v>
      </c>
      <c r="G2281" s="14">
        <v>6482</v>
      </c>
      <c r="H2281" s="33">
        <v>8250</v>
      </c>
      <c r="I2281" s="16">
        <f t="shared" si="340"/>
        <v>53476500</v>
      </c>
      <c r="J2281" s="17">
        <v>15</v>
      </c>
      <c r="K2281" s="34">
        <v>4502425133</v>
      </c>
      <c r="L2281" s="126">
        <v>5084010798</v>
      </c>
      <c r="M2281" s="20">
        <v>5113650531</v>
      </c>
      <c r="N2281" s="23"/>
      <c r="O2281" s="9" t="s">
        <v>63</v>
      </c>
      <c r="P2281" s="23"/>
      <c r="Q2281" s="24" t="s">
        <v>31</v>
      </c>
      <c r="R2281" s="25">
        <v>44840</v>
      </c>
      <c r="S2281" s="28"/>
      <c r="T2281" s="35"/>
      <c r="U2281" s="35"/>
      <c r="V2281" s="29"/>
      <c r="W2281" s="35"/>
      <c r="X2281" s="29"/>
      <c r="Y2281" s="36"/>
      <c r="Z2281" s="29"/>
      <c r="AA2281" s="31">
        <f t="shared" si="1"/>
        <v>44840</v>
      </c>
      <c r="AB2281" s="32" t="str">
        <f t="shared" si="5"/>
        <v>octubre</v>
      </c>
    </row>
    <row r="2282" spans="1:28" ht="12.75">
      <c r="A2282" s="9" t="s">
        <v>567</v>
      </c>
      <c r="B2282" s="10">
        <v>44845</v>
      </c>
      <c r="C2282" s="11">
        <v>44847</v>
      </c>
      <c r="D2282" s="42">
        <v>41</v>
      </c>
      <c r="E2282" s="13" t="s">
        <v>559</v>
      </c>
      <c r="F2282" s="13">
        <v>3025460</v>
      </c>
      <c r="G2282" s="14">
        <v>6482</v>
      </c>
      <c r="H2282" s="33">
        <f>8288.71-8250</f>
        <v>38.709999999999127</v>
      </c>
      <c r="I2282" s="16">
        <f t="shared" si="340"/>
        <v>250918.21999999433</v>
      </c>
      <c r="J2282" s="17">
        <v>0</v>
      </c>
      <c r="K2282" s="34">
        <v>4502425133</v>
      </c>
      <c r="L2282" s="126">
        <v>5084010798</v>
      </c>
      <c r="M2282" s="20">
        <v>5113650533</v>
      </c>
      <c r="N2282" s="23"/>
      <c r="O2282" s="23"/>
      <c r="P2282" s="23"/>
      <c r="Q2282" s="24" t="s">
        <v>31</v>
      </c>
      <c r="R2282" s="25">
        <v>44840</v>
      </c>
      <c r="S2282" s="28"/>
      <c r="T2282" s="35"/>
      <c r="U2282" s="35"/>
      <c r="V2282" s="29"/>
      <c r="W2282" s="35"/>
      <c r="X2282" s="29"/>
      <c r="Y2282" s="36"/>
      <c r="Z2282" s="29"/>
      <c r="AA2282" s="31">
        <f t="shared" si="1"/>
        <v>44840</v>
      </c>
      <c r="AB2282" s="32" t="str">
        <f t="shared" si="5"/>
        <v>octubre</v>
      </c>
    </row>
    <row r="2283" spans="1:28" ht="12.75">
      <c r="A2283" s="9" t="s">
        <v>73</v>
      </c>
      <c r="B2283" s="10">
        <v>44845</v>
      </c>
      <c r="C2283" s="11">
        <v>44861</v>
      </c>
      <c r="D2283" s="42">
        <v>41</v>
      </c>
      <c r="E2283" s="13" t="s">
        <v>2747</v>
      </c>
      <c r="F2283" s="13">
        <v>3025460</v>
      </c>
      <c r="G2283" s="37">
        <v>6329.5</v>
      </c>
      <c r="H2283" s="33">
        <v>8700</v>
      </c>
      <c r="I2283" s="16">
        <f t="shared" si="340"/>
        <v>55066650</v>
      </c>
      <c r="J2283" s="17">
        <v>14</v>
      </c>
      <c r="K2283" s="34">
        <v>4502425134</v>
      </c>
      <c r="L2283" s="126">
        <v>5084010799</v>
      </c>
      <c r="M2283" s="20">
        <v>5113687948</v>
      </c>
      <c r="N2283" s="128"/>
      <c r="O2283" s="9" t="s">
        <v>63</v>
      </c>
      <c r="P2283" s="23"/>
      <c r="Q2283" s="24" t="s">
        <v>31</v>
      </c>
      <c r="R2283" s="25">
        <v>44840</v>
      </c>
      <c r="S2283" s="28"/>
      <c r="T2283" s="35"/>
      <c r="U2283" s="35"/>
      <c r="V2283" s="29"/>
      <c r="W2283" s="35"/>
      <c r="X2283" s="29"/>
      <c r="Y2283" s="36"/>
      <c r="Z2283" s="29"/>
      <c r="AA2283" s="31">
        <f t="shared" si="1"/>
        <v>44840</v>
      </c>
      <c r="AB2283" s="32" t="str">
        <f t="shared" si="5"/>
        <v>octubre</v>
      </c>
    </row>
    <row r="2284" spans="1:28" ht="12.75">
      <c r="A2284" s="9" t="s">
        <v>73</v>
      </c>
      <c r="B2284" s="10">
        <v>44845</v>
      </c>
      <c r="C2284" s="11">
        <v>44861</v>
      </c>
      <c r="D2284" s="42">
        <v>41</v>
      </c>
      <c r="E2284" s="13" t="s">
        <v>2748</v>
      </c>
      <c r="F2284" s="13">
        <v>3025460</v>
      </c>
      <c r="G2284" s="37">
        <v>6329.5</v>
      </c>
      <c r="H2284" s="33">
        <f>8700-8674</f>
        <v>26</v>
      </c>
      <c r="I2284" s="16">
        <f>-H2284*G2284</f>
        <v>-164567</v>
      </c>
      <c r="J2284" s="17">
        <v>0</v>
      </c>
      <c r="K2284" s="34">
        <v>4502425134</v>
      </c>
      <c r="L2284" s="126">
        <v>5084010799</v>
      </c>
      <c r="M2284" s="20">
        <v>5113687951</v>
      </c>
      <c r="N2284" s="128"/>
      <c r="O2284" s="23"/>
      <c r="P2284" s="23"/>
      <c r="Q2284" s="24" t="s">
        <v>31</v>
      </c>
      <c r="R2284" s="25">
        <v>44840</v>
      </c>
      <c r="S2284" s="28"/>
      <c r="T2284" s="35"/>
      <c r="U2284" s="35"/>
      <c r="V2284" s="29"/>
      <c r="W2284" s="35"/>
      <c r="X2284" s="29"/>
      <c r="Y2284" s="36"/>
      <c r="Z2284" s="29"/>
      <c r="AA2284" s="31">
        <f t="shared" si="1"/>
        <v>44840</v>
      </c>
      <c r="AB2284" s="32" t="str">
        <f t="shared" si="5"/>
        <v>octubre</v>
      </c>
    </row>
    <row r="2285" spans="1:28" ht="12.75">
      <c r="A2285" s="9" t="s">
        <v>469</v>
      </c>
      <c r="B2285" s="10">
        <v>44844</v>
      </c>
      <c r="C2285" s="142"/>
      <c r="D2285" s="42">
        <v>41</v>
      </c>
      <c r="E2285" s="13" t="s">
        <v>2749</v>
      </c>
      <c r="F2285" s="13">
        <v>3025460</v>
      </c>
      <c r="G2285" s="14">
        <v>5995</v>
      </c>
      <c r="H2285" s="33">
        <v>8250</v>
      </c>
      <c r="I2285" s="16">
        <f>H2285*G2285</f>
        <v>49458750</v>
      </c>
      <c r="J2285" s="17">
        <v>14</v>
      </c>
      <c r="K2285" s="34">
        <v>4502425135</v>
      </c>
      <c r="L2285" s="126">
        <v>5084010800</v>
      </c>
      <c r="M2285" s="20">
        <v>5113644013</v>
      </c>
      <c r="N2285" s="9" t="s">
        <v>63</v>
      </c>
      <c r="O2285" s="23"/>
      <c r="P2285" s="23"/>
      <c r="Q2285" s="24" t="s">
        <v>31</v>
      </c>
      <c r="R2285" s="25">
        <v>44840</v>
      </c>
      <c r="S2285" s="28"/>
      <c r="T2285" s="35"/>
      <c r="U2285" s="35"/>
      <c r="V2285" s="29"/>
      <c r="W2285" s="35"/>
      <c r="X2285" s="29"/>
      <c r="Y2285" s="36"/>
      <c r="Z2285" s="29"/>
      <c r="AA2285" s="31">
        <f t="shared" si="1"/>
        <v>44840</v>
      </c>
      <c r="AB2285" s="32" t="str">
        <f t="shared" si="5"/>
        <v>octubre</v>
      </c>
    </row>
    <row r="2286" spans="1:28" ht="12.75">
      <c r="A2286" s="9" t="s">
        <v>469</v>
      </c>
      <c r="B2286" s="10">
        <v>44844</v>
      </c>
      <c r="C2286" s="11"/>
      <c r="D2286" s="42">
        <v>41</v>
      </c>
      <c r="E2286" s="13" t="s">
        <v>2750</v>
      </c>
      <c r="F2286" s="13">
        <v>3025460</v>
      </c>
      <c r="G2286" s="14">
        <v>5995</v>
      </c>
      <c r="H2286" s="33">
        <v>50</v>
      </c>
      <c r="I2286" s="16">
        <f>-H2286*G2286</f>
        <v>-299750</v>
      </c>
      <c r="J2286" s="17">
        <v>0</v>
      </c>
      <c r="K2286" s="34">
        <v>4502425135</v>
      </c>
      <c r="L2286" s="126">
        <v>5084010800</v>
      </c>
      <c r="M2286" s="20">
        <v>5113644016</v>
      </c>
      <c r="N2286" s="9"/>
      <c r="O2286" s="23"/>
      <c r="P2286" s="23"/>
      <c r="Q2286" s="24" t="s">
        <v>31</v>
      </c>
      <c r="R2286" s="25">
        <v>44840</v>
      </c>
      <c r="S2286" s="28"/>
      <c r="T2286" s="35"/>
      <c r="U2286" s="35"/>
      <c r="V2286" s="29"/>
      <c r="W2286" s="35"/>
      <c r="X2286" s="29"/>
      <c r="Y2286" s="36"/>
      <c r="Z2286" s="29"/>
      <c r="AA2286" s="31">
        <f t="shared" si="1"/>
        <v>44840</v>
      </c>
      <c r="AB2286" s="32" t="str">
        <f t="shared" si="5"/>
        <v>octubre</v>
      </c>
    </row>
    <row r="2287" spans="1:28" ht="12.75">
      <c r="A2287" s="9" t="s">
        <v>58</v>
      </c>
      <c r="B2287" s="10">
        <v>44845</v>
      </c>
      <c r="C2287" s="11">
        <v>44845</v>
      </c>
      <c r="D2287" s="42">
        <v>41</v>
      </c>
      <c r="E2287" s="13" t="s">
        <v>2751</v>
      </c>
      <c r="F2287" s="13">
        <v>3025460</v>
      </c>
      <c r="G2287" s="37">
        <v>43677.5</v>
      </c>
      <c r="H2287" s="33">
        <v>8700</v>
      </c>
      <c r="I2287" s="16">
        <f>H2287*G2287</f>
        <v>379994250</v>
      </c>
      <c r="J2287" s="17">
        <v>90</v>
      </c>
      <c r="K2287" s="34">
        <v>4502425136</v>
      </c>
      <c r="L2287" s="126">
        <v>5084010802</v>
      </c>
      <c r="M2287" s="20">
        <v>5113645163</v>
      </c>
      <c r="N2287" s="23"/>
      <c r="O2287" s="9" t="s">
        <v>37</v>
      </c>
      <c r="P2287" s="23"/>
      <c r="Q2287" s="24" t="s">
        <v>31</v>
      </c>
      <c r="R2287" s="25">
        <v>44840</v>
      </c>
      <c r="S2287" s="28"/>
      <c r="T2287" s="35"/>
      <c r="U2287" s="35"/>
      <c r="V2287" s="29"/>
      <c r="W2287" s="35"/>
      <c r="X2287" s="29"/>
      <c r="Y2287" s="36"/>
      <c r="Z2287" s="29"/>
      <c r="AA2287" s="31">
        <f t="shared" si="1"/>
        <v>44840</v>
      </c>
      <c r="AB2287" s="32" t="str">
        <f t="shared" si="5"/>
        <v>octubre</v>
      </c>
    </row>
    <row r="2288" spans="1:28" ht="12.75">
      <c r="A2288" s="9" t="s">
        <v>58</v>
      </c>
      <c r="B2288" s="10">
        <v>44845</v>
      </c>
      <c r="C2288" s="11">
        <v>44845</v>
      </c>
      <c r="D2288" s="42">
        <v>41</v>
      </c>
      <c r="E2288" s="13" t="s">
        <v>2752</v>
      </c>
      <c r="F2288" s="13">
        <v>3025460</v>
      </c>
      <c r="G2288" s="37">
        <v>43677.5</v>
      </c>
      <c r="H2288" s="33">
        <f>8700-8691.18</f>
        <v>8.819999999999709</v>
      </c>
      <c r="I2288" s="16">
        <f>-H2288*G2288</f>
        <v>-385235.5499999873</v>
      </c>
      <c r="J2288" s="17">
        <v>0</v>
      </c>
      <c r="K2288" s="34">
        <v>4502425136</v>
      </c>
      <c r="L2288" s="126">
        <v>5084010802</v>
      </c>
      <c r="M2288" s="20">
        <v>5113645166</v>
      </c>
      <c r="N2288" s="128"/>
      <c r="O2288" s="23"/>
      <c r="P2288" s="23"/>
      <c r="Q2288" s="24" t="s">
        <v>31</v>
      </c>
      <c r="R2288" s="25">
        <v>44840</v>
      </c>
      <c r="S2288" s="28"/>
      <c r="T2288" s="35"/>
      <c r="U2288" s="35"/>
      <c r="V2288" s="29"/>
      <c r="W2288" s="35"/>
      <c r="X2288" s="29"/>
      <c r="Y2288" s="36"/>
      <c r="Z2288" s="29"/>
      <c r="AA2288" s="31">
        <f t="shared" si="1"/>
        <v>44840</v>
      </c>
      <c r="AB2288" s="32" t="str">
        <f t="shared" si="5"/>
        <v>octubre</v>
      </c>
    </row>
    <row r="2289" spans="1:28" ht="12.75">
      <c r="A2289" s="9" t="s">
        <v>116</v>
      </c>
      <c r="B2289" s="10">
        <v>44817</v>
      </c>
      <c r="C2289" s="11"/>
      <c r="D2289" s="42">
        <v>41</v>
      </c>
      <c r="E2289" s="13" t="s">
        <v>2595</v>
      </c>
      <c r="F2289" s="13">
        <v>3025457</v>
      </c>
      <c r="G2289" s="37"/>
      <c r="H2289" s="15">
        <v>9035</v>
      </c>
      <c r="I2289" s="16">
        <f t="shared" ref="I2289:I2292" si="341">H2289*G2289</f>
        <v>0</v>
      </c>
      <c r="J2289" s="17">
        <v>14</v>
      </c>
      <c r="K2289" s="34">
        <v>4502411300</v>
      </c>
      <c r="L2289" s="126">
        <v>5083660241</v>
      </c>
      <c r="M2289" s="20">
        <v>5113580506</v>
      </c>
      <c r="N2289" s="23" t="s">
        <v>37</v>
      </c>
      <c r="O2289" s="124" t="s">
        <v>2753</v>
      </c>
      <c r="P2289" s="23"/>
      <c r="Q2289" s="24" t="s">
        <v>31</v>
      </c>
      <c r="R2289" s="25">
        <v>44841</v>
      </c>
      <c r="S2289" s="28">
        <v>4902361245</v>
      </c>
      <c r="T2289" s="35">
        <f>1750000</f>
        <v>1750000</v>
      </c>
      <c r="U2289" s="28" t="s">
        <v>2754</v>
      </c>
      <c r="V2289" s="29">
        <v>5113652808</v>
      </c>
      <c r="W2289" s="35"/>
      <c r="X2289" s="29"/>
      <c r="Y2289" s="36"/>
      <c r="Z2289" s="29"/>
      <c r="AA2289" s="31">
        <f t="shared" si="1"/>
        <v>44841</v>
      </c>
      <c r="AB2289" s="32" t="str">
        <f t="shared" si="5"/>
        <v>octubre</v>
      </c>
    </row>
    <row r="2290" spans="1:28" ht="12.75">
      <c r="A2290" s="9" t="s">
        <v>49</v>
      </c>
      <c r="B2290" s="10">
        <v>44841</v>
      </c>
      <c r="C2290" s="11">
        <v>44845</v>
      </c>
      <c r="D2290" s="42">
        <v>41</v>
      </c>
      <c r="E2290" s="13" t="s">
        <v>2755</v>
      </c>
      <c r="F2290" s="13">
        <v>3025459</v>
      </c>
      <c r="G2290" s="14">
        <v>14772</v>
      </c>
      <c r="H2290" s="15">
        <v>8100</v>
      </c>
      <c r="I2290" s="16">
        <f t="shared" si="341"/>
        <v>119653200</v>
      </c>
      <c r="J2290" s="17">
        <v>28</v>
      </c>
      <c r="K2290" s="34">
        <v>4502427387</v>
      </c>
      <c r="L2290" s="126">
        <v>5084028960</v>
      </c>
      <c r="M2290" s="20">
        <v>5113647370</v>
      </c>
      <c r="N2290" s="9" t="s">
        <v>63</v>
      </c>
      <c r="O2290" s="124" t="s">
        <v>1217</v>
      </c>
      <c r="P2290" s="23"/>
      <c r="Q2290" s="24" t="s">
        <v>31</v>
      </c>
      <c r="R2290" s="25">
        <v>44841</v>
      </c>
      <c r="S2290" s="28">
        <v>4902363814</v>
      </c>
      <c r="T2290" s="35">
        <f>2982600*2</f>
        <v>5965200</v>
      </c>
      <c r="U2290" s="28" t="s">
        <v>2756</v>
      </c>
      <c r="V2290" s="29">
        <v>5113652807</v>
      </c>
      <c r="W2290" s="35"/>
      <c r="X2290" s="29"/>
      <c r="Y2290" s="36"/>
      <c r="Z2290" s="29"/>
      <c r="AA2290" s="31">
        <f t="shared" si="1"/>
        <v>44841</v>
      </c>
      <c r="AB2290" s="32" t="str">
        <f t="shared" si="5"/>
        <v>octubre</v>
      </c>
    </row>
    <row r="2291" spans="1:28" ht="12.75">
      <c r="A2291" s="9" t="s">
        <v>58</v>
      </c>
      <c r="B2291" s="10">
        <v>44847</v>
      </c>
      <c r="C2291" s="11">
        <v>44847</v>
      </c>
      <c r="D2291" s="120">
        <v>41</v>
      </c>
      <c r="E2291" s="61" t="s">
        <v>2757</v>
      </c>
      <c r="F2291" s="63">
        <v>3025460</v>
      </c>
      <c r="G2291" s="136">
        <v>6478.5</v>
      </c>
      <c r="H2291" s="63">
        <v>8700</v>
      </c>
      <c r="I2291" s="64">
        <f t="shared" si="341"/>
        <v>56362950</v>
      </c>
      <c r="J2291" s="65">
        <v>16</v>
      </c>
      <c r="K2291" s="66">
        <v>4502425138</v>
      </c>
      <c r="L2291" s="126">
        <v>5084029152</v>
      </c>
      <c r="M2291" s="20">
        <v>5113653701</v>
      </c>
      <c r="N2291" s="128"/>
      <c r="O2291" s="9" t="s">
        <v>37</v>
      </c>
      <c r="P2291" s="68"/>
      <c r="Q2291" s="129" t="s">
        <v>31</v>
      </c>
      <c r="R2291" s="74">
        <v>44841</v>
      </c>
      <c r="S2291" s="75"/>
      <c r="T2291" s="69"/>
      <c r="U2291" s="70"/>
      <c r="V2291" s="68"/>
      <c r="W2291" s="70"/>
      <c r="X2291" s="68"/>
      <c r="Y2291" s="71"/>
      <c r="Z2291" s="68"/>
      <c r="AA2291" s="130">
        <f t="shared" si="1"/>
        <v>44841</v>
      </c>
      <c r="AB2291" s="131" t="str">
        <f t="shared" si="5"/>
        <v>octubre</v>
      </c>
    </row>
    <row r="2292" spans="1:28" ht="12.75">
      <c r="A2292" s="9" t="s">
        <v>58</v>
      </c>
      <c r="B2292" s="10">
        <v>44847</v>
      </c>
      <c r="C2292" s="11">
        <v>44847</v>
      </c>
      <c r="D2292" s="42">
        <v>41</v>
      </c>
      <c r="E2292" s="13" t="s">
        <v>2758</v>
      </c>
      <c r="F2292" s="13">
        <v>3025460</v>
      </c>
      <c r="G2292" s="136">
        <v>15233.5</v>
      </c>
      <c r="H2292" s="33">
        <v>8700</v>
      </c>
      <c r="I2292" s="16">
        <f t="shared" si="341"/>
        <v>132531450</v>
      </c>
      <c r="J2292" s="17">
        <v>35</v>
      </c>
      <c r="K2292" s="34">
        <v>4502425138</v>
      </c>
      <c r="L2292" s="126">
        <v>5084029152</v>
      </c>
      <c r="M2292" s="20">
        <v>5113656494</v>
      </c>
      <c r="N2292" s="128"/>
      <c r="O2292" s="9" t="s">
        <v>37</v>
      </c>
      <c r="P2292" s="23"/>
      <c r="Q2292" s="24" t="s">
        <v>31</v>
      </c>
      <c r="R2292" s="25">
        <v>44841</v>
      </c>
      <c r="S2292" s="28"/>
      <c r="T2292" s="35"/>
      <c r="U2292" s="35"/>
      <c r="V2292" s="29"/>
      <c r="W2292" s="35"/>
      <c r="X2292" s="29"/>
      <c r="Y2292" s="36"/>
      <c r="Z2292" s="29"/>
      <c r="AA2292" s="31">
        <f t="shared" si="1"/>
        <v>44841</v>
      </c>
      <c r="AB2292" s="32" t="str">
        <f t="shared" si="5"/>
        <v>octubre</v>
      </c>
    </row>
    <row r="2293" spans="1:28" ht="12.75">
      <c r="A2293" s="9" t="s">
        <v>58</v>
      </c>
      <c r="B2293" s="10">
        <v>44847</v>
      </c>
      <c r="C2293" s="11">
        <v>44847</v>
      </c>
      <c r="D2293" s="42">
        <v>41</v>
      </c>
      <c r="E2293" s="13" t="s">
        <v>2759</v>
      </c>
      <c r="F2293" s="13">
        <v>3025460</v>
      </c>
      <c r="G2293" s="136">
        <v>15233.5</v>
      </c>
      <c r="H2293" s="33">
        <f>8700-8579.92</f>
        <v>120.07999999999993</v>
      </c>
      <c r="I2293" s="16">
        <f>-H2293*G2293</f>
        <v>-1829238.679999999</v>
      </c>
      <c r="J2293" s="17">
        <v>0</v>
      </c>
      <c r="K2293" s="34">
        <v>4502425138</v>
      </c>
      <c r="L2293" s="126">
        <v>5084029152</v>
      </c>
      <c r="M2293" s="20">
        <v>5113656495</v>
      </c>
      <c r="N2293" s="128"/>
      <c r="O2293" s="23"/>
      <c r="P2293" s="23"/>
      <c r="Q2293" s="24" t="s">
        <v>31</v>
      </c>
      <c r="R2293" s="25">
        <v>44841</v>
      </c>
      <c r="S2293" s="28"/>
      <c r="T2293" s="35"/>
      <c r="U2293" s="35"/>
      <c r="V2293" s="29"/>
      <c r="W2293" s="35"/>
      <c r="X2293" s="29"/>
      <c r="Y2293" s="36"/>
      <c r="Z2293" s="29"/>
      <c r="AA2293" s="31">
        <f t="shared" si="1"/>
        <v>44841</v>
      </c>
      <c r="AB2293" s="32" t="str">
        <f t="shared" si="5"/>
        <v>octubre</v>
      </c>
    </row>
    <row r="2294" spans="1:28" ht="12.75">
      <c r="A2294" s="9" t="s">
        <v>58</v>
      </c>
      <c r="B2294" s="10">
        <v>44847</v>
      </c>
      <c r="C2294" s="11">
        <v>44847</v>
      </c>
      <c r="D2294" s="42">
        <v>41</v>
      </c>
      <c r="E2294" s="13" t="s">
        <v>2760</v>
      </c>
      <c r="F2294" s="13">
        <v>3025460</v>
      </c>
      <c r="G2294" s="14">
        <f>19449-5926</f>
        <v>13523</v>
      </c>
      <c r="H2294" s="33">
        <v>8700</v>
      </c>
      <c r="I2294" s="16">
        <f t="shared" ref="I2294:I2295" si="342">H2294*G2294</f>
        <v>117650100</v>
      </c>
      <c r="J2294" s="17">
        <f>76-51</f>
        <v>25</v>
      </c>
      <c r="K2294" s="34">
        <v>4502425138</v>
      </c>
      <c r="L2294" s="126">
        <v>5084029005</v>
      </c>
      <c r="M2294" s="20">
        <v>5113656570</v>
      </c>
      <c r="N2294" s="128"/>
      <c r="O2294" s="9" t="s">
        <v>37</v>
      </c>
      <c r="P2294" s="23"/>
      <c r="Q2294" s="24" t="s">
        <v>31</v>
      </c>
      <c r="R2294" s="25">
        <v>44841</v>
      </c>
      <c r="S2294" s="28"/>
      <c r="T2294" s="35"/>
      <c r="U2294" s="35"/>
      <c r="V2294" s="29"/>
      <c r="W2294" s="35"/>
      <c r="X2294" s="29"/>
      <c r="Y2294" s="36"/>
      <c r="Z2294" s="29"/>
      <c r="AA2294" s="31">
        <f t="shared" si="1"/>
        <v>44841</v>
      </c>
      <c r="AB2294" s="32" t="str">
        <f t="shared" si="5"/>
        <v>octubre</v>
      </c>
    </row>
    <row r="2295" spans="1:28" ht="12.75">
      <c r="A2295" s="9" t="s">
        <v>58</v>
      </c>
      <c r="B2295" s="10">
        <v>44847</v>
      </c>
      <c r="C2295" s="11">
        <v>44847</v>
      </c>
      <c r="D2295" s="42">
        <v>41</v>
      </c>
      <c r="E2295" s="13" t="s">
        <v>2760</v>
      </c>
      <c r="F2295" s="13">
        <v>3025460</v>
      </c>
      <c r="G2295" s="37">
        <v>5926</v>
      </c>
      <c r="H2295" s="33">
        <v>8700</v>
      </c>
      <c r="I2295" s="16">
        <f t="shared" si="342"/>
        <v>51556200</v>
      </c>
      <c r="J2295" s="17">
        <v>15</v>
      </c>
      <c r="K2295" s="34">
        <v>4502427218</v>
      </c>
      <c r="L2295" s="126">
        <v>5084029005</v>
      </c>
      <c r="M2295" s="20">
        <v>5113656570</v>
      </c>
      <c r="N2295" s="128"/>
      <c r="O2295" s="9" t="s">
        <v>37</v>
      </c>
      <c r="P2295" s="23"/>
      <c r="Q2295" s="24" t="s">
        <v>31</v>
      </c>
      <c r="R2295" s="25">
        <v>44841</v>
      </c>
      <c r="S2295" s="28"/>
      <c r="T2295" s="35"/>
      <c r="U2295" s="35"/>
      <c r="V2295" s="29"/>
      <c r="W2295" s="35"/>
      <c r="X2295" s="29"/>
      <c r="Y2295" s="36"/>
      <c r="Z2295" s="29"/>
      <c r="AA2295" s="31">
        <f t="shared" si="1"/>
        <v>44841</v>
      </c>
      <c r="AB2295" s="32" t="str">
        <f t="shared" si="5"/>
        <v>octubre</v>
      </c>
    </row>
    <row r="2296" spans="1:28" ht="12.75">
      <c r="A2296" s="9" t="s">
        <v>58</v>
      </c>
      <c r="B2296" s="10">
        <v>44847</v>
      </c>
      <c r="C2296" s="11">
        <v>44847</v>
      </c>
      <c r="D2296" s="42">
        <v>41</v>
      </c>
      <c r="E2296" s="13" t="s">
        <v>1640</v>
      </c>
      <c r="F2296" s="13">
        <v>3025460</v>
      </c>
      <c r="G2296" s="14">
        <v>19449</v>
      </c>
      <c r="H2296" s="33">
        <f>8700-8698.05</f>
        <v>1.9500000000007276</v>
      </c>
      <c r="I2296" s="16">
        <f>-H2296*G2296</f>
        <v>-37925.550000014147</v>
      </c>
      <c r="J2296" s="17">
        <v>0</v>
      </c>
      <c r="K2296" s="34">
        <v>4502427218</v>
      </c>
      <c r="L2296" s="126">
        <v>5084029005</v>
      </c>
      <c r="M2296" s="20">
        <v>5113656655</v>
      </c>
      <c r="N2296" s="128"/>
      <c r="O2296" s="23"/>
      <c r="P2296" s="23"/>
      <c r="Q2296" s="24" t="s">
        <v>31</v>
      </c>
      <c r="R2296" s="25">
        <v>44841</v>
      </c>
      <c r="S2296" s="28"/>
      <c r="T2296" s="35"/>
      <c r="U2296" s="35"/>
      <c r="V2296" s="29"/>
      <c r="W2296" s="35"/>
      <c r="X2296" s="29"/>
      <c r="Y2296" s="36"/>
      <c r="Z2296" s="29"/>
      <c r="AA2296" s="31">
        <f t="shared" si="1"/>
        <v>44841</v>
      </c>
      <c r="AB2296" s="32" t="str">
        <f t="shared" si="5"/>
        <v>octubre</v>
      </c>
    </row>
    <row r="2297" spans="1:28" ht="12.75">
      <c r="A2297" s="9" t="s">
        <v>116</v>
      </c>
      <c r="B2297" s="10">
        <v>44817</v>
      </c>
      <c r="C2297" s="11"/>
      <c r="D2297" s="42">
        <v>41</v>
      </c>
      <c r="E2297" s="13" t="s">
        <v>2595</v>
      </c>
      <c r="F2297" s="13">
        <v>3025460</v>
      </c>
      <c r="G2297" s="37"/>
      <c r="H2297" s="15">
        <v>9035</v>
      </c>
      <c r="I2297" s="16">
        <f t="shared" ref="I2297:I2300" si="343">H2297*G2297</f>
        <v>0</v>
      </c>
      <c r="J2297" s="17">
        <v>28</v>
      </c>
      <c r="K2297" s="34">
        <v>4502411300</v>
      </c>
      <c r="L2297" s="126">
        <v>5083660241</v>
      </c>
      <c r="M2297" s="20">
        <v>5113580506</v>
      </c>
      <c r="N2297" s="23" t="s">
        <v>37</v>
      </c>
      <c r="O2297" s="124" t="s">
        <v>2761</v>
      </c>
      <c r="P2297" s="23"/>
      <c r="Q2297" s="24" t="s">
        <v>31</v>
      </c>
      <c r="R2297" s="25">
        <v>44841</v>
      </c>
      <c r="S2297" s="28">
        <v>4902361715</v>
      </c>
      <c r="T2297" s="35">
        <f>1750000*2</f>
        <v>3500000</v>
      </c>
      <c r="U2297" s="28" t="s">
        <v>2754</v>
      </c>
      <c r="V2297" s="29">
        <v>5113652808</v>
      </c>
      <c r="W2297" s="35"/>
      <c r="X2297" s="29"/>
      <c r="Y2297" s="36"/>
      <c r="Z2297" s="29"/>
      <c r="AA2297" s="31">
        <f t="shared" si="1"/>
        <v>44841</v>
      </c>
      <c r="AB2297" s="32" t="str">
        <f t="shared" si="5"/>
        <v>octubre</v>
      </c>
    </row>
    <row r="2298" spans="1:28" ht="12.75">
      <c r="A2298" s="9" t="s">
        <v>83</v>
      </c>
      <c r="B2298" s="10">
        <v>44841</v>
      </c>
      <c r="C2298" s="11">
        <v>44845</v>
      </c>
      <c r="D2298" s="42">
        <v>41</v>
      </c>
      <c r="E2298" s="13" t="s">
        <v>2762</v>
      </c>
      <c r="F2298" s="13">
        <v>3025460</v>
      </c>
      <c r="G2298" s="14">
        <v>27309</v>
      </c>
      <c r="H2298" s="57">
        <v>8300</v>
      </c>
      <c r="I2298" s="16">
        <f t="shared" si="343"/>
        <v>226664700</v>
      </c>
      <c r="J2298" s="17">
        <v>56</v>
      </c>
      <c r="K2298" s="34">
        <v>4502428442</v>
      </c>
      <c r="L2298" s="126">
        <v>5084052227</v>
      </c>
      <c r="M2298" s="20">
        <v>5113647392</v>
      </c>
      <c r="N2298" s="23"/>
      <c r="O2298" s="22" t="s">
        <v>37</v>
      </c>
      <c r="P2298" s="23"/>
      <c r="Q2298" s="24" t="s">
        <v>82</v>
      </c>
      <c r="R2298" s="25">
        <v>44841</v>
      </c>
      <c r="S2298" s="28"/>
      <c r="T2298" s="35"/>
      <c r="U2298" s="35"/>
      <c r="V2298" s="29"/>
      <c r="W2298" s="35"/>
      <c r="X2298" s="29"/>
      <c r="Y2298" s="36"/>
      <c r="Z2298" s="29"/>
      <c r="AA2298" s="31">
        <f t="shared" si="1"/>
        <v>44841</v>
      </c>
      <c r="AB2298" s="32" t="str">
        <f t="shared" si="5"/>
        <v>octubre</v>
      </c>
    </row>
    <row r="2299" spans="1:28" ht="12.75">
      <c r="A2299" s="9" t="s">
        <v>28</v>
      </c>
      <c r="B2299" s="10">
        <v>44845</v>
      </c>
      <c r="C2299" s="11">
        <v>44845</v>
      </c>
      <c r="D2299" s="42">
        <v>41</v>
      </c>
      <c r="E2299" s="13" t="s">
        <v>2763</v>
      </c>
      <c r="F2299" s="13">
        <v>3025457</v>
      </c>
      <c r="G2299" s="14">
        <v>58667</v>
      </c>
      <c r="H2299" s="15">
        <v>8050</v>
      </c>
      <c r="I2299" s="16">
        <f t="shared" si="343"/>
        <v>472269350</v>
      </c>
      <c r="J2299" s="17">
        <v>112</v>
      </c>
      <c r="K2299" s="34">
        <v>4502427410</v>
      </c>
      <c r="L2299" s="126">
        <v>5084030409</v>
      </c>
      <c r="M2299" s="20">
        <v>5113650601</v>
      </c>
      <c r="N2299" s="128" t="s">
        <v>63</v>
      </c>
      <c r="O2299" s="124" t="s">
        <v>2764</v>
      </c>
      <c r="P2299" s="23"/>
      <c r="Q2299" s="24" t="s">
        <v>31</v>
      </c>
      <c r="R2299" s="25">
        <v>44842</v>
      </c>
      <c r="S2299" s="28">
        <v>4902361248</v>
      </c>
      <c r="T2299" s="27">
        <v>23921180</v>
      </c>
      <c r="U2299" s="28" t="s">
        <v>2765</v>
      </c>
      <c r="V2299" s="29">
        <v>5113644043</v>
      </c>
      <c r="W2299" s="28" t="s">
        <v>2766</v>
      </c>
      <c r="X2299" s="29">
        <v>5113644098</v>
      </c>
      <c r="Y2299" s="36"/>
      <c r="Z2299" s="29"/>
      <c r="AA2299" s="31">
        <f t="shared" si="1"/>
        <v>44842</v>
      </c>
      <c r="AB2299" s="32" t="str">
        <f t="shared" si="5"/>
        <v>octubre</v>
      </c>
    </row>
    <row r="2300" spans="1:28" ht="12.75">
      <c r="A2300" s="22" t="s">
        <v>404</v>
      </c>
      <c r="B2300" s="10">
        <v>44842</v>
      </c>
      <c r="C2300" s="11">
        <v>44845</v>
      </c>
      <c r="D2300" s="42">
        <v>41</v>
      </c>
      <c r="E2300" s="13" t="s">
        <v>2767</v>
      </c>
      <c r="F2300" s="13">
        <v>3025457</v>
      </c>
      <c r="G2300" s="37">
        <v>13003.5</v>
      </c>
      <c r="H2300" s="33">
        <v>8700</v>
      </c>
      <c r="I2300" s="16">
        <f t="shared" si="343"/>
        <v>113130450</v>
      </c>
      <c r="J2300" s="17">
        <v>30</v>
      </c>
      <c r="K2300" s="34">
        <v>4502425139</v>
      </c>
      <c r="L2300" s="126">
        <v>5084029002</v>
      </c>
      <c r="M2300" s="20">
        <v>5113645159</v>
      </c>
      <c r="N2300" s="128"/>
      <c r="O2300" s="9" t="s">
        <v>37</v>
      </c>
      <c r="P2300" s="23"/>
      <c r="Q2300" s="24" t="s">
        <v>31</v>
      </c>
      <c r="R2300" s="25">
        <v>44842</v>
      </c>
      <c r="S2300" s="28"/>
      <c r="T2300" s="35"/>
      <c r="U2300" s="35"/>
      <c r="V2300" s="29"/>
      <c r="W2300" s="35"/>
      <c r="X2300" s="29"/>
      <c r="Y2300" s="36"/>
      <c r="Z2300" s="29"/>
      <c r="AA2300" s="31">
        <f t="shared" si="1"/>
        <v>44842</v>
      </c>
      <c r="AB2300" s="32" t="str">
        <f t="shared" si="5"/>
        <v>octubre</v>
      </c>
    </row>
    <row r="2301" spans="1:28" ht="12.75">
      <c r="A2301" s="22" t="s">
        <v>404</v>
      </c>
      <c r="B2301" s="10">
        <v>44845</v>
      </c>
      <c r="C2301" s="11">
        <v>44845</v>
      </c>
      <c r="D2301" s="42">
        <v>41</v>
      </c>
      <c r="E2301" s="13" t="s">
        <v>617</v>
      </c>
      <c r="F2301" s="13">
        <v>3025457</v>
      </c>
      <c r="G2301" s="37">
        <v>13003.5</v>
      </c>
      <c r="H2301" s="33">
        <f>8700-8688.12</f>
        <v>11.8799999999992</v>
      </c>
      <c r="I2301" s="16">
        <f>-H2301*G2301</f>
        <v>-154481.5799999896</v>
      </c>
      <c r="J2301" s="17">
        <v>0</v>
      </c>
      <c r="K2301" s="34">
        <v>4502425139</v>
      </c>
      <c r="L2301" s="126">
        <v>5084029002</v>
      </c>
      <c r="M2301" s="20">
        <v>5113645161</v>
      </c>
      <c r="N2301" s="128"/>
      <c r="O2301" s="23"/>
      <c r="P2301" s="23"/>
      <c r="Q2301" s="24" t="s">
        <v>31</v>
      </c>
      <c r="R2301" s="25">
        <v>44842</v>
      </c>
      <c r="S2301" s="28"/>
      <c r="T2301" s="35"/>
      <c r="U2301" s="35"/>
      <c r="V2301" s="29"/>
      <c r="W2301" s="35"/>
      <c r="X2301" s="29"/>
      <c r="Y2301" s="36"/>
      <c r="Z2301" s="29"/>
      <c r="AA2301" s="31">
        <f t="shared" si="1"/>
        <v>44842</v>
      </c>
      <c r="AB2301" s="32" t="str">
        <f t="shared" si="5"/>
        <v>octubre</v>
      </c>
    </row>
    <row r="2302" spans="1:28" ht="12.75">
      <c r="A2302" s="9" t="s">
        <v>39</v>
      </c>
      <c r="B2302" s="10">
        <v>44842</v>
      </c>
      <c r="C2302" s="11">
        <v>44844</v>
      </c>
      <c r="D2302" s="42">
        <v>41</v>
      </c>
      <c r="E2302" s="13" t="s">
        <v>2768</v>
      </c>
      <c r="F2302" s="13">
        <v>3025457</v>
      </c>
      <c r="G2302" s="37">
        <v>12672.5</v>
      </c>
      <c r="H2302" s="33">
        <v>8700</v>
      </c>
      <c r="I2302" s="16">
        <f t="shared" ref="I2302:I2307" si="344">H2302*G2302</f>
        <v>110250750</v>
      </c>
      <c r="J2302" s="17">
        <v>30</v>
      </c>
      <c r="K2302" s="34">
        <v>4502425140</v>
      </c>
      <c r="L2302" s="126">
        <v>5084029003</v>
      </c>
      <c r="M2302" s="20">
        <v>5113645051</v>
      </c>
      <c r="N2302" s="128"/>
      <c r="O2302" s="9" t="s">
        <v>37</v>
      </c>
      <c r="P2302" s="23"/>
      <c r="Q2302" s="24" t="s">
        <v>31</v>
      </c>
      <c r="R2302" s="25">
        <v>44842</v>
      </c>
      <c r="S2302" s="28"/>
      <c r="T2302" s="35"/>
      <c r="U2302" s="35"/>
      <c r="V2302" s="29"/>
      <c r="W2302" s="35"/>
      <c r="X2302" s="29"/>
      <c r="Y2302" s="36"/>
      <c r="Z2302" s="29"/>
      <c r="AA2302" s="31">
        <f t="shared" si="1"/>
        <v>44842</v>
      </c>
      <c r="AB2302" s="32" t="str">
        <f t="shared" si="5"/>
        <v>octubre</v>
      </c>
    </row>
    <row r="2303" spans="1:28" ht="12.75">
      <c r="A2303" s="9" t="s">
        <v>39</v>
      </c>
      <c r="B2303" s="10">
        <v>44844</v>
      </c>
      <c r="C2303" s="11">
        <v>44844</v>
      </c>
      <c r="D2303" s="42">
        <v>41</v>
      </c>
      <c r="E2303" s="13" t="s">
        <v>559</v>
      </c>
      <c r="F2303" s="13">
        <v>3025457</v>
      </c>
      <c r="G2303" s="37">
        <v>12672.5</v>
      </c>
      <c r="H2303" s="33">
        <f>8731.66-8700</f>
        <v>31.659999999999854</v>
      </c>
      <c r="I2303" s="16">
        <f t="shared" si="344"/>
        <v>401211.34999999817</v>
      </c>
      <c r="J2303" s="17">
        <v>0</v>
      </c>
      <c r="K2303" s="34">
        <v>4502425140</v>
      </c>
      <c r="L2303" s="126">
        <v>5084029003</v>
      </c>
      <c r="M2303" s="20">
        <v>5113645055</v>
      </c>
      <c r="N2303" s="128"/>
      <c r="O2303" s="23"/>
      <c r="P2303" s="23"/>
      <c r="Q2303" s="24" t="s">
        <v>31</v>
      </c>
      <c r="R2303" s="25">
        <v>44842</v>
      </c>
      <c r="S2303" s="28"/>
      <c r="T2303" s="35"/>
      <c r="U2303" s="35"/>
      <c r="V2303" s="29"/>
      <c r="W2303" s="35"/>
      <c r="X2303" s="29"/>
      <c r="Y2303" s="36"/>
      <c r="Z2303" s="29"/>
      <c r="AA2303" s="31">
        <f t="shared" si="1"/>
        <v>44842</v>
      </c>
      <c r="AB2303" s="32" t="str">
        <f t="shared" si="5"/>
        <v>octubre</v>
      </c>
    </row>
    <row r="2304" spans="1:28" ht="12.75">
      <c r="A2304" s="9" t="s">
        <v>58</v>
      </c>
      <c r="B2304" s="10">
        <v>44847</v>
      </c>
      <c r="C2304" s="11">
        <v>44847</v>
      </c>
      <c r="D2304" s="42">
        <v>41</v>
      </c>
      <c r="E2304" s="13" t="s">
        <v>2769</v>
      </c>
      <c r="F2304" s="13">
        <v>3025457</v>
      </c>
      <c r="G2304" s="37">
        <v>34710.5</v>
      </c>
      <c r="H2304" s="33">
        <v>8700</v>
      </c>
      <c r="I2304" s="16">
        <f t="shared" si="344"/>
        <v>301981350</v>
      </c>
      <c r="J2304" s="17">
        <v>75</v>
      </c>
      <c r="K2304" s="34">
        <v>4502425141</v>
      </c>
      <c r="L2304" s="126">
        <v>5084029004</v>
      </c>
      <c r="M2304" s="20">
        <v>5113653915</v>
      </c>
      <c r="N2304" s="128"/>
      <c r="O2304" s="9" t="s">
        <v>37</v>
      </c>
      <c r="P2304" s="23"/>
      <c r="Q2304" s="24" t="s">
        <v>31</v>
      </c>
      <c r="R2304" s="25">
        <v>44842</v>
      </c>
      <c r="S2304" s="28"/>
      <c r="T2304" s="35"/>
      <c r="U2304" s="35"/>
      <c r="V2304" s="29"/>
      <c r="W2304" s="35"/>
      <c r="X2304" s="29"/>
      <c r="Y2304" s="36"/>
      <c r="Z2304" s="29"/>
      <c r="AA2304" s="31">
        <f t="shared" si="1"/>
        <v>44842</v>
      </c>
      <c r="AB2304" s="32" t="str">
        <f t="shared" si="5"/>
        <v>octubre</v>
      </c>
    </row>
    <row r="2305" spans="1:28" ht="12.75">
      <c r="A2305" s="9" t="s">
        <v>80</v>
      </c>
      <c r="B2305" s="10">
        <v>44843</v>
      </c>
      <c r="C2305" s="11"/>
      <c r="D2305" s="42">
        <v>41</v>
      </c>
      <c r="E2305" s="13" t="s">
        <v>2770</v>
      </c>
      <c r="F2305" s="13">
        <v>3025457</v>
      </c>
      <c r="G2305" s="14">
        <v>20349</v>
      </c>
      <c r="H2305" s="15">
        <v>8050</v>
      </c>
      <c r="I2305" s="16">
        <f t="shared" si="344"/>
        <v>163809450</v>
      </c>
      <c r="J2305" s="17">
        <v>42</v>
      </c>
      <c r="K2305" s="34">
        <v>4502427411</v>
      </c>
      <c r="L2305" s="126">
        <v>5084030410</v>
      </c>
      <c r="M2305" s="20">
        <v>5113650603</v>
      </c>
      <c r="N2305" s="23" t="s">
        <v>37</v>
      </c>
      <c r="O2305" s="124" t="s">
        <v>1057</v>
      </c>
      <c r="P2305" s="23"/>
      <c r="Q2305" s="24" t="s">
        <v>31</v>
      </c>
      <c r="R2305" s="25">
        <v>44843</v>
      </c>
      <c r="S2305" s="28">
        <v>4902361249</v>
      </c>
      <c r="T2305" s="28">
        <v>4792500</v>
      </c>
      <c r="U2305" s="28" t="s">
        <v>2771</v>
      </c>
      <c r="V2305" s="29">
        <v>5113645641</v>
      </c>
      <c r="W2305" s="35"/>
      <c r="X2305" s="29"/>
      <c r="Y2305" s="36"/>
      <c r="Z2305" s="29"/>
      <c r="AA2305" s="31">
        <f t="shared" si="1"/>
        <v>44843</v>
      </c>
      <c r="AB2305" s="32" t="str">
        <f t="shared" si="5"/>
        <v>octubre</v>
      </c>
    </row>
    <row r="2306" spans="1:28" ht="12.75">
      <c r="A2306" s="9" t="s">
        <v>80</v>
      </c>
      <c r="B2306" s="10">
        <v>44844</v>
      </c>
      <c r="C2306" s="11">
        <v>44846</v>
      </c>
      <c r="D2306" s="42">
        <v>41</v>
      </c>
      <c r="E2306" s="13">
        <v>1</v>
      </c>
      <c r="F2306" s="13">
        <v>3025457</v>
      </c>
      <c r="G2306" s="14">
        <v>20349</v>
      </c>
      <c r="H2306" s="15">
        <v>24</v>
      </c>
      <c r="I2306" s="16">
        <f t="shared" si="344"/>
        <v>488376</v>
      </c>
      <c r="J2306" s="17">
        <v>0</v>
      </c>
      <c r="K2306" s="34">
        <v>4502427411</v>
      </c>
      <c r="L2306" s="126">
        <v>5084030410</v>
      </c>
      <c r="M2306" s="20">
        <v>5113650604</v>
      </c>
      <c r="N2306" s="128"/>
      <c r="O2306" s="124"/>
      <c r="P2306" s="23"/>
      <c r="Q2306" s="24" t="s">
        <v>31</v>
      </c>
      <c r="R2306" s="25">
        <v>44843</v>
      </c>
      <c r="S2306" s="28"/>
      <c r="T2306" s="28"/>
      <c r="U2306" s="28" t="s">
        <v>2771</v>
      </c>
      <c r="V2306" s="29">
        <v>5113645641</v>
      </c>
      <c r="W2306" s="35"/>
      <c r="X2306" s="29"/>
      <c r="Y2306" s="36"/>
      <c r="Z2306" s="29"/>
      <c r="AA2306" s="31">
        <f t="shared" si="1"/>
        <v>44843</v>
      </c>
      <c r="AB2306" s="32" t="str">
        <f t="shared" si="5"/>
        <v>octubre</v>
      </c>
    </row>
    <row r="2307" spans="1:28" ht="12.75">
      <c r="A2307" s="9" t="s">
        <v>485</v>
      </c>
      <c r="B2307" s="10">
        <v>44845</v>
      </c>
      <c r="C2307" s="11"/>
      <c r="D2307" s="42">
        <v>41</v>
      </c>
      <c r="E2307" s="13" t="s">
        <v>2772</v>
      </c>
      <c r="F2307" s="13">
        <v>3025457</v>
      </c>
      <c r="G2307" s="37">
        <v>5683.5</v>
      </c>
      <c r="H2307" s="33">
        <v>8700</v>
      </c>
      <c r="I2307" s="16">
        <f t="shared" si="344"/>
        <v>49446450</v>
      </c>
      <c r="J2307" s="17">
        <v>14</v>
      </c>
      <c r="K2307" s="34">
        <v>4502425142</v>
      </c>
      <c r="L2307" s="126">
        <v>5084035756</v>
      </c>
      <c r="M2307" s="20">
        <v>5113647409</v>
      </c>
      <c r="N2307" s="128"/>
      <c r="O2307" s="9" t="s">
        <v>313</v>
      </c>
      <c r="P2307" s="23"/>
      <c r="Q2307" s="24" t="s">
        <v>31</v>
      </c>
      <c r="R2307" s="25">
        <v>44843</v>
      </c>
      <c r="S2307" s="28"/>
      <c r="T2307" s="35"/>
      <c r="U2307" s="35"/>
      <c r="V2307" s="29"/>
      <c r="W2307" s="35"/>
      <c r="X2307" s="29"/>
      <c r="Y2307" s="36"/>
      <c r="Z2307" s="29"/>
      <c r="AA2307" s="31">
        <f t="shared" si="1"/>
        <v>44843</v>
      </c>
      <c r="AB2307" s="32" t="str">
        <f t="shared" si="5"/>
        <v>octubre</v>
      </c>
    </row>
    <row r="2308" spans="1:28" ht="12.75">
      <c r="A2308" s="9" t="s">
        <v>485</v>
      </c>
      <c r="B2308" s="10">
        <v>44845</v>
      </c>
      <c r="C2308" s="11"/>
      <c r="D2308" s="42">
        <v>41</v>
      </c>
      <c r="E2308" s="13" t="s">
        <v>244</v>
      </c>
      <c r="F2308" s="13">
        <v>3025457</v>
      </c>
      <c r="G2308" s="37">
        <v>5683.5</v>
      </c>
      <c r="H2308" s="33">
        <f>8700-8672.38</f>
        <v>27.6200000000008</v>
      </c>
      <c r="I2308" s="16">
        <f>-H2308*G2308</f>
        <v>-156978.27000000456</v>
      </c>
      <c r="J2308" s="17">
        <v>0</v>
      </c>
      <c r="K2308" s="34">
        <v>4502425142</v>
      </c>
      <c r="L2308" s="126">
        <v>5084035756</v>
      </c>
      <c r="M2308" s="20">
        <v>5113647432</v>
      </c>
      <c r="N2308" s="128"/>
      <c r="O2308" s="23"/>
      <c r="P2308" s="23"/>
      <c r="Q2308" s="24" t="s">
        <v>31</v>
      </c>
      <c r="R2308" s="25">
        <v>44843</v>
      </c>
      <c r="S2308" s="28"/>
      <c r="T2308" s="35"/>
      <c r="U2308" s="35"/>
      <c r="V2308" s="29"/>
      <c r="W2308" s="35"/>
      <c r="X2308" s="29"/>
      <c r="Y2308" s="36"/>
      <c r="Z2308" s="29"/>
      <c r="AA2308" s="31">
        <f t="shared" si="1"/>
        <v>44843</v>
      </c>
      <c r="AB2308" s="32" t="str">
        <f t="shared" si="5"/>
        <v>octubre</v>
      </c>
    </row>
    <row r="2309" spans="1:28" ht="12.75">
      <c r="A2309" s="22" t="s">
        <v>404</v>
      </c>
      <c r="B2309" s="10">
        <v>44843</v>
      </c>
      <c r="C2309" s="11">
        <v>44846</v>
      </c>
      <c r="D2309" s="42">
        <v>41</v>
      </c>
      <c r="E2309" s="13" t="s">
        <v>2773</v>
      </c>
      <c r="F2309" s="13">
        <v>3025457</v>
      </c>
      <c r="G2309" s="37">
        <v>19546.5</v>
      </c>
      <c r="H2309" s="33">
        <v>8700</v>
      </c>
      <c r="I2309" s="16">
        <f>H2309*G2309</f>
        <v>170054550</v>
      </c>
      <c r="J2309" s="17">
        <v>42</v>
      </c>
      <c r="K2309" s="34">
        <v>4502425528</v>
      </c>
      <c r="L2309" s="126">
        <v>5084035757</v>
      </c>
      <c r="M2309" s="20">
        <v>5113649822</v>
      </c>
      <c r="N2309" s="128"/>
      <c r="O2309" s="9" t="s">
        <v>37</v>
      </c>
      <c r="P2309" s="23"/>
      <c r="Q2309" s="24" t="s">
        <v>31</v>
      </c>
      <c r="R2309" s="25">
        <v>44843</v>
      </c>
      <c r="S2309" s="28"/>
      <c r="T2309" s="35"/>
      <c r="U2309" s="35"/>
      <c r="V2309" s="29"/>
      <c r="W2309" s="35"/>
      <c r="X2309" s="29"/>
      <c r="Y2309" s="36"/>
      <c r="Z2309" s="29"/>
      <c r="AA2309" s="31">
        <f t="shared" si="1"/>
        <v>44843</v>
      </c>
      <c r="AB2309" s="32" t="str">
        <f t="shared" si="5"/>
        <v>octubre</v>
      </c>
    </row>
    <row r="2310" spans="1:28" ht="12.75">
      <c r="A2310" s="22" t="s">
        <v>404</v>
      </c>
      <c r="B2310" s="10">
        <v>44845</v>
      </c>
      <c r="C2310" s="11">
        <v>44846</v>
      </c>
      <c r="D2310" s="42">
        <v>41</v>
      </c>
      <c r="E2310" s="13" t="s">
        <v>648</v>
      </c>
      <c r="F2310" s="13">
        <v>3025457</v>
      </c>
      <c r="G2310" s="37">
        <v>19546.5</v>
      </c>
      <c r="H2310" s="33">
        <v>100</v>
      </c>
      <c r="I2310" s="16">
        <f>-H2310*G2310</f>
        <v>-1954650</v>
      </c>
      <c r="J2310" s="17">
        <v>0</v>
      </c>
      <c r="K2310" s="34">
        <v>4502425528</v>
      </c>
      <c r="L2310" s="126">
        <v>5084035757</v>
      </c>
      <c r="M2310" s="20">
        <v>5113649823</v>
      </c>
      <c r="N2310" s="128"/>
      <c r="O2310" s="23"/>
      <c r="P2310" s="23"/>
      <c r="Q2310" s="24" t="s">
        <v>31</v>
      </c>
      <c r="R2310" s="25">
        <v>44843</v>
      </c>
      <c r="S2310" s="28"/>
      <c r="T2310" s="35"/>
      <c r="U2310" s="35"/>
      <c r="V2310" s="29"/>
      <c r="W2310" s="35"/>
      <c r="X2310" s="29"/>
      <c r="Y2310" s="36"/>
      <c r="Z2310" s="29"/>
      <c r="AA2310" s="31">
        <f t="shared" si="1"/>
        <v>44843</v>
      </c>
      <c r="AB2310" s="32" t="str">
        <f t="shared" si="5"/>
        <v>octubre</v>
      </c>
    </row>
    <row r="2311" spans="1:28" ht="12.75">
      <c r="A2311" s="22" t="s">
        <v>404</v>
      </c>
      <c r="B2311" s="10">
        <v>44843</v>
      </c>
      <c r="C2311" s="11">
        <v>44846</v>
      </c>
      <c r="D2311" s="42">
        <v>41</v>
      </c>
      <c r="E2311" s="13" t="s">
        <v>2774</v>
      </c>
      <c r="F2311" s="13">
        <v>3025457</v>
      </c>
      <c r="G2311" s="37">
        <v>6778.5</v>
      </c>
      <c r="H2311" s="33">
        <v>8700</v>
      </c>
      <c r="I2311" s="16">
        <f>H2311*G2311</f>
        <v>58972950</v>
      </c>
      <c r="J2311" s="17">
        <v>15</v>
      </c>
      <c r="K2311" s="34">
        <v>4502425528</v>
      </c>
      <c r="L2311" s="126">
        <v>5084035757</v>
      </c>
      <c r="M2311" s="20">
        <v>5113649826</v>
      </c>
      <c r="N2311" s="128"/>
      <c r="O2311" s="9" t="s">
        <v>37</v>
      </c>
      <c r="P2311" s="23"/>
      <c r="Q2311" s="24" t="s">
        <v>31</v>
      </c>
      <c r="R2311" s="25">
        <v>44843</v>
      </c>
      <c r="S2311" s="28"/>
      <c r="T2311" s="35"/>
      <c r="U2311" s="35"/>
      <c r="V2311" s="29"/>
      <c r="W2311" s="35"/>
      <c r="X2311" s="29"/>
      <c r="Y2311" s="36"/>
      <c r="Z2311" s="29"/>
      <c r="AA2311" s="31">
        <f t="shared" si="1"/>
        <v>44843</v>
      </c>
      <c r="AB2311" s="32" t="str">
        <f t="shared" si="5"/>
        <v>octubre</v>
      </c>
    </row>
    <row r="2312" spans="1:28" ht="12.75">
      <c r="A2312" s="22" t="s">
        <v>404</v>
      </c>
      <c r="B2312" s="10">
        <v>44845</v>
      </c>
      <c r="C2312" s="11">
        <v>44846</v>
      </c>
      <c r="D2312" s="42">
        <v>41</v>
      </c>
      <c r="E2312" s="13" t="s">
        <v>660</v>
      </c>
      <c r="F2312" s="13">
        <v>3025457</v>
      </c>
      <c r="G2312" s="37">
        <v>6778.5</v>
      </c>
      <c r="H2312" s="33">
        <f>8700-8624</f>
        <v>76</v>
      </c>
      <c r="I2312" s="16">
        <f>-H2312*G2312</f>
        <v>-515166</v>
      </c>
      <c r="J2312" s="17">
        <v>0</v>
      </c>
      <c r="K2312" s="34">
        <v>4502425528</v>
      </c>
      <c r="L2312" s="126">
        <v>5084035757</v>
      </c>
      <c r="M2312" s="20">
        <v>5113649888</v>
      </c>
      <c r="N2312" s="128"/>
      <c r="O2312" s="23"/>
      <c r="P2312" s="23"/>
      <c r="Q2312" s="24" t="s">
        <v>31</v>
      </c>
      <c r="R2312" s="25">
        <v>44843</v>
      </c>
      <c r="S2312" s="28"/>
      <c r="T2312" s="35"/>
      <c r="U2312" s="35"/>
      <c r="V2312" s="29"/>
      <c r="W2312" s="35"/>
      <c r="X2312" s="29"/>
      <c r="Y2312" s="36"/>
      <c r="Z2312" s="29"/>
      <c r="AA2312" s="31">
        <f t="shared" si="1"/>
        <v>44843</v>
      </c>
      <c r="AB2312" s="32" t="str">
        <f t="shared" si="5"/>
        <v>octubre</v>
      </c>
    </row>
    <row r="2313" spans="1:28" ht="12.75">
      <c r="A2313" s="9" t="s">
        <v>58</v>
      </c>
      <c r="B2313" s="10">
        <v>44847</v>
      </c>
      <c r="C2313" s="11">
        <v>44847</v>
      </c>
      <c r="D2313" s="42">
        <v>41</v>
      </c>
      <c r="E2313" s="13" t="s">
        <v>2775</v>
      </c>
      <c r="F2313" s="13">
        <v>3025457</v>
      </c>
      <c r="G2313" s="37">
        <v>5723</v>
      </c>
      <c r="H2313" s="33">
        <v>8700</v>
      </c>
      <c r="I2313" s="16">
        <f t="shared" ref="I2313:I2321" si="345">H2313*G2313</f>
        <v>49790100</v>
      </c>
      <c r="J2313" s="17">
        <v>14</v>
      </c>
      <c r="K2313" s="34">
        <v>4502425530</v>
      </c>
      <c r="L2313" s="126">
        <v>5084035798</v>
      </c>
      <c r="M2313" s="20">
        <v>5113653916</v>
      </c>
      <c r="N2313" s="128"/>
      <c r="O2313" s="9" t="s">
        <v>37</v>
      </c>
      <c r="P2313" s="23"/>
      <c r="Q2313" s="24" t="s">
        <v>31</v>
      </c>
      <c r="R2313" s="25">
        <v>44843</v>
      </c>
      <c r="S2313" s="28"/>
      <c r="T2313" s="35"/>
      <c r="U2313" s="35"/>
      <c r="V2313" s="29"/>
      <c r="W2313" s="35"/>
      <c r="X2313" s="29"/>
      <c r="Y2313" s="36"/>
      <c r="Z2313" s="29"/>
      <c r="AA2313" s="31">
        <f t="shared" si="1"/>
        <v>44843</v>
      </c>
      <c r="AB2313" s="32" t="str">
        <f t="shared" si="5"/>
        <v>octubre</v>
      </c>
    </row>
    <row r="2314" spans="1:28" ht="12.75">
      <c r="A2314" s="9" t="s">
        <v>58</v>
      </c>
      <c r="B2314" s="10">
        <v>44847</v>
      </c>
      <c r="C2314" s="11">
        <v>44847</v>
      </c>
      <c r="D2314" s="42">
        <v>41</v>
      </c>
      <c r="E2314" s="13" t="s">
        <v>2775</v>
      </c>
      <c r="F2314" s="13">
        <v>3025459</v>
      </c>
      <c r="G2314" s="37">
        <v>26601.5</v>
      </c>
      <c r="H2314" s="33">
        <v>8700</v>
      </c>
      <c r="I2314" s="16">
        <f t="shared" si="345"/>
        <v>231433050</v>
      </c>
      <c r="J2314" s="17">
        <v>61</v>
      </c>
      <c r="K2314" s="34">
        <v>4502425143</v>
      </c>
      <c r="L2314" s="126">
        <v>5084035798</v>
      </c>
      <c r="M2314" s="20">
        <v>5113653916</v>
      </c>
      <c r="N2314" s="128"/>
      <c r="O2314" s="9" t="s">
        <v>37</v>
      </c>
      <c r="P2314" s="23"/>
      <c r="Q2314" s="24" t="s">
        <v>31</v>
      </c>
      <c r="R2314" s="25">
        <v>44843</v>
      </c>
      <c r="S2314" s="28"/>
      <c r="T2314" s="35"/>
      <c r="U2314" s="35"/>
      <c r="V2314" s="29"/>
      <c r="W2314" s="35"/>
      <c r="X2314" s="29"/>
      <c r="Y2314" s="36"/>
      <c r="Z2314" s="29"/>
      <c r="AA2314" s="31">
        <f t="shared" si="1"/>
        <v>44843</v>
      </c>
      <c r="AB2314" s="32" t="str">
        <f t="shared" si="5"/>
        <v>octubre</v>
      </c>
    </row>
    <row r="2315" spans="1:28" ht="12.75">
      <c r="A2315" s="9" t="s">
        <v>85</v>
      </c>
      <c r="B2315" s="10">
        <v>44844</v>
      </c>
      <c r="C2315" s="11">
        <v>44846</v>
      </c>
      <c r="D2315" s="42">
        <v>41</v>
      </c>
      <c r="E2315" s="13" t="s">
        <v>2776</v>
      </c>
      <c r="F2315" s="13">
        <v>3025460</v>
      </c>
      <c r="G2315" s="14">
        <v>25846</v>
      </c>
      <c r="H2315" s="57">
        <v>8200</v>
      </c>
      <c r="I2315" s="16">
        <f t="shared" si="345"/>
        <v>211937200</v>
      </c>
      <c r="J2315" s="17">
        <v>56</v>
      </c>
      <c r="K2315" s="34">
        <v>4502429602</v>
      </c>
      <c r="L2315" s="126">
        <v>5084072964</v>
      </c>
      <c r="M2315" s="20">
        <v>5113658418</v>
      </c>
      <c r="N2315" s="128"/>
      <c r="O2315" s="23"/>
      <c r="P2315" s="23" t="s">
        <v>63</v>
      </c>
      <c r="Q2315" s="24" t="s">
        <v>82</v>
      </c>
      <c r="R2315" s="25">
        <v>44843</v>
      </c>
      <c r="S2315" s="28"/>
      <c r="T2315" s="35"/>
      <c r="U2315" s="35"/>
      <c r="V2315" s="29"/>
      <c r="W2315" s="35"/>
      <c r="X2315" s="29"/>
      <c r="Y2315" s="36"/>
      <c r="Z2315" s="29"/>
      <c r="AA2315" s="31">
        <f t="shared" si="1"/>
        <v>44843</v>
      </c>
      <c r="AB2315" s="32" t="str">
        <f t="shared" si="5"/>
        <v>octubre</v>
      </c>
    </row>
    <row r="2316" spans="1:28" ht="12.75">
      <c r="A2316" s="9" t="s">
        <v>85</v>
      </c>
      <c r="B2316" s="10">
        <v>44844</v>
      </c>
      <c r="C2316" s="11">
        <v>44844</v>
      </c>
      <c r="D2316" s="42">
        <v>41</v>
      </c>
      <c r="E2316" s="13" t="s">
        <v>2777</v>
      </c>
      <c r="F2316" s="13">
        <v>3025460</v>
      </c>
      <c r="G2316" s="14">
        <v>25846</v>
      </c>
      <c r="H2316" s="57">
        <v>24</v>
      </c>
      <c r="I2316" s="16">
        <f t="shared" si="345"/>
        <v>620304</v>
      </c>
      <c r="J2316" s="17">
        <v>0</v>
      </c>
      <c r="K2316" s="34">
        <v>4502429602</v>
      </c>
      <c r="L2316" s="126">
        <v>5084072964</v>
      </c>
      <c r="M2316" s="20">
        <v>5113658420</v>
      </c>
      <c r="N2316" s="128"/>
      <c r="O2316" s="23"/>
      <c r="P2316" s="23"/>
      <c r="Q2316" s="24" t="s">
        <v>82</v>
      </c>
      <c r="R2316" s="25">
        <v>44843</v>
      </c>
      <c r="S2316" s="28"/>
      <c r="T2316" s="35"/>
      <c r="U2316" s="35"/>
      <c r="V2316" s="29"/>
      <c r="W2316" s="35"/>
      <c r="X2316" s="29"/>
      <c r="Y2316" s="36"/>
      <c r="Z2316" s="29"/>
      <c r="AA2316" s="31">
        <f t="shared" si="1"/>
        <v>44843</v>
      </c>
      <c r="AB2316" s="32" t="str">
        <f t="shared" si="5"/>
        <v>octubre</v>
      </c>
    </row>
    <row r="2317" spans="1:28" ht="12.75">
      <c r="A2317" s="9" t="s">
        <v>199</v>
      </c>
      <c r="B2317" s="10">
        <v>44843</v>
      </c>
      <c r="C2317" s="11">
        <v>44847</v>
      </c>
      <c r="D2317" s="42">
        <v>41</v>
      </c>
      <c r="E2317" s="13" t="s">
        <v>2778</v>
      </c>
      <c r="F2317" s="13">
        <v>3025460</v>
      </c>
      <c r="G2317" s="14">
        <v>15370</v>
      </c>
      <c r="H2317" s="57">
        <v>8200</v>
      </c>
      <c r="I2317" s="16">
        <f t="shared" si="345"/>
        <v>126034000</v>
      </c>
      <c r="J2317" s="17">
        <v>30</v>
      </c>
      <c r="K2317" s="34">
        <v>4502429611</v>
      </c>
      <c r="L2317" s="126">
        <v>5084073018</v>
      </c>
      <c r="M2317" s="20">
        <v>5113650605</v>
      </c>
      <c r="N2317" s="128"/>
      <c r="O2317" s="23" t="s">
        <v>63</v>
      </c>
      <c r="P2317" s="23"/>
      <c r="Q2317" s="24" t="s">
        <v>82</v>
      </c>
      <c r="R2317" s="25">
        <v>44843</v>
      </c>
      <c r="S2317" s="28"/>
      <c r="T2317" s="35"/>
      <c r="U2317" s="35"/>
      <c r="V2317" s="29"/>
      <c r="W2317" s="35"/>
      <c r="X2317" s="29"/>
      <c r="Y2317" s="36"/>
      <c r="Z2317" s="29"/>
      <c r="AA2317" s="31">
        <f t="shared" si="1"/>
        <v>44843</v>
      </c>
      <c r="AB2317" s="32" t="str">
        <f t="shared" si="5"/>
        <v>octubre</v>
      </c>
    </row>
    <row r="2318" spans="1:28" ht="12.75">
      <c r="A2318" s="9" t="s">
        <v>314</v>
      </c>
      <c r="B2318" s="10">
        <v>44854</v>
      </c>
      <c r="C2318" s="11">
        <v>44854</v>
      </c>
      <c r="D2318" s="42">
        <v>41</v>
      </c>
      <c r="E2318" s="13" t="s">
        <v>95</v>
      </c>
      <c r="F2318" s="13">
        <v>3025460</v>
      </c>
      <c r="G2318" s="14">
        <v>6585</v>
      </c>
      <c r="H2318" s="57">
        <v>8250</v>
      </c>
      <c r="I2318" s="16">
        <f t="shared" si="345"/>
        <v>54326250</v>
      </c>
      <c r="J2318" s="17">
        <v>14</v>
      </c>
      <c r="K2318" s="34">
        <v>4502429615</v>
      </c>
      <c r="L2318" s="126">
        <v>5084073071</v>
      </c>
      <c r="M2318" s="20">
        <v>5113670130</v>
      </c>
      <c r="N2318" s="128"/>
      <c r="O2318" s="9" t="s">
        <v>63</v>
      </c>
      <c r="P2318" s="23"/>
      <c r="Q2318" s="24" t="s">
        <v>82</v>
      </c>
      <c r="R2318" s="25">
        <v>44843</v>
      </c>
      <c r="S2318" s="28"/>
      <c r="T2318" s="35"/>
      <c r="U2318" s="35"/>
      <c r="V2318" s="29"/>
      <c r="W2318" s="35"/>
      <c r="X2318" s="29"/>
      <c r="Y2318" s="36"/>
      <c r="Z2318" s="29"/>
      <c r="AA2318" s="31">
        <f t="shared" si="1"/>
        <v>44843</v>
      </c>
      <c r="AB2318" s="32" t="str">
        <f t="shared" si="5"/>
        <v>octubre</v>
      </c>
    </row>
    <row r="2319" spans="1:28" ht="12.75">
      <c r="A2319" s="9" t="s">
        <v>314</v>
      </c>
      <c r="B2319" s="10">
        <v>44862</v>
      </c>
      <c r="C2319" s="11">
        <v>44863</v>
      </c>
      <c r="D2319" s="42">
        <v>41</v>
      </c>
      <c r="E2319" s="13" t="s">
        <v>445</v>
      </c>
      <c r="F2319" s="13">
        <v>3025460</v>
      </c>
      <c r="G2319" s="14">
        <v>6585</v>
      </c>
      <c r="H2319" s="57">
        <v>24</v>
      </c>
      <c r="I2319" s="16">
        <f t="shared" si="345"/>
        <v>158040</v>
      </c>
      <c r="J2319" s="17">
        <v>0</v>
      </c>
      <c r="K2319" s="34">
        <v>4502429615</v>
      </c>
      <c r="L2319" s="126">
        <v>5084073071</v>
      </c>
      <c r="M2319" s="20">
        <v>5113692939</v>
      </c>
      <c r="N2319" s="128"/>
      <c r="O2319" s="23"/>
      <c r="P2319" s="23"/>
      <c r="Q2319" s="24" t="s">
        <v>82</v>
      </c>
      <c r="R2319" s="25">
        <v>44843</v>
      </c>
      <c r="S2319" s="28"/>
      <c r="T2319" s="35"/>
      <c r="U2319" s="35"/>
      <c r="V2319" s="29"/>
      <c r="W2319" s="35"/>
      <c r="X2319" s="29"/>
      <c r="Y2319" s="36"/>
      <c r="Z2319" s="29"/>
      <c r="AA2319" s="31">
        <f t="shared" si="1"/>
        <v>44843</v>
      </c>
      <c r="AB2319" s="32" t="str">
        <f t="shared" si="5"/>
        <v>octubre</v>
      </c>
    </row>
    <row r="2320" spans="1:28" ht="12.75">
      <c r="A2320" s="9" t="s">
        <v>116</v>
      </c>
      <c r="B2320" s="10">
        <v>44844</v>
      </c>
      <c r="C2320" s="11"/>
      <c r="D2320" s="42">
        <v>41</v>
      </c>
      <c r="E2320" s="13" t="s">
        <v>2779</v>
      </c>
      <c r="F2320" s="13">
        <v>3025457</v>
      </c>
      <c r="G2320" s="14">
        <v>145392</v>
      </c>
      <c r="H2320" s="57">
        <v>9335</v>
      </c>
      <c r="I2320" s="16">
        <f t="shared" si="345"/>
        <v>1357234320</v>
      </c>
      <c r="J2320" s="17">
        <v>280</v>
      </c>
      <c r="K2320" s="34">
        <v>4502428887</v>
      </c>
      <c r="L2320" s="126">
        <v>5084058569</v>
      </c>
      <c r="M2320" s="20">
        <v>5113644930</v>
      </c>
      <c r="N2320" s="23" t="s">
        <v>37</v>
      </c>
      <c r="O2320" s="124" t="s">
        <v>2780</v>
      </c>
      <c r="P2320" s="23"/>
      <c r="Q2320" s="111" t="s">
        <v>357</v>
      </c>
      <c r="R2320" s="25">
        <v>44843</v>
      </c>
      <c r="S2320" s="28">
        <v>4902365169</v>
      </c>
      <c r="T2320" s="35">
        <v>6120000</v>
      </c>
      <c r="U2320" s="28" t="s">
        <v>2781</v>
      </c>
      <c r="V2320" s="29">
        <v>5113652810</v>
      </c>
      <c r="W2320" s="35"/>
      <c r="X2320" s="29"/>
      <c r="Y2320" s="36"/>
      <c r="Z2320" s="29"/>
      <c r="AA2320" s="31">
        <f t="shared" si="1"/>
        <v>44843</v>
      </c>
      <c r="AB2320" s="32" t="str">
        <f t="shared" si="5"/>
        <v>octubre</v>
      </c>
    </row>
    <row r="2321" spans="1:28" ht="12.75">
      <c r="A2321" s="22" t="s">
        <v>774</v>
      </c>
      <c r="B2321" s="10">
        <v>44848</v>
      </c>
      <c r="C2321" s="11">
        <v>44848</v>
      </c>
      <c r="D2321" s="42">
        <v>41</v>
      </c>
      <c r="E2321" s="13" t="s">
        <v>985</v>
      </c>
      <c r="F2321" s="13">
        <v>3025457</v>
      </c>
      <c r="G2321" s="37">
        <v>18870.5</v>
      </c>
      <c r="H2321" s="33">
        <v>8350</v>
      </c>
      <c r="I2321" s="16">
        <f t="shared" si="345"/>
        <v>157568675</v>
      </c>
      <c r="J2321" s="17">
        <v>45</v>
      </c>
      <c r="K2321" s="34">
        <v>4502425144</v>
      </c>
      <c r="L2321" s="126">
        <v>5084055543</v>
      </c>
      <c r="M2321" s="20">
        <v>5113656701</v>
      </c>
      <c r="N2321" s="128"/>
      <c r="O2321" s="9" t="s">
        <v>63</v>
      </c>
      <c r="P2321" s="23"/>
      <c r="Q2321" s="24" t="s">
        <v>31</v>
      </c>
      <c r="R2321" s="25">
        <v>44844</v>
      </c>
      <c r="S2321" s="28"/>
      <c r="T2321" s="35"/>
      <c r="U2321" s="35"/>
      <c r="V2321" s="29"/>
      <c r="W2321" s="35"/>
      <c r="X2321" s="29"/>
      <c r="Y2321" s="36"/>
      <c r="Z2321" s="29"/>
      <c r="AA2321" s="31">
        <f t="shared" si="1"/>
        <v>44844</v>
      </c>
      <c r="AB2321" s="32" t="str">
        <f t="shared" si="5"/>
        <v>octubre</v>
      </c>
    </row>
    <row r="2322" spans="1:28" ht="12.75">
      <c r="A2322" s="22" t="s">
        <v>774</v>
      </c>
      <c r="B2322" s="10">
        <v>44848</v>
      </c>
      <c r="C2322" s="11">
        <v>44848</v>
      </c>
      <c r="D2322" s="42">
        <v>41</v>
      </c>
      <c r="E2322" s="13" t="s">
        <v>667</v>
      </c>
      <c r="F2322" s="13">
        <v>3025457</v>
      </c>
      <c r="G2322" s="37">
        <v>18870.5</v>
      </c>
      <c r="H2322" s="33">
        <f>8350-8287.67</f>
        <v>62.329999999999927</v>
      </c>
      <c r="I2322" s="16">
        <f>-H2322*G2322</f>
        <v>-1176198.2649999987</v>
      </c>
      <c r="J2322" s="17">
        <v>0</v>
      </c>
      <c r="K2322" s="34">
        <v>4502425144</v>
      </c>
      <c r="L2322" s="126">
        <v>5084055543</v>
      </c>
      <c r="M2322" s="20">
        <v>5113656703</v>
      </c>
      <c r="N2322" s="128"/>
      <c r="O2322" s="23"/>
      <c r="P2322" s="23"/>
      <c r="Q2322" s="24" t="s">
        <v>31</v>
      </c>
      <c r="R2322" s="25">
        <v>44844</v>
      </c>
      <c r="S2322" s="28"/>
      <c r="T2322" s="35"/>
      <c r="U2322" s="35"/>
      <c r="V2322" s="29"/>
      <c r="W2322" s="35"/>
      <c r="X2322" s="29"/>
      <c r="Y2322" s="36"/>
      <c r="Z2322" s="29"/>
      <c r="AA2322" s="31">
        <f t="shared" si="1"/>
        <v>44844</v>
      </c>
      <c r="AB2322" s="32" t="str">
        <f t="shared" si="5"/>
        <v>octubre</v>
      </c>
    </row>
    <row r="2323" spans="1:28" ht="12.75">
      <c r="A2323" s="9" t="s">
        <v>1923</v>
      </c>
      <c r="B2323" s="10">
        <v>44844</v>
      </c>
      <c r="C2323" s="11">
        <v>44847</v>
      </c>
      <c r="D2323" s="42">
        <v>41</v>
      </c>
      <c r="E2323" s="13" t="s">
        <v>2782</v>
      </c>
      <c r="F2323" s="13">
        <v>3025457</v>
      </c>
      <c r="G2323" s="37">
        <v>33527.5</v>
      </c>
      <c r="H2323" s="33">
        <v>8150</v>
      </c>
      <c r="I2323" s="16">
        <f>H2323*G2323</f>
        <v>273249125</v>
      </c>
      <c r="J2323" s="17">
        <v>75</v>
      </c>
      <c r="K2323" s="34">
        <v>4502425145</v>
      </c>
      <c r="L2323" s="126">
        <v>5084054522</v>
      </c>
      <c r="M2323" s="20">
        <v>5113673436</v>
      </c>
      <c r="N2323" s="128"/>
      <c r="O2323" s="9" t="s">
        <v>63</v>
      </c>
      <c r="P2323" s="23"/>
      <c r="Q2323" s="24" t="s">
        <v>31</v>
      </c>
      <c r="R2323" s="25">
        <v>44844</v>
      </c>
      <c r="S2323" s="28"/>
      <c r="T2323" s="35"/>
      <c r="U2323" s="35"/>
      <c r="V2323" s="29"/>
      <c r="W2323" s="35"/>
      <c r="X2323" s="29"/>
      <c r="Y2323" s="36"/>
      <c r="Z2323" s="29"/>
      <c r="AA2323" s="31">
        <f t="shared" si="1"/>
        <v>44844</v>
      </c>
      <c r="AB2323" s="32" t="str">
        <f t="shared" si="5"/>
        <v>octubre</v>
      </c>
    </row>
    <row r="2324" spans="1:28" ht="12.75">
      <c r="A2324" s="9" t="s">
        <v>1923</v>
      </c>
      <c r="B2324" s="10">
        <v>44844</v>
      </c>
      <c r="C2324" s="11">
        <v>44847</v>
      </c>
      <c r="D2324" s="42">
        <v>41</v>
      </c>
      <c r="E2324" s="13" t="s">
        <v>397</v>
      </c>
      <c r="F2324" s="13">
        <v>3025457</v>
      </c>
      <c r="G2324" s="37">
        <v>33527.5</v>
      </c>
      <c r="H2324" s="33">
        <f>8150-8092.23</f>
        <v>57.770000000000437</v>
      </c>
      <c r="I2324" s="16">
        <f>-H2324*G2324</f>
        <v>-1936883.6750000147</v>
      </c>
      <c r="J2324" s="17">
        <v>0</v>
      </c>
      <c r="K2324" s="34">
        <v>4502425145</v>
      </c>
      <c r="L2324" s="126">
        <v>5084054522</v>
      </c>
      <c r="M2324" s="20">
        <v>5113673777</v>
      </c>
      <c r="N2324" s="128"/>
      <c r="O2324" s="23"/>
      <c r="P2324" s="23"/>
      <c r="Q2324" s="24" t="s">
        <v>31</v>
      </c>
      <c r="R2324" s="25">
        <v>44844</v>
      </c>
      <c r="S2324" s="28"/>
      <c r="T2324" s="35"/>
      <c r="U2324" s="35"/>
      <c r="V2324" s="29"/>
      <c r="W2324" s="35"/>
      <c r="X2324" s="29"/>
      <c r="Y2324" s="36"/>
      <c r="Z2324" s="29"/>
      <c r="AA2324" s="31">
        <f t="shared" si="1"/>
        <v>44844</v>
      </c>
      <c r="AB2324" s="32" t="str">
        <f t="shared" si="5"/>
        <v>octubre</v>
      </c>
    </row>
    <row r="2325" spans="1:28" ht="12.75">
      <c r="A2325" s="22" t="s">
        <v>719</v>
      </c>
      <c r="B2325" s="10">
        <v>44846</v>
      </c>
      <c r="C2325" s="11">
        <v>44847</v>
      </c>
      <c r="D2325" s="42">
        <v>41</v>
      </c>
      <c r="E2325" s="13" t="s">
        <v>2783</v>
      </c>
      <c r="F2325" s="13">
        <v>3025457</v>
      </c>
      <c r="G2325" s="37">
        <v>6609.5</v>
      </c>
      <c r="H2325" s="33">
        <v>8350</v>
      </c>
      <c r="I2325" s="16">
        <f>H2325*G2325</f>
        <v>55189325</v>
      </c>
      <c r="J2325" s="17">
        <v>14</v>
      </c>
      <c r="K2325" s="34">
        <v>4502425146</v>
      </c>
      <c r="L2325" s="126">
        <v>5084054523</v>
      </c>
      <c r="M2325" s="20">
        <v>5113650859</v>
      </c>
      <c r="N2325" s="128"/>
      <c r="O2325" s="9" t="s">
        <v>37</v>
      </c>
      <c r="P2325" s="23"/>
      <c r="Q2325" s="24" t="s">
        <v>31</v>
      </c>
      <c r="R2325" s="25">
        <v>44844</v>
      </c>
      <c r="S2325" s="28"/>
      <c r="T2325" s="35"/>
      <c r="U2325" s="35"/>
      <c r="V2325" s="29"/>
      <c r="W2325" s="35"/>
      <c r="X2325" s="29"/>
      <c r="Y2325" s="36"/>
      <c r="Z2325" s="29"/>
      <c r="AA2325" s="31">
        <f t="shared" si="1"/>
        <v>44844</v>
      </c>
      <c r="AB2325" s="32" t="str">
        <f t="shared" si="5"/>
        <v>octubre</v>
      </c>
    </row>
    <row r="2326" spans="1:28" ht="12.75">
      <c r="A2326" s="22" t="s">
        <v>719</v>
      </c>
      <c r="B2326" s="10">
        <v>44844</v>
      </c>
      <c r="C2326" s="11">
        <v>44847</v>
      </c>
      <c r="D2326" s="42">
        <v>41</v>
      </c>
      <c r="E2326" s="13" t="s">
        <v>537</v>
      </c>
      <c r="F2326" s="13">
        <v>3025457</v>
      </c>
      <c r="G2326" s="37">
        <v>6609.5</v>
      </c>
      <c r="H2326" s="33">
        <v>100</v>
      </c>
      <c r="I2326" s="16">
        <f>-H2326*G2326</f>
        <v>-660950</v>
      </c>
      <c r="J2326" s="17">
        <v>0</v>
      </c>
      <c r="K2326" s="34">
        <v>4502425146</v>
      </c>
      <c r="L2326" s="126">
        <v>5084054523</v>
      </c>
      <c r="M2326" s="20">
        <v>5113650860</v>
      </c>
      <c r="N2326" s="128"/>
      <c r="O2326" s="23"/>
      <c r="P2326" s="23"/>
      <c r="Q2326" s="24" t="s">
        <v>31</v>
      </c>
      <c r="R2326" s="25">
        <v>44844</v>
      </c>
      <c r="S2326" s="28"/>
      <c r="T2326" s="35"/>
      <c r="U2326" s="35"/>
      <c r="V2326" s="29"/>
      <c r="W2326" s="35"/>
      <c r="X2326" s="29"/>
      <c r="Y2326" s="36"/>
      <c r="Z2326" s="29"/>
      <c r="AA2326" s="31">
        <f t="shared" si="1"/>
        <v>44844</v>
      </c>
      <c r="AB2326" s="32" t="str">
        <f t="shared" si="5"/>
        <v>octubre</v>
      </c>
    </row>
    <row r="2327" spans="1:28" ht="12.75">
      <c r="A2327" s="9" t="s">
        <v>58</v>
      </c>
      <c r="B2327" s="10">
        <v>44847</v>
      </c>
      <c r="C2327" s="11">
        <v>44847</v>
      </c>
      <c r="D2327" s="42">
        <v>41</v>
      </c>
      <c r="E2327" s="13" t="s">
        <v>2784</v>
      </c>
      <c r="F2327" s="13">
        <v>3025457</v>
      </c>
      <c r="G2327" s="37">
        <v>6921.5</v>
      </c>
      <c r="H2327" s="33">
        <v>8700</v>
      </c>
      <c r="I2327" s="16">
        <f t="shared" ref="I2327:I2328" si="346">H2327*G2327</f>
        <v>60217050</v>
      </c>
      <c r="J2327" s="17">
        <v>15</v>
      </c>
      <c r="K2327" s="34">
        <v>4502425561</v>
      </c>
      <c r="L2327" s="126">
        <v>5084054526</v>
      </c>
      <c r="M2327" s="20">
        <v>5113653948</v>
      </c>
      <c r="N2327" s="128"/>
      <c r="O2327" s="9" t="s">
        <v>37</v>
      </c>
      <c r="P2327" s="23"/>
      <c r="Q2327" s="24" t="s">
        <v>31</v>
      </c>
      <c r="R2327" s="25">
        <v>44844</v>
      </c>
      <c r="S2327" s="28"/>
      <c r="T2327" s="35"/>
      <c r="U2327" s="35"/>
      <c r="V2327" s="29"/>
      <c r="W2327" s="35"/>
      <c r="X2327" s="29"/>
      <c r="Y2327" s="36"/>
      <c r="Z2327" s="29"/>
      <c r="AA2327" s="31">
        <f t="shared" si="1"/>
        <v>44844</v>
      </c>
      <c r="AB2327" s="32" t="str">
        <f t="shared" si="5"/>
        <v>octubre</v>
      </c>
    </row>
    <row r="2328" spans="1:28" ht="12.75">
      <c r="A2328" s="22" t="s">
        <v>404</v>
      </c>
      <c r="B2328" s="10">
        <v>44844</v>
      </c>
      <c r="C2328" s="11">
        <v>44846</v>
      </c>
      <c r="D2328" s="42">
        <v>41</v>
      </c>
      <c r="E2328" s="13" t="s">
        <v>2785</v>
      </c>
      <c r="F2328" s="13">
        <v>3025457</v>
      </c>
      <c r="G2328" s="37">
        <v>6862.5</v>
      </c>
      <c r="H2328" s="33">
        <v>8700</v>
      </c>
      <c r="I2328" s="16">
        <f t="shared" si="346"/>
        <v>59703750</v>
      </c>
      <c r="J2328" s="17">
        <v>15</v>
      </c>
      <c r="K2328" s="34">
        <v>4502426984</v>
      </c>
      <c r="L2328" s="126">
        <v>5084054524</v>
      </c>
      <c r="M2328" s="20">
        <v>5113656762</v>
      </c>
      <c r="N2328" s="128"/>
      <c r="O2328" s="9" t="s">
        <v>37</v>
      </c>
      <c r="P2328" s="23"/>
      <c r="Q2328" s="24" t="s">
        <v>31</v>
      </c>
      <c r="R2328" s="25">
        <v>44844</v>
      </c>
      <c r="S2328" s="28"/>
      <c r="T2328" s="35"/>
      <c r="U2328" s="35"/>
      <c r="V2328" s="29"/>
      <c r="W2328" s="35"/>
      <c r="X2328" s="29"/>
      <c r="Y2328" s="36"/>
      <c r="Z2328" s="29"/>
      <c r="AA2328" s="31">
        <f t="shared" si="1"/>
        <v>44844</v>
      </c>
      <c r="AB2328" s="32" t="str">
        <f t="shared" si="5"/>
        <v>octubre</v>
      </c>
    </row>
    <row r="2329" spans="1:28" ht="12.75">
      <c r="A2329" s="22" t="s">
        <v>404</v>
      </c>
      <c r="B2329" s="10">
        <v>44846</v>
      </c>
      <c r="C2329" s="11">
        <v>44846</v>
      </c>
      <c r="D2329" s="42">
        <v>41</v>
      </c>
      <c r="E2329" s="13" t="s">
        <v>681</v>
      </c>
      <c r="F2329" s="13">
        <v>3025457</v>
      </c>
      <c r="G2329" s="37">
        <v>20338.5</v>
      </c>
      <c r="H2329" s="33">
        <f>8700-8620.27</f>
        <v>79.729999999999563</v>
      </c>
      <c r="I2329" s="16">
        <f>-H2329*G2329</f>
        <v>-1621588.6049999911</v>
      </c>
      <c r="J2329" s="17">
        <v>0</v>
      </c>
      <c r="K2329" s="34">
        <v>4502426984</v>
      </c>
      <c r="L2329" s="126">
        <v>5084054527</v>
      </c>
      <c r="M2329" s="20">
        <v>5113656763</v>
      </c>
      <c r="N2329" s="128"/>
      <c r="O2329" s="23"/>
      <c r="P2329" s="23"/>
      <c r="Q2329" s="24" t="s">
        <v>31</v>
      </c>
      <c r="R2329" s="25">
        <v>44844</v>
      </c>
      <c r="S2329" s="28"/>
      <c r="T2329" s="35"/>
      <c r="U2329" s="35"/>
      <c r="V2329" s="29"/>
      <c r="W2329" s="35"/>
      <c r="X2329" s="29"/>
      <c r="Y2329" s="36"/>
      <c r="Z2329" s="29"/>
      <c r="AA2329" s="31">
        <f t="shared" si="1"/>
        <v>44844</v>
      </c>
      <c r="AB2329" s="32" t="str">
        <f t="shared" si="5"/>
        <v>octubre</v>
      </c>
    </row>
    <row r="2330" spans="1:28" ht="12.75">
      <c r="A2330" s="22" t="s">
        <v>404</v>
      </c>
      <c r="B2330" s="10">
        <v>44844</v>
      </c>
      <c r="C2330" s="11">
        <v>44846</v>
      </c>
      <c r="D2330" s="42">
        <v>41</v>
      </c>
      <c r="E2330" s="13" t="s">
        <v>2785</v>
      </c>
      <c r="F2330" s="13">
        <v>3025459</v>
      </c>
      <c r="G2330" s="37">
        <v>13476</v>
      </c>
      <c r="H2330" s="33">
        <v>8700</v>
      </c>
      <c r="I2330" s="16">
        <f t="shared" ref="I2330:I2331" si="347">H2330*G2330</f>
        <v>117241200</v>
      </c>
      <c r="J2330" s="17">
        <v>30</v>
      </c>
      <c r="K2330" s="34">
        <v>4502425147</v>
      </c>
      <c r="L2330" s="126">
        <v>5084054524</v>
      </c>
      <c r="M2330" s="20">
        <v>5113656762</v>
      </c>
      <c r="N2330" s="128"/>
      <c r="O2330" s="9" t="s">
        <v>37</v>
      </c>
      <c r="P2330" s="23"/>
      <c r="Q2330" s="24" t="s">
        <v>31</v>
      </c>
      <c r="R2330" s="25">
        <v>44844</v>
      </c>
      <c r="S2330" s="28"/>
      <c r="T2330" s="35"/>
      <c r="U2330" s="35"/>
      <c r="V2330" s="29"/>
      <c r="W2330" s="35"/>
      <c r="X2330" s="29"/>
      <c r="Y2330" s="36"/>
      <c r="Z2330" s="29"/>
      <c r="AA2330" s="31">
        <f t="shared" si="1"/>
        <v>44844</v>
      </c>
      <c r="AB2330" s="32" t="str">
        <f t="shared" si="5"/>
        <v>octubre</v>
      </c>
    </row>
    <row r="2331" spans="1:28" ht="12.75">
      <c r="A2331" s="22" t="s">
        <v>404</v>
      </c>
      <c r="B2331" s="10">
        <v>44844</v>
      </c>
      <c r="C2331" s="11">
        <v>44846</v>
      </c>
      <c r="D2331" s="42">
        <v>41</v>
      </c>
      <c r="E2331" s="13" t="s">
        <v>2786</v>
      </c>
      <c r="F2331" s="13">
        <v>3025459</v>
      </c>
      <c r="G2331" s="37">
        <v>12879.5</v>
      </c>
      <c r="H2331" s="33">
        <v>8700</v>
      </c>
      <c r="I2331" s="16">
        <f t="shared" si="347"/>
        <v>112051650</v>
      </c>
      <c r="J2331" s="17">
        <v>26</v>
      </c>
      <c r="K2331" s="34">
        <v>4502425147</v>
      </c>
      <c r="L2331" s="126">
        <v>5084054524</v>
      </c>
      <c r="M2331" s="20">
        <v>5113651239</v>
      </c>
      <c r="N2331" s="128"/>
      <c r="O2331" s="9" t="s">
        <v>37</v>
      </c>
      <c r="P2331" s="23"/>
      <c r="Q2331" s="24" t="s">
        <v>31</v>
      </c>
      <c r="R2331" s="25">
        <v>44844</v>
      </c>
      <c r="S2331" s="28"/>
      <c r="T2331" s="35"/>
      <c r="U2331" s="35"/>
      <c r="V2331" s="29"/>
      <c r="W2331" s="35"/>
      <c r="X2331" s="29"/>
      <c r="Y2331" s="36"/>
      <c r="Z2331" s="29"/>
      <c r="AA2331" s="31">
        <f t="shared" si="1"/>
        <v>44844</v>
      </c>
      <c r="AB2331" s="32" t="str">
        <f t="shared" si="5"/>
        <v>octubre</v>
      </c>
    </row>
    <row r="2332" spans="1:28" ht="12.75">
      <c r="A2332" s="22" t="s">
        <v>404</v>
      </c>
      <c r="B2332" s="10">
        <v>44846</v>
      </c>
      <c r="C2332" s="11">
        <v>44846</v>
      </c>
      <c r="D2332" s="42">
        <v>41</v>
      </c>
      <c r="E2332" s="13" t="s">
        <v>683</v>
      </c>
      <c r="F2332" s="13">
        <v>3025459</v>
      </c>
      <c r="G2332" s="37">
        <v>12879.5</v>
      </c>
      <c r="H2332" s="33">
        <f>8700-8590.6</f>
        <v>109.39999999999964</v>
      </c>
      <c r="I2332" s="16">
        <f>-H2332*G2332</f>
        <v>-1409017.2999999954</v>
      </c>
      <c r="J2332" s="17">
        <v>0</v>
      </c>
      <c r="K2332" s="34">
        <v>4502425147</v>
      </c>
      <c r="L2332" s="126">
        <v>5084054524</v>
      </c>
      <c r="M2332" s="20">
        <v>5113656909</v>
      </c>
      <c r="N2332" s="128"/>
      <c r="O2332" s="23"/>
      <c r="P2332" s="23"/>
      <c r="Q2332" s="24" t="s">
        <v>31</v>
      </c>
      <c r="R2332" s="25">
        <v>44844</v>
      </c>
      <c r="S2332" s="28"/>
      <c r="T2332" s="35"/>
      <c r="U2332" s="35"/>
      <c r="V2332" s="29"/>
      <c r="W2332" s="35"/>
      <c r="X2332" s="29"/>
      <c r="Y2332" s="36"/>
      <c r="Z2332" s="29"/>
      <c r="AA2332" s="31">
        <f t="shared" si="1"/>
        <v>44844</v>
      </c>
      <c r="AB2332" s="32" t="str">
        <f t="shared" si="5"/>
        <v>octubre</v>
      </c>
    </row>
    <row r="2333" spans="1:28" ht="12.75">
      <c r="A2333" s="9" t="s">
        <v>276</v>
      </c>
      <c r="B2333" s="10">
        <v>44847</v>
      </c>
      <c r="C2333" s="11"/>
      <c r="D2333" s="42">
        <v>41</v>
      </c>
      <c r="E2333" s="13" t="s">
        <v>2326</v>
      </c>
      <c r="F2333" s="13">
        <v>3025457</v>
      </c>
      <c r="G2333" s="37">
        <v>12656</v>
      </c>
      <c r="H2333" s="33">
        <v>8350</v>
      </c>
      <c r="I2333" s="16">
        <f>H2333*G2333</f>
        <v>105677600</v>
      </c>
      <c r="J2333" s="17">
        <v>28</v>
      </c>
      <c r="K2333" s="34">
        <v>4502426988</v>
      </c>
      <c r="L2333" s="126">
        <v>5084054588</v>
      </c>
      <c r="M2333" s="20">
        <v>5113650677</v>
      </c>
      <c r="N2333" s="128"/>
      <c r="O2333" s="9" t="s">
        <v>63</v>
      </c>
      <c r="P2333" s="23"/>
      <c r="Q2333" s="24" t="s">
        <v>31</v>
      </c>
      <c r="R2333" s="25">
        <v>44844</v>
      </c>
      <c r="S2333" s="28"/>
      <c r="T2333" s="35"/>
      <c r="U2333" s="35"/>
      <c r="V2333" s="29"/>
      <c r="W2333" s="35"/>
      <c r="X2333" s="29"/>
      <c r="Y2333" s="36"/>
      <c r="Z2333" s="29"/>
      <c r="AA2333" s="31">
        <f t="shared" si="1"/>
        <v>44844</v>
      </c>
      <c r="AB2333" s="32" t="str">
        <f t="shared" si="5"/>
        <v>octubre</v>
      </c>
    </row>
    <row r="2334" spans="1:28" ht="12.75">
      <c r="A2334" s="9" t="s">
        <v>276</v>
      </c>
      <c r="B2334" s="10">
        <v>44847</v>
      </c>
      <c r="C2334" s="11"/>
      <c r="D2334" s="42">
        <v>41</v>
      </c>
      <c r="E2334" s="13" t="s">
        <v>2787</v>
      </c>
      <c r="F2334" s="13">
        <v>3025457</v>
      </c>
      <c r="G2334" s="37">
        <v>12656</v>
      </c>
      <c r="H2334" s="33">
        <v>50</v>
      </c>
      <c r="I2334" s="16">
        <f>-H2334*G2334</f>
        <v>-632800</v>
      </c>
      <c r="J2334" s="17">
        <v>0</v>
      </c>
      <c r="K2334" s="34">
        <v>4502426988</v>
      </c>
      <c r="L2334" s="126">
        <v>5084054588</v>
      </c>
      <c r="M2334" s="20">
        <v>5113650678</v>
      </c>
      <c r="N2334" s="128"/>
      <c r="O2334" s="23"/>
      <c r="P2334" s="23"/>
      <c r="Q2334" s="24" t="s">
        <v>31</v>
      </c>
      <c r="R2334" s="25">
        <v>44844</v>
      </c>
      <c r="S2334" s="28"/>
      <c r="T2334" s="35"/>
      <c r="U2334" s="35"/>
      <c r="V2334" s="29"/>
      <c r="W2334" s="35"/>
      <c r="X2334" s="29"/>
      <c r="Y2334" s="36"/>
      <c r="Z2334" s="29"/>
      <c r="AA2334" s="31">
        <f t="shared" si="1"/>
        <v>44844</v>
      </c>
      <c r="AB2334" s="32" t="str">
        <f t="shared" si="5"/>
        <v>octubre</v>
      </c>
    </row>
    <row r="2335" spans="1:28" ht="12.75">
      <c r="A2335" s="9" t="s">
        <v>2360</v>
      </c>
      <c r="B2335" s="10">
        <v>44847</v>
      </c>
      <c r="C2335" s="11"/>
      <c r="D2335" s="42">
        <v>41</v>
      </c>
      <c r="E2335" s="13" t="s">
        <v>2788</v>
      </c>
      <c r="F2335" s="13">
        <v>3025459</v>
      </c>
      <c r="G2335" s="37">
        <v>6679.5</v>
      </c>
      <c r="H2335" s="33">
        <v>8250</v>
      </c>
      <c r="I2335" s="16">
        <f t="shared" ref="I2335:I2336" si="348">H2335*G2335</f>
        <v>55105875</v>
      </c>
      <c r="J2335" s="17">
        <v>14</v>
      </c>
      <c r="K2335" s="34">
        <v>4502425148</v>
      </c>
      <c r="L2335" s="126">
        <v>5084054525</v>
      </c>
      <c r="M2335" s="20">
        <v>5113651100</v>
      </c>
      <c r="O2335" s="128" t="s">
        <v>63</v>
      </c>
      <c r="P2335" s="23"/>
      <c r="Q2335" s="24" t="s">
        <v>31</v>
      </c>
      <c r="R2335" s="25">
        <v>44844</v>
      </c>
      <c r="S2335" s="28"/>
      <c r="T2335" s="35"/>
      <c r="U2335" s="35"/>
      <c r="V2335" s="29"/>
      <c r="W2335" s="35"/>
      <c r="X2335" s="29"/>
      <c r="Y2335" s="36"/>
      <c r="Z2335" s="29"/>
      <c r="AA2335" s="31">
        <f t="shared" si="1"/>
        <v>44844</v>
      </c>
      <c r="AB2335" s="32" t="str">
        <f t="shared" si="5"/>
        <v>octubre</v>
      </c>
    </row>
    <row r="2336" spans="1:28" ht="12.75">
      <c r="A2336" s="22" t="s">
        <v>774</v>
      </c>
      <c r="B2336" s="10">
        <v>44848</v>
      </c>
      <c r="C2336" s="11">
        <v>44848</v>
      </c>
      <c r="D2336" s="42">
        <v>41</v>
      </c>
      <c r="E2336" s="13" t="s">
        <v>1137</v>
      </c>
      <c r="F2336" s="13">
        <v>3025457</v>
      </c>
      <c r="G2336" s="14">
        <v>26535</v>
      </c>
      <c r="H2336" s="33">
        <v>8350</v>
      </c>
      <c r="I2336" s="16">
        <f t="shared" si="348"/>
        <v>221567250</v>
      </c>
      <c r="J2336" s="17">
        <v>60</v>
      </c>
      <c r="K2336" s="34">
        <v>4502425149</v>
      </c>
      <c r="L2336" s="126">
        <v>5084060918</v>
      </c>
      <c r="M2336" s="20">
        <v>5113661771</v>
      </c>
      <c r="N2336" s="128"/>
      <c r="O2336" s="9" t="s">
        <v>63</v>
      </c>
      <c r="P2336" s="23"/>
      <c r="Q2336" s="24" t="s">
        <v>31</v>
      </c>
      <c r="R2336" s="25">
        <v>44845</v>
      </c>
      <c r="S2336" s="28"/>
      <c r="T2336" s="35"/>
      <c r="U2336" s="35"/>
      <c r="V2336" s="29"/>
      <c r="W2336" s="35"/>
      <c r="X2336" s="29"/>
      <c r="Y2336" s="36"/>
      <c r="Z2336" s="29"/>
      <c r="AA2336" s="31">
        <f t="shared" si="1"/>
        <v>44845</v>
      </c>
      <c r="AB2336" s="32" t="str">
        <f t="shared" si="5"/>
        <v>octubre</v>
      </c>
    </row>
    <row r="2337" spans="1:28" ht="12.75">
      <c r="A2337" s="22" t="s">
        <v>774</v>
      </c>
      <c r="B2337" s="10">
        <v>44848</v>
      </c>
      <c r="C2337" s="11">
        <v>44848</v>
      </c>
      <c r="D2337" s="42">
        <v>41</v>
      </c>
      <c r="E2337" s="13" t="s">
        <v>756</v>
      </c>
      <c r="F2337" s="13">
        <v>3025457</v>
      </c>
      <c r="G2337" s="14">
        <v>26535</v>
      </c>
      <c r="H2337" s="33">
        <f>8350-8247.1</f>
        <v>102.89999999999964</v>
      </c>
      <c r="I2337" s="16">
        <f>-H2337*G2337</f>
        <v>-2730451.4999999902</v>
      </c>
      <c r="J2337" s="17">
        <v>0</v>
      </c>
      <c r="K2337" s="34">
        <v>4502425149</v>
      </c>
      <c r="L2337" s="126">
        <v>5084060918</v>
      </c>
      <c r="M2337" s="20">
        <v>5113661775</v>
      </c>
      <c r="N2337" s="128"/>
      <c r="O2337" s="23"/>
      <c r="P2337" s="23"/>
      <c r="Q2337" s="24" t="s">
        <v>31</v>
      </c>
      <c r="R2337" s="25">
        <v>44845</v>
      </c>
      <c r="S2337" s="28"/>
      <c r="T2337" s="35"/>
      <c r="U2337" s="35"/>
      <c r="V2337" s="29"/>
      <c r="W2337" s="35"/>
      <c r="X2337" s="29"/>
      <c r="Y2337" s="36"/>
      <c r="Z2337" s="29"/>
      <c r="AA2337" s="31">
        <f t="shared" si="1"/>
        <v>44845</v>
      </c>
      <c r="AB2337" s="32" t="str">
        <f t="shared" si="5"/>
        <v>octubre</v>
      </c>
    </row>
    <row r="2338" spans="1:28" ht="12.75">
      <c r="A2338" s="9" t="s">
        <v>58</v>
      </c>
      <c r="B2338" s="10">
        <v>44847</v>
      </c>
      <c r="C2338" s="11">
        <v>44847</v>
      </c>
      <c r="D2338" s="42">
        <v>41</v>
      </c>
      <c r="E2338" s="13" t="s">
        <v>2789</v>
      </c>
      <c r="F2338" s="13">
        <v>3025457</v>
      </c>
      <c r="G2338" s="37">
        <v>7149.5</v>
      </c>
      <c r="H2338" s="33">
        <v>8700</v>
      </c>
      <c r="I2338" s="16">
        <f>H2338*G2338</f>
        <v>62200650</v>
      </c>
      <c r="J2338" s="17">
        <v>15</v>
      </c>
      <c r="K2338" s="34">
        <v>4502425150</v>
      </c>
      <c r="L2338" s="126">
        <v>5084060920</v>
      </c>
      <c r="M2338" s="20">
        <v>5113653956</v>
      </c>
      <c r="N2338" s="128"/>
      <c r="O2338" s="9" t="s">
        <v>37</v>
      </c>
      <c r="P2338" s="23"/>
      <c r="Q2338" s="24" t="s">
        <v>31</v>
      </c>
      <c r="R2338" s="25">
        <v>44845</v>
      </c>
      <c r="S2338" s="28"/>
      <c r="T2338" s="35"/>
      <c r="U2338" s="35"/>
      <c r="V2338" s="29"/>
      <c r="W2338" s="35"/>
      <c r="X2338" s="29"/>
      <c r="Y2338" s="36"/>
      <c r="Z2338" s="29"/>
      <c r="AA2338" s="31">
        <f t="shared" si="1"/>
        <v>44845</v>
      </c>
      <c r="AB2338" s="32" t="str">
        <f t="shared" si="5"/>
        <v>octubre</v>
      </c>
    </row>
    <row r="2339" spans="1:28" ht="12.75">
      <c r="A2339" s="9" t="s">
        <v>58</v>
      </c>
      <c r="B2339" s="10">
        <v>44847</v>
      </c>
      <c r="C2339" s="11">
        <v>44847</v>
      </c>
      <c r="D2339" s="42">
        <v>41</v>
      </c>
      <c r="E2339" s="13" t="s">
        <v>1499</v>
      </c>
      <c r="F2339" s="13">
        <v>3025457</v>
      </c>
      <c r="G2339" s="37">
        <v>7149.5</v>
      </c>
      <c r="H2339" s="33">
        <v>150</v>
      </c>
      <c r="I2339" s="16">
        <f>-H2339*G2339</f>
        <v>-1072425</v>
      </c>
      <c r="J2339" s="17">
        <v>0</v>
      </c>
      <c r="K2339" s="34">
        <v>4502425150</v>
      </c>
      <c r="L2339" s="126">
        <v>5084060920</v>
      </c>
      <c r="M2339" s="20">
        <v>5113653961</v>
      </c>
      <c r="N2339" s="128"/>
      <c r="O2339" s="23"/>
      <c r="P2339" s="23"/>
      <c r="Q2339" s="24" t="s">
        <v>31</v>
      </c>
      <c r="R2339" s="25">
        <v>44845</v>
      </c>
      <c r="S2339" s="28"/>
      <c r="T2339" s="35"/>
      <c r="U2339" s="35"/>
      <c r="V2339" s="29"/>
      <c r="W2339" s="35"/>
      <c r="X2339" s="29"/>
      <c r="Y2339" s="36"/>
      <c r="Z2339" s="29"/>
      <c r="AA2339" s="31">
        <f t="shared" si="1"/>
        <v>44845</v>
      </c>
      <c r="AB2339" s="32" t="str">
        <f t="shared" si="5"/>
        <v>octubre</v>
      </c>
    </row>
    <row r="2340" spans="1:28" ht="12.75">
      <c r="A2340" s="9" t="s">
        <v>58</v>
      </c>
      <c r="B2340" s="10">
        <v>44847</v>
      </c>
      <c r="C2340" s="11">
        <v>44847</v>
      </c>
      <c r="D2340" s="42">
        <v>41</v>
      </c>
      <c r="E2340" s="13" t="s">
        <v>2790</v>
      </c>
      <c r="F2340" s="13">
        <v>3025457</v>
      </c>
      <c r="G2340" s="14">
        <v>6039</v>
      </c>
      <c r="H2340" s="33">
        <v>8700</v>
      </c>
      <c r="I2340" s="16">
        <f>H2340*G2340</f>
        <v>52539300</v>
      </c>
      <c r="J2340" s="17">
        <v>16</v>
      </c>
      <c r="K2340" s="34">
        <v>4502425150</v>
      </c>
      <c r="L2340" s="126">
        <v>5084060920</v>
      </c>
      <c r="M2340" s="20">
        <v>5113653963</v>
      </c>
      <c r="N2340" s="128"/>
      <c r="O2340" s="9" t="s">
        <v>37</v>
      </c>
      <c r="P2340" s="23"/>
      <c r="Q2340" s="24" t="s">
        <v>31</v>
      </c>
      <c r="R2340" s="25">
        <v>44845</v>
      </c>
      <c r="S2340" s="28"/>
      <c r="T2340" s="35"/>
      <c r="U2340" s="35"/>
      <c r="V2340" s="29"/>
      <c r="W2340" s="35"/>
      <c r="X2340" s="29"/>
      <c r="Y2340" s="36"/>
      <c r="Z2340" s="29"/>
      <c r="AA2340" s="31">
        <f t="shared" si="1"/>
        <v>44845</v>
      </c>
      <c r="AB2340" s="32" t="str">
        <f t="shared" si="5"/>
        <v>octubre</v>
      </c>
    </row>
    <row r="2341" spans="1:28" ht="12.75">
      <c r="A2341" s="9" t="s">
        <v>58</v>
      </c>
      <c r="B2341" s="10">
        <v>44847</v>
      </c>
      <c r="C2341" s="11">
        <v>44847</v>
      </c>
      <c r="D2341" s="42">
        <v>41</v>
      </c>
      <c r="E2341" s="13" t="s">
        <v>2791</v>
      </c>
      <c r="F2341" s="13">
        <v>3025457</v>
      </c>
      <c r="G2341" s="14">
        <v>6039</v>
      </c>
      <c r="H2341" s="33">
        <f>8700-8621.98</f>
        <v>78.020000000000437</v>
      </c>
      <c r="I2341" s="16">
        <f>-H2341*G2341</f>
        <v>-471162.78000000265</v>
      </c>
      <c r="J2341" s="17">
        <v>0</v>
      </c>
      <c r="K2341" s="34">
        <v>4502425150</v>
      </c>
      <c r="L2341" s="126">
        <v>5084060920</v>
      </c>
      <c r="M2341" s="20">
        <v>5113653965</v>
      </c>
      <c r="N2341" s="128"/>
      <c r="O2341" s="23"/>
      <c r="P2341" s="23"/>
      <c r="Q2341" s="24" t="s">
        <v>31</v>
      </c>
      <c r="R2341" s="25">
        <v>44845</v>
      </c>
      <c r="S2341" s="28"/>
      <c r="T2341" s="35"/>
      <c r="U2341" s="35"/>
      <c r="V2341" s="29"/>
      <c r="W2341" s="35"/>
      <c r="X2341" s="29"/>
      <c r="Y2341" s="36"/>
      <c r="Z2341" s="29"/>
      <c r="AA2341" s="31">
        <f t="shared" si="1"/>
        <v>44845</v>
      </c>
      <c r="AB2341" s="32" t="str">
        <f t="shared" si="5"/>
        <v>octubre</v>
      </c>
    </row>
    <row r="2342" spans="1:28" ht="12.75">
      <c r="A2342" s="9" t="s">
        <v>1120</v>
      </c>
      <c r="B2342" s="10">
        <v>44818</v>
      </c>
      <c r="C2342" s="11">
        <v>44848</v>
      </c>
      <c r="D2342" s="42">
        <v>41</v>
      </c>
      <c r="E2342" s="13" t="s">
        <v>2792</v>
      </c>
      <c r="F2342" s="13">
        <v>3025460</v>
      </c>
      <c r="G2342" s="14">
        <v>13327</v>
      </c>
      <c r="H2342" s="57">
        <v>8350</v>
      </c>
      <c r="I2342" s="16">
        <f t="shared" ref="I2342:I2355" si="349">H2342*G2342</f>
        <v>111280450</v>
      </c>
      <c r="J2342" s="17">
        <v>28</v>
      </c>
      <c r="K2342" s="34">
        <v>4502431028</v>
      </c>
      <c r="L2342" s="126">
        <v>5084097066</v>
      </c>
      <c r="M2342" s="20">
        <v>5113657209</v>
      </c>
      <c r="N2342" s="128"/>
      <c r="O2342" s="9" t="s">
        <v>63</v>
      </c>
      <c r="P2342" s="23"/>
      <c r="Q2342" s="24" t="s">
        <v>82</v>
      </c>
      <c r="R2342" s="25">
        <v>44845</v>
      </c>
      <c r="S2342" s="28"/>
      <c r="T2342" s="35"/>
      <c r="U2342" s="35"/>
      <c r="V2342" s="29"/>
      <c r="W2342" s="35"/>
      <c r="X2342" s="29"/>
      <c r="Y2342" s="36"/>
      <c r="Z2342" s="29"/>
      <c r="AA2342" s="31">
        <f t="shared" si="1"/>
        <v>44845</v>
      </c>
      <c r="AB2342" s="32" t="str">
        <f t="shared" si="5"/>
        <v>octubre</v>
      </c>
    </row>
    <row r="2343" spans="1:28" ht="12.75">
      <c r="A2343" s="9" t="s">
        <v>196</v>
      </c>
      <c r="B2343" s="10">
        <v>44845</v>
      </c>
      <c r="C2343" s="11"/>
      <c r="D2343" s="42">
        <v>41</v>
      </c>
      <c r="E2343" s="13" t="s">
        <v>2793</v>
      </c>
      <c r="F2343" s="13">
        <v>3025460</v>
      </c>
      <c r="G2343" s="14">
        <v>26274</v>
      </c>
      <c r="H2343" s="57">
        <v>8250</v>
      </c>
      <c r="I2343" s="16">
        <f t="shared" si="349"/>
        <v>216760500</v>
      </c>
      <c r="J2343" s="17">
        <v>56</v>
      </c>
      <c r="K2343" s="34">
        <v>4502431039</v>
      </c>
      <c r="L2343" s="126">
        <v>5084097341</v>
      </c>
      <c r="M2343" s="20">
        <v>5113652437</v>
      </c>
      <c r="N2343" s="128"/>
      <c r="O2343" s="23" t="s">
        <v>63</v>
      </c>
      <c r="P2343" s="23"/>
      <c r="Q2343" s="24" t="s">
        <v>82</v>
      </c>
      <c r="R2343" s="25">
        <v>44845</v>
      </c>
      <c r="S2343" s="28"/>
      <c r="T2343" s="35"/>
      <c r="U2343" s="35"/>
      <c r="V2343" s="29"/>
      <c r="W2343" s="35"/>
      <c r="X2343" s="29"/>
      <c r="Y2343" s="36"/>
      <c r="Z2343" s="29"/>
      <c r="AA2343" s="31">
        <f t="shared" si="1"/>
        <v>44845</v>
      </c>
      <c r="AB2343" s="32" t="str">
        <f t="shared" si="5"/>
        <v>octubre</v>
      </c>
    </row>
    <row r="2344" spans="1:28" ht="12.75">
      <c r="A2344" s="9" t="s">
        <v>89</v>
      </c>
      <c r="B2344" s="10">
        <v>44845</v>
      </c>
      <c r="C2344" s="11"/>
      <c r="D2344" s="42">
        <v>41</v>
      </c>
      <c r="E2344" s="13" t="s">
        <v>2794</v>
      </c>
      <c r="F2344" s="13">
        <v>3025460</v>
      </c>
      <c r="G2344" s="14">
        <v>16476</v>
      </c>
      <c r="H2344" s="57">
        <v>8242.4599999999991</v>
      </c>
      <c r="I2344" s="16">
        <f t="shared" si="349"/>
        <v>135802770.95999998</v>
      </c>
      <c r="J2344" s="17">
        <v>30</v>
      </c>
      <c r="K2344" s="34">
        <v>4502429662</v>
      </c>
      <c r="L2344" s="126">
        <v>5084073758</v>
      </c>
      <c r="M2344" s="20">
        <v>5113659196</v>
      </c>
      <c r="N2344" s="128"/>
      <c r="O2344" s="9" t="s">
        <v>63</v>
      </c>
      <c r="P2344" s="23"/>
      <c r="Q2344" s="24" t="s">
        <v>82</v>
      </c>
      <c r="R2344" s="25">
        <v>44845</v>
      </c>
      <c r="S2344" s="28"/>
      <c r="T2344" s="35"/>
      <c r="U2344" s="35"/>
      <c r="V2344" s="29"/>
      <c r="W2344" s="35"/>
      <c r="X2344" s="29"/>
      <c r="Y2344" s="36"/>
      <c r="Z2344" s="29"/>
      <c r="AA2344" s="31">
        <f t="shared" si="1"/>
        <v>44845</v>
      </c>
      <c r="AB2344" s="32" t="str">
        <f t="shared" si="5"/>
        <v>octubre</v>
      </c>
    </row>
    <row r="2345" spans="1:28" ht="12.75">
      <c r="A2345" s="9" t="s">
        <v>443</v>
      </c>
      <c r="B2345" s="10">
        <v>44845</v>
      </c>
      <c r="C2345" s="11"/>
      <c r="D2345" s="42">
        <v>41</v>
      </c>
      <c r="E2345" s="13" t="s">
        <v>2795</v>
      </c>
      <c r="F2345" s="13">
        <v>3025460</v>
      </c>
      <c r="G2345" s="14">
        <v>29131</v>
      </c>
      <c r="H2345" s="57">
        <v>8293.56</v>
      </c>
      <c r="I2345" s="16">
        <f t="shared" si="349"/>
        <v>241599696.35999998</v>
      </c>
      <c r="J2345" s="17">
        <v>52</v>
      </c>
      <c r="K2345" s="34">
        <v>4502431352</v>
      </c>
      <c r="L2345" s="126">
        <v>5084108006</v>
      </c>
      <c r="M2345" s="20">
        <v>5113659448</v>
      </c>
      <c r="N2345" s="128"/>
      <c r="O2345" s="9" t="s">
        <v>63</v>
      </c>
      <c r="P2345" s="23"/>
      <c r="Q2345" s="24" t="s">
        <v>82</v>
      </c>
      <c r="R2345" s="25">
        <v>44845</v>
      </c>
      <c r="S2345" s="28"/>
      <c r="T2345" s="35"/>
      <c r="U2345" s="35"/>
      <c r="V2345" s="29"/>
      <c r="W2345" s="35"/>
      <c r="X2345" s="29"/>
      <c r="Y2345" s="36"/>
      <c r="Z2345" s="29"/>
      <c r="AA2345" s="31">
        <f t="shared" si="1"/>
        <v>44845</v>
      </c>
      <c r="AB2345" s="32" t="str">
        <f t="shared" si="5"/>
        <v>octubre</v>
      </c>
    </row>
    <row r="2346" spans="1:28" ht="12.75">
      <c r="A2346" s="22" t="s">
        <v>2589</v>
      </c>
      <c r="B2346" s="10">
        <v>44848</v>
      </c>
      <c r="C2346" s="11"/>
      <c r="D2346" s="42">
        <v>41</v>
      </c>
      <c r="E2346" s="13" t="s">
        <v>2796</v>
      </c>
      <c r="F2346" s="13">
        <v>3025460</v>
      </c>
      <c r="G2346" s="14">
        <v>21828</v>
      </c>
      <c r="H2346" s="57">
        <v>8300</v>
      </c>
      <c r="I2346" s="16">
        <f t="shared" si="349"/>
        <v>181172400</v>
      </c>
      <c r="J2346" s="17">
        <v>42</v>
      </c>
      <c r="K2346" s="34">
        <v>4502431045</v>
      </c>
      <c r="L2346" s="126">
        <v>5084107956</v>
      </c>
      <c r="M2346" s="20">
        <v>5113663171</v>
      </c>
      <c r="N2346" s="128"/>
      <c r="O2346" s="9" t="s">
        <v>63</v>
      </c>
      <c r="P2346" s="23"/>
      <c r="Q2346" s="24" t="s">
        <v>82</v>
      </c>
      <c r="R2346" s="25">
        <v>44845</v>
      </c>
      <c r="S2346" s="28"/>
      <c r="T2346" s="35"/>
      <c r="U2346" s="35"/>
      <c r="V2346" s="29"/>
      <c r="W2346" s="35"/>
      <c r="X2346" s="29"/>
      <c r="Y2346" s="36"/>
      <c r="Z2346" s="29"/>
      <c r="AA2346" s="31">
        <f t="shared" si="1"/>
        <v>44845</v>
      </c>
      <c r="AB2346" s="32" t="str">
        <f t="shared" si="5"/>
        <v>octubre</v>
      </c>
    </row>
    <row r="2347" spans="1:28" ht="12.75">
      <c r="A2347" s="9" t="s">
        <v>94</v>
      </c>
      <c r="B2347" s="10">
        <v>44849</v>
      </c>
      <c r="C2347" s="11"/>
      <c r="D2347" s="42">
        <v>41</v>
      </c>
      <c r="E2347" s="13" t="s">
        <v>2797</v>
      </c>
      <c r="F2347" s="13">
        <v>3025460</v>
      </c>
      <c r="G2347" s="14">
        <v>13124</v>
      </c>
      <c r="H2347" s="57">
        <v>8246.9599999999991</v>
      </c>
      <c r="I2347" s="16">
        <f t="shared" si="349"/>
        <v>108233103.03999999</v>
      </c>
      <c r="J2347" s="17">
        <v>30</v>
      </c>
      <c r="K2347" s="34">
        <v>4502431060</v>
      </c>
      <c r="L2347" s="126">
        <v>5084113949</v>
      </c>
      <c r="M2347" s="20">
        <v>5113659450</v>
      </c>
      <c r="N2347" s="9" t="s">
        <v>63</v>
      </c>
      <c r="O2347" s="23"/>
      <c r="P2347" s="23"/>
      <c r="Q2347" s="24" t="s">
        <v>82</v>
      </c>
      <c r="R2347" s="25">
        <v>44845</v>
      </c>
      <c r="S2347" s="28"/>
      <c r="T2347" s="35"/>
      <c r="U2347" s="35"/>
      <c r="V2347" s="29"/>
      <c r="W2347" s="35"/>
      <c r="X2347" s="29"/>
      <c r="Y2347" s="36"/>
      <c r="Z2347" s="29"/>
      <c r="AA2347" s="31">
        <f t="shared" si="1"/>
        <v>44845</v>
      </c>
      <c r="AB2347" s="32" t="str">
        <f t="shared" si="5"/>
        <v>octubre</v>
      </c>
    </row>
    <row r="2348" spans="1:28" ht="12.75">
      <c r="A2348" s="9" t="s">
        <v>94</v>
      </c>
      <c r="B2348" s="10">
        <v>44849</v>
      </c>
      <c r="C2348" s="11"/>
      <c r="D2348" s="42">
        <v>41</v>
      </c>
      <c r="E2348" s="13" t="s">
        <v>2798</v>
      </c>
      <c r="F2348" s="13">
        <v>3025460</v>
      </c>
      <c r="G2348" s="14">
        <v>13124</v>
      </c>
      <c r="H2348" s="57">
        <f>8270.96-8246.96</f>
        <v>24</v>
      </c>
      <c r="I2348" s="16">
        <f t="shared" si="349"/>
        <v>314976</v>
      </c>
      <c r="J2348" s="17">
        <v>0</v>
      </c>
      <c r="K2348" s="34">
        <v>4502431060</v>
      </c>
      <c r="L2348" s="126">
        <v>5084113949</v>
      </c>
      <c r="M2348" s="20">
        <v>5113659451</v>
      </c>
      <c r="N2348" s="9"/>
      <c r="O2348" s="23"/>
      <c r="P2348" s="23"/>
      <c r="Q2348" s="24" t="s">
        <v>82</v>
      </c>
      <c r="R2348" s="25">
        <v>44845</v>
      </c>
      <c r="S2348" s="28"/>
      <c r="T2348" s="35"/>
      <c r="U2348" s="35"/>
      <c r="V2348" s="29"/>
      <c r="W2348" s="35"/>
      <c r="X2348" s="29"/>
      <c r="Y2348" s="36"/>
      <c r="Z2348" s="29"/>
      <c r="AA2348" s="31">
        <f t="shared" si="1"/>
        <v>44845</v>
      </c>
      <c r="AB2348" s="32" t="str">
        <f t="shared" si="5"/>
        <v>octubre</v>
      </c>
    </row>
    <row r="2349" spans="1:28" ht="12.75">
      <c r="A2349" s="9" t="s">
        <v>58</v>
      </c>
      <c r="B2349" s="10">
        <v>44847</v>
      </c>
      <c r="C2349" s="11">
        <v>44847</v>
      </c>
      <c r="D2349" s="42">
        <v>41</v>
      </c>
      <c r="E2349" s="13" t="s">
        <v>2799</v>
      </c>
      <c r="F2349" s="13">
        <v>3025462</v>
      </c>
      <c r="G2349" s="14">
        <v>8189</v>
      </c>
      <c r="H2349" s="57">
        <v>7600</v>
      </c>
      <c r="I2349" s="16">
        <f t="shared" si="349"/>
        <v>62236400</v>
      </c>
      <c r="J2349" s="17">
        <v>32</v>
      </c>
      <c r="K2349" s="34">
        <v>4502430624</v>
      </c>
      <c r="L2349" s="126">
        <v>5084092016</v>
      </c>
      <c r="M2349" s="20">
        <v>5113653998</v>
      </c>
      <c r="N2349" s="128"/>
      <c r="O2349" s="9" t="s">
        <v>37</v>
      </c>
      <c r="P2349" s="23"/>
      <c r="Q2349" s="24" t="s">
        <v>357</v>
      </c>
      <c r="R2349" s="25">
        <v>44846</v>
      </c>
      <c r="S2349" s="28"/>
      <c r="T2349" s="35"/>
      <c r="U2349" s="35"/>
      <c r="V2349" s="29"/>
      <c r="W2349" s="35"/>
      <c r="X2349" s="29"/>
      <c r="Y2349" s="36"/>
      <c r="Z2349" s="29"/>
      <c r="AA2349" s="31">
        <f t="shared" si="1"/>
        <v>44846</v>
      </c>
      <c r="AB2349" s="32" t="str">
        <f t="shared" si="5"/>
        <v>octubre</v>
      </c>
    </row>
    <row r="2350" spans="1:28" ht="12.75">
      <c r="A2350" s="45" t="s">
        <v>145</v>
      </c>
      <c r="B2350" s="10">
        <v>44853</v>
      </c>
      <c r="C2350" s="11">
        <v>44854</v>
      </c>
      <c r="D2350" s="49">
        <v>42</v>
      </c>
      <c r="E2350" s="13" t="s">
        <v>2800</v>
      </c>
      <c r="F2350" s="13">
        <v>3025457</v>
      </c>
      <c r="G2350" s="37">
        <v>6599.5</v>
      </c>
      <c r="H2350" s="33">
        <v>8450</v>
      </c>
      <c r="I2350" s="16">
        <f t="shared" si="349"/>
        <v>55765775</v>
      </c>
      <c r="J2350" s="17">
        <v>14</v>
      </c>
      <c r="K2350" s="34">
        <v>4502430349</v>
      </c>
      <c r="L2350" s="126">
        <v>5084148970</v>
      </c>
      <c r="M2350" s="20">
        <v>5113663311</v>
      </c>
      <c r="N2350" s="128"/>
      <c r="O2350" s="23" t="s">
        <v>37</v>
      </c>
      <c r="P2350" s="23"/>
      <c r="Q2350" s="24" t="s">
        <v>31</v>
      </c>
      <c r="R2350" s="25">
        <v>44848</v>
      </c>
      <c r="S2350" s="28"/>
      <c r="T2350" s="35"/>
      <c r="U2350" s="35"/>
      <c r="V2350" s="29"/>
      <c r="W2350" s="35"/>
      <c r="X2350" s="29"/>
      <c r="Y2350" s="36"/>
      <c r="Z2350" s="29"/>
      <c r="AA2350" s="31">
        <f t="shared" si="1"/>
        <v>44848</v>
      </c>
      <c r="AB2350" s="32" t="str">
        <f t="shared" si="5"/>
        <v>octubre</v>
      </c>
    </row>
    <row r="2351" spans="1:28" ht="12.75">
      <c r="A2351" s="45" t="s">
        <v>145</v>
      </c>
      <c r="B2351" s="10">
        <v>44853</v>
      </c>
      <c r="C2351" s="11">
        <v>44854</v>
      </c>
      <c r="D2351" s="49">
        <v>42</v>
      </c>
      <c r="E2351" s="13" t="s">
        <v>476</v>
      </c>
      <c r="F2351" s="13">
        <v>3025457</v>
      </c>
      <c r="G2351" s="37">
        <v>6599.5</v>
      </c>
      <c r="H2351" s="33">
        <f>8474-8450</f>
        <v>24</v>
      </c>
      <c r="I2351" s="16">
        <f t="shared" si="349"/>
        <v>158388</v>
      </c>
      <c r="J2351" s="17">
        <v>0</v>
      </c>
      <c r="K2351" s="34">
        <v>4502430349</v>
      </c>
      <c r="L2351" s="126">
        <v>5084148970</v>
      </c>
      <c r="M2351" s="20">
        <v>5113663313</v>
      </c>
      <c r="N2351" s="128"/>
      <c r="O2351" s="22"/>
      <c r="P2351" s="23"/>
      <c r="Q2351" s="24" t="s">
        <v>31</v>
      </c>
      <c r="R2351" s="25">
        <v>44848</v>
      </c>
      <c r="S2351" s="28"/>
      <c r="T2351" s="35"/>
      <c r="U2351" s="35"/>
      <c r="V2351" s="29"/>
      <c r="W2351" s="35"/>
      <c r="X2351" s="29"/>
      <c r="Y2351" s="36"/>
      <c r="Z2351" s="29"/>
      <c r="AA2351" s="31">
        <f t="shared" si="1"/>
        <v>44848</v>
      </c>
      <c r="AB2351" s="32" t="str">
        <f t="shared" si="5"/>
        <v>octubre</v>
      </c>
    </row>
    <row r="2352" spans="1:28" ht="12.75">
      <c r="A2352" s="9" t="s">
        <v>28</v>
      </c>
      <c r="B2352" s="10">
        <v>44852</v>
      </c>
      <c r="C2352" s="11">
        <v>44852</v>
      </c>
      <c r="D2352" s="49">
        <v>42</v>
      </c>
      <c r="E2352" s="13" t="s">
        <v>2801</v>
      </c>
      <c r="F2352" s="13">
        <v>3025457</v>
      </c>
      <c r="G2352" s="14">
        <v>35716</v>
      </c>
      <c r="H2352" s="15">
        <v>8150</v>
      </c>
      <c r="I2352" s="16">
        <f t="shared" si="349"/>
        <v>291085400</v>
      </c>
      <c r="J2352" s="17">
        <v>70</v>
      </c>
      <c r="K2352" s="34">
        <v>4502432245</v>
      </c>
      <c r="L2352" s="126">
        <v>5084133479</v>
      </c>
      <c r="M2352" s="20">
        <v>5113663143</v>
      </c>
      <c r="N2352" s="23" t="s">
        <v>37</v>
      </c>
      <c r="O2352" s="88" t="s">
        <v>157</v>
      </c>
      <c r="P2352" s="23"/>
      <c r="Q2352" s="24" t="s">
        <v>31</v>
      </c>
      <c r="R2352" s="25">
        <v>44848</v>
      </c>
      <c r="S2352" s="28">
        <v>4902366622</v>
      </c>
      <c r="T2352" s="35">
        <f>2982600*5</f>
        <v>14913000</v>
      </c>
      <c r="U2352" s="28" t="s">
        <v>2802</v>
      </c>
      <c r="V2352" s="29">
        <v>5113658651</v>
      </c>
      <c r="W2352" s="28"/>
      <c r="X2352" s="29"/>
      <c r="Y2352" s="36"/>
      <c r="Z2352" s="29"/>
      <c r="AA2352" s="31">
        <f t="shared" si="1"/>
        <v>44848</v>
      </c>
      <c r="AB2352" s="32" t="str">
        <f t="shared" si="5"/>
        <v>octubre</v>
      </c>
    </row>
    <row r="2353" spans="1:28" ht="12.75">
      <c r="A2353" s="9" t="s">
        <v>215</v>
      </c>
      <c r="B2353" s="10">
        <v>44853</v>
      </c>
      <c r="C2353" s="11">
        <v>44858</v>
      </c>
      <c r="D2353" s="49">
        <v>42</v>
      </c>
      <c r="E2353" s="13" t="s">
        <v>2803</v>
      </c>
      <c r="F2353" s="13">
        <v>3025457</v>
      </c>
      <c r="G2353" s="37">
        <v>27445.5</v>
      </c>
      <c r="H2353" s="33">
        <v>8450</v>
      </c>
      <c r="I2353" s="16">
        <f t="shared" si="349"/>
        <v>231914475</v>
      </c>
      <c r="J2353" s="17">
        <v>56</v>
      </c>
      <c r="K2353" s="34">
        <v>4502430350</v>
      </c>
      <c r="L2353" s="126">
        <v>5084149023</v>
      </c>
      <c r="M2353" s="20">
        <v>5113693875</v>
      </c>
      <c r="N2353" s="128"/>
      <c r="O2353" s="22" t="s">
        <v>37</v>
      </c>
      <c r="P2353" s="23"/>
      <c r="Q2353" s="24" t="s">
        <v>31</v>
      </c>
      <c r="R2353" s="25">
        <v>44848</v>
      </c>
      <c r="S2353" s="28"/>
      <c r="T2353" s="35"/>
      <c r="U2353" s="35"/>
      <c r="V2353" s="29"/>
      <c r="W2353" s="35"/>
      <c r="X2353" s="29"/>
      <c r="Y2353" s="36"/>
      <c r="Z2353" s="29"/>
      <c r="AA2353" s="31">
        <f t="shared" si="1"/>
        <v>44848</v>
      </c>
      <c r="AB2353" s="32" t="str">
        <f t="shared" si="5"/>
        <v>octubre</v>
      </c>
    </row>
    <row r="2354" spans="1:28" ht="12.75">
      <c r="A2354" s="9" t="s">
        <v>215</v>
      </c>
      <c r="B2354" s="10">
        <v>44858</v>
      </c>
      <c r="C2354" s="11">
        <v>44858</v>
      </c>
      <c r="D2354" s="49">
        <v>42</v>
      </c>
      <c r="E2354" s="13" t="s">
        <v>2804</v>
      </c>
      <c r="F2354" s="13">
        <v>3025457</v>
      </c>
      <c r="G2354" s="37">
        <v>27445.5</v>
      </c>
      <c r="H2354" s="33">
        <v>50</v>
      </c>
      <c r="I2354" s="16">
        <f t="shared" si="349"/>
        <v>1372275</v>
      </c>
      <c r="J2354" s="17">
        <v>0</v>
      </c>
      <c r="K2354" s="34">
        <v>4502430350</v>
      </c>
      <c r="L2354" s="126">
        <v>5084149023</v>
      </c>
      <c r="M2354" s="20">
        <v>5113693907</v>
      </c>
      <c r="N2354" s="128"/>
      <c r="O2354" s="22" t="s">
        <v>37</v>
      </c>
      <c r="P2354" s="23"/>
      <c r="Q2354" s="24" t="s">
        <v>31</v>
      </c>
      <c r="R2354" s="25">
        <v>44848</v>
      </c>
      <c r="S2354" s="28"/>
      <c r="T2354" s="35"/>
      <c r="U2354" s="35"/>
      <c r="V2354" s="29"/>
      <c r="W2354" s="35"/>
      <c r="X2354" s="29"/>
      <c r="Y2354" s="36"/>
      <c r="Z2354" s="29"/>
      <c r="AA2354" s="31">
        <f t="shared" si="1"/>
        <v>44848</v>
      </c>
      <c r="AB2354" s="32" t="str">
        <f t="shared" si="5"/>
        <v>octubre</v>
      </c>
    </row>
    <row r="2355" spans="1:28" ht="12.75">
      <c r="A2355" s="9" t="s">
        <v>274</v>
      </c>
      <c r="B2355" s="10">
        <v>44853</v>
      </c>
      <c r="C2355" s="11">
        <v>44853</v>
      </c>
      <c r="D2355" s="49">
        <v>42</v>
      </c>
      <c r="E2355" s="13" t="s">
        <v>2805</v>
      </c>
      <c r="F2355" s="13">
        <v>3025457</v>
      </c>
      <c r="G2355" s="14">
        <v>14291</v>
      </c>
      <c r="H2355" s="33">
        <v>8850</v>
      </c>
      <c r="I2355" s="16">
        <f t="shared" si="349"/>
        <v>126475350</v>
      </c>
      <c r="J2355" s="17">
        <v>30</v>
      </c>
      <c r="K2355" s="34">
        <v>4502430351</v>
      </c>
      <c r="L2355" s="126">
        <v>5084149145</v>
      </c>
      <c r="M2355" s="20">
        <v>5113661712</v>
      </c>
      <c r="N2355" s="128"/>
      <c r="O2355" s="9" t="s">
        <v>63</v>
      </c>
      <c r="P2355" s="23"/>
      <c r="Q2355" s="24" t="s">
        <v>31</v>
      </c>
      <c r="R2355" s="25">
        <v>44848</v>
      </c>
      <c r="S2355" s="28"/>
      <c r="T2355" s="35"/>
      <c r="U2355" s="35"/>
      <c r="V2355" s="29"/>
      <c r="W2355" s="35"/>
      <c r="X2355" s="29"/>
      <c r="Y2355" s="36"/>
      <c r="Z2355" s="29"/>
      <c r="AA2355" s="31">
        <f t="shared" si="1"/>
        <v>44848</v>
      </c>
      <c r="AB2355" s="32" t="str">
        <f t="shared" si="5"/>
        <v>octubre</v>
      </c>
    </row>
    <row r="2356" spans="1:28" ht="12.75">
      <c r="A2356" s="9" t="s">
        <v>274</v>
      </c>
      <c r="B2356" s="10">
        <v>44853</v>
      </c>
      <c r="C2356" s="11">
        <v>44853</v>
      </c>
      <c r="D2356" s="49">
        <v>42</v>
      </c>
      <c r="E2356" s="13" t="s">
        <v>895</v>
      </c>
      <c r="F2356" s="13">
        <v>3025457</v>
      </c>
      <c r="G2356" s="14">
        <v>14291</v>
      </c>
      <c r="H2356" s="33">
        <f>8850-8848</f>
        <v>2</v>
      </c>
      <c r="I2356" s="16">
        <f>-H2356*G2356</f>
        <v>-28582</v>
      </c>
      <c r="J2356" s="17">
        <v>0</v>
      </c>
      <c r="K2356" s="34">
        <v>4502430351</v>
      </c>
      <c r="L2356" s="126">
        <v>5084149145</v>
      </c>
      <c r="M2356" s="20">
        <v>5113661716</v>
      </c>
      <c r="N2356" s="128"/>
      <c r="O2356" s="22"/>
      <c r="P2356" s="23"/>
      <c r="Q2356" s="24" t="s">
        <v>31</v>
      </c>
      <c r="R2356" s="25">
        <v>44848</v>
      </c>
      <c r="S2356" s="28"/>
      <c r="T2356" s="35"/>
      <c r="U2356" s="35"/>
      <c r="V2356" s="29"/>
      <c r="W2356" s="35"/>
      <c r="X2356" s="29"/>
      <c r="Y2356" s="36"/>
      <c r="Z2356" s="29"/>
      <c r="AA2356" s="31">
        <f t="shared" si="1"/>
        <v>44848</v>
      </c>
      <c r="AB2356" s="32" t="str">
        <f t="shared" si="5"/>
        <v>octubre</v>
      </c>
    </row>
    <row r="2357" spans="1:28" ht="12.75">
      <c r="A2357" s="9" t="s">
        <v>196</v>
      </c>
      <c r="B2357" s="10">
        <v>44848</v>
      </c>
      <c r="C2357" s="11"/>
      <c r="D2357" s="49">
        <v>42</v>
      </c>
      <c r="E2357" s="13" t="s">
        <v>2806</v>
      </c>
      <c r="F2357" s="13">
        <v>3025459</v>
      </c>
      <c r="G2357" s="37">
        <v>28807</v>
      </c>
      <c r="H2357" s="15">
        <v>8150</v>
      </c>
      <c r="I2357" s="16">
        <f t="shared" ref="I2357:I2361" si="350">H2357*G2357</f>
        <v>234777050</v>
      </c>
      <c r="J2357" s="17">
        <v>56</v>
      </c>
      <c r="K2357" s="34">
        <v>4502432246</v>
      </c>
      <c r="L2357" s="126">
        <v>5084133480</v>
      </c>
      <c r="M2357" s="20">
        <v>5113659453</v>
      </c>
      <c r="N2357" s="23" t="s">
        <v>63</v>
      </c>
      <c r="O2357" s="88" t="s">
        <v>1003</v>
      </c>
      <c r="P2357" s="23"/>
      <c r="Q2357" s="24" t="s">
        <v>31</v>
      </c>
      <c r="R2357" s="25">
        <v>44848</v>
      </c>
      <c r="S2357" s="28">
        <v>4902366624</v>
      </c>
      <c r="T2357" s="35">
        <f>1771100*4</f>
        <v>7084400</v>
      </c>
      <c r="U2357" s="28" t="s">
        <v>2807</v>
      </c>
      <c r="V2357" s="29">
        <v>5113658650</v>
      </c>
      <c r="W2357" s="35"/>
      <c r="X2357" s="29"/>
      <c r="Y2357" s="36"/>
      <c r="Z2357" s="29"/>
      <c r="AA2357" s="31">
        <f t="shared" si="1"/>
        <v>44848</v>
      </c>
      <c r="AB2357" s="32" t="str">
        <f t="shared" si="5"/>
        <v>octubre</v>
      </c>
    </row>
    <row r="2358" spans="1:28" ht="12.75">
      <c r="A2358" s="9" t="s">
        <v>80</v>
      </c>
      <c r="B2358" s="10">
        <v>44849</v>
      </c>
      <c r="C2358" s="11">
        <v>44853</v>
      </c>
      <c r="D2358" s="49">
        <v>42</v>
      </c>
      <c r="E2358" s="13" t="s">
        <v>2808</v>
      </c>
      <c r="F2358" s="13">
        <v>3025457</v>
      </c>
      <c r="G2358" s="14">
        <v>20058</v>
      </c>
      <c r="H2358" s="15">
        <v>8150</v>
      </c>
      <c r="I2358" s="16">
        <f t="shared" si="350"/>
        <v>163472700</v>
      </c>
      <c r="J2358" s="17">
        <v>42</v>
      </c>
      <c r="K2358" s="34">
        <v>4502432247</v>
      </c>
      <c r="L2358" s="126">
        <v>5084133481</v>
      </c>
      <c r="M2358" s="20">
        <v>5113664051</v>
      </c>
      <c r="N2358" s="23" t="s">
        <v>37</v>
      </c>
      <c r="O2358" s="88" t="s">
        <v>1057</v>
      </c>
      <c r="P2358" s="23"/>
      <c r="Q2358" s="24" t="s">
        <v>31</v>
      </c>
      <c r="R2358" s="25">
        <v>44849</v>
      </c>
      <c r="S2358" s="28">
        <v>4902366627</v>
      </c>
      <c r="T2358" s="28">
        <v>4792500</v>
      </c>
      <c r="U2358" s="28" t="s">
        <v>2809</v>
      </c>
      <c r="V2358" s="29">
        <v>5113671040</v>
      </c>
      <c r="W2358" s="35"/>
      <c r="X2358" s="29"/>
      <c r="Y2358" s="36"/>
      <c r="Z2358" s="29"/>
      <c r="AA2358" s="31">
        <f t="shared" si="1"/>
        <v>44849</v>
      </c>
      <c r="AB2358" s="32" t="str">
        <f t="shared" si="5"/>
        <v>octubre</v>
      </c>
    </row>
    <row r="2359" spans="1:28" ht="12.75">
      <c r="A2359" s="9" t="s">
        <v>80</v>
      </c>
      <c r="B2359" s="10">
        <v>44849</v>
      </c>
      <c r="C2359" s="11">
        <v>44853</v>
      </c>
      <c r="D2359" s="49">
        <v>42</v>
      </c>
      <c r="E2359" s="13">
        <v>2</v>
      </c>
      <c r="F2359" s="13">
        <v>3025457</v>
      </c>
      <c r="G2359" s="14">
        <v>20058</v>
      </c>
      <c r="H2359" s="15">
        <v>24</v>
      </c>
      <c r="I2359" s="16">
        <f t="shared" si="350"/>
        <v>481392</v>
      </c>
      <c r="J2359" s="17">
        <v>0</v>
      </c>
      <c r="K2359" s="34">
        <v>4502432247</v>
      </c>
      <c r="L2359" s="126">
        <v>5084133481</v>
      </c>
      <c r="M2359" s="20">
        <v>5113690466</v>
      </c>
      <c r="N2359" s="128"/>
      <c r="O2359" s="88"/>
      <c r="P2359" s="23"/>
      <c r="Q2359" s="24" t="s">
        <v>31</v>
      </c>
      <c r="R2359" s="25">
        <v>44849</v>
      </c>
      <c r="S2359" s="28"/>
      <c r="T2359" s="28"/>
      <c r="U2359" s="35"/>
      <c r="V2359" s="29"/>
      <c r="W2359" s="35"/>
      <c r="X2359" s="29"/>
      <c r="Y2359" s="36"/>
      <c r="Z2359" s="29"/>
      <c r="AA2359" s="31">
        <f t="shared" si="1"/>
        <v>44849</v>
      </c>
      <c r="AB2359" s="32" t="str">
        <f t="shared" si="5"/>
        <v>octubre</v>
      </c>
    </row>
    <row r="2360" spans="1:28" ht="12.75">
      <c r="A2360" s="9" t="s">
        <v>58</v>
      </c>
      <c r="B2360" s="10">
        <v>44854</v>
      </c>
      <c r="C2360" s="11">
        <v>44854</v>
      </c>
      <c r="D2360" s="49">
        <v>42</v>
      </c>
      <c r="E2360" s="13" t="s">
        <v>2810</v>
      </c>
      <c r="F2360" s="13">
        <v>3025457</v>
      </c>
      <c r="G2360" s="14">
        <v>37034</v>
      </c>
      <c r="H2360" s="33">
        <v>8800</v>
      </c>
      <c r="I2360" s="16">
        <f t="shared" si="350"/>
        <v>325899200</v>
      </c>
      <c r="J2360" s="17">
        <v>74</v>
      </c>
      <c r="K2360" s="34">
        <v>4502430352</v>
      </c>
      <c r="L2360" s="126">
        <v>5084149112</v>
      </c>
      <c r="M2360" s="20">
        <v>5113666555</v>
      </c>
      <c r="N2360" s="128"/>
      <c r="O2360" s="9" t="s">
        <v>37</v>
      </c>
      <c r="P2360" s="23"/>
      <c r="Q2360" s="24" t="s">
        <v>31</v>
      </c>
      <c r="R2360" s="25">
        <v>44849</v>
      </c>
      <c r="S2360" s="28"/>
      <c r="T2360" s="35"/>
      <c r="U2360" s="35"/>
      <c r="V2360" s="29"/>
      <c r="W2360" s="35"/>
      <c r="X2360" s="29"/>
      <c r="Y2360" s="36"/>
      <c r="Z2360" s="29"/>
      <c r="AA2360" s="31">
        <f t="shared" si="1"/>
        <v>44849</v>
      </c>
      <c r="AB2360" s="32" t="str">
        <f t="shared" si="5"/>
        <v>octubre</v>
      </c>
    </row>
    <row r="2361" spans="1:28" ht="12.75">
      <c r="A2361" s="9" t="s">
        <v>58</v>
      </c>
      <c r="B2361" s="10">
        <v>44854</v>
      </c>
      <c r="C2361" s="11">
        <v>44854</v>
      </c>
      <c r="D2361" s="49">
        <v>42</v>
      </c>
      <c r="E2361" s="13" t="s">
        <v>2811</v>
      </c>
      <c r="F2361" s="13">
        <v>3025457</v>
      </c>
      <c r="G2361" s="37">
        <v>6532.5</v>
      </c>
      <c r="H2361" s="33">
        <v>8800</v>
      </c>
      <c r="I2361" s="16">
        <f t="shared" si="350"/>
        <v>57486000</v>
      </c>
      <c r="J2361" s="17">
        <v>15</v>
      </c>
      <c r="K2361" s="34">
        <v>4502430352</v>
      </c>
      <c r="L2361" s="126">
        <v>5084149112</v>
      </c>
      <c r="M2361" s="20">
        <v>5113666617</v>
      </c>
      <c r="N2361" s="128"/>
      <c r="O2361" s="9" t="s">
        <v>37</v>
      </c>
      <c r="P2361" s="23"/>
      <c r="Q2361" s="24" t="s">
        <v>31</v>
      </c>
      <c r="R2361" s="25">
        <v>44849</v>
      </c>
      <c r="S2361" s="28"/>
      <c r="T2361" s="35"/>
      <c r="U2361" s="35"/>
      <c r="V2361" s="29"/>
      <c r="W2361" s="35"/>
      <c r="X2361" s="29"/>
      <c r="Y2361" s="36"/>
      <c r="Z2361" s="29"/>
      <c r="AA2361" s="31">
        <f t="shared" si="1"/>
        <v>44849</v>
      </c>
      <c r="AB2361" s="32" t="str">
        <f t="shared" si="5"/>
        <v>octubre</v>
      </c>
    </row>
    <row r="2362" spans="1:28" ht="12.75">
      <c r="A2362" s="9" t="s">
        <v>58</v>
      </c>
      <c r="B2362" s="10">
        <v>44854</v>
      </c>
      <c r="C2362" s="11">
        <v>44854</v>
      </c>
      <c r="D2362" s="49">
        <v>42</v>
      </c>
      <c r="E2362" s="13" t="s">
        <v>2812</v>
      </c>
      <c r="F2362" s="13">
        <v>3025457</v>
      </c>
      <c r="G2362" s="37">
        <v>6532.5</v>
      </c>
      <c r="H2362" s="33">
        <f>8800-8682.25</f>
        <v>117.75</v>
      </c>
      <c r="I2362" s="16">
        <f>-H2362*G2362</f>
        <v>-769201.875</v>
      </c>
      <c r="J2362" s="17">
        <v>0</v>
      </c>
      <c r="K2362" s="34">
        <v>4502430352</v>
      </c>
      <c r="L2362" s="126">
        <v>5084149112</v>
      </c>
      <c r="M2362" s="20">
        <v>5113666619</v>
      </c>
      <c r="N2362" s="128"/>
      <c r="O2362" s="22"/>
      <c r="P2362" s="23"/>
      <c r="Q2362" s="24" t="s">
        <v>31</v>
      </c>
      <c r="R2362" s="25">
        <v>44849</v>
      </c>
      <c r="S2362" s="28"/>
      <c r="T2362" s="35"/>
      <c r="U2362" s="35"/>
      <c r="V2362" s="29"/>
      <c r="W2362" s="35"/>
      <c r="X2362" s="29"/>
      <c r="Y2362" s="36"/>
      <c r="Z2362" s="29"/>
      <c r="AA2362" s="31">
        <f t="shared" si="1"/>
        <v>44849</v>
      </c>
      <c r="AB2362" s="32" t="str">
        <f t="shared" si="5"/>
        <v>octubre</v>
      </c>
    </row>
    <row r="2363" spans="1:28" ht="12.75">
      <c r="A2363" s="9" t="s">
        <v>39</v>
      </c>
      <c r="B2363" s="10">
        <v>44849</v>
      </c>
      <c r="C2363" s="11">
        <v>44854</v>
      </c>
      <c r="D2363" s="49">
        <v>42</v>
      </c>
      <c r="E2363" s="13" t="s">
        <v>2813</v>
      </c>
      <c r="F2363" s="13">
        <v>3025457</v>
      </c>
      <c r="G2363" s="37">
        <v>5534.5</v>
      </c>
      <c r="H2363" s="33">
        <v>8800</v>
      </c>
      <c r="I2363" s="16">
        <f>H2363*G2363</f>
        <v>48703600</v>
      </c>
      <c r="J2363" s="17">
        <v>14</v>
      </c>
      <c r="K2363" s="34">
        <v>4502430353</v>
      </c>
      <c r="L2363" s="126">
        <v>5084149425</v>
      </c>
      <c r="M2363" s="20">
        <v>5113664683</v>
      </c>
      <c r="N2363" s="128"/>
      <c r="O2363" s="9" t="s">
        <v>37</v>
      </c>
      <c r="P2363" s="23"/>
      <c r="Q2363" s="24" t="s">
        <v>31</v>
      </c>
      <c r="R2363" s="25">
        <v>44849</v>
      </c>
      <c r="S2363" s="28"/>
      <c r="T2363" s="35"/>
      <c r="U2363" s="35"/>
      <c r="V2363" s="29"/>
      <c r="W2363" s="35"/>
      <c r="X2363" s="29"/>
      <c r="Y2363" s="36"/>
      <c r="Z2363" s="29"/>
      <c r="AA2363" s="31">
        <f t="shared" si="1"/>
        <v>44849</v>
      </c>
      <c r="AB2363" s="32" t="str">
        <f t="shared" si="5"/>
        <v>octubre</v>
      </c>
    </row>
    <row r="2364" spans="1:28" ht="12.75">
      <c r="A2364" s="9" t="s">
        <v>39</v>
      </c>
      <c r="B2364" s="10">
        <v>44854</v>
      </c>
      <c r="C2364" s="11">
        <v>44854</v>
      </c>
      <c r="D2364" s="49">
        <v>42</v>
      </c>
      <c r="E2364" s="13" t="s">
        <v>792</v>
      </c>
      <c r="F2364" s="13">
        <v>3025457</v>
      </c>
      <c r="G2364" s="37">
        <v>5534.5</v>
      </c>
      <c r="H2364" s="33">
        <f>8800-8695.43</f>
        <v>104.56999999999971</v>
      </c>
      <c r="I2364" s="16">
        <f>-H2364*G2364</f>
        <v>-578742.66499999841</v>
      </c>
      <c r="J2364" s="17">
        <v>0</v>
      </c>
      <c r="K2364" s="34">
        <v>4502430353</v>
      </c>
      <c r="L2364" s="126">
        <v>5084149425</v>
      </c>
      <c r="M2364" s="20">
        <v>5113664686</v>
      </c>
      <c r="N2364" s="128"/>
      <c r="O2364" s="22"/>
      <c r="P2364" s="23"/>
      <c r="Q2364" s="24" t="s">
        <v>31</v>
      </c>
      <c r="R2364" s="25">
        <v>44849</v>
      </c>
      <c r="S2364" s="28"/>
      <c r="T2364" s="35"/>
      <c r="U2364" s="35"/>
      <c r="V2364" s="29"/>
      <c r="W2364" s="35"/>
      <c r="X2364" s="29"/>
      <c r="Y2364" s="36"/>
      <c r="Z2364" s="29"/>
      <c r="AA2364" s="31">
        <f t="shared" si="1"/>
        <v>44849</v>
      </c>
      <c r="AB2364" s="32" t="str">
        <f t="shared" si="5"/>
        <v>octubre</v>
      </c>
    </row>
    <row r="2365" spans="1:28" ht="12.75">
      <c r="A2365" s="9" t="s">
        <v>39</v>
      </c>
      <c r="B2365" s="10">
        <v>44849</v>
      </c>
      <c r="C2365" s="11">
        <v>44854</v>
      </c>
      <c r="D2365" s="60">
        <v>42</v>
      </c>
      <c r="E2365" s="61" t="s">
        <v>2814</v>
      </c>
      <c r="F2365" s="63">
        <v>3025457</v>
      </c>
      <c r="G2365" s="136">
        <v>6769.5</v>
      </c>
      <c r="H2365" s="63">
        <v>8800</v>
      </c>
      <c r="I2365" s="64">
        <f>H2365*G2365</f>
        <v>59571600</v>
      </c>
      <c r="J2365" s="65">
        <v>15</v>
      </c>
      <c r="K2365" s="66">
        <v>4502430353</v>
      </c>
      <c r="L2365" s="121">
        <v>5084149113</v>
      </c>
      <c r="M2365" s="20">
        <v>5113664730</v>
      </c>
      <c r="N2365" s="128"/>
      <c r="O2365" s="9" t="s">
        <v>37</v>
      </c>
      <c r="P2365" s="68"/>
      <c r="Q2365" s="129" t="s">
        <v>31</v>
      </c>
      <c r="R2365" s="74">
        <v>44849</v>
      </c>
      <c r="S2365" s="75"/>
      <c r="T2365" s="69"/>
      <c r="U2365" s="70"/>
      <c r="V2365" s="68"/>
      <c r="W2365" s="70"/>
      <c r="X2365" s="68"/>
      <c r="Y2365" s="71"/>
      <c r="Z2365" s="68"/>
      <c r="AA2365" s="130">
        <f t="shared" si="1"/>
        <v>44849</v>
      </c>
      <c r="AB2365" s="131" t="str">
        <f t="shared" si="5"/>
        <v>octubre</v>
      </c>
    </row>
    <row r="2366" spans="1:28" ht="12.75">
      <c r="A2366" s="9" t="s">
        <v>39</v>
      </c>
      <c r="B2366" s="10">
        <v>44854</v>
      </c>
      <c r="C2366" s="11">
        <v>44854</v>
      </c>
      <c r="D2366" s="49">
        <v>42</v>
      </c>
      <c r="E2366" s="13" t="s">
        <v>794</v>
      </c>
      <c r="F2366" s="13">
        <v>3025457</v>
      </c>
      <c r="G2366" s="37">
        <v>6769.5</v>
      </c>
      <c r="H2366" s="33">
        <f>8800-8674</f>
        <v>126</v>
      </c>
      <c r="I2366" s="16">
        <f>-H2366*G2366</f>
        <v>-852957</v>
      </c>
      <c r="J2366" s="17">
        <v>0</v>
      </c>
      <c r="K2366" s="34">
        <v>4502430353</v>
      </c>
      <c r="L2366" s="126">
        <v>5084149113</v>
      </c>
      <c r="M2366" s="20">
        <v>5113664731</v>
      </c>
      <c r="N2366" s="128"/>
      <c r="O2366" s="22"/>
      <c r="P2366" s="23"/>
      <c r="Q2366" s="24" t="s">
        <v>31</v>
      </c>
      <c r="R2366" s="25">
        <v>44849</v>
      </c>
      <c r="S2366" s="28"/>
      <c r="T2366" s="35"/>
      <c r="U2366" s="35"/>
      <c r="V2366" s="29"/>
      <c r="W2366" s="35"/>
      <c r="X2366" s="29"/>
      <c r="Y2366" s="36"/>
      <c r="Z2366" s="29"/>
      <c r="AA2366" s="31">
        <f t="shared" si="1"/>
        <v>44849</v>
      </c>
      <c r="AB2366" s="32" t="str">
        <f t="shared" si="5"/>
        <v>octubre</v>
      </c>
    </row>
    <row r="2367" spans="1:28" ht="12.75">
      <c r="A2367" s="22" t="s">
        <v>404</v>
      </c>
      <c r="B2367" s="10">
        <v>44849</v>
      </c>
      <c r="C2367" s="11">
        <v>44852</v>
      </c>
      <c r="D2367" s="49">
        <v>42</v>
      </c>
      <c r="E2367" s="13" t="s">
        <v>2815</v>
      </c>
      <c r="F2367" s="13">
        <v>3025457</v>
      </c>
      <c r="G2367" s="14">
        <v>13484</v>
      </c>
      <c r="H2367" s="33">
        <v>8800</v>
      </c>
      <c r="I2367" s="16">
        <f>H2367*G2367</f>
        <v>118659200</v>
      </c>
      <c r="J2367" s="17">
        <v>30</v>
      </c>
      <c r="K2367" s="34">
        <v>4502430354</v>
      </c>
      <c r="L2367" s="126">
        <v>5084149114</v>
      </c>
      <c r="M2367" s="20">
        <v>5113659581</v>
      </c>
      <c r="N2367" s="128"/>
      <c r="O2367" s="9" t="s">
        <v>37</v>
      </c>
      <c r="P2367" s="23"/>
      <c r="Q2367" s="24" t="s">
        <v>31</v>
      </c>
      <c r="R2367" s="25">
        <v>44849</v>
      </c>
      <c r="S2367" s="28"/>
      <c r="T2367" s="35"/>
      <c r="U2367" s="35"/>
      <c r="V2367" s="29"/>
      <c r="W2367" s="35"/>
      <c r="X2367" s="29"/>
      <c r="Y2367" s="36"/>
      <c r="Z2367" s="29"/>
      <c r="AA2367" s="31">
        <f t="shared" si="1"/>
        <v>44849</v>
      </c>
      <c r="AB2367" s="32" t="str">
        <f t="shared" si="5"/>
        <v>octubre</v>
      </c>
    </row>
    <row r="2368" spans="1:28" ht="12.75">
      <c r="A2368" s="22" t="s">
        <v>404</v>
      </c>
      <c r="B2368" s="10">
        <v>44852</v>
      </c>
      <c r="C2368" s="11">
        <v>44852</v>
      </c>
      <c r="D2368" s="49">
        <v>42</v>
      </c>
      <c r="E2368" s="13" t="s">
        <v>688</v>
      </c>
      <c r="F2368" s="13">
        <v>3025457</v>
      </c>
      <c r="G2368" s="14">
        <v>13484</v>
      </c>
      <c r="H2368" s="33">
        <f>8800-8698</f>
        <v>102</v>
      </c>
      <c r="I2368" s="16">
        <f>-H2368*G2368</f>
        <v>-1375368</v>
      </c>
      <c r="J2368" s="17">
        <v>0</v>
      </c>
      <c r="K2368" s="34">
        <v>4502430354</v>
      </c>
      <c r="L2368" s="126">
        <v>5084149114</v>
      </c>
      <c r="M2368" s="20">
        <v>5113659582</v>
      </c>
      <c r="N2368" s="128"/>
      <c r="O2368" s="22"/>
      <c r="P2368" s="23"/>
      <c r="Q2368" s="24" t="s">
        <v>31</v>
      </c>
      <c r="R2368" s="25">
        <v>44849</v>
      </c>
      <c r="S2368" s="28"/>
      <c r="T2368" s="35"/>
      <c r="U2368" s="35"/>
      <c r="V2368" s="29"/>
      <c r="W2368" s="35"/>
      <c r="X2368" s="29"/>
      <c r="Y2368" s="36"/>
      <c r="Z2368" s="29"/>
      <c r="AA2368" s="31">
        <f t="shared" si="1"/>
        <v>44849</v>
      </c>
      <c r="AB2368" s="32" t="str">
        <f t="shared" si="5"/>
        <v>octubre</v>
      </c>
    </row>
    <row r="2369" spans="1:28" ht="12.75">
      <c r="A2369" s="9" t="s">
        <v>804</v>
      </c>
      <c r="B2369" s="10">
        <v>44849</v>
      </c>
      <c r="C2369" s="11">
        <v>44853</v>
      </c>
      <c r="D2369" s="49">
        <v>42</v>
      </c>
      <c r="E2369" s="13" t="s">
        <v>1063</v>
      </c>
      <c r="F2369" s="13">
        <v>3025457</v>
      </c>
      <c r="G2369" s="37">
        <v>5067.5</v>
      </c>
      <c r="H2369" s="33">
        <v>8750</v>
      </c>
      <c r="I2369" s="16">
        <f t="shared" ref="I2369:I2373" si="351">H2369*G2369</f>
        <v>44340625</v>
      </c>
      <c r="J2369" s="17">
        <v>13</v>
      </c>
      <c r="K2369" s="34">
        <v>4502430355</v>
      </c>
      <c r="L2369" s="126">
        <v>5084149276</v>
      </c>
      <c r="M2369" s="20">
        <v>5113661699</v>
      </c>
      <c r="N2369" s="23"/>
      <c r="O2369" s="9" t="s">
        <v>37</v>
      </c>
      <c r="P2369" s="23"/>
      <c r="Q2369" s="24" t="s">
        <v>31</v>
      </c>
      <c r="R2369" s="25">
        <v>44849</v>
      </c>
      <c r="S2369" s="28"/>
      <c r="T2369" s="35"/>
      <c r="U2369" s="35"/>
      <c r="V2369" s="29"/>
      <c r="W2369" s="35"/>
      <c r="X2369" s="29"/>
      <c r="Y2369" s="36"/>
      <c r="Z2369" s="29"/>
      <c r="AA2369" s="31">
        <f t="shared" si="1"/>
        <v>44849</v>
      </c>
      <c r="AB2369" s="32" t="str">
        <f t="shared" si="5"/>
        <v>octubre</v>
      </c>
    </row>
    <row r="2370" spans="1:28" ht="12.75">
      <c r="A2370" s="9" t="s">
        <v>804</v>
      </c>
      <c r="B2370" s="10">
        <v>44849</v>
      </c>
      <c r="C2370" s="11">
        <v>44853</v>
      </c>
      <c r="D2370" s="49">
        <v>42</v>
      </c>
      <c r="E2370" s="13" t="s">
        <v>398</v>
      </c>
      <c r="F2370" s="13">
        <v>3025457</v>
      </c>
      <c r="G2370" s="37">
        <v>5067.5</v>
      </c>
      <c r="H2370" s="33">
        <f>8750-8716.59</f>
        <v>33.409999999999854</v>
      </c>
      <c r="I2370" s="16">
        <f t="shared" si="351"/>
        <v>169305.17499999926</v>
      </c>
      <c r="J2370" s="17">
        <v>0</v>
      </c>
      <c r="K2370" s="34">
        <v>4502430355</v>
      </c>
      <c r="L2370" s="126">
        <v>5084149276</v>
      </c>
      <c r="M2370" s="20">
        <v>5113661704</v>
      </c>
      <c r="N2370" s="23"/>
      <c r="O2370" s="22"/>
      <c r="P2370" s="23"/>
      <c r="Q2370" s="24" t="s">
        <v>31</v>
      </c>
      <c r="R2370" s="25">
        <v>44849</v>
      </c>
      <c r="S2370" s="28"/>
      <c r="T2370" s="35"/>
      <c r="U2370" s="35"/>
      <c r="V2370" s="29"/>
      <c r="W2370" s="35"/>
      <c r="X2370" s="29"/>
      <c r="Y2370" s="36"/>
      <c r="Z2370" s="29"/>
      <c r="AA2370" s="31">
        <f t="shared" si="1"/>
        <v>44849</v>
      </c>
      <c r="AB2370" s="32" t="str">
        <f t="shared" si="5"/>
        <v>octubre</v>
      </c>
    </row>
    <row r="2371" spans="1:28" ht="12.75">
      <c r="A2371" s="9" t="s">
        <v>1330</v>
      </c>
      <c r="B2371" s="10">
        <v>44849</v>
      </c>
      <c r="C2371" s="11">
        <v>44854</v>
      </c>
      <c r="D2371" s="49">
        <v>42</v>
      </c>
      <c r="E2371" s="13" t="s">
        <v>2816</v>
      </c>
      <c r="F2371" s="13">
        <v>3025457</v>
      </c>
      <c r="G2371" s="37">
        <v>7177.5</v>
      </c>
      <c r="H2371" s="33">
        <v>8400</v>
      </c>
      <c r="I2371" s="16">
        <f t="shared" si="351"/>
        <v>60291000</v>
      </c>
      <c r="J2371" s="17">
        <v>15</v>
      </c>
      <c r="K2371" s="34">
        <v>4502430356</v>
      </c>
      <c r="L2371" s="126">
        <v>5084149116</v>
      </c>
      <c r="M2371" s="20">
        <v>5113665564</v>
      </c>
      <c r="N2371" s="128"/>
      <c r="O2371" s="9" t="s">
        <v>63</v>
      </c>
      <c r="P2371" s="23"/>
      <c r="Q2371" s="24" t="s">
        <v>31</v>
      </c>
      <c r="R2371" s="25">
        <v>44849</v>
      </c>
      <c r="S2371" s="28"/>
      <c r="T2371" s="35"/>
      <c r="U2371" s="35"/>
      <c r="V2371" s="29"/>
      <c r="W2371" s="35"/>
      <c r="X2371" s="29"/>
      <c r="Y2371" s="36"/>
      <c r="Z2371" s="29"/>
      <c r="AA2371" s="31">
        <f t="shared" si="1"/>
        <v>44849</v>
      </c>
      <c r="AB2371" s="32" t="str">
        <f t="shared" si="5"/>
        <v>octubre</v>
      </c>
    </row>
    <row r="2372" spans="1:28" ht="12.75">
      <c r="A2372" s="9" t="s">
        <v>1330</v>
      </c>
      <c r="B2372" s="10">
        <v>44849</v>
      </c>
      <c r="C2372" s="11">
        <v>44854</v>
      </c>
      <c r="D2372" s="49">
        <v>42</v>
      </c>
      <c r="E2372" s="13" t="s">
        <v>2817</v>
      </c>
      <c r="F2372" s="13">
        <v>3025457</v>
      </c>
      <c r="G2372" s="37">
        <v>7177.5</v>
      </c>
      <c r="H2372" s="33">
        <v>50</v>
      </c>
      <c r="I2372" s="16">
        <f t="shared" si="351"/>
        <v>358875</v>
      </c>
      <c r="J2372" s="17">
        <v>0</v>
      </c>
      <c r="K2372" s="34">
        <v>4502430356</v>
      </c>
      <c r="L2372" s="126">
        <v>5084149116</v>
      </c>
      <c r="M2372" s="20">
        <v>5113665597</v>
      </c>
      <c r="N2372" s="128"/>
      <c r="O2372" s="22"/>
      <c r="P2372" s="23"/>
      <c r="Q2372" s="24" t="s">
        <v>31</v>
      </c>
      <c r="R2372" s="25">
        <v>44849</v>
      </c>
      <c r="S2372" s="28"/>
      <c r="T2372" s="35"/>
      <c r="U2372" s="35"/>
      <c r="V2372" s="29"/>
      <c r="W2372" s="35"/>
      <c r="X2372" s="29"/>
      <c r="Y2372" s="36"/>
      <c r="Z2372" s="29"/>
      <c r="AA2372" s="31">
        <f t="shared" si="1"/>
        <v>44849</v>
      </c>
      <c r="AB2372" s="32" t="str">
        <f t="shared" si="5"/>
        <v>octubre</v>
      </c>
    </row>
    <row r="2373" spans="1:28" ht="12.75">
      <c r="A2373" s="22" t="s">
        <v>719</v>
      </c>
      <c r="B2373" s="10">
        <v>44849</v>
      </c>
      <c r="C2373" s="11">
        <v>44855</v>
      </c>
      <c r="D2373" s="49">
        <v>42</v>
      </c>
      <c r="E2373" s="13" t="s">
        <v>2818</v>
      </c>
      <c r="F2373" s="13">
        <v>3025457</v>
      </c>
      <c r="G2373" s="14">
        <v>7261</v>
      </c>
      <c r="H2373" s="33">
        <v>8350</v>
      </c>
      <c r="I2373" s="16">
        <f t="shared" si="351"/>
        <v>60629350</v>
      </c>
      <c r="J2373" s="17">
        <v>15</v>
      </c>
      <c r="K2373" s="34">
        <v>4502430357</v>
      </c>
      <c r="L2373" s="126">
        <v>5084149117</v>
      </c>
      <c r="M2373" s="20">
        <v>5113666791</v>
      </c>
      <c r="N2373" s="128"/>
      <c r="O2373" s="9" t="s">
        <v>37</v>
      </c>
      <c r="P2373" s="23"/>
      <c r="Q2373" s="24" t="s">
        <v>31</v>
      </c>
      <c r="R2373" s="25">
        <v>44849</v>
      </c>
      <c r="S2373" s="28"/>
      <c r="T2373" s="35"/>
      <c r="U2373" s="35"/>
      <c r="V2373" s="29"/>
      <c r="W2373" s="35"/>
      <c r="X2373" s="29"/>
      <c r="Y2373" s="36"/>
      <c r="Z2373" s="29"/>
      <c r="AA2373" s="31">
        <f t="shared" si="1"/>
        <v>44849</v>
      </c>
      <c r="AB2373" s="32" t="str">
        <f t="shared" si="5"/>
        <v>octubre</v>
      </c>
    </row>
    <row r="2374" spans="1:28" ht="12.75">
      <c r="A2374" s="22" t="s">
        <v>719</v>
      </c>
      <c r="B2374" s="10">
        <v>44849</v>
      </c>
      <c r="C2374" s="11">
        <v>44855</v>
      </c>
      <c r="D2374" s="49">
        <v>42</v>
      </c>
      <c r="E2374" s="13" t="s">
        <v>667</v>
      </c>
      <c r="F2374" s="13">
        <v>3025457</v>
      </c>
      <c r="G2374" s="14">
        <v>7261</v>
      </c>
      <c r="H2374" s="33">
        <v>100</v>
      </c>
      <c r="I2374" s="16">
        <f>-H2374*G2374</f>
        <v>-726100</v>
      </c>
      <c r="J2374" s="17">
        <v>0</v>
      </c>
      <c r="K2374" s="34">
        <v>4502430357</v>
      </c>
      <c r="L2374" s="126">
        <v>5084149117</v>
      </c>
      <c r="M2374" s="20">
        <v>5113666794</v>
      </c>
      <c r="N2374" s="128"/>
      <c r="O2374" s="22"/>
      <c r="P2374" s="23"/>
      <c r="Q2374" s="24" t="s">
        <v>31</v>
      </c>
      <c r="R2374" s="25">
        <v>44849</v>
      </c>
      <c r="S2374" s="28"/>
      <c r="T2374" s="35"/>
      <c r="U2374" s="35"/>
      <c r="V2374" s="29"/>
      <c r="W2374" s="35"/>
      <c r="X2374" s="29"/>
      <c r="Y2374" s="36"/>
      <c r="Z2374" s="29"/>
      <c r="AA2374" s="31">
        <f t="shared" si="1"/>
        <v>44849</v>
      </c>
      <c r="AB2374" s="32" t="str">
        <f t="shared" si="5"/>
        <v>octubre</v>
      </c>
    </row>
    <row r="2375" spans="1:28" ht="12.75">
      <c r="A2375" s="9" t="s">
        <v>338</v>
      </c>
      <c r="B2375" s="10">
        <v>44854</v>
      </c>
      <c r="C2375" s="11"/>
      <c r="D2375" s="49">
        <v>42</v>
      </c>
      <c r="E2375" s="13" t="s">
        <v>2819</v>
      </c>
      <c r="F2375" s="13">
        <v>3025457</v>
      </c>
      <c r="G2375" s="37">
        <v>6680.5</v>
      </c>
      <c r="H2375" s="33">
        <v>8500</v>
      </c>
      <c r="I2375" s="16">
        <f>H2375*G2375</f>
        <v>56784250</v>
      </c>
      <c r="J2375" s="17">
        <v>14</v>
      </c>
      <c r="K2375" s="34">
        <v>4502430358</v>
      </c>
      <c r="L2375" s="126">
        <v>5084149128</v>
      </c>
      <c r="M2375" s="20">
        <v>5113666079</v>
      </c>
      <c r="N2375" s="128"/>
      <c r="O2375" s="23" t="s">
        <v>63</v>
      </c>
      <c r="P2375" s="23"/>
      <c r="Q2375" s="24" t="s">
        <v>31</v>
      </c>
      <c r="R2375" s="25">
        <v>44849</v>
      </c>
      <c r="S2375" s="28"/>
      <c r="T2375" s="35"/>
      <c r="U2375" s="35"/>
      <c r="V2375" s="29"/>
      <c r="W2375" s="35"/>
      <c r="X2375" s="29"/>
      <c r="Y2375" s="36"/>
      <c r="Z2375" s="29"/>
      <c r="AA2375" s="31">
        <f t="shared" si="1"/>
        <v>44849</v>
      </c>
      <c r="AB2375" s="32" t="str">
        <f t="shared" si="5"/>
        <v>octubre</v>
      </c>
    </row>
    <row r="2376" spans="1:28" ht="12.75">
      <c r="A2376" s="9" t="s">
        <v>338</v>
      </c>
      <c r="B2376" s="10">
        <v>44854</v>
      </c>
      <c r="C2376" s="11"/>
      <c r="D2376" s="49">
        <v>42</v>
      </c>
      <c r="E2376" s="13" t="s">
        <v>2820</v>
      </c>
      <c r="F2376" s="13">
        <v>3025457</v>
      </c>
      <c r="G2376" s="37">
        <v>6680.5</v>
      </c>
      <c r="H2376" s="33">
        <v>100</v>
      </c>
      <c r="I2376" s="16">
        <f>-H2376*G2376</f>
        <v>-668050</v>
      </c>
      <c r="J2376" s="17">
        <v>0</v>
      </c>
      <c r="K2376" s="34">
        <v>4502430358</v>
      </c>
      <c r="L2376" s="126">
        <v>5084149128</v>
      </c>
      <c r="M2376" s="20">
        <v>5113666080</v>
      </c>
      <c r="N2376" s="128"/>
      <c r="O2376" s="22"/>
      <c r="P2376" s="23"/>
      <c r="Q2376" s="24" t="s">
        <v>31</v>
      </c>
      <c r="R2376" s="25">
        <v>44849</v>
      </c>
      <c r="S2376" s="28"/>
      <c r="T2376" s="35"/>
      <c r="U2376" s="35"/>
      <c r="V2376" s="29"/>
      <c r="W2376" s="35"/>
      <c r="X2376" s="29"/>
      <c r="Y2376" s="36"/>
      <c r="Z2376" s="29"/>
      <c r="AA2376" s="31">
        <f t="shared" si="1"/>
        <v>44849</v>
      </c>
      <c r="AB2376" s="32" t="str">
        <f t="shared" si="5"/>
        <v>octubre</v>
      </c>
    </row>
    <row r="2377" spans="1:28" ht="12.75">
      <c r="A2377" s="9" t="s">
        <v>85</v>
      </c>
      <c r="B2377" s="10">
        <v>44850</v>
      </c>
      <c r="C2377" s="11">
        <v>44854</v>
      </c>
      <c r="D2377" s="49">
        <v>42</v>
      </c>
      <c r="E2377" s="13" t="s">
        <v>2821</v>
      </c>
      <c r="F2377" s="13">
        <v>3025457</v>
      </c>
      <c r="G2377" s="14">
        <v>26990</v>
      </c>
      <c r="H2377" s="15">
        <v>8150</v>
      </c>
      <c r="I2377" s="16">
        <f t="shared" ref="I2377:I2379" si="352">H2377*G2377</f>
        <v>219968500</v>
      </c>
      <c r="J2377" s="17">
        <v>56</v>
      </c>
      <c r="K2377" s="34">
        <v>4502432249</v>
      </c>
      <c r="L2377" s="126">
        <v>5084133482</v>
      </c>
      <c r="M2377" s="20">
        <v>5113665559</v>
      </c>
      <c r="N2377" s="128"/>
      <c r="O2377" s="88" t="s">
        <v>1746</v>
      </c>
      <c r="P2377" s="23" t="s">
        <v>63</v>
      </c>
      <c r="Q2377" s="24" t="s">
        <v>31</v>
      </c>
      <c r="R2377" s="25">
        <v>44850</v>
      </c>
      <c r="S2377" s="28">
        <v>4902366628</v>
      </c>
      <c r="T2377" s="35">
        <f>1793900*4</f>
        <v>7175600</v>
      </c>
      <c r="U2377" s="28" t="s">
        <v>2822</v>
      </c>
      <c r="V2377" s="29">
        <v>5113658647</v>
      </c>
      <c r="W2377" s="35"/>
      <c r="X2377" s="29"/>
      <c r="Y2377" s="36"/>
      <c r="Z2377" s="29"/>
      <c r="AA2377" s="31">
        <f t="shared" si="1"/>
        <v>44850</v>
      </c>
      <c r="AB2377" s="32" t="str">
        <f t="shared" si="5"/>
        <v>octubre</v>
      </c>
    </row>
    <row r="2378" spans="1:28" ht="12.75">
      <c r="A2378" s="9" t="s">
        <v>85</v>
      </c>
      <c r="B2378" s="10">
        <v>44850</v>
      </c>
      <c r="C2378" s="11">
        <v>44854</v>
      </c>
      <c r="D2378" s="49">
        <v>42</v>
      </c>
      <c r="E2378" s="13" t="s">
        <v>2823</v>
      </c>
      <c r="F2378" s="13">
        <v>3025457</v>
      </c>
      <c r="G2378" s="14">
        <v>26990</v>
      </c>
      <c r="H2378" s="15">
        <v>24</v>
      </c>
      <c r="I2378" s="16">
        <f t="shared" si="352"/>
        <v>647760</v>
      </c>
      <c r="J2378" s="17">
        <v>0</v>
      </c>
      <c r="K2378" s="34">
        <v>4502432249</v>
      </c>
      <c r="L2378" s="126">
        <v>5084133482</v>
      </c>
      <c r="M2378" s="20">
        <v>5113665561</v>
      </c>
      <c r="N2378" s="128"/>
      <c r="O2378" s="88" t="s">
        <v>1746</v>
      </c>
      <c r="P2378" s="23"/>
      <c r="Q2378" s="24" t="s">
        <v>31</v>
      </c>
      <c r="R2378" s="25">
        <v>44850</v>
      </c>
      <c r="S2378" s="28"/>
      <c r="T2378" s="35"/>
      <c r="U2378" s="28"/>
      <c r="V2378" s="29"/>
      <c r="W2378" s="35"/>
      <c r="X2378" s="29"/>
      <c r="Y2378" s="36"/>
      <c r="Z2378" s="29"/>
      <c r="AA2378" s="31">
        <f t="shared" si="1"/>
        <v>44850</v>
      </c>
      <c r="AB2378" s="32" t="str">
        <f t="shared" si="5"/>
        <v>octubre</v>
      </c>
    </row>
    <row r="2379" spans="1:28" ht="12.75">
      <c r="A2379" s="9" t="s">
        <v>1102</v>
      </c>
      <c r="B2379" s="10">
        <v>44858</v>
      </c>
      <c r="C2379" s="11">
        <v>44859</v>
      </c>
      <c r="D2379" s="49">
        <v>42</v>
      </c>
      <c r="E2379" s="13" t="s">
        <v>2824</v>
      </c>
      <c r="F2379" s="13">
        <v>3025457</v>
      </c>
      <c r="G2379" s="37">
        <v>13320.5</v>
      </c>
      <c r="H2379" s="33">
        <v>8800</v>
      </c>
      <c r="I2379" s="16">
        <f t="shared" si="352"/>
        <v>117220400</v>
      </c>
      <c r="J2379" s="143">
        <v>28</v>
      </c>
      <c r="K2379" s="34">
        <v>4502430359</v>
      </c>
      <c r="L2379" s="126">
        <v>5084149146</v>
      </c>
      <c r="M2379" s="20">
        <v>5113683080</v>
      </c>
      <c r="N2379" s="128"/>
      <c r="O2379" s="9" t="s">
        <v>37</v>
      </c>
      <c r="P2379" s="23"/>
      <c r="Q2379" s="24" t="s">
        <v>31</v>
      </c>
      <c r="R2379" s="25">
        <v>44850</v>
      </c>
      <c r="S2379" s="28"/>
      <c r="T2379" s="35"/>
      <c r="U2379" s="35"/>
      <c r="V2379" s="29"/>
      <c r="W2379" s="35"/>
      <c r="X2379" s="29"/>
      <c r="Y2379" s="36"/>
      <c r="Z2379" s="29"/>
      <c r="AA2379" s="31">
        <f t="shared" si="1"/>
        <v>44850</v>
      </c>
      <c r="AB2379" s="32" t="str">
        <f t="shared" si="5"/>
        <v>octubre</v>
      </c>
    </row>
    <row r="2380" spans="1:28" ht="12.75">
      <c r="A2380" s="9" t="s">
        <v>1102</v>
      </c>
      <c r="B2380" s="10">
        <v>44858</v>
      </c>
      <c r="C2380" s="11">
        <v>44859</v>
      </c>
      <c r="D2380" s="49">
        <v>42</v>
      </c>
      <c r="E2380" s="13" t="s">
        <v>2825</v>
      </c>
      <c r="F2380" s="13">
        <v>3025457</v>
      </c>
      <c r="G2380" s="37">
        <v>13320.5</v>
      </c>
      <c r="H2380" s="33">
        <f>8800-8567.76</f>
        <v>232.23999999999978</v>
      </c>
      <c r="I2380" s="16">
        <f>-H2380*G2380</f>
        <v>-3093552.9199999971</v>
      </c>
      <c r="J2380" s="17">
        <v>0</v>
      </c>
      <c r="K2380" s="34">
        <v>4502430359</v>
      </c>
      <c r="L2380" s="126">
        <v>5084149146</v>
      </c>
      <c r="M2380" s="20">
        <v>5113683083</v>
      </c>
      <c r="N2380" s="128"/>
      <c r="O2380" s="22"/>
      <c r="P2380" s="23"/>
      <c r="Q2380" s="24" t="s">
        <v>31</v>
      </c>
      <c r="R2380" s="25">
        <v>44850</v>
      </c>
      <c r="S2380" s="28"/>
      <c r="T2380" s="35"/>
      <c r="U2380" s="35"/>
      <c r="V2380" s="29"/>
      <c r="W2380" s="35"/>
      <c r="X2380" s="29"/>
      <c r="Y2380" s="36"/>
      <c r="Z2380" s="29"/>
      <c r="AA2380" s="31">
        <f t="shared" si="1"/>
        <v>44850</v>
      </c>
      <c r="AB2380" s="32" t="str">
        <f t="shared" si="5"/>
        <v>octubre</v>
      </c>
    </row>
    <row r="2381" spans="1:28" ht="12.75">
      <c r="A2381" s="9" t="s">
        <v>58</v>
      </c>
      <c r="B2381" s="10">
        <v>44854</v>
      </c>
      <c r="C2381" s="11">
        <v>44854</v>
      </c>
      <c r="D2381" s="49">
        <v>42</v>
      </c>
      <c r="E2381" s="13" t="s">
        <v>2826</v>
      </c>
      <c r="F2381" s="13">
        <v>3025457</v>
      </c>
      <c r="G2381" s="37">
        <v>28503.5</v>
      </c>
      <c r="H2381" s="33">
        <v>8800</v>
      </c>
      <c r="I2381" s="16">
        <f>H2381*G2381</f>
        <v>250830800</v>
      </c>
      <c r="J2381" s="17">
        <v>60</v>
      </c>
      <c r="K2381" s="34">
        <v>4502430360</v>
      </c>
      <c r="L2381" s="126">
        <v>5084149147</v>
      </c>
      <c r="M2381" s="20">
        <v>5113666622</v>
      </c>
      <c r="N2381" s="128"/>
      <c r="O2381" s="9" t="s">
        <v>37</v>
      </c>
      <c r="P2381" s="23"/>
      <c r="Q2381" s="24" t="s">
        <v>31</v>
      </c>
      <c r="R2381" s="25">
        <v>44850</v>
      </c>
      <c r="S2381" s="28"/>
      <c r="T2381" s="35"/>
      <c r="U2381" s="35"/>
      <c r="V2381" s="29"/>
      <c r="W2381" s="35"/>
      <c r="X2381" s="29"/>
      <c r="Y2381" s="36"/>
      <c r="Z2381" s="29"/>
      <c r="AA2381" s="31">
        <f t="shared" si="1"/>
        <v>44850</v>
      </c>
      <c r="AB2381" s="32" t="str">
        <f t="shared" si="5"/>
        <v>octubre</v>
      </c>
    </row>
    <row r="2382" spans="1:28" ht="12.75">
      <c r="A2382" s="9" t="s">
        <v>58</v>
      </c>
      <c r="B2382" s="10">
        <v>44854</v>
      </c>
      <c r="C2382" s="11">
        <v>44854</v>
      </c>
      <c r="D2382" s="49">
        <v>42</v>
      </c>
      <c r="E2382" s="13" t="s">
        <v>2827</v>
      </c>
      <c r="F2382" s="13">
        <v>3025457</v>
      </c>
      <c r="G2382" s="37">
        <v>28503.5</v>
      </c>
      <c r="H2382" s="33">
        <f>8800-8788.36</f>
        <v>11.639999999999418</v>
      </c>
      <c r="I2382" s="16">
        <f>-H2382*G2382</f>
        <v>-331780.7399999834</v>
      </c>
      <c r="J2382" s="17">
        <v>0</v>
      </c>
      <c r="K2382" s="34">
        <v>4502430360</v>
      </c>
      <c r="L2382" s="126">
        <v>5084149147</v>
      </c>
      <c r="M2382" s="20">
        <v>5113666625</v>
      </c>
      <c r="N2382" s="128"/>
      <c r="O2382" s="22"/>
      <c r="P2382" s="23"/>
      <c r="Q2382" s="24" t="s">
        <v>31</v>
      </c>
      <c r="R2382" s="25">
        <v>44850</v>
      </c>
      <c r="S2382" s="28"/>
      <c r="T2382" s="35"/>
      <c r="U2382" s="35"/>
      <c r="V2382" s="29"/>
      <c r="W2382" s="35"/>
      <c r="X2382" s="29"/>
      <c r="Y2382" s="36"/>
      <c r="Z2382" s="29"/>
      <c r="AA2382" s="31">
        <f t="shared" si="1"/>
        <v>44850</v>
      </c>
      <c r="AB2382" s="32" t="str">
        <f t="shared" si="5"/>
        <v>octubre</v>
      </c>
    </row>
    <row r="2383" spans="1:28" ht="12.75">
      <c r="A2383" s="9" t="s">
        <v>58</v>
      </c>
      <c r="B2383" s="10">
        <v>44854</v>
      </c>
      <c r="C2383" s="11">
        <v>44854</v>
      </c>
      <c r="D2383" s="49">
        <v>42</v>
      </c>
      <c r="E2383" s="13" t="s">
        <v>2828</v>
      </c>
      <c r="F2383" s="13">
        <v>3025457</v>
      </c>
      <c r="G2383" s="14">
        <v>17148</v>
      </c>
      <c r="H2383" s="33">
        <v>8800</v>
      </c>
      <c r="I2383" s="16">
        <f t="shared" ref="I2383:I2384" si="353">H2383*G2383</f>
        <v>150902400</v>
      </c>
      <c r="J2383" s="17">
        <v>32</v>
      </c>
      <c r="K2383" s="34">
        <v>4502430360</v>
      </c>
      <c r="L2383" s="126">
        <v>5084149147</v>
      </c>
      <c r="M2383" s="20">
        <v>5113666658</v>
      </c>
      <c r="N2383" s="128"/>
      <c r="O2383" s="9" t="s">
        <v>37</v>
      </c>
      <c r="P2383" s="23"/>
      <c r="Q2383" s="24" t="s">
        <v>31</v>
      </c>
      <c r="R2383" s="25">
        <v>44850</v>
      </c>
      <c r="S2383" s="28"/>
      <c r="T2383" s="35"/>
      <c r="U2383" s="35"/>
      <c r="V2383" s="29"/>
      <c r="W2383" s="35"/>
      <c r="X2383" s="29"/>
      <c r="Y2383" s="36"/>
      <c r="Z2383" s="29"/>
      <c r="AA2383" s="31">
        <f t="shared" si="1"/>
        <v>44850</v>
      </c>
      <c r="AB2383" s="32" t="str">
        <f t="shared" si="5"/>
        <v>octubre</v>
      </c>
    </row>
    <row r="2384" spans="1:28" ht="12.75">
      <c r="A2384" s="22" t="s">
        <v>404</v>
      </c>
      <c r="B2384" s="10">
        <v>44850</v>
      </c>
      <c r="C2384" s="11">
        <v>44854</v>
      </c>
      <c r="D2384" s="49">
        <v>42</v>
      </c>
      <c r="E2384" s="13" t="s">
        <v>2829</v>
      </c>
      <c r="F2384" s="13">
        <v>3025457</v>
      </c>
      <c r="G2384" s="37">
        <v>14387.5</v>
      </c>
      <c r="H2384" s="33">
        <v>8800</v>
      </c>
      <c r="I2384" s="16">
        <f t="shared" si="353"/>
        <v>126610000</v>
      </c>
      <c r="J2384" s="17">
        <v>29</v>
      </c>
      <c r="K2384" s="34">
        <v>4502430361</v>
      </c>
      <c r="L2384" s="126">
        <v>5084149184</v>
      </c>
      <c r="M2384" s="20">
        <v>5113664603</v>
      </c>
      <c r="N2384" s="128"/>
      <c r="O2384" s="9" t="s">
        <v>37</v>
      </c>
      <c r="P2384" s="23"/>
      <c r="Q2384" s="24" t="s">
        <v>31</v>
      </c>
      <c r="R2384" s="25">
        <v>44850</v>
      </c>
      <c r="S2384" s="28"/>
      <c r="T2384" s="35"/>
      <c r="U2384" s="35"/>
      <c r="V2384" s="29"/>
      <c r="W2384" s="35"/>
      <c r="X2384" s="29"/>
      <c r="Y2384" s="36"/>
      <c r="Z2384" s="29"/>
      <c r="AA2384" s="31">
        <f t="shared" si="1"/>
        <v>44850</v>
      </c>
      <c r="AB2384" s="32" t="str">
        <f t="shared" si="5"/>
        <v>octubre</v>
      </c>
    </row>
    <row r="2385" spans="1:28" ht="12.75">
      <c r="A2385" s="22" t="s">
        <v>404</v>
      </c>
      <c r="B2385" s="10">
        <v>44854</v>
      </c>
      <c r="C2385" s="11">
        <v>44854</v>
      </c>
      <c r="D2385" s="49">
        <v>42</v>
      </c>
      <c r="E2385" s="13" t="s">
        <v>718</v>
      </c>
      <c r="F2385" s="13">
        <v>3025457</v>
      </c>
      <c r="G2385" s="37">
        <v>14387.5</v>
      </c>
      <c r="H2385" s="33">
        <f>8800-8671.81</f>
        <v>128.19000000000051</v>
      </c>
      <c r="I2385" s="16">
        <f>-H2385*G2385</f>
        <v>-1844333.6250000072</v>
      </c>
      <c r="J2385" s="17">
        <v>0</v>
      </c>
      <c r="K2385" s="34">
        <v>4502430361</v>
      </c>
      <c r="L2385" s="126">
        <v>5084149184</v>
      </c>
      <c r="M2385" s="20">
        <v>5113664604</v>
      </c>
      <c r="N2385" s="128"/>
      <c r="O2385" s="22"/>
      <c r="P2385" s="23"/>
      <c r="Q2385" s="24" t="s">
        <v>31</v>
      </c>
      <c r="R2385" s="25">
        <v>44850</v>
      </c>
      <c r="S2385" s="28"/>
      <c r="T2385" s="35"/>
      <c r="U2385" s="35"/>
      <c r="V2385" s="29"/>
      <c r="W2385" s="35"/>
      <c r="X2385" s="29"/>
      <c r="Y2385" s="36"/>
      <c r="Z2385" s="29"/>
      <c r="AA2385" s="31">
        <f t="shared" si="1"/>
        <v>44850</v>
      </c>
      <c r="AB2385" s="32" t="str">
        <f t="shared" si="5"/>
        <v>octubre</v>
      </c>
    </row>
    <row r="2386" spans="1:28" ht="12.75">
      <c r="A2386" s="22" t="s">
        <v>404</v>
      </c>
      <c r="B2386" s="10">
        <v>44850</v>
      </c>
      <c r="C2386" s="11">
        <v>44854</v>
      </c>
      <c r="D2386" s="49">
        <v>42</v>
      </c>
      <c r="E2386" s="13" t="s">
        <v>2830</v>
      </c>
      <c r="F2386" s="13">
        <v>3025457</v>
      </c>
      <c r="G2386" s="14">
        <v>13459</v>
      </c>
      <c r="H2386" s="33">
        <v>8800</v>
      </c>
      <c r="I2386" s="16">
        <f t="shared" ref="I2386:I2392" si="354">H2386*G2386</f>
        <v>118439200</v>
      </c>
      <c r="J2386" s="17">
        <v>29</v>
      </c>
      <c r="K2386" s="34">
        <v>4502430361</v>
      </c>
      <c r="L2386" s="126">
        <v>5084149184</v>
      </c>
      <c r="M2386" s="20">
        <v>5113664677</v>
      </c>
      <c r="N2386" s="128"/>
      <c r="O2386" s="9" t="s">
        <v>37</v>
      </c>
      <c r="P2386" s="23"/>
      <c r="Q2386" s="24" t="s">
        <v>31</v>
      </c>
      <c r="R2386" s="25">
        <v>44850</v>
      </c>
      <c r="S2386" s="28"/>
      <c r="T2386" s="35"/>
      <c r="U2386" s="35"/>
      <c r="V2386" s="29"/>
      <c r="W2386" s="35"/>
      <c r="X2386" s="29"/>
      <c r="Y2386" s="36"/>
      <c r="Z2386" s="29"/>
      <c r="AA2386" s="31">
        <f t="shared" si="1"/>
        <v>44850</v>
      </c>
      <c r="AB2386" s="32" t="str">
        <f t="shared" si="5"/>
        <v>octubre</v>
      </c>
    </row>
    <row r="2387" spans="1:28" ht="12.75">
      <c r="A2387" s="22" t="s">
        <v>404</v>
      </c>
      <c r="B2387" s="10">
        <v>44854</v>
      </c>
      <c r="C2387" s="11">
        <v>44854</v>
      </c>
      <c r="D2387" s="49">
        <v>42</v>
      </c>
      <c r="E2387" s="13" t="s">
        <v>767</v>
      </c>
      <c r="F2387" s="13">
        <v>3025457</v>
      </c>
      <c r="G2387" s="14">
        <v>13459</v>
      </c>
      <c r="H2387" s="33">
        <v>21.09</v>
      </c>
      <c r="I2387" s="16">
        <f t="shared" si="354"/>
        <v>283850.31</v>
      </c>
      <c r="J2387" s="17">
        <v>0</v>
      </c>
      <c r="K2387" s="34">
        <v>4502430361</v>
      </c>
      <c r="L2387" s="126">
        <v>5084149184</v>
      </c>
      <c r="M2387" s="20">
        <v>5113664678</v>
      </c>
      <c r="N2387" s="128"/>
      <c r="O2387" s="22"/>
      <c r="P2387" s="23"/>
      <c r="Q2387" s="24" t="s">
        <v>31</v>
      </c>
      <c r="R2387" s="25">
        <v>44850</v>
      </c>
      <c r="S2387" s="28"/>
      <c r="T2387" s="35"/>
      <c r="U2387" s="35"/>
      <c r="V2387" s="29"/>
      <c r="W2387" s="35"/>
      <c r="X2387" s="29"/>
      <c r="Y2387" s="36"/>
      <c r="Z2387" s="29"/>
      <c r="AA2387" s="31">
        <f t="shared" si="1"/>
        <v>44850</v>
      </c>
      <c r="AB2387" s="32" t="str">
        <f t="shared" si="5"/>
        <v>octubre</v>
      </c>
    </row>
    <row r="2388" spans="1:28" ht="12.75">
      <c r="A2388" s="9" t="s">
        <v>168</v>
      </c>
      <c r="B2388" s="10">
        <v>44854</v>
      </c>
      <c r="C2388" s="11">
        <v>44854</v>
      </c>
      <c r="D2388" s="49">
        <v>42</v>
      </c>
      <c r="E2388" s="13" t="s">
        <v>2831</v>
      </c>
      <c r="F2388" s="13">
        <v>3025457</v>
      </c>
      <c r="G2388" s="37">
        <v>13408</v>
      </c>
      <c r="H2388" s="33">
        <v>8800</v>
      </c>
      <c r="I2388" s="16">
        <f t="shared" si="354"/>
        <v>117990400</v>
      </c>
      <c r="J2388" s="17">
        <v>28</v>
      </c>
      <c r="K2388" s="34">
        <v>4502430363</v>
      </c>
      <c r="L2388" s="126">
        <v>5084149187</v>
      </c>
      <c r="M2388" s="20">
        <v>5113664516</v>
      </c>
      <c r="N2388" s="128"/>
      <c r="O2388" s="9" t="s">
        <v>63</v>
      </c>
      <c r="P2388" s="23"/>
      <c r="Q2388" s="24" t="s">
        <v>31</v>
      </c>
      <c r="R2388" s="25">
        <v>44850</v>
      </c>
      <c r="S2388" s="28"/>
      <c r="T2388" s="35"/>
      <c r="U2388" s="35"/>
      <c r="V2388" s="29"/>
      <c r="W2388" s="35"/>
      <c r="X2388" s="29"/>
      <c r="Y2388" s="36"/>
      <c r="Z2388" s="29"/>
      <c r="AA2388" s="31">
        <f t="shared" si="1"/>
        <v>44850</v>
      </c>
      <c r="AB2388" s="32" t="str">
        <f t="shared" si="5"/>
        <v>octubre</v>
      </c>
    </row>
    <row r="2389" spans="1:28" ht="12.75">
      <c r="A2389" s="9" t="s">
        <v>2832</v>
      </c>
      <c r="B2389" s="10">
        <v>44856</v>
      </c>
      <c r="C2389" s="11">
        <v>44856</v>
      </c>
      <c r="D2389" s="49">
        <v>42</v>
      </c>
      <c r="E2389" s="13" t="s">
        <v>2833</v>
      </c>
      <c r="F2389" s="13">
        <v>3025459</v>
      </c>
      <c r="G2389" s="14">
        <v>8171</v>
      </c>
      <c r="H2389" s="15">
        <v>8050</v>
      </c>
      <c r="I2389" s="16">
        <f t="shared" si="354"/>
        <v>65776550</v>
      </c>
      <c r="J2389" s="17">
        <v>13</v>
      </c>
      <c r="K2389" s="34">
        <v>4502432253</v>
      </c>
      <c r="L2389" s="126">
        <v>5084149538</v>
      </c>
      <c r="M2389" s="20">
        <v>5113670136</v>
      </c>
      <c r="N2389" s="128" t="s">
        <v>63</v>
      </c>
      <c r="O2389" s="88" t="s">
        <v>2834</v>
      </c>
      <c r="P2389" s="23"/>
      <c r="Q2389" s="24" t="s">
        <v>31</v>
      </c>
      <c r="R2389" s="25">
        <v>44850</v>
      </c>
      <c r="S2389" s="28">
        <v>4902366630</v>
      </c>
      <c r="T2389" s="27">
        <v>2860900</v>
      </c>
      <c r="U2389" s="28" t="s">
        <v>2835</v>
      </c>
      <c r="V2389" s="29">
        <v>5113660931</v>
      </c>
      <c r="W2389" s="35"/>
      <c r="X2389" s="29"/>
      <c r="Y2389" s="36"/>
      <c r="Z2389" s="29"/>
      <c r="AA2389" s="31">
        <f t="shared" si="1"/>
        <v>44850</v>
      </c>
      <c r="AB2389" s="32" t="str">
        <f t="shared" si="5"/>
        <v>octubre</v>
      </c>
    </row>
    <row r="2390" spans="1:28" ht="12.75">
      <c r="A2390" s="9" t="s">
        <v>2832</v>
      </c>
      <c r="B2390" s="10">
        <v>44858</v>
      </c>
      <c r="C2390" s="11">
        <v>44858</v>
      </c>
      <c r="D2390" s="49">
        <v>42</v>
      </c>
      <c r="E2390" s="13" t="s">
        <v>2836</v>
      </c>
      <c r="F2390" s="13">
        <v>3025459</v>
      </c>
      <c r="G2390" s="14">
        <v>8171</v>
      </c>
      <c r="H2390" s="15">
        <v>150</v>
      </c>
      <c r="I2390" s="16">
        <f t="shared" si="354"/>
        <v>1225650</v>
      </c>
      <c r="J2390" s="17">
        <v>0</v>
      </c>
      <c r="K2390" s="34">
        <v>4502432253</v>
      </c>
      <c r="L2390" s="126">
        <v>5084149538</v>
      </c>
      <c r="M2390" s="20">
        <v>5113673827</v>
      </c>
      <c r="N2390" s="128"/>
      <c r="O2390" s="88" t="s">
        <v>2834</v>
      </c>
      <c r="P2390" s="23"/>
      <c r="Q2390" s="24" t="s">
        <v>31</v>
      </c>
      <c r="R2390" s="25">
        <v>44850</v>
      </c>
      <c r="S2390" s="28"/>
      <c r="T2390" s="27"/>
      <c r="U2390" s="28"/>
      <c r="V2390" s="29"/>
      <c r="W2390" s="35"/>
      <c r="X2390" s="29"/>
      <c r="Y2390" s="36"/>
      <c r="Z2390" s="29"/>
      <c r="AA2390" s="31">
        <f t="shared" si="1"/>
        <v>44850</v>
      </c>
      <c r="AB2390" s="32" t="str">
        <f t="shared" si="5"/>
        <v>octubre</v>
      </c>
    </row>
    <row r="2391" spans="1:28" ht="12.75">
      <c r="A2391" s="9" t="s">
        <v>49</v>
      </c>
      <c r="B2391" s="10">
        <v>44850</v>
      </c>
      <c r="C2391" s="11">
        <v>44854</v>
      </c>
      <c r="D2391" s="49">
        <v>42</v>
      </c>
      <c r="E2391" s="13" t="s">
        <v>2837</v>
      </c>
      <c r="F2391" s="13">
        <v>3025459</v>
      </c>
      <c r="G2391" s="14">
        <v>14549</v>
      </c>
      <c r="H2391" s="15">
        <v>8050</v>
      </c>
      <c r="I2391" s="16">
        <f t="shared" si="354"/>
        <v>117119450</v>
      </c>
      <c r="J2391" s="17">
        <v>28</v>
      </c>
      <c r="K2391" s="34">
        <v>4502432265</v>
      </c>
      <c r="L2391" s="126">
        <v>5084134102</v>
      </c>
      <c r="M2391" s="20">
        <v>5113666811</v>
      </c>
      <c r="N2391" s="9" t="s">
        <v>63</v>
      </c>
      <c r="O2391" s="88" t="s">
        <v>2838</v>
      </c>
      <c r="P2391" s="9"/>
      <c r="Q2391" s="24" t="s">
        <v>31</v>
      </c>
      <c r="R2391" s="25">
        <v>44850</v>
      </c>
      <c r="S2391" s="28">
        <v>4902366631</v>
      </c>
      <c r="T2391" s="27">
        <f>2982600*2</f>
        <v>5965200</v>
      </c>
      <c r="U2391" s="28" t="s">
        <v>2839</v>
      </c>
      <c r="V2391" s="29">
        <v>5113665705</v>
      </c>
      <c r="W2391" s="35"/>
      <c r="X2391" s="29"/>
      <c r="Y2391" s="36"/>
      <c r="Z2391" s="29"/>
      <c r="AA2391" s="31">
        <f t="shared" si="1"/>
        <v>44850</v>
      </c>
      <c r="AB2391" s="32" t="str">
        <f t="shared" si="5"/>
        <v>octubre</v>
      </c>
    </row>
    <row r="2392" spans="1:28" ht="12.75">
      <c r="A2392" s="9" t="s">
        <v>58</v>
      </c>
      <c r="B2392" s="10">
        <v>44854</v>
      </c>
      <c r="C2392" s="11">
        <v>44854</v>
      </c>
      <c r="D2392" s="49">
        <v>42</v>
      </c>
      <c r="E2392" s="13" t="s">
        <v>2840</v>
      </c>
      <c r="F2392" s="13">
        <v>3025457</v>
      </c>
      <c r="G2392" s="37">
        <v>19786.5</v>
      </c>
      <c r="H2392" s="33">
        <v>8800</v>
      </c>
      <c r="I2392" s="16">
        <f t="shared" si="354"/>
        <v>174121200</v>
      </c>
      <c r="J2392" s="17">
        <v>43</v>
      </c>
      <c r="K2392" s="34">
        <v>4502430364</v>
      </c>
      <c r="L2392" s="126">
        <v>5084149380</v>
      </c>
      <c r="M2392" s="20">
        <v>5113666659</v>
      </c>
      <c r="N2392" s="128"/>
      <c r="O2392" s="9" t="s">
        <v>37</v>
      </c>
      <c r="P2392" s="23"/>
      <c r="Q2392" s="24" t="s">
        <v>31</v>
      </c>
      <c r="R2392" s="25">
        <v>44851</v>
      </c>
      <c r="S2392" s="28"/>
      <c r="T2392" s="35"/>
      <c r="U2392" s="35"/>
      <c r="V2392" s="29"/>
      <c r="W2392" s="35"/>
      <c r="X2392" s="29"/>
      <c r="Y2392" s="36"/>
      <c r="Z2392" s="29"/>
      <c r="AA2392" s="31">
        <f t="shared" si="1"/>
        <v>44851</v>
      </c>
      <c r="AB2392" s="32" t="str">
        <f t="shared" si="5"/>
        <v>octubre</v>
      </c>
    </row>
    <row r="2393" spans="1:28" ht="12.75">
      <c r="A2393" s="9" t="s">
        <v>58</v>
      </c>
      <c r="B2393" s="10">
        <v>44854</v>
      </c>
      <c r="C2393" s="11">
        <v>44854</v>
      </c>
      <c r="D2393" s="49">
        <v>42</v>
      </c>
      <c r="E2393" s="13" t="s">
        <v>2841</v>
      </c>
      <c r="F2393" s="13">
        <v>3025457</v>
      </c>
      <c r="G2393" s="37">
        <v>19786.5</v>
      </c>
      <c r="H2393" s="33">
        <f>8800-8794.26</f>
        <v>5.7399999999997817</v>
      </c>
      <c r="I2393" s="16">
        <f>-H2393*G2393</f>
        <v>-113574.50999999569</v>
      </c>
      <c r="J2393" s="17">
        <v>0</v>
      </c>
      <c r="K2393" s="34">
        <v>4502430364</v>
      </c>
      <c r="L2393" s="126">
        <v>5084149380</v>
      </c>
      <c r="M2393" s="20">
        <v>5113666663</v>
      </c>
      <c r="N2393" s="128"/>
      <c r="O2393" s="22"/>
      <c r="P2393" s="23"/>
      <c r="Q2393" s="24" t="s">
        <v>31</v>
      </c>
      <c r="R2393" s="25">
        <v>44851</v>
      </c>
      <c r="S2393" s="28"/>
      <c r="T2393" s="35"/>
      <c r="U2393" s="35"/>
      <c r="V2393" s="29"/>
      <c r="W2393" s="35"/>
      <c r="X2393" s="29"/>
      <c r="Y2393" s="36"/>
      <c r="Z2393" s="29"/>
      <c r="AA2393" s="31">
        <f t="shared" si="1"/>
        <v>44851</v>
      </c>
      <c r="AB2393" s="32" t="str">
        <f t="shared" si="5"/>
        <v>octubre</v>
      </c>
    </row>
    <row r="2394" spans="1:28" ht="12.75">
      <c r="A2394" s="22" t="s">
        <v>404</v>
      </c>
      <c r="B2394" s="10">
        <v>44851</v>
      </c>
      <c r="C2394" s="11">
        <v>44854</v>
      </c>
      <c r="D2394" s="49">
        <v>42</v>
      </c>
      <c r="E2394" s="13" t="s">
        <v>2842</v>
      </c>
      <c r="F2394" s="13">
        <v>3025457</v>
      </c>
      <c r="G2394" s="14">
        <v>13715</v>
      </c>
      <c r="H2394" s="33">
        <v>8800</v>
      </c>
      <c r="I2394" s="16">
        <f t="shared" ref="I2394:I2400" si="355">H2394*G2394</f>
        <v>120692000</v>
      </c>
      <c r="J2394" s="17">
        <v>30</v>
      </c>
      <c r="K2394" s="34">
        <v>4502430365</v>
      </c>
      <c r="L2394" s="126">
        <v>5084149382</v>
      </c>
      <c r="M2394" s="20">
        <v>5113664680</v>
      </c>
      <c r="N2394" s="128"/>
      <c r="O2394" s="9" t="s">
        <v>37</v>
      </c>
      <c r="P2394" s="23"/>
      <c r="Q2394" s="24" t="s">
        <v>31</v>
      </c>
      <c r="R2394" s="25">
        <v>44851</v>
      </c>
      <c r="S2394" s="28"/>
      <c r="T2394" s="35"/>
      <c r="U2394" s="35"/>
      <c r="V2394" s="29"/>
      <c r="W2394" s="35"/>
      <c r="X2394" s="29"/>
      <c r="Y2394" s="36"/>
      <c r="Z2394" s="29"/>
      <c r="AA2394" s="31">
        <f t="shared" si="1"/>
        <v>44851</v>
      </c>
      <c r="AB2394" s="32" t="str">
        <f t="shared" si="5"/>
        <v>octubre</v>
      </c>
    </row>
    <row r="2395" spans="1:28" ht="12.75">
      <c r="A2395" s="22" t="s">
        <v>404</v>
      </c>
      <c r="B2395" s="10">
        <v>44854</v>
      </c>
      <c r="C2395" s="11">
        <v>44854</v>
      </c>
      <c r="D2395" s="49">
        <v>42</v>
      </c>
      <c r="E2395" s="13" t="s">
        <v>546</v>
      </c>
      <c r="F2395" s="13">
        <v>3025457</v>
      </c>
      <c r="G2395" s="14">
        <v>13715</v>
      </c>
      <c r="H2395" s="33">
        <f>50</f>
        <v>50</v>
      </c>
      <c r="I2395" s="16">
        <f t="shared" si="355"/>
        <v>685750</v>
      </c>
      <c r="J2395" s="17">
        <v>0</v>
      </c>
      <c r="K2395" s="34">
        <v>4502430365</v>
      </c>
      <c r="L2395" s="126">
        <v>5084149382</v>
      </c>
      <c r="M2395" s="20">
        <v>5113664681</v>
      </c>
      <c r="N2395" s="128"/>
      <c r="O2395" s="22"/>
      <c r="P2395" s="23"/>
      <c r="Q2395" s="24" t="s">
        <v>31</v>
      </c>
      <c r="R2395" s="25">
        <v>44851</v>
      </c>
      <c r="S2395" s="28"/>
      <c r="T2395" s="35"/>
      <c r="U2395" s="35"/>
      <c r="V2395" s="29"/>
      <c r="W2395" s="35"/>
      <c r="X2395" s="29"/>
      <c r="Y2395" s="36"/>
      <c r="Z2395" s="29"/>
      <c r="AA2395" s="31">
        <f t="shared" si="1"/>
        <v>44851</v>
      </c>
      <c r="AB2395" s="32" t="str">
        <f t="shared" si="5"/>
        <v>octubre</v>
      </c>
    </row>
    <row r="2396" spans="1:28" ht="12.75">
      <c r="A2396" s="9" t="s">
        <v>96</v>
      </c>
      <c r="B2396" s="10">
        <v>44854</v>
      </c>
      <c r="C2396" s="11"/>
      <c r="D2396" s="49">
        <v>42</v>
      </c>
      <c r="E2396" s="13" t="s">
        <v>2843</v>
      </c>
      <c r="F2396" s="13">
        <v>3025457</v>
      </c>
      <c r="G2396" s="14">
        <v>25124</v>
      </c>
      <c r="H2396" s="33">
        <v>8450</v>
      </c>
      <c r="I2396" s="16">
        <f t="shared" si="355"/>
        <v>212297800</v>
      </c>
      <c r="J2396" s="17">
        <v>56</v>
      </c>
      <c r="K2396" s="34">
        <v>4502430366</v>
      </c>
      <c r="L2396" s="126">
        <v>5084149383</v>
      </c>
      <c r="M2396" s="20">
        <v>5113664598</v>
      </c>
      <c r="N2396" s="128"/>
      <c r="O2396" s="23" t="s">
        <v>63</v>
      </c>
      <c r="P2396" s="23"/>
      <c r="Q2396" s="24" t="s">
        <v>31</v>
      </c>
      <c r="R2396" s="25">
        <v>44851</v>
      </c>
      <c r="S2396" s="28"/>
      <c r="T2396" s="35"/>
      <c r="U2396" s="35"/>
      <c r="V2396" s="29"/>
      <c r="W2396" s="35"/>
      <c r="X2396" s="29"/>
      <c r="Y2396" s="36"/>
      <c r="Z2396" s="29"/>
      <c r="AA2396" s="31">
        <f t="shared" si="1"/>
        <v>44851</v>
      </c>
      <c r="AB2396" s="32" t="str">
        <f t="shared" si="5"/>
        <v>octubre</v>
      </c>
    </row>
    <row r="2397" spans="1:28" ht="12.75">
      <c r="A2397" s="9" t="s">
        <v>96</v>
      </c>
      <c r="B2397" s="10">
        <v>44854</v>
      </c>
      <c r="C2397" s="11"/>
      <c r="D2397" s="49">
        <v>42</v>
      </c>
      <c r="E2397" s="13" t="s">
        <v>2844</v>
      </c>
      <c r="F2397" s="13">
        <v>3025457</v>
      </c>
      <c r="G2397" s="14">
        <v>25124</v>
      </c>
      <c r="H2397" s="33">
        <v>17.7</v>
      </c>
      <c r="I2397" s="16">
        <f t="shared" si="355"/>
        <v>444694.8</v>
      </c>
      <c r="J2397" s="17">
        <v>0</v>
      </c>
      <c r="K2397" s="34">
        <v>4502430366</v>
      </c>
      <c r="L2397" s="126">
        <v>5084149383</v>
      </c>
      <c r="M2397" s="20">
        <v>5113664600</v>
      </c>
      <c r="N2397" s="128"/>
      <c r="O2397" s="22"/>
      <c r="P2397" s="23"/>
      <c r="Q2397" s="24" t="s">
        <v>31</v>
      </c>
      <c r="R2397" s="25">
        <v>44851</v>
      </c>
      <c r="S2397" s="28"/>
      <c r="T2397" s="35"/>
      <c r="U2397" s="35"/>
      <c r="V2397" s="29"/>
      <c r="W2397" s="35"/>
      <c r="X2397" s="29"/>
      <c r="Y2397" s="36"/>
      <c r="Z2397" s="29"/>
      <c r="AA2397" s="31">
        <f t="shared" si="1"/>
        <v>44851</v>
      </c>
      <c r="AB2397" s="32" t="str">
        <f t="shared" si="5"/>
        <v>octubre</v>
      </c>
    </row>
    <row r="2398" spans="1:28" ht="12.75">
      <c r="A2398" s="9" t="s">
        <v>94</v>
      </c>
      <c r="B2398" s="10">
        <v>44856</v>
      </c>
      <c r="C2398" s="11"/>
      <c r="D2398" s="49">
        <v>42</v>
      </c>
      <c r="E2398" s="13" t="s">
        <v>2845</v>
      </c>
      <c r="F2398" s="13">
        <v>3025457</v>
      </c>
      <c r="G2398" s="14">
        <v>12758</v>
      </c>
      <c r="H2398" s="15">
        <v>8150</v>
      </c>
      <c r="I2398" s="16">
        <f t="shared" si="355"/>
        <v>103977700</v>
      </c>
      <c r="J2398" s="17">
        <v>28</v>
      </c>
      <c r="K2398" s="34">
        <v>4502432268</v>
      </c>
      <c r="L2398" s="126">
        <v>5084167296</v>
      </c>
      <c r="M2398" s="20">
        <v>5113670203</v>
      </c>
      <c r="N2398" s="128"/>
      <c r="O2398" s="88" t="s">
        <v>1046</v>
      </c>
      <c r="P2398" s="9" t="s">
        <v>63</v>
      </c>
      <c r="Q2398" s="24" t="s">
        <v>31</v>
      </c>
      <c r="R2398" s="25">
        <v>44852</v>
      </c>
      <c r="S2398" s="28">
        <v>4902366632</v>
      </c>
      <c r="T2398" s="35">
        <f>1623900*2</f>
        <v>3247800</v>
      </c>
      <c r="U2398" s="28" t="s">
        <v>2846</v>
      </c>
      <c r="V2398" s="29">
        <v>5113665437</v>
      </c>
      <c r="W2398" s="35"/>
      <c r="X2398" s="29"/>
      <c r="Y2398" s="36"/>
      <c r="Z2398" s="29"/>
      <c r="AA2398" s="31">
        <f t="shared" si="1"/>
        <v>44852</v>
      </c>
      <c r="AB2398" s="32" t="str">
        <f t="shared" si="5"/>
        <v>octubre</v>
      </c>
    </row>
    <row r="2399" spans="1:28" ht="12.75">
      <c r="A2399" s="9" t="s">
        <v>94</v>
      </c>
      <c r="B2399" s="10">
        <v>44856</v>
      </c>
      <c r="C2399" s="11"/>
      <c r="D2399" s="49">
        <v>42</v>
      </c>
      <c r="E2399" s="13" t="s">
        <v>2847</v>
      </c>
      <c r="F2399" s="13">
        <v>3025457</v>
      </c>
      <c r="G2399" s="14">
        <v>12758</v>
      </c>
      <c r="H2399" s="15">
        <v>24</v>
      </c>
      <c r="I2399" s="16">
        <f t="shared" si="355"/>
        <v>306192</v>
      </c>
      <c r="J2399" s="17">
        <v>0</v>
      </c>
      <c r="K2399" s="34">
        <v>4502432268</v>
      </c>
      <c r="L2399" s="126">
        <v>5084167296</v>
      </c>
      <c r="M2399" s="20">
        <v>5113670205</v>
      </c>
      <c r="N2399" s="128"/>
      <c r="O2399" s="88"/>
      <c r="P2399" s="23"/>
      <c r="Q2399" s="24" t="s">
        <v>31</v>
      </c>
      <c r="R2399" s="25">
        <v>44852</v>
      </c>
      <c r="S2399" s="28"/>
      <c r="T2399" s="35"/>
      <c r="U2399" s="28"/>
      <c r="V2399" s="29"/>
      <c r="W2399" s="35"/>
      <c r="X2399" s="29"/>
      <c r="Y2399" s="36"/>
      <c r="Z2399" s="29"/>
      <c r="AA2399" s="31">
        <f t="shared" si="1"/>
        <v>44852</v>
      </c>
      <c r="AB2399" s="32" t="str">
        <f t="shared" si="5"/>
        <v>octubre</v>
      </c>
    </row>
    <row r="2400" spans="1:28" ht="12.75">
      <c r="A2400" s="9" t="s">
        <v>2135</v>
      </c>
      <c r="B2400" s="10">
        <v>44855</v>
      </c>
      <c r="C2400" s="11"/>
      <c r="D2400" s="49">
        <v>42</v>
      </c>
      <c r="E2400" s="13" t="s">
        <v>2848</v>
      </c>
      <c r="F2400" s="13">
        <v>3025457</v>
      </c>
      <c r="G2400" s="14">
        <v>6461</v>
      </c>
      <c r="H2400" s="33">
        <v>8350</v>
      </c>
      <c r="I2400" s="16">
        <f t="shared" si="355"/>
        <v>53949350</v>
      </c>
      <c r="J2400" s="17">
        <v>15</v>
      </c>
      <c r="K2400" s="34">
        <v>4502430367</v>
      </c>
      <c r="L2400" s="126">
        <v>5084159701</v>
      </c>
      <c r="M2400" s="20">
        <v>5113670238</v>
      </c>
      <c r="N2400" s="128"/>
      <c r="O2400" s="88" t="s">
        <v>63</v>
      </c>
      <c r="P2400" s="23"/>
      <c r="Q2400" s="24" t="s">
        <v>31</v>
      </c>
      <c r="R2400" s="25">
        <v>44852</v>
      </c>
      <c r="S2400" s="28"/>
      <c r="T2400" s="35"/>
      <c r="U2400" s="35"/>
      <c r="V2400" s="29"/>
      <c r="W2400" s="35"/>
      <c r="X2400" s="29"/>
      <c r="Y2400" s="36"/>
      <c r="Z2400" s="29"/>
      <c r="AA2400" s="31">
        <f t="shared" si="1"/>
        <v>44852</v>
      </c>
      <c r="AB2400" s="32" t="str">
        <f t="shared" si="5"/>
        <v>octubre</v>
      </c>
    </row>
    <row r="2401" spans="1:28" ht="12.75">
      <c r="A2401" s="9" t="s">
        <v>2135</v>
      </c>
      <c r="B2401" s="10">
        <v>44855</v>
      </c>
      <c r="C2401" s="11"/>
      <c r="D2401" s="49">
        <v>42</v>
      </c>
      <c r="E2401" s="13" t="s">
        <v>2849</v>
      </c>
      <c r="F2401" s="13">
        <v>3025457</v>
      </c>
      <c r="G2401" s="14">
        <v>6461</v>
      </c>
      <c r="H2401" s="33">
        <f>8350-8214.89</f>
        <v>135.11000000000058</v>
      </c>
      <c r="I2401" s="16">
        <f>-H2401*G2401</f>
        <v>-872945.7100000038</v>
      </c>
      <c r="J2401" s="17">
        <v>0</v>
      </c>
      <c r="K2401" s="34">
        <v>4502430367</v>
      </c>
      <c r="L2401" s="126">
        <v>5084159701</v>
      </c>
      <c r="M2401" s="20">
        <v>5113670239</v>
      </c>
      <c r="N2401" s="128"/>
      <c r="O2401" s="22"/>
      <c r="P2401" s="23"/>
      <c r="Q2401" s="24" t="s">
        <v>31</v>
      </c>
      <c r="R2401" s="25">
        <v>44852</v>
      </c>
      <c r="S2401" s="28"/>
      <c r="T2401" s="35"/>
      <c r="U2401" s="35"/>
      <c r="V2401" s="29"/>
      <c r="W2401" s="35"/>
      <c r="X2401" s="29"/>
      <c r="Y2401" s="36"/>
      <c r="Z2401" s="29"/>
      <c r="AA2401" s="31">
        <f t="shared" si="1"/>
        <v>44852</v>
      </c>
      <c r="AB2401" s="32" t="str">
        <f t="shared" si="5"/>
        <v>octubre</v>
      </c>
    </row>
    <row r="2402" spans="1:28" ht="12.75">
      <c r="A2402" s="22" t="s">
        <v>501</v>
      </c>
      <c r="B2402" s="10">
        <v>44855</v>
      </c>
      <c r="C2402" s="11"/>
      <c r="D2402" s="49">
        <v>42</v>
      </c>
      <c r="E2402" s="13" t="s">
        <v>2850</v>
      </c>
      <c r="F2402" s="13">
        <v>3025457</v>
      </c>
      <c r="G2402" s="14">
        <v>6368</v>
      </c>
      <c r="H2402" s="33">
        <v>8450</v>
      </c>
      <c r="I2402" s="16">
        <f>H2402*G2402</f>
        <v>53809600</v>
      </c>
      <c r="J2402" s="17">
        <v>15</v>
      </c>
      <c r="K2402" s="34">
        <v>4502430368</v>
      </c>
      <c r="L2402" s="126">
        <v>5084167643</v>
      </c>
      <c r="M2402" s="20">
        <v>5113670243</v>
      </c>
      <c r="N2402" s="128"/>
      <c r="O2402" s="9" t="s">
        <v>37</v>
      </c>
      <c r="P2402" s="23"/>
      <c r="Q2402" s="24" t="s">
        <v>31</v>
      </c>
      <c r="R2402" s="25">
        <v>44852</v>
      </c>
      <c r="S2402" s="28"/>
      <c r="T2402" s="35"/>
      <c r="U2402" s="35"/>
      <c r="V2402" s="29"/>
      <c r="W2402" s="35"/>
      <c r="X2402" s="29"/>
      <c r="Y2402" s="36"/>
      <c r="Z2402" s="29"/>
      <c r="AA2402" s="31">
        <f t="shared" si="1"/>
        <v>44852</v>
      </c>
      <c r="AB2402" s="32" t="str">
        <f t="shared" si="5"/>
        <v>octubre</v>
      </c>
    </row>
    <row r="2403" spans="1:28" ht="12.75">
      <c r="A2403" s="22" t="s">
        <v>501</v>
      </c>
      <c r="B2403" s="10">
        <v>44855</v>
      </c>
      <c r="C2403" s="11"/>
      <c r="D2403" s="49">
        <v>42</v>
      </c>
      <c r="E2403" s="13">
        <v>15</v>
      </c>
      <c r="F2403" s="13">
        <v>3025457</v>
      </c>
      <c r="G2403" s="14">
        <v>6368</v>
      </c>
      <c r="H2403" s="33">
        <f>8450-8431.67</f>
        <v>18.329999999999927</v>
      </c>
      <c r="I2403" s="16">
        <f>-H2403*G2403</f>
        <v>-116725.43999999954</v>
      </c>
      <c r="J2403" s="17">
        <v>0</v>
      </c>
      <c r="K2403" s="34">
        <v>4502430368</v>
      </c>
      <c r="L2403" s="126">
        <v>5084167643</v>
      </c>
      <c r="M2403" s="20">
        <v>5113670288</v>
      </c>
      <c r="N2403" s="128"/>
      <c r="O2403" s="22"/>
      <c r="P2403" s="23"/>
      <c r="Q2403" s="24" t="s">
        <v>31</v>
      </c>
      <c r="R2403" s="25">
        <v>44852</v>
      </c>
      <c r="S2403" s="28"/>
      <c r="T2403" s="35"/>
      <c r="U2403" s="35"/>
      <c r="V2403" s="29"/>
      <c r="W2403" s="35"/>
      <c r="X2403" s="29"/>
      <c r="Y2403" s="36"/>
      <c r="Z2403" s="29"/>
      <c r="AA2403" s="31">
        <f t="shared" si="1"/>
        <v>44852</v>
      </c>
      <c r="AB2403" s="32" t="str">
        <f t="shared" si="5"/>
        <v>octubre</v>
      </c>
    </row>
    <row r="2404" spans="1:28" ht="12.75">
      <c r="A2404" s="22" t="s">
        <v>774</v>
      </c>
      <c r="B2404" s="10">
        <v>44858</v>
      </c>
      <c r="C2404" s="11">
        <v>44859</v>
      </c>
      <c r="D2404" s="49">
        <v>42</v>
      </c>
      <c r="E2404" s="13" t="s">
        <v>1138</v>
      </c>
      <c r="F2404" s="13">
        <v>3025457</v>
      </c>
      <c r="G2404" s="37">
        <v>19111.5</v>
      </c>
      <c r="H2404" s="33">
        <v>8500</v>
      </c>
      <c r="I2404" s="16">
        <f>H2404*G2404</f>
        <v>162447750</v>
      </c>
      <c r="J2404" s="17">
        <v>45</v>
      </c>
      <c r="K2404" s="34">
        <v>4502430369</v>
      </c>
      <c r="L2404" s="126">
        <v>5084167644</v>
      </c>
      <c r="M2404" s="20">
        <v>5113674909</v>
      </c>
      <c r="N2404" s="128"/>
      <c r="O2404" s="9" t="s">
        <v>63</v>
      </c>
      <c r="P2404" s="9"/>
      <c r="Q2404" s="24" t="s">
        <v>31</v>
      </c>
      <c r="R2404" s="25">
        <v>44852</v>
      </c>
      <c r="S2404" s="28"/>
      <c r="T2404" s="35"/>
      <c r="U2404" s="35"/>
      <c r="V2404" s="29"/>
      <c r="W2404" s="35"/>
      <c r="X2404" s="29"/>
      <c r="Y2404" s="36"/>
      <c r="Z2404" s="29"/>
      <c r="AA2404" s="31">
        <f t="shared" si="1"/>
        <v>44852</v>
      </c>
      <c r="AB2404" s="32" t="str">
        <f t="shared" si="5"/>
        <v>octubre</v>
      </c>
    </row>
    <row r="2405" spans="1:28" ht="12.75">
      <c r="A2405" s="22" t="s">
        <v>774</v>
      </c>
      <c r="B2405" s="10">
        <v>44858</v>
      </c>
      <c r="C2405" s="11">
        <v>44859</v>
      </c>
      <c r="D2405" s="49">
        <v>42</v>
      </c>
      <c r="E2405" s="13" t="s">
        <v>895</v>
      </c>
      <c r="F2405" s="13">
        <v>3025457</v>
      </c>
      <c r="G2405" s="37">
        <v>19111.5</v>
      </c>
      <c r="H2405" s="33">
        <f>8500-8437.74</f>
        <v>62.260000000000218</v>
      </c>
      <c r="I2405" s="16">
        <f>-H2405*G2405</f>
        <v>-1189881.9900000042</v>
      </c>
      <c r="J2405" s="17">
        <v>0</v>
      </c>
      <c r="K2405" s="34">
        <v>4502430369</v>
      </c>
      <c r="L2405" s="126">
        <v>5084167644</v>
      </c>
      <c r="M2405" s="20">
        <v>5113674911</v>
      </c>
      <c r="N2405" s="128"/>
      <c r="O2405" s="23"/>
      <c r="P2405" s="23"/>
      <c r="Q2405" s="24" t="s">
        <v>31</v>
      </c>
      <c r="R2405" s="25">
        <v>44852</v>
      </c>
      <c r="S2405" s="28"/>
      <c r="T2405" s="35"/>
      <c r="U2405" s="35"/>
      <c r="V2405" s="29"/>
      <c r="W2405" s="35"/>
      <c r="X2405" s="29"/>
      <c r="Y2405" s="36"/>
      <c r="Z2405" s="29"/>
      <c r="AA2405" s="31">
        <f t="shared" si="1"/>
        <v>44852</v>
      </c>
      <c r="AB2405" s="32" t="str">
        <f t="shared" si="5"/>
        <v>octubre</v>
      </c>
    </row>
    <row r="2406" spans="1:28" ht="12.75">
      <c r="A2406" s="9" t="s">
        <v>73</v>
      </c>
      <c r="B2406" s="10">
        <v>44855</v>
      </c>
      <c r="C2406" s="11">
        <v>44858</v>
      </c>
      <c r="D2406" s="49">
        <v>42</v>
      </c>
      <c r="E2406" s="13" t="s">
        <v>2851</v>
      </c>
      <c r="F2406" s="13">
        <v>3025457</v>
      </c>
      <c r="G2406" s="37">
        <v>6530.5</v>
      </c>
      <c r="H2406" s="33">
        <v>8800</v>
      </c>
      <c r="I2406" s="16">
        <f>H2406*G2406</f>
        <v>57468400</v>
      </c>
      <c r="J2406" s="17">
        <v>14</v>
      </c>
      <c r="K2406" s="34">
        <v>4502430370</v>
      </c>
      <c r="L2406" s="126">
        <v>5084159703</v>
      </c>
      <c r="M2406" s="20">
        <v>5113673778</v>
      </c>
      <c r="N2406" s="9" t="s">
        <v>63</v>
      </c>
      <c r="O2406" s="22"/>
      <c r="P2406" s="23"/>
      <c r="Q2406" s="24" t="s">
        <v>31</v>
      </c>
      <c r="R2406" s="25">
        <v>44852</v>
      </c>
      <c r="S2406" s="28"/>
      <c r="T2406" s="35"/>
      <c r="U2406" s="35"/>
      <c r="V2406" s="29"/>
      <c r="W2406" s="35"/>
      <c r="X2406" s="29"/>
      <c r="Y2406" s="36"/>
      <c r="Z2406" s="29"/>
      <c r="AA2406" s="31">
        <f t="shared" si="1"/>
        <v>44852</v>
      </c>
      <c r="AB2406" s="32" t="str">
        <f t="shared" si="5"/>
        <v>octubre</v>
      </c>
    </row>
    <row r="2407" spans="1:28" ht="12.75">
      <c r="A2407" s="9" t="s">
        <v>73</v>
      </c>
      <c r="B2407" s="10">
        <v>44855</v>
      </c>
      <c r="C2407" s="11">
        <v>44858</v>
      </c>
      <c r="D2407" s="49">
        <v>42</v>
      </c>
      <c r="E2407" s="13" t="s">
        <v>2852</v>
      </c>
      <c r="F2407" s="13">
        <v>3025457</v>
      </c>
      <c r="G2407" s="37">
        <v>6530.5</v>
      </c>
      <c r="H2407" s="33">
        <f>8800-8774</f>
        <v>26</v>
      </c>
      <c r="I2407" s="16">
        <f>-H2407*G2407</f>
        <v>-169793</v>
      </c>
      <c r="J2407" s="17">
        <v>0</v>
      </c>
      <c r="K2407" s="34">
        <v>4502430370</v>
      </c>
      <c r="L2407" s="126">
        <v>5084159703</v>
      </c>
      <c r="M2407" s="20">
        <v>5113673779</v>
      </c>
      <c r="N2407" s="128"/>
      <c r="O2407" s="22"/>
      <c r="P2407" s="23"/>
      <c r="Q2407" s="24" t="s">
        <v>31</v>
      </c>
      <c r="R2407" s="25">
        <v>44852</v>
      </c>
      <c r="S2407" s="28"/>
      <c r="T2407" s="35"/>
      <c r="U2407" s="35"/>
      <c r="V2407" s="29"/>
      <c r="W2407" s="35"/>
      <c r="X2407" s="29"/>
      <c r="Y2407" s="36"/>
      <c r="Z2407" s="29"/>
      <c r="AA2407" s="31">
        <f t="shared" si="1"/>
        <v>44852</v>
      </c>
      <c r="AB2407" s="32" t="str">
        <f t="shared" si="5"/>
        <v>octubre</v>
      </c>
    </row>
    <row r="2408" spans="1:28" ht="12.75">
      <c r="A2408" s="9" t="s">
        <v>2853</v>
      </c>
      <c r="B2408" s="10">
        <v>44852</v>
      </c>
      <c r="C2408" s="11">
        <v>44855</v>
      </c>
      <c r="D2408" s="49">
        <v>42</v>
      </c>
      <c r="E2408" s="13" t="s">
        <v>2854</v>
      </c>
      <c r="F2408" s="13">
        <v>3025457</v>
      </c>
      <c r="G2408" s="37">
        <v>6168.5</v>
      </c>
      <c r="H2408" s="33">
        <v>8450</v>
      </c>
      <c r="I2408" s="16">
        <f>H2408*G2408</f>
        <v>52123825</v>
      </c>
      <c r="J2408" s="17">
        <v>15</v>
      </c>
      <c r="K2408" s="34">
        <v>4502430371</v>
      </c>
      <c r="L2408" s="126">
        <v>5084167645</v>
      </c>
      <c r="M2408" s="20">
        <v>5113671790</v>
      </c>
      <c r="N2408" s="128"/>
      <c r="O2408" s="22" t="s">
        <v>63</v>
      </c>
      <c r="P2408" s="23"/>
      <c r="Q2408" s="24" t="s">
        <v>31</v>
      </c>
      <c r="R2408" s="25">
        <v>44852</v>
      </c>
      <c r="S2408" s="28"/>
      <c r="T2408" s="35"/>
      <c r="U2408" s="35"/>
      <c r="V2408" s="29"/>
      <c r="W2408" s="35"/>
      <c r="X2408" s="29"/>
      <c r="Y2408" s="36"/>
      <c r="Z2408" s="29"/>
      <c r="AA2408" s="31">
        <f t="shared" si="1"/>
        <v>44852</v>
      </c>
      <c r="AB2408" s="32" t="str">
        <f t="shared" si="5"/>
        <v>octubre</v>
      </c>
    </row>
    <row r="2409" spans="1:28" ht="12.75">
      <c r="A2409" s="9" t="s">
        <v>2853</v>
      </c>
      <c r="B2409" s="10">
        <v>44855</v>
      </c>
      <c r="C2409" s="11">
        <v>44855</v>
      </c>
      <c r="D2409" s="49">
        <v>42</v>
      </c>
      <c r="E2409" s="13" t="s">
        <v>2305</v>
      </c>
      <c r="F2409" s="13">
        <v>3025457</v>
      </c>
      <c r="G2409" s="37">
        <v>6168.5</v>
      </c>
      <c r="H2409" s="33">
        <f>8450-8329.11</f>
        <v>120.88999999999942</v>
      </c>
      <c r="I2409" s="16">
        <f>-H2409*G2409</f>
        <v>-745709.96499999636</v>
      </c>
      <c r="J2409" s="17">
        <v>0</v>
      </c>
      <c r="K2409" s="34">
        <v>4502430371</v>
      </c>
      <c r="L2409" s="126">
        <v>5084167645</v>
      </c>
      <c r="M2409" s="20">
        <v>5113671791</v>
      </c>
      <c r="N2409" s="128"/>
      <c r="O2409" s="22"/>
      <c r="P2409" s="23"/>
      <c r="Q2409" s="24" t="s">
        <v>31</v>
      </c>
      <c r="R2409" s="25">
        <v>44852</v>
      </c>
      <c r="S2409" s="28"/>
      <c r="T2409" s="35"/>
      <c r="U2409" s="35"/>
      <c r="V2409" s="29"/>
      <c r="W2409" s="35"/>
      <c r="X2409" s="29"/>
      <c r="Y2409" s="36"/>
      <c r="Z2409" s="29"/>
      <c r="AA2409" s="31">
        <f t="shared" si="1"/>
        <v>44852</v>
      </c>
      <c r="AB2409" s="32" t="str">
        <f t="shared" si="5"/>
        <v>octubre</v>
      </c>
    </row>
    <row r="2410" spans="1:28" ht="12.75">
      <c r="A2410" s="9" t="s">
        <v>116</v>
      </c>
      <c r="B2410" s="10">
        <v>44844</v>
      </c>
      <c r="C2410" s="11"/>
      <c r="D2410" s="49">
        <v>42</v>
      </c>
      <c r="E2410" s="13" t="s">
        <v>2779</v>
      </c>
      <c r="F2410" s="13">
        <v>3025457</v>
      </c>
      <c r="G2410" s="37"/>
      <c r="H2410" s="15">
        <v>9335</v>
      </c>
      <c r="I2410" s="16">
        <f t="shared" ref="I2410:I2414" si="356">H2410*G2410</f>
        <v>0</v>
      </c>
      <c r="J2410" s="17">
        <v>98</v>
      </c>
      <c r="K2410" s="34">
        <v>4502428887</v>
      </c>
      <c r="L2410" s="126">
        <v>5084058569</v>
      </c>
      <c r="M2410" s="20">
        <v>5113644930</v>
      </c>
      <c r="N2410" s="23" t="s">
        <v>37</v>
      </c>
      <c r="O2410" s="88" t="s">
        <v>2855</v>
      </c>
      <c r="P2410" s="23"/>
      <c r="Q2410" s="24" t="s">
        <v>31</v>
      </c>
      <c r="R2410" s="25">
        <v>44852</v>
      </c>
      <c r="S2410" s="28">
        <v>4902366643</v>
      </c>
      <c r="T2410" s="28">
        <v>11690000</v>
      </c>
      <c r="U2410" s="28" t="s">
        <v>2856</v>
      </c>
      <c r="V2410" s="29">
        <v>5113660932</v>
      </c>
      <c r="W2410" s="28" t="s">
        <v>2857</v>
      </c>
      <c r="X2410" s="29">
        <v>5113660934</v>
      </c>
      <c r="Y2410" s="36"/>
      <c r="Z2410" s="29"/>
      <c r="AA2410" s="31">
        <f t="shared" si="1"/>
        <v>44852</v>
      </c>
      <c r="AB2410" s="32" t="str">
        <f t="shared" si="5"/>
        <v>octubre</v>
      </c>
    </row>
    <row r="2411" spans="1:28" ht="12.75">
      <c r="A2411" s="9" t="s">
        <v>80</v>
      </c>
      <c r="B2411" s="10">
        <v>44852</v>
      </c>
      <c r="C2411" s="11">
        <v>44855</v>
      </c>
      <c r="D2411" s="49">
        <v>42</v>
      </c>
      <c r="E2411" s="13" t="s">
        <v>2858</v>
      </c>
      <c r="F2411" s="13">
        <v>3025459</v>
      </c>
      <c r="G2411" s="14">
        <v>19966</v>
      </c>
      <c r="H2411" s="15">
        <v>8150</v>
      </c>
      <c r="I2411" s="16">
        <f t="shared" si="356"/>
        <v>162722900</v>
      </c>
      <c r="J2411" s="17">
        <v>42</v>
      </c>
      <c r="K2411" s="34">
        <v>4502432269</v>
      </c>
      <c r="L2411" s="126">
        <v>5084158534</v>
      </c>
      <c r="M2411" s="20">
        <v>5113673836</v>
      </c>
      <c r="N2411" s="23" t="s">
        <v>37</v>
      </c>
      <c r="O2411" s="88" t="s">
        <v>1057</v>
      </c>
      <c r="P2411" s="23"/>
      <c r="Q2411" s="24" t="s">
        <v>31</v>
      </c>
      <c r="R2411" s="25">
        <v>44852</v>
      </c>
      <c r="S2411" s="28">
        <v>4902366645</v>
      </c>
      <c r="T2411" s="28">
        <v>4792500</v>
      </c>
      <c r="U2411" s="28" t="s">
        <v>2859</v>
      </c>
      <c r="V2411" s="29">
        <v>5113671038</v>
      </c>
      <c r="W2411" s="35"/>
      <c r="X2411" s="29"/>
      <c r="Y2411" s="36"/>
      <c r="Z2411" s="29"/>
      <c r="AA2411" s="31">
        <f t="shared" si="1"/>
        <v>44852</v>
      </c>
      <c r="AB2411" s="32" t="str">
        <f t="shared" si="5"/>
        <v>octubre</v>
      </c>
    </row>
    <row r="2412" spans="1:28" ht="12.75">
      <c r="A2412" s="9" t="s">
        <v>80</v>
      </c>
      <c r="B2412" s="10">
        <v>44852</v>
      </c>
      <c r="C2412" s="11">
        <v>44855</v>
      </c>
      <c r="D2412" s="49">
        <v>42</v>
      </c>
      <c r="E2412" s="13">
        <v>3</v>
      </c>
      <c r="F2412" s="13">
        <v>3025459</v>
      </c>
      <c r="G2412" s="14">
        <v>19966</v>
      </c>
      <c r="H2412" s="15">
        <v>24</v>
      </c>
      <c r="I2412" s="16">
        <f t="shared" si="356"/>
        <v>479184</v>
      </c>
      <c r="J2412" s="17">
        <v>0</v>
      </c>
      <c r="K2412" s="34">
        <v>4502432269</v>
      </c>
      <c r="L2412" s="126">
        <v>5084158534</v>
      </c>
      <c r="M2412" s="20">
        <v>5113677120</v>
      </c>
      <c r="N2412" s="128"/>
      <c r="O2412" s="88"/>
      <c r="P2412" s="23"/>
      <c r="Q2412" s="24" t="s">
        <v>31</v>
      </c>
      <c r="R2412" s="25">
        <v>44852</v>
      </c>
      <c r="S2412" s="28"/>
      <c r="T2412" s="28"/>
      <c r="U2412" s="35"/>
      <c r="V2412" s="29"/>
      <c r="W2412" s="35"/>
      <c r="X2412" s="29"/>
      <c r="Y2412" s="36"/>
      <c r="Z2412" s="29"/>
      <c r="AA2412" s="31">
        <f t="shared" si="1"/>
        <v>44852</v>
      </c>
      <c r="AB2412" s="32" t="str">
        <f t="shared" si="5"/>
        <v>octubre</v>
      </c>
    </row>
    <row r="2413" spans="1:28" ht="12.75">
      <c r="A2413" s="9" t="s">
        <v>58</v>
      </c>
      <c r="B2413" s="10">
        <v>44854</v>
      </c>
      <c r="C2413" s="11">
        <v>44854</v>
      </c>
      <c r="D2413" s="49">
        <v>42</v>
      </c>
      <c r="E2413" s="13" t="s">
        <v>2860</v>
      </c>
      <c r="F2413" s="13">
        <v>3025462</v>
      </c>
      <c r="G2413" s="14">
        <v>8513</v>
      </c>
      <c r="H2413" s="57">
        <v>7700</v>
      </c>
      <c r="I2413" s="16">
        <f t="shared" si="356"/>
        <v>65550100</v>
      </c>
      <c r="J2413" s="17">
        <v>31</v>
      </c>
      <c r="K2413" s="34">
        <v>4502434280</v>
      </c>
      <c r="L2413" s="126">
        <v>5084184878</v>
      </c>
      <c r="M2413" s="20">
        <v>5113666814</v>
      </c>
      <c r="N2413" s="128"/>
      <c r="O2413" s="9" t="s">
        <v>37</v>
      </c>
      <c r="P2413" s="124"/>
      <c r="Q2413" s="24" t="s">
        <v>357</v>
      </c>
      <c r="R2413" s="25">
        <v>44853</v>
      </c>
      <c r="S2413" s="28"/>
      <c r="T2413" s="35"/>
      <c r="U2413" s="35"/>
      <c r="V2413" s="29"/>
      <c r="W2413" s="35"/>
      <c r="X2413" s="29"/>
      <c r="Y2413" s="36"/>
      <c r="Z2413" s="29"/>
      <c r="AA2413" s="31">
        <f t="shared" si="1"/>
        <v>44853</v>
      </c>
      <c r="AB2413" s="32" t="str">
        <f t="shared" si="5"/>
        <v>octubre</v>
      </c>
    </row>
    <row r="2414" spans="1:28" ht="12.75">
      <c r="A2414" s="9" t="s">
        <v>1102</v>
      </c>
      <c r="B2414" s="10">
        <v>44858</v>
      </c>
      <c r="C2414" s="11"/>
      <c r="D2414" s="53">
        <v>43</v>
      </c>
      <c r="E2414" s="13" t="s">
        <v>2861</v>
      </c>
      <c r="F2414" s="13">
        <v>3025457</v>
      </c>
      <c r="G2414" s="37">
        <v>20779.5</v>
      </c>
      <c r="H2414" s="33">
        <v>9000</v>
      </c>
      <c r="I2414" s="16">
        <f t="shared" si="356"/>
        <v>187015500</v>
      </c>
      <c r="J2414" s="17">
        <v>43</v>
      </c>
      <c r="K2414" s="34">
        <v>4502433980</v>
      </c>
      <c r="L2414" s="19">
        <v>5084199164</v>
      </c>
      <c r="M2414" s="20">
        <v>5113688535</v>
      </c>
      <c r="N2414" s="128"/>
      <c r="O2414" s="9" t="s">
        <v>37</v>
      </c>
      <c r="P2414" s="23"/>
      <c r="Q2414" s="24" t="s">
        <v>31</v>
      </c>
      <c r="R2414" s="25">
        <v>44854</v>
      </c>
      <c r="S2414" s="28"/>
      <c r="T2414" s="35"/>
      <c r="U2414" s="35"/>
      <c r="V2414" s="29"/>
      <c r="W2414" s="35"/>
      <c r="X2414" s="29"/>
      <c r="Y2414" s="36"/>
      <c r="Z2414" s="29"/>
      <c r="AA2414" s="31">
        <f t="shared" si="1"/>
        <v>44854</v>
      </c>
      <c r="AB2414" s="32" t="str">
        <f t="shared" si="5"/>
        <v>octubre</v>
      </c>
    </row>
    <row r="2415" spans="1:28" ht="12.75">
      <c r="A2415" s="9" t="s">
        <v>1102</v>
      </c>
      <c r="B2415" s="10">
        <v>44858</v>
      </c>
      <c r="C2415" s="11"/>
      <c r="D2415" s="53">
        <v>43</v>
      </c>
      <c r="E2415" s="13" t="s">
        <v>2862</v>
      </c>
      <c r="F2415" s="13">
        <v>3025457</v>
      </c>
      <c r="G2415" s="37">
        <v>20779.5</v>
      </c>
      <c r="H2415" s="33">
        <f>9000-8995.19</f>
        <v>4.8099999999994907</v>
      </c>
      <c r="I2415" s="16">
        <f>-H2415*G2415</f>
        <v>-99949.39499998941</v>
      </c>
      <c r="J2415" s="17">
        <v>0</v>
      </c>
      <c r="K2415" s="34">
        <v>4502433980</v>
      </c>
      <c r="L2415" s="19">
        <v>5084199164</v>
      </c>
      <c r="M2415" s="20">
        <v>5113688559</v>
      </c>
      <c r="N2415" s="23"/>
      <c r="O2415" s="23"/>
      <c r="P2415" s="23"/>
      <c r="Q2415" s="24" t="s">
        <v>31</v>
      </c>
      <c r="R2415" s="25">
        <v>44854</v>
      </c>
      <c r="S2415" s="28"/>
      <c r="T2415" s="35"/>
      <c r="U2415" s="35"/>
      <c r="V2415" s="29"/>
      <c r="W2415" s="35"/>
      <c r="X2415" s="29"/>
      <c r="Y2415" s="36"/>
      <c r="Z2415" s="29"/>
      <c r="AA2415" s="31">
        <f t="shared" si="1"/>
        <v>44854</v>
      </c>
      <c r="AB2415" s="32" t="str">
        <f t="shared" si="5"/>
        <v>octubre</v>
      </c>
    </row>
    <row r="2416" spans="1:28" ht="12.75">
      <c r="A2416" s="9" t="s">
        <v>203</v>
      </c>
      <c r="B2416" s="10">
        <v>44854</v>
      </c>
      <c r="C2416" s="11">
        <v>44859</v>
      </c>
      <c r="D2416" s="53">
        <v>43</v>
      </c>
      <c r="E2416" s="13" t="s">
        <v>2863</v>
      </c>
      <c r="F2416" s="13">
        <v>3025457</v>
      </c>
      <c r="G2416" s="14">
        <v>14026</v>
      </c>
      <c r="H2416" s="33">
        <v>8950</v>
      </c>
      <c r="I2416" s="16">
        <f t="shared" ref="I2416:I2418" si="357">H2416*G2416</f>
        <v>125532700</v>
      </c>
      <c r="J2416" s="17">
        <v>30</v>
      </c>
      <c r="K2416" s="34">
        <v>4502433981</v>
      </c>
      <c r="L2416" s="19">
        <v>5084198965</v>
      </c>
      <c r="M2416" s="20">
        <v>5113675046</v>
      </c>
      <c r="N2416" s="23"/>
      <c r="O2416" s="9" t="s">
        <v>37</v>
      </c>
      <c r="Q2416" s="24" t="s">
        <v>31</v>
      </c>
      <c r="R2416" s="25">
        <v>44854</v>
      </c>
      <c r="S2416" s="28"/>
      <c r="T2416" s="35"/>
      <c r="U2416" s="35"/>
      <c r="V2416" s="29"/>
      <c r="W2416" s="35"/>
      <c r="X2416" s="29"/>
      <c r="Y2416" s="36"/>
      <c r="Z2416" s="29"/>
      <c r="AA2416" s="31">
        <f t="shared" si="1"/>
        <v>44854</v>
      </c>
      <c r="AB2416" s="32" t="str">
        <f t="shared" si="5"/>
        <v>octubre</v>
      </c>
    </row>
    <row r="2417" spans="1:28" ht="12.75">
      <c r="A2417" s="9" t="s">
        <v>49</v>
      </c>
      <c r="B2417" s="10">
        <v>44854</v>
      </c>
      <c r="C2417" s="11"/>
      <c r="D2417" s="53">
        <v>43</v>
      </c>
      <c r="E2417" s="13" t="s">
        <v>2864</v>
      </c>
      <c r="F2417" s="13">
        <v>3025459</v>
      </c>
      <c r="G2417" s="14">
        <v>14682</v>
      </c>
      <c r="H2417" s="15">
        <v>8050</v>
      </c>
      <c r="I2417" s="16">
        <f t="shared" si="357"/>
        <v>118190100</v>
      </c>
      <c r="J2417" s="17">
        <v>28</v>
      </c>
      <c r="K2417" s="34">
        <v>4502435350</v>
      </c>
      <c r="L2417" s="19">
        <v>5084199159</v>
      </c>
      <c r="M2417" s="20">
        <v>5113686714</v>
      </c>
      <c r="N2417" s="9" t="s">
        <v>63</v>
      </c>
      <c r="O2417" s="124" t="s">
        <v>1217</v>
      </c>
      <c r="P2417" s="9"/>
      <c r="Q2417" s="24" t="s">
        <v>31</v>
      </c>
      <c r="R2417" s="25">
        <v>44854</v>
      </c>
      <c r="S2417" s="28">
        <v>4902370636</v>
      </c>
      <c r="T2417" s="35">
        <f>2982600*2</f>
        <v>5965200</v>
      </c>
      <c r="U2417" s="28" t="s">
        <v>2865</v>
      </c>
      <c r="V2417" s="29">
        <v>5113671894</v>
      </c>
      <c r="W2417" s="35"/>
      <c r="X2417" s="29"/>
      <c r="Y2417" s="36"/>
      <c r="Z2417" s="29"/>
      <c r="AA2417" s="31">
        <f t="shared" si="1"/>
        <v>44854</v>
      </c>
      <c r="AB2417" s="32" t="str">
        <f t="shared" si="5"/>
        <v>octubre</v>
      </c>
    </row>
    <row r="2418" spans="1:28" ht="12.75">
      <c r="A2418" s="22" t="s">
        <v>428</v>
      </c>
      <c r="B2418" s="10">
        <v>44854</v>
      </c>
      <c r="C2418" s="11">
        <v>44859</v>
      </c>
      <c r="D2418" s="53">
        <v>43</v>
      </c>
      <c r="E2418" s="13" t="s">
        <v>2866</v>
      </c>
      <c r="F2418" s="13">
        <v>3025459</v>
      </c>
      <c r="G2418" s="37">
        <v>25262.5</v>
      </c>
      <c r="H2418" s="33">
        <v>8850</v>
      </c>
      <c r="I2418" s="16">
        <f t="shared" si="357"/>
        <v>223573125</v>
      </c>
      <c r="J2418" s="17">
        <v>45</v>
      </c>
      <c r="K2418" s="34">
        <v>4502433982</v>
      </c>
      <c r="L2418" s="19">
        <v>5084199165</v>
      </c>
      <c r="M2418" s="20">
        <v>5113675152</v>
      </c>
      <c r="N2418" s="23"/>
      <c r="O2418" s="9" t="s">
        <v>63</v>
      </c>
      <c r="P2418" s="23"/>
      <c r="Q2418" s="24" t="s">
        <v>31</v>
      </c>
      <c r="R2418" s="25">
        <v>44854</v>
      </c>
      <c r="S2418" s="28"/>
      <c r="T2418" s="35"/>
      <c r="U2418" s="35"/>
      <c r="V2418" s="29"/>
      <c r="W2418" s="35"/>
      <c r="X2418" s="29"/>
      <c r="Y2418" s="36"/>
      <c r="Z2418" s="29"/>
      <c r="AA2418" s="31">
        <f t="shared" si="1"/>
        <v>44854</v>
      </c>
      <c r="AB2418" s="32" t="str">
        <f t="shared" si="5"/>
        <v>octubre</v>
      </c>
    </row>
    <row r="2419" spans="1:28" ht="12.75">
      <c r="A2419" s="22" t="s">
        <v>428</v>
      </c>
      <c r="B2419" s="10">
        <v>44854</v>
      </c>
      <c r="C2419" s="11">
        <v>44859</v>
      </c>
      <c r="D2419" s="53">
        <v>43</v>
      </c>
      <c r="E2419" s="13" t="s">
        <v>41</v>
      </c>
      <c r="F2419" s="13">
        <v>3025459</v>
      </c>
      <c r="G2419" s="37">
        <v>25262.5</v>
      </c>
      <c r="H2419" s="33">
        <v>50</v>
      </c>
      <c r="I2419" s="16">
        <f>-H2419*G2419</f>
        <v>-1263125</v>
      </c>
      <c r="J2419" s="17">
        <v>0</v>
      </c>
      <c r="K2419" s="34">
        <v>4502433982</v>
      </c>
      <c r="L2419" s="19">
        <v>5084199165</v>
      </c>
      <c r="M2419" s="20">
        <v>5113675155</v>
      </c>
      <c r="N2419" s="23"/>
      <c r="O2419" s="23"/>
      <c r="P2419" s="23"/>
      <c r="Q2419" s="24" t="s">
        <v>31</v>
      </c>
      <c r="R2419" s="25">
        <v>44854</v>
      </c>
      <c r="S2419" s="28"/>
      <c r="T2419" s="35"/>
      <c r="U2419" s="35"/>
      <c r="V2419" s="29"/>
      <c r="W2419" s="35"/>
      <c r="X2419" s="29"/>
      <c r="Y2419" s="36"/>
      <c r="Z2419" s="29"/>
      <c r="AA2419" s="31">
        <f t="shared" si="1"/>
        <v>44854</v>
      </c>
      <c r="AB2419" s="32" t="str">
        <f t="shared" si="5"/>
        <v>octubre</v>
      </c>
    </row>
    <row r="2420" spans="1:28" ht="12.75">
      <c r="A2420" s="9" t="s">
        <v>58</v>
      </c>
      <c r="B2420" s="10">
        <v>44860</v>
      </c>
      <c r="C2420" s="11">
        <v>44860</v>
      </c>
      <c r="D2420" s="53">
        <v>43</v>
      </c>
      <c r="E2420" s="13" t="s">
        <v>2867</v>
      </c>
      <c r="F2420" s="13">
        <v>3025460</v>
      </c>
      <c r="G2420" s="37">
        <v>25907.5</v>
      </c>
      <c r="H2420" s="33">
        <v>8950</v>
      </c>
      <c r="I2420" s="16">
        <f>H2420*G2420</f>
        <v>231872125</v>
      </c>
      <c r="J2420" s="17">
        <v>60</v>
      </c>
      <c r="K2420" s="34">
        <v>4502433983</v>
      </c>
      <c r="L2420" s="19">
        <v>5084199166</v>
      </c>
      <c r="M2420" s="20">
        <v>5113687264</v>
      </c>
      <c r="N2420" s="23"/>
      <c r="O2420" s="9" t="s">
        <v>37</v>
      </c>
      <c r="P2420" s="124"/>
      <c r="Q2420" s="24" t="s">
        <v>31</v>
      </c>
      <c r="R2420" s="25">
        <v>44854</v>
      </c>
      <c r="S2420" s="28"/>
      <c r="T2420" s="35"/>
      <c r="U2420" s="35"/>
      <c r="V2420" s="29"/>
      <c r="W2420" s="35"/>
      <c r="X2420" s="29"/>
      <c r="Y2420" s="36"/>
      <c r="Z2420" s="29"/>
      <c r="AA2420" s="31">
        <f t="shared" si="1"/>
        <v>44854</v>
      </c>
      <c r="AB2420" s="32" t="str">
        <f t="shared" si="5"/>
        <v>octubre</v>
      </c>
    </row>
    <row r="2421" spans="1:28" ht="12.75">
      <c r="A2421" s="9" t="s">
        <v>58</v>
      </c>
      <c r="B2421" s="10">
        <v>44860</v>
      </c>
      <c r="C2421" s="11">
        <v>44860</v>
      </c>
      <c r="D2421" s="53">
        <v>43</v>
      </c>
      <c r="E2421" s="13" t="s">
        <v>2868</v>
      </c>
      <c r="F2421" s="13">
        <v>3025460</v>
      </c>
      <c r="G2421" s="37">
        <v>25907.5</v>
      </c>
      <c r="H2421" s="33">
        <f>8950-8780.4</f>
        <v>169.60000000000036</v>
      </c>
      <c r="I2421" s="16">
        <f>-H2421*G2421</f>
        <v>-4393912.0000000093</v>
      </c>
      <c r="J2421" s="17">
        <v>0</v>
      </c>
      <c r="K2421" s="34">
        <v>4502433983</v>
      </c>
      <c r="L2421" s="19">
        <v>5084199166</v>
      </c>
      <c r="M2421" s="20">
        <v>5113687266</v>
      </c>
      <c r="N2421" s="23"/>
      <c r="O2421" s="23"/>
      <c r="P2421" s="124"/>
      <c r="Q2421" s="24" t="s">
        <v>31</v>
      </c>
      <c r="R2421" s="25">
        <v>44854</v>
      </c>
      <c r="S2421" s="28"/>
      <c r="T2421" s="35"/>
      <c r="U2421" s="35"/>
      <c r="V2421" s="29"/>
      <c r="W2421" s="35"/>
      <c r="X2421" s="29"/>
      <c r="Y2421" s="36"/>
      <c r="Z2421" s="29"/>
      <c r="AA2421" s="31">
        <f t="shared" si="1"/>
        <v>44854</v>
      </c>
      <c r="AB2421" s="32" t="str">
        <f t="shared" si="5"/>
        <v>octubre</v>
      </c>
    </row>
    <row r="2422" spans="1:28" ht="12.75">
      <c r="A2422" s="9" t="s">
        <v>58</v>
      </c>
      <c r="B2422" s="10">
        <v>44860</v>
      </c>
      <c r="C2422" s="11">
        <v>44860</v>
      </c>
      <c r="D2422" s="53">
        <v>43</v>
      </c>
      <c r="E2422" s="13" t="s">
        <v>2869</v>
      </c>
      <c r="F2422" s="13">
        <v>3025460</v>
      </c>
      <c r="G2422" s="14">
        <v>13002</v>
      </c>
      <c r="H2422" s="33">
        <v>8950</v>
      </c>
      <c r="I2422" s="16">
        <f>H2422*G2422</f>
        <v>116367900</v>
      </c>
      <c r="J2422" s="17">
        <v>32</v>
      </c>
      <c r="K2422" s="34">
        <v>4502433983</v>
      </c>
      <c r="L2422" s="19">
        <v>5084199166</v>
      </c>
      <c r="M2422" s="20">
        <v>5113687511</v>
      </c>
      <c r="N2422" s="23"/>
      <c r="O2422" s="9" t="s">
        <v>37</v>
      </c>
      <c r="P2422" s="124"/>
      <c r="Q2422" s="24" t="s">
        <v>31</v>
      </c>
      <c r="R2422" s="25">
        <v>44854</v>
      </c>
      <c r="S2422" s="28"/>
      <c r="T2422" s="35"/>
      <c r="U2422" s="35"/>
      <c r="V2422" s="29"/>
      <c r="W2422" s="35"/>
      <c r="X2422" s="29"/>
      <c r="Y2422" s="36"/>
      <c r="Z2422" s="29"/>
      <c r="AA2422" s="31">
        <f t="shared" si="1"/>
        <v>44854</v>
      </c>
      <c r="AB2422" s="32" t="str">
        <f t="shared" si="5"/>
        <v>octubre</v>
      </c>
    </row>
    <row r="2423" spans="1:28" ht="12.75">
      <c r="A2423" s="9" t="s">
        <v>58</v>
      </c>
      <c r="B2423" s="10">
        <v>44860</v>
      </c>
      <c r="C2423" s="11">
        <v>44860</v>
      </c>
      <c r="D2423" s="53">
        <v>43</v>
      </c>
      <c r="E2423" s="13" t="s">
        <v>2870</v>
      </c>
      <c r="F2423" s="13">
        <v>3025460</v>
      </c>
      <c r="G2423" s="14">
        <v>13002</v>
      </c>
      <c r="H2423" s="33">
        <f>8950-8907.64</f>
        <v>42.360000000000582</v>
      </c>
      <c r="I2423" s="16">
        <f>-H2423*G2423</f>
        <v>-550764.72000000754</v>
      </c>
      <c r="J2423" s="17">
        <v>0</v>
      </c>
      <c r="K2423" s="34">
        <v>4502433983</v>
      </c>
      <c r="L2423" s="19">
        <v>5084199166</v>
      </c>
      <c r="M2423" s="20">
        <v>5113687515</v>
      </c>
      <c r="N2423" s="23"/>
      <c r="O2423" s="23"/>
      <c r="P2423" s="124"/>
      <c r="Q2423" s="24" t="s">
        <v>31</v>
      </c>
      <c r="R2423" s="25">
        <v>44854</v>
      </c>
      <c r="S2423" s="28"/>
      <c r="T2423" s="35"/>
      <c r="U2423" s="35"/>
      <c r="V2423" s="29"/>
      <c r="W2423" s="35"/>
      <c r="X2423" s="29"/>
      <c r="Y2423" s="36"/>
      <c r="Z2423" s="29"/>
      <c r="AA2423" s="31">
        <f t="shared" si="1"/>
        <v>44854</v>
      </c>
      <c r="AB2423" s="32" t="str">
        <f t="shared" si="5"/>
        <v>octubre</v>
      </c>
    </row>
    <row r="2424" spans="1:28" ht="12.75">
      <c r="A2424" s="9" t="s">
        <v>39</v>
      </c>
      <c r="B2424" s="10">
        <v>44854</v>
      </c>
      <c r="C2424" s="11">
        <v>44859</v>
      </c>
      <c r="D2424" s="53">
        <v>43</v>
      </c>
      <c r="E2424" s="13" t="s">
        <v>2871</v>
      </c>
      <c r="F2424" s="13">
        <v>3025460</v>
      </c>
      <c r="G2424" s="14">
        <v>20703</v>
      </c>
      <c r="H2424" s="33">
        <v>8950</v>
      </c>
      <c r="I2424" s="16">
        <f>H2424*G2424</f>
        <v>185291850</v>
      </c>
      <c r="J2424" s="17">
        <v>46</v>
      </c>
      <c r="K2424" s="34">
        <v>4502433984</v>
      </c>
      <c r="L2424" s="19">
        <v>5084199167</v>
      </c>
      <c r="M2424" s="20">
        <v>5113679128</v>
      </c>
      <c r="N2424" s="23"/>
      <c r="O2424" s="88" t="s">
        <v>37</v>
      </c>
      <c r="P2424" s="23"/>
      <c r="Q2424" s="24" t="s">
        <v>31</v>
      </c>
      <c r="R2424" s="25">
        <v>44854</v>
      </c>
      <c r="S2424" s="28"/>
      <c r="T2424" s="35"/>
      <c r="U2424" s="35"/>
      <c r="V2424" s="29"/>
      <c r="W2424" s="35"/>
      <c r="X2424" s="29"/>
      <c r="Y2424" s="36"/>
      <c r="Z2424" s="29"/>
      <c r="AA2424" s="31">
        <f t="shared" si="1"/>
        <v>44854</v>
      </c>
      <c r="AB2424" s="32" t="str">
        <f t="shared" si="5"/>
        <v>octubre</v>
      </c>
    </row>
    <row r="2425" spans="1:28" ht="12.75">
      <c r="A2425" s="9" t="s">
        <v>39</v>
      </c>
      <c r="B2425" s="10">
        <v>44859</v>
      </c>
      <c r="C2425" s="11">
        <v>44859</v>
      </c>
      <c r="D2425" s="53">
        <v>43</v>
      </c>
      <c r="E2425" s="13" t="s">
        <v>811</v>
      </c>
      <c r="F2425" s="13">
        <v>3025460</v>
      </c>
      <c r="G2425" s="14">
        <v>20703</v>
      </c>
      <c r="H2425" s="33">
        <f>8950-8883.37</f>
        <v>66.6299999999992</v>
      </c>
      <c r="I2425" s="16">
        <f>-H2425*G2425</f>
        <v>-1379440.8899999834</v>
      </c>
      <c r="J2425" s="17">
        <v>0</v>
      </c>
      <c r="K2425" s="34">
        <v>4502433984</v>
      </c>
      <c r="L2425" s="19">
        <v>5084199167</v>
      </c>
      <c r="M2425" s="20">
        <v>5113679131</v>
      </c>
      <c r="N2425" s="23"/>
      <c r="O2425" s="23"/>
      <c r="P2425" s="23"/>
      <c r="Q2425" s="24" t="s">
        <v>31</v>
      </c>
      <c r="R2425" s="25">
        <v>44854</v>
      </c>
      <c r="S2425" s="28"/>
      <c r="T2425" s="35"/>
      <c r="U2425" s="35"/>
      <c r="V2425" s="29"/>
      <c r="W2425" s="35"/>
      <c r="X2425" s="29"/>
      <c r="Y2425" s="36"/>
      <c r="Z2425" s="29"/>
      <c r="AA2425" s="31">
        <f t="shared" si="1"/>
        <v>44854</v>
      </c>
      <c r="AB2425" s="32" t="str">
        <f t="shared" si="5"/>
        <v>octubre</v>
      </c>
    </row>
    <row r="2426" spans="1:28" ht="12.75">
      <c r="A2426" s="9" t="s">
        <v>58</v>
      </c>
      <c r="B2426" s="10">
        <v>44860</v>
      </c>
      <c r="C2426" s="11">
        <v>44860</v>
      </c>
      <c r="D2426" s="53">
        <v>43</v>
      </c>
      <c r="E2426" s="13" t="s">
        <v>2872</v>
      </c>
      <c r="F2426" s="13">
        <v>3025457</v>
      </c>
      <c r="G2426" s="14">
        <v>24596</v>
      </c>
      <c r="H2426" s="33">
        <v>8950</v>
      </c>
      <c r="I2426" s="16">
        <f>H2426*G2426</f>
        <v>220134200</v>
      </c>
      <c r="J2426" s="17">
        <v>52</v>
      </c>
      <c r="K2426" s="34">
        <v>4502433985</v>
      </c>
      <c r="L2426" s="19">
        <v>5084232058</v>
      </c>
      <c r="M2426" s="20">
        <v>5113687728</v>
      </c>
      <c r="N2426" s="23"/>
      <c r="O2426" s="9" t="s">
        <v>37</v>
      </c>
      <c r="P2426" s="124"/>
      <c r="Q2426" s="24" t="s">
        <v>31</v>
      </c>
      <c r="R2426" s="25">
        <v>44855</v>
      </c>
      <c r="S2426" s="28"/>
      <c r="T2426" s="35"/>
      <c r="U2426" s="35"/>
      <c r="V2426" s="29"/>
      <c r="W2426" s="35"/>
      <c r="X2426" s="29"/>
      <c r="Y2426" s="36"/>
      <c r="Z2426" s="29"/>
      <c r="AA2426" s="31">
        <f t="shared" si="1"/>
        <v>44855</v>
      </c>
      <c r="AB2426" s="32" t="str">
        <f t="shared" si="5"/>
        <v>octubre</v>
      </c>
    </row>
    <row r="2427" spans="1:28" ht="12.75">
      <c r="A2427" s="9" t="s">
        <v>58</v>
      </c>
      <c r="B2427" s="10">
        <v>44860</v>
      </c>
      <c r="C2427" s="11">
        <v>44860</v>
      </c>
      <c r="D2427" s="53">
        <v>43</v>
      </c>
      <c r="E2427" s="13" t="s">
        <v>2873</v>
      </c>
      <c r="F2427" s="13">
        <v>3025457</v>
      </c>
      <c r="G2427" s="14">
        <v>24596</v>
      </c>
      <c r="H2427" s="33">
        <f>8950-8943.7</f>
        <v>6.2999999999992724</v>
      </c>
      <c r="I2427" s="16">
        <f>-H2427*G2427</f>
        <v>-154954.79999998212</v>
      </c>
      <c r="J2427" s="17">
        <v>0</v>
      </c>
      <c r="K2427" s="34">
        <v>4502433985</v>
      </c>
      <c r="L2427" s="19">
        <v>5084232058</v>
      </c>
      <c r="M2427" s="20">
        <v>5113687731</v>
      </c>
      <c r="N2427" s="23"/>
      <c r="O2427" s="23"/>
      <c r="P2427" s="124"/>
      <c r="Q2427" s="24" t="s">
        <v>31</v>
      </c>
      <c r="R2427" s="25">
        <v>44855</v>
      </c>
      <c r="S2427" s="28"/>
      <c r="T2427" s="35"/>
      <c r="U2427" s="35"/>
      <c r="V2427" s="29"/>
      <c r="W2427" s="35"/>
      <c r="X2427" s="29"/>
      <c r="Y2427" s="36"/>
      <c r="Z2427" s="29"/>
      <c r="AA2427" s="31">
        <f t="shared" si="1"/>
        <v>44855</v>
      </c>
      <c r="AB2427" s="32" t="str">
        <f t="shared" si="5"/>
        <v>octubre</v>
      </c>
    </row>
    <row r="2428" spans="1:28" ht="12.75">
      <c r="A2428" s="9" t="s">
        <v>58</v>
      </c>
      <c r="B2428" s="10">
        <v>44860</v>
      </c>
      <c r="C2428" s="11">
        <v>44860</v>
      </c>
      <c r="D2428" s="53">
        <v>43</v>
      </c>
      <c r="E2428" s="13" t="s">
        <v>2874</v>
      </c>
      <c r="F2428" s="13">
        <v>3025457</v>
      </c>
      <c r="G2428" s="14">
        <v>18079</v>
      </c>
      <c r="H2428" s="33">
        <v>8950</v>
      </c>
      <c r="I2428" s="16">
        <f t="shared" ref="I2428:I2430" si="358">H2428*G2428</f>
        <v>161807050</v>
      </c>
      <c r="J2428" s="17">
        <v>38</v>
      </c>
      <c r="K2428" s="34">
        <v>4502433985</v>
      </c>
      <c r="L2428" s="19">
        <v>5084232058</v>
      </c>
      <c r="M2428" s="20">
        <v>5113687735</v>
      </c>
      <c r="N2428" s="23"/>
      <c r="O2428" s="9" t="s">
        <v>37</v>
      </c>
      <c r="P2428" s="23"/>
      <c r="Q2428" s="24" t="s">
        <v>31</v>
      </c>
      <c r="R2428" s="25">
        <v>44855</v>
      </c>
      <c r="S2428" s="28"/>
      <c r="T2428" s="35"/>
      <c r="U2428" s="35"/>
      <c r="V2428" s="29"/>
      <c r="W2428" s="35"/>
      <c r="X2428" s="29"/>
      <c r="Y2428" s="36"/>
      <c r="Z2428" s="29"/>
      <c r="AA2428" s="31">
        <f t="shared" si="1"/>
        <v>44855</v>
      </c>
      <c r="AB2428" s="32" t="str">
        <f t="shared" si="5"/>
        <v>octubre</v>
      </c>
    </row>
    <row r="2429" spans="1:28" ht="12.75">
      <c r="A2429" s="22" t="s">
        <v>404</v>
      </c>
      <c r="B2429" s="10">
        <v>44855</v>
      </c>
      <c r="C2429" s="11">
        <v>44859</v>
      </c>
      <c r="D2429" s="53">
        <v>43</v>
      </c>
      <c r="E2429" s="13" t="s">
        <v>2875</v>
      </c>
      <c r="F2429" s="13">
        <v>3025457</v>
      </c>
      <c r="G2429" s="14">
        <v>26616</v>
      </c>
      <c r="H2429" s="33">
        <v>8950</v>
      </c>
      <c r="I2429" s="16">
        <f t="shared" si="358"/>
        <v>238213200</v>
      </c>
      <c r="J2429" s="17">
        <v>58</v>
      </c>
      <c r="K2429" s="34">
        <v>4502433986</v>
      </c>
      <c r="L2429" s="19">
        <v>5084232059</v>
      </c>
      <c r="M2429" s="20">
        <v>5113678836</v>
      </c>
      <c r="N2429" s="23"/>
      <c r="O2429" s="9" t="s">
        <v>37</v>
      </c>
      <c r="P2429" s="23"/>
      <c r="Q2429" s="24" t="s">
        <v>31</v>
      </c>
      <c r="R2429" s="25">
        <v>44855</v>
      </c>
      <c r="S2429" s="28"/>
      <c r="T2429" s="35"/>
      <c r="U2429" s="35"/>
      <c r="V2429" s="29"/>
      <c r="W2429" s="35"/>
      <c r="X2429" s="29"/>
      <c r="Y2429" s="36"/>
      <c r="Z2429" s="29"/>
      <c r="AA2429" s="31">
        <f t="shared" si="1"/>
        <v>44855</v>
      </c>
      <c r="AB2429" s="32" t="str">
        <f t="shared" si="5"/>
        <v>octubre</v>
      </c>
    </row>
    <row r="2430" spans="1:28" ht="12.75">
      <c r="A2430" s="22" t="s">
        <v>404</v>
      </c>
      <c r="B2430" s="10">
        <v>44855</v>
      </c>
      <c r="C2430" s="11">
        <v>44859</v>
      </c>
      <c r="D2430" s="53">
        <v>43</v>
      </c>
      <c r="E2430" s="13" t="s">
        <v>2875</v>
      </c>
      <c r="F2430" s="13">
        <v>3025459</v>
      </c>
      <c r="G2430" s="14">
        <v>11927</v>
      </c>
      <c r="H2430" s="33">
        <v>8950</v>
      </c>
      <c r="I2430" s="16">
        <f t="shared" si="358"/>
        <v>106746650</v>
      </c>
      <c r="J2430" s="17">
        <v>28</v>
      </c>
      <c r="K2430" s="34">
        <v>4502433991</v>
      </c>
      <c r="L2430" s="19">
        <v>5084232059</v>
      </c>
      <c r="M2430" s="20">
        <v>5113678836</v>
      </c>
      <c r="N2430" s="23"/>
      <c r="O2430" s="9" t="s">
        <v>37</v>
      </c>
      <c r="P2430" s="23"/>
      <c r="Q2430" s="24" t="s">
        <v>31</v>
      </c>
      <c r="R2430" s="25">
        <v>44855</v>
      </c>
      <c r="S2430" s="28"/>
      <c r="T2430" s="35"/>
      <c r="U2430" s="35"/>
      <c r="V2430" s="29"/>
      <c r="W2430" s="35"/>
      <c r="X2430" s="29"/>
      <c r="Y2430" s="36"/>
      <c r="Z2430" s="29"/>
      <c r="AA2430" s="31">
        <f t="shared" si="1"/>
        <v>44855</v>
      </c>
      <c r="AB2430" s="32" t="str">
        <f t="shared" si="5"/>
        <v>octubre</v>
      </c>
    </row>
    <row r="2431" spans="1:28" ht="12.75">
      <c r="A2431" s="22" t="s">
        <v>404</v>
      </c>
      <c r="B2431" s="10">
        <v>44859</v>
      </c>
      <c r="C2431" s="11">
        <v>44859</v>
      </c>
      <c r="D2431" s="53">
        <v>43</v>
      </c>
      <c r="E2431" s="13" t="s">
        <v>736</v>
      </c>
      <c r="F2431" s="13">
        <v>3025459</v>
      </c>
      <c r="G2431" s="14">
        <v>38543</v>
      </c>
      <c r="H2431" s="33">
        <f>8950-8928.43</f>
        <v>21.569999999999709</v>
      </c>
      <c r="I2431" s="16">
        <f>-H2431*G2431</f>
        <v>-831372.50999998883</v>
      </c>
      <c r="J2431" s="17">
        <v>0</v>
      </c>
      <c r="K2431" s="34">
        <v>4502433991</v>
      </c>
      <c r="L2431" s="19">
        <v>5084232062</v>
      </c>
      <c r="M2431" s="20">
        <v>5113678938</v>
      </c>
      <c r="N2431" s="23"/>
      <c r="O2431" s="23"/>
      <c r="P2431" s="23"/>
      <c r="Q2431" s="24" t="s">
        <v>31</v>
      </c>
      <c r="R2431" s="25">
        <v>44855</v>
      </c>
      <c r="S2431" s="28"/>
      <c r="T2431" s="35"/>
      <c r="U2431" s="35"/>
      <c r="V2431" s="29"/>
      <c r="W2431" s="35"/>
      <c r="X2431" s="29"/>
      <c r="Y2431" s="36"/>
      <c r="Z2431" s="29"/>
      <c r="AA2431" s="31">
        <f t="shared" si="1"/>
        <v>44855</v>
      </c>
      <c r="AB2431" s="32" t="str">
        <f t="shared" si="5"/>
        <v>octubre</v>
      </c>
    </row>
    <row r="2432" spans="1:28" ht="12.75">
      <c r="A2432" s="9" t="s">
        <v>633</v>
      </c>
      <c r="B2432" s="10">
        <v>44862</v>
      </c>
      <c r="C2432" s="11"/>
      <c r="D2432" s="53">
        <v>43</v>
      </c>
      <c r="E2432" s="13" t="s">
        <v>2876</v>
      </c>
      <c r="F2432" s="13">
        <v>3025457</v>
      </c>
      <c r="G2432" s="14">
        <v>6905</v>
      </c>
      <c r="H2432" s="33">
        <v>8550</v>
      </c>
      <c r="I2432" s="16">
        <f t="shared" ref="I2432:I2438" si="359">H2432*G2432</f>
        <v>59037750</v>
      </c>
      <c r="J2432" s="17">
        <v>14</v>
      </c>
      <c r="K2432" s="34">
        <v>4502433987</v>
      </c>
      <c r="L2432" s="19">
        <v>5084232060</v>
      </c>
      <c r="M2432" s="20">
        <v>5113691585</v>
      </c>
      <c r="N2432" s="23"/>
      <c r="O2432" s="9" t="s">
        <v>37</v>
      </c>
      <c r="P2432" s="23"/>
      <c r="Q2432" s="24" t="s">
        <v>31</v>
      </c>
      <c r="R2432" s="25">
        <v>44855</v>
      </c>
      <c r="S2432" s="28"/>
      <c r="T2432" s="35"/>
      <c r="U2432" s="35"/>
      <c r="V2432" s="29"/>
      <c r="W2432" s="35"/>
      <c r="X2432" s="29"/>
      <c r="Y2432" s="36"/>
      <c r="Z2432" s="29"/>
      <c r="AA2432" s="31">
        <f t="shared" si="1"/>
        <v>44855</v>
      </c>
      <c r="AB2432" s="32" t="str">
        <f t="shared" si="5"/>
        <v>octubre</v>
      </c>
    </row>
    <row r="2433" spans="1:28" ht="12.75">
      <c r="A2433" s="9" t="s">
        <v>633</v>
      </c>
      <c r="B2433" s="10">
        <v>44862</v>
      </c>
      <c r="C2433" s="11"/>
      <c r="D2433" s="53">
        <v>43</v>
      </c>
      <c r="E2433" s="13" t="s">
        <v>2877</v>
      </c>
      <c r="F2433" s="13">
        <v>3025457</v>
      </c>
      <c r="G2433" s="14">
        <v>6905</v>
      </c>
      <c r="H2433" s="33">
        <v>50</v>
      </c>
      <c r="I2433" s="16">
        <f t="shared" si="359"/>
        <v>345250</v>
      </c>
      <c r="J2433" s="17">
        <v>0</v>
      </c>
      <c r="K2433" s="34">
        <v>4502433987</v>
      </c>
      <c r="L2433" s="19">
        <v>5084232060</v>
      </c>
      <c r="M2433" s="20">
        <v>5113691637</v>
      </c>
      <c r="N2433" s="23"/>
      <c r="O2433" s="23"/>
      <c r="P2433" s="23"/>
      <c r="Q2433" s="24" t="s">
        <v>31</v>
      </c>
      <c r="R2433" s="25">
        <v>44855</v>
      </c>
      <c r="S2433" s="28"/>
      <c r="T2433" s="35"/>
      <c r="U2433" s="35"/>
      <c r="V2433" s="29"/>
      <c r="W2433" s="35"/>
      <c r="X2433" s="29"/>
      <c r="Y2433" s="36"/>
      <c r="Z2433" s="29"/>
      <c r="AA2433" s="31">
        <f t="shared" si="1"/>
        <v>44855</v>
      </c>
      <c r="AB2433" s="32" t="str">
        <f t="shared" si="5"/>
        <v>octubre</v>
      </c>
    </row>
    <row r="2434" spans="1:28" ht="12.75">
      <c r="A2434" s="9" t="s">
        <v>338</v>
      </c>
      <c r="B2434" s="10">
        <v>44859</v>
      </c>
      <c r="C2434" s="11"/>
      <c r="D2434" s="53">
        <v>43</v>
      </c>
      <c r="E2434" s="13" t="s">
        <v>2878</v>
      </c>
      <c r="F2434" s="13">
        <v>3025459</v>
      </c>
      <c r="G2434" s="14">
        <v>6573</v>
      </c>
      <c r="H2434" s="33">
        <v>8600</v>
      </c>
      <c r="I2434" s="16">
        <f t="shared" si="359"/>
        <v>56527800</v>
      </c>
      <c r="J2434" s="17">
        <v>14</v>
      </c>
      <c r="K2434" s="34">
        <v>4502433988</v>
      </c>
      <c r="L2434" s="19">
        <v>5084232061</v>
      </c>
      <c r="M2434" s="20">
        <v>5113675037</v>
      </c>
      <c r="O2434" s="23" t="s">
        <v>63</v>
      </c>
      <c r="P2434" s="23"/>
      <c r="Q2434" s="24" t="s">
        <v>31</v>
      </c>
      <c r="R2434" s="25">
        <v>44855</v>
      </c>
      <c r="S2434" s="28"/>
      <c r="T2434" s="35"/>
      <c r="U2434" s="35"/>
      <c r="V2434" s="29"/>
      <c r="W2434" s="35"/>
      <c r="X2434" s="29"/>
      <c r="Y2434" s="36"/>
      <c r="Z2434" s="29"/>
      <c r="AA2434" s="31">
        <f t="shared" si="1"/>
        <v>44855</v>
      </c>
      <c r="AB2434" s="32" t="str">
        <f t="shared" si="5"/>
        <v>octubre</v>
      </c>
    </row>
    <row r="2435" spans="1:28" ht="12.75">
      <c r="A2435" s="9" t="s">
        <v>73</v>
      </c>
      <c r="B2435" s="10">
        <v>44859</v>
      </c>
      <c r="C2435" s="11">
        <v>44859</v>
      </c>
      <c r="D2435" s="53">
        <v>43</v>
      </c>
      <c r="E2435" s="13" t="s">
        <v>2879</v>
      </c>
      <c r="F2435" s="13">
        <v>3025457</v>
      </c>
      <c r="G2435" s="14">
        <v>6289</v>
      </c>
      <c r="H2435" s="33">
        <v>8950</v>
      </c>
      <c r="I2435" s="16">
        <f t="shared" si="359"/>
        <v>56286550</v>
      </c>
      <c r="J2435" s="17">
        <v>14</v>
      </c>
      <c r="K2435" s="34">
        <v>4502433992</v>
      </c>
      <c r="L2435" s="19">
        <v>5084232063</v>
      </c>
      <c r="M2435" s="20">
        <v>5113689515</v>
      </c>
      <c r="N2435" s="23"/>
      <c r="O2435" s="9" t="s">
        <v>63</v>
      </c>
      <c r="P2435" s="23"/>
      <c r="Q2435" s="24" t="s">
        <v>31</v>
      </c>
      <c r="R2435" s="25">
        <v>44855</v>
      </c>
      <c r="S2435" s="28"/>
      <c r="T2435" s="35"/>
      <c r="U2435" s="35"/>
      <c r="V2435" s="29"/>
      <c r="W2435" s="35"/>
      <c r="X2435" s="29"/>
      <c r="Y2435" s="36"/>
      <c r="Z2435" s="29"/>
      <c r="AA2435" s="31">
        <f t="shared" si="1"/>
        <v>44855</v>
      </c>
      <c r="AB2435" s="32" t="str">
        <f t="shared" si="5"/>
        <v>octubre</v>
      </c>
    </row>
    <row r="2436" spans="1:28" ht="12.75">
      <c r="A2436" s="9" t="s">
        <v>73</v>
      </c>
      <c r="B2436" s="10">
        <v>44859</v>
      </c>
      <c r="C2436" s="11">
        <v>44859</v>
      </c>
      <c r="D2436" s="53">
        <v>43</v>
      </c>
      <c r="E2436" s="13" t="s">
        <v>1805</v>
      </c>
      <c r="F2436" s="13">
        <v>3025457</v>
      </c>
      <c r="G2436" s="14">
        <v>6289</v>
      </c>
      <c r="H2436" s="33">
        <v>24</v>
      </c>
      <c r="I2436" s="16">
        <f t="shared" si="359"/>
        <v>150936</v>
      </c>
      <c r="J2436" s="17">
        <v>0</v>
      </c>
      <c r="K2436" s="34">
        <v>4502433992</v>
      </c>
      <c r="L2436" s="19">
        <v>5084232063</v>
      </c>
      <c r="M2436" s="20">
        <v>5113692940</v>
      </c>
      <c r="N2436" s="23"/>
      <c r="O2436" s="23"/>
      <c r="P2436" s="23"/>
      <c r="Q2436" s="24" t="s">
        <v>31</v>
      </c>
      <c r="R2436" s="25">
        <v>44855</v>
      </c>
      <c r="S2436" s="28"/>
      <c r="T2436" s="35"/>
      <c r="U2436" s="35"/>
      <c r="V2436" s="29"/>
      <c r="W2436" s="35"/>
      <c r="X2436" s="29"/>
      <c r="Y2436" s="36"/>
      <c r="Z2436" s="29"/>
      <c r="AA2436" s="31">
        <f t="shared" si="1"/>
        <v>44855</v>
      </c>
      <c r="AB2436" s="32" t="str">
        <f t="shared" si="5"/>
        <v>octubre</v>
      </c>
    </row>
    <row r="2437" spans="1:28" ht="12.75">
      <c r="A2437" s="22" t="s">
        <v>428</v>
      </c>
      <c r="B2437" s="10">
        <v>44855</v>
      </c>
      <c r="C2437" s="11">
        <v>44859</v>
      </c>
      <c r="D2437" s="53">
        <v>43</v>
      </c>
      <c r="E2437" s="13" t="s">
        <v>2880</v>
      </c>
      <c r="F2437" s="13">
        <v>3025457</v>
      </c>
      <c r="G2437" s="37">
        <v>29063.5</v>
      </c>
      <c r="H2437" s="33">
        <v>8850</v>
      </c>
      <c r="I2437" s="16">
        <f t="shared" si="359"/>
        <v>257211975</v>
      </c>
      <c r="J2437" s="17">
        <v>60</v>
      </c>
      <c r="K2437" s="34">
        <v>4502433993</v>
      </c>
      <c r="L2437" s="19">
        <v>5084240023</v>
      </c>
      <c r="M2437" s="20">
        <v>5113678831</v>
      </c>
      <c r="N2437" s="23"/>
      <c r="O2437" s="9" t="s">
        <v>63</v>
      </c>
      <c r="P2437" s="23"/>
      <c r="Q2437" s="24" t="s">
        <v>31</v>
      </c>
      <c r="R2437" s="25">
        <v>44855</v>
      </c>
      <c r="S2437" s="28"/>
      <c r="T2437" s="35"/>
      <c r="U2437" s="35"/>
      <c r="V2437" s="29"/>
      <c r="W2437" s="35"/>
      <c r="X2437" s="29"/>
      <c r="Y2437" s="36"/>
      <c r="Z2437" s="29"/>
      <c r="AA2437" s="31">
        <f t="shared" si="1"/>
        <v>44855</v>
      </c>
      <c r="AB2437" s="32" t="str">
        <f t="shared" si="5"/>
        <v>octubre</v>
      </c>
    </row>
    <row r="2438" spans="1:28" ht="12.75">
      <c r="A2438" s="9" t="s">
        <v>1636</v>
      </c>
      <c r="B2438" s="10">
        <v>44859</v>
      </c>
      <c r="C2438" s="11">
        <v>44861</v>
      </c>
      <c r="D2438" s="53">
        <v>43</v>
      </c>
      <c r="E2438" s="13" t="s">
        <v>2881</v>
      </c>
      <c r="F2438" s="13">
        <v>3025457</v>
      </c>
      <c r="G2438" s="14">
        <v>6838.5</v>
      </c>
      <c r="H2438" s="33">
        <v>8500</v>
      </c>
      <c r="I2438" s="16">
        <f t="shared" si="359"/>
        <v>58127250</v>
      </c>
      <c r="J2438" s="17">
        <v>15</v>
      </c>
      <c r="K2438" s="34">
        <v>4502433994</v>
      </c>
      <c r="L2438" s="19">
        <v>5084240024</v>
      </c>
      <c r="M2438" s="20">
        <v>5113687258</v>
      </c>
      <c r="N2438" s="23"/>
      <c r="O2438" s="9" t="s">
        <v>63</v>
      </c>
      <c r="P2438" s="23"/>
      <c r="Q2438" s="24" t="s">
        <v>31</v>
      </c>
      <c r="R2438" s="25">
        <v>44855</v>
      </c>
      <c r="S2438" s="28"/>
      <c r="T2438" s="35"/>
      <c r="U2438" s="35"/>
      <c r="V2438" s="29"/>
      <c r="W2438" s="35"/>
      <c r="X2438" s="29"/>
      <c r="Y2438" s="36"/>
      <c r="Z2438" s="29"/>
      <c r="AA2438" s="31">
        <f t="shared" si="1"/>
        <v>44855</v>
      </c>
      <c r="AB2438" s="32" t="str">
        <f t="shared" si="5"/>
        <v>octubre</v>
      </c>
    </row>
    <row r="2439" spans="1:28" ht="12.75">
      <c r="A2439" s="9" t="s">
        <v>1636</v>
      </c>
      <c r="B2439" s="10">
        <v>44859</v>
      </c>
      <c r="C2439" s="11">
        <v>44861</v>
      </c>
      <c r="D2439" s="53">
        <v>43</v>
      </c>
      <c r="E2439" s="13">
        <v>22</v>
      </c>
      <c r="F2439" s="13">
        <v>3025457</v>
      </c>
      <c r="G2439" s="14">
        <v>6838.5</v>
      </c>
      <c r="H2439" s="33">
        <v>50</v>
      </c>
      <c r="I2439" s="16">
        <f>-H2439*G2439</f>
        <v>-341925</v>
      </c>
      <c r="J2439" s="17">
        <v>0</v>
      </c>
      <c r="K2439" s="34">
        <v>4502433994</v>
      </c>
      <c r="L2439" s="19">
        <v>5084240024</v>
      </c>
      <c r="M2439" s="20">
        <v>5113687260</v>
      </c>
      <c r="N2439" s="23"/>
      <c r="O2439" s="23"/>
      <c r="P2439" s="23"/>
      <c r="Q2439" s="24" t="s">
        <v>31</v>
      </c>
      <c r="R2439" s="25">
        <v>44855</v>
      </c>
      <c r="S2439" s="28"/>
      <c r="T2439" s="35"/>
      <c r="U2439" s="35"/>
      <c r="V2439" s="29"/>
      <c r="W2439" s="35"/>
      <c r="X2439" s="29"/>
      <c r="Y2439" s="36"/>
      <c r="Z2439" s="29"/>
      <c r="AA2439" s="31">
        <f t="shared" si="1"/>
        <v>44855</v>
      </c>
      <c r="AB2439" s="32" t="str">
        <f t="shared" si="5"/>
        <v>octubre</v>
      </c>
    </row>
    <row r="2440" spans="1:28" ht="12.75">
      <c r="A2440" s="9" t="s">
        <v>80</v>
      </c>
      <c r="B2440" s="10">
        <v>44855</v>
      </c>
      <c r="C2440" s="11">
        <v>44859</v>
      </c>
      <c r="D2440" s="53">
        <v>43</v>
      </c>
      <c r="E2440" s="13" t="s">
        <v>2882</v>
      </c>
      <c r="F2440" s="13">
        <v>3025460</v>
      </c>
      <c r="G2440" s="14">
        <v>38353</v>
      </c>
      <c r="H2440" s="57">
        <v>8550</v>
      </c>
      <c r="I2440" s="16">
        <f t="shared" ref="I2440:I2443" si="360">H2440*G2440</f>
        <v>327918150</v>
      </c>
      <c r="J2440" s="17">
        <v>84</v>
      </c>
      <c r="K2440" s="34">
        <v>4502437466</v>
      </c>
      <c r="L2440" s="19">
        <v>5084263251</v>
      </c>
      <c r="M2440" s="20">
        <v>5113682173</v>
      </c>
      <c r="N2440" s="23" t="s">
        <v>37</v>
      </c>
      <c r="O2440" s="23"/>
      <c r="P2440" s="23"/>
      <c r="Q2440" s="24" t="s">
        <v>82</v>
      </c>
      <c r="R2440" s="25">
        <v>44855</v>
      </c>
      <c r="S2440" s="28"/>
      <c r="T2440" s="35"/>
      <c r="U2440" s="35"/>
      <c r="V2440" s="29"/>
      <c r="W2440" s="35"/>
      <c r="X2440" s="29"/>
      <c r="Y2440" s="36"/>
      <c r="Z2440" s="29"/>
      <c r="AA2440" s="31">
        <f t="shared" si="1"/>
        <v>44855</v>
      </c>
      <c r="AB2440" s="32" t="str">
        <f t="shared" si="5"/>
        <v>octubre</v>
      </c>
    </row>
    <row r="2441" spans="1:28" ht="12.75">
      <c r="A2441" s="9" t="s">
        <v>80</v>
      </c>
      <c r="B2441" s="10">
        <v>44855</v>
      </c>
      <c r="C2441" s="11">
        <v>44859</v>
      </c>
      <c r="D2441" s="53">
        <v>43</v>
      </c>
      <c r="E2441" s="13">
        <v>4</v>
      </c>
      <c r="F2441" s="13">
        <v>3025460</v>
      </c>
      <c r="G2441" s="14">
        <v>38353</v>
      </c>
      <c r="H2441" s="57">
        <v>24</v>
      </c>
      <c r="I2441" s="16">
        <f t="shared" si="360"/>
        <v>920472</v>
      </c>
      <c r="J2441" s="17">
        <v>0</v>
      </c>
      <c r="K2441" s="34">
        <v>4502437466</v>
      </c>
      <c r="L2441" s="19">
        <v>5084263251</v>
      </c>
      <c r="M2441" s="20">
        <v>5113682175</v>
      </c>
      <c r="N2441" s="23"/>
      <c r="O2441" s="23"/>
      <c r="P2441" s="23"/>
      <c r="Q2441" s="24" t="s">
        <v>82</v>
      </c>
      <c r="R2441" s="25">
        <v>44855</v>
      </c>
      <c r="S2441" s="28"/>
      <c r="T2441" s="35"/>
      <c r="U2441" s="35"/>
      <c r="V2441" s="29"/>
      <c r="W2441" s="35"/>
      <c r="X2441" s="29"/>
      <c r="Y2441" s="36"/>
      <c r="Z2441" s="29"/>
      <c r="AA2441" s="31">
        <f t="shared" si="1"/>
        <v>44855</v>
      </c>
      <c r="AB2441" s="32" t="str">
        <f t="shared" si="5"/>
        <v>octubre</v>
      </c>
    </row>
    <row r="2442" spans="1:28" ht="12.75">
      <c r="A2442" s="9" t="s">
        <v>196</v>
      </c>
      <c r="B2442" s="10">
        <v>44855</v>
      </c>
      <c r="C2442" s="11"/>
      <c r="D2442" s="53">
        <v>43</v>
      </c>
      <c r="E2442" s="13" t="s">
        <v>2883</v>
      </c>
      <c r="F2442" s="13">
        <v>3025460</v>
      </c>
      <c r="G2442" s="14">
        <v>26814</v>
      </c>
      <c r="H2442" s="57">
        <v>8550</v>
      </c>
      <c r="I2442" s="16">
        <f t="shared" si="360"/>
        <v>229259700</v>
      </c>
      <c r="J2442" s="17">
        <v>56</v>
      </c>
      <c r="K2442" s="34">
        <v>4502437473</v>
      </c>
      <c r="L2442" s="19">
        <v>5084263257</v>
      </c>
      <c r="M2442" s="20">
        <v>5113678835</v>
      </c>
      <c r="N2442" s="23" t="s">
        <v>63</v>
      </c>
      <c r="O2442" s="23"/>
      <c r="P2442" s="23"/>
      <c r="Q2442" s="24" t="s">
        <v>82</v>
      </c>
      <c r="R2442" s="25">
        <v>44855</v>
      </c>
      <c r="S2442" s="28"/>
      <c r="T2442" s="35"/>
      <c r="U2442" s="35"/>
      <c r="V2442" s="29"/>
      <c r="W2442" s="35"/>
      <c r="X2442" s="29"/>
      <c r="Y2442" s="36"/>
      <c r="Z2442" s="29"/>
      <c r="AA2442" s="31">
        <f t="shared" si="1"/>
        <v>44855</v>
      </c>
      <c r="AB2442" s="32" t="str">
        <f t="shared" si="5"/>
        <v>octubre</v>
      </c>
    </row>
    <row r="2443" spans="1:28" ht="12.75">
      <c r="A2443" s="9" t="s">
        <v>58</v>
      </c>
      <c r="B2443" s="10">
        <v>44860</v>
      </c>
      <c r="C2443" s="11">
        <v>44860</v>
      </c>
      <c r="D2443" s="53">
        <v>43</v>
      </c>
      <c r="E2443" s="13" t="s">
        <v>2884</v>
      </c>
      <c r="F2443" s="13">
        <v>3025457</v>
      </c>
      <c r="G2443" s="14">
        <v>41934</v>
      </c>
      <c r="H2443" s="33">
        <v>8950</v>
      </c>
      <c r="I2443" s="16">
        <f t="shared" si="360"/>
        <v>375309300</v>
      </c>
      <c r="J2443" s="17">
        <f>75+16</f>
        <v>91</v>
      </c>
      <c r="K2443" s="34">
        <v>4502433995</v>
      </c>
      <c r="L2443" s="19">
        <v>5084230636</v>
      </c>
      <c r="M2443" s="20">
        <v>5113687249</v>
      </c>
      <c r="N2443" s="23"/>
      <c r="O2443" s="9" t="s">
        <v>37</v>
      </c>
      <c r="P2443" s="23"/>
      <c r="Q2443" s="24" t="s">
        <v>31</v>
      </c>
      <c r="R2443" s="25">
        <v>44856</v>
      </c>
      <c r="S2443" s="28"/>
      <c r="T2443" s="35"/>
      <c r="U2443" s="35"/>
      <c r="V2443" s="29"/>
      <c r="W2443" s="35"/>
      <c r="X2443" s="29"/>
      <c r="Y2443" s="36"/>
      <c r="Z2443" s="29"/>
      <c r="AA2443" s="31">
        <f t="shared" si="1"/>
        <v>44856</v>
      </c>
      <c r="AB2443" s="32" t="str">
        <f t="shared" si="5"/>
        <v>octubre</v>
      </c>
    </row>
    <row r="2444" spans="1:28" ht="12.75">
      <c r="A2444" s="9" t="s">
        <v>58</v>
      </c>
      <c r="B2444" s="10">
        <v>44860</v>
      </c>
      <c r="C2444" s="11">
        <v>44860</v>
      </c>
      <c r="D2444" s="53">
        <v>43</v>
      </c>
      <c r="E2444" s="13" t="s">
        <v>2885</v>
      </c>
      <c r="F2444" s="13">
        <v>3025457</v>
      </c>
      <c r="G2444" s="14">
        <v>41934</v>
      </c>
      <c r="H2444" s="33">
        <f>8950-8798.13</f>
        <v>151.8700000000008</v>
      </c>
      <c r="I2444" s="16">
        <f>-H2444*G2444</f>
        <v>-6368516.5800000336</v>
      </c>
      <c r="J2444" s="17">
        <v>0</v>
      </c>
      <c r="K2444" s="34">
        <v>4502433995</v>
      </c>
      <c r="L2444" s="19">
        <v>5084230636</v>
      </c>
      <c r="M2444" s="20">
        <v>5113687255</v>
      </c>
      <c r="N2444" s="23"/>
      <c r="O2444" s="23"/>
      <c r="P2444" s="23"/>
      <c r="Q2444" s="24" t="s">
        <v>31</v>
      </c>
      <c r="R2444" s="25">
        <v>44856</v>
      </c>
      <c r="S2444" s="28"/>
      <c r="T2444" s="35"/>
      <c r="U2444" s="35"/>
      <c r="V2444" s="29"/>
      <c r="W2444" s="35"/>
      <c r="X2444" s="29"/>
      <c r="Y2444" s="36"/>
      <c r="Z2444" s="29"/>
      <c r="AA2444" s="31">
        <f t="shared" si="1"/>
        <v>44856</v>
      </c>
      <c r="AB2444" s="32" t="str">
        <f t="shared" si="5"/>
        <v>octubre</v>
      </c>
    </row>
    <row r="2445" spans="1:28" ht="12.75">
      <c r="A2445" s="9" t="s">
        <v>58</v>
      </c>
      <c r="B2445" s="10">
        <v>44860</v>
      </c>
      <c r="C2445" s="11">
        <v>44860</v>
      </c>
      <c r="D2445" s="53">
        <v>43</v>
      </c>
      <c r="E2445" s="13" t="s">
        <v>2886</v>
      </c>
      <c r="F2445" s="13">
        <v>3025457</v>
      </c>
      <c r="G2445" s="14">
        <v>7746</v>
      </c>
      <c r="H2445" s="33">
        <v>8950</v>
      </c>
      <c r="I2445" s="16">
        <f t="shared" ref="I2445:I2446" si="361">H2445*G2445</f>
        <v>69326700</v>
      </c>
      <c r="J2445" s="17">
        <v>15</v>
      </c>
      <c r="K2445" s="34">
        <v>4502436210</v>
      </c>
      <c r="L2445" s="19">
        <v>5084244365</v>
      </c>
      <c r="M2445" s="20">
        <v>5113687247</v>
      </c>
      <c r="N2445" s="23"/>
      <c r="O2445" s="9" t="s">
        <v>37</v>
      </c>
      <c r="P2445" s="23"/>
      <c r="Q2445" s="24" t="s">
        <v>31</v>
      </c>
      <c r="R2445" s="25">
        <v>44856</v>
      </c>
      <c r="S2445" s="28"/>
      <c r="T2445" s="35"/>
      <c r="U2445" s="35"/>
      <c r="V2445" s="29"/>
      <c r="W2445" s="35"/>
      <c r="X2445" s="29"/>
      <c r="Y2445" s="36"/>
      <c r="Z2445" s="29"/>
      <c r="AA2445" s="31">
        <f t="shared" si="1"/>
        <v>44856</v>
      </c>
      <c r="AB2445" s="32" t="str">
        <f t="shared" si="5"/>
        <v>octubre</v>
      </c>
    </row>
    <row r="2446" spans="1:28" ht="12.75">
      <c r="A2446" s="22" t="s">
        <v>404</v>
      </c>
      <c r="B2446" s="10">
        <v>44856</v>
      </c>
      <c r="C2446" s="11">
        <v>44859</v>
      </c>
      <c r="D2446" s="53">
        <v>43</v>
      </c>
      <c r="E2446" s="13" t="s">
        <v>2887</v>
      </c>
      <c r="F2446" s="13">
        <v>3025457</v>
      </c>
      <c r="G2446" s="14">
        <v>25062</v>
      </c>
      <c r="H2446" s="33">
        <v>8950</v>
      </c>
      <c r="I2446" s="16">
        <f t="shared" si="361"/>
        <v>224304900</v>
      </c>
      <c r="J2446" s="17">
        <v>58</v>
      </c>
      <c r="K2446" s="34">
        <v>4502433996</v>
      </c>
      <c r="L2446" s="19">
        <v>5084232009</v>
      </c>
      <c r="M2446" s="20">
        <v>5113678940</v>
      </c>
      <c r="N2446" s="23"/>
      <c r="O2446" s="9" t="s">
        <v>37</v>
      </c>
      <c r="P2446" s="23"/>
      <c r="Q2446" s="24" t="s">
        <v>31</v>
      </c>
      <c r="R2446" s="25">
        <v>44856</v>
      </c>
      <c r="S2446" s="28"/>
      <c r="T2446" s="35"/>
      <c r="U2446" s="35"/>
      <c r="V2446" s="29"/>
      <c r="W2446" s="35"/>
      <c r="X2446" s="29"/>
      <c r="Y2446" s="36"/>
      <c r="Z2446" s="29"/>
      <c r="AA2446" s="31">
        <f t="shared" si="1"/>
        <v>44856</v>
      </c>
      <c r="AB2446" s="32" t="str">
        <f t="shared" si="5"/>
        <v>octubre</v>
      </c>
    </row>
    <row r="2447" spans="1:28" ht="12.75">
      <c r="A2447" s="22" t="s">
        <v>404</v>
      </c>
      <c r="B2447" s="10">
        <v>44859</v>
      </c>
      <c r="C2447" s="11">
        <v>44859</v>
      </c>
      <c r="D2447" s="53">
        <v>43</v>
      </c>
      <c r="E2447" s="13" t="s">
        <v>746</v>
      </c>
      <c r="F2447" s="13">
        <v>3025457</v>
      </c>
      <c r="G2447" s="14">
        <v>25062</v>
      </c>
      <c r="H2447" s="144">
        <f>8950-8890.58</f>
        <v>59.420000000000073</v>
      </c>
      <c r="I2447" s="16">
        <f>-H2447*G2447</f>
        <v>-1489184.0400000019</v>
      </c>
      <c r="J2447" s="17">
        <v>0</v>
      </c>
      <c r="K2447" s="34">
        <v>4502433996</v>
      </c>
      <c r="L2447" s="19">
        <v>5084232009</v>
      </c>
      <c r="M2447" s="20">
        <v>5113678946</v>
      </c>
      <c r="N2447" s="23"/>
      <c r="O2447" s="23"/>
      <c r="P2447" s="23"/>
      <c r="Q2447" s="24" t="s">
        <v>31</v>
      </c>
      <c r="R2447" s="25">
        <v>44856</v>
      </c>
      <c r="S2447" s="28"/>
      <c r="T2447" s="35"/>
      <c r="U2447" s="35"/>
      <c r="V2447" s="29"/>
      <c r="W2447" s="35"/>
      <c r="X2447" s="29"/>
      <c r="Y2447" s="36"/>
      <c r="Z2447" s="29"/>
      <c r="AA2447" s="31">
        <f t="shared" si="1"/>
        <v>44856</v>
      </c>
      <c r="AB2447" s="32" t="str">
        <f t="shared" si="5"/>
        <v>octubre</v>
      </c>
    </row>
    <row r="2448" spans="1:28" ht="12.75">
      <c r="A2448" s="22" t="s">
        <v>428</v>
      </c>
      <c r="B2448" s="10">
        <v>44857</v>
      </c>
      <c r="C2448" s="11">
        <v>44860</v>
      </c>
      <c r="D2448" s="53">
        <v>43</v>
      </c>
      <c r="E2448" s="13" t="s">
        <v>2888</v>
      </c>
      <c r="F2448" s="13">
        <v>3025457</v>
      </c>
      <c r="G2448" s="14">
        <v>7088</v>
      </c>
      <c r="H2448" s="33">
        <v>8850</v>
      </c>
      <c r="I2448" s="16">
        <f t="shared" ref="I2448:I2451" si="362">H2448*G2448</f>
        <v>62728800</v>
      </c>
      <c r="J2448" s="17">
        <v>14</v>
      </c>
      <c r="K2448" s="34">
        <v>4502433997</v>
      </c>
      <c r="L2448" s="19">
        <v>5084244426</v>
      </c>
      <c r="M2448" s="20">
        <v>5113679469</v>
      </c>
      <c r="N2448" s="23"/>
      <c r="O2448" s="9" t="s">
        <v>63</v>
      </c>
      <c r="P2448" s="23"/>
      <c r="Q2448" s="24" t="s">
        <v>31</v>
      </c>
      <c r="R2448" s="25">
        <v>44857</v>
      </c>
      <c r="S2448" s="28"/>
      <c r="T2448" s="35"/>
      <c r="U2448" s="35"/>
      <c r="V2448" s="29"/>
      <c r="W2448" s="35"/>
      <c r="X2448" s="29"/>
      <c r="Y2448" s="36"/>
      <c r="Z2448" s="29"/>
      <c r="AA2448" s="31">
        <f t="shared" si="1"/>
        <v>44857</v>
      </c>
      <c r="AB2448" s="32" t="str">
        <f t="shared" si="5"/>
        <v>octubre</v>
      </c>
    </row>
    <row r="2449" spans="1:28" ht="12.75">
      <c r="A2449" s="9" t="s">
        <v>116</v>
      </c>
      <c r="B2449" s="10">
        <v>44844</v>
      </c>
      <c r="C2449" s="11"/>
      <c r="D2449" s="53">
        <v>43</v>
      </c>
      <c r="E2449" s="13" t="s">
        <v>2779</v>
      </c>
      <c r="F2449" s="13">
        <v>3025457</v>
      </c>
      <c r="G2449" s="14"/>
      <c r="H2449" s="15">
        <v>9335</v>
      </c>
      <c r="I2449" s="16">
        <f t="shared" si="362"/>
        <v>0</v>
      </c>
      <c r="J2449" s="17">
        <v>70</v>
      </c>
      <c r="K2449" s="34">
        <v>4502428887</v>
      </c>
      <c r="L2449" s="126">
        <v>5084058569</v>
      </c>
      <c r="M2449" s="20">
        <v>5113644930</v>
      </c>
      <c r="N2449" s="23" t="s">
        <v>37</v>
      </c>
      <c r="O2449" s="124" t="s">
        <v>2889</v>
      </c>
      <c r="P2449" s="23"/>
      <c r="Q2449" s="24" t="s">
        <v>31</v>
      </c>
      <c r="R2449" s="25">
        <v>44857</v>
      </c>
      <c r="S2449" s="28">
        <v>4902370634</v>
      </c>
      <c r="T2449" s="28">
        <f>8354500+800000</f>
        <v>9154500</v>
      </c>
      <c r="U2449" s="28" t="s">
        <v>2890</v>
      </c>
      <c r="V2449" s="29">
        <v>5113678616</v>
      </c>
      <c r="W2449" s="29" t="s">
        <v>2891</v>
      </c>
      <c r="X2449" s="29">
        <v>5113678678</v>
      </c>
      <c r="Y2449" s="145" t="s">
        <v>2892</v>
      </c>
      <c r="Z2449" s="29">
        <v>5113678681</v>
      </c>
      <c r="AA2449" s="31">
        <f t="shared" si="1"/>
        <v>44857</v>
      </c>
      <c r="AB2449" s="32" t="str">
        <f t="shared" si="5"/>
        <v>octubre</v>
      </c>
    </row>
    <row r="2450" spans="1:28" ht="12.75">
      <c r="A2450" s="9" t="s">
        <v>58</v>
      </c>
      <c r="B2450" s="10">
        <v>44860</v>
      </c>
      <c r="C2450" s="11">
        <v>44860</v>
      </c>
      <c r="D2450" s="53">
        <v>43</v>
      </c>
      <c r="E2450" s="13" t="s">
        <v>2893</v>
      </c>
      <c r="F2450" s="13">
        <v>3025459</v>
      </c>
      <c r="G2450" s="14">
        <v>6629</v>
      </c>
      <c r="H2450" s="33">
        <v>8950</v>
      </c>
      <c r="I2450" s="16">
        <f t="shared" si="362"/>
        <v>59329550</v>
      </c>
      <c r="J2450" s="17">
        <v>15</v>
      </c>
      <c r="K2450" s="34">
        <v>4502434000</v>
      </c>
      <c r="L2450" s="19">
        <v>5084244427</v>
      </c>
      <c r="M2450" s="20">
        <v>5113687243</v>
      </c>
      <c r="N2450" s="23"/>
      <c r="O2450" s="9" t="s">
        <v>37</v>
      </c>
      <c r="P2450" s="23"/>
      <c r="Q2450" s="24" t="s">
        <v>31</v>
      </c>
      <c r="R2450" s="25">
        <v>44857</v>
      </c>
      <c r="S2450" s="28"/>
      <c r="T2450" s="28"/>
      <c r="U2450" s="35"/>
      <c r="V2450" s="29"/>
      <c r="W2450" s="35"/>
      <c r="X2450" s="29"/>
      <c r="Y2450" s="36"/>
      <c r="Z2450" s="29"/>
      <c r="AA2450" s="31">
        <f t="shared" si="1"/>
        <v>44857</v>
      </c>
      <c r="AB2450" s="32" t="str">
        <f t="shared" si="5"/>
        <v>octubre</v>
      </c>
    </row>
    <row r="2451" spans="1:28" ht="12.75">
      <c r="A2451" s="9" t="s">
        <v>58</v>
      </c>
      <c r="B2451" s="10">
        <v>44860</v>
      </c>
      <c r="C2451" s="11">
        <v>44860</v>
      </c>
      <c r="D2451" s="53">
        <v>43</v>
      </c>
      <c r="E2451" s="13" t="s">
        <v>2894</v>
      </c>
      <c r="F2451" s="13">
        <v>3025459</v>
      </c>
      <c r="G2451" s="14">
        <v>34878.5</v>
      </c>
      <c r="H2451" s="33">
        <v>8950</v>
      </c>
      <c r="I2451" s="16">
        <f t="shared" si="362"/>
        <v>312162575</v>
      </c>
      <c r="J2451" s="17">
        <v>77</v>
      </c>
      <c r="K2451" s="34">
        <v>4502434000</v>
      </c>
      <c r="L2451" s="19">
        <v>5084244427</v>
      </c>
      <c r="M2451" s="20">
        <v>5113687213</v>
      </c>
      <c r="N2451" s="23"/>
      <c r="O2451" s="9" t="s">
        <v>37</v>
      </c>
      <c r="P2451" s="23"/>
      <c r="Q2451" s="24" t="s">
        <v>31</v>
      </c>
      <c r="R2451" s="25">
        <v>44857</v>
      </c>
      <c r="S2451" s="28"/>
      <c r="T2451" s="28"/>
      <c r="U2451" s="35"/>
      <c r="V2451" s="29"/>
      <c r="W2451" s="35"/>
      <c r="X2451" s="29"/>
      <c r="Y2451" s="36"/>
      <c r="Z2451" s="29"/>
      <c r="AA2451" s="31">
        <f t="shared" si="1"/>
        <v>44857</v>
      </c>
      <c r="AB2451" s="32" t="str">
        <f t="shared" si="5"/>
        <v>octubre</v>
      </c>
    </row>
    <row r="2452" spans="1:28" ht="12.75">
      <c r="A2452" s="9" t="s">
        <v>58</v>
      </c>
      <c r="B2452" s="10">
        <v>44860</v>
      </c>
      <c r="C2452" s="11">
        <v>44860</v>
      </c>
      <c r="D2452" s="53">
        <v>43</v>
      </c>
      <c r="E2452" s="13" t="s">
        <v>2895</v>
      </c>
      <c r="F2452" s="13">
        <v>3025459</v>
      </c>
      <c r="G2452" s="14">
        <v>34878.5</v>
      </c>
      <c r="H2452" s="33">
        <f>8950-8898.86</f>
        <v>51.139999999999418</v>
      </c>
      <c r="I2452" s="16">
        <f>-H2452*G2452</f>
        <v>-1783686.4899999797</v>
      </c>
      <c r="J2452" s="17">
        <v>0</v>
      </c>
      <c r="K2452" s="34">
        <v>4502434000</v>
      </c>
      <c r="L2452" s="19">
        <v>5084244427</v>
      </c>
      <c r="M2452" s="20">
        <v>5113687240</v>
      </c>
      <c r="N2452" s="23"/>
      <c r="O2452" s="23"/>
      <c r="P2452" s="23"/>
      <c r="Q2452" s="24" t="s">
        <v>31</v>
      </c>
      <c r="R2452" s="25">
        <v>44857</v>
      </c>
      <c r="S2452" s="28"/>
      <c r="T2452" s="28"/>
      <c r="U2452" s="35"/>
      <c r="V2452" s="29"/>
      <c r="W2452" s="35"/>
      <c r="X2452" s="29"/>
      <c r="Y2452" s="36"/>
      <c r="Z2452" s="29"/>
      <c r="AA2452" s="31">
        <f t="shared" si="1"/>
        <v>44857</v>
      </c>
      <c r="AB2452" s="32" t="str">
        <f t="shared" si="5"/>
        <v>octubre</v>
      </c>
    </row>
    <row r="2453" spans="1:28" ht="12.75">
      <c r="A2453" s="9" t="s">
        <v>85</v>
      </c>
      <c r="B2453" s="10">
        <v>44860</v>
      </c>
      <c r="C2453" s="11">
        <v>44860</v>
      </c>
      <c r="D2453" s="53">
        <v>43</v>
      </c>
      <c r="E2453" s="13" t="s">
        <v>2896</v>
      </c>
      <c r="F2453" s="13">
        <v>3025460</v>
      </c>
      <c r="G2453" s="14">
        <v>25233</v>
      </c>
      <c r="H2453" s="57">
        <v>8500</v>
      </c>
      <c r="I2453" s="16">
        <f t="shared" ref="I2453:I2459" si="363">H2453*G2453</f>
        <v>214480500</v>
      </c>
      <c r="J2453" s="17">
        <v>56</v>
      </c>
      <c r="K2453" s="34">
        <v>4502438254</v>
      </c>
      <c r="L2453" s="19">
        <v>5084279935</v>
      </c>
      <c r="M2453" s="20">
        <v>5113680384</v>
      </c>
      <c r="N2453" s="23"/>
      <c r="O2453" s="9" t="s">
        <v>63</v>
      </c>
      <c r="P2453" s="9"/>
      <c r="Q2453" s="24" t="s">
        <v>82</v>
      </c>
      <c r="R2453" s="25">
        <v>44857</v>
      </c>
      <c r="S2453" s="28"/>
      <c r="T2453" s="35"/>
      <c r="U2453" s="35"/>
      <c r="V2453" s="29"/>
      <c r="W2453" s="35"/>
      <c r="X2453" s="29"/>
      <c r="Y2453" s="36"/>
      <c r="Z2453" s="29"/>
      <c r="AA2453" s="31">
        <f t="shared" si="1"/>
        <v>44857</v>
      </c>
      <c r="AB2453" s="32" t="str">
        <f t="shared" si="5"/>
        <v>octubre</v>
      </c>
    </row>
    <row r="2454" spans="1:28" ht="12.75">
      <c r="A2454" s="9" t="s">
        <v>85</v>
      </c>
      <c r="B2454" s="10">
        <v>44860</v>
      </c>
      <c r="C2454" s="11">
        <v>44860</v>
      </c>
      <c r="D2454" s="53">
        <v>43</v>
      </c>
      <c r="E2454" s="13" t="s">
        <v>2897</v>
      </c>
      <c r="F2454" s="13">
        <v>3025460</v>
      </c>
      <c r="G2454" s="14">
        <v>25233</v>
      </c>
      <c r="H2454" s="57">
        <v>24</v>
      </c>
      <c r="I2454" s="16">
        <f t="shared" si="363"/>
        <v>605592</v>
      </c>
      <c r="J2454" s="17">
        <v>0</v>
      </c>
      <c r="K2454" s="34">
        <v>4502438254</v>
      </c>
      <c r="L2454" s="19">
        <v>5084279935</v>
      </c>
      <c r="M2454" s="20">
        <v>5113680386</v>
      </c>
      <c r="N2454" s="23"/>
      <c r="O2454" s="23"/>
      <c r="P2454" s="23"/>
      <c r="Q2454" s="24" t="s">
        <v>82</v>
      </c>
      <c r="R2454" s="25">
        <v>44857</v>
      </c>
      <c r="S2454" s="28"/>
      <c r="T2454" s="35"/>
      <c r="U2454" s="35"/>
      <c r="V2454" s="29"/>
      <c r="W2454" s="35"/>
      <c r="X2454" s="29"/>
      <c r="Y2454" s="36"/>
      <c r="Z2454" s="29"/>
      <c r="AA2454" s="31">
        <f t="shared" si="1"/>
        <v>44857</v>
      </c>
      <c r="AB2454" s="32" t="str">
        <f t="shared" si="5"/>
        <v>octubre</v>
      </c>
    </row>
    <row r="2455" spans="1:28" ht="12.75">
      <c r="A2455" s="9" t="s">
        <v>89</v>
      </c>
      <c r="B2455" s="10">
        <v>44861</v>
      </c>
      <c r="C2455" s="11"/>
      <c r="D2455" s="53">
        <v>43</v>
      </c>
      <c r="E2455" s="13" t="s">
        <v>2898</v>
      </c>
      <c r="F2455" s="13">
        <v>3025460</v>
      </c>
      <c r="G2455" s="14">
        <v>16295</v>
      </c>
      <c r="H2455" s="57">
        <v>8542.39</v>
      </c>
      <c r="I2455" s="16">
        <f t="shared" si="363"/>
        <v>139198245.04999998</v>
      </c>
      <c r="J2455" s="17">
        <v>30</v>
      </c>
      <c r="K2455" s="34">
        <v>4502438255</v>
      </c>
      <c r="L2455" s="19">
        <v>5084280076</v>
      </c>
      <c r="M2455" s="20">
        <v>5113709562</v>
      </c>
      <c r="N2455" s="23"/>
      <c r="O2455" s="9" t="s">
        <v>63</v>
      </c>
      <c r="P2455" s="23"/>
      <c r="Q2455" s="24" t="s">
        <v>82</v>
      </c>
      <c r="R2455" s="25">
        <v>44857</v>
      </c>
      <c r="S2455" s="28"/>
      <c r="T2455" s="35"/>
      <c r="U2455" s="35"/>
      <c r="V2455" s="29"/>
      <c r="W2455" s="35"/>
      <c r="X2455" s="29"/>
      <c r="Y2455" s="36"/>
      <c r="Z2455" s="29"/>
      <c r="AA2455" s="31">
        <f t="shared" si="1"/>
        <v>44857</v>
      </c>
      <c r="AB2455" s="32" t="str">
        <f t="shared" si="5"/>
        <v>octubre</v>
      </c>
    </row>
    <row r="2456" spans="1:28" ht="12.75">
      <c r="A2456" s="9" t="s">
        <v>94</v>
      </c>
      <c r="B2456" s="10">
        <v>44863</v>
      </c>
      <c r="C2456" s="11"/>
      <c r="D2456" s="53">
        <v>43</v>
      </c>
      <c r="E2456" s="13" t="s">
        <v>2899</v>
      </c>
      <c r="F2456" s="13">
        <v>3025460</v>
      </c>
      <c r="G2456" s="14">
        <v>6463</v>
      </c>
      <c r="H2456" s="57">
        <v>8500</v>
      </c>
      <c r="I2456" s="16">
        <f t="shared" si="363"/>
        <v>54935500</v>
      </c>
      <c r="J2456" s="17">
        <v>15</v>
      </c>
      <c r="K2456" s="34">
        <v>4502438256</v>
      </c>
      <c r="L2456" s="19">
        <v>5084305017</v>
      </c>
      <c r="M2456" s="20">
        <v>5113692941</v>
      </c>
      <c r="N2456" s="23"/>
      <c r="O2456" s="9" t="s">
        <v>63</v>
      </c>
      <c r="P2456" s="9"/>
      <c r="Q2456" s="24" t="s">
        <v>82</v>
      </c>
      <c r="R2456" s="25">
        <v>44857</v>
      </c>
      <c r="S2456" s="28"/>
      <c r="T2456" s="35"/>
      <c r="U2456" s="35"/>
      <c r="V2456" s="29"/>
      <c r="W2456" s="35"/>
      <c r="X2456" s="29"/>
      <c r="Y2456" s="36"/>
      <c r="Z2456" s="29"/>
      <c r="AA2456" s="31">
        <f t="shared" si="1"/>
        <v>44857</v>
      </c>
      <c r="AB2456" s="32" t="str">
        <f t="shared" si="5"/>
        <v>octubre</v>
      </c>
    </row>
    <row r="2457" spans="1:28" ht="12.75">
      <c r="A2457" s="9" t="s">
        <v>94</v>
      </c>
      <c r="B2457" s="10">
        <v>44862</v>
      </c>
      <c r="C2457" s="11"/>
      <c r="D2457" s="53">
        <v>43</v>
      </c>
      <c r="E2457" s="13" t="s">
        <v>787</v>
      </c>
      <c r="F2457" s="13">
        <v>3025460</v>
      </c>
      <c r="G2457" s="14">
        <v>6463</v>
      </c>
      <c r="H2457" s="57">
        <v>24</v>
      </c>
      <c r="I2457" s="16">
        <f t="shared" si="363"/>
        <v>155112</v>
      </c>
      <c r="J2457" s="17">
        <v>0</v>
      </c>
      <c r="K2457" s="34">
        <v>4502438256</v>
      </c>
      <c r="L2457" s="19">
        <v>5084305017</v>
      </c>
      <c r="M2457" s="20">
        <v>5113692942</v>
      </c>
      <c r="N2457" s="23"/>
      <c r="O2457" s="23"/>
      <c r="P2457" s="9"/>
      <c r="Q2457" s="24" t="s">
        <v>82</v>
      </c>
      <c r="R2457" s="25">
        <v>44857</v>
      </c>
      <c r="S2457" s="28"/>
      <c r="T2457" s="35"/>
      <c r="U2457" s="35"/>
      <c r="V2457" s="29"/>
      <c r="W2457" s="35"/>
      <c r="X2457" s="29"/>
      <c r="Y2457" s="36"/>
      <c r="Z2457" s="29"/>
      <c r="AA2457" s="31">
        <f t="shared" si="1"/>
        <v>44857</v>
      </c>
      <c r="AB2457" s="32" t="str">
        <f t="shared" si="5"/>
        <v>octubre</v>
      </c>
    </row>
    <row r="2458" spans="1:28" ht="12.75">
      <c r="A2458" s="9" t="s">
        <v>28</v>
      </c>
      <c r="B2458" s="10">
        <v>44860</v>
      </c>
      <c r="C2458" s="11">
        <v>44860</v>
      </c>
      <c r="D2458" s="53">
        <v>43</v>
      </c>
      <c r="E2458" s="13" t="s">
        <v>2900</v>
      </c>
      <c r="F2458" s="13">
        <v>3025457</v>
      </c>
      <c r="G2458" s="14">
        <v>58967</v>
      </c>
      <c r="H2458" s="15">
        <v>8200</v>
      </c>
      <c r="I2458" s="16">
        <f t="shared" si="363"/>
        <v>483529400</v>
      </c>
      <c r="J2458" s="17">
        <v>112</v>
      </c>
      <c r="K2458" s="34">
        <v>4502436418</v>
      </c>
      <c r="L2458" s="19">
        <v>5084260643</v>
      </c>
      <c r="M2458" s="20">
        <v>5113687152</v>
      </c>
      <c r="N2458" s="23" t="s">
        <v>37</v>
      </c>
      <c r="O2458" s="124" t="s">
        <v>2901</v>
      </c>
      <c r="P2458" s="23"/>
      <c r="Q2458" s="24" t="s">
        <v>31</v>
      </c>
      <c r="R2458" s="25">
        <v>44858</v>
      </c>
      <c r="S2458" s="28">
        <v>4902370637</v>
      </c>
      <c r="T2458" s="27">
        <v>24083200</v>
      </c>
      <c r="U2458" s="28" t="s">
        <v>2902</v>
      </c>
      <c r="V2458" s="29">
        <v>5113675367</v>
      </c>
      <c r="W2458" s="28" t="s">
        <v>2903</v>
      </c>
      <c r="X2458" s="29">
        <v>5113675368</v>
      </c>
      <c r="Y2458" s="36"/>
      <c r="Z2458" s="29"/>
      <c r="AA2458" s="31">
        <f t="shared" si="1"/>
        <v>44858</v>
      </c>
      <c r="AB2458" s="32" t="str">
        <f t="shared" si="5"/>
        <v>octubre</v>
      </c>
    </row>
    <row r="2459" spans="1:28" ht="12.75">
      <c r="A2459" s="22" t="s">
        <v>404</v>
      </c>
      <c r="B2459" s="10">
        <v>44858</v>
      </c>
      <c r="C2459" s="11">
        <v>44860</v>
      </c>
      <c r="D2459" s="53">
        <v>43</v>
      </c>
      <c r="E2459" s="13" t="s">
        <v>2904</v>
      </c>
      <c r="F2459" s="13">
        <v>3025459</v>
      </c>
      <c r="G2459" s="14">
        <v>13363</v>
      </c>
      <c r="H2459" s="33">
        <v>8950</v>
      </c>
      <c r="I2459" s="16">
        <f t="shared" si="363"/>
        <v>119598850</v>
      </c>
      <c r="J2459" s="17">
        <v>29</v>
      </c>
      <c r="K2459" s="34">
        <v>4502434005</v>
      </c>
      <c r="L2459" s="19">
        <v>5084261417</v>
      </c>
      <c r="M2459" s="20">
        <v>5113688482</v>
      </c>
      <c r="N2459" s="23"/>
      <c r="O2459" s="9" t="s">
        <v>37</v>
      </c>
      <c r="P2459" s="23"/>
      <c r="Q2459" s="24" t="s">
        <v>31</v>
      </c>
      <c r="R2459" s="25">
        <v>44858</v>
      </c>
      <c r="S2459" s="28"/>
      <c r="T2459" s="35"/>
      <c r="U2459" s="35"/>
      <c r="V2459" s="29"/>
      <c r="W2459" s="35"/>
      <c r="X2459" s="29"/>
      <c r="Y2459" s="36"/>
      <c r="Z2459" s="29"/>
      <c r="AA2459" s="31">
        <f t="shared" si="1"/>
        <v>44858</v>
      </c>
      <c r="AB2459" s="32" t="str">
        <f t="shared" si="5"/>
        <v>octubre</v>
      </c>
    </row>
    <row r="2460" spans="1:28" ht="12.75">
      <c r="A2460" s="22" t="s">
        <v>404</v>
      </c>
      <c r="B2460" s="10">
        <v>44860</v>
      </c>
      <c r="C2460" s="11">
        <v>44860</v>
      </c>
      <c r="D2460" s="53">
        <v>43</v>
      </c>
      <c r="E2460" s="13" t="s">
        <v>748</v>
      </c>
      <c r="F2460" s="13">
        <v>3025459</v>
      </c>
      <c r="G2460" s="14">
        <v>13363</v>
      </c>
      <c r="H2460" s="33">
        <f>8950-8897.21</f>
        <v>52.790000000000873</v>
      </c>
      <c r="I2460" s="16">
        <f>-H2460*G2460</f>
        <v>-705432.77000001166</v>
      </c>
      <c r="J2460" s="17">
        <v>0</v>
      </c>
      <c r="K2460" s="34">
        <v>4502434005</v>
      </c>
      <c r="L2460" s="19">
        <v>5084261417</v>
      </c>
      <c r="M2460" s="20">
        <v>5113688530</v>
      </c>
      <c r="N2460" s="23"/>
      <c r="O2460" s="23"/>
      <c r="P2460" s="23"/>
      <c r="Q2460" s="24" t="s">
        <v>31</v>
      </c>
      <c r="R2460" s="25">
        <v>44858</v>
      </c>
      <c r="S2460" s="28"/>
      <c r="T2460" s="35"/>
      <c r="U2460" s="35"/>
      <c r="V2460" s="29"/>
      <c r="W2460" s="35"/>
      <c r="X2460" s="29"/>
      <c r="Y2460" s="36"/>
      <c r="Z2460" s="29"/>
      <c r="AA2460" s="31">
        <f t="shared" si="1"/>
        <v>44858</v>
      </c>
      <c r="AB2460" s="32" t="str">
        <f t="shared" si="5"/>
        <v>octubre</v>
      </c>
    </row>
    <row r="2461" spans="1:28" ht="12.75">
      <c r="A2461" s="22" t="s">
        <v>501</v>
      </c>
      <c r="B2461" s="10">
        <v>44860</v>
      </c>
      <c r="C2461" s="11"/>
      <c r="D2461" s="53">
        <v>43</v>
      </c>
      <c r="E2461" s="13" t="s">
        <v>2905</v>
      </c>
      <c r="F2461" s="13">
        <v>3025459</v>
      </c>
      <c r="G2461" s="14">
        <v>25799</v>
      </c>
      <c r="H2461" s="33">
        <v>8650</v>
      </c>
      <c r="I2461" s="16">
        <f>H2461*G2461</f>
        <v>223161350</v>
      </c>
      <c r="J2461" s="17">
        <v>56</v>
      </c>
      <c r="K2461" s="34">
        <v>4502434006</v>
      </c>
      <c r="L2461" s="19">
        <v>5084261498</v>
      </c>
      <c r="M2461" s="20">
        <v>5113683004</v>
      </c>
      <c r="N2461" s="9"/>
      <c r="O2461" s="9" t="s">
        <v>37</v>
      </c>
      <c r="P2461" s="23"/>
      <c r="Q2461" s="24" t="s">
        <v>31</v>
      </c>
      <c r="R2461" s="25">
        <v>44858</v>
      </c>
      <c r="S2461" s="28"/>
      <c r="T2461" s="35"/>
      <c r="U2461" s="35"/>
      <c r="V2461" s="29"/>
      <c r="W2461" s="35"/>
      <c r="X2461" s="29"/>
      <c r="Y2461" s="36"/>
      <c r="Z2461" s="29"/>
      <c r="AA2461" s="31">
        <f t="shared" si="1"/>
        <v>44858</v>
      </c>
      <c r="AB2461" s="32" t="str">
        <f t="shared" si="5"/>
        <v>octubre</v>
      </c>
    </row>
    <row r="2462" spans="1:28" ht="12.75">
      <c r="A2462" s="22" t="s">
        <v>501</v>
      </c>
      <c r="B2462" s="10">
        <v>44860</v>
      </c>
      <c r="C2462" s="11"/>
      <c r="D2462" s="53">
        <v>43</v>
      </c>
      <c r="E2462" s="13">
        <v>16</v>
      </c>
      <c r="F2462" s="13">
        <v>3025459</v>
      </c>
      <c r="G2462" s="14">
        <v>25799</v>
      </c>
      <c r="H2462" s="33">
        <f>8650-8645.55</f>
        <v>4.4500000000007276</v>
      </c>
      <c r="I2462" s="16">
        <f>-H2462*G2462</f>
        <v>-114805.55000001877</v>
      </c>
      <c r="J2462" s="17">
        <v>0</v>
      </c>
      <c r="K2462" s="34">
        <v>4502434006</v>
      </c>
      <c r="L2462" s="19">
        <v>5084261498</v>
      </c>
      <c r="M2462" s="20">
        <v>5113683006</v>
      </c>
      <c r="N2462" s="23"/>
      <c r="O2462" s="22"/>
      <c r="P2462" s="23"/>
      <c r="Q2462" s="24" t="s">
        <v>31</v>
      </c>
      <c r="R2462" s="25">
        <v>44858</v>
      </c>
      <c r="S2462" s="28"/>
      <c r="T2462" s="35"/>
      <c r="U2462" s="35"/>
      <c r="V2462" s="29"/>
      <c r="W2462" s="35"/>
      <c r="X2462" s="29"/>
      <c r="Y2462" s="36"/>
      <c r="Z2462" s="29"/>
      <c r="AA2462" s="31">
        <f t="shared" si="1"/>
        <v>44858</v>
      </c>
      <c r="AB2462" s="32" t="str">
        <f t="shared" si="5"/>
        <v>octubre</v>
      </c>
    </row>
    <row r="2463" spans="1:28" ht="12.75">
      <c r="A2463" s="22" t="s">
        <v>774</v>
      </c>
      <c r="B2463" s="10">
        <v>44865</v>
      </c>
      <c r="C2463" s="11">
        <v>44865</v>
      </c>
      <c r="D2463" s="53">
        <v>43</v>
      </c>
      <c r="E2463" s="13" t="s">
        <v>2848</v>
      </c>
      <c r="F2463" s="13">
        <v>3025457</v>
      </c>
      <c r="G2463" s="14">
        <v>43626</v>
      </c>
      <c r="H2463" s="33">
        <v>8700</v>
      </c>
      <c r="I2463" s="16">
        <f>H2463*G2463</f>
        <v>379546200</v>
      </c>
      <c r="J2463" s="17">
        <v>105</v>
      </c>
      <c r="K2463" s="34">
        <v>4502434007</v>
      </c>
      <c r="L2463" s="19">
        <v>5084285492</v>
      </c>
      <c r="M2463" s="20">
        <v>5113697439</v>
      </c>
      <c r="N2463" s="23"/>
      <c r="O2463" s="9" t="s">
        <v>63</v>
      </c>
      <c r="P2463" s="9"/>
      <c r="Q2463" s="24" t="s">
        <v>31</v>
      </c>
      <c r="R2463" s="25">
        <v>44859</v>
      </c>
      <c r="S2463" s="28"/>
      <c r="T2463" s="35"/>
      <c r="U2463" s="35"/>
      <c r="V2463" s="29"/>
      <c r="W2463" s="35"/>
      <c r="X2463" s="29"/>
      <c r="Y2463" s="36"/>
      <c r="Z2463" s="29"/>
      <c r="AA2463" s="31">
        <f t="shared" si="1"/>
        <v>44859</v>
      </c>
      <c r="AB2463" s="32" t="str">
        <f t="shared" si="5"/>
        <v>octubre</v>
      </c>
    </row>
    <row r="2464" spans="1:28" ht="12.75">
      <c r="A2464" s="22" t="s">
        <v>774</v>
      </c>
      <c r="B2464" s="10">
        <v>44865</v>
      </c>
      <c r="C2464" s="11">
        <v>44865</v>
      </c>
      <c r="D2464" s="53">
        <v>43</v>
      </c>
      <c r="E2464" s="13" t="s">
        <v>918</v>
      </c>
      <c r="F2464" s="13">
        <v>3025457</v>
      </c>
      <c r="G2464" s="14">
        <v>43626</v>
      </c>
      <c r="H2464" s="33">
        <f>8700-8529.46</f>
        <v>170.54000000000087</v>
      </c>
      <c r="I2464" s="16">
        <f>-H2464*G2464</f>
        <v>-7439978.0400000382</v>
      </c>
      <c r="J2464" s="17">
        <v>0</v>
      </c>
      <c r="K2464" s="34">
        <v>4502434007</v>
      </c>
      <c r="L2464" s="19">
        <v>5084285492</v>
      </c>
      <c r="M2464" s="20">
        <v>5113697498</v>
      </c>
      <c r="O2464" s="124"/>
      <c r="P2464" s="9"/>
      <c r="Q2464" s="24" t="s">
        <v>31</v>
      </c>
      <c r="R2464" s="25">
        <v>44859</v>
      </c>
      <c r="S2464" s="28"/>
      <c r="T2464" s="35"/>
      <c r="U2464" s="35"/>
      <c r="V2464" s="29"/>
      <c r="W2464" s="35"/>
      <c r="X2464" s="29"/>
      <c r="Y2464" s="36"/>
      <c r="Z2464" s="29"/>
      <c r="AA2464" s="31">
        <f t="shared" si="1"/>
        <v>44859</v>
      </c>
      <c r="AB2464" s="32" t="str">
        <f t="shared" si="5"/>
        <v>octubre</v>
      </c>
    </row>
    <row r="2465" spans="1:28" ht="12.75">
      <c r="A2465" s="9" t="s">
        <v>116</v>
      </c>
      <c r="B2465" s="10">
        <v>44844</v>
      </c>
      <c r="C2465" s="11"/>
      <c r="D2465" s="53">
        <v>43</v>
      </c>
      <c r="E2465" s="13" t="s">
        <v>2779</v>
      </c>
      <c r="F2465" s="13">
        <v>3025459</v>
      </c>
      <c r="G2465" s="14"/>
      <c r="H2465" s="15">
        <v>9335</v>
      </c>
      <c r="I2465" s="16">
        <f t="shared" ref="I2465:I2466" si="364">H2465*G2465</f>
        <v>0</v>
      </c>
      <c r="J2465" s="17">
        <v>28</v>
      </c>
      <c r="K2465" s="34">
        <v>4502428887</v>
      </c>
      <c r="L2465" s="126">
        <v>5084058569</v>
      </c>
      <c r="M2465" s="20">
        <v>5113644930</v>
      </c>
      <c r="N2465" s="23" t="s">
        <v>37</v>
      </c>
      <c r="O2465" s="124" t="s">
        <v>2906</v>
      </c>
      <c r="P2465" s="23"/>
      <c r="Q2465" s="24" t="s">
        <v>31</v>
      </c>
      <c r="R2465" s="25">
        <v>44859</v>
      </c>
      <c r="S2465" s="28">
        <v>4902370638</v>
      </c>
      <c r="T2465" s="35">
        <f>1670900*2</f>
        <v>3341800</v>
      </c>
      <c r="U2465" s="28" t="s">
        <v>2907</v>
      </c>
      <c r="V2465" s="29">
        <v>5113690631</v>
      </c>
      <c r="W2465" s="35"/>
      <c r="X2465" s="29"/>
      <c r="Y2465" s="36"/>
      <c r="Z2465" s="29"/>
      <c r="AA2465" s="31">
        <f t="shared" si="1"/>
        <v>44859</v>
      </c>
      <c r="AB2465" s="32" t="str">
        <f t="shared" si="5"/>
        <v>octubre</v>
      </c>
    </row>
    <row r="2466" spans="1:28" ht="12.75">
      <c r="A2466" s="22" t="s">
        <v>719</v>
      </c>
      <c r="B2466" s="10">
        <v>44859</v>
      </c>
      <c r="C2466" s="11">
        <v>44863</v>
      </c>
      <c r="D2466" s="53">
        <v>43</v>
      </c>
      <c r="E2466" s="13" t="s">
        <v>2908</v>
      </c>
      <c r="F2466" s="13">
        <v>3025459</v>
      </c>
      <c r="G2466" s="14">
        <v>6959</v>
      </c>
      <c r="H2466" s="33">
        <v>8600</v>
      </c>
      <c r="I2466" s="16">
        <f t="shared" si="364"/>
        <v>59847400</v>
      </c>
      <c r="J2466" s="17">
        <v>15</v>
      </c>
      <c r="K2466" s="34">
        <v>4502441596</v>
      </c>
      <c r="L2466" s="19">
        <v>5084359881</v>
      </c>
      <c r="M2466" s="20">
        <v>5113694643</v>
      </c>
      <c r="N2466" s="23"/>
      <c r="O2466" s="9" t="s">
        <v>37</v>
      </c>
      <c r="P2466" s="23"/>
      <c r="Q2466" s="24" t="s">
        <v>31</v>
      </c>
      <c r="R2466" s="25">
        <v>44859</v>
      </c>
      <c r="S2466" s="28"/>
      <c r="T2466" s="35"/>
      <c r="U2466" s="35"/>
      <c r="V2466" s="29"/>
      <c r="W2466" s="35"/>
      <c r="X2466" s="29"/>
      <c r="Y2466" s="36"/>
      <c r="Z2466" s="29"/>
      <c r="AA2466" s="31">
        <f t="shared" si="1"/>
        <v>44859</v>
      </c>
      <c r="AB2466" s="32" t="str">
        <f t="shared" si="5"/>
        <v>octubre</v>
      </c>
    </row>
    <row r="2467" spans="1:28" ht="12.75">
      <c r="A2467" s="22" t="s">
        <v>719</v>
      </c>
      <c r="B2467" s="10">
        <v>44861</v>
      </c>
      <c r="C2467" s="11">
        <v>44863</v>
      </c>
      <c r="D2467" s="53">
        <v>43</v>
      </c>
      <c r="E2467" s="13" t="s">
        <v>756</v>
      </c>
      <c r="F2467" s="13">
        <v>3025459</v>
      </c>
      <c r="G2467" s="14">
        <v>6959</v>
      </c>
      <c r="H2467" s="33">
        <v>200</v>
      </c>
      <c r="I2467" s="16">
        <f>-H2467*G2467</f>
        <v>-1391800</v>
      </c>
      <c r="J2467" s="17">
        <v>0</v>
      </c>
      <c r="K2467" s="34">
        <v>4502441596</v>
      </c>
      <c r="L2467" s="19">
        <v>5084359881</v>
      </c>
      <c r="M2467" s="20">
        <v>5113694646</v>
      </c>
      <c r="N2467" s="23"/>
      <c r="O2467" s="124"/>
      <c r="P2467" s="23"/>
      <c r="Q2467" s="24" t="s">
        <v>31</v>
      </c>
      <c r="R2467" s="25">
        <v>44859</v>
      </c>
      <c r="S2467" s="28"/>
      <c r="T2467" s="35"/>
      <c r="U2467" s="35"/>
      <c r="V2467" s="29"/>
      <c r="W2467" s="35"/>
      <c r="X2467" s="29"/>
      <c r="Y2467" s="36"/>
      <c r="Z2467" s="29"/>
      <c r="AA2467" s="31">
        <f t="shared" si="1"/>
        <v>44859</v>
      </c>
      <c r="AB2467" s="32" t="str">
        <f t="shared" si="5"/>
        <v>octubre</v>
      </c>
    </row>
    <row r="2468" spans="1:28" ht="12.75">
      <c r="A2468" s="22" t="s">
        <v>501</v>
      </c>
      <c r="B2468" s="10">
        <v>44861</v>
      </c>
      <c r="C2468" s="11"/>
      <c r="D2468" s="53">
        <v>43</v>
      </c>
      <c r="E2468" s="13" t="s">
        <v>2909</v>
      </c>
      <c r="F2468" s="13">
        <v>3025459</v>
      </c>
      <c r="G2468" s="37">
        <v>7037.5</v>
      </c>
      <c r="H2468" s="33">
        <v>8650</v>
      </c>
      <c r="I2468" s="16">
        <f>H2468*G2468</f>
        <v>60874375</v>
      </c>
      <c r="J2468" s="17">
        <v>14</v>
      </c>
      <c r="K2468" s="34">
        <v>4502440431</v>
      </c>
      <c r="L2468" s="19">
        <v>5084326551</v>
      </c>
      <c r="M2468" s="20">
        <v>5113688393</v>
      </c>
      <c r="N2468" s="23"/>
      <c r="O2468" s="9" t="s">
        <v>37</v>
      </c>
      <c r="P2468" s="23"/>
      <c r="Q2468" s="24" t="s">
        <v>31</v>
      </c>
      <c r="R2468" s="25">
        <v>44858</v>
      </c>
      <c r="S2468" s="28"/>
      <c r="T2468" s="35"/>
      <c r="U2468" s="35"/>
      <c r="V2468" s="29"/>
      <c r="W2468" s="35"/>
      <c r="X2468" s="29"/>
      <c r="Y2468" s="36"/>
      <c r="Z2468" s="29"/>
      <c r="AA2468" s="31">
        <f t="shared" si="1"/>
        <v>44858</v>
      </c>
      <c r="AB2468" s="32" t="str">
        <f t="shared" si="5"/>
        <v>octubre</v>
      </c>
    </row>
    <row r="2469" spans="1:28" ht="12.75">
      <c r="A2469" s="22" t="s">
        <v>501</v>
      </c>
      <c r="B2469" s="10">
        <v>44861</v>
      </c>
      <c r="C2469" s="11"/>
      <c r="D2469" s="53">
        <v>43</v>
      </c>
      <c r="E2469" s="13">
        <v>17</v>
      </c>
      <c r="F2469" s="13">
        <v>3025459</v>
      </c>
      <c r="G2469" s="37">
        <v>7037.5</v>
      </c>
      <c r="H2469" s="33">
        <f>8650-8631.99</f>
        <v>18.010000000000218</v>
      </c>
      <c r="I2469" s="16">
        <f>-H2469*G2469</f>
        <v>-126745.37500000154</v>
      </c>
      <c r="J2469" s="17">
        <v>0</v>
      </c>
      <c r="K2469" s="34">
        <v>4502440431</v>
      </c>
      <c r="L2469" s="19">
        <v>5084326551</v>
      </c>
      <c r="M2469" s="20">
        <v>5113688477</v>
      </c>
      <c r="N2469" s="23"/>
      <c r="O2469" s="23"/>
      <c r="P2469" s="23"/>
      <c r="Q2469" s="24" t="s">
        <v>31</v>
      </c>
      <c r="R2469" s="25">
        <v>44858</v>
      </c>
      <c r="S2469" s="28"/>
      <c r="T2469" s="35"/>
      <c r="U2469" s="35"/>
      <c r="V2469" s="29"/>
      <c r="W2469" s="35"/>
      <c r="X2469" s="29"/>
      <c r="Y2469" s="36"/>
      <c r="Z2469" s="29"/>
      <c r="AA2469" s="31">
        <f t="shared" si="1"/>
        <v>44858</v>
      </c>
      <c r="AB2469" s="32" t="str">
        <f t="shared" si="5"/>
        <v>octubre</v>
      </c>
    </row>
    <row r="2470" spans="1:28" ht="12.75">
      <c r="A2470" s="9" t="s">
        <v>99</v>
      </c>
      <c r="B2470" s="10">
        <v>44866</v>
      </c>
      <c r="C2470" s="11">
        <v>44866</v>
      </c>
      <c r="D2470" s="53">
        <v>43</v>
      </c>
      <c r="E2470" s="13" t="s">
        <v>2910</v>
      </c>
      <c r="F2470" s="13">
        <v>3025459</v>
      </c>
      <c r="G2470" s="14">
        <v>7007</v>
      </c>
      <c r="H2470" s="33">
        <v>8600</v>
      </c>
      <c r="I2470" s="16">
        <f>H2470*G2470</f>
        <v>60260200</v>
      </c>
      <c r="J2470" s="17">
        <v>15</v>
      </c>
      <c r="K2470" s="34">
        <v>4502434010</v>
      </c>
      <c r="L2470" s="19">
        <v>5084289225</v>
      </c>
      <c r="M2470" s="20">
        <v>5113705916</v>
      </c>
      <c r="N2470" s="23"/>
      <c r="O2470" s="9" t="s">
        <v>37</v>
      </c>
      <c r="P2470" s="23"/>
      <c r="Q2470" s="24" t="s">
        <v>31</v>
      </c>
      <c r="R2470" s="25">
        <v>44859</v>
      </c>
      <c r="S2470" s="28"/>
      <c r="T2470" s="35"/>
      <c r="U2470" s="35"/>
      <c r="V2470" s="29"/>
      <c r="W2470" s="35"/>
      <c r="X2470" s="29"/>
      <c r="Y2470" s="36"/>
      <c r="Z2470" s="29"/>
      <c r="AA2470" s="31">
        <f t="shared" si="1"/>
        <v>44859</v>
      </c>
      <c r="AB2470" s="32" t="str">
        <f t="shared" si="5"/>
        <v>octubre</v>
      </c>
    </row>
    <row r="2471" spans="1:28" ht="12.75">
      <c r="A2471" s="9" t="s">
        <v>99</v>
      </c>
      <c r="B2471" s="10">
        <v>44866</v>
      </c>
      <c r="C2471" s="11">
        <v>44866</v>
      </c>
      <c r="D2471" s="53">
        <v>43</v>
      </c>
      <c r="E2471" s="13" t="s">
        <v>2911</v>
      </c>
      <c r="F2471" s="13">
        <v>3025459</v>
      </c>
      <c r="G2471" s="14">
        <v>7007</v>
      </c>
      <c r="H2471" s="33">
        <v>100</v>
      </c>
      <c r="I2471" s="16">
        <f>-H2471*G2471</f>
        <v>-700700</v>
      </c>
      <c r="J2471" s="17">
        <v>0</v>
      </c>
      <c r="K2471" s="34">
        <v>4502434010</v>
      </c>
      <c r="L2471" s="19">
        <v>5084289225</v>
      </c>
      <c r="M2471" s="20">
        <v>5113706087</v>
      </c>
      <c r="N2471" s="23"/>
      <c r="O2471" s="23"/>
      <c r="P2471" s="23"/>
      <c r="Q2471" s="24" t="s">
        <v>31</v>
      </c>
      <c r="R2471" s="25">
        <v>44859</v>
      </c>
      <c r="S2471" s="28"/>
      <c r="T2471" s="35"/>
      <c r="U2471" s="35"/>
      <c r="V2471" s="29"/>
      <c r="W2471" s="35"/>
      <c r="X2471" s="29"/>
      <c r="Y2471" s="36"/>
      <c r="Z2471" s="29"/>
      <c r="AA2471" s="31">
        <f t="shared" si="1"/>
        <v>44859</v>
      </c>
      <c r="AB2471" s="32" t="str">
        <f t="shared" si="5"/>
        <v>octubre</v>
      </c>
    </row>
    <row r="2472" spans="1:28" ht="12.75">
      <c r="A2472" s="9" t="s">
        <v>83</v>
      </c>
      <c r="B2472" s="10">
        <v>44859</v>
      </c>
      <c r="C2472" s="11">
        <v>44861</v>
      </c>
      <c r="D2472" s="53">
        <v>43</v>
      </c>
      <c r="E2472" s="13" t="s">
        <v>2912</v>
      </c>
      <c r="F2472" s="13">
        <v>3025460</v>
      </c>
      <c r="G2472" s="14">
        <v>26360</v>
      </c>
      <c r="H2472" s="57">
        <v>8700</v>
      </c>
      <c r="I2472" s="16">
        <f t="shared" ref="I2472:I2474" si="365">H2472*G2472</f>
        <v>229332000</v>
      </c>
      <c r="J2472" s="17">
        <v>56</v>
      </c>
      <c r="K2472" s="34">
        <v>4502440230</v>
      </c>
      <c r="L2472" s="19">
        <v>5084323156</v>
      </c>
      <c r="M2472" s="20">
        <v>5113691584</v>
      </c>
      <c r="N2472" s="23"/>
      <c r="O2472" s="22" t="s">
        <v>37</v>
      </c>
      <c r="P2472" s="23"/>
      <c r="Q2472" s="24" t="s">
        <v>82</v>
      </c>
      <c r="R2472" s="25">
        <v>44859</v>
      </c>
      <c r="S2472" s="28"/>
      <c r="T2472" s="35"/>
      <c r="U2472" s="35"/>
      <c r="V2472" s="29"/>
      <c r="W2472" s="35"/>
      <c r="X2472" s="29"/>
      <c r="Y2472" s="36"/>
      <c r="Z2472" s="29"/>
      <c r="AA2472" s="31">
        <f t="shared" si="1"/>
        <v>44859</v>
      </c>
      <c r="AB2472" s="32" t="str">
        <f t="shared" si="5"/>
        <v>octubre</v>
      </c>
    </row>
    <row r="2473" spans="1:28" ht="12.75">
      <c r="A2473" s="9" t="s">
        <v>58</v>
      </c>
      <c r="B2473" s="10">
        <v>44862</v>
      </c>
      <c r="C2473" s="11">
        <v>44862</v>
      </c>
      <c r="D2473" s="53">
        <v>43</v>
      </c>
      <c r="E2473" s="13" t="s">
        <v>2913</v>
      </c>
      <c r="F2473" s="13">
        <v>3025462</v>
      </c>
      <c r="G2473" s="14">
        <v>8218</v>
      </c>
      <c r="H2473" s="57">
        <v>7700</v>
      </c>
      <c r="I2473" s="16">
        <f t="shared" si="365"/>
        <v>63278600</v>
      </c>
      <c r="J2473" s="17">
        <v>32</v>
      </c>
      <c r="K2473" s="34">
        <v>4502440289</v>
      </c>
      <c r="L2473" s="19">
        <v>5084324231</v>
      </c>
      <c r="M2473" s="20">
        <v>5113705265</v>
      </c>
      <c r="N2473" s="23"/>
      <c r="O2473" s="9" t="s">
        <v>37</v>
      </c>
      <c r="P2473" s="23"/>
      <c r="Q2473" s="24" t="s">
        <v>357</v>
      </c>
      <c r="R2473" s="25">
        <v>44860</v>
      </c>
      <c r="S2473" s="28"/>
      <c r="T2473" s="35"/>
      <c r="U2473" s="35"/>
      <c r="V2473" s="29"/>
      <c r="W2473" s="35"/>
      <c r="X2473" s="29"/>
      <c r="Y2473" s="36"/>
      <c r="Z2473" s="29"/>
      <c r="AA2473" s="31">
        <f t="shared" si="1"/>
        <v>44860</v>
      </c>
      <c r="AB2473" s="32" t="str">
        <f t="shared" si="5"/>
        <v>octubre</v>
      </c>
    </row>
    <row r="2474" spans="1:28" ht="12.75">
      <c r="A2474" s="9" t="s">
        <v>621</v>
      </c>
      <c r="B2474" s="10">
        <v>44867</v>
      </c>
      <c r="C2474" s="11">
        <v>44867</v>
      </c>
      <c r="D2474" s="42">
        <v>44</v>
      </c>
      <c r="E2474" s="13" t="s">
        <v>2914</v>
      </c>
      <c r="F2474" s="13">
        <v>3025457</v>
      </c>
      <c r="G2474" s="37">
        <v>5992.5</v>
      </c>
      <c r="H2474" s="33">
        <v>8650</v>
      </c>
      <c r="I2474" s="16">
        <f t="shared" si="365"/>
        <v>51835125</v>
      </c>
      <c r="J2474" s="17">
        <v>14</v>
      </c>
      <c r="K2474" s="34">
        <v>4502438734</v>
      </c>
      <c r="L2474" s="126">
        <v>5084325086</v>
      </c>
      <c r="M2474" s="20">
        <v>5113704064</v>
      </c>
      <c r="N2474" s="128"/>
      <c r="O2474" s="9" t="s">
        <v>63</v>
      </c>
      <c r="P2474" s="23"/>
      <c r="Q2474" s="24" t="s">
        <v>31</v>
      </c>
      <c r="R2474" s="25">
        <v>44861</v>
      </c>
      <c r="S2474" s="28"/>
      <c r="T2474" s="35"/>
      <c r="U2474" s="35"/>
      <c r="V2474" s="29"/>
      <c r="W2474" s="35"/>
      <c r="X2474" s="29"/>
      <c r="Y2474" s="36"/>
      <c r="Z2474" s="29"/>
      <c r="AA2474" s="31">
        <f t="shared" si="1"/>
        <v>44861</v>
      </c>
      <c r="AB2474" s="32" t="str">
        <f t="shared" si="5"/>
        <v>octubre</v>
      </c>
    </row>
    <row r="2475" spans="1:28" ht="12.75">
      <c r="A2475" s="9" t="s">
        <v>621</v>
      </c>
      <c r="B2475" s="10">
        <v>44867</v>
      </c>
      <c r="C2475" s="11">
        <v>44867</v>
      </c>
      <c r="D2475" s="42">
        <v>44</v>
      </c>
      <c r="E2475" s="13" t="s">
        <v>2915</v>
      </c>
      <c r="F2475" s="13">
        <v>3025457</v>
      </c>
      <c r="G2475" s="37">
        <v>5992.5</v>
      </c>
      <c r="H2475" s="33">
        <v>200</v>
      </c>
      <c r="I2475" s="16">
        <f>-H2475*G2475</f>
        <v>-1198500</v>
      </c>
      <c r="J2475" s="17">
        <v>0</v>
      </c>
      <c r="K2475" s="34">
        <v>4502438734</v>
      </c>
      <c r="L2475" s="126">
        <v>5084325086</v>
      </c>
      <c r="M2475" s="20">
        <v>5113704065</v>
      </c>
      <c r="N2475" s="128"/>
      <c r="O2475" s="9"/>
      <c r="P2475" s="23"/>
      <c r="Q2475" s="24" t="s">
        <v>31</v>
      </c>
      <c r="R2475" s="25">
        <v>44861</v>
      </c>
      <c r="S2475" s="28"/>
      <c r="T2475" s="35"/>
      <c r="U2475" s="35"/>
      <c r="V2475" s="29"/>
      <c r="W2475" s="35"/>
      <c r="X2475" s="29"/>
      <c r="Y2475" s="36"/>
      <c r="Z2475" s="29"/>
      <c r="AA2475" s="31">
        <f t="shared" si="1"/>
        <v>44861</v>
      </c>
      <c r="AB2475" s="32" t="str">
        <f t="shared" si="5"/>
        <v>octubre</v>
      </c>
    </row>
    <row r="2476" spans="1:28" ht="12.75">
      <c r="A2476" s="9" t="s">
        <v>276</v>
      </c>
      <c r="B2476" s="10">
        <v>44866</v>
      </c>
      <c r="C2476" s="11"/>
      <c r="D2476" s="42">
        <v>44</v>
      </c>
      <c r="E2476" s="13" t="s">
        <v>105</v>
      </c>
      <c r="F2476" s="13">
        <v>3025457</v>
      </c>
      <c r="G2476" s="14">
        <v>12617</v>
      </c>
      <c r="H2476" s="33">
        <v>8550</v>
      </c>
      <c r="I2476" s="16">
        <f t="shared" ref="I2476:I2478" si="366">H2476*G2476</f>
        <v>107875350</v>
      </c>
      <c r="J2476" s="17">
        <v>28</v>
      </c>
      <c r="K2476" s="34">
        <v>4502438736</v>
      </c>
      <c r="L2476" s="126">
        <v>5084325087</v>
      </c>
      <c r="M2476" s="20">
        <v>5113701685</v>
      </c>
      <c r="N2476" s="128"/>
      <c r="O2476" s="9" t="s">
        <v>63</v>
      </c>
      <c r="P2476" s="23"/>
      <c r="Q2476" s="24" t="s">
        <v>31</v>
      </c>
      <c r="R2476" s="25">
        <v>44861</v>
      </c>
      <c r="S2476" s="28"/>
      <c r="T2476" s="35"/>
      <c r="U2476" s="35"/>
      <c r="V2476" s="29"/>
      <c r="W2476" s="35"/>
      <c r="X2476" s="29"/>
      <c r="Y2476" s="36"/>
      <c r="Z2476" s="29"/>
      <c r="AA2476" s="31">
        <f t="shared" si="1"/>
        <v>44861</v>
      </c>
      <c r="AB2476" s="32" t="str">
        <f t="shared" si="5"/>
        <v>octubre</v>
      </c>
    </row>
    <row r="2477" spans="1:28" ht="12.75">
      <c r="A2477" s="22" t="s">
        <v>404</v>
      </c>
      <c r="B2477" s="10">
        <v>44863</v>
      </c>
      <c r="C2477" s="11">
        <v>44865</v>
      </c>
      <c r="D2477" s="42">
        <v>44</v>
      </c>
      <c r="E2477" s="13" t="s">
        <v>2916</v>
      </c>
      <c r="F2477" s="13">
        <v>3025457</v>
      </c>
      <c r="G2477" s="14">
        <v>14316</v>
      </c>
      <c r="H2477" s="33">
        <v>9050</v>
      </c>
      <c r="I2477" s="16">
        <f t="shared" si="366"/>
        <v>129559800</v>
      </c>
      <c r="J2477" s="17">
        <v>30</v>
      </c>
      <c r="K2477" s="34">
        <v>4502438737</v>
      </c>
      <c r="L2477" s="126">
        <v>5084325138</v>
      </c>
      <c r="M2477" s="20">
        <v>5113705914</v>
      </c>
      <c r="N2477" s="128"/>
      <c r="O2477" s="9" t="s">
        <v>37</v>
      </c>
      <c r="P2477" s="23"/>
      <c r="Q2477" s="24" t="s">
        <v>31</v>
      </c>
      <c r="R2477" s="25">
        <v>44861</v>
      </c>
      <c r="S2477" s="28"/>
      <c r="T2477" s="35"/>
      <c r="U2477" s="35"/>
      <c r="V2477" s="29"/>
      <c r="W2477" s="35"/>
      <c r="X2477" s="29"/>
      <c r="Y2477" s="36"/>
      <c r="Z2477" s="29"/>
      <c r="AA2477" s="31">
        <f t="shared" si="1"/>
        <v>44861</v>
      </c>
      <c r="AB2477" s="32" t="str">
        <f t="shared" si="5"/>
        <v>octubre</v>
      </c>
    </row>
    <row r="2478" spans="1:28" ht="12.75">
      <c r="A2478" s="22" t="s">
        <v>404</v>
      </c>
      <c r="B2478" s="10">
        <v>44863</v>
      </c>
      <c r="C2478" s="11">
        <v>44865</v>
      </c>
      <c r="D2478" s="42">
        <v>44</v>
      </c>
      <c r="E2478" s="13" t="s">
        <v>2916</v>
      </c>
      <c r="F2478" s="13">
        <v>3025459</v>
      </c>
      <c r="G2478" s="37">
        <v>6792.5</v>
      </c>
      <c r="H2478" s="33">
        <v>9050</v>
      </c>
      <c r="I2478" s="16">
        <f t="shared" si="366"/>
        <v>61472125</v>
      </c>
      <c r="J2478" s="17">
        <v>14</v>
      </c>
      <c r="K2478" s="34">
        <v>4502438738</v>
      </c>
      <c r="L2478" s="126">
        <v>5084325138</v>
      </c>
      <c r="M2478" s="20">
        <v>5113705914</v>
      </c>
      <c r="N2478" s="128"/>
      <c r="O2478" s="9" t="s">
        <v>37</v>
      </c>
      <c r="P2478" s="23"/>
      <c r="Q2478" s="24" t="s">
        <v>31</v>
      </c>
      <c r="R2478" s="25">
        <v>44861</v>
      </c>
      <c r="S2478" s="28"/>
      <c r="T2478" s="35"/>
      <c r="U2478" s="35"/>
      <c r="V2478" s="29"/>
      <c r="W2478" s="35"/>
      <c r="X2478" s="29"/>
      <c r="Y2478" s="36"/>
      <c r="Z2478" s="29"/>
      <c r="AA2478" s="31">
        <f t="shared" si="1"/>
        <v>44861</v>
      </c>
      <c r="AB2478" s="32" t="str">
        <f t="shared" si="5"/>
        <v>octubre</v>
      </c>
    </row>
    <row r="2479" spans="1:28" ht="12.75">
      <c r="A2479" s="22" t="s">
        <v>404</v>
      </c>
      <c r="B2479" s="10">
        <v>44865</v>
      </c>
      <c r="C2479" s="11">
        <v>44865</v>
      </c>
      <c r="D2479" s="42">
        <v>44</v>
      </c>
      <c r="E2479" s="13" t="s">
        <v>750</v>
      </c>
      <c r="F2479" s="13">
        <v>3025459</v>
      </c>
      <c r="G2479" s="37">
        <v>21108.5</v>
      </c>
      <c r="H2479" s="33">
        <v>50</v>
      </c>
      <c r="I2479" s="16">
        <f>-H2479*G2479</f>
        <v>-1055425</v>
      </c>
      <c r="J2479" s="17">
        <v>0</v>
      </c>
      <c r="K2479" s="34">
        <v>4502438738</v>
      </c>
      <c r="L2479" s="126">
        <v>5084325139</v>
      </c>
      <c r="M2479" s="20">
        <v>5113705915</v>
      </c>
      <c r="N2479" s="128"/>
      <c r="O2479" s="9"/>
      <c r="P2479" s="23"/>
      <c r="Q2479" s="24" t="s">
        <v>31</v>
      </c>
      <c r="R2479" s="25">
        <v>44861</v>
      </c>
      <c r="S2479" s="28"/>
      <c r="T2479" s="35"/>
      <c r="U2479" s="35"/>
      <c r="V2479" s="29"/>
      <c r="W2479" s="35"/>
      <c r="X2479" s="29"/>
      <c r="Y2479" s="36"/>
      <c r="Z2479" s="29"/>
      <c r="AA2479" s="31">
        <f t="shared" si="1"/>
        <v>44861</v>
      </c>
      <c r="AB2479" s="32" t="str">
        <f t="shared" si="5"/>
        <v>octubre</v>
      </c>
    </row>
    <row r="2480" spans="1:28" ht="12.75">
      <c r="A2480" s="9" t="s">
        <v>196</v>
      </c>
      <c r="B2480" s="10">
        <v>44861</v>
      </c>
      <c r="C2480" s="11"/>
      <c r="D2480" s="42">
        <v>44</v>
      </c>
      <c r="E2480" s="13" t="s">
        <v>2917</v>
      </c>
      <c r="F2480" s="13">
        <v>3025459</v>
      </c>
      <c r="G2480" s="14">
        <v>28731</v>
      </c>
      <c r="H2480" s="15">
        <v>8500</v>
      </c>
      <c r="I2480" s="16">
        <f t="shared" ref="I2480:I2481" si="367">H2480*G2480</f>
        <v>244213500</v>
      </c>
      <c r="J2480" s="17">
        <v>56</v>
      </c>
      <c r="K2480" s="34">
        <v>4502440327</v>
      </c>
      <c r="L2480" s="126">
        <v>5084324567</v>
      </c>
      <c r="M2480" s="20">
        <v>5113701703</v>
      </c>
      <c r="N2480" s="128"/>
      <c r="O2480" s="88" t="s">
        <v>1003</v>
      </c>
      <c r="P2480" s="23" t="s">
        <v>63</v>
      </c>
      <c r="Q2480" s="24" t="s">
        <v>31</v>
      </c>
      <c r="R2480" s="25">
        <v>44861</v>
      </c>
      <c r="S2480" s="28">
        <v>4902375225</v>
      </c>
      <c r="T2480" s="35">
        <f>1771100*4</f>
        <v>7084400</v>
      </c>
      <c r="U2480" s="28" t="s">
        <v>2918</v>
      </c>
      <c r="V2480" s="29"/>
      <c r="W2480" s="35"/>
      <c r="X2480" s="29"/>
      <c r="Y2480" s="36"/>
      <c r="Z2480" s="29"/>
      <c r="AA2480" s="31">
        <f t="shared" si="1"/>
        <v>44861</v>
      </c>
      <c r="AB2480" s="32" t="str">
        <f t="shared" si="5"/>
        <v>octubre</v>
      </c>
    </row>
    <row r="2481" spans="1:28" ht="12.75">
      <c r="A2481" s="9" t="s">
        <v>58</v>
      </c>
      <c r="B2481" s="10">
        <v>44868</v>
      </c>
      <c r="C2481" s="11">
        <v>44868</v>
      </c>
      <c r="D2481" s="42">
        <v>44</v>
      </c>
      <c r="E2481" s="13" t="s">
        <v>2919</v>
      </c>
      <c r="F2481" s="13">
        <v>3025457</v>
      </c>
      <c r="G2481" s="37">
        <v>13761.5</v>
      </c>
      <c r="H2481" s="33">
        <v>9100</v>
      </c>
      <c r="I2481" s="16">
        <f t="shared" si="367"/>
        <v>125229650</v>
      </c>
      <c r="J2481" s="17">
        <v>31</v>
      </c>
      <c r="K2481" s="34">
        <v>4502438739</v>
      </c>
      <c r="L2481" s="126">
        <v>5084353591</v>
      </c>
      <c r="M2481" s="20">
        <v>5113714100</v>
      </c>
      <c r="N2481" s="128"/>
      <c r="O2481" s="9" t="s">
        <v>37</v>
      </c>
      <c r="P2481" s="23"/>
      <c r="Q2481" s="24" t="s">
        <v>31</v>
      </c>
      <c r="R2481" s="25">
        <v>44862</v>
      </c>
      <c r="S2481" s="28"/>
      <c r="T2481" s="35"/>
      <c r="U2481" s="35"/>
      <c r="V2481" s="29"/>
      <c r="W2481" s="35"/>
      <c r="X2481" s="29"/>
      <c r="Y2481" s="36"/>
      <c r="Z2481" s="29"/>
      <c r="AA2481" s="31">
        <f t="shared" si="1"/>
        <v>44862</v>
      </c>
      <c r="AB2481" s="32" t="str">
        <f t="shared" si="5"/>
        <v>octubre</v>
      </c>
    </row>
    <row r="2482" spans="1:28" ht="12.75">
      <c r="A2482" s="9" t="s">
        <v>58</v>
      </c>
      <c r="B2482" s="10">
        <v>44874</v>
      </c>
      <c r="C2482" s="11">
        <v>44874</v>
      </c>
      <c r="D2482" s="42">
        <v>44</v>
      </c>
      <c r="E2482" s="13" t="s">
        <v>2920</v>
      </c>
      <c r="F2482" s="13">
        <v>3025457</v>
      </c>
      <c r="G2482" s="37">
        <v>13761.5</v>
      </c>
      <c r="H2482" s="33">
        <f>9100-9069.38</f>
        <v>30.6200000000008</v>
      </c>
      <c r="I2482" s="16">
        <f>-H2482*G2482</f>
        <v>-421377.13000001101</v>
      </c>
      <c r="J2482" s="17">
        <v>0</v>
      </c>
      <c r="K2482" s="34">
        <v>4502438739</v>
      </c>
      <c r="L2482" s="126">
        <v>5084353591</v>
      </c>
      <c r="M2482" s="20">
        <v>5113714102</v>
      </c>
      <c r="N2482" s="128"/>
      <c r="O2482" s="9"/>
      <c r="P2482" s="23"/>
      <c r="Q2482" s="24" t="s">
        <v>31</v>
      </c>
      <c r="R2482" s="25">
        <v>44862</v>
      </c>
      <c r="S2482" s="28"/>
      <c r="T2482" s="35"/>
      <c r="U2482" s="35"/>
      <c r="V2482" s="29"/>
      <c r="W2482" s="35"/>
      <c r="X2482" s="29"/>
      <c r="Y2482" s="36"/>
      <c r="Z2482" s="29"/>
      <c r="AA2482" s="31">
        <f t="shared" si="1"/>
        <v>44862</v>
      </c>
      <c r="AB2482" s="32" t="str">
        <f t="shared" si="5"/>
        <v>octubre</v>
      </c>
    </row>
    <row r="2483" spans="1:28" ht="12.75">
      <c r="A2483" s="9" t="s">
        <v>58</v>
      </c>
      <c r="B2483" s="10">
        <v>44868</v>
      </c>
      <c r="C2483" s="11">
        <v>44868</v>
      </c>
      <c r="D2483" s="42">
        <v>44</v>
      </c>
      <c r="E2483" s="13" t="s">
        <v>2921</v>
      </c>
      <c r="F2483" s="13">
        <v>3025457</v>
      </c>
      <c r="G2483" s="37">
        <v>25745.5</v>
      </c>
      <c r="H2483" s="33">
        <v>9100</v>
      </c>
      <c r="I2483" s="16">
        <f>H2483*G2483</f>
        <v>234284050</v>
      </c>
      <c r="J2483" s="17">
        <v>59</v>
      </c>
      <c r="K2483" s="34">
        <v>4502438739</v>
      </c>
      <c r="L2483" s="126">
        <v>5084353591</v>
      </c>
      <c r="M2483" s="20">
        <v>5113714006</v>
      </c>
      <c r="N2483" s="128"/>
      <c r="O2483" s="9" t="s">
        <v>37</v>
      </c>
      <c r="P2483" s="23"/>
      <c r="Q2483" s="24" t="s">
        <v>31</v>
      </c>
      <c r="R2483" s="25">
        <v>44862</v>
      </c>
      <c r="S2483" s="28"/>
      <c r="T2483" s="35"/>
      <c r="U2483" s="35"/>
      <c r="V2483" s="29"/>
      <c r="W2483" s="35"/>
      <c r="X2483" s="29"/>
      <c r="Y2483" s="36"/>
      <c r="Z2483" s="29"/>
      <c r="AA2483" s="31">
        <f t="shared" si="1"/>
        <v>44862</v>
      </c>
      <c r="AB2483" s="32" t="str">
        <f t="shared" si="5"/>
        <v>octubre</v>
      </c>
    </row>
    <row r="2484" spans="1:28" ht="12.75">
      <c r="A2484" s="9" t="s">
        <v>58</v>
      </c>
      <c r="B2484" s="10">
        <v>44874</v>
      </c>
      <c r="C2484" s="11">
        <v>44874</v>
      </c>
      <c r="D2484" s="42">
        <v>44</v>
      </c>
      <c r="E2484" s="13" t="s">
        <v>2922</v>
      </c>
      <c r="F2484" s="13">
        <v>3025457</v>
      </c>
      <c r="G2484" s="37">
        <v>25745.5</v>
      </c>
      <c r="H2484" s="33">
        <f>9100-8895.49</f>
        <v>204.51000000000022</v>
      </c>
      <c r="I2484" s="16">
        <f>-H2484*G2484</f>
        <v>-5265212.2050000057</v>
      </c>
      <c r="J2484" s="17">
        <v>0</v>
      </c>
      <c r="K2484" s="34">
        <v>4502438739</v>
      </c>
      <c r="L2484" s="126">
        <v>5084353591</v>
      </c>
      <c r="M2484" s="20">
        <v>5113714098</v>
      </c>
      <c r="N2484" s="128"/>
      <c r="O2484" s="9"/>
      <c r="P2484" s="23"/>
      <c r="Q2484" s="24" t="s">
        <v>31</v>
      </c>
      <c r="R2484" s="25">
        <v>44862</v>
      </c>
      <c r="S2484" s="28"/>
      <c r="T2484" s="35"/>
      <c r="U2484" s="35"/>
      <c r="V2484" s="29"/>
      <c r="W2484" s="35"/>
      <c r="X2484" s="29"/>
      <c r="Y2484" s="36"/>
      <c r="Z2484" s="29"/>
      <c r="AA2484" s="31">
        <f t="shared" si="1"/>
        <v>44862</v>
      </c>
      <c r="AB2484" s="32" t="str">
        <f t="shared" si="5"/>
        <v>octubre</v>
      </c>
    </row>
    <row r="2485" spans="1:28" ht="12.75">
      <c r="A2485" s="9" t="s">
        <v>85</v>
      </c>
      <c r="B2485" s="10">
        <v>44866</v>
      </c>
      <c r="C2485" s="11">
        <v>44867</v>
      </c>
      <c r="D2485" s="42">
        <v>44</v>
      </c>
      <c r="E2485" s="13" t="s">
        <v>2923</v>
      </c>
      <c r="F2485" s="13">
        <v>3025459</v>
      </c>
      <c r="G2485" s="14">
        <v>27769</v>
      </c>
      <c r="H2485" s="15">
        <v>8500</v>
      </c>
      <c r="I2485" s="16">
        <f t="shared" ref="I2485:I2487" si="368">H2485*G2485</f>
        <v>236036500</v>
      </c>
      <c r="J2485" s="17">
        <v>56</v>
      </c>
      <c r="K2485" s="34">
        <v>4502440330</v>
      </c>
      <c r="L2485" s="126">
        <v>5084324689</v>
      </c>
      <c r="M2485" s="20">
        <v>5113703893</v>
      </c>
      <c r="N2485" s="128"/>
      <c r="O2485" s="88" t="s">
        <v>1746</v>
      </c>
      <c r="P2485" s="23" t="s">
        <v>63</v>
      </c>
      <c r="Q2485" s="24" t="s">
        <v>31</v>
      </c>
      <c r="R2485" s="25">
        <v>44862</v>
      </c>
      <c r="S2485" s="28">
        <v>4902375228</v>
      </c>
      <c r="T2485" s="35">
        <f>1793900*4</f>
        <v>7175600</v>
      </c>
      <c r="U2485" s="28" t="s">
        <v>2924</v>
      </c>
      <c r="V2485" s="29">
        <v>5113694637</v>
      </c>
      <c r="W2485" s="28" t="s">
        <v>2925</v>
      </c>
      <c r="X2485" s="29">
        <v>5113702066</v>
      </c>
      <c r="Y2485" s="36"/>
      <c r="Z2485" s="29"/>
      <c r="AA2485" s="31">
        <f t="shared" si="1"/>
        <v>44862</v>
      </c>
      <c r="AB2485" s="32" t="str">
        <f t="shared" si="5"/>
        <v>octubre</v>
      </c>
    </row>
    <row r="2486" spans="1:28" ht="12.75">
      <c r="A2486" s="9" t="s">
        <v>85</v>
      </c>
      <c r="B2486" s="10">
        <v>44866</v>
      </c>
      <c r="C2486" s="11">
        <v>44867</v>
      </c>
      <c r="D2486" s="42">
        <v>44</v>
      </c>
      <c r="E2486" s="13" t="s">
        <v>2926</v>
      </c>
      <c r="F2486" s="13">
        <v>3025459</v>
      </c>
      <c r="G2486" s="14">
        <v>27769</v>
      </c>
      <c r="H2486" s="15">
        <v>24</v>
      </c>
      <c r="I2486" s="16">
        <f t="shared" si="368"/>
        <v>666456</v>
      </c>
      <c r="J2486" s="17">
        <v>0</v>
      </c>
      <c r="K2486" s="34">
        <v>4502440330</v>
      </c>
      <c r="L2486" s="126">
        <v>5084324689</v>
      </c>
      <c r="M2486" s="20">
        <v>5113703896</v>
      </c>
      <c r="N2486" s="128"/>
      <c r="O2486" s="9"/>
      <c r="P2486" s="23"/>
      <c r="Q2486" s="24" t="s">
        <v>31</v>
      </c>
      <c r="R2486" s="25">
        <v>44862</v>
      </c>
      <c r="S2486" s="28"/>
      <c r="T2486" s="35"/>
      <c r="U2486" s="35"/>
      <c r="V2486" s="29"/>
      <c r="W2486" s="35"/>
      <c r="X2486" s="29"/>
      <c r="Y2486" s="36"/>
      <c r="Z2486" s="29"/>
      <c r="AA2486" s="31">
        <f t="shared" si="1"/>
        <v>44862</v>
      </c>
      <c r="AB2486" s="32" t="str">
        <f t="shared" si="5"/>
        <v>octubre</v>
      </c>
    </row>
    <row r="2487" spans="1:28" ht="12.75">
      <c r="A2487" s="9" t="s">
        <v>58</v>
      </c>
      <c r="B2487" s="10">
        <v>44868</v>
      </c>
      <c r="C2487" s="11">
        <v>44868</v>
      </c>
      <c r="D2487" s="42">
        <v>44</v>
      </c>
      <c r="E2487" s="13" t="s">
        <v>2927</v>
      </c>
      <c r="F2487" s="13">
        <v>3025457</v>
      </c>
      <c r="G2487" s="37">
        <v>7179.5</v>
      </c>
      <c r="H2487" s="33">
        <v>9100</v>
      </c>
      <c r="I2487" s="16">
        <f t="shared" si="368"/>
        <v>65333450</v>
      </c>
      <c r="J2487" s="17">
        <v>15</v>
      </c>
      <c r="K2487" s="34">
        <v>4502438740</v>
      </c>
      <c r="L2487" s="126">
        <v>5084353592</v>
      </c>
      <c r="M2487" s="20">
        <v>5113714760</v>
      </c>
      <c r="N2487" s="128"/>
      <c r="O2487" s="9" t="s">
        <v>37</v>
      </c>
      <c r="P2487" s="23"/>
      <c r="Q2487" s="24" t="s">
        <v>31</v>
      </c>
      <c r="R2487" s="25">
        <v>44863</v>
      </c>
      <c r="S2487" s="28"/>
      <c r="T2487" s="35"/>
      <c r="U2487" s="35"/>
      <c r="V2487" s="29"/>
      <c r="W2487" s="35"/>
      <c r="X2487" s="29"/>
      <c r="Y2487" s="36"/>
      <c r="Z2487" s="29"/>
      <c r="AA2487" s="31">
        <f t="shared" si="1"/>
        <v>44863</v>
      </c>
      <c r="AB2487" s="32" t="str">
        <f t="shared" si="5"/>
        <v>octubre</v>
      </c>
    </row>
    <row r="2488" spans="1:28" ht="12.75">
      <c r="A2488" s="9" t="s">
        <v>58</v>
      </c>
      <c r="B2488" s="112">
        <v>44874</v>
      </c>
      <c r="C2488" s="146">
        <v>44874</v>
      </c>
      <c r="D2488" s="120">
        <v>44</v>
      </c>
      <c r="E2488" s="61" t="s">
        <v>291</v>
      </c>
      <c r="F2488" s="63">
        <v>3025457</v>
      </c>
      <c r="G2488" s="37">
        <v>7179.5</v>
      </c>
      <c r="H2488" s="61">
        <v>50</v>
      </c>
      <c r="I2488" s="16">
        <f>-H2488*G2488</f>
        <v>-358975</v>
      </c>
      <c r="J2488" s="73">
        <v>0</v>
      </c>
      <c r="K2488" s="135">
        <v>4502438740</v>
      </c>
      <c r="L2488" s="126">
        <v>5084353592</v>
      </c>
      <c r="M2488" s="20">
        <v>5113714761</v>
      </c>
      <c r="N2488" s="128"/>
      <c r="O2488" s="67"/>
      <c r="P2488" s="68"/>
      <c r="Q2488" s="129" t="s">
        <v>31</v>
      </c>
      <c r="R2488" s="74">
        <v>44863</v>
      </c>
      <c r="S2488" s="75"/>
      <c r="T2488" s="69"/>
      <c r="U2488" s="70"/>
      <c r="V2488" s="68"/>
      <c r="W2488" s="70"/>
      <c r="X2488" s="68"/>
      <c r="Y2488" s="71"/>
      <c r="Z2488" s="68"/>
      <c r="AA2488" s="130">
        <f t="shared" si="1"/>
        <v>44863</v>
      </c>
      <c r="AB2488" s="131" t="str">
        <f t="shared" si="5"/>
        <v>octubre</v>
      </c>
    </row>
    <row r="2489" spans="1:28" ht="12.75">
      <c r="A2489" s="9" t="s">
        <v>58</v>
      </c>
      <c r="B2489" s="10">
        <v>44868</v>
      </c>
      <c r="C2489" s="11">
        <v>44868</v>
      </c>
      <c r="D2489" s="120">
        <v>44</v>
      </c>
      <c r="E2489" s="61" t="s">
        <v>2928</v>
      </c>
      <c r="F2489" s="63">
        <v>3025457</v>
      </c>
      <c r="G2489" s="37">
        <v>20121.5</v>
      </c>
      <c r="H2489" s="63">
        <v>9100</v>
      </c>
      <c r="I2489" s="16">
        <f t="shared" ref="I2489:I2490" si="369">H2489*G2489</f>
        <v>183105650</v>
      </c>
      <c r="J2489" s="73">
        <v>43</v>
      </c>
      <c r="K2489" s="135">
        <v>4502438740</v>
      </c>
      <c r="L2489" s="126">
        <v>5084353592</v>
      </c>
      <c r="M2489" s="20">
        <v>5113714762</v>
      </c>
      <c r="N2489" s="128"/>
      <c r="O2489" s="9" t="s">
        <v>37</v>
      </c>
      <c r="P2489" s="68"/>
      <c r="Q2489" s="129" t="s">
        <v>31</v>
      </c>
      <c r="R2489" s="74">
        <v>44863</v>
      </c>
      <c r="S2489" s="75"/>
      <c r="T2489" s="69"/>
      <c r="U2489" s="70"/>
      <c r="V2489" s="68"/>
      <c r="W2489" s="70"/>
      <c r="X2489" s="68"/>
      <c r="Y2489" s="71"/>
      <c r="Z2489" s="68"/>
      <c r="AA2489" s="130">
        <f t="shared" si="1"/>
        <v>44863</v>
      </c>
      <c r="AB2489" s="131" t="str">
        <f t="shared" si="5"/>
        <v>octubre</v>
      </c>
    </row>
    <row r="2490" spans="1:28" ht="12.75">
      <c r="A2490" s="22" t="s">
        <v>404</v>
      </c>
      <c r="B2490" s="10">
        <v>44863</v>
      </c>
      <c r="C2490" s="11">
        <v>44866</v>
      </c>
      <c r="D2490" s="42">
        <v>44</v>
      </c>
      <c r="E2490" s="13" t="s">
        <v>2929</v>
      </c>
      <c r="F2490" s="13">
        <v>3025457</v>
      </c>
      <c r="G2490" s="37">
        <v>6803.5</v>
      </c>
      <c r="H2490" s="33">
        <v>9050</v>
      </c>
      <c r="I2490" s="16">
        <f t="shared" si="369"/>
        <v>61571675</v>
      </c>
      <c r="J2490" s="17">
        <v>15</v>
      </c>
      <c r="K2490" s="34">
        <v>4502438741</v>
      </c>
      <c r="L2490" s="126">
        <v>5084353593</v>
      </c>
      <c r="M2490" s="20">
        <v>5113702227</v>
      </c>
      <c r="N2490" s="128"/>
      <c r="O2490" s="9" t="s">
        <v>37</v>
      </c>
      <c r="P2490" s="23"/>
      <c r="Q2490" s="24" t="s">
        <v>31</v>
      </c>
      <c r="R2490" s="25">
        <v>44863</v>
      </c>
      <c r="S2490" s="28"/>
      <c r="T2490" s="35"/>
      <c r="U2490" s="35"/>
      <c r="V2490" s="29"/>
      <c r="W2490" s="35"/>
      <c r="X2490" s="29"/>
      <c r="Y2490" s="36"/>
      <c r="Z2490" s="29"/>
      <c r="AA2490" s="31">
        <f t="shared" si="1"/>
        <v>44863</v>
      </c>
      <c r="AB2490" s="32" t="str">
        <f t="shared" si="5"/>
        <v>octubre</v>
      </c>
    </row>
    <row r="2491" spans="1:28" ht="12.75">
      <c r="A2491" s="22" t="s">
        <v>404</v>
      </c>
      <c r="B2491" s="10">
        <v>44866</v>
      </c>
      <c r="C2491" s="11">
        <v>44866</v>
      </c>
      <c r="D2491" s="42">
        <v>44</v>
      </c>
      <c r="E2491" s="13" t="s">
        <v>792</v>
      </c>
      <c r="F2491" s="13">
        <v>3025457</v>
      </c>
      <c r="G2491" s="37">
        <v>6803.5</v>
      </c>
      <c r="H2491" s="33">
        <v>150</v>
      </c>
      <c r="I2491" s="16">
        <f>-H2491*G2491</f>
        <v>-1020525</v>
      </c>
      <c r="J2491" s="17">
        <v>0</v>
      </c>
      <c r="K2491" s="34">
        <v>4502438741</v>
      </c>
      <c r="L2491" s="126">
        <v>5084353593</v>
      </c>
      <c r="M2491" s="20">
        <v>5113702229</v>
      </c>
      <c r="N2491" s="128"/>
      <c r="O2491" s="9"/>
      <c r="P2491" s="23"/>
      <c r="Q2491" s="24" t="s">
        <v>31</v>
      </c>
      <c r="R2491" s="25">
        <v>44863</v>
      </c>
      <c r="S2491" s="28"/>
      <c r="T2491" s="35"/>
      <c r="U2491" s="35"/>
      <c r="V2491" s="29"/>
      <c r="W2491" s="35"/>
      <c r="X2491" s="29"/>
      <c r="Y2491" s="36"/>
      <c r="Z2491" s="29"/>
      <c r="AA2491" s="31">
        <f t="shared" si="1"/>
        <v>44863</v>
      </c>
      <c r="AB2491" s="32" t="str">
        <f t="shared" si="5"/>
        <v>octubre</v>
      </c>
    </row>
    <row r="2492" spans="1:28" ht="12.75">
      <c r="A2492" s="9" t="s">
        <v>199</v>
      </c>
      <c r="B2492" s="10">
        <v>44863</v>
      </c>
      <c r="C2492" s="11">
        <v>44866</v>
      </c>
      <c r="D2492" s="42">
        <v>44</v>
      </c>
      <c r="E2492" s="13" t="s">
        <v>2930</v>
      </c>
      <c r="F2492" s="13">
        <v>3025457</v>
      </c>
      <c r="G2492" s="14">
        <v>7255</v>
      </c>
      <c r="H2492" s="15">
        <v>8400</v>
      </c>
      <c r="I2492" s="16">
        <f t="shared" ref="I2492:I2495" si="370">H2492*G2492</f>
        <v>60942000</v>
      </c>
      <c r="J2492" s="17">
        <v>14</v>
      </c>
      <c r="K2492" s="34">
        <v>4502440391</v>
      </c>
      <c r="L2492" s="126">
        <v>5084362898</v>
      </c>
      <c r="M2492" s="20">
        <v>5113702112</v>
      </c>
      <c r="N2492" s="128"/>
      <c r="O2492" s="88" t="s">
        <v>2931</v>
      </c>
      <c r="P2492" s="23" t="s">
        <v>63</v>
      </c>
      <c r="Q2492" s="24" t="s">
        <v>31</v>
      </c>
      <c r="R2492" s="25">
        <v>44863</v>
      </c>
      <c r="S2492" s="28">
        <v>4902376619</v>
      </c>
      <c r="T2492" s="28">
        <v>1648800</v>
      </c>
      <c r="U2492" s="28" t="s">
        <v>2932</v>
      </c>
      <c r="V2492" s="29">
        <v>5113696749</v>
      </c>
      <c r="W2492" s="35"/>
      <c r="X2492" s="29"/>
      <c r="Y2492" s="36"/>
      <c r="Z2492" s="29"/>
      <c r="AA2492" s="31">
        <f t="shared" si="1"/>
        <v>44863</v>
      </c>
      <c r="AB2492" s="32" t="str">
        <f t="shared" si="5"/>
        <v>octubre</v>
      </c>
    </row>
    <row r="2493" spans="1:28" ht="12.75">
      <c r="A2493" s="9" t="s">
        <v>199</v>
      </c>
      <c r="B2493" s="10">
        <v>44863</v>
      </c>
      <c r="C2493" s="11">
        <v>44866</v>
      </c>
      <c r="D2493" s="42">
        <v>44</v>
      </c>
      <c r="E2493" s="13" t="s">
        <v>2933</v>
      </c>
      <c r="F2493" s="13">
        <v>3025457</v>
      </c>
      <c r="G2493" s="14">
        <v>7255</v>
      </c>
      <c r="H2493" s="15">
        <v>50</v>
      </c>
      <c r="I2493" s="16">
        <f t="shared" si="370"/>
        <v>362750</v>
      </c>
      <c r="J2493" s="17">
        <v>0</v>
      </c>
      <c r="K2493" s="34">
        <v>4502440391</v>
      </c>
      <c r="L2493" s="126">
        <v>5084362898</v>
      </c>
      <c r="M2493" s="20">
        <v>5113702113</v>
      </c>
      <c r="N2493" s="128"/>
      <c r="O2493" s="88"/>
      <c r="P2493" s="23"/>
      <c r="Q2493" s="24" t="s">
        <v>31</v>
      </c>
      <c r="R2493" s="25">
        <v>44863</v>
      </c>
      <c r="S2493" s="28"/>
      <c r="T2493" s="28"/>
      <c r="U2493" s="28"/>
      <c r="V2493" s="29"/>
      <c r="W2493" s="35"/>
      <c r="X2493" s="29"/>
      <c r="Y2493" s="36"/>
      <c r="Z2493" s="29"/>
      <c r="AA2493" s="31">
        <f t="shared" si="1"/>
        <v>44863</v>
      </c>
      <c r="AB2493" s="32" t="str">
        <f t="shared" si="5"/>
        <v>octubre</v>
      </c>
    </row>
    <row r="2494" spans="1:28" ht="12.75">
      <c r="A2494" s="9" t="s">
        <v>2934</v>
      </c>
      <c r="B2494" s="10">
        <v>44862</v>
      </c>
      <c r="C2494" s="11">
        <v>44867</v>
      </c>
      <c r="D2494" s="42">
        <v>44</v>
      </c>
      <c r="E2494" s="13" t="s">
        <v>2373</v>
      </c>
      <c r="F2494" s="13">
        <v>3025457</v>
      </c>
      <c r="G2494" s="14">
        <v>7077</v>
      </c>
      <c r="H2494" s="15">
        <v>8200</v>
      </c>
      <c r="I2494" s="16">
        <f t="shared" si="370"/>
        <v>58031400</v>
      </c>
      <c r="J2494" s="17">
        <v>14</v>
      </c>
      <c r="K2494" s="34">
        <v>4502441276</v>
      </c>
      <c r="L2494" s="126">
        <v>5084362899</v>
      </c>
      <c r="M2494" s="20">
        <v>5113702205</v>
      </c>
      <c r="N2494" s="147"/>
      <c r="O2494" s="88" t="s">
        <v>2935</v>
      </c>
      <c r="P2494" s="9" t="s">
        <v>63</v>
      </c>
      <c r="Q2494" s="24" t="s">
        <v>31</v>
      </c>
      <c r="R2494" s="25">
        <v>44863</v>
      </c>
      <c r="S2494" s="28">
        <v>4902375231</v>
      </c>
      <c r="T2494" s="28">
        <v>2988600</v>
      </c>
      <c r="U2494" s="28" t="s">
        <v>2936</v>
      </c>
      <c r="V2494" s="29">
        <v>5113696699</v>
      </c>
      <c r="W2494" s="35"/>
      <c r="X2494" s="29"/>
      <c r="Y2494" s="36"/>
      <c r="Z2494" s="29"/>
      <c r="AA2494" s="31">
        <f t="shared" si="1"/>
        <v>44863</v>
      </c>
      <c r="AB2494" s="32" t="str">
        <f t="shared" si="5"/>
        <v>octubre</v>
      </c>
    </row>
    <row r="2495" spans="1:28" ht="16.5" customHeight="1">
      <c r="A2495" s="9" t="s">
        <v>2360</v>
      </c>
      <c r="B2495" s="10">
        <v>44866</v>
      </c>
      <c r="C2495" s="11"/>
      <c r="D2495" s="42">
        <v>44</v>
      </c>
      <c r="E2495" s="13" t="s">
        <v>2937</v>
      </c>
      <c r="F2495" s="13">
        <v>3025457</v>
      </c>
      <c r="G2495" s="37">
        <v>6593.5</v>
      </c>
      <c r="H2495" s="33">
        <v>8600</v>
      </c>
      <c r="I2495" s="16">
        <f t="shared" si="370"/>
        <v>56704100</v>
      </c>
      <c r="J2495" s="17">
        <v>14</v>
      </c>
      <c r="K2495" s="34">
        <v>4502438742</v>
      </c>
      <c r="L2495" s="126">
        <v>5084353594</v>
      </c>
      <c r="M2495" s="20">
        <v>5113703930</v>
      </c>
      <c r="N2495" s="128"/>
      <c r="O2495" s="9" t="s">
        <v>63</v>
      </c>
      <c r="P2495" s="23"/>
      <c r="Q2495" s="24" t="s">
        <v>31</v>
      </c>
      <c r="R2495" s="25">
        <v>44863</v>
      </c>
      <c r="S2495" s="28"/>
      <c r="T2495" s="35"/>
      <c r="U2495" s="35"/>
      <c r="V2495" s="29"/>
      <c r="W2495" s="35"/>
      <c r="X2495" s="29"/>
      <c r="Y2495" s="36"/>
      <c r="Z2495" s="29"/>
      <c r="AA2495" s="31">
        <f t="shared" si="1"/>
        <v>44863</v>
      </c>
      <c r="AB2495" s="32" t="str">
        <f t="shared" si="5"/>
        <v>octubre</v>
      </c>
    </row>
    <row r="2496" spans="1:28" ht="12.75">
      <c r="A2496" s="9" t="s">
        <v>2360</v>
      </c>
      <c r="B2496" s="10">
        <v>44866</v>
      </c>
      <c r="C2496" s="11"/>
      <c r="D2496" s="42">
        <v>44</v>
      </c>
      <c r="E2496" s="13" t="s">
        <v>1185</v>
      </c>
      <c r="F2496" s="13">
        <v>3025457</v>
      </c>
      <c r="G2496" s="37">
        <v>6593.5</v>
      </c>
      <c r="H2496" s="33">
        <v>50</v>
      </c>
      <c r="I2496" s="16">
        <f>-H2496*G2496</f>
        <v>-329675</v>
      </c>
      <c r="J2496" s="17">
        <v>0</v>
      </c>
      <c r="K2496" s="34">
        <v>4502438742</v>
      </c>
      <c r="L2496" s="126">
        <v>5084353594</v>
      </c>
      <c r="M2496" s="20">
        <v>5113703931</v>
      </c>
      <c r="N2496" s="128"/>
      <c r="O2496" s="9"/>
      <c r="P2496" s="23"/>
      <c r="Q2496" s="24" t="s">
        <v>31</v>
      </c>
      <c r="R2496" s="25">
        <v>44863</v>
      </c>
      <c r="S2496" s="28"/>
      <c r="T2496" s="35"/>
      <c r="U2496" s="35"/>
      <c r="V2496" s="29"/>
      <c r="W2496" s="35"/>
      <c r="X2496" s="29"/>
      <c r="Y2496" s="36"/>
      <c r="Z2496" s="29"/>
      <c r="AA2496" s="31">
        <f t="shared" si="1"/>
        <v>44863</v>
      </c>
      <c r="AB2496" s="32" t="str">
        <f t="shared" si="5"/>
        <v>octubre</v>
      </c>
    </row>
    <row r="2497" spans="1:28" ht="12.75">
      <c r="A2497" s="9" t="s">
        <v>2938</v>
      </c>
      <c r="B2497" s="10">
        <v>44863</v>
      </c>
      <c r="C2497" s="11">
        <v>44867</v>
      </c>
      <c r="D2497" s="42">
        <v>44</v>
      </c>
      <c r="E2497" s="13" t="s">
        <v>2939</v>
      </c>
      <c r="F2497" s="13">
        <v>3025457</v>
      </c>
      <c r="G2497" s="14">
        <v>13513</v>
      </c>
      <c r="H2497" s="33">
        <v>8700</v>
      </c>
      <c r="I2497" s="16">
        <f>H2497*G2497</f>
        <v>117563100</v>
      </c>
      <c r="J2497" s="17">
        <v>30</v>
      </c>
      <c r="K2497" s="34">
        <v>4502438743</v>
      </c>
      <c r="L2497" s="126">
        <v>5084354372</v>
      </c>
      <c r="M2497" s="20">
        <v>5113704060</v>
      </c>
      <c r="N2497" s="128"/>
      <c r="O2497" s="9" t="s">
        <v>37</v>
      </c>
      <c r="P2497" s="23"/>
      <c r="Q2497" s="24" t="s">
        <v>31</v>
      </c>
      <c r="R2497" s="25">
        <v>44863</v>
      </c>
      <c r="S2497" s="28"/>
      <c r="T2497" s="35"/>
      <c r="U2497" s="35"/>
      <c r="V2497" s="29"/>
      <c r="W2497" s="35"/>
      <c r="X2497" s="29"/>
      <c r="Y2497" s="36"/>
      <c r="Z2497" s="29"/>
      <c r="AA2497" s="31">
        <f t="shared" si="1"/>
        <v>44863</v>
      </c>
      <c r="AB2497" s="32" t="str">
        <f t="shared" si="5"/>
        <v>octubre</v>
      </c>
    </row>
    <row r="2498" spans="1:28" ht="12.75">
      <c r="A2498" s="9" t="s">
        <v>2938</v>
      </c>
      <c r="B2498" s="10">
        <v>44867</v>
      </c>
      <c r="C2498" s="11">
        <v>44867</v>
      </c>
      <c r="D2498" s="42">
        <v>44</v>
      </c>
      <c r="E2498" s="13" t="s">
        <v>2940</v>
      </c>
      <c r="F2498" s="13">
        <v>3025457</v>
      </c>
      <c r="G2498" s="14">
        <v>13513</v>
      </c>
      <c r="H2498" s="33">
        <f>8700-8591.33</f>
        <v>108.67000000000007</v>
      </c>
      <c r="I2498" s="16">
        <f>-H2498*G2498</f>
        <v>-1468457.7100000009</v>
      </c>
      <c r="J2498" s="17">
        <v>0</v>
      </c>
      <c r="K2498" s="34">
        <v>4502438743</v>
      </c>
      <c r="L2498" s="126">
        <v>5084354372</v>
      </c>
      <c r="M2498" s="20">
        <v>5113704061</v>
      </c>
      <c r="N2498" s="128"/>
      <c r="O2498" s="9"/>
      <c r="P2498" s="23"/>
      <c r="Q2498" s="24" t="s">
        <v>31</v>
      </c>
      <c r="R2498" s="25">
        <v>44863</v>
      </c>
      <c r="S2498" s="28"/>
      <c r="T2498" s="35"/>
      <c r="U2498" s="35"/>
      <c r="V2498" s="29"/>
      <c r="W2498" s="35"/>
      <c r="X2498" s="29"/>
      <c r="Y2498" s="36"/>
      <c r="Z2498" s="29"/>
      <c r="AA2498" s="31">
        <f t="shared" si="1"/>
        <v>44863</v>
      </c>
      <c r="AB2498" s="32" t="str">
        <f t="shared" si="5"/>
        <v>octubre</v>
      </c>
    </row>
    <row r="2499" spans="1:28" ht="12.75">
      <c r="A2499" s="9" t="s">
        <v>469</v>
      </c>
      <c r="B2499" s="10">
        <v>44866</v>
      </c>
      <c r="C2499" s="11"/>
      <c r="D2499" s="42">
        <v>44</v>
      </c>
      <c r="E2499" s="13" t="s">
        <v>2941</v>
      </c>
      <c r="F2499" s="13">
        <v>3025457</v>
      </c>
      <c r="G2499" s="37">
        <v>6026.5</v>
      </c>
      <c r="H2499" s="33">
        <v>8600</v>
      </c>
      <c r="I2499" s="16">
        <f>H2499*G2499</f>
        <v>51827900</v>
      </c>
      <c r="J2499" s="17">
        <v>14</v>
      </c>
      <c r="K2499" s="34">
        <v>4502438744</v>
      </c>
      <c r="L2499" s="126">
        <v>5084354349</v>
      </c>
      <c r="M2499" s="34">
        <v>5113702201</v>
      </c>
      <c r="N2499" s="128"/>
      <c r="O2499" s="9" t="s">
        <v>63</v>
      </c>
      <c r="P2499" s="23"/>
      <c r="Q2499" s="24" t="s">
        <v>31</v>
      </c>
      <c r="R2499" s="25">
        <v>44863</v>
      </c>
      <c r="S2499" s="28"/>
      <c r="T2499" s="35"/>
      <c r="U2499" s="35"/>
      <c r="V2499" s="29"/>
      <c r="W2499" s="35"/>
      <c r="X2499" s="29"/>
      <c r="Y2499" s="36"/>
      <c r="Z2499" s="29"/>
      <c r="AA2499" s="31">
        <f t="shared" si="1"/>
        <v>44863</v>
      </c>
      <c r="AB2499" s="32" t="str">
        <f t="shared" si="5"/>
        <v>octubre</v>
      </c>
    </row>
    <row r="2500" spans="1:28" ht="12.75">
      <c r="A2500" s="9" t="s">
        <v>469</v>
      </c>
      <c r="B2500" s="10">
        <v>44866</v>
      </c>
      <c r="C2500" s="11"/>
      <c r="D2500" s="42">
        <v>44</v>
      </c>
      <c r="E2500" s="13" t="s">
        <v>2942</v>
      </c>
      <c r="F2500" s="13">
        <v>3025457</v>
      </c>
      <c r="G2500" s="37">
        <v>6026.5</v>
      </c>
      <c r="H2500" s="33">
        <f>8600-8543.4</f>
        <v>56.600000000000364</v>
      </c>
      <c r="I2500" s="16">
        <f>-H2500*G2500</f>
        <v>-341099.90000000218</v>
      </c>
      <c r="J2500" s="17">
        <v>0</v>
      </c>
      <c r="K2500" s="34">
        <v>4502438744</v>
      </c>
      <c r="L2500" s="126">
        <v>5084354349</v>
      </c>
      <c r="M2500" s="20">
        <v>5113702203</v>
      </c>
      <c r="N2500" s="128"/>
      <c r="O2500" s="9"/>
      <c r="P2500" s="23"/>
      <c r="Q2500" s="24" t="s">
        <v>31</v>
      </c>
      <c r="R2500" s="25">
        <v>44863</v>
      </c>
      <c r="S2500" s="28"/>
      <c r="T2500" s="35"/>
      <c r="U2500" s="35"/>
      <c r="V2500" s="29"/>
      <c r="W2500" s="35"/>
      <c r="X2500" s="29"/>
      <c r="Y2500" s="36"/>
      <c r="Z2500" s="29"/>
      <c r="AA2500" s="31">
        <f t="shared" si="1"/>
        <v>44863</v>
      </c>
      <c r="AB2500" s="32" t="str">
        <f t="shared" si="5"/>
        <v>octubre</v>
      </c>
    </row>
    <row r="2501" spans="1:28" ht="12.75">
      <c r="A2501" s="9" t="s">
        <v>73</v>
      </c>
      <c r="B2501" s="10">
        <v>44866</v>
      </c>
      <c r="C2501" s="11">
        <v>44866</v>
      </c>
      <c r="D2501" s="42">
        <v>44</v>
      </c>
      <c r="E2501" s="13" t="s">
        <v>2943</v>
      </c>
      <c r="F2501" s="13">
        <v>3025457</v>
      </c>
      <c r="G2501" s="37">
        <v>6391.5</v>
      </c>
      <c r="H2501" s="33">
        <v>9050</v>
      </c>
      <c r="I2501" s="16">
        <f t="shared" ref="I2501:I2503" si="371">H2501*G2501</f>
        <v>57843075</v>
      </c>
      <c r="J2501" s="17">
        <v>14</v>
      </c>
      <c r="K2501" s="34">
        <v>4502438746</v>
      </c>
      <c r="L2501" s="126">
        <v>5084362461</v>
      </c>
      <c r="M2501" s="20">
        <v>5113702230</v>
      </c>
      <c r="N2501" s="128"/>
      <c r="O2501" s="9" t="s">
        <v>63</v>
      </c>
      <c r="P2501" s="23"/>
      <c r="Q2501" s="24" t="s">
        <v>31</v>
      </c>
      <c r="R2501" s="25">
        <v>44864</v>
      </c>
      <c r="S2501" s="28"/>
      <c r="T2501" s="35"/>
      <c r="U2501" s="35"/>
      <c r="V2501" s="29"/>
      <c r="W2501" s="35"/>
      <c r="X2501" s="29"/>
      <c r="Y2501" s="36"/>
      <c r="Z2501" s="29"/>
      <c r="AA2501" s="31">
        <f t="shared" si="1"/>
        <v>44864</v>
      </c>
      <c r="AB2501" s="32" t="str">
        <f t="shared" si="5"/>
        <v>octubre</v>
      </c>
    </row>
    <row r="2502" spans="1:28" ht="12.75">
      <c r="A2502" s="9" t="s">
        <v>73</v>
      </c>
      <c r="B2502" s="10">
        <v>44866</v>
      </c>
      <c r="C2502" s="11">
        <v>44866</v>
      </c>
      <c r="D2502" s="42">
        <v>44</v>
      </c>
      <c r="E2502" s="13" t="s">
        <v>2944</v>
      </c>
      <c r="F2502" s="13">
        <v>3025457</v>
      </c>
      <c r="G2502" s="37">
        <v>6391.5</v>
      </c>
      <c r="H2502" s="33">
        <v>24</v>
      </c>
      <c r="I2502" s="16">
        <f t="shared" si="371"/>
        <v>153396</v>
      </c>
      <c r="J2502" s="17">
        <v>0</v>
      </c>
      <c r="K2502" s="34">
        <v>4502438746</v>
      </c>
      <c r="L2502" s="126">
        <v>5084362461</v>
      </c>
      <c r="M2502" s="20">
        <v>5113703936</v>
      </c>
      <c r="N2502" s="128"/>
      <c r="O2502" s="9"/>
      <c r="P2502" s="23"/>
      <c r="Q2502" s="24" t="s">
        <v>31</v>
      </c>
      <c r="R2502" s="25">
        <v>44864</v>
      </c>
      <c r="S2502" s="28"/>
      <c r="T2502" s="35"/>
      <c r="U2502" s="35"/>
      <c r="V2502" s="29"/>
      <c r="W2502" s="35"/>
      <c r="X2502" s="29"/>
      <c r="Y2502" s="36"/>
      <c r="Z2502" s="29"/>
      <c r="AA2502" s="31">
        <f t="shared" si="1"/>
        <v>44864</v>
      </c>
      <c r="AB2502" s="32" t="str">
        <f t="shared" si="5"/>
        <v>octubre</v>
      </c>
    </row>
    <row r="2503" spans="1:28" ht="12.75">
      <c r="A2503" s="9" t="s">
        <v>289</v>
      </c>
      <c r="B2503" s="10">
        <v>44864</v>
      </c>
      <c r="C2503" s="11">
        <v>44867</v>
      </c>
      <c r="D2503" s="42">
        <v>44</v>
      </c>
      <c r="E2503" s="13" t="s">
        <v>2945</v>
      </c>
      <c r="F2503" s="13">
        <v>3025457</v>
      </c>
      <c r="G2503" s="37">
        <v>7549.5</v>
      </c>
      <c r="H2503" s="33">
        <v>9050</v>
      </c>
      <c r="I2503" s="16">
        <f t="shared" si="371"/>
        <v>68322975</v>
      </c>
      <c r="J2503" s="17">
        <v>15</v>
      </c>
      <c r="K2503" s="34">
        <v>4502438747</v>
      </c>
      <c r="L2503" s="126">
        <v>5084362462</v>
      </c>
      <c r="M2503" s="20">
        <v>5113704869</v>
      </c>
      <c r="N2503" s="128"/>
      <c r="O2503" s="23" t="s">
        <v>37</v>
      </c>
      <c r="P2503" s="23"/>
      <c r="Q2503" s="24" t="s">
        <v>31</v>
      </c>
      <c r="R2503" s="25">
        <v>44864</v>
      </c>
      <c r="S2503" s="28"/>
      <c r="T2503" s="35"/>
      <c r="U2503" s="35"/>
      <c r="V2503" s="29"/>
      <c r="W2503" s="35"/>
      <c r="X2503" s="29"/>
      <c r="Y2503" s="36"/>
      <c r="Z2503" s="29"/>
      <c r="AA2503" s="31">
        <f t="shared" si="1"/>
        <v>44864</v>
      </c>
      <c r="AB2503" s="32" t="str">
        <f t="shared" si="5"/>
        <v>octubre</v>
      </c>
    </row>
    <row r="2504" spans="1:28" ht="12.75">
      <c r="A2504" s="9" t="s">
        <v>289</v>
      </c>
      <c r="B2504" s="10">
        <v>44864</v>
      </c>
      <c r="C2504" s="11">
        <v>44867</v>
      </c>
      <c r="D2504" s="42">
        <v>44</v>
      </c>
      <c r="E2504" s="13" t="s">
        <v>2946</v>
      </c>
      <c r="F2504" s="13">
        <v>3025457</v>
      </c>
      <c r="G2504" s="37">
        <v>7549.5</v>
      </c>
      <c r="H2504" s="33">
        <v>50</v>
      </c>
      <c r="I2504" s="16">
        <f>-H2504*G2504</f>
        <v>-377475</v>
      </c>
      <c r="J2504" s="17">
        <v>0</v>
      </c>
      <c r="K2504" s="34">
        <v>4502438747</v>
      </c>
      <c r="L2504" s="126">
        <v>5084362462</v>
      </c>
      <c r="M2504" s="20">
        <v>5113704870</v>
      </c>
      <c r="N2504" s="128"/>
      <c r="O2504" s="9"/>
      <c r="P2504" s="23"/>
      <c r="Q2504" s="24" t="s">
        <v>31</v>
      </c>
      <c r="R2504" s="25">
        <v>44864</v>
      </c>
      <c r="S2504" s="28"/>
      <c r="T2504" s="35"/>
      <c r="U2504" s="35"/>
      <c r="V2504" s="29"/>
      <c r="W2504" s="35"/>
      <c r="X2504" s="29"/>
      <c r="Y2504" s="36"/>
      <c r="Z2504" s="29"/>
      <c r="AA2504" s="31">
        <f t="shared" si="1"/>
        <v>44864</v>
      </c>
      <c r="AB2504" s="32" t="str">
        <f t="shared" si="5"/>
        <v>octubre</v>
      </c>
    </row>
    <row r="2505" spans="1:28" ht="12.75">
      <c r="A2505" s="9" t="s">
        <v>58</v>
      </c>
      <c r="B2505" s="10">
        <v>44868</v>
      </c>
      <c r="C2505" s="11">
        <v>44868</v>
      </c>
      <c r="D2505" s="42">
        <v>44</v>
      </c>
      <c r="E2505" s="61" t="s">
        <v>2947</v>
      </c>
      <c r="F2505" s="13">
        <v>3025457</v>
      </c>
      <c r="G2505" s="37">
        <v>14003.5</v>
      </c>
      <c r="H2505" s="33">
        <v>9100</v>
      </c>
      <c r="I2505" s="16">
        <f>H2505*G2505</f>
        <v>127431850</v>
      </c>
      <c r="J2505" s="17">
        <v>30</v>
      </c>
      <c r="K2505" s="34">
        <v>4502438748</v>
      </c>
      <c r="L2505" s="126">
        <v>5084362463</v>
      </c>
      <c r="M2505" s="20">
        <v>5113714888</v>
      </c>
      <c r="N2505" s="128"/>
      <c r="O2505" s="9" t="s">
        <v>37</v>
      </c>
      <c r="P2505" s="23"/>
      <c r="Q2505" s="24" t="s">
        <v>31</v>
      </c>
      <c r="R2505" s="25">
        <v>44864</v>
      </c>
      <c r="S2505" s="28"/>
      <c r="T2505" s="35"/>
      <c r="U2505" s="35"/>
      <c r="V2505" s="29"/>
      <c r="W2505" s="35"/>
      <c r="X2505" s="29"/>
      <c r="Y2505" s="36"/>
      <c r="Z2505" s="29"/>
      <c r="AA2505" s="31">
        <f t="shared" si="1"/>
        <v>44864</v>
      </c>
      <c r="AB2505" s="32" t="str">
        <f t="shared" si="5"/>
        <v>octubre</v>
      </c>
    </row>
    <row r="2506" spans="1:28" ht="12.75">
      <c r="A2506" s="9" t="s">
        <v>58</v>
      </c>
      <c r="B2506" s="10">
        <v>44874</v>
      </c>
      <c r="C2506" s="11">
        <v>44874</v>
      </c>
      <c r="D2506" s="42">
        <v>44</v>
      </c>
      <c r="E2506" s="13" t="s">
        <v>468</v>
      </c>
      <c r="F2506" s="13">
        <v>3025457</v>
      </c>
      <c r="G2506" s="37">
        <v>14003.5</v>
      </c>
      <c r="H2506" s="33">
        <f>9100-9047.2</f>
        <v>52.799999999999272</v>
      </c>
      <c r="I2506" s="16">
        <f>-H2506*G2506</f>
        <v>-739384.7999999898</v>
      </c>
      <c r="J2506" s="17">
        <v>0</v>
      </c>
      <c r="K2506" s="34">
        <v>4502438748</v>
      </c>
      <c r="L2506" s="126">
        <v>5084362463</v>
      </c>
      <c r="M2506" s="20">
        <v>5113714889</v>
      </c>
      <c r="N2506" s="128"/>
      <c r="O2506" s="9"/>
      <c r="P2506" s="23"/>
      <c r="Q2506" s="24" t="s">
        <v>31</v>
      </c>
      <c r="R2506" s="25">
        <v>44864</v>
      </c>
      <c r="S2506" s="28"/>
      <c r="T2506" s="35"/>
      <c r="U2506" s="35"/>
      <c r="V2506" s="29"/>
      <c r="W2506" s="35"/>
      <c r="X2506" s="29"/>
      <c r="Y2506" s="36"/>
      <c r="Z2506" s="29"/>
      <c r="AA2506" s="31">
        <f t="shared" si="1"/>
        <v>44864</v>
      </c>
      <c r="AB2506" s="32" t="str">
        <f t="shared" si="5"/>
        <v>octubre</v>
      </c>
    </row>
    <row r="2507" spans="1:28" ht="12.75">
      <c r="A2507" s="9" t="s">
        <v>80</v>
      </c>
      <c r="B2507" s="10">
        <v>44864</v>
      </c>
      <c r="C2507" s="11">
        <v>44866</v>
      </c>
      <c r="D2507" s="42">
        <v>44</v>
      </c>
      <c r="E2507" s="13" t="s">
        <v>2948</v>
      </c>
      <c r="F2507" s="13">
        <v>3025459</v>
      </c>
      <c r="G2507" s="14">
        <v>19752</v>
      </c>
      <c r="H2507" s="15">
        <v>8400</v>
      </c>
      <c r="I2507" s="16">
        <f t="shared" ref="I2507:I2509" si="372">H2507*G2507</f>
        <v>165916800</v>
      </c>
      <c r="J2507" s="17">
        <v>42</v>
      </c>
      <c r="K2507" s="34">
        <v>4502441277</v>
      </c>
      <c r="L2507" s="126">
        <v>5084354369</v>
      </c>
      <c r="M2507" s="20">
        <v>5113706092</v>
      </c>
      <c r="N2507" s="128"/>
      <c r="O2507" s="88" t="s">
        <v>1057</v>
      </c>
      <c r="P2507" s="23"/>
      <c r="Q2507" s="24" t="s">
        <v>31</v>
      </c>
      <c r="R2507" s="25">
        <v>44864</v>
      </c>
      <c r="S2507" s="28">
        <v>4902375233</v>
      </c>
      <c r="T2507" s="27">
        <v>4792500</v>
      </c>
      <c r="U2507" s="28" t="s">
        <v>2949</v>
      </c>
      <c r="V2507" s="29">
        <v>5113699427</v>
      </c>
      <c r="W2507" s="35"/>
      <c r="X2507" s="29"/>
      <c r="Y2507" s="36"/>
      <c r="Z2507" s="29"/>
      <c r="AA2507" s="31">
        <f t="shared" si="1"/>
        <v>44864</v>
      </c>
      <c r="AB2507" s="32" t="str">
        <f t="shared" si="5"/>
        <v>octubre</v>
      </c>
    </row>
    <row r="2508" spans="1:28" ht="12.75">
      <c r="A2508" s="9" t="s">
        <v>80</v>
      </c>
      <c r="B2508" s="10">
        <v>44864</v>
      </c>
      <c r="C2508" s="11">
        <v>44866</v>
      </c>
      <c r="D2508" s="42">
        <v>44</v>
      </c>
      <c r="E2508" s="13">
        <v>5</v>
      </c>
      <c r="F2508" s="13">
        <v>3025459</v>
      </c>
      <c r="G2508" s="14">
        <v>19752</v>
      </c>
      <c r="H2508" s="15">
        <v>24</v>
      </c>
      <c r="I2508" s="16">
        <f t="shared" si="372"/>
        <v>474048</v>
      </c>
      <c r="J2508" s="17">
        <v>0</v>
      </c>
      <c r="K2508" s="34">
        <v>4502441277</v>
      </c>
      <c r="L2508" s="126">
        <v>5084354369</v>
      </c>
      <c r="M2508" s="20">
        <v>5113706094</v>
      </c>
      <c r="N2508" s="128"/>
      <c r="O2508" s="88"/>
      <c r="P2508" s="23"/>
      <c r="Q2508" s="24" t="s">
        <v>31</v>
      </c>
      <c r="R2508" s="25">
        <v>44864</v>
      </c>
      <c r="S2508" s="28"/>
      <c r="T2508" s="27"/>
      <c r="U2508" s="28"/>
      <c r="V2508" s="29"/>
      <c r="W2508" s="35"/>
      <c r="X2508" s="29"/>
      <c r="Y2508" s="36"/>
      <c r="Z2508" s="29"/>
      <c r="AA2508" s="31">
        <f t="shared" si="1"/>
        <v>44864</v>
      </c>
      <c r="AB2508" s="32" t="str">
        <f t="shared" si="5"/>
        <v>octubre</v>
      </c>
    </row>
    <row r="2509" spans="1:28" ht="12.75">
      <c r="A2509" s="9" t="s">
        <v>455</v>
      </c>
      <c r="B2509" s="10">
        <v>44865</v>
      </c>
      <c r="C2509" s="11">
        <v>44867</v>
      </c>
      <c r="D2509" s="42">
        <v>44</v>
      </c>
      <c r="E2509" s="13" t="s">
        <v>2950</v>
      </c>
      <c r="F2509" s="13">
        <v>3025459</v>
      </c>
      <c r="G2509" s="14">
        <v>14752</v>
      </c>
      <c r="H2509" s="33">
        <v>8650</v>
      </c>
      <c r="I2509" s="16">
        <f t="shared" si="372"/>
        <v>127604800</v>
      </c>
      <c r="J2509" s="17">
        <v>28</v>
      </c>
      <c r="K2509" s="34">
        <v>4502438749</v>
      </c>
      <c r="L2509" s="126">
        <v>5084362464</v>
      </c>
      <c r="M2509" s="20">
        <v>5113703933</v>
      </c>
      <c r="N2509" s="128"/>
      <c r="O2509" s="9" t="s">
        <v>63</v>
      </c>
      <c r="P2509" s="23"/>
      <c r="Q2509" s="24" t="s">
        <v>31</v>
      </c>
      <c r="R2509" s="25">
        <v>44864</v>
      </c>
      <c r="S2509" s="28"/>
      <c r="T2509" s="35"/>
      <c r="U2509" s="35"/>
      <c r="V2509" s="29"/>
      <c r="W2509" s="35"/>
      <c r="X2509" s="29"/>
      <c r="Y2509" s="36"/>
      <c r="Z2509" s="29"/>
      <c r="AA2509" s="31">
        <f t="shared" si="1"/>
        <v>44864</v>
      </c>
      <c r="AB2509" s="32" t="str">
        <f t="shared" si="5"/>
        <v>octubre</v>
      </c>
    </row>
    <row r="2510" spans="1:28" ht="12.75">
      <c r="A2510" s="9" t="s">
        <v>455</v>
      </c>
      <c r="B2510" s="10">
        <v>44865</v>
      </c>
      <c r="C2510" s="11">
        <v>44867</v>
      </c>
      <c r="D2510" s="42">
        <v>44</v>
      </c>
      <c r="E2510" s="13" t="s">
        <v>2951</v>
      </c>
      <c r="F2510" s="13">
        <v>3025459</v>
      </c>
      <c r="G2510" s="14">
        <v>14752</v>
      </c>
      <c r="H2510" s="33">
        <f>8650-8645.86</f>
        <v>4.1399999999994179</v>
      </c>
      <c r="I2510" s="16">
        <f>-H2510*G2510</f>
        <v>-61073.279999991413</v>
      </c>
      <c r="J2510" s="17">
        <v>0</v>
      </c>
      <c r="K2510" s="34">
        <v>4502438749</v>
      </c>
      <c r="L2510" s="126">
        <v>5084362464</v>
      </c>
      <c r="M2510" s="20">
        <v>5113703934</v>
      </c>
      <c r="N2510" s="128"/>
      <c r="O2510" s="9"/>
      <c r="P2510" s="23"/>
      <c r="Q2510" s="24" t="s">
        <v>31</v>
      </c>
      <c r="R2510" s="25">
        <v>44864</v>
      </c>
      <c r="S2510" s="28"/>
      <c r="T2510" s="35"/>
      <c r="U2510" s="35"/>
      <c r="V2510" s="29"/>
      <c r="W2510" s="35"/>
      <c r="X2510" s="29"/>
      <c r="Y2510" s="36"/>
      <c r="Z2510" s="29"/>
      <c r="AA2510" s="31">
        <f t="shared" si="1"/>
        <v>44864</v>
      </c>
      <c r="AB2510" s="32" t="str">
        <f t="shared" si="5"/>
        <v>octubre</v>
      </c>
    </row>
    <row r="2511" spans="1:28" ht="12.75">
      <c r="A2511" s="9" t="s">
        <v>28</v>
      </c>
      <c r="B2511" s="10">
        <v>44867</v>
      </c>
      <c r="C2511" s="11">
        <v>44867</v>
      </c>
      <c r="D2511" s="42">
        <v>44</v>
      </c>
      <c r="E2511" s="13" t="s">
        <v>2952</v>
      </c>
      <c r="F2511" s="13">
        <v>3025457</v>
      </c>
      <c r="G2511" s="37">
        <v>54939</v>
      </c>
      <c r="H2511" s="15">
        <v>8200</v>
      </c>
      <c r="I2511" s="16">
        <f t="shared" ref="I2511:I2514" si="373">H2511*G2511</f>
        <v>450499800</v>
      </c>
      <c r="J2511" s="17">
        <v>112</v>
      </c>
      <c r="K2511" s="34">
        <v>4502443402</v>
      </c>
      <c r="L2511" s="126">
        <v>5084398452</v>
      </c>
      <c r="M2511" s="20">
        <v>5113703215</v>
      </c>
      <c r="N2511" s="23" t="s">
        <v>37</v>
      </c>
      <c r="O2511" s="88" t="s">
        <v>2953</v>
      </c>
      <c r="P2511" s="124"/>
      <c r="Q2511" s="24" t="s">
        <v>31</v>
      </c>
      <c r="R2511" s="25">
        <v>44865</v>
      </c>
      <c r="S2511" s="28">
        <v>4902375234</v>
      </c>
      <c r="T2511" s="35">
        <f>2982600*8</f>
        <v>23860800</v>
      </c>
      <c r="U2511" s="28" t="s">
        <v>2954</v>
      </c>
      <c r="V2511" s="29">
        <v>5113703218</v>
      </c>
      <c r="W2511" s="29" t="s">
        <v>2955</v>
      </c>
      <c r="X2511" s="29">
        <v>5113703219</v>
      </c>
      <c r="Y2511" s="36"/>
      <c r="Z2511" s="29"/>
      <c r="AA2511" s="31">
        <f t="shared" si="1"/>
        <v>44865</v>
      </c>
      <c r="AB2511" s="32" t="str">
        <f t="shared" si="5"/>
        <v>octubre</v>
      </c>
    </row>
    <row r="2512" spans="1:28" ht="12.75">
      <c r="A2512" s="22" t="s">
        <v>404</v>
      </c>
      <c r="B2512" s="10">
        <v>44865</v>
      </c>
      <c r="C2512" s="11">
        <v>44867</v>
      </c>
      <c r="D2512" s="42">
        <v>44</v>
      </c>
      <c r="E2512" s="13" t="s">
        <v>2956</v>
      </c>
      <c r="F2512" s="13">
        <v>3025459</v>
      </c>
      <c r="G2512" s="37">
        <v>7134.5</v>
      </c>
      <c r="H2512" s="33">
        <v>9050</v>
      </c>
      <c r="I2512" s="16">
        <f t="shared" si="373"/>
        <v>64567225</v>
      </c>
      <c r="J2512" s="17">
        <v>15</v>
      </c>
      <c r="K2512" s="34">
        <v>4502439259</v>
      </c>
      <c r="L2512" s="126">
        <v>5084399647</v>
      </c>
      <c r="M2512" s="20">
        <v>5113705307</v>
      </c>
      <c r="N2512" s="128"/>
      <c r="O2512" s="9" t="s">
        <v>37</v>
      </c>
      <c r="Q2512" s="24" t="s">
        <v>31</v>
      </c>
      <c r="R2512" s="25">
        <v>44865</v>
      </c>
      <c r="S2512" s="28"/>
      <c r="T2512" s="35"/>
      <c r="U2512" s="35"/>
      <c r="V2512" s="29"/>
      <c r="W2512" s="35"/>
      <c r="X2512" s="29"/>
      <c r="Y2512" s="36"/>
      <c r="Z2512" s="29"/>
      <c r="AA2512" s="31">
        <f t="shared" si="1"/>
        <v>44865</v>
      </c>
      <c r="AB2512" s="32" t="str">
        <f t="shared" si="5"/>
        <v>octubre</v>
      </c>
    </row>
    <row r="2513" spans="1:28" ht="12.75">
      <c r="A2513" s="22" t="s">
        <v>404</v>
      </c>
      <c r="B2513" s="10">
        <v>44867</v>
      </c>
      <c r="C2513" s="11">
        <v>44867</v>
      </c>
      <c r="D2513" s="42">
        <v>44</v>
      </c>
      <c r="E2513" s="13" t="s">
        <v>559</v>
      </c>
      <c r="F2513" s="13">
        <v>3025459</v>
      </c>
      <c r="G2513" s="37">
        <v>7134.5</v>
      </c>
      <c r="H2513" s="33">
        <v>24</v>
      </c>
      <c r="I2513" s="16">
        <f t="shared" si="373"/>
        <v>171228</v>
      </c>
      <c r="J2513" s="17">
        <v>0</v>
      </c>
      <c r="K2513" s="34">
        <v>4502439259</v>
      </c>
      <c r="L2513" s="126">
        <v>5084399647</v>
      </c>
      <c r="M2513" s="20">
        <v>5113705308</v>
      </c>
      <c r="N2513" s="128"/>
      <c r="O2513" s="9"/>
      <c r="P2513" s="23"/>
      <c r="Q2513" s="24" t="s">
        <v>31</v>
      </c>
      <c r="R2513" s="25">
        <v>44865</v>
      </c>
      <c r="S2513" s="28"/>
      <c r="T2513" s="35"/>
      <c r="U2513" s="35"/>
      <c r="V2513" s="29"/>
      <c r="W2513" s="35"/>
      <c r="X2513" s="29"/>
      <c r="Y2513" s="36"/>
      <c r="Z2513" s="29"/>
      <c r="AA2513" s="31">
        <f t="shared" si="1"/>
        <v>44865</v>
      </c>
      <c r="AB2513" s="32" t="str">
        <f t="shared" si="5"/>
        <v>octubre</v>
      </c>
    </row>
    <row r="2514" spans="1:28" ht="12.75">
      <c r="A2514" s="22" t="s">
        <v>774</v>
      </c>
      <c r="B2514" s="10">
        <v>44869</v>
      </c>
      <c r="C2514" s="11">
        <v>44869</v>
      </c>
      <c r="D2514" s="42">
        <v>44</v>
      </c>
      <c r="E2514" s="13" t="s">
        <v>2957</v>
      </c>
      <c r="F2514" s="13">
        <v>3025457</v>
      </c>
      <c r="G2514" s="14">
        <v>12488</v>
      </c>
      <c r="H2514" s="33">
        <v>8800</v>
      </c>
      <c r="I2514" s="16">
        <f t="shared" si="373"/>
        <v>109894400</v>
      </c>
      <c r="J2514" s="17">
        <v>30</v>
      </c>
      <c r="K2514" s="34">
        <v>4502438750</v>
      </c>
      <c r="L2514" s="126">
        <v>5084399132</v>
      </c>
      <c r="M2514" s="20">
        <v>5113709589</v>
      </c>
      <c r="N2514" s="128"/>
      <c r="O2514" s="9" t="s">
        <v>63</v>
      </c>
      <c r="P2514" s="23"/>
      <c r="Q2514" s="24" t="s">
        <v>31</v>
      </c>
      <c r="R2514" s="25">
        <v>44866</v>
      </c>
      <c r="S2514" s="28"/>
      <c r="T2514" s="35"/>
      <c r="U2514" s="35"/>
      <c r="V2514" s="29"/>
      <c r="W2514" s="35"/>
      <c r="X2514" s="29"/>
      <c r="Y2514" s="36"/>
      <c r="Z2514" s="29"/>
      <c r="AA2514" s="31">
        <f t="shared" si="1"/>
        <v>44866</v>
      </c>
      <c r="AB2514" s="32" t="str">
        <f t="shared" si="5"/>
        <v>noviembre</v>
      </c>
    </row>
    <row r="2515" spans="1:28" ht="12.75">
      <c r="A2515" s="22" t="s">
        <v>774</v>
      </c>
      <c r="B2515" s="10">
        <v>44869</v>
      </c>
      <c r="C2515" s="11">
        <v>44869</v>
      </c>
      <c r="D2515" s="42">
        <v>44</v>
      </c>
      <c r="E2515" s="13" t="s">
        <v>397</v>
      </c>
      <c r="F2515" s="13">
        <v>3025457</v>
      </c>
      <c r="G2515" s="14">
        <v>12488</v>
      </c>
      <c r="H2515" s="33">
        <f>8800-8731.26</f>
        <v>68.739999999999782</v>
      </c>
      <c r="I2515" s="16">
        <f>-H2515*G2515</f>
        <v>-858425.11999999732</v>
      </c>
      <c r="J2515" s="17">
        <v>0</v>
      </c>
      <c r="K2515" s="34">
        <v>4502438750</v>
      </c>
      <c r="L2515" s="126">
        <v>5084399132</v>
      </c>
      <c r="M2515" s="20">
        <v>5113709593</v>
      </c>
      <c r="N2515" s="128"/>
      <c r="O2515" s="9"/>
      <c r="P2515" s="23"/>
      <c r="Q2515" s="24" t="s">
        <v>31</v>
      </c>
      <c r="R2515" s="25">
        <v>44866</v>
      </c>
      <c r="S2515" s="28"/>
      <c r="T2515" s="35"/>
      <c r="U2515" s="35"/>
      <c r="V2515" s="29"/>
      <c r="W2515" s="35"/>
      <c r="X2515" s="29"/>
      <c r="Y2515" s="36"/>
      <c r="Z2515" s="29"/>
      <c r="AA2515" s="31">
        <f t="shared" si="1"/>
        <v>44866</v>
      </c>
      <c r="AB2515" s="32" t="str">
        <f t="shared" si="5"/>
        <v>noviembre</v>
      </c>
    </row>
    <row r="2516" spans="1:28" ht="12.75">
      <c r="A2516" s="9" t="s">
        <v>2958</v>
      </c>
      <c r="B2516" s="10">
        <v>44869</v>
      </c>
      <c r="C2516" s="11">
        <v>44869</v>
      </c>
      <c r="D2516" s="42">
        <v>44</v>
      </c>
      <c r="E2516" s="13" t="s">
        <v>2959</v>
      </c>
      <c r="F2516" s="13">
        <v>3025457</v>
      </c>
      <c r="G2516" s="14">
        <v>18420</v>
      </c>
      <c r="H2516" s="33">
        <v>8600</v>
      </c>
      <c r="I2516" s="16">
        <f>H2516*G2516</f>
        <v>158412000</v>
      </c>
      <c r="J2516" s="17">
        <v>42</v>
      </c>
      <c r="K2516" s="34">
        <v>4502438751</v>
      </c>
      <c r="L2516" s="126">
        <v>5084399133</v>
      </c>
      <c r="M2516" s="20">
        <v>5113709899</v>
      </c>
      <c r="N2516" s="128"/>
      <c r="O2516" s="9" t="s">
        <v>63</v>
      </c>
      <c r="P2516" s="23"/>
      <c r="Q2516" s="24" t="s">
        <v>31</v>
      </c>
      <c r="R2516" s="25">
        <v>44866</v>
      </c>
      <c r="S2516" s="28"/>
      <c r="T2516" s="35"/>
      <c r="U2516" s="35"/>
      <c r="V2516" s="29"/>
      <c r="W2516" s="35"/>
      <c r="X2516" s="29"/>
      <c r="Y2516" s="36"/>
      <c r="Z2516" s="29"/>
      <c r="AA2516" s="31">
        <f t="shared" si="1"/>
        <v>44866</v>
      </c>
      <c r="AB2516" s="32" t="str">
        <f t="shared" si="5"/>
        <v>noviembre</v>
      </c>
    </row>
    <row r="2517" spans="1:28" ht="12.75">
      <c r="A2517" s="9" t="s">
        <v>2958</v>
      </c>
      <c r="B2517" s="10">
        <v>44869</v>
      </c>
      <c r="C2517" s="11">
        <v>44869</v>
      </c>
      <c r="D2517" s="42">
        <v>44</v>
      </c>
      <c r="E2517" s="13" t="s">
        <v>244</v>
      </c>
      <c r="F2517" s="13">
        <v>3025457</v>
      </c>
      <c r="G2517" s="14">
        <v>18420</v>
      </c>
      <c r="H2517" s="33">
        <f>8600-8597.83</f>
        <v>2.1700000000000728</v>
      </c>
      <c r="I2517" s="16">
        <f>-H2517*G2517</f>
        <v>-39971.40000000134</v>
      </c>
      <c r="J2517" s="17">
        <v>0</v>
      </c>
      <c r="K2517" s="34">
        <v>4502438751</v>
      </c>
      <c r="L2517" s="126">
        <v>5084399133</v>
      </c>
      <c r="M2517" s="20">
        <v>5113709900</v>
      </c>
      <c r="N2517" s="128"/>
      <c r="O2517" s="9"/>
      <c r="P2517" s="23"/>
      <c r="Q2517" s="24" t="s">
        <v>31</v>
      </c>
      <c r="R2517" s="25">
        <v>44866</v>
      </c>
      <c r="S2517" s="28"/>
      <c r="T2517" s="35"/>
      <c r="U2517" s="35"/>
      <c r="V2517" s="29"/>
      <c r="W2517" s="35"/>
      <c r="X2517" s="29"/>
      <c r="Y2517" s="36"/>
      <c r="Z2517" s="29"/>
      <c r="AA2517" s="31">
        <f t="shared" si="1"/>
        <v>44866</v>
      </c>
      <c r="AB2517" s="32" t="str">
        <f t="shared" si="5"/>
        <v>noviembre</v>
      </c>
    </row>
    <row r="2518" spans="1:28" ht="12.75">
      <c r="A2518" s="22" t="s">
        <v>404</v>
      </c>
      <c r="B2518" s="10">
        <v>44866</v>
      </c>
      <c r="C2518" s="11">
        <v>44869</v>
      </c>
      <c r="D2518" s="42">
        <v>44</v>
      </c>
      <c r="E2518" s="13" t="s">
        <v>2960</v>
      </c>
      <c r="F2518" s="13">
        <v>3025457</v>
      </c>
      <c r="G2518" s="14">
        <v>6393</v>
      </c>
      <c r="H2518" s="33">
        <v>9050</v>
      </c>
      <c r="I2518" s="16">
        <f t="shared" ref="I2518:I2526" si="374">H2518*G2518</f>
        <v>57856650</v>
      </c>
      <c r="J2518" s="17">
        <v>14</v>
      </c>
      <c r="K2518" s="34">
        <v>4502438752</v>
      </c>
      <c r="L2518" s="126">
        <v>5084399134</v>
      </c>
      <c r="M2518" s="20">
        <v>5113709607</v>
      </c>
      <c r="N2518" s="128"/>
      <c r="O2518" s="9" t="s">
        <v>37</v>
      </c>
      <c r="P2518" s="23"/>
      <c r="Q2518" s="24" t="s">
        <v>31</v>
      </c>
      <c r="R2518" s="25">
        <v>44866</v>
      </c>
      <c r="S2518" s="28"/>
      <c r="T2518" s="35"/>
      <c r="U2518" s="35"/>
      <c r="V2518" s="29"/>
      <c r="W2518" s="35"/>
      <c r="X2518" s="29"/>
      <c r="Y2518" s="36"/>
      <c r="Z2518" s="29"/>
      <c r="AA2518" s="31">
        <f t="shared" si="1"/>
        <v>44866</v>
      </c>
      <c r="AB2518" s="32" t="str">
        <f t="shared" si="5"/>
        <v>noviembre</v>
      </c>
    </row>
    <row r="2519" spans="1:28" ht="12.75">
      <c r="A2519" s="9" t="s">
        <v>89</v>
      </c>
      <c r="B2519" s="10">
        <v>44866</v>
      </c>
      <c r="C2519" s="11"/>
      <c r="D2519" s="42">
        <v>44</v>
      </c>
      <c r="E2519" s="13" t="s">
        <v>2961</v>
      </c>
      <c r="F2519" s="13">
        <v>3025457</v>
      </c>
      <c r="G2519" s="14">
        <v>7786</v>
      </c>
      <c r="H2519" s="15">
        <v>8450</v>
      </c>
      <c r="I2519" s="16">
        <f t="shared" si="374"/>
        <v>65791700</v>
      </c>
      <c r="J2519" s="17">
        <v>14</v>
      </c>
      <c r="K2519" s="126">
        <v>4502446461</v>
      </c>
      <c r="L2519" s="126">
        <v>5084471288</v>
      </c>
      <c r="M2519" s="20">
        <v>5113722523</v>
      </c>
      <c r="N2519" s="128"/>
      <c r="O2519" s="88" t="s">
        <v>2962</v>
      </c>
      <c r="P2519" s="9" t="s">
        <v>63</v>
      </c>
      <c r="Q2519" s="24" t="s">
        <v>31</v>
      </c>
      <c r="R2519" s="25">
        <v>44866</v>
      </c>
      <c r="S2519" s="28">
        <v>4902375239</v>
      </c>
      <c r="T2519" s="27">
        <v>1648800</v>
      </c>
      <c r="U2519" s="28" t="s">
        <v>2963</v>
      </c>
      <c r="V2519" s="29">
        <v>5113703220</v>
      </c>
      <c r="W2519" s="35"/>
      <c r="X2519" s="29"/>
      <c r="Y2519" s="36"/>
      <c r="Z2519" s="29"/>
      <c r="AA2519" s="31">
        <f t="shared" si="1"/>
        <v>44866</v>
      </c>
      <c r="AB2519" s="32" t="str">
        <f t="shared" si="5"/>
        <v>noviembre</v>
      </c>
    </row>
    <row r="2520" spans="1:28" ht="12.75">
      <c r="A2520" s="9" t="s">
        <v>94</v>
      </c>
      <c r="B2520" s="10">
        <v>44869</v>
      </c>
      <c r="C2520" s="11"/>
      <c r="D2520" s="42">
        <v>44</v>
      </c>
      <c r="E2520" s="13" t="s">
        <v>2964</v>
      </c>
      <c r="F2520" s="13">
        <v>3025457</v>
      </c>
      <c r="G2520" s="14">
        <v>6343</v>
      </c>
      <c r="H2520" s="15">
        <v>8400</v>
      </c>
      <c r="I2520" s="16">
        <f t="shared" si="374"/>
        <v>53281200</v>
      </c>
      <c r="J2520" s="17">
        <v>14</v>
      </c>
      <c r="K2520" s="34">
        <v>4502443408</v>
      </c>
      <c r="L2520" s="126">
        <v>5084398455</v>
      </c>
      <c r="M2520" s="20">
        <v>5113709640</v>
      </c>
      <c r="N2520" s="128"/>
      <c r="O2520" s="88" t="s">
        <v>2965</v>
      </c>
      <c r="P2520" s="9" t="s">
        <v>63</v>
      </c>
      <c r="Q2520" s="24" t="s">
        <v>31</v>
      </c>
      <c r="R2520" s="25">
        <v>44866</v>
      </c>
      <c r="S2520" s="28">
        <v>4902375242</v>
      </c>
      <c r="T2520" s="27">
        <v>1623900</v>
      </c>
      <c r="U2520" s="28" t="s">
        <v>2966</v>
      </c>
      <c r="V2520" s="29">
        <v>5113703947</v>
      </c>
      <c r="W2520" s="35"/>
      <c r="X2520" s="29"/>
      <c r="Y2520" s="36"/>
      <c r="Z2520" s="29"/>
      <c r="AA2520" s="31">
        <f t="shared" si="1"/>
        <v>44866</v>
      </c>
      <c r="AB2520" s="32" t="str">
        <f t="shared" si="5"/>
        <v>noviembre</v>
      </c>
    </row>
    <row r="2521" spans="1:28" ht="12.75">
      <c r="A2521" s="9" t="s">
        <v>94</v>
      </c>
      <c r="B2521" s="10">
        <v>44869</v>
      </c>
      <c r="C2521" s="113"/>
      <c r="D2521" s="120">
        <v>44</v>
      </c>
      <c r="E2521" s="61" t="s">
        <v>2967</v>
      </c>
      <c r="F2521" s="63">
        <v>3025457</v>
      </c>
      <c r="G2521" s="62">
        <v>6343</v>
      </c>
      <c r="H2521" s="148">
        <v>24</v>
      </c>
      <c r="I2521" s="64">
        <f t="shared" si="374"/>
        <v>152232</v>
      </c>
      <c r="J2521" s="65">
        <v>0</v>
      </c>
      <c r="K2521" s="66">
        <v>4502443408</v>
      </c>
      <c r="L2521" s="121">
        <v>5084398455</v>
      </c>
      <c r="M2521" s="20">
        <v>5113709641</v>
      </c>
      <c r="N2521" s="68"/>
      <c r="O2521" s="149" t="s">
        <v>2965</v>
      </c>
      <c r="P2521" s="68"/>
      <c r="Q2521" s="129" t="s">
        <v>31</v>
      </c>
      <c r="R2521" s="74">
        <v>44866</v>
      </c>
      <c r="S2521" s="150">
        <v>4902375242</v>
      </c>
      <c r="T2521" s="151">
        <v>1623900</v>
      </c>
      <c r="U2521" s="152" t="s">
        <v>2966</v>
      </c>
      <c r="V2521" s="153">
        <v>5113703947</v>
      </c>
      <c r="W2521" s="70"/>
      <c r="X2521" s="153"/>
      <c r="Y2521" s="71"/>
      <c r="Z2521" s="153"/>
      <c r="AA2521" s="130">
        <f t="shared" si="1"/>
        <v>44866</v>
      </c>
      <c r="AB2521" s="131" t="str">
        <f t="shared" si="5"/>
        <v>noviembre</v>
      </c>
    </row>
    <row r="2522" spans="1:28" ht="12.75">
      <c r="A2522" s="9" t="s">
        <v>233</v>
      </c>
      <c r="B2522" s="10">
        <v>44866</v>
      </c>
      <c r="C2522" s="11">
        <v>44869</v>
      </c>
      <c r="D2522" s="42">
        <v>44</v>
      </c>
      <c r="E2522" s="13" t="s">
        <v>2968</v>
      </c>
      <c r="F2522" s="13">
        <v>3025457</v>
      </c>
      <c r="G2522" s="14">
        <v>27064</v>
      </c>
      <c r="H2522" s="33">
        <v>8750</v>
      </c>
      <c r="I2522" s="16">
        <f t="shared" si="374"/>
        <v>236810000</v>
      </c>
      <c r="J2522" s="17">
        <v>60</v>
      </c>
      <c r="K2522" s="34">
        <v>4502438753</v>
      </c>
      <c r="L2522" s="126">
        <v>5084399135</v>
      </c>
      <c r="M2522" s="20">
        <v>5113709688</v>
      </c>
      <c r="N2522" s="128"/>
      <c r="O2522" s="23" t="s">
        <v>63</v>
      </c>
      <c r="P2522" s="23"/>
      <c r="Q2522" s="24" t="s">
        <v>31</v>
      </c>
      <c r="R2522" s="25">
        <v>44866</v>
      </c>
      <c r="S2522" s="28"/>
      <c r="T2522" s="35"/>
      <c r="U2522" s="35"/>
      <c r="V2522" s="29"/>
      <c r="W2522" s="35"/>
      <c r="X2522" s="29"/>
      <c r="Y2522" s="36"/>
      <c r="Z2522" s="29"/>
      <c r="AA2522" s="31">
        <f t="shared" si="1"/>
        <v>44866</v>
      </c>
      <c r="AB2522" s="32" t="str">
        <f t="shared" si="5"/>
        <v>noviembre</v>
      </c>
    </row>
    <row r="2523" spans="1:28" ht="12.75">
      <c r="A2523" s="9" t="s">
        <v>233</v>
      </c>
      <c r="B2523" s="10">
        <v>44866</v>
      </c>
      <c r="C2523" s="11">
        <v>44869</v>
      </c>
      <c r="D2523" s="42">
        <v>44</v>
      </c>
      <c r="E2523" s="13" t="s">
        <v>2969</v>
      </c>
      <c r="F2523" s="13">
        <v>3025457</v>
      </c>
      <c r="G2523" s="14">
        <v>27064</v>
      </c>
      <c r="H2523" s="33">
        <f>8845.62-8750</f>
        <v>95.6200000000008</v>
      </c>
      <c r="I2523" s="16">
        <f t="shared" si="374"/>
        <v>2587859.6800000216</v>
      </c>
      <c r="J2523" s="17">
        <v>0</v>
      </c>
      <c r="K2523" s="34">
        <v>4502438753</v>
      </c>
      <c r="L2523" s="126">
        <v>5084399135</v>
      </c>
      <c r="M2523" s="20">
        <v>5113709691</v>
      </c>
      <c r="N2523" s="128"/>
      <c r="O2523" s="9"/>
      <c r="P2523" s="23"/>
      <c r="Q2523" s="24" t="s">
        <v>31</v>
      </c>
      <c r="R2523" s="25">
        <v>44866</v>
      </c>
      <c r="S2523" s="28"/>
      <c r="T2523" s="35"/>
      <c r="U2523" s="35"/>
      <c r="V2523" s="29"/>
      <c r="W2523" s="35"/>
      <c r="X2523" s="29"/>
      <c r="Y2523" s="36"/>
      <c r="Z2523" s="29"/>
      <c r="AA2523" s="31">
        <f t="shared" si="1"/>
        <v>44866</v>
      </c>
      <c r="AB2523" s="32" t="str">
        <f t="shared" si="5"/>
        <v>noviembre</v>
      </c>
    </row>
    <row r="2524" spans="1:28" ht="12.75">
      <c r="A2524" s="9" t="s">
        <v>80</v>
      </c>
      <c r="B2524" s="10">
        <v>44866</v>
      </c>
      <c r="C2524" s="11">
        <v>44869</v>
      </c>
      <c r="D2524" s="42">
        <v>44</v>
      </c>
      <c r="E2524" s="13" t="s">
        <v>2970</v>
      </c>
      <c r="F2524" s="13">
        <v>3025459</v>
      </c>
      <c r="G2524" s="14">
        <v>20288</v>
      </c>
      <c r="H2524" s="15">
        <v>8400</v>
      </c>
      <c r="I2524" s="16">
        <f t="shared" si="374"/>
        <v>170419200</v>
      </c>
      <c r="J2524" s="17">
        <v>42</v>
      </c>
      <c r="K2524" s="34">
        <v>4502443410</v>
      </c>
      <c r="L2524" s="126">
        <v>5084493090</v>
      </c>
      <c r="M2524" s="20">
        <v>5113713109</v>
      </c>
      <c r="N2524" s="128" t="s">
        <v>37</v>
      </c>
      <c r="O2524" s="88" t="s">
        <v>272</v>
      </c>
      <c r="P2524" s="23"/>
      <c r="Q2524" s="24" t="s">
        <v>31</v>
      </c>
      <c r="R2524" s="25">
        <v>44866</v>
      </c>
      <c r="S2524" s="28">
        <v>4902375245</v>
      </c>
      <c r="T2524" s="28">
        <f>1793900*3</f>
        <v>5381700</v>
      </c>
      <c r="U2524" s="28" t="s">
        <v>2971</v>
      </c>
      <c r="V2524" s="29">
        <v>5113728258</v>
      </c>
      <c r="W2524" s="35"/>
      <c r="X2524" s="29"/>
      <c r="Y2524" s="36"/>
      <c r="Z2524" s="29"/>
      <c r="AA2524" s="31">
        <f t="shared" si="1"/>
        <v>44866</v>
      </c>
      <c r="AB2524" s="32" t="str">
        <f t="shared" si="5"/>
        <v>noviembre</v>
      </c>
    </row>
    <row r="2525" spans="1:28" ht="12.75">
      <c r="A2525" s="9" t="s">
        <v>80</v>
      </c>
      <c r="B2525" s="10">
        <v>44866</v>
      </c>
      <c r="C2525" s="11">
        <v>44869</v>
      </c>
      <c r="D2525" s="42">
        <v>44</v>
      </c>
      <c r="E2525" s="13">
        <v>6</v>
      </c>
      <c r="F2525" s="13">
        <v>3025459</v>
      </c>
      <c r="G2525" s="14">
        <v>20288</v>
      </c>
      <c r="H2525" s="54">
        <v>24</v>
      </c>
      <c r="I2525" s="16">
        <f t="shared" si="374"/>
        <v>486912</v>
      </c>
      <c r="J2525" s="17">
        <v>0</v>
      </c>
      <c r="K2525" s="34">
        <v>4502443410</v>
      </c>
      <c r="L2525" s="126">
        <v>5084493090</v>
      </c>
      <c r="M2525" s="20">
        <v>5113713110</v>
      </c>
      <c r="N2525" s="128"/>
      <c r="O2525" s="88"/>
      <c r="P2525" s="23"/>
      <c r="Q2525" s="24" t="s">
        <v>31</v>
      </c>
      <c r="R2525" s="25">
        <v>44866</v>
      </c>
      <c r="S2525" s="28"/>
      <c r="T2525" s="28"/>
      <c r="U2525" s="28"/>
      <c r="V2525" s="29"/>
      <c r="W2525" s="35"/>
      <c r="X2525" s="29"/>
      <c r="Y2525" s="36"/>
      <c r="Z2525" s="29"/>
      <c r="AA2525" s="31">
        <f t="shared" si="1"/>
        <v>44866</v>
      </c>
      <c r="AB2525" s="32" t="str">
        <f t="shared" si="5"/>
        <v>noviembre</v>
      </c>
    </row>
    <row r="2526" spans="1:28" ht="12.75">
      <c r="A2526" s="9" t="s">
        <v>58</v>
      </c>
      <c r="B2526" s="10">
        <v>44876</v>
      </c>
      <c r="C2526" s="11">
        <v>44876</v>
      </c>
      <c r="D2526" s="42">
        <v>44</v>
      </c>
      <c r="E2526" s="13" t="s">
        <v>2972</v>
      </c>
      <c r="F2526" s="13">
        <v>3025459</v>
      </c>
      <c r="G2526" s="14">
        <v>14701</v>
      </c>
      <c r="H2526" s="33">
        <v>9100</v>
      </c>
      <c r="I2526" s="16">
        <f t="shared" si="374"/>
        <v>133779100</v>
      </c>
      <c r="J2526" s="17">
        <v>30</v>
      </c>
      <c r="K2526" s="34">
        <v>4502438754</v>
      </c>
      <c r="L2526" s="126">
        <v>5084399136</v>
      </c>
      <c r="M2526" s="20">
        <v>5113722420</v>
      </c>
      <c r="N2526" s="128"/>
      <c r="O2526" s="9" t="s">
        <v>37</v>
      </c>
      <c r="P2526" s="88"/>
      <c r="Q2526" s="24" t="s">
        <v>31</v>
      </c>
      <c r="R2526" s="25">
        <v>44866</v>
      </c>
      <c r="S2526" s="28"/>
      <c r="T2526" s="35"/>
      <c r="U2526" s="35"/>
      <c r="V2526" s="29"/>
      <c r="W2526" s="35"/>
      <c r="X2526" s="29"/>
      <c r="Y2526" s="36"/>
      <c r="Z2526" s="29"/>
      <c r="AA2526" s="31">
        <f t="shared" si="1"/>
        <v>44866</v>
      </c>
      <c r="AB2526" s="32" t="str">
        <f t="shared" si="5"/>
        <v>noviembre</v>
      </c>
    </row>
    <row r="2527" spans="1:28" ht="12.75">
      <c r="A2527" s="9" t="s">
        <v>58</v>
      </c>
      <c r="B2527" s="10">
        <v>44876</v>
      </c>
      <c r="C2527" s="11">
        <v>44876</v>
      </c>
      <c r="D2527" s="42">
        <v>44</v>
      </c>
      <c r="E2527" s="13" t="s">
        <v>782</v>
      </c>
      <c r="F2527" s="13">
        <v>3025459</v>
      </c>
      <c r="G2527" s="14">
        <v>14701</v>
      </c>
      <c r="H2527" s="33">
        <v>100</v>
      </c>
      <c r="I2527" s="16">
        <f>-H2527*G2527</f>
        <v>-1470100</v>
      </c>
      <c r="J2527" s="17">
        <v>0</v>
      </c>
      <c r="K2527" s="34">
        <v>4502438754</v>
      </c>
      <c r="L2527" s="126">
        <v>5084399136</v>
      </c>
      <c r="M2527" s="20">
        <v>5113722426</v>
      </c>
      <c r="N2527" s="128"/>
      <c r="O2527" s="88"/>
      <c r="P2527" s="88"/>
      <c r="Q2527" s="24" t="s">
        <v>31</v>
      </c>
      <c r="R2527" s="25">
        <v>44866</v>
      </c>
      <c r="S2527" s="28"/>
      <c r="T2527" s="35"/>
      <c r="U2527" s="35"/>
      <c r="V2527" s="29"/>
      <c r="W2527" s="35"/>
      <c r="X2527" s="29"/>
      <c r="Y2527" s="36"/>
      <c r="Z2527" s="29"/>
      <c r="AA2527" s="31">
        <f t="shared" si="1"/>
        <v>44866</v>
      </c>
      <c r="AB2527" s="32" t="str">
        <f t="shared" si="5"/>
        <v>noviembre</v>
      </c>
    </row>
    <row r="2528" spans="1:28" ht="12.75">
      <c r="A2528" s="9" t="s">
        <v>2973</v>
      </c>
      <c r="B2528" s="10">
        <v>44869</v>
      </c>
      <c r="C2528" s="11">
        <v>44875</v>
      </c>
      <c r="D2528" s="49">
        <v>45</v>
      </c>
      <c r="E2528" s="13" t="s">
        <v>2974</v>
      </c>
      <c r="F2528" s="13">
        <v>3025457</v>
      </c>
      <c r="G2528" s="14">
        <v>6490</v>
      </c>
      <c r="H2528" s="33">
        <v>8700</v>
      </c>
      <c r="I2528" s="16">
        <f t="shared" ref="I2528:I2531" si="375">H2528*G2528</f>
        <v>56463000</v>
      </c>
      <c r="J2528" s="17">
        <v>14</v>
      </c>
      <c r="K2528" s="34">
        <v>4502443806</v>
      </c>
      <c r="L2528" s="126">
        <v>5084458571</v>
      </c>
      <c r="M2528" s="20">
        <v>5113722158</v>
      </c>
      <c r="N2528" s="128"/>
      <c r="O2528" s="154" t="s">
        <v>313</v>
      </c>
      <c r="P2528" s="9"/>
      <c r="Q2528" s="24" t="s">
        <v>31</v>
      </c>
      <c r="R2528" s="25">
        <v>44869</v>
      </c>
      <c r="S2528" s="28"/>
      <c r="T2528" s="35"/>
      <c r="U2528" s="35"/>
      <c r="V2528" s="29"/>
      <c r="W2528" s="35"/>
      <c r="X2528" s="29"/>
      <c r="Y2528" s="36"/>
      <c r="Z2528" s="29"/>
      <c r="AA2528" s="31">
        <f t="shared" si="1"/>
        <v>44869</v>
      </c>
      <c r="AB2528" s="32" t="str">
        <f t="shared" si="5"/>
        <v>noviembre</v>
      </c>
    </row>
    <row r="2529" spans="1:28" ht="12.75">
      <c r="A2529" s="22" t="s">
        <v>404</v>
      </c>
      <c r="B2529" s="10">
        <v>44872</v>
      </c>
      <c r="C2529" s="11">
        <v>44873</v>
      </c>
      <c r="D2529" s="49">
        <v>45</v>
      </c>
      <c r="E2529" s="13" t="s">
        <v>2975</v>
      </c>
      <c r="F2529" s="13">
        <v>3025457</v>
      </c>
      <c r="G2529" s="37">
        <v>13822.5</v>
      </c>
      <c r="H2529" s="33">
        <v>9100</v>
      </c>
      <c r="I2529" s="16">
        <f t="shared" si="375"/>
        <v>125784750</v>
      </c>
      <c r="J2529" s="17">
        <v>28</v>
      </c>
      <c r="K2529" s="34">
        <v>4502443807</v>
      </c>
      <c r="L2529" s="126">
        <v>5084458572</v>
      </c>
      <c r="M2529" s="20">
        <v>5113712496</v>
      </c>
      <c r="N2529" s="128"/>
      <c r="O2529" s="9" t="s">
        <v>37</v>
      </c>
      <c r="P2529" s="23"/>
      <c r="Q2529" s="24" t="s">
        <v>31</v>
      </c>
      <c r="R2529" s="25">
        <v>44869</v>
      </c>
      <c r="S2529" s="28"/>
      <c r="T2529" s="35"/>
      <c r="U2529" s="35"/>
      <c r="V2529" s="29"/>
      <c r="W2529" s="35"/>
      <c r="X2529" s="29"/>
      <c r="Y2529" s="36"/>
      <c r="Z2529" s="29"/>
      <c r="AA2529" s="31">
        <f t="shared" si="1"/>
        <v>44869</v>
      </c>
      <c r="AB2529" s="32" t="str">
        <f t="shared" si="5"/>
        <v>noviembre</v>
      </c>
    </row>
    <row r="2530" spans="1:28" ht="12.75">
      <c r="A2530" s="22" t="s">
        <v>404</v>
      </c>
      <c r="B2530" s="10">
        <v>44873</v>
      </c>
      <c r="C2530" s="11">
        <v>44873</v>
      </c>
      <c r="D2530" s="49">
        <v>45</v>
      </c>
      <c r="E2530" s="13" t="s">
        <v>579</v>
      </c>
      <c r="F2530" s="13">
        <v>3025457</v>
      </c>
      <c r="G2530" s="37">
        <v>13822.5</v>
      </c>
      <c r="H2530" s="33">
        <v>11.9</v>
      </c>
      <c r="I2530" s="16">
        <f t="shared" si="375"/>
        <v>164487.75</v>
      </c>
      <c r="J2530" s="17">
        <v>0</v>
      </c>
      <c r="K2530" s="34">
        <v>4502443807</v>
      </c>
      <c r="L2530" s="126">
        <v>5084458572</v>
      </c>
      <c r="M2530" s="20">
        <v>5113712528</v>
      </c>
      <c r="N2530" s="128"/>
      <c r="O2530" s="9"/>
      <c r="P2530" s="23"/>
      <c r="Q2530" s="24" t="s">
        <v>31</v>
      </c>
      <c r="R2530" s="25">
        <v>44869</v>
      </c>
      <c r="S2530" s="28"/>
      <c r="T2530" s="35"/>
      <c r="U2530" s="35"/>
      <c r="V2530" s="29"/>
      <c r="W2530" s="35"/>
      <c r="X2530" s="29"/>
      <c r="Y2530" s="36"/>
      <c r="Z2530" s="29"/>
      <c r="AA2530" s="31">
        <f t="shared" si="1"/>
        <v>44869</v>
      </c>
      <c r="AB2530" s="32" t="str">
        <f t="shared" si="5"/>
        <v>noviembre</v>
      </c>
    </row>
    <row r="2531" spans="1:28" ht="12.75">
      <c r="A2531" s="22" t="s">
        <v>404</v>
      </c>
      <c r="B2531" s="10">
        <v>44872</v>
      </c>
      <c r="C2531" s="11">
        <v>44873</v>
      </c>
      <c r="D2531" s="49">
        <v>45</v>
      </c>
      <c r="E2531" s="13" t="s">
        <v>2976</v>
      </c>
      <c r="F2531" s="13">
        <v>3025457</v>
      </c>
      <c r="G2531" s="37">
        <v>26798.5</v>
      </c>
      <c r="H2531" s="33">
        <v>9100</v>
      </c>
      <c r="I2531" s="16">
        <f t="shared" si="375"/>
        <v>243866350</v>
      </c>
      <c r="J2531" s="17">
        <v>59</v>
      </c>
      <c r="K2531" s="34">
        <v>4502443807</v>
      </c>
      <c r="L2531" s="126">
        <v>5084458572</v>
      </c>
      <c r="M2531" s="20">
        <v>5113712529</v>
      </c>
      <c r="N2531" s="128"/>
      <c r="O2531" s="9" t="s">
        <v>37</v>
      </c>
      <c r="P2531" s="23"/>
      <c r="Q2531" s="24" t="s">
        <v>31</v>
      </c>
      <c r="R2531" s="25">
        <v>44869</v>
      </c>
      <c r="S2531" s="28"/>
      <c r="T2531" s="35"/>
      <c r="U2531" s="35"/>
      <c r="V2531" s="29"/>
      <c r="W2531" s="35"/>
      <c r="X2531" s="29"/>
      <c r="Y2531" s="36"/>
      <c r="Z2531" s="29"/>
      <c r="AA2531" s="31">
        <f t="shared" si="1"/>
        <v>44869</v>
      </c>
      <c r="AB2531" s="32" t="str">
        <f t="shared" si="5"/>
        <v>noviembre</v>
      </c>
    </row>
    <row r="2532" spans="1:28" ht="12.75">
      <c r="A2532" s="22" t="s">
        <v>404</v>
      </c>
      <c r="B2532" s="10">
        <v>44873</v>
      </c>
      <c r="C2532" s="11">
        <v>44873</v>
      </c>
      <c r="D2532" s="49">
        <v>45</v>
      </c>
      <c r="E2532" s="13" t="s">
        <v>794</v>
      </c>
      <c r="F2532" s="13">
        <v>3025457</v>
      </c>
      <c r="G2532" s="37">
        <v>26798.5</v>
      </c>
      <c r="H2532" s="33">
        <f>9100-8983.92</f>
        <v>116.07999999999993</v>
      </c>
      <c r="I2532" s="16">
        <f>-H2532*G2532</f>
        <v>-3110769.879999998</v>
      </c>
      <c r="J2532" s="17">
        <v>0</v>
      </c>
      <c r="K2532" s="34">
        <v>4502443807</v>
      </c>
      <c r="L2532" s="126">
        <v>5084458572</v>
      </c>
      <c r="M2532" s="20">
        <v>5113712531</v>
      </c>
      <c r="N2532" s="128"/>
      <c r="O2532" s="9"/>
      <c r="P2532" s="23"/>
      <c r="Q2532" s="24" t="s">
        <v>31</v>
      </c>
      <c r="R2532" s="25">
        <v>44869</v>
      </c>
      <c r="S2532" s="28"/>
      <c r="T2532" s="35"/>
      <c r="U2532" s="35"/>
      <c r="V2532" s="29"/>
      <c r="W2532" s="35"/>
      <c r="X2532" s="29"/>
      <c r="Y2532" s="36"/>
      <c r="Z2532" s="29"/>
      <c r="AA2532" s="31">
        <f t="shared" si="1"/>
        <v>44869</v>
      </c>
      <c r="AB2532" s="32" t="str">
        <f t="shared" si="5"/>
        <v>noviembre</v>
      </c>
    </row>
    <row r="2533" spans="1:28" ht="12.75">
      <c r="A2533" s="9" t="s">
        <v>896</v>
      </c>
      <c r="B2533" s="10">
        <v>44874</v>
      </c>
      <c r="C2533" s="11">
        <v>44874</v>
      </c>
      <c r="D2533" s="49">
        <v>45</v>
      </c>
      <c r="E2533" s="13" t="s">
        <v>2977</v>
      </c>
      <c r="F2533" s="13">
        <v>3025457</v>
      </c>
      <c r="G2533" s="14">
        <v>20194</v>
      </c>
      <c r="H2533" s="33">
        <v>8700</v>
      </c>
      <c r="I2533" s="16">
        <f t="shared" ref="I2533:I2534" si="376">H2533*G2533</f>
        <v>175687800</v>
      </c>
      <c r="J2533" s="17">
        <v>42</v>
      </c>
      <c r="K2533" s="34">
        <v>4502443808</v>
      </c>
      <c r="L2533" s="126">
        <v>5084458573</v>
      </c>
      <c r="M2533" s="20">
        <v>5113714768</v>
      </c>
      <c r="N2533" s="128"/>
      <c r="O2533" s="9" t="s">
        <v>37</v>
      </c>
      <c r="P2533" s="23"/>
      <c r="Q2533" s="24" t="s">
        <v>31</v>
      </c>
      <c r="R2533" s="25">
        <v>44869</v>
      </c>
      <c r="S2533" s="28"/>
      <c r="T2533" s="35"/>
      <c r="U2533" s="35"/>
      <c r="V2533" s="29"/>
      <c r="W2533" s="35"/>
      <c r="X2533" s="29"/>
      <c r="Y2533" s="36"/>
      <c r="Z2533" s="29"/>
      <c r="AA2533" s="31">
        <f t="shared" si="1"/>
        <v>44869</v>
      </c>
      <c r="AB2533" s="32" t="str">
        <f t="shared" si="5"/>
        <v>noviembre</v>
      </c>
    </row>
    <row r="2534" spans="1:28" ht="12.75">
      <c r="A2534" s="9" t="s">
        <v>209</v>
      </c>
      <c r="B2534" s="10">
        <v>44873</v>
      </c>
      <c r="C2534" s="11">
        <v>44873</v>
      </c>
      <c r="D2534" s="49">
        <v>45</v>
      </c>
      <c r="E2534" s="13" t="s">
        <v>2978</v>
      </c>
      <c r="F2534" s="13">
        <v>3025457</v>
      </c>
      <c r="G2534" s="37">
        <v>7151.5</v>
      </c>
      <c r="H2534" s="33">
        <v>8700</v>
      </c>
      <c r="I2534" s="16">
        <f t="shared" si="376"/>
        <v>62218050</v>
      </c>
      <c r="J2534" s="17">
        <v>15</v>
      </c>
      <c r="K2534" s="34">
        <v>4502443810</v>
      </c>
      <c r="L2534" s="126">
        <v>5084458574</v>
      </c>
      <c r="M2534" s="20">
        <v>5113712536</v>
      </c>
      <c r="N2534" s="128"/>
      <c r="O2534" s="23" t="s">
        <v>313</v>
      </c>
      <c r="P2534" s="23"/>
      <c r="Q2534" s="24" t="s">
        <v>31</v>
      </c>
      <c r="R2534" s="25">
        <v>44869</v>
      </c>
      <c r="S2534" s="28"/>
      <c r="T2534" s="35"/>
      <c r="U2534" s="35"/>
      <c r="V2534" s="29"/>
      <c r="W2534" s="35"/>
      <c r="X2534" s="29"/>
      <c r="Y2534" s="36"/>
      <c r="Z2534" s="29"/>
      <c r="AA2534" s="31">
        <f t="shared" si="1"/>
        <v>44869</v>
      </c>
      <c r="AB2534" s="32" t="str">
        <f t="shared" si="5"/>
        <v>noviembre</v>
      </c>
    </row>
    <row r="2535" spans="1:28" ht="12.75">
      <c r="A2535" s="9" t="s">
        <v>209</v>
      </c>
      <c r="B2535" s="10">
        <v>44873</v>
      </c>
      <c r="C2535" s="11">
        <v>44873</v>
      </c>
      <c r="D2535" s="49">
        <v>45</v>
      </c>
      <c r="E2535" s="13" t="s">
        <v>2979</v>
      </c>
      <c r="F2535" s="13">
        <v>3025457</v>
      </c>
      <c r="G2535" s="37">
        <v>7151.5</v>
      </c>
      <c r="H2535" s="33">
        <f>8700-8660.99</f>
        <v>39.010000000000218</v>
      </c>
      <c r="I2535" s="16">
        <f>-H2535*G2535</f>
        <v>-278980.01500000159</v>
      </c>
      <c r="J2535" s="17">
        <v>0</v>
      </c>
      <c r="K2535" s="34">
        <v>4502443810</v>
      </c>
      <c r="L2535" s="126">
        <v>5084458574</v>
      </c>
      <c r="M2535" s="20">
        <v>5113712617</v>
      </c>
      <c r="N2535" s="128"/>
      <c r="O2535" s="88"/>
      <c r="P2535" s="23"/>
      <c r="Q2535" s="24" t="s">
        <v>31</v>
      </c>
      <c r="R2535" s="25">
        <v>44869</v>
      </c>
      <c r="S2535" s="28"/>
      <c r="T2535" s="35"/>
      <c r="U2535" s="35"/>
      <c r="V2535" s="29"/>
      <c r="W2535" s="35"/>
      <c r="X2535" s="29"/>
      <c r="Y2535" s="36"/>
      <c r="Z2535" s="29"/>
      <c r="AA2535" s="31">
        <f t="shared" si="1"/>
        <v>44869</v>
      </c>
      <c r="AB2535" s="32" t="str">
        <f t="shared" si="5"/>
        <v>noviembre</v>
      </c>
    </row>
    <row r="2536" spans="1:28" ht="12.75">
      <c r="A2536" s="9" t="s">
        <v>168</v>
      </c>
      <c r="B2536" s="10">
        <v>44873</v>
      </c>
      <c r="C2536" s="11">
        <v>44873</v>
      </c>
      <c r="D2536" s="49">
        <v>45</v>
      </c>
      <c r="E2536" s="13" t="s">
        <v>2980</v>
      </c>
      <c r="F2536" s="13">
        <v>3025459</v>
      </c>
      <c r="G2536" s="37">
        <v>13989.5</v>
      </c>
      <c r="H2536" s="33">
        <v>9100</v>
      </c>
      <c r="I2536" s="16">
        <f t="shared" ref="I2536:I2550" si="377">H2536*G2536</f>
        <v>127304450</v>
      </c>
      <c r="J2536" s="17">
        <v>28</v>
      </c>
      <c r="K2536" s="34">
        <v>4502443811</v>
      </c>
      <c r="L2536" s="126">
        <v>5084458575</v>
      </c>
      <c r="M2536" s="20">
        <v>5113711953</v>
      </c>
      <c r="N2536" s="128"/>
      <c r="O2536" s="9" t="s">
        <v>63</v>
      </c>
      <c r="P2536" s="23"/>
      <c r="Q2536" s="24" t="s">
        <v>31</v>
      </c>
      <c r="R2536" s="25">
        <v>44869</v>
      </c>
      <c r="S2536" s="28"/>
      <c r="T2536" s="35"/>
      <c r="U2536" s="35"/>
      <c r="V2536" s="29"/>
      <c r="W2536" s="35"/>
      <c r="X2536" s="29"/>
      <c r="Y2536" s="36"/>
      <c r="Z2536" s="29"/>
      <c r="AA2536" s="31">
        <f t="shared" si="1"/>
        <v>44869</v>
      </c>
      <c r="AB2536" s="32" t="str">
        <f t="shared" si="5"/>
        <v>noviembre</v>
      </c>
    </row>
    <row r="2537" spans="1:28" ht="12.75">
      <c r="A2537" s="9" t="s">
        <v>168</v>
      </c>
      <c r="B2537" s="10">
        <v>44873</v>
      </c>
      <c r="C2537" s="11">
        <v>44873</v>
      </c>
      <c r="D2537" s="49">
        <v>45</v>
      </c>
      <c r="E2537" s="13" t="s">
        <v>772</v>
      </c>
      <c r="F2537" s="13">
        <v>3025459</v>
      </c>
      <c r="G2537" s="37">
        <v>13989.5</v>
      </c>
      <c r="H2537" s="33">
        <v>50</v>
      </c>
      <c r="I2537" s="16">
        <f t="shared" si="377"/>
        <v>699475</v>
      </c>
      <c r="J2537" s="17">
        <v>0</v>
      </c>
      <c r="K2537" s="34">
        <v>4502443811</v>
      </c>
      <c r="L2537" s="126">
        <v>5084458575</v>
      </c>
      <c r="M2537" s="20">
        <v>5113711954</v>
      </c>
      <c r="N2537" s="128"/>
      <c r="O2537" s="9"/>
      <c r="P2537" s="23"/>
      <c r="Q2537" s="24" t="s">
        <v>31</v>
      </c>
      <c r="R2537" s="25">
        <v>44869</v>
      </c>
      <c r="S2537" s="28"/>
      <c r="T2537" s="35"/>
      <c r="U2537" s="35"/>
      <c r="V2537" s="29"/>
      <c r="W2537" s="35"/>
      <c r="X2537" s="29"/>
      <c r="Y2537" s="36"/>
      <c r="Z2537" s="29"/>
      <c r="AA2537" s="31">
        <f t="shared" si="1"/>
        <v>44869</v>
      </c>
      <c r="AB2537" s="32" t="str">
        <f t="shared" si="5"/>
        <v>noviembre</v>
      </c>
    </row>
    <row r="2538" spans="1:28" ht="12.75">
      <c r="A2538" s="9" t="s">
        <v>80</v>
      </c>
      <c r="B2538" s="10">
        <v>44869</v>
      </c>
      <c r="C2538" s="11">
        <v>44874</v>
      </c>
      <c r="D2538" s="49">
        <v>45</v>
      </c>
      <c r="E2538" s="13" t="s">
        <v>2981</v>
      </c>
      <c r="F2538" s="13">
        <v>3025460</v>
      </c>
      <c r="G2538" s="14">
        <v>39787</v>
      </c>
      <c r="H2538" s="57">
        <v>8700</v>
      </c>
      <c r="I2538" s="16">
        <f t="shared" si="377"/>
        <v>346146900</v>
      </c>
      <c r="J2538" s="17">
        <v>84</v>
      </c>
      <c r="K2538" s="34">
        <v>4502447749</v>
      </c>
      <c r="L2538" s="126">
        <v>5084492785</v>
      </c>
      <c r="M2538" s="20">
        <v>5113721868</v>
      </c>
      <c r="N2538" s="128" t="s">
        <v>37</v>
      </c>
      <c r="O2538" s="88"/>
      <c r="P2538" s="9"/>
      <c r="Q2538" s="24" t="s">
        <v>82</v>
      </c>
      <c r="R2538" s="25">
        <v>44869</v>
      </c>
      <c r="S2538" s="28"/>
      <c r="T2538" s="35"/>
      <c r="U2538" s="35"/>
      <c r="V2538" s="29"/>
      <c r="W2538" s="35"/>
      <c r="X2538" s="29"/>
      <c r="Y2538" s="36"/>
      <c r="Z2538" s="29"/>
      <c r="AA2538" s="31">
        <f t="shared" si="1"/>
        <v>44869</v>
      </c>
      <c r="AB2538" s="32" t="str">
        <f t="shared" si="5"/>
        <v>noviembre</v>
      </c>
    </row>
    <row r="2539" spans="1:28" ht="12.75">
      <c r="A2539" s="9" t="s">
        <v>80</v>
      </c>
      <c r="B2539" s="10">
        <v>44869</v>
      </c>
      <c r="C2539" s="11">
        <v>44874</v>
      </c>
      <c r="D2539" s="49">
        <v>45</v>
      </c>
      <c r="E2539" s="13">
        <v>7</v>
      </c>
      <c r="F2539" s="13">
        <v>3025460</v>
      </c>
      <c r="G2539" s="14">
        <v>39787</v>
      </c>
      <c r="H2539" s="57">
        <v>24</v>
      </c>
      <c r="I2539" s="16">
        <f t="shared" si="377"/>
        <v>954888</v>
      </c>
      <c r="J2539" s="17">
        <v>0</v>
      </c>
      <c r="K2539" s="34">
        <v>4502447749</v>
      </c>
      <c r="L2539" s="126">
        <v>5084492785</v>
      </c>
      <c r="M2539" s="20">
        <v>5113721870</v>
      </c>
      <c r="N2539" s="128"/>
      <c r="O2539" s="88"/>
      <c r="P2539" s="9"/>
      <c r="Q2539" s="24" t="s">
        <v>82</v>
      </c>
      <c r="R2539" s="25">
        <v>44869</v>
      </c>
      <c r="S2539" s="28"/>
      <c r="T2539" s="35"/>
      <c r="U2539" s="35"/>
      <c r="V2539" s="29"/>
      <c r="W2539" s="35"/>
      <c r="X2539" s="29"/>
      <c r="Y2539" s="36"/>
      <c r="Z2539" s="29"/>
      <c r="AA2539" s="31">
        <f t="shared" si="1"/>
        <v>44869</v>
      </c>
      <c r="AB2539" s="32" t="str">
        <f t="shared" si="5"/>
        <v>noviembre</v>
      </c>
    </row>
    <row r="2540" spans="1:28" ht="12.75">
      <c r="A2540" s="9" t="s">
        <v>1120</v>
      </c>
      <c r="B2540" s="10">
        <v>44881</v>
      </c>
      <c r="C2540" s="11"/>
      <c r="D2540" s="49">
        <v>45</v>
      </c>
      <c r="E2540" s="13" t="s">
        <v>2982</v>
      </c>
      <c r="F2540" s="13">
        <v>3025460</v>
      </c>
      <c r="G2540" s="14">
        <v>6497</v>
      </c>
      <c r="H2540" s="57">
        <v>8700</v>
      </c>
      <c r="I2540" s="16">
        <f t="shared" si="377"/>
        <v>56523900</v>
      </c>
      <c r="J2540" s="17">
        <v>14</v>
      </c>
      <c r="K2540" s="34">
        <v>4502447757</v>
      </c>
      <c r="L2540" s="126">
        <v>5084492930</v>
      </c>
      <c r="M2540" s="20">
        <v>5113728738</v>
      </c>
      <c r="N2540" s="128"/>
      <c r="O2540" s="9" t="s">
        <v>63</v>
      </c>
      <c r="P2540" s="9"/>
      <c r="Q2540" s="24" t="s">
        <v>82</v>
      </c>
      <c r="R2540" s="25">
        <v>44869</v>
      </c>
      <c r="S2540" s="28"/>
      <c r="T2540" s="35"/>
      <c r="U2540" s="35"/>
      <c r="V2540" s="29"/>
      <c r="W2540" s="35"/>
      <c r="X2540" s="29"/>
      <c r="Y2540" s="36"/>
      <c r="Z2540" s="29"/>
      <c r="AA2540" s="31">
        <f t="shared" si="1"/>
        <v>44869</v>
      </c>
      <c r="AB2540" s="32" t="str">
        <f t="shared" si="5"/>
        <v>noviembre</v>
      </c>
    </row>
    <row r="2541" spans="1:28" ht="12.75">
      <c r="A2541" s="9" t="s">
        <v>83</v>
      </c>
      <c r="B2541" s="10">
        <v>44869</v>
      </c>
      <c r="C2541" s="11">
        <v>44874</v>
      </c>
      <c r="D2541" s="49">
        <v>45</v>
      </c>
      <c r="E2541" s="13" t="s">
        <v>2983</v>
      </c>
      <c r="F2541" s="13">
        <v>3025460</v>
      </c>
      <c r="G2541" s="14">
        <v>26144</v>
      </c>
      <c r="H2541" s="57">
        <v>8750</v>
      </c>
      <c r="I2541" s="16">
        <f t="shared" si="377"/>
        <v>228760000</v>
      </c>
      <c r="J2541" s="17">
        <v>56</v>
      </c>
      <c r="K2541" s="34">
        <v>4502447764</v>
      </c>
      <c r="L2541" s="126">
        <v>5084492936</v>
      </c>
      <c r="M2541" s="20">
        <v>5113714772</v>
      </c>
      <c r="N2541" s="128"/>
      <c r="O2541" s="22" t="s">
        <v>37</v>
      </c>
      <c r="P2541" s="23"/>
      <c r="Q2541" s="24" t="s">
        <v>82</v>
      </c>
      <c r="R2541" s="25">
        <v>44869</v>
      </c>
      <c r="S2541" s="28"/>
      <c r="T2541" s="35"/>
      <c r="U2541" s="35"/>
      <c r="V2541" s="29"/>
      <c r="W2541" s="35"/>
      <c r="X2541" s="29"/>
      <c r="Y2541" s="36"/>
      <c r="Z2541" s="29"/>
      <c r="AA2541" s="31">
        <f t="shared" si="1"/>
        <v>44869</v>
      </c>
      <c r="AB2541" s="32" t="str">
        <f t="shared" si="5"/>
        <v>noviembre</v>
      </c>
    </row>
    <row r="2542" spans="1:28" ht="12.75">
      <c r="A2542" s="9" t="s">
        <v>196</v>
      </c>
      <c r="B2542" s="10">
        <v>44869</v>
      </c>
      <c r="C2542" s="11"/>
      <c r="D2542" s="49">
        <v>45</v>
      </c>
      <c r="E2542" s="13" t="s">
        <v>2984</v>
      </c>
      <c r="F2542" s="13">
        <v>3025460</v>
      </c>
      <c r="G2542" s="14">
        <v>27079</v>
      </c>
      <c r="H2542" s="57">
        <v>8700</v>
      </c>
      <c r="I2542" s="16">
        <f t="shared" si="377"/>
        <v>235587300</v>
      </c>
      <c r="J2542" s="17">
        <v>56</v>
      </c>
      <c r="K2542" s="34">
        <v>4502447771</v>
      </c>
      <c r="L2542" s="126">
        <v>5084493011</v>
      </c>
      <c r="M2542" s="20">
        <v>5113713767</v>
      </c>
      <c r="N2542" s="128"/>
      <c r="O2542" s="23" t="s">
        <v>63</v>
      </c>
      <c r="P2542" s="23"/>
      <c r="Q2542" s="24" t="s">
        <v>82</v>
      </c>
      <c r="R2542" s="25">
        <v>44869</v>
      </c>
      <c r="S2542" s="28"/>
      <c r="T2542" s="35"/>
      <c r="U2542" s="35"/>
      <c r="V2542" s="29"/>
      <c r="W2542" s="35"/>
      <c r="X2542" s="29"/>
      <c r="Y2542" s="36"/>
      <c r="Z2542" s="29"/>
      <c r="AA2542" s="31">
        <f t="shared" si="1"/>
        <v>44869</v>
      </c>
      <c r="AB2542" s="32" t="str">
        <f t="shared" si="5"/>
        <v>noviembre</v>
      </c>
    </row>
    <row r="2543" spans="1:28" ht="12.75">
      <c r="A2543" s="9" t="s">
        <v>85</v>
      </c>
      <c r="B2543" s="10">
        <v>44869</v>
      </c>
      <c r="C2543" s="11">
        <v>44874</v>
      </c>
      <c r="D2543" s="49">
        <v>45</v>
      </c>
      <c r="E2543" s="13" t="s">
        <v>2985</v>
      </c>
      <c r="F2543" s="13">
        <v>3025460</v>
      </c>
      <c r="G2543" s="14">
        <v>26161</v>
      </c>
      <c r="H2543" s="57">
        <v>8700</v>
      </c>
      <c r="I2543" s="16">
        <f t="shared" si="377"/>
        <v>227600700</v>
      </c>
      <c r="J2543" s="17">
        <v>56</v>
      </c>
      <c r="K2543" s="34">
        <v>4502447776</v>
      </c>
      <c r="L2543" s="126">
        <v>5084493015</v>
      </c>
      <c r="M2543" s="20">
        <v>5113714773</v>
      </c>
      <c r="N2543" s="128"/>
      <c r="O2543" s="9" t="s">
        <v>63</v>
      </c>
      <c r="P2543" s="23"/>
      <c r="Q2543" s="24" t="s">
        <v>82</v>
      </c>
      <c r="R2543" s="25">
        <v>44869</v>
      </c>
      <c r="S2543" s="28"/>
      <c r="T2543" s="35"/>
      <c r="U2543" s="35"/>
      <c r="V2543" s="29"/>
      <c r="W2543" s="35"/>
      <c r="X2543" s="29"/>
      <c r="Y2543" s="36"/>
      <c r="Z2543" s="29"/>
      <c r="AA2543" s="31">
        <f t="shared" si="1"/>
        <v>44869</v>
      </c>
      <c r="AB2543" s="32" t="str">
        <f t="shared" si="5"/>
        <v>noviembre</v>
      </c>
    </row>
    <row r="2544" spans="1:28" ht="12.75">
      <c r="A2544" s="9" t="s">
        <v>85</v>
      </c>
      <c r="B2544" s="10">
        <v>44869</v>
      </c>
      <c r="C2544" s="11">
        <v>44874</v>
      </c>
      <c r="D2544" s="49">
        <v>45</v>
      </c>
      <c r="E2544" s="13" t="s">
        <v>2986</v>
      </c>
      <c r="F2544" s="13">
        <v>3025460</v>
      </c>
      <c r="G2544" s="14">
        <v>26161</v>
      </c>
      <c r="H2544" s="57">
        <v>24</v>
      </c>
      <c r="I2544" s="16">
        <f t="shared" si="377"/>
        <v>627864</v>
      </c>
      <c r="J2544" s="17">
        <v>0</v>
      </c>
      <c r="K2544" s="34">
        <v>4502447776</v>
      </c>
      <c r="L2544" s="126">
        <v>5084493015</v>
      </c>
      <c r="M2544" s="20">
        <v>5113714774</v>
      </c>
      <c r="N2544" s="128"/>
      <c r="O2544" s="9"/>
      <c r="P2544" s="23"/>
      <c r="Q2544" s="24" t="s">
        <v>82</v>
      </c>
      <c r="R2544" s="25">
        <v>44869</v>
      </c>
      <c r="S2544" s="28"/>
      <c r="T2544" s="35"/>
      <c r="U2544" s="35"/>
      <c r="V2544" s="29"/>
      <c r="W2544" s="35"/>
      <c r="X2544" s="29"/>
      <c r="Y2544" s="36"/>
      <c r="Z2544" s="29"/>
      <c r="AA2544" s="31">
        <f t="shared" si="1"/>
        <v>44869</v>
      </c>
      <c r="AB2544" s="32" t="str">
        <f t="shared" si="5"/>
        <v>noviembre</v>
      </c>
    </row>
    <row r="2545" spans="1:28" ht="12.75">
      <c r="A2545" s="9" t="s">
        <v>199</v>
      </c>
      <c r="B2545" s="10">
        <v>44869</v>
      </c>
      <c r="C2545" s="11">
        <v>44875</v>
      </c>
      <c r="D2545" s="49">
        <v>45</v>
      </c>
      <c r="E2545" s="13" t="s">
        <v>2987</v>
      </c>
      <c r="F2545" s="13">
        <v>3025460</v>
      </c>
      <c r="G2545" s="14">
        <v>7906</v>
      </c>
      <c r="H2545" s="57">
        <v>8700</v>
      </c>
      <c r="I2545" s="16">
        <f t="shared" si="377"/>
        <v>68782200</v>
      </c>
      <c r="J2545" s="17">
        <v>14</v>
      </c>
      <c r="K2545" s="34">
        <v>4502447778</v>
      </c>
      <c r="L2545" s="126">
        <v>5084493017</v>
      </c>
      <c r="M2545" s="20">
        <v>5113716224</v>
      </c>
      <c r="N2545" s="128"/>
      <c r="O2545" s="23" t="s">
        <v>63</v>
      </c>
      <c r="P2545" s="23"/>
      <c r="Q2545" s="24" t="s">
        <v>82</v>
      </c>
      <c r="R2545" s="25">
        <v>44869</v>
      </c>
      <c r="S2545" s="28"/>
      <c r="T2545" s="35"/>
      <c r="U2545" s="35"/>
      <c r="V2545" s="29"/>
      <c r="W2545" s="35"/>
      <c r="X2545" s="29"/>
      <c r="Y2545" s="36"/>
      <c r="Z2545" s="29"/>
      <c r="AA2545" s="31">
        <f t="shared" si="1"/>
        <v>44869</v>
      </c>
      <c r="AB2545" s="32" t="str">
        <f t="shared" si="5"/>
        <v>noviembre</v>
      </c>
    </row>
    <row r="2546" spans="1:28" ht="12.75">
      <c r="A2546" s="22" t="s">
        <v>2675</v>
      </c>
      <c r="B2546" s="10">
        <v>44869</v>
      </c>
      <c r="C2546" s="11">
        <v>44874</v>
      </c>
      <c r="D2546" s="49">
        <v>45</v>
      </c>
      <c r="E2546" s="13" t="s">
        <v>2988</v>
      </c>
      <c r="F2546" s="13">
        <v>3025460</v>
      </c>
      <c r="G2546" s="14">
        <v>6543</v>
      </c>
      <c r="H2546" s="57">
        <v>8650</v>
      </c>
      <c r="I2546" s="16">
        <f t="shared" si="377"/>
        <v>56596950</v>
      </c>
      <c r="J2546" s="17">
        <v>14</v>
      </c>
      <c r="K2546" s="34">
        <v>4502447781</v>
      </c>
      <c r="L2546" s="126">
        <v>5084493258</v>
      </c>
      <c r="M2546" s="20">
        <v>5113715193</v>
      </c>
      <c r="N2546" s="128"/>
      <c r="O2546" s="9" t="s">
        <v>63</v>
      </c>
      <c r="P2546" s="23"/>
      <c r="Q2546" s="24" t="s">
        <v>82</v>
      </c>
      <c r="R2546" s="25">
        <v>44869</v>
      </c>
      <c r="S2546" s="28"/>
      <c r="T2546" s="35"/>
      <c r="U2546" s="35"/>
      <c r="V2546" s="29"/>
      <c r="W2546" s="35"/>
      <c r="X2546" s="29"/>
      <c r="Y2546" s="36"/>
      <c r="Z2546" s="29"/>
      <c r="AA2546" s="31">
        <f t="shared" si="1"/>
        <v>44869</v>
      </c>
      <c r="AB2546" s="32" t="str">
        <f t="shared" si="5"/>
        <v>noviembre</v>
      </c>
    </row>
    <row r="2547" spans="1:28" ht="12.75">
      <c r="A2547" s="9" t="s">
        <v>443</v>
      </c>
      <c r="B2547" s="10">
        <v>44869</v>
      </c>
      <c r="C2547" s="11"/>
      <c r="D2547" s="49">
        <v>45</v>
      </c>
      <c r="E2547" s="13" t="s">
        <v>2989</v>
      </c>
      <c r="F2547" s="13">
        <v>3025460</v>
      </c>
      <c r="G2547" s="14">
        <v>21305</v>
      </c>
      <c r="H2547" s="57">
        <v>8791.2800000000007</v>
      </c>
      <c r="I2547" s="16">
        <f t="shared" si="377"/>
        <v>187298220.40000001</v>
      </c>
      <c r="J2547" s="17">
        <v>39</v>
      </c>
      <c r="K2547" s="34">
        <v>4502447784</v>
      </c>
      <c r="L2547" s="126">
        <v>5084493262</v>
      </c>
      <c r="M2547" s="20">
        <v>5113717877</v>
      </c>
      <c r="N2547" s="128"/>
      <c r="O2547" s="9" t="s">
        <v>63</v>
      </c>
      <c r="P2547" s="23"/>
      <c r="Q2547" s="24" t="s">
        <v>82</v>
      </c>
      <c r="R2547" s="25">
        <v>44869</v>
      </c>
      <c r="S2547" s="28"/>
      <c r="T2547" s="35"/>
      <c r="U2547" s="35"/>
      <c r="V2547" s="29"/>
      <c r="W2547" s="35"/>
      <c r="X2547" s="29"/>
      <c r="Y2547" s="36"/>
      <c r="Z2547" s="29"/>
      <c r="AA2547" s="31">
        <f t="shared" si="1"/>
        <v>44869</v>
      </c>
      <c r="AB2547" s="32" t="str">
        <f t="shared" si="5"/>
        <v>noviembre</v>
      </c>
    </row>
    <row r="2548" spans="1:28" ht="12.75">
      <c r="A2548" s="22" t="s">
        <v>2555</v>
      </c>
      <c r="B2548" s="10">
        <v>44869</v>
      </c>
      <c r="C2548" s="11"/>
      <c r="D2548" s="49">
        <v>45</v>
      </c>
      <c r="E2548" s="13" t="s">
        <v>2990</v>
      </c>
      <c r="F2548" s="13">
        <v>3025460</v>
      </c>
      <c r="G2548" s="14">
        <v>6061</v>
      </c>
      <c r="H2548" s="57">
        <v>8600</v>
      </c>
      <c r="I2548" s="16">
        <f t="shared" si="377"/>
        <v>52124600</v>
      </c>
      <c r="J2548" s="17">
        <v>14</v>
      </c>
      <c r="K2548" s="34">
        <v>4502447789</v>
      </c>
      <c r="L2548" s="126">
        <v>5084493331</v>
      </c>
      <c r="M2548" s="20">
        <v>5113722521</v>
      </c>
      <c r="N2548" s="128"/>
      <c r="O2548" s="9" t="s">
        <v>37</v>
      </c>
      <c r="P2548" s="9"/>
      <c r="Q2548" s="24" t="s">
        <v>82</v>
      </c>
      <c r="R2548" s="25">
        <v>44869</v>
      </c>
      <c r="S2548" s="28"/>
      <c r="T2548" s="35"/>
      <c r="U2548" s="35"/>
      <c r="V2548" s="29"/>
      <c r="W2548" s="35"/>
      <c r="X2548" s="29"/>
      <c r="Y2548" s="36"/>
      <c r="Z2548" s="29"/>
      <c r="AA2548" s="31">
        <f t="shared" si="1"/>
        <v>44869</v>
      </c>
      <c r="AB2548" s="32" t="str">
        <f t="shared" si="5"/>
        <v>noviembre</v>
      </c>
    </row>
    <row r="2549" spans="1:28" ht="12.75">
      <c r="A2549" s="9" t="s">
        <v>213</v>
      </c>
      <c r="B2549" s="10">
        <v>44870</v>
      </c>
      <c r="C2549" s="11"/>
      <c r="D2549" s="49">
        <v>45</v>
      </c>
      <c r="E2549" s="13" t="s">
        <v>2991</v>
      </c>
      <c r="F2549" s="13">
        <v>3025457</v>
      </c>
      <c r="G2549" s="14">
        <v>6605</v>
      </c>
      <c r="H2549" s="33">
        <v>8700</v>
      </c>
      <c r="I2549" s="16">
        <f t="shared" si="377"/>
        <v>57463500</v>
      </c>
      <c r="J2549" s="17">
        <v>14</v>
      </c>
      <c r="K2549" s="34">
        <v>4502443812</v>
      </c>
      <c r="L2549" s="126">
        <v>5084458633</v>
      </c>
      <c r="M2549" s="20">
        <v>5113717450</v>
      </c>
      <c r="N2549" s="128"/>
      <c r="O2549" s="9" t="s">
        <v>37</v>
      </c>
      <c r="P2549" s="23"/>
      <c r="Q2549" s="24" t="s">
        <v>31</v>
      </c>
      <c r="R2549" s="25">
        <v>44870</v>
      </c>
      <c r="S2549" s="28"/>
      <c r="T2549" s="35"/>
      <c r="U2549" s="35"/>
      <c r="V2549" s="29"/>
      <c r="W2549" s="35"/>
      <c r="X2549" s="29"/>
      <c r="Y2549" s="36"/>
      <c r="Z2549" s="29"/>
      <c r="AA2549" s="31">
        <f t="shared" si="1"/>
        <v>44870</v>
      </c>
      <c r="AB2549" s="32" t="str">
        <f t="shared" si="5"/>
        <v>noviembre</v>
      </c>
    </row>
    <row r="2550" spans="1:28" ht="12.75">
      <c r="A2550" s="9" t="s">
        <v>819</v>
      </c>
      <c r="B2550" s="10">
        <v>44870</v>
      </c>
      <c r="C2550" s="11"/>
      <c r="D2550" s="49">
        <v>45</v>
      </c>
      <c r="E2550" s="13">
        <v>6175</v>
      </c>
      <c r="F2550" s="13">
        <v>3025457</v>
      </c>
      <c r="G2550" s="14">
        <v>25470</v>
      </c>
      <c r="H2550" s="33">
        <v>9100</v>
      </c>
      <c r="I2550" s="16">
        <f t="shared" si="377"/>
        <v>231777000</v>
      </c>
      <c r="J2550" s="17">
        <v>60</v>
      </c>
      <c r="K2550" s="34">
        <v>4502443813</v>
      </c>
      <c r="L2550" s="126">
        <v>5084458765</v>
      </c>
      <c r="M2550" s="20">
        <v>5113722176</v>
      </c>
      <c r="N2550" s="128"/>
      <c r="O2550" s="88" t="s">
        <v>63</v>
      </c>
      <c r="P2550" s="88"/>
      <c r="Q2550" s="24" t="s">
        <v>31</v>
      </c>
      <c r="R2550" s="25">
        <v>44870</v>
      </c>
      <c r="S2550" s="28"/>
      <c r="T2550" s="35"/>
      <c r="U2550" s="35"/>
      <c r="V2550" s="29"/>
      <c r="W2550" s="35"/>
      <c r="X2550" s="29"/>
      <c r="Y2550" s="36"/>
      <c r="Z2550" s="29"/>
      <c r="AA2550" s="31">
        <f t="shared" si="1"/>
        <v>44870</v>
      </c>
      <c r="AB2550" s="32" t="str">
        <f t="shared" si="5"/>
        <v>noviembre</v>
      </c>
    </row>
    <row r="2551" spans="1:28" ht="12.75">
      <c r="A2551" s="9" t="s">
        <v>819</v>
      </c>
      <c r="B2551" s="10">
        <v>44870</v>
      </c>
      <c r="C2551" s="11"/>
      <c r="D2551" s="49">
        <v>45</v>
      </c>
      <c r="E2551" s="13" t="s">
        <v>2992</v>
      </c>
      <c r="F2551" s="13">
        <v>3025457</v>
      </c>
      <c r="G2551" s="14">
        <v>25470</v>
      </c>
      <c r="H2551" s="33">
        <f>9100-9079.39</f>
        <v>20.610000000000582</v>
      </c>
      <c r="I2551" s="16">
        <f>-H2551*G2551</f>
        <v>-524936.70000001485</v>
      </c>
      <c r="J2551" s="17">
        <v>0</v>
      </c>
      <c r="K2551" s="34">
        <v>4502443813</v>
      </c>
      <c r="L2551" s="126">
        <v>5084458765</v>
      </c>
      <c r="M2551" s="20">
        <v>5113722267</v>
      </c>
      <c r="N2551" s="128"/>
      <c r="O2551" s="88"/>
      <c r="P2551" s="9"/>
      <c r="Q2551" s="24" t="s">
        <v>31</v>
      </c>
      <c r="R2551" s="25">
        <v>44870</v>
      </c>
      <c r="S2551" s="28"/>
      <c r="T2551" s="35"/>
      <c r="U2551" s="35"/>
      <c r="V2551" s="29"/>
      <c r="W2551" s="35"/>
      <c r="X2551" s="29"/>
      <c r="Y2551" s="36"/>
      <c r="Z2551" s="29"/>
      <c r="AA2551" s="31">
        <f t="shared" si="1"/>
        <v>44870</v>
      </c>
      <c r="AB2551" s="32" t="str">
        <f t="shared" si="5"/>
        <v>noviembre</v>
      </c>
    </row>
    <row r="2552" spans="1:28" ht="12.75">
      <c r="A2552" s="9" t="s">
        <v>58</v>
      </c>
      <c r="B2552" s="10">
        <v>44876</v>
      </c>
      <c r="C2552" s="11">
        <v>44876</v>
      </c>
      <c r="D2552" s="49">
        <v>45</v>
      </c>
      <c r="E2552" s="13" t="s">
        <v>2993</v>
      </c>
      <c r="F2552" s="13">
        <v>3025457</v>
      </c>
      <c r="G2552" s="14">
        <v>26978</v>
      </c>
      <c r="H2552" s="33">
        <v>9150</v>
      </c>
      <c r="I2552" s="16">
        <f>H2552*G2552</f>
        <v>246848700</v>
      </c>
      <c r="J2552" s="17">
        <v>60</v>
      </c>
      <c r="K2552" s="34">
        <v>4502443814</v>
      </c>
      <c r="L2552" s="126">
        <v>5084458634</v>
      </c>
      <c r="M2552" s="20">
        <v>5113722444</v>
      </c>
      <c r="N2552" s="128"/>
      <c r="O2552" s="9" t="s">
        <v>37</v>
      </c>
      <c r="P2552" s="88"/>
      <c r="Q2552" s="24" t="s">
        <v>31</v>
      </c>
      <c r="R2552" s="25">
        <v>44870</v>
      </c>
      <c r="S2552" s="28"/>
      <c r="T2552" s="35"/>
      <c r="U2552" s="35"/>
      <c r="V2552" s="29"/>
      <c r="W2552" s="35"/>
      <c r="X2552" s="29"/>
      <c r="Y2552" s="36"/>
      <c r="Z2552" s="29"/>
      <c r="AA2552" s="31">
        <f t="shared" si="1"/>
        <v>44870</v>
      </c>
      <c r="AB2552" s="32" t="str">
        <f t="shared" si="5"/>
        <v>noviembre</v>
      </c>
    </row>
    <row r="2553" spans="1:28" ht="12.75">
      <c r="A2553" s="9" t="s">
        <v>58</v>
      </c>
      <c r="B2553" s="10">
        <v>44876</v>
      </c>
      <c r="C2553" s="11">
        <v>44876</v>
      </c>
      <c r="D2553" s="49">
        <v>45</v>
      </c>
      <c r="E2553" s="13" t="s">
        <v>799</v>
      </c>
      <c r="F2553" s="13">
        <v>3025457</v>
      </c>
      <c r="G2553" s="14">
        <v>26978</v>
      </c>
      <c r="H2553" s="33">
        <f>9150-9142.77</f>
        <v>7.2299999999995634</v>
      </c>
      <c r="I2553" s="16">
        <f>-H2553*G2553</f>
        <v>-195050.93999998822</v>
      </c>
      <c r="J2553" s="17">
        <v>0</v>
      </c>
      <c r="K2553" s="34">
        <v>4502443814</v>
      </c>
      <c r="L2553" s="126">
        <v>5084458634</v>
      </c>
      <c r="M2553" s="20">
        <v>5113722447</v>
      </c>
      <c r="N2553" s="128"/>
      <c r="O2553" s="88"/>
      <c r="P2553" s="88"/>
      <c r="Q2553" s="24" t="s">
        <v>31</v>
      </c>
      <c r="R2553" s="25">
        <v>44870</v>
      </c>
      <c r="S2553" s="28"/>
      <c r="T2553" s="35"/>
      <c r="U2553" s="35"/>
      <c r="V2553" s="29"/>
      <c r="W2553" s="35"/>
      <c r="X2553" s="29"/>
      <c r="Y2553" s="36"/>
      <c r="Z2553" s="29"/>
      <c r="AA2553" s="31">
        <f t="shared" si="1"/>
        <v>44870</v>
      </c>
      <c r="AB2553" s="32" t="str">
        <f t="shared" si="5"/>
        <v>noviembre</v>
      </c>
    </row>
    <row r="2554" spans="1:28" ht="12.75">
      <c r="A2554" s="9" t="s">
        <v>247</v>
      </c>
      <c r="B2554" s="10">
        <v>44874</v>
      </c>
      <c r="C2554" s="11">
        <v>44874</v>
      </c>
      <c r="D2554" s="49">
        <v>45</v>
      </c>
      <c r="E2554" s="13" t="s">
        <v>2994</v>
      </c>
      <c r="F2554" s="13">
        <v>3025457</v>
      </c>
      <c r="G2554" s="37">
        <v>14628.5</v>
      </c>
      <c r="H2554" s="33">
        <v>8750</v>
      </c>
      <c r="I2554" s="16">
        <f t="shared" ref="I2554:I2555" si="378">H2554*G2554</f>
        <v>127999375</v>
      </c>
      <c r="J2554" s="17">
        <v>29</v>
      </c>
      <c r="K2554" s="34">
        <v>4502443822</v>
      </c>
      <c r="L2554" s="126">
        <v>5084458767</v>
      </c>
      <c r="M2554" s="20">
        <v>5113713366</v>
      </c>
      <c r="N2554" s="128"/>
      <c r="O2554" s="9" t="s">
        <v>63</v>
      </c>
      <c r="P2554" s="23"/>
      <c r="Q2554" s="24" t="s">
        <v>31</v>
      </c>
      <c r="R2554" s="25">
        <v>44871</v>
      </c>
      <c r="S2554" s="28"/>
      <c r="T2554" s="35"/>
      <c r="U2554" s="35"/>
      <c r="V2554" s="29"/>
      <c r="W2554" s="35"/>
      <c r="X2554" s="29"/>
      <c r="Y2554" s="36"/>
      <c r="Z2554" s="29"/>
      <c r="AA2554" s="31">
        <f t="shared" si="1"/>
        <v>44871</v>
      </c>
      <c r="AB2554" s="32" t="str">
        <f t="shared" si="5"/>
        <v>noviembre</v>
      </c>
    </row>
    <row r="2555" spans="1:28" ht="12.75">
      <c r="A2555" s="9" t="s">
        <v>1183</v>
      </c>
      <c r="B2555" s="10">
        <v>44870</v>
      </c>
      <c r="C2555" s="11">
        <v>44876</v>
      </c>
      <c r="D2555" s="49">
        <v>45</v>
      </c>
      <c r="E2555" s="13" t="s">
        <v>2995</v>
      </c>
      <c r="F2555" s="13">
        <v>3025457</v>
      </c>
      <c r="G2555" s="14">
        <v>13096</v>
      </c>
      <c r="H2555" s="33">
        <v>9100</v>
      </c>
      <c r="I2555" s="16">
        <f t="shared" si="378"/>
        <v>119173600</v>
      </c>
      <c r="J2555" s="17">
        <v>30</v>
      </c>
      <c r="K2555" s="34">
        <v>4502443815</v>
      </c>
      <c r="L2555" s="126">
        <v>5084458766</v>
      </c>
      <c r="M2555" s="127">
        <v>5113716220</v>
      </c>
      <c r="N2555" s="128"/>
      <c r="O2555" s="9" t="s">
        <v>37</v>
      </c>
      <c r="P2555" s="23"/>
      <c r="Q2555" s="24" t="s">
        <v>31</v>
      </c>
      <c r="R2555" s="25">
        <v>44870</v>
      </c>
      <c r="S2555" s="28"/>
      <c r="T2555" s="35"/>
      <c r="U2555" s="35"/>
      <c r="V2555" s="29"/>
      <c r="W2555" s="35"/>
      <c r="X2555" s="29"/>
      <c r="Y2555" s="36"/>
      <c r="Z2555" s="29"/>
      <c r="AA2555" s="31">
        <f t="shared" si="1"/>
        <v>44870</v>
      </c>
      <c r="AB2555" s="32" t="str">
        <f t="shared" si="5"/>
        <v>noviembre</v>
      </c>
    </row>
    <row r="2556" spans="1:28" ht="12.75">
      <c r="A2556" s="9" t="s">
        <v>1183</v>
      </c>
      <c r="B2556" s="10">
        <v>44874</v>
      </c>
      <c r="C2556" s="11">
        <v>44876</v>
      </c>
      <c r="D2556" s="49">
        <v>45</v>
      </c>
      <c r="E2556" s="13" t="s">
        <v>833</v>
      </c>
      <c r="F2556" s="13">
        <v>3025457</v>
      </c>
      <c r="G2556" s="14">
        <v>13096</v>
      </c>
      <c r="H2556" s="33">
        <f>9100-9032.23</f>
        <v>67.770000000000437</v>
      </c>
      <c r="I2556" s="16">
        <f>-H2556*G2556</f>
        <v>-887515.92000000575</v>
      </c>
      <c r="J2556" s="17">
        <v>0</v>
      </c>
      <c r="K2556" s="34">
        <v>4502443815</v>
      </c>
      <c r="L2556" s="126">
        <v>5084458766</v>
      </c>
      <c r="M2556" s="127">
        <v>5113716222</v>
      </c>
      <c r="N2556" s="128"/>
      <c r="O2556" s="9"/>
      <c r="P2556" s="23"/>
      <c r="Q2556" s="24" t="s">
        <v>31</v>
      </c>
      <c r="R2556" s="25">
        <v>44870</v>
      </c>
      <c r="S2556" s="28"/>
      <c r="T2556" s="35"/>
      <c r="U2556" s="35"/>
      <c r="V2556" s="29"/>
      <c r="W2556" s="35"/>
      <c r="X2556" s="29"/>
      <c r="Y2556" s="36"/>
      <c r="Z2556" s="29"/>
      <c r="AA2556" s="31">
        <f t="shared" si="1"/>
        <v>44870</v>
      </c>
      <c r="AB2556" s="32" t="str">
        <f t="shared" si="5"/>
        <v>noviembre</v>
      </c>
    </row>
    <row r="2557" spans="1:28" ht="12.75">
      <c r="A2557" s="9" t="s">
        <v>1141</v>
      </c>
      <c r="B2557" s="10">
        <v>44874</v>
      </c>
      <c r="C2557" s="11">
        <v>44875</v>
      </c>
      <c r="D2557" s="49">
        <v>45</v>
      </c>
      <c r="E2557" s="13" t="s">
        <v>2996</v>
      </c>
      <c r="F2557" s="13">
        <v>3025457</v>
      </c>
      <c r="G2557" s="14">
        <v>5794</v>
      </c>
      <c r="H2557" s="33">
        <v>8650</v>
      </c>
      <c r="I2557" s="16">
        <f>H2557*G2557</f>
        <v>50118100</v>
      </c>
      <c r="J2557" s="17">
        <v>14</v>
      </c>
      <c r="K2557" s="34">
        <v>4502443816</v>
      </c>
      <c r="L2557" s="126">
        <v>5084458635</v>
      </c>
      <c r="M2557" s="20">
        <v>5113716159</v>
      </c>
      <c r="N2557" s="128"/>
      <c r="O2557" s="9" t="s">
        <v>37</v>
      </c>
      <c r="P2557" s="23"/>
      <c r="Q2557" s="24" t="s">
        <v>31</v>
      </c>
      <c r="R2557" s="25">
        <v>44870</v>
      </c>
      <c r="S2557" s="28"/>
      <c r="T2557" s="35"/>
      <c r="U2557" s="35"/>
      <c r="V2557" s="29"/>
      <c r="W2557" s="35"/>
      <c r="X2557" s="29"/>
      <c r="Y2557" s="36"/>
      <c r="Z2557" s="29"/>
      <c r="AA2557" s="31">
        <f t="shared" si="1"/>
        <v>44870</v>
      </c>
      <c r="AB2557" s="32" t="str">
        <f t="shared" si="5"/>
        <v>noviembre</v>
      </c>
    </row>
    <row r="2558" spans="1:28" ht="12.75">
      <c r="A2558" s="9" t="s">
        <v>1141</v>
      </c>
      <c r="B2558" s="10">
        <v>44874</v>
      </c>
      <c r="C2558" s="11">
        <v>44875</v>
      </c>
      <c r="D2558" s="49">
        <v>45</v>
      </c>
      <c r="E2558" s="13" t="s">
        <v>2042</v>
      </c>
      <c r="F2558" s="13">
        <v>3025457</v>
      </c>
      <c r="G2558" s="14">
        <v>5794</v>
      </c>
      <c r="H2558" s="33">
        <f>8650-8575.06</f>
        <v>74.940000000000509</v>
      </c>
      <c r="I2558" s="16">
        <f>-H2558*G2558</f>
        <v>-434202.36000000295</v>
      </c>
      <c r="J2558" s="17">
        <v>0</v>
      </c>
      <c r="K2558" s="34">
        <v>4502443816</v>
      </c>
      <c r="L2558" s="126">
        <v>5084458635</v>
      </c>
      <c r="M2558" s="20">
        <v>5113716161</v>
      </c>
      <c r="N2558" s="128"/>
      <c r="O2558" s="9"/>
      <c r="P2558" s="23"/>
      <c r="Q2558" s="24" t="s">
        <v>31</v>
      </c>
      <c r="R2558" s="25">
        <v>44870</v>
      </c>
      <c r="S2558" s="28"/>
      <c r="T2558" s="35"/>
      <c r="U2558" s="35"/>
      <c r="V2558" s="29"/>
      <c r="W2558" s="35"/>
      <c r="X2558" s="29"/>
      <c r="Y2558" s="36"/>
      <c r="Z2558" s="29"/>
      <c r="AA2558" s="31">
        <f t="shared" si="1"/>
        <v>44870</v>
      </c>
      <c r="AB2558" s="32" t="str">
        <f t="shared" si="5"/>
        <v>noviembre</v>
      </c>
    </row>
    <row r="2559" spans="1:28" ht="12.75">
      <c r="A2559" s="9" t="s">
        <v>58</v>
      </c>
      <c r="B2559" s="10">
        <v>44876</v>
      </c>
      <c r="C2559" s="11">
        <v>44876</v>
      </c>
      <c r="D2559" s="49">
        <v>45</v>
      </c>
      <c r="E2559" s="13" t="s">
        <v>2997</v>
      </c>
      <c r="F2559" s="13">
        <v>3025460</v>
      </c>
      <c r="G2559" s="37">
        <v>14134.5</v>
      </c>
      <c r="H2559" s="33">
        <v>9150</v>
      </c>
      <c r="I2559" s="16">
        <f>H2559*G2559</f>
        <v>129330675</v>
      </c>
      <c r="J2559" s="17">
        <v>30</v>
      </c>
      <c r="K2559" s="34">
        <v>4502445227</v>
      </c>
      <c r="L2559" s="126">
        <v>5084476628</v>
      </c>
      <c r="M2559" s="20">
        <v>5113722619</v>
      </c>
      <c r="N2559" s="128"/>
      <c r="O2559" s="9" t="s">
        <v>37</v>
      </c>
      <c r="P2559" s="9"/>
      <c r="Q2559" s="24" t="s">
        <v>31</v>
      </c>
      <c r="R2559" s="25">
        <v>44871</v>
      </c>
      <c r="S2559" s="28"/>
      <c r="T2559" s="35"/>
      <c r="U2559" s="35"/>
      <c r="V2559" s="29"/>
      <c r="W2559" s="35"/>
      <c r="X2559" s="29"/>
      <c r="Y2559" s="36"/>
      <c r="Z2559" s="29"/>
      <c r="AA2559" s="31">
        <f t="shared" si="1"/>
        <v>44871</v>
      </c>
      <c r="AB2559" s="32" t="str">
        <f t="shared" si="5"/>
        <v>noviembre</v>
      </c>
    </row>
    <row r="2560" spans="1:28" ht="12.75">
      <c r="A2560" s="119" t="s">
        <v>58</v>
      </c>
      <c r="B2560" s="10">
        <v>44876</v>
      </c>
      <c r="C2560" s="11">
        <v>44876</v>
      </c>
      <c r="D2560" s="60">
        <v>45</v>
      </c>
      <c r="E2560" s="61" t="s">
        <v>1642</v>
      </c>
      <c r="F2560" s="63">
        <v>3025460</v>
      </c>
      <c r="G2560" s="95">
        <v>14134.5</v>
      </c>
      <c r="H2560" s="61">
        <v>150</v>
      </c>
      <c r="I2560" s="64">
        <f>-H2560*G2560</f>
        <v>-2120175</v>
      </c>
      <c r="J2560" s="65">
        <v>0</v>
      </c>
      <c r="K2560" s="66">
        <v>4502445227</v>
      </c>
      <c r="L2560" s="126">
        <v>5084476637</v>
      </c>
      <c r="M2560" s="20">
        <v>5113722620</v>
      </c>
      <c r="N2560" s="68"/>
      <c r="O2560" s="155"/>
      <c r="P2560" s="68"/>
      <c r="Q2560" s="129" t="s">
        <v>31</v>
      </c>
      <c r="R2560" s="74">
        <v>44871</v>
      </c>
      <c r="S2560" s="75"/>
      <c r="T2560" s="69"/>
      <c r="U2560" s="70"/>
      <c r="V2560" s="68"/>
      <c r="W2560" s="70"/>
      <c r="X2560" s="68"/>
      <c r="Y2560" s="71"/>
      <c r="Z2560" s="68"/>
      <c r="AA2560" s="130">
        <f t="shared" si="1"/>
        <v>44871</v>
      </c>
      <c r="AB2560" s="131" t="str">
        <f t="shared" si="5"/>
        <v>noviembre</v>
      </c>
    </row>
    <row r="2561" spans="1:28" ht="12.75">
      <c r="A2561" s="9" t="s">
        <v>1102</v>
      </c>
      <c r="B2561" s="10">
        <v>44875</v>
      </c>
      <c r="C2561" s="11"/>
      <c r="D2561" s="49">
        <v>45</v>
      </c>
      <c r="E2561" s="13" t="s">
        <v>2998</v>
      </c>
      <c r="F2561" s="13">
        <v>3025457</v>
      </c>
      <c r="G2561" s="14">
        <v>12060</v>
      </c>
      <c r="H2561" s="33">
        <v>9100</v>
      </c>
      <c r="I2561" s="16">
        <f>H2561*G2561</f>
        <v>109746000</v>
      </c>
      <c r="J2561" s="17">
        <v>29</v>
      </c>
      <c r="K2561" s="34">
        <v>4502443817</v>
      </c>
      <c r="L2561" s="126">
        <v>5084478582</v>
      </c>
      <c r="M2561" s="20">
        <v>5113736615</v>
      </c>
      <c r="N2561" s="128"/>
      <c r="O2561" s="9" t="s">
        <v>37</v>
      </c>
      <c r="P2561" s="9"/>
      <c r="Q2561" s="24" t="s">
        <v>31</v>
      </c>
      <c r="R2561" s="25">
        <v>44871</v>
      </c>
      <c r="S2561" s="28"/>
      <c r="T2561" s="35"/>
      <c r="U2561" s="35"/>
      <c r="V2561" s="29"/>
      <c r="W2561" s="35"/>
      <c r="X2561" s="29"/>
      <c r="Y2561" s="36"/>
      <c r="Z2561" s="29"/>
      <c r="AA2561" s="31">
        <f t="shared" si="1"/>
        <v>44871</v>
      </c>
      <c r="AB2561" s="32" t="str">
        <f t="shared" si="5"/>
        <v>noviembre</v>
      </c>
    </row>
    <row r="2562" spans="1:28" ht="12.75">
      <c r="A2562" s="9" t="s">
        <v>1102</v>
      </c>
      <c r="B2562" s="10">
        <v>44875</v>
      </c>
      <c r="C2562" s="11"/>
      <c r="D2562" s="49">
        <v>45</v>
      </c>
      <c r="E2562" s="13" t="s">
        <v>2999</v>
      </c>
      <c r="F2562" s="13">
        <v>3025457</v>
      </c>
      <c r="G2562" s="14">
        <v>12060</v>
      </c>
      <c r="H2562" s="33">
        <f>9100-8973.91</f>
        <v>126.09000000000015</v>
      </c>
      <c r="I2562" s="16">
        <f>-H2562*G2562</f>
        <v>-1520645.4000000018</v>
      </c>
      <c r="J2562" s="17">
        <v>0</v>
      </c>
      <c r="K2562" s="34">
        <v>4502443817</v>
      </c>
      <c r="L2562" s="126">
        <v>5084478582</v>
      </c>
      <c r="M2562" s="20">
        <v>5113736689</v>
      </c>
      <c r="N2562" s="128"/>
      <c r="O2562" s="88"/>
      <c r="P2562" s="9"/>
      <c r="Q2562" s="24" t="s">
        <v>31</v>
      </c>
      <c r="R2562" s="25">
        <v>44871</v>
      </c>
      <c r="S2562" s="28"/>
      <c r="T2562" s="35"/>
      <c r="U2562" s="35"/>
      <c r="V2562" s="29"/>
      <c r="W2562" s="35"/>
      <c r="X2562" s="29"/>
      <c r="Y2562" s="36"/>
      <c r="Z2562" s="29"/>
      <c r="AA2562" s="31">
        <f t="shared" si="1"/>
        <v>44871</v>
      </c>
      <c r="AB2562" s="32" t="str">
        <f t="shared" si="5"/>
        <v>noviembre</v>
      </c>
    </row>
    <row r="2563" spans="1:28" ht="12.75">
      <c r="A2563" s="9" t="s">
        <v>58</v>
      </c>
      <c r="B2563" s="10">
        <v>44876</v>
      </c>
      <c r="C2563" s="11">
        <v>44876</v>
      </c>
      <c r="D2563" s="49">
        <v>45</v>
      </c>
      <c r="E2563" s="13" t="s">
        <v>3000</v>
      </c>
      <c r="F2563" s="13">
        <v>3025457</v>
      </c>
      <c r="G2563" s="37">
        <v>20591.5</v>
      </c>
      <c r="H2563" s="33">
        <v>9150</v>
      </c>
      <c r="I2563" s="16">
        <f>H2563*G2563</f>
        <v>188412225</v>
      </c>
      <c r="J2563" s="17">
        <v>45</v>
      </c>
      <c r="K2563" s="34">
        <v>4502443818</v>
      </c>
      <c r="L2563" s="126">
        <v>5084476628</v>
      </c>
      <c r="M2563" s="20">
        <v>5113725151</v>
      </c>
      <c r="N2563" s="128"/>
      <c r="O2563" s="9" t="s">
        <v>37</v>
      </c>
      <c r="P2563" s="88"/>
      <c r="Q2563" s="24" t="s">
        <v>31</v>
      </c>
      <c r="R2563" s="25">
        <v>44871</v>
      </c>
      <c r="S2563" s="28"/>
      <c r="T2563" s="35"/>
      <c r="U2563" s="35"/>
      <c r="V2563" s="29"/>
      <c r="W2563" s="35"/>
      <c r="X2563" s="29"/>
      <c r="Y2563" s="36"/>
      <c r="Z2563" s="29"/>
      <c r="AA2563" s="31">
        <f t="shared" si="1"/>
        <v>44871</v>
      </c>
      <c r="AB2563" s="32" t="str">
        <f t="shared" si="5"/>
        <v>noviembre</v>
      </c>
    </row>
    <row r="2564" spans="1:28" ht="12.75">
      <c r="A2564" s="9" t="s">
        <v>58</v>
      </c>
      <c r="B2564" s="10">
        <v>44876</v>
      </c>
      <c r="C2564" s="11">
        <v>44876</v>
      </c>
      <c r="D2564" s="49">
        <v>45</v>
      </c>
      <c r="E2564" s="13" t="s">
        <v>1343</v>
      </c>
      <c r="F2564" s="13">
        <v>3025457</v>
      </c>
      <c r="G2564" s="37">
        <v>20591.5</v>
      </c>
      <c r="H2564" s="33">
        <f>9150-9134.76</f>
        <v>15.239999999999782</v>
      </c>
      <c r="I2564" s="16">
        <f>-H2564*G2564</f>
        <v>-313814.45999999548</v>
      </c>
      <c r="J2564" s="17">
        <v>0</v>
      </c>
      <c r="K2564" s="34">
        <v>4502443818</v>
      </c>
      <c r="L2564" s="126">
        <v>5084476628</v>
      </c>
      <c r="M2564" s="20">
        <v>5113725152</v>
      </c>
      <c r="N2564" s="128"/>
      <c r="O2564" s="88"/>
      <c r="P2564" s="88"/>
      <c r="Q2564" s="24" t="s">
        <v>31</v>
      </c>
      <c r="R2564" s="25">
        <v>44871</v>
      </c>
      <c r="S2564" s="28"/>
      <c r="T2564" s="35"/>
      <c r="U2564" s="35"/>
      <c r="V2564" s="29"/>
      <c r="W2564" s="35"/>
      <c r="X2564" s="29"/>
      <c r="Y2564" s="36"/>
      <c r="Z2564" s="29"/>
      <c r="AA2564" s="31">
        <f t="shared" si="1"/>
        <v>44871</v>
      </c>
      <c r="AB2564" s="32" t="str">
        <f t="shared" si="5"/>
        <v>noviembre</v>
      </c>
    </row>
    <row r="2565" spans="1:28" ht="12.75">
      <c r="A2565" s="9" t="s">
        <v>61</v>
      </c>
      <c r="B2565" s="10">
        <v>44874</v>
      </c>
      <c r="C2565" s="11"/>
      <c r="D2565" s="49">
        <v>45</v>
      </c>
      <c r="E2565" s="13" t="s">
        <v>1646</v>
      </c>
      <c r="F2565" s="13">
        <v>3025457</v>
      </c>
      <c r="G2565" s="14">
        <v>6189</v>
      </c>
      <c r="H2565" s="33">
        <v>8650</v>
      </c>
      <c r="I2565" s="16">
        <f>H2565*G2565</f>
        <v>53534850</v>
      </c>
      <c r="J2565" s="17">
        <v>15</v>
      </c>
      <c r="K2565" s="34">
        <v>4502443819</v>
      </c>
      <c r="L2565" s="126">
        <v>5084476629</v>
      </c>
      <c r="M2565" s="20">
        <v>5113714892</v>
      </c>
      <c r="N2565" s="128"/>
      <c r="O2565" s="9" t="s">
        <v>63</v>
      </c>
      <c r="P2565" s="23"/>
      <c r="Q2565" s="24" t="s">
        <v>31</v>
      </c>
      <c r="R2565" s="25">
        <v>44871</v>
      </c>
      <c r="S2565" s="28"/>
      <c r="T2565" s="35"/>
      <c r="U2565" s="35"/>
      <c r="V2565" s="29"/>
      <c r="W2565" s="35"/>
      <c r="X2565" s="29"/>
      <c r="Y2565" s="36"/>
      <c r="Z2565" s="29"/>
      <c r="AA2565" s="31">
        <f t="shared" si="1"/>
        <v>44871</v>
      </c>
      <c r="AB2565" s="32" t="str">
        <f t="shared" si="5"/>
        <v>noviembre</v>
      </c>
    </row>
    <row r="2566" spans="1:28" ht="12.75">
      <c r="A2566" s="9" t="s">
        <v>61</v>
      </c>
      <c r="B2566" s="10">
        <v>44874</v>
      </c>
      <c r="C2566" s="11"/>
      <c r="D2566" s="49">
        <v>45</v>
      </c>
      <c r="E2566" s="13" t="s">
        <v>2734</v>
      </c>
      <c r="F2566" s="13">
        <v>3025457</v>
      </c>
      <c r="G2566" s="14">
        <v>6189</v>
      </c>
      <c r="H2566" s="33">
        <f>8650-8481.03</f>
        <v>168.96999999999935</v>
      </c>
      <c r="I2566" s="16">
        <f>-H2566*G2566</f>
        <v>-1045755.329999996</v>
      </c>
      <c r="J2566" s="17">
        <v>0</v>
      </c>
      <c r="K2566" s="34">
        <v>4502443819</v>
      </c>
      <c r="L2566" s="126">
        <v>5084476629</v>
      </c>
      <c r="M2566" s="20">
        <v>5113714893</v>
      </c>
      <c r="N2566" s="128"/>
      <c r="O2566" s="9"/>
      <c r="P2566" s="23"/>
      <c r="Q2566" s="24" t="s">
        <v>31</v>
      </c>
      <c r="R2566" s="25">
        <v>44871</v>
      </c>
      <c r="S2566" s="28"/>
      <c r="T2566" s="35"/>
      <c r="U2566" s="35"/>
      <c r="V2566" s="29"/>
      <c r="W2566" s="35"/>
      <c r="X2566" s="29"/>
      <c r="Y2566" s="36"/>
      <c r="Z2566" s="29"/>
      <c r="AA2566" s="31">
        <f t="shared" si="1"/>
        <v>44871</v>
      </c>
      <c r="AB2566" s="32" t="str">
        <f t="shared" si="5"/>
        <v>noviembre</v>
      </c>
    </row>
    <row r="2567" spans="1:28" ht="12.75">
      <c r="A2567" s="9" t="s">
        <v>2360</v>
      </c>
      <c r="B2567" s="10">
        <v>44874</v>
      </c>
      <c r="C2567" s="11"/>
      <c r="D2567" s="49">
        <v>45</v>
      </c>
      <c r="E2567" s="13" t="s">
        <v>3001</v>
      </c>
      <c r="F2567" s="13">
        <v>3025457</v>
      </c>
      <c r="G2567" s="37">
        <v>6410.5</v>
      </c>
      <c r="H2567" s="33">
        <v>8700</v>
      </c>
      <c r="I2567" s="16">
        <f t="shared" ref="I2567:I2568" si="379">H2567*G2567</f>
        <v>55771350</v>
      </c>
      <c r="J2567" s="17">
        <v>14</v>
      </c>
      <c r="K2567" s="34">
        <v>4502443820</v>
      </c>
      <c r="L2567" s="126">
        <v>5084476630</v>
      </c>
      <c r="M2567" s="20">
        <v>5113713729</v>
      </c>
      <c r="N2567" s="128"/>
      <c r="O2567" s="9" t="s">
        <v>63</v>
      </c>
      <c r="P2567" s="124"/>
      <c r="Q2567" s="24" t="s">
        <v>31</v>
      </c>
      <c r="R2567" s="25">
        <v>44871</v>
      </c>
      <c r="S2567" s="28"/>
      <c r="T2567" s="35"/>
      <c r="U2567" s="35"/>
      <c r="V2567" s="29"/>
      <c r="W2567" s="35"/>
      <c r="X2567" s="29"/>
      <c r="Y2567" s="36"/>
      <c r="Z2567" s="29"/>
      <c r="AA2567" s="31">
        <f t="shared" si="1"/>
        <v>44871</v>
      </c>
      <c r="AB2567" s="32" t="str">
        <f t="shared" si="5"/>
        <v>noviembre</v>
      </c>
    </row>
    <row r="2568" spans="1:28" ht="12.75">
      <c r="A2568" s="9" t="s">
        <v>338</v>
      </c>
      <c r="B2568" s="10">
        <v>44876</v>
      </c>
      <c r="C2568" s="11"/>
      <c r="D2568" s="49">
        <v>45</v>
      </c>
      <c r="E2568" s="13" t="s">
        <v>3002</v>
      </c>
      <c r="F2568" s="13">
        <v>3025457</v>
      </c>
      <c r="G2568" s="37">
        <v>6522.5</v>
      </c>
      <c r="H2568" s="33">
        <v>8850</v>
      </c>
      <c r="I2568" s="16">
        <f t="shared" si="379"/>
        <v>57724125</v>
      </c>
      <c r="J2568" s="17">
        <v>14</v>
      </c>
      <c r="K2568" s="34">
        <v>4502443821</v>
      </c>
      <c r="L2568" s="126">
        <v>5084476631</v>
      </c>
      <c r="M2568" s="20">
        <v>5113721716</v>
      </c>
      <c r="N2568" s="128"/>
      <c r="O2568" s="23" t="s">
        <v>63</v>
      </c>
      <c r="P2568" s="23"/>
      <c r="Q2568" s="24" t="s">
        <v>31</v>
      </c>
      <c r="R2568" s="25">
        <v>44871</v>
      </c>
      <c r="S2568" s="28"/>
      <c r="T2568" s="35"/>
      <c r="U2568" s="35"/>
      <c r="V2568" s="29"/>
      <c r="W2568" s="35"/>
      <c r="X2568" s="29"/>
      <c r="Y2568" s="36"/>
      <c r="Z2568" s="29"/>
      <c r="AA2568" s="31">
        <f t="shared" si="1"/>
        <v>44871</v>
      </c>
      <c r="AB2568" s="32" t="str">
        <f t="shared" si="5"/>
        <v>noviembre</v>
      </c>
    </row>
    <row r="2569" spans="1:28" ht="12.75">
      <c r="A2569" s="9" t="s">
        <v>338</v>
      </c>
      <c r="B2569" s="10">
        <v>44876</v>
      </c>
      <c r="C2569" s="11"/>
      <c r="D2569" s="49">
        <v>45</v>
      </c>
      <c r="E2569" s="13" t="s">
        <v>3003</v>
      </c>
      <c r="F2569" s="13">
        <v>3025457</v>
      </c>
      <c r="G2569" s="37">
        <v>6522.5</v>
      </c>
      <c r="H2569" s="33">
        <v>50</v>
      </c>
      <c r="I2569" s="16">
        <f>-H2569*G2569</f>
        <v>-326125</v>
      </c>
      <c r="J2569" s="17">
        <v>0</v>
      </c>
      <c r="K2569" s="34">
        <v>4502443821</v>
      </c>
      <c r="L2569" s="126">
        <v>5084476631</v>
      </c>
      <c r="M2569" s="20">
        <v>5113721809</v>
      </c>
      <c r="N2569" s="128"/>
      <c r="O2569" s="9"/>
      <c r="P2569" s="23"/>
      <c r="Q2569" s="24" t="s">
        <v>31</v>
      </c>
      <c r="R2569" s="25">
        <v>44871</v>
      </c>
      <c r="S2569" s="28"/>
      <c r="T2569" s="35"/>
      <c r="U2569" s="35"/>
      <c r="V2569" s="29"/>
      <c r="W2569" s="35"/>
      <c r="X2569" s="29"/>
      <c r="Y2569" s="36"/>
      <c r="Z2569" s="29"/>
      <c r="AA2569" s="31">
        <f t="shared" si="1"/>
        <v>44871</v>
      </c>
      <c r="AB2569" s="32" t="str">
        <f t="shared" si="5"/>
        <v>noviembre</v>
      </c>
    </row>
    <row r="2570" spans="1:28" ht="12.75">
      <c r="A2570" s="9" t="s">
        <v>73</v>
      </c>
      <c r="B2570" s="10">
        <v>44874</v>
      </c>
      <c r="C2570" s="11">
        <v>44874</v>
      </c>
      <c r="D2570" s="49">
        <v>45</v>
      </c>
      <c r="E2570" s="13" t="s">
        <v>3004</v>
      </c>
      <c r="F2570" s="13">
        <v>3025460</v>
      </c>
      <c r="G2570" s="14">
        <v>6352</v>
      </c>
      <c r="H2570" s="33">
        <v>9100</v>
      </c>
      <c r="I2570" s="16">
        <f t="shared" ref="I2570:I2574" si="380">H2570*G2570</f>
        <v>57803200</v>
      </c>
      <c r="J2570" s="17">
        <v>14</v>
      </c>
      <c r="K2570" s="34">
        <v>4502443823</v>
      </c>
      <c r="L2570" s="126">
        <v>5084476632</v>
      </c>
      <c r="M2570" s="20">
        <v>5113714890</v>
      </c>
      <c r="N2570" s="128"/>
      <c r="O2570" s="128" t="s">
        <v>63</v>
      </c>
      <c r="P2570" s="23"/>
      <c r="Q2570" s="24" t="s">
        <v>31</v>
      </c>
      <c r="R2570" s="25">
        <v>44871</v>
      </c>
      <c r="S2570" s="28"/>
      <c r="T2570" s="35"/>
      <c r="U2570" s="35"/>
      <c r="V2570" s="29"/>
      <c r="W2570" s="35"/>
      <c r="X2570" s="29"/>
      <c r="Y2570" s="36"/>
      <c r="Z2570" s="29"/>
      <c r="AA2570" s="31">
        <f t="shared" si="1"/>
        <v>44871</v>
      </c>
      <c r="AB2570" s="32" t="str">
        <f t="shared" si="5"/>
        <v>noviembre</v>
      </c>
    </row>
    <row r="2571" spans="1:28" ht="12.75">
      <c r="A2571" s="9" t="s">
        <v>73</v>
      </c>
      <c r="B2571" s="10">
        <v>44874</v>
      </c>
      <c r="C2571" s="11">
        <v>44874</v>
      </c>
      <c r="D2571" s="49">
        <v>45</v>
      </c>
      <c r="E2571" s="13" t="s">
        <v>3005</v>
      </c>
      <c r="F2571" s="13">
        <v>3025460</v>
      </c>
      <c r="G2571" s="14">
        <v>6352</v>
      </c>
      <c r="H2571" s="33">
        <f>9124-9100</f>
        <v>24</v>
      </c>
      <c r="I2571" s="16">
        <f t="shared" si="380"/>
        <v>152448</v>
      </c>
      <c r="J2571" s="17">
        <v>0</v>
      </c>
      <c r="K2571" s="34">
        <v>4502443823</v>
      </c>
      <c r="L2571" s="126">
        <v>5084476632</v>
      </c>
      <c r="M2571" s="20">
        <v>5113714891</v>
      </c>
      <c r="N2571" s="128"/>
      <c r="O2571" s="9"/>
      <c r="P2571" s="23"/>
      <c r="Q2571" s="24" t="s">
        <v>31</v>
      </c>
      <c r="R2571" s="25">
        <v>44871</v>
      </c>
      <c r="S2571" s="28"/>
      <c r="T2571" s="35"/>
      <c r="U2571" s="35"/>
      <c r="V2571" s="29"/>
      <c r="W2571" s="35"/>
      <c r="X2571" s="29"/>
      <c r="Y2571" s="36"/>
      <c r="Z2571" s="29"/>
      <c r="AA2571" s="31">
        <f t="shared" si="1"/>
        <v>44871</v>
      </c>
      <c r="AB2571" s="32" t="str">
        <f t="shared" si="5"/>
        <v>noviembre</v>
      </c>
    </row>
    <row r="2572" spans="1:28" ht="12.75">
      <c r="A2572" s="9" t="s">
        <v>39</v>
      </c>
      <c r="B2572" s="10">
        <v>44872</v>
      </c>
      <c r="C2572" s="11">
        <v>44876</v>
      </c>
      <c r="D2572" s="49">
        <v>45</v>
      </c>
      <c r="E2572" s="13" t="s">
        <v>3006</v>
      </c>
      <c r="F2572" s="13">
        <v>3025457</v>
      </c>
      <c r="G2572" s="37">
        <v>21215.5</v>
      </c>
      <c r="H2572" s="33">
        <v>9100</v>
      </c>
      <c r="I2572" s="16">
        <f t="shared" si="380"/>
        <v>193061050</v>
      </c>
      <c r="J2572" s="17">
        <v>45</v>
      </c>
      <c r="K2572" s="34">
        <v>4502443824</v>
      </c>
      <c r="L2572" s="126">
        <v>5084478292</v>
      </c>
      <c r="M2572" s="20">
        <v>5113718812</v>
      </c>
      <c r="N2572" s="128"/>
      <c r="O2572" s="88" t="s">
        <v>37</v>
      </c>
      <c r="P2572" s="23"/>
      <c r="Q2572" s="24" t="s">
        <v>31</v>
      </c>
      <c r="R2572" s="25">
        <v>44872</v>
      </c>
      <c r="S2572" s="28"/>
      <c r="T2572" s="35"/>
      <c r="U2572" s="35"/>
      <c r="V2572" s="29"/>
      <c r="W2572" s="35"/>
      <c r="X2572" s="29"/>
      <c r="Y2572" s="36"/>
      <c r="Z2572" s="29"/>
      <c r="AA2572" s="31">
        <f t="shared" si="1"/>
        <v>44872</v>
      </c>
      <c r="AB2572" s="32" t="str">
        <f t="shared" si="5"/>
        <v>noviembre</v>
      </c>
    </row>
    <row r="2573" spans="1:28" ht="12.75">
      <c r="A2573" s="9" t="s">
        <v>39</v>
      </c>
      <c r="B2573" s="10">
        <v>44875</v>
      </c>
      <c r="C2573" s="11">
        <v>44876</v>
      </c>
      <c r="D2573" s="49">
        <v>45</v>
      </c>
      <c r="E2573" s="13" t="s">
        <v>579</v>
      </c>
      <c r="F2573" s="13">
        <v>3025457</v>
      </c>
      <c r="G2573" s="37">
        <v>21215.5</v>
      </c>
      <c r="H2573" s="33">
        <v>11.57</v>
      </c>
      <c r="I2573" s="16">
        <f t="shared" si="380"/>
        <v>245463.33499999999</v>
      </c>
      <c r="J2573" s="17">
        <v>0</v>
      </c>
      <c r="K2573" s="34">
        <v>4502443824</v>
      </c>
      <c r="L2573" s="126">
        <v>5084478292</v>
      </c>
      <c r="M2573" s="20">
        <v>5113718815</v>
      </c>
      <c r="N2573" s="128"/>
      <c r="O2573" s="9"/>
      <c r="P2573" s="23"/>
      <c r="Q2573" s="24" t="s">
        <v>31</v>
      </c>
      <c r="R2573" s="25">
        <v>44872</v>
      </c>
      <c r="S2573" s="28"/>
      <c r="T2573" s="35"/>
      <c r="U2573" s="35"/>
      <c r="V2573" s="29"/>
      <c r="W2573" s="35"/>
      <c r="X2573" s="29"/>
      <c r="Y2573" s="36"/>
      <c r="Z2573" s="29"/>
      <c r="AA2573" s="31">
        <f t="shared" si="1"/>
        <v>44872</v>
      </c>
      <c r="AB2573" s="32" t="str">
        <f t="shared" si="5"/>
        <v>noviembre</v>
      </c>
    </row>
    <row r="2574" spans="1:28" ht="12.75">
      <c r="A2574" s="22" t="s">
        <v>404</v>
      </c>
      <c r="B2574" s="10">
        <v>44872</v>
      </c>
      <c r="C2574" s="11">
        <v>44876</v>
      </c>
      <c r="D2574" s="49">
        <v>45</v>
      </c>
      <c r="E2574" s="13" t="s">
        <v>3007</v>
      </c>
      <c r="F2574" s="13">
        <v>3025457</v>
      </c>
      <c r="G2574" s="37">
        <v>6979.5</v>
      </c>
      <c r="H2574" s="33">
        <v>9100</v>
      </c>
      <c r="I2574" s="16">
        <f t="shared" si="380"/>
        <v>63513450</v>
      </c>
      <c r="J2574" s="17">
        <v>15</v>
      </c>
      <c r="K2574" s="34">
        <v>4502443825</v>
      </c>
      <c r="L2574" s="126">
        <v>5084478293</v>
      </c>
      <c r="M2574" s="20">
        <v>5113718755</v>
      </c>
      <c r="N2574" s="128"/>
      <c r="O2574" s="9" t="s">
        <v>37</v>
      </c>
      <c r="P2574" s="23"/>
      <c r="Q2574" s="24" t="s">
        <v>31</v>
      </c>
      <c r="R2574" s="25">
        <v>44872</v>
      </c>
      <c r="S2574" s="28"/>
      <c r="T2574" s="35"/>
      <c r="U2574" s="35"/>
      <c r="V2574" s="29"/>
      <c r="W2574" s="35"/>
      <c r="X2574" s="29"/>
      <c r="Y2574" s="36"/>
      <c r="Z2574" s="29"/>
      <c r="AA2574" s="31">
        <f t="shared" si="1"/>
        <v>44872</v>
      </c>
      <c r="AB2574" s="32" t="str">
        <f t="shared" si="5"/>
        <v>noviembre</v>
      </c>
    </row>
    <row r="2575" spans="1:28" ht="12.75">
      <c r="A2575" s="22" t="s">
        <v>404</v>
      </c>
      <c r="B2575" s="10">
        <v>44875</v>
      </c>
      <c r="C2575" s="11">
        <v>44876</v>
      </c>
      <c r="D2575" s="49">
        <v>45</v>
      </c>
      <c r="E2575" s="13" t="s">
        <v>811</v>
      </c>
      <c r="F2575" s="13">
        <v>3025457</v>
      </c>
      <c r="G2575" s="37">
        <v>6979.5</v>
      </c>
      <c r="H2575" s="33">
        <f>9100-9074</f>
        <v>26</v>
      </c>
      <c r="I2575" s="16">
        <f>-H2575*G2575</f>
        <v>-181467</v>
      </c>
      <c r="J2575" s="17">
        <v>0</v>
      </c>
      <c r="K2575" s="34">
        <v>4502443825</v>
      </c>
      <c r="L2575" s="126">
        <v>5084478293</v>
      </c>
      <c r="M2575" s="20">
        <v>5113718809</v>
      </c>
      <c r="N2575" s="128"/>
      <c r="O2575" s="9"/>
      <c r="P2575" s="23"/>
      <c r="Q2575" s="24" t="s">
        <v>31</v>
      </c>
      <c r="R2575" s="25">
        <v>44872</v>
      </c>
      <c r="S2575" s="28"/>
      <c r="T2575" s="35"/>
      <c r="U2575" s="35"/>
      <c r="V2575" s="29"/>
      <c r="W2575" s="35"/>
      <c r="X2575" s="29"/>
      <c r="Y2575" s="36"/>
      <c r="Z2575" s="29"/>
      <c r="AA2575" s="31">
        <f t="shared" si="1"/>
        <v>44872</v>
      </c>
      <c r="AB2575" s="32" t="str">
        <f t="shared" si="5"/>
        <v>noviembre</v>
      </c>
    </row>
    <row r="2576" spans="1:28" ht="12.75">
      <c r="A2576" s="9" t="s">
        <v>260</v>
      </c>
      <c r="B2576" s="10">
        <v>44875</v>
      </c>
      <c r="C2576" s="11"/>
      <c r="D2576" s="49">
        <v>45</v>
      </c>
      <c r="E2576" s="13" t="s">
        <v>3008</v>
      </c>
      <c r="F2576" s="13">
        <v>3025457</v>
      </c>
      <c r="G2576" s="14">
        <v>6701</v>
      </c>
      <c r="H2576" s="33">
        <v>8650</v>
      </c>
      <c r="I2576" s="16">
        <f>H2576*G2576</f>
        <v>57963650</v>
      </c>
      <c r="J2576" s="17">
        <v>15</v>
      </c>
      <c r="K2576" s="34">
        <v>4502443826</v>
      </c>
      <c r="L2576" s="126">
        <v>5084478294</v>
      </c>
      <c r="M2576" s="20">
        <v>5113723499</v>
      </c>
      <c r="N2576" s="128"/>
      <c r="O2576" s="9" t="s">
        <v>63</v>
      </c>
      <c r="P2576" s="23"/>
      <c r="Q2576" s="24" t="s">
        <v>31</v>
      </c>
      <c r="R2576" s="25">
        <v>44872</v>
      </c>
      <c r="S2576" s="28"/>
      <c r="T2576" s="35"/>
      <c r="U2576" s="35"/>
      <c r="V2576" s="29"/>
      <c r="W2576" s="35"/>
      <c r="X2576" s="29"/>
      <c r="Y2576" s="36"/>
      <c r="Z2576" s="29"/>
      <c r="AA2576" s="31">
        <f t="shared" si="1"/>
        <v>44872</v>
      </c>
      <c r="AB2576" s="32" t="str">
        <f t="shared" si="5"/>
        <v>noviembre</v>
      </c>
    </row>
    <row r="2577" spans="1:28" ht="12.75">
      <c r="A2577" s="9" t="s">
        <v>260</v>
      </c>
      <c r="B2577" s="10">
        <v>44880</v>
      </c>
      <c r="C2577" s="11"/>
      <c r="D2577" s="49">
        <v>45</v>
      </c>
      <c r="E2577" s="13" t="s">
        <v>3009</v>
      </c>
      <c r="F2577" s="13">
        <v>3025457</v>
      </c>
      <c r="G2577" s="14">
        <v>6701</v>
      </c>
      <c r="H2577" s="33">
        <f>8650-8460.99</f>
        <v>189.01000000000022</v>
      </c>
      <c r="I2577" s="16">
        <f>-H2577*G2577</f>
        <v>-1266556.0100000014</v>
      </c>
      <c r="J2577" s="17">
        <v>0</v>
      </c>
      <c r="K2577" s="34">
        <v>4502443826</v>
      </c>
      <c r="L2577" s="126">
        <v>5084478294</v>
      </c>
      <c r="M2577" s="20">
        <v>5113723501</v>
      </c>
      <c r="N2577" s="128"/>
      <c r="O2577" s="9"/>
      <c r="P2577" s="23"/>
      <c r="Q2577" s="24" t="s">
        <v>31</v>
      </c>
      <c r="R2577" s="25">
        <v>44872</v>
      </c>
      <c r="S2577" s="28"/>
      <c r="T2577" s="35"/>
      <c r="U2577" s="35"/>
      <c r="V2577" s="29"/>
      <c r="W2577" s="35"/>
      <c r="X2577" s="29"/>
      <c r="Y2577" s="36"/>
      <c r="Z2577" s="29"/>
      <c r="AA2577" s="31">
        <f t="shared" si="1"/>
        <v>44872</v>
      </c>
      <c r="AB2577" s="32" t="str">
        <f t="shared" si="5"/>
        <v>noviembre</v>
      </c>
    </row>
    <row r="2578" spans="1:28" ht="12.75">
      <c r="A2578" s="9" t="s">
        <v>245</v>
      </c>
      <c r="B2578" s="10">
        <v>44872</v>
      </c>
      <c r="C2578" s="11">
        <v>44874</v>
      </c>
      <c r="D2578" s="49">
        <v>45</v>
      </c>
      <c r="E2578" s="13" t="s">
        <v>3010</v>
      </c>
      <c r="F2578" s="13">
        <v>3025459</v>
      </c>
      <c r="G2578" s="37">
        <v>12740.5</v>
      </c>
      <c r="H2578" s="33">
        <v>8700</v>
      </c>
      <c r="I2578" s="16">
        <f t="shared" ref="I2578:I2582" si="381">H2578*G2578</f>
        <v>110842350</v>
      </c>
      <c r="J2578" s="17">
        <v>28</v>
      </c>
      <c r="K2578" s="34">
        <v>4502443827</v>
      </c>
      <c r="L2578" s="126">
        <v>5084478295</v>
      </c>
      <c r="M2578" s="20">
        <v>5113714894</v>
      </c>
      <c r="N2578" s="128"/>
      <c r="O2578" s="9" t="s">
        <v>37</v>
      </c>
      <c r="P2578" s="23"/>
      <c r="Q2578" s="24" t="s">
        <v>31</v>
      </c>
      <c r="R2578" s="25">
        <v>44872</v>
      </c>
      <c r="S2578" s="28"/>
      <c r="T2578" s="35"/>
      <c r="U2578" s="35"/>
      <c r="V2578" s="29"/>
      <c r="W2578" s="35"/>
      <c r="X2578" s="29"/>
      <c r="Y2578" s="36"/>
      <c r="Z2578" s="29"/>
      <c r="AA2578" s="31">
        <f t="shared" si="1"/>
        <v>44872</v>
      </c>
      <c r="AB2578" s="32" t="str">
        <f t="shared" si="5"/>
        <v>noviembre</v>
      </c>
    </row>
    <row r="2579" spans="1:28" ht="12.75">
      <c r="A2579" s="9" t="s">
        <v>1606</v>
      </c>
      <c r="B2579" s="10">
        <v>44881</v>
      </c>
      <c r="C2579" s="11"/>
      <c r="D2579" s="49">
        <v>45</v>
      </c>
      <c r="E2579" s="13" t="s">
        <v>3011</v>
      </c>
      <c r="F2579" s="13">
        <v>3025461</v>
      </c>
      <c r="G2579" s="14">
        <v>15217</v>
      </c>
      <c r="H2579" s="57">
        <v>8945.9699999999993</v>
      </c>
      <c r="I2579" s="16">
        <f t="shared" si="381"/>
        <v>136130825.48999998</v>
      </c>
      <c r="J2579" s="17">
        <v>28</v>
      </c>
      <c r="K2579" s="34">
        <v>4502448806</v>
      </c>
      <c r="L2579" s="126">
        <v>5084513303</v>
      </c>
      <c r="M2579" s="20">
        <v>5113726763</v>
      </c>
      <c r="N2579" s="128"/>
      <c r="O2579" s="9" t="s">
        <v>63</v>
      </c>
      <c r="P2579" s="23"/>
      <c r="Q2579" s="24" t="s">
        <v>1605</v>
      </c>
      <c r="R2579" s="25">
        <v>44872</v>
      </c>
      <c r="S2579" s="28"/>
      <c r="T2579" s="35"/>
      <c r="U2579" s="35"/>
      <c r="V2579" s="29"/>
      <c r="W2579" s="35"/>
      <c r="X2579" s="29"/>
      <c r="Y2579" s="36"/>
      <c r="Z2579" s="29"/>
      <c r="AA2579" s="31">
        <f t="shared" si="1"/>
        <v>44872</v>
      </c>
      <c r="AB2579" s="32" t="str">
        <f t="shared" si="5"/>
        <v>noviembre</v>
      </c>
    </row>
    <row r="2580" spans="1:28" ht="12.75">
      <c r="A2580" s="9" t="s">
        <v>58</v>
      </c>
      <c r="B2580" s="10">
        <v>44876</v>
      </c>
      <c r="C2580" s="11">
        <v>44876</v>
      </c>
      <c r="D2580" s="49">
        <v>45</v>
      </c>
      <c r="E2580" s="13" t="s">
        <v>3012</v>
      </c>
      <c r="F2580" s="13">
        <v>3025461</v>
      </c>
      <c r="G2580" s="14">
        <v>59579</v>
      </c>
      <c r="H2580" s="57">
        <v>9150</v>
      </c>
      <c r="I2580" s="16">
        <f t="shared" si="381"/>
        <v>545147850</v>
      </c>
      <c r="J2580" s="17">
        <v>120</v>
      </c>
      <c r="K2580" s="34">
        <v>4502448942</v>
      </c>
      <c r="L2580" s="126">
        <v>5084518046</v>
      </c>
      <c r="M2580" s="20">
        <v>5113722621</v>
      </c>
      <c r="N2580" s="128"/>
      <c r="O2580" s="9" t="s">
        <v>37</v>
      </c>
      <c r="P2580" s="23"/>
      <c r="Q2580" s="24" t="s">
        <v>1605</v>
      </c>
      <c r="R2580" s="25">
        <v>44872</v>
      </c>
      <c r="S2580" s="28"/>
      <c r="T2580" s="35"/>
      <c r="U2580" s="35"/>
      <c r="V2580" s="29"/>
      <c r="W2580" s="35"/>
      <c r="X2580" s="29"/>
      <c r="Y2580" s="36"/>
      <c r="Z2580" s="29"/>
      <c r="AA2580" s="31">
        <f t="shared" si="1"/>
        <v>44872</v>
      </c>
      <c r="AB2580" s="32" t="str">
        <f t="shared" si="5"/>
        <v>noviembre</v>
      </c>
    </row>
    <row r="2581" spans="1:28" ht="12.75">
      <c r="A2581" s="9" t="s">
        <v>976</v>
      </c>
      <c r="B2581" s="10">
        <v>44872</v>
      </c>
      <c r="C2581" s="11">
        <v>44880</v>
      </c>
      <c r="D2581" s="49">
        <v>45</v>
      </c>
      <c r="E2581" s="13" t="s">
        <v>3013</v>
      </c>
      <c r="F2581" s="13">
        <v>3025461</v>
      </c>
      <c r="G2581" s="14">
        <v>13776</v>
      </c>
      <c r="H2581" s="15">
        <v>7950</v>
      </c>
      <c r="I2581" s="16">
        <f t="shared" si="381"/>
        <v>109519200</v>
      </c>
      <c r="J2581" s="17">
        <v>26</v>
      </c>
      <c r="K2581" s="34">
        <v>4502448946</v>
      </c>
      <c r="L2581" s="126">
        <v>5084515597</v>
      </c>
      <c r="M2581" s="20">
        <v>5113725419</v>
      </c>
      <c r="N2581" s="23"/>
      <c r="O2581" s="88" t="s">
        <v>3014</v>
      </c>
      <c r="P2581" s="23" t="s">
        <v>37</v>
      </c>
      <c r="Q2581" s="24" t="s">
        <v>1605</v>
      </c>
      <c r="R2581" s="25">
        <v>44872</v>
      </c>
      <c r="S2581" s="28">
        <v>4502448946</v>
      </c>
      <c r="T2581" s="35">
        <f>2650700*2</f>
        <v>5301400</v>
      </c>
      <c r="U2581" s="28" t="s">
        <v>3015</v>
      </c>
      <c r="V2581" s="29">
        <v>5113718115</v>
      </c>
      <c r="W2581" s="35"/>
      <c r="X2581" s="29"/>
      <c r="Y2581" s="36"/>
      <c r="Z2581" s="29"/>
      <c r="AA2581" s="31">
        <f t="shared" si="1"/>
        <v>44872</v>
      </c>
      <c r="AB2581" s="32" t="str">
        <f t="shared" si="5"/>
        <v>noviembre</v>
      </c>
    </row>
    <row r="2582" spans="1:28" ht="12.75">
      <c r="A2582" s="9" t="s">
        <v>2064</v>
      </c>
      <c r="B2582" s="10">
        <v>44876</v>
      </c>
      <c r="C2582" s="11">
        <v>44880</v>
      </c>
      <c r="D2582" s="49">
        <v>45</v>
      </c>
      <c r="E2582" s="13" t="s">
        <v>299</v>
      </c>
      <c r="F2582" s="13">
        <v>3025459</v>
      </c>
      <c r="G2582" s="37">
        <v>7026.5</v>
      </c>
      <c r="H2582" s="33">
        <v>8700</v>
      </c>
      <c r="I2582" s="16">
        <f t="shared" si="381"/>
        <v>61130550</v>
      </c>
      <c r="J2582" s="17">
        <v>14</v>
      </c>
      <c r="K2582" s="34">
        <v>4502443828</v>
      </c>
      <c r="L2582" s="126">
        <v>5084510772</v>
      </c>
      <c r="M2582" s="20">
        <v>5113728535</v>
      </c>
      <c r="N2582" s="128"/>
      <c r="O2582" s="9" t="s">
        <v>63</v>
      </c>
      <c r="P2582" s="23"/>
      <c r="Q2582" s="24" t="s">
        <v>31</v>
      </c>
      <c r="R2582" s="25">
        <v>44873</v>
      </c>
      <c r="S2582" s="28"/>
      <c r="T2582" s="35"/>
      <c r="U2582" s="35"/>
      <c r="V2582" s="29"/>
      <c r="W2582" s="35"/>
      <c r="X2582" s="29"/>
      <c r="Y2582" s="36"/>
      <c r="Z2582" s="29"/>
      <c r="AA2582" s="31">
        <f t="shared" si="1"/>
        <v>44873</v>
      </c>
      <c r="AB2582" s="32" t="str">
        <f t="shared" si="5"/>
        <v>noviembre</v>
      </c>
    </row>
    <row r="2583" spans="1:28" ht="12.75">
      <c r="A2583" s="9" t="s">
        <v>2064</v>
      </c>
      <c r="B2583" s="10">
        <v>44876</v>
      </c>
      <c r="C2583" s="11">
        <v>44880</v>
      </c>
      <c r="D2583" s="49">
        <v>45</v>
      </c>
      <c r="E2583" s="13" t="s">
        <v>334</v>
      </c>
      <c r="F2583" s="13">
        <v>3025459</v>
      </c>
      <c r="G2583" s="37">
        <v>7026.5</v>
      </c>
      <c r="H2583" s="33">
        <v>50</v>
      </c>
      <c r="I2583" s="16">
        <f>-H2583*G2583</f>
        <v>-351325</v>
      </c>
      <c r="J2583" s="17">
        <v>0</v>
      </c>
      <c r="K2583" s="34">
        <v>4502443828</v>
      </c>
      <c r="L2583" s="126">
        <v>5084510772</v>
      </c>
      <c r="M2583" s="20">
        <v>5113728627</v>
      </c>
      <c r="N2583" s="128"/>
      <c r="O2583" s="9"/>
      <c r="P2583" s="23"/>
      <c r="Q2583" s="24" t="s">
        <v>31</v>
      </c>
      <c r="R2583" s="25">
        <v>44873</v>
      </c>
      <c r="S2583" s="28"/>
      <c r="T2583" s="35"/>
      <c r="U2583" s="35"/>
      <c r="V2583" s="29"/>
      <c r="W2583" s="35"/>
      <c r="X2583" s="29"/>
      <c r="Y2583" s="36"/>
      <c r="Z2583" s="29"/>
      <c r="AA2583" s="31">
        <f t="shared" si="1"/>
        <v>44873</v>
      </c>
      <c r="AB2583" s="32" t="str">
        <f t="shared" si="5"/>
        <v>noviembre</v>
      </c>
    </row>
    <row r="2584" spans="1:28" ht="12.75">
      <c r="A2584" s="9" t="s">
        <v>58</v>
      </c>
      <c r="B2584" s="10">
        <v>44876</v>
      </c>
      <c r="C2584" s="11">
        <v>44876</v>
      </c>
      <c r="D2584" s="49">
        <v>45</v>
      </c>
      <c r="E2584" s="13" t="s">
        <v>3016</v>
      </c>
      <c r="F2584" s="13">
        <v>3025459</v>
      </c>
      <c r="G2584" s="37">
        <v>25038.5</v>
      </c>
      <c r="H2584" s="33">
        <v>9150</v>
      </c>
      <c r="I2584" s="16">
        <f>H2584*G2584</f>
        <v>229102275</v>
      </c>
      <c r="J2584" s="17">
        <v>59</v>
      </c>
      <c r="K2584" s="34">
        <v>4502443829</v>
      </c>
      <c r="L2584" s="126">
        <v>5084510773</v>
      </c>
      <c r="M2584" s="20">
        <v>5113723432</v>
      </c>
      <c r="N2584" s="128"/>
      <c r="O2584" s="9" t="s">
        <v>37</v>
      </c>
      <c r="P2584" s="23"/>
      <c r="Q2584" s="24" t="s">
        <v>31</v>
      </c>
      <c r="R2584" s="25">
        <v>44873</v>
      </c>
      <c r="S2584" s="28"/>
      <c r="T2584" s="35"/>
      <c r="U2584" s="35"/>
      <c r="V2584" s="29"/>
      <c r="W2584" s="35"/>
      <c r="X2584" s="29"/>
      <c r="Y2584" s="36"/>
      <c r="Z2584" s="29"/>
      <c r="AA2584" s="31">
        <f t="shared" si="1"/>
        <v>44873</v>
      </c>
      <c r="AB2584" s="32" t="str">
        <f t="shared" si="5"/>
        <v>noviembre</v>
      </c>
    </row>
    <row r="2585" spans="1:28" ht="12.75">
      <c r="A2585" s="9" t="s">
        <v>58</v>
      </c>
      <c r="B2585" s="10">
        <v>44876</v>
      </c>
      <c r="C2585" s="11">
        <v>44876</v>
      </c>
      <c r="D2585" s="49">
        <v>45</v>
      </c>
      <c r="E2585" s="13" t="s">
        <v>1707</v>
      </c>
      <c r="F2585" s="13">
        <v>3025459</v>
      </c>
      <c r="G2585" s="37">
        <v>25038.5</v>
      </c>
      <c r="H2585" s="33">
        <f>9150-9139.08</f>
        <v>10.920000000000073</v>
      </c>
      <c r="I2585" s="16">
        <f>-H2585*G2585</f>
        <v>-273420.42000000185</v>
      </c>
      <c r="J2585" s="17">
        <v>0</v>
      </c>
      <c r="K2585" s="34">
        <v>4502443829</v>
      </c>
      <c r="L2585" s="126">
        <v>5084510773</v>
      </c>
      <c r="M2585" s="20">
        <v>5113723433</v>
      </c>
      <c r="N2585" s="128"/>
      <c r="O2585" s="9"/>
      <c r="P2585" s="23"/>
      <c r="Q2585" s="24" t="s">
        <v>31</v>
      </c>
      <c r="R2585" s="25">
        <v>44873</v>
      </c>
      <c r="S2585" s="28"/>
      <c r="T2585" s="35"/>
      <c r="U2585" s="35"/>
      <c r="V2585" s="29"/>
      <c r="W2585" s="35"/>
      <c r="X2585" s="29"/>
      <c r="Y2585" s="36"/>
      <c r="Z2585" s="29"/>
      <c r="AA2585" s="31">
        <f t="shared" si="1"/>
        <v>44873</v>
      </c>
      <c r="AB2585" s="32" t="str">
        <f t="shared" si="5"/>
        <v>noviembre</v>
      </c>
    </row>
    <row r="2586" spans="1:28" ht="12.75">
      <c r="A2586" s="9" t="s">
        <v>58</v>
      </c>
      <c r="B2586" s="10">
        <v>44876</v>
      </c>
      <c r="C2586" s="11">
        <v>44876</v>
      </c>
      <c r="D2586" s="49">
        <v>45</v>
      </c>
      <c r="E2586" s="13" t="s">
        <v>3017</v>
      </c>
      <c r="F2586" s="13">
        <v>3025459</v>
      </c>
      <c r="G2586" s="37">
        <v>264.5</v>
      </c>
      <c r="H2586" s="33">
        <v>9150</v>
      </c>
      <c r="I2586" s="16">
        <f t="shared" ref="I2586:I2587" si="382">H2586*G2586</f>
        <v>2420175</v>
      </c>
      <c r="J2586" s="17">
        <v>2</v>
      </c>
      <c r="K2586" s="34">
        <v>4502443829</v>
      </c>
      <c r="L2586" s="126">
        <v>5084501109</v>
      </c>
      <c r="M2586" s="20">
        <v>5113723434</v>
      </c>
      <c r="N2586" s="128"/>
      <c r="O2586" s="9" t="s">
        <v>37</v>
      </c>
      <c r="P2586" s="23"/>
      <c r="Q2586" s="24" t="s">
        <v>31</v>
      </c>
      <c r="R2586" s="25">
        <v>44873</v>
      </c>
      <c r="S2586" s="28"/>
      <c r="T2586" s="35"/>
      <c r="U2586" s="35"/>
      <c r="V2586" s="29"/>
      <c r="W2586" s="35"/>
      <c r="X2586" s="29"/>
      <c r="Y2586" s="36"/>
      <c r="Z2586" s="29"/>
      <c r="AA2586" s="31">
        <f t="shared" si="1"/>
        <v>44873</v>
      </c>
      <c r="AB2586" s="32" t="str">
        <f t="shared" si="5"/>
        <v>noviembre</v>
      </c>
    </row>
    <row r="2587" spans="1:28" ht="12.75">
      <c r="A2587" s="9" t="s">
        <v>58</v>
      </c>
      <c r="B2587" s="10">
        <v>44876</v>
      </c>
      <c r="C2587" s="11">
        <v>44876</v>
      </c>
      <c r="D2587" s="49">
        <v>45</v>
      </c>
      <c r="E2587" s="13" t="s">
        <v>3017</v>
      </c>
      <c r="F2587" s="13">
        <v>3025460</v>
      </c>
      <c r="G2587" s="14">
        <v>13033</v>
      </c>
      <c r="H2587" s="33">
        <v>9150</v>
      </c>
      <c r="I2587" s="16">
        <f t="shared" si="382"/>
        <v>119251950</v>
      </c>
      <c r="J2587" s="17">
        <v>29</v>
      </c>
      <c r="K2587" s="34">
        <v>4502443833</v>
      </c>
      <c r="L2587" s="126">
        <v>5084501109</v>
      </c>
      <c r="M2587" s="20">
        <v>5113723434</v>
      </c>
      <c r="N2587" s="128"/>
      <c r="O2587" s="9" t="s">
        <v>37</v>
      </c>
      <c r="P2587" s="23"/>
      <c r="Q2587" s="24" t="s">
        <v>31</v>
      </c>
      <c r="R2587" s="25">
        <v>44873</v>
      </c>
      <c r="S2587" s="28"/>
      <c r="T2587" s="35"/>
      <c r="U2587" s="35"/>
      <c r="V2587" s="29"/>
      <c r="W2587" s="35"/>
      <c r="X2587" s="29"/>
      <c r="Y2587" s="36"/>
      <c r="Z2587" s="29"/>
      <c r="AA2587" s="31">
        <f t="shared" si="1"/>
        <v>44873</v>
      </c>
      <c r="AB2587" s="32" t="str">
        <f t="shared" si="5"/>
        <v>noviembre</v>
      </c>
    </row>
    <row r="2588" spans="1:28" ht="12.75">
      <c r="A2588" s="9" t="s">
        <v>58</v>
      </c>
      <c r="B2588" s="10">
        <v>44876</v>
      </c>
      <c r="C2588" s="11">
        <v>44876</v>
      </c>
      <c r="D2588" s="49">
        <v>45</v>
      </c>
      <c r="E2588" s="13" t="s">
        <v>1829</v>
      </c>
      <c r="F2588" s="13">
        <v>3025460</v>
      </c>
      <c r="G2588" s="14">
        <v>13297.5</v>
      </c>
      <c r="H2588" s="33">
        <f>9150-8943.69</f>
        <v>206.30999999999949</v>
      </c>
      <c r="I2588" s="16">
        <f>-H2588*G2588</f>
        <v>-2743407.2249999931</v>
      </c>
      <c r="J2588" s="17">
        <v>0</v>
      </c>
      <c r="K2588" s="34">
        <v>4502443833</v>
      </c>
      <c r="L2588" s="126">
        <v>5084501109</v>
      </c>
      <c r="M2588" s="20">
        <v>5113723435</v>
      </c>
      <c r="N2588" s="128"/>
      <c r="O2588" s="9"/>
      <c r="P2588" s="23"/>
      <c r="Q2588" s="24" t="s">
        <v>31</v>
      </c>
      <c r="R2588" s="25">
        <v>44873</v>
      </c>
      <c r="S2588" s="28"/>
      <c r="T2588" s="35"/>
      <c r="U2588" s="35"/>
      <c r="V2588" s="29"/>
      <c r="W2588" s="35"/>
      <c r="X2588" s="29"/>
      <c r="Y2588" s="36"/>
      <c r="Z2588" s="29"/>
      <c r="AA2588" s="31">
        <f t="shared" si="1"/>
        <v>44873</v>
      </c>
      <c r="AB2588" s="32" t="str">
        <f t="shared" si="5"/>
        <v>noviembre</v>
      </c>
    </row>
    <row r="2589" spans="1:28" ht="12.75">
      <c r="A2589" s="9" t="s">
        <v>2135</v>
      </c>
      <c r="B2589" s="10">
        <v>44873</v>
      </c>
      <c r="C2589" s="11"/>
      <c r="D2589" s="49">
        <v>45</v>
      </c>
      <c r="E2589" s="13" t="s">
        <v>1625</v>
      </c>
      <c r="F2589" s="13">
        <v>3025460</v>
      </c>
      <c r="G2589" s="37">
        <v>6414.5</v>
      </c>
      <c r="H2589" s="33">
        <v>8650</v>
      </c>
      <c r="I2589" s="16">
        <f>H2589*G2589</f>
        <v>55485425</v>
      </c>
      <c r="J2589" s="17">
        <v>16</v>
      </c>
      <c r="K2589" s="34">
        <v>4502443831</v>
      </c>
      <c r="L2589" s="126">
        <v>5084501096</v>
      </c>
      <c r="M2589" s="20">
        <v>5113721814</v>
      </c>
      <c r="N2589" s="128"/>
      <c r="O2589" s="88" t="s">
        <v>63</v>
      </c>
      <c r="P2589" s="23"/>
      <c r="Q2589" s="24" t="s">
        <v>31</v>
      </c>
      <c r="R2589" s="25">
        <v>44873</v>
      </c>
      <c r="S2589" s="28"/>
      <c r="T2589" s="35"/>
      <c r="U2589" s="35"/>
      <c r="V2589" s="29"/>
      <c r="W2589" s="35"/>
      <c r="X2589" s="29"/>
      <c r="Y2589" s="36"/>
      <c r="Z2589" s="29"/>
      <c r="AA2589" s="31">
        <f t="shared" si="1"/>
        <v>44873</v>
      </c>
      <c r="AB2589" s="32" t="str">
        <f t="shared" si="5"/>
        <v>noviembre</v>
      </c>
    </row>
    <row r="2590" spans="1:28" ht="12.75">
      <c r="A2590" s="9" t="s">
        <v>2135</v>
      </c>
      <c r="B2590" s="10">
        <v>44873</v>
      </c>
      <c r="C2590" s="11"/>
      <c r="D2590" s="49">
        <v>45</v>
      </c>
      <c r="E2590" s="13" t="s">
        <v>3018</v>
      </c>
      <c r="F2590" s="13">
        <v>3025460</v>
      </c>
      <c r="G2590" s="37">
        <v>6414.5</v>
      </c>
      <c r="H2590" s="33">
        <f>8650-8390.48</f>
        <v>259.52000000000044</v>
      </c>
      <c r="I2590" s="16">
        <f>-H2590*G2590</f>
        <v>-1664691.0400000028</v>
      </c>
      <c r="J2590" s="17">
        <v>0</v>
      </c>
      <c r="K2590" s="34">
        <v>4502443831</v>
      </c>
      <c r="L2590" s="126">
        <v>5084501096</v>
      </c>
      <c r="M2590" s="20">
        <v>5113721816</v>
      </c>
      <c r="N2590" s="128"/>
      <c r="O2590" s="9"/>
      <c r="P2590" s="23"/>
      <c r="Q2590" s="24" t="s">
        <v>31</v>
      </c>
      <c r="R2590" s="25">
        <v>44873</v>
      </c>
      <c r="S2590" s="28"/>
      <c r="T2590" s="35"/>
      <c r="U2590" s="35"/>
      <c r="V2590" s="29"/>
      <c r="W2590" s="35"/>
      <c r="X2590" s="29"/>
      <c r="Y2590" s="36"/>
      <c r="Z2590" s="29"/>
      <c r="AA2590" s="31">
        <f t="shared" si="1"/>
        <v>44873</v>
      </c>
      <c r="AB2590" s="32" t="str">
        <f t="shared" si="5"/>
        <v>noviembre</v>
      </c>
    </row>
    <row r="2591" spans="1:28" ht="12.75">
      <c r="A2591" s="22" t="s">
        <v>774</v>
      </c>
      <c r="B2591" s="10">
        <v>44877</v>
      </c>
      <c r="C2591" s="11">
        <v>44877</v>
      </c>
      <c r="D2591" s="49">
        <v>45</v>
      </c>
      <c r="E2591" s="13" t="s">
        <v>1625</v>
      </c>
      <c r="F2591" s="13">
        <v>3025460</v>
      </c>
      <c r="G2591" s="14">
        <v>41665</v>
      </c>
      <c r="H2591" s="33">
        <v>8850</v>
      </c>
      <c r="I2591" s="16">
        <f>H2591*G2591</f>
        <v>368735250</v>
      </c>
      <c r="J2591" s="17">
        <v>105</v>
      </c>
      <c r="K2591" s="34">
        <v>4502443832</v>
      </c>
      <c r="L2591" s="126">
        <v>5084501108</v>
      </c>
      <c r="M2591" s="20">
        <v>5113724850</v>
      </c>
      <c r="N2591" s="128"/>
      <c r="O2591" s="9" t="s">
        <v>63</v>
      </c>
      <c r="P2591" s="23"/>
      <c r="Q2591" s="24" t="s">
        <v>31</v>
      </c>
      <c r="R2591" s="25">
        <v>44873</v>
      </c>
      <c r="S2591" s="28"/>
      <c r="T2591" s="35"/>
      <c r="U2591" s="35"/>
      <c r="V2591" s="29"/>
      <c r="W2591" s="35"/>
      <c r="X2591" s="29"/>
      <c r="Y2591" s="36"/>
      <c r="Z2591" s="29"/>
      <c r="AA2591" s="31">
        <f t="shared" si="1"/>
        <v>44873</v>
      </c>
      <c r="AB2591" s="32" t="str">
        <f t="shared" si="5"/>
        <v>noviembre</v>
      </c>
    </row>
    <row r="2592" spans="1:28" ht="12.75">
      <c r="A2592" s="22" t="s">
        <v>774</v>
      </c>
      <c r="B2592" s="10">
        <v>44877</v>
      </c>
      <c r="C2592" s="11">
        <v>44877</v>
      </c>
      <c r="D2592" s="49">
        <v>45</v>
      </c>
      <c r="E2592" s="13" t="s">
        <v>427</v>
      </c>
      <c r="F2592" s="13">
        <v>3025460</v>
      </c>
      <c r="G2592" s="14">
        <v>41665</v>
      </c>
      <c r="H2592" s="33">
        <f>8850-8745.07</f>
        <v>104.93000000000029</v>
      </c>
      <c r="I2592" s="16">
        <f>-H2592*G2592</f>
        <v>-4371908.4500000123</v>
      </c>
      <c r="J2592" s="17">
        <v>0</v>
      </c>
      <c r="K2592" s="34">
        <v>4502443832</v>
      </c>
      <c r="L2592" s="126">
        <v>5084501108</v>
      </c>
      <c r="M2592" s="20">
        <v>5113724853</v>
      </c>
      <c r="N2592" s="128"/>
      <c r="O2592" s="88"/>
      <c r="P2592" s="23"/>
      <c r="Q2592" s="24" t="s">
        <v>31</v>
      </c>
      <c r="R2592" s="25">
        <v>44873</v>
      </c>
      <c r="S2592" s="28"/>
      <c r="T2592" s="35"/>
      <c r="U2592" s="35"/>
      <c r="V2592" s="29"/>
      <c r="W2592" s="35"/>
      <c r="X2592" s="29"/>
      <c r="Y2592" s="36"/>
      <c r="Z2592" s="29"/>
      <c r="AA2592" s="31">
        <f t="shared" si="1"/>
        <v>44873</v>
      </c>
      <c r="AB2592" s="32" t="str">
        <f t="shared" si="5"/>
        <v>noviembre</v>
      </c>
    </row>
    <row r="2593" spans="1:28" ht="12.75">
      <c r="A2593" s="9" t="s">
        <v>28</v>
      </c>
      <c r="B2593" s="10">
        <v>44875</v>
      </c>
      <c r="C2593" s="11">
        <v>44875</v>
      </c>
      <c r="D2593" s="49">
        <v>45</v>
      </c>
      <c r="E2593" s="13" t="s">
        <v>3019</v>
      </c>
      <c r="F2593" s="13">
        <v>3025461</v>
      </c>
      <c r="G2593" s="14">
        <v>68962</v>
      </c>
      <c r="H2593" s="15">
        <v>8200</v>
      </c>
      <c r="I2593" s="16">
        <f t="shared" ref="I2593:I2598" si="383">H2593*G2593</f>
        <v>565488400</v>
      </c>
      <c r="J2593" s="17">
        <v>140</v>
      </c>
      <c r="K2593" s="34">
        <v>4502449123</v>
      </c>
      <c r="L2593" s="126">
        <v>5084517417</v>
      </c>
      <c r="M2593" s="20">
        <v>5113717957</v>
      </c>
      <c r="N2593" s="128"/>
      <c r="O2593" s="88" t="s">
        <v>3020</v>
      </c>
      <c r="P2593" s="23" t="s">
        <v>63</v>
      </c>
      <c r="Q2593" s="24" t="s">
        <v>1605</v>
      </c>
      <c r="R2593" s="25">
        <v>44873</v>
      </c>
      <c r="S2593" s="34">
        <v>4502449123</v>
      </c>
      <c r="T2593" s="28">
        <v>18928200</v>
      </c>
      <c r="U2593" s="28" t="s">
        <v>3021</v>
      </c>
      <c r="V2593" s="29">
        <v>5113728374</v>
      </c>
      <c r="W2593" s="29" t="s">
        <v>3022</v>
      </c>
      <c r="X2593" s="29">
        <v>5113728260</v>
      </c>
      <c r="Y2593" s="36"/>
      <c r="Z2593" s="29"/>
      <c r="AA2593" s="31">
        <f t="shared" si="1"/>
        <v>44873</v>
      </c>
      <c r="AB2593" s="32" t="str">
        <f t="shared" si="5"/>
        <v>noviembre</v>
      </c>
    </row>
    <row r="2594" spans="1:28" ht="12.75">
      <c r="A2594" s="9" t="s">
        <v>58</v>
      </c>
      <c r="B2594" s="10">
        <v>44876</v>
      </c>
      <c r="C2594" s="11">
        <v>44876</v>
      </c>
      <c r="D2594" s="49">
        <v>45</v>
      </c>
      <c r="E2594" s="13" t="s">
        <v>3023</v>
      </c>
      <c r="F2594" s="13">
        <v>3025462</v>
      </c>
      <c r="G2594" s="14">
        <v>8015</v>
      </c>
      <c r="H2594" s="57">
        <v>7800</v>
      </c>
      <c r="I2594" s="16">
        <f t="shared" si="383"/>
        <v>62517000</v>
      </c>
      <c r="J2594" s="17">
        <v>31</v>
      </c>
      <c r="K2594" s="34">
        <v>4502448987</v>
      </c>
      <c r="L2594" s="126">
        <v>5084515769</v>
      </c>
      <c r="M2594" s="20">
        <v>5113722623</v>
      </c>
      <c r="N2594" s="128"/>
      <c r="O2594" s="9" t="s">
        <v>37</v>
      </c>
      <c r="P2594" s="23"/>
      <c r="Q2594" s="24" t="s">
        <v>357</v>
      </c>
      <c r="R2594" s="25">
        <v>44874</v>
      </c>
      <c r="S2594" s="28"/>
      <c r="T2594" s="35"/>
      <c r="U2594" s="35"/>
      <c r="V2594" s="29"/>
      <c r="W2594" s="35"/>
      <c r="X2594" s="29"/>
      <c r="Y2594" s="36"/>
      <c r="Z2594" s="29"/>
      <c r="AA2594" s="31">
        <f t="shared" si="1"/>
        <v>44874</v>
      </c>
      <c r="AB2594" s="32" t="str">
        <f t="shared" si="5"/>
        <v>noviembre</v>
      </c>
    </row>
    <row r="2595" spans="1:28" ht="12.75">
      <c r="A2595" s="9" t="s">
        <v>58</v>
      </c>
      <c r="B2595" s="10">
        <v>44883</v>
      </c>
      <c r="C2595" s="11">
        <v>44883</v>
      </c>
      <c r="D2595" s="53">
        <v>46</v>
      </c>
      <c r="E2595" s="13" t="s">
        <v>3024</v>
      </c>
      <c r="F2595" s="13">
        <v>3025461</v>
      </c>
      <c r="G2595" s="14">
        <v>55583</v>
      </c>
      <c r="H2595" s="57">
        <v>9143.08</v>
      </c>
      <c r="I2595" s="16">
        <f t="shared" si="383"/>
        <v>508199815.63999999</v>
      </c>
      <c r="J2595" s="17">
        <v>120</v>
      </c>
      <c r="K2595" s="34">
        <v>4502450672</v>
      </c>
      <c r="L2595" s="19">
        <v>5084574188</v>
      </c>
      <c r="M2595" s="20">
        <v>5113737850</v>
      </c>
      <c r="N2595" s="23"/>
      <c r="O2595" s="9" t="s">
        <v>37</v>
      </c>
      <c r="P2595" s="23"/>
      <c r="Q2595" s="24" t="s">
        <v>1605</v>
      </c>
      <c r="R2595" s="25">
        <v>44875</v>
      </c>
      <c r="S2595" s="28"/>
      <c r="T2595" s="35"/>
      <c r="U2595" s="35"/>
      <c r="V2595" s="29"/>
      <c r="W2595" s="35"/>
      <c r="X2595" s="29"/>
      <c r="Y2595" s="36"/>
      <c r="Z2595" s="29"/>
      <c r="AA2595" s="31">
        <f t="shared" si="1"/>
        <v>44875</v>
      </c>
      <c r="AB2595" s="32" t="str">
        <f t="shared" si="5"/>
        <v>noviembre</v>
      </c>
    </row>
    <row r="2596" spans="1:28" ht="12.75">
      <c r="A2596" s="9" t="s">
        <v>58</v>
      </c>
      <c r="B2596" s="10">
        <v>44883</v>
      </c>
      <c r="C2596" s="11">
        <v>44883</v>
      </c>
      <c r="D2596" s="53">
        <v>46</v>
      </c>
      <c r="E2596" s="13" t="s">
        <v>3025</v>
      </c>
      <c r="F2596" s="13">
        <v>3025461</v>
      </c>
      <c r="G2596" s="14">
        <v>16676</v>
      </c>
      <c r="H2596" s="57">
        <v>9200</v>
      </c>
      <c r="I2596" s="16">
        <f t="shared" si="383"/>
        <v>153419200</v>
      </c>
      <c r="J2596" s="17">
        <v>30</v>
      </c>
      <c r="K2596" s="34">
        <v>4502450743</v>
      </c>
      <c r="L2596" s="19">
        <v>5084575510</v>
      </c>
      <c r="M2596" s="20">
        <v>5113737852</v>
      </c>
      <c r="N2596" s="23"/>
      <c r="O2596" s="9" t="s">
        <v>37</v>
      </c>
      <c r="P2596" s="23"/>
      <c r="Q2596" s="24" t="s">
        <v>1605</v>
      </c>
      <c r="R2596" s="25">
        <v>44875</v>
      </c>
      <c r="S2596" s="28"/>
      <c r="T2596" s="35"/>
      <c r="U2596" s="35"/>
      <c r="V2596" s="29"/>
      <c r="W2596" s="35"/>
      <c r="X2596" s="29"/>
      <c r="Y2596" s="36"/>
      <c r="Z2596" s="29"/>
      <c r="AA2596" s="31">
        <f t="shared" si="1"/>
        <v>44875</v>
      </c>
      <c r="AB2596" s="32" t="str">
        <f t="shared" si="5"/>
        <v>noviembre</v>
      </c>
    </row>
    <row r="2597" spans="1:28" ht="12.75">
      <c r="A2597" s="9" t="s">
        <v>819</v>
      </c>
      <c r="B2597" s="10">
        <v>44875</v>
      </c>
      <c r="C2597" s="11"/>
      <c r="D2597" s="53">
        <v>46</v>
      </c>
      <c r="E2597" s="13">
        <v>6177</v>
      </c>
      <c r="F2597" s="13">
        <v>3025461</v>
      </c>
      <c r="G2597" s="14">
        <v>27387</v>
      </c>
      <c r="H2597" s="57">
        <v>9100</v>
      </c>
      <c r="I2597" s="16">
        <f t="shared" si="383"/>
        <v>249221700</v>
      </c>
      <c r="J2597" s="17">
        <v>56</v>
      </c>
      <c r="K2597" s="34">
        <v>4502450688</v>
      </c>
      <c r="L2597" s="19">
        <v>5084574487</v>
      </c>
      <c r="M2597" s="20">
        <v>5113725291</v>
      </c>
      <c r="N2597" s="23"/>
      <c r="O2597" s="9" t="s">
        <v>63</v>
      </c>
      <c r="P2597" s="23"/>
      <c r="Q2597" s="24" t="s">
        <v>1605</v>
      </c>
      <c r="R2597" s="25">
        <v>44875</v>
      </c>
      <c r="S2597" s="28"/>
      <c r="T2597" s="35"/>
      <c r="U2597" s="35"/>
      <c r="V2597" s="29"/>
      <c r="W2597" s="35"/>
      <c r="X2597" s="29"/>
      <c r="Y2597" s="36"/>
      <c r="Z2597" s="29"/>
      <c r="AA2597" s="31">
        <f t="shared" si="1"/>
        <v>44875</v>
      </c>
      <c r="AB2597" s="32" t="str">
        <f t="shared" si="5"/>
        <v>noviembre</v>
      </c>
    </row>
    <row r="2598" spans="1:28" ht="12.75">
      <c r="A2598" s="22" t="s">
        <v>719</v>
      </c>
      <c r="B2598" s="10">
        <v>44876</v>
      </c>
      <c r="C2598" s="11"/>
      <c r="D2598" s="53">
        <v>46</v>
      </c>
      <c r="E2598" s="13" t="s">
        <v>2649</v>
      </c>
      <c r="F2598" s="13">
        <v>3025457</v>
      </c>
      <c r="G2598" s="14">
        <v>7462</v>
      </c>
      <c r="H2598" s="33">
        <v>8750</v>
      </c>
      <c r="I2598" s="16">
        <f t="shared" si="383"/>
        <v>65292500</v>
      </c>
      <c r="J2598" s="17">
        <v>15</v>
      </c>
      <c r="K2598" s="34">
        <v>4502448147</v>
      </c>
      <c r="L2598" s="19">
        <v>5084567340</v>
      </c>
      <c r="M2598" s="20">
        <v>5113729025</v>
      </c>
      <c r="N2598" s="23"/>
      <c r="O2598" s="9" t="s">
        <v>37</v>
      </c>
      <c r="P2598" s="124"/>
      <c r="Q2598" s="24" t="s">
        <v>31</v>
      </c>
      <c r="R2598" s="25">
        <v>44876</v>
      </c>
      <c r="S2598" s="28"/>
      <c r="T2598" s="35"/>
      <c r="U2598" s="35"/>
      <c r="V2598" s="29"/>
      <c r="W2598" s="35"/>
      <c r="X2598" s="29"/>
      <c r="Y2598" s="36"/>
      <c r="Z2598" s="29"/>
      <c r="AA2598" s="31">
        <f t="shared" si="1"/>
        <v>44876</v>
      </c>
      <c r="AB2598" s="32" t="str">
        <f t="shared" si="5"/>
        <v>noviembre</v>
      </c>
    </row>
    <row r="2599" spans="1:28" ht="12.75">
      <c r="A2599" s="22" t="s">
        <v>719</v>
      </c>
      <c r="B2599" s="10">
        <v>44876</v>
      </c>
      <c r="C2599" s="11"/>
      <c r="D2599" s="53">
        <v>46</v>
      </c>
      <c r="E2599" s="13" t="s">
        <v>895</v>
      </c>
      <c r="F2599" s="13">
        <v>3025457</v>
      </c>
      <c r="G2599" s="14">
        <v>7462</v>
      </c>
      <c r="H2599" s="33">
        <v>50</v>
      </c>
      <c r="I2599" s="16">
        <f>-H2599*G2599</f>
        <v>-373100</v>
      </c>
      <c r="J2599" s="17">
        <v>0</v>
      </c>
      <c r="K2599" s="34">
        <v>4502448147</v>
      </c>
      <c r="L2599" s="19">
        <v>5084567340</v>
      </c>
      <c r="M2599" s="20">
        <v>5113729058</v>
      </c>
      <c r="N2599" s="23"/>
      <c r="O2599" s="9"/>
      <c r="P2599" s="23"/>
      <c r="Q2599" s="24" t="s">
        <v>31</v>
      </c>
      <c r="R2599" s="25">
        <v>44876</v>
      </c>
      <c r="S2599" s="28"/>
      <c r="T2599" s="35"/>
      <c r="U2599" s="35"/>
      <c r="V2599" s="29"/>
      <c r="W2599" s="35"/>
      <c r="X2599" s="29"/>
      <c r="Y2599" s="36"/>
      <c r="Z2599" s="29"/>
      <c r="AA2599" s="31">
        <f t="shared" si="1"/>
        <v>44876</v>
      </c>
      <c r="AB2599" s="32" t="str">
        <f t="shared" si="5"/>
        <v>noviembre</v>
      </c>
    </row>
    <row r="2600" spans="1:28" ht="12.75">
      <c r="A2600" s="9" t="s">
        <v>242</v>
      </c>
      <c r="B2600" s="10">
        <v>44881</v>
      </c>
      <c r="C2600" s="11"/>
      <c r="D2600" s="53">
        <v>46</v>
      </c>
      <c r="E2600" s="13" t="s">
        <v>692</v>
      </c>
      <c r="F2600" s="13">
        <v>3025457</v>
      </c>
      <c r="G2600" s="14">
        <v>6899</v>
      </c>
      <c r="H2600" s="33">
        <v>8700</v>
      </c>
      <c r="I2600" s="16">
        <f>H2600*G2600</f>
        <v>60021300</v>
      </c>
      <c r="J2600" s="17">
        <v>15</v>
      </c>
      <c r="K2600" s="34">
        <v>4502448148</v>
      </c>
      <c r="L2600" s="19">
        <v>5084567341</v>
      </c>
      <c r="M2600" s="20">
        <v>5113739319</v>
      </c>
      <c r="N2600" s="23"/>
      <c r="O2600" s="9" t="s">
        <v>37</v>
      </c>
      <c r="P2600" s="23"/>
      <c r="Q2600" s="24" t="s">
        <v>31</v>
      </c>
      <c r="R2600" s="25">
        <v>44876</v>
      </c>
      <c r="S2600" s="28"/>
      <c r="T2600" s="35"/>
      <c r="U2600" s="35"/>
      <c r="V2600" s="29"/>
      <c r="W2600" s="35"/>
      <c r="X2600" s="29"/>
      <c r="Y2600" s="36"/>
      <c r="Z2600" s="29"/>
      <c r="AA2600" s="31">
        <f t="shared" si="1"/>
        <v>44876</v>
      </c>
      <c r="AB2600" s="32" t="str">
        <f t="shared" si="5"/>
        <v>noviembre</v>
      </c>
    </row>
    <row r="2601" spans="1:28" ht="12.75">
      <c r="A2601" s="9" t="s">
        <v>242</v>
      </c>
      <c r="B2601" s="10">
        <v>44881</v>
      </c>
      <c r="C2601" s="11"/>
      <c r="D2601" s="53">
        <v>46</v>
      </c>
      <c r="E2601" s="13" t="s">
        <v>575</v>
      </c>
      <c r="F2601" s="13">
        <v>3025457</v>
      </c>
      <c r="G2601" s="14">
        <v>6899</v>
      </c>
      <c r="H2601" s="33">
        <f>8700-8529.31</f>
        <v>170.69000000000051</v>
      </c>
      <c r="I2601" s="16">
        <f>-H2601*G2601</f>
        <v>-1177590.3100000035</v>
      </c>
      <c r="J2601" s="17">
        <v>0</v>
      </c>
      <c r="K2601" s="34">
        <v>4502448148</v>
      </c>
      <c r="L2601" s="19">
        <v>5084567341</v>
      </c>
      <c r="M2601" s="20">
        <v>5113739321</v>
      </c>
      <c r="N2601" s="23"/>
      <c r="O2601" s="9"/>
      <c r="P2601" s="23"/>
      <c r="Q2601" s="24" t="s">
        <v>31</v>
      </c>
      <c r="R2601" s="25">
        <v>44876</v>
      </c>
      <c r="S2601" s="28"/>
      <c r="T2601" s="35"/>
      <c r="U2601" s="35"/>
      <c r="V2601" s="29"/>
      <c r="W2601" s="35"/>
      <c r="X2601" s="29"/>
      <c r="Y2601" s="36"/>
      <c r="Z2601" s="29"/>
      <c r="AA2601" s="31">
        <f t="shared" si="1"/>
        <v>44876</v>
      </c>
      <c r="AB2601" s="32" t="str">
        <f t="shared" si="5"/>
        <v>noviembre</v>
      </c>
    </row>
    <row r="2602" spans="1:28" ht="12.75">
      <c r="A2602" s="9" t="s">
        <v>58</v>
      </c>
      <c r="B2602" s="10">
        <v>44883</v>
      </c>
      <c r="C2602" s="11">
        <v>44883</v>
      </c>
      <c r="D2602" s="53">
        <v>46</v>
      </c>
      <c r="E2602" s="13" t="s">
        <v>3026</v>
      </c>
      <c r="F2602" s="13">
        <v>3025457</v>
      </c>
      <c r="G2602" s="37">
        <v>34801.5</v>
      </c>
      <c r="H2602" s="33">
        <v>9150</v>
      </c>
      <c r="I2602" s="16">
        <f>H2602*G2602</f>
        <v>318433725</v>
      </c>
      <c r="J2602" s="17">
        <v>77</v>
      </c>
      <c r="K2602" s="34">
        <v>4502448149</v>
      </c>
      <c r="L2602" s="19">
        <v>5084567342</v>
      </c>
      <c r="M2602" s="20">
        <v>5113737853</v>
      </c>
      <c r="N2602" s="23"/>
      <c r="O2602" s="9" t="s">
        <v>37</v>
      </c>
      <c r="P2602" s="23"/>
      <c r="Q2602" s="24" t="s">
        <v>31</v>
      </c>
      <c r="R2602" s="25">
        <v>44876</v>
      </c>
      <c r="S2602" s="28"/>
      <c r="T2602" s="35"/>
      <c r="U2602" s="35"/>
      <c r="V2602" s="29"/>
      <c r="W2602" s="35"/>
      <c r="X2602" s="29"/>
      <c r="Y2602" s="36"/>
      <c r="Z2602" s="29"/>
      <c r="AA2602" s="31">
        <f t="shared" si="1"/>
        <v>44876</v>
      </c>
      <c r="AB2602" s="32" t="str">
        <f t="shared" si="5"/>
        <v>noviembre</v>
      </c>
    </row>
    <row r="2603" spans="1:28" ht="12.75">
      <c r="A2603" s="9" t="s">
        <v>58</v>
      </c>
      <c r="B2603" s="10">
        <v>44886</v>
      </c>
      <c r="C2603" s="11">
        <v>44886</v>
      </c>
      <c r="D2603" s="53">
        <v>46</v>
      </c>
      <c r="E2603" s="13" t="s">
        <v>1947</v>
      </c>
      <c r="F2603" s="13">
        <v>3025457</v>
      </c>
      <c r="G2603" s="37">
        <v>34801.5</v>
      </c>
      <c r="H2603" s="33">
        <f>9150-8992.18</f>
        <v>157.81999999999971</v>
      </c>
      <c r="I2603" s="16">
        <f>-H2603*G2603</f>
        <v>-5492372.7299999902</v>
      </c>
      <c r="J2603" s="17">
        <v>0</v>
      </c>
      <c r="K2603" s="34">
        <v>4502448149</v>
      </c>
      <c r="L2603" s="19">
        <v>5084567342</v>
      </c>
      <c r="M2603" s="20">
        <v>5113737855</v>
      </c>
      <c r="N2603" s="23"/>
      <c r="O2603" s="9"/>
      <c r="P2603" s="23"/>
      <c r="Q2603" s="24" t="s">
        <v>31</v>
      </c>
      <c r="R2603" s="25">
        <v>44876</v>
      </c>
      <c r="S2603" s="28"/>
      <c r="T2603" s="35"/>
      <c r="U2603" s="35"/>
      <c r="V2603" s="29"/>
      <c r="W2603" s="35"/>
      <c r="X2603" s="29"/>
      <c r="Y2603" s="36"/>
      <c r="Z2603" s="29"/>
      <c r="AA2603" s="31">
        <f t="shared" si="1"/>
        <v>44876</v>
      </c>
      <c r="AB2603" s="32" t="str">
        <f t="shared" si="5"/>
        <v>noviembre</v>
      </c>
    </row>
    <row r="2604" spans="1:28" ht="12.75">
      <c r="A2604" s="22" t="s">
        <v>404</v>
      </c>
      <c r="B2604" s="10">
        <v>44876</v>
      </c>
      <c r="C2604" s="11">
        <v>44880</v>
      </c>
      <c r="D2604" s="53">
        <v>46</v>
      </c>
      <c r="E2604" s="13" t="s">
        <v>3027</v>
      </c>
      <c r="F2604" s="13">
        <v>3025457</v>
      </c>
      <c r="G2604" s="14">
        <v>29469.5</v>
      </c>
      <c r="H2604" s="33">
        <v>9100</v>
      </c>
      <c r="I2604" s="16">
        <f>H2604*G2604</f>
        <v>268172450</v>
      </c>
      <c r="J2604" s="17">
        <v>66</v>
      </c>
      <c r="K2604" s="34">
        <v>4502448150</v>
      </c>
      <c r="L2604" s="19">
        <v>5084566159</v>
      </c>
      <c r="M2604" s="20">
        <v>5113725116</v>
      </c>
      <c r="N2604" s="23"/>
      <c r="O2604" s="9" t="s">
        <v>37</v>
      </c>
      <c r="P2604" s="23"/>
      <c r="Q2604" s="24" t="s">
        <v>31</v>
      </c>
      <c r="R2604" s="25">
        <v>44876</v>
      </c>
      <c r="S2604" s="28"/>
      <c r="T2604" s="35"/>
      <c r="U2604" s="35"/>
      <c r="V2604" s="29"/>
      <c r="W2604" s="35"/>
      <c r="X2604" s="29"/>
      <c r="Y2604" s="36"/>
      <c r="Z2604" s="29"/>
      <c r="AA2604" s="31">
        <f t="shared" si="1"/>
        <v>44876</v>
      </c>
      <c r="AB2604" s="32" t="str">
        <f t="shared" si="5"/>
        <v>noviembre</v>
      </c>
    </row>
    <row r="2605" spans="1:28" ht="12.75">
      <c r="A2605" s="22" t="s">
        <v>404</v>
      </c>
      <c r="B2605" s="10">
        <v>44880</v>
      </c>
      <c r="C2605" s="11">
        <v>44880</v>
      </c>
      <c r="D2605" s="53">
        <v>46</v>
      </c>
      <c r="E2605" s="13" t="s">
        <v>809</v>
      </c>
      <c r="F2605" s="13">
        <v>3025457</v>
      </c>
      <c r="G2605" s="14">
        <v>29469.5</v>
      </c>
      <c r="H2605" s="33">
        <f>9100-8989.51</f>
        <v>110.48999999999978</v>
      </c>
      <c r="I2605" s="16">
        <f>-H2605*G2605</f>
        <v>-3256085.0549999936</v>
      </c>
      <c r="J2605" s="17">
        <v>0</v>
      </c>
      <c r="K2605" s="34">
        <v>4502448150</v>
      </c>
      <c r="L2605" s="19">
        <v>5084566159</v>
      </c>
      <c r="M2605" s="20">
        <v>5113725148</v>
      </c>
      <c r="N2605" s="23"/>
      <c r="O2605" s="9"/>
      <c r="P2605" s="23"/>
      <c r="Q2605" s="24" t="s">
        <v>31</v>
      </c>
      <c r="R2605" s="25">
        <v>44876</v>
      </c>
      <c r="S2605" s="28"/>
      <c r="T2605" s="35"/>
      <c r="U2605" s="35"/>
      <c r="V2605" s="29"/>
      <c r="W2605" s="35"/>
      <c r="X2605" s="29"/>
      <c r="Y2605" s="36"/>
      <c r="Z2605" s="29"/>
      <c r="AA2605" s="31">
        <f t="shared" si="1"/>
        <v>44876</v>
      </c>
      <c r="AB2605" s="32" t="str">
        <f t="shared" si="5"/>
        <v>noviembre</v>
      </c>
    </row>
    <row r="2606" spans="1:28" ht="12.75">
      <c r="A2606" s="9" t="s">
        <v>80</v>
      </c>
      <c r="B2606" s="10">
        <v>44876</v>
      </c>
      <c r="C2606" s="11">
        <v>44880</v>
      </c>
      <c r="D2606" s="53">
        <v>46</v>
      </c>
      <c r="E2606" s="13" t="s">
        <v>3028</v>
      </c>
      <c r="F2606" s="13">
        <v>3025459</v>
      </c>
      <c r="G2606" s="14">
        <v>19741</v>
      </c>
      <c r="H2606" s="15">
        <v>8550</v>
      </c>
      <c r="I2606" s="16">
        <f t="shared" ref="I2606:I2611" si="384">H2606*G2606</f>
        <v>168785550</v>
      </c>
      <c r="J2606" s="17">
        <v>42</v>
      </c>
      <c r="K2606" s="34">
        <v>4502450559</v>
      </c>
      <c r="L2606" s="19">
        <v>5084567294</v>
      </c>
      <c r="M2606" s="20">
        <v>5113731626</v>
      </c>
      <c r="N2606" s="128" t="s">
        <v>37</v>
      </c>
      <c r="O2606" s="88" t="s">
        <v>272</v>
      </c>
      <c r="P2606" s="23"/>
      <c r="Q2606" s="24" t="s">
        <v>31</v>
      </c>
      <c r="R2606" s="25">
        <v>44876</v>
      </c>
      <c r="S2606" s="28">
        <v>4902385118</v>
      </c>
      <c r="T2606" s="35">
        <f>1793900*3</f>
        <v>5381700</v>
      </c>
      <c r="U2606" s="28" t="s">
        <v>3029</v>
      </c>
      <c r="V2606" s="29">
        <v>5113728437</v>
      </c>
      <c r="W2606" s="35"/>
      <c r="X2606" s="29"/>
      <c r="Y2606" s="36"/>
      <c r="Z2606" s="29"/>
      <c r="AA2606" s="31">
        <f t="shared" si="1"/>
        <v>44876</v>
      </c>
      <c r="AB2606" s="32" t="str">
        <f t="shared" si="5"/>
        <v>noviembre</v>
      </c>
    </row>
    <row r="2607" spans="1:28" ht="12.75">
      <c r="A2607" s="9" t="s">
        <v>80</v>
      </c>
      <c r="B2607" s="10">
        <v>44876</v>
      </c>
      <c r="C2607" s="11">
        <v>44880</v>
      </c>
      <c r="D2607" s="53">
        <v>46</v>
      </c>
      <c r="E2607" s="13">
        <v>8</v>
      </c>
      <c r="F2607" s="13">
        <v>3025459</v>
      </c>
      <c r="G2607" s="14">
        <v>19741</v>
      </c>
      <c r="H2607" s="54">
        <v>24</v>
      </c>
      <c r="I2607" s="16">
        <f t="shared" si="384"/>
        <v>473784</v>
      </c>
      <c r="J2607" s="17">
        <v>0</v>
      </c>
      <c r="K2607" s="34">
        <v>4502450559</v>
      </c>
      <c r="L2607" s="19">
        <v>5084567294</v>
      </c>
      <c r="M2607" s="20">
        <v>5113731637</v>
      </c>
      <c r="N2607" s="23"/>
      <c r="O2607" s="9"/>
      <c r="P2607" s="23"/>
      <c r="Q2607" s="24" t="s">
        <v>31</v>
      </c>
      <c r="R2607" s="25">
        <v>44876</v>
      </c>
      <c r="S2607" s="28"/>
      <c r="T2607" s="35"/>
      <c r="U2607" s="35"/>
      <c r="V2607" s="29"/>
      <c r="W2607" s="35"/>
      <c r="X2607" s="29"/>
      <c r="Y2607" s="36"/>
      <c r="Z2607" s="29"/>
      <c r="AA2607" s="31">
        <f t="shared" si="1"/>
        <v>44876</v>
      </c>
      <c r="AB2607" s="32" t="str">
        <f t="shared" si="5"/>
        <v>noviembre</v>
      </c>
    </row>
    <row r="2608" spans="1:28" ht="12.75">
      <c r="A2608" s="9" t="s">
        <v>274</v>
      </c>
      <c r="B2608" s="10">
        <v>44876</v>
      </c>
      <c r="C2608" s="11">
        <v>44880</v>
      </c>
      <c r="D2608" s="53">
        <v>46</v>
      </c>
      <c r="E2608" s="13" t="s">
        <v>3030</v>
      </c>
      <c r="F2608" s="13">
        <v>3025459</v>
      </c>
      <c r="G2608" s="14">
        <v>12310</v>
      </c>
      <c r="H2608" s="33">
        <v>9100</v>
      </c>
      <c r="I2608" s="16">
        <f t="shared" si="384"/>
        <v>112021000</v>
      </c>
      <c r="J2608" s="17">
        <v>28</v>
      </c>
      <c r="K2608" s="34">
        <v>4502448151</v>
      </c>
      <c r="L2608" s="19">
        <v>5084566160</v>
      </c>
      <c r="M2608" s="20">
        <v>5113724929</v>
      </c>
      <c r="N2608" s="23"/>
      <c r="O2608" s="9" t="s">
        <v>63</v>
      </c>
      <c r="P2608" s="23"/>
      <c r="Q2608" s="24" t="s">
        <v>31</v>
      </c>
      <c r="R2608" s="25">
        <v>44876</v>
      </c>
      <c r="S2608" s="28"/>
      <c r="T2608" s="35"/>
      <c r="U2608" s="35"/>
      <c r="V2608" s="29"/>
      <c r="W2608" s="35"/>
      <c r="X2608" s="29"/>
      <c r="Y2608" s="36"/>
      <c r="Z2608" s="29"/>
      <c r="AA2608" s="31">
        <f t="shared" si="1"/>
        <v>44876</v>
      </c>
      <c r="AB2608" s="32" t="str">
        <f t="shared" si="5"/>
        <v>noviembre</v>
      </c>
    </row>
    <row r="2609" spans="1:28" ht="12.75">
      <c r="A2609" s="9" t="s">
        <v>274</v>
      </c>
      <c r="B2609" s="10">
        <v>44876</v>
      </c>
      <c r="C2609" s="11">
        <v>44880</v>
      </c>
      <c r="D2609" s="53">
        <v>46</v>
      </c>
      <c r="E2609" s="13" t="s">
        <v>772</v>
      </c>
      <c r="F2609" s="13">
        <v>3025459</v>
      </c>
      <c r="G2609" s="14">
        <v>12310</v>
      </c>
      <c r="H2609" s="33">
        <f>9124-9100</f>
        <v>24</v>
      </c>
      <c r="I2609" s="16">
        <f t="shared" si="384"/>
        <v>295440</v>
      </c>
      <c r="J2609" s="17">
        <v>0</v>
      </c>
      <c r="K2609" s="34">
        <v>4502448151</v>
      </c>
      <c r="L2609" s="19">
        <v>5084566160</v>
      </c>
      <c r="M2609" s="20">
        <v>5113724930</v>
      </c>
      <c r="N2609" s="23"/>
      <c r="O2609" s="9"/>
      <c r="P2609" s="23"/>
      <c r="Q2609" s="24" t="s">
        <v>31</v>
      </c>
      <c r="R2609" s="25">
        <v>44876</v>
      </c>
      <c r="S2609" s="28"/>
      <c r="T2609" s="35"/>
      <c r="U2609" s="35"/>
      <c r="V2609" s="29"/>
      <c r="W2609" s="35"/>
      <c r="X2609" s="29"/>
      <c r="Y2609" s="36"/>
      <c r="Z2609" s="29"/>
      <c r="AA2609" s="31">
        <f t="shared" si="1"/>
        <v>44876</v>
      </c>
      <c r="AB2609" s="32" t="str">
        <f t="shared" si="5"/>
        <v>noviembre</v>
      </c>
    </row>
    <row r="2610" spans="1:28" ht="12.75">
      <c r="A2610" s="9" t="s">
        <v>28</v>
      </c>
      <c r="B2610" s="10">
        <v>44880</v>
      </c>
      <c r="C2610" s="11">
        <v>44880</v>
      </c>
      <c r="D2610" s="53">
        <v>46</v>
      </c>
      <c r="E2610" s="13" t="s">
        <v>3031</v>
      </c>
      <c r="F2610" s="13">
        <v>3025461</v>
      </c>
      <c r="G2610" s="14">
        <v>57028</v>
      </c>
      <c r="H2610" s="15">
        <v>8200</v>
      </c>
      <c r="I2610" s="16">
        <f t="shared" si="384"/>
        <v>467629600</v>
      </c>
      <c r="J2610" s="17">
        <v>112</v>
      </c>
      <c r="K2610" s="34">
        <v>4502450693</v>
      </c>
      <c r="L2610" s="19">
        <v>5084574759</v>
      </c>
      <c r="M2610" s="20">
        <v>5113728628</v>
      </c>
      <c r="N2610" s="23" t="s">
        <v>37</v>
      </c>
      <c r="O2610" s="88" t="s">
        <v>3032</v>
      </c>
      <c r="P2610" s="23"/>
      <c r="Q2610" s="24" t="s">
        <v>1605</v>
      </c>
      <c r="R2610" s="25">
        <v>44876</v>
      </c>
      <c r="S2610" s="34">
        <v>4502450693</v>
      </c>
      <c r="T2610" s="35">
        <f>1959600*8</f>
        <v>15676800</v>
      </c>
      <c r="U2610" s="28" t="s">
        <v>3033</v>
      </c>
      <c r="V2610" s="29">
        <v>5113728440</v>
      </c>
      <c r="W2610" s="28" t="s">
        <v>3034</v>
      </c>
      <c r="X2610" s="29">
        <v>5113728441</v>
      </c>
      <c r="Y2610" s="36"/>
      <c r="Z2610" s="29"/>
      <c r="AA2610" s="31">
        <f t="shared" si="1"/>
        <v>44876</v>
      </c>
      <c r="AB2610" s="32" t="str">
        <f t="shared" si="5"/>
        <v>noviembre</v>
      </c>
    </row>
    <row r="2611" spans="1:28" ht="12.75">
      <c r="A2611" s="9" t="s">
        <v>567</v>
      </c>
      <c r="B2611" s="10">
        <v>44877</v>
      </c>
      <c r="C2611" s="11">
        <v>44883</v>
      </c>
      <c r="D2611" s="53">
        <v>46</v>
      </c>
      <c r="E2611" s="13" t="s">
        <v>3035</v>
      </c>
      <c r="F2611" s="13">
        <v>3025457</v>
      </c>
      <c r="G2611" s="14">
        <v>27530</v>
      </c>
      <c r="H2611" s="33">
        <v>8800</v>
      </c>
      <c r="I2611" s="16">
        <f t="shared" si="384"/>
        <v>242264000</v>
      </c>
      <c r="J2611" s="17">
        <v>60</v>
      </c>
      <c r="K2611" s="34">
        <v>4502448152</v>
      </c>
      <c r="L2611" s="19">
        <v>5084567343</v>
      </c>
      <c r="M2611" s="20">
        <v>5113736765</v>
      </c>
      <c r="N2611" s="23"/>
      <c r="O2611" s="9" t="s">
        <v>63</v>
      </c>
      <c r="P2611" s="23"/>
      <c r="Q2611" s="24" t="s">
        <v>31</v>
      </c>
      <c r="R2611" s="25">
        <v>44877</v>
      </c>
      <c r="S2611" s="28"/>
      <c r="T2611" s="35"/>
      <c r="U2611" s="35"/>
      <c r="V2611" s="29"/>
      <c r="W2611" s="35"/>
      <c r="X2611" s="29"/>
      <c r="Y2611" s="36"/>
      <c r="Z2611" s="29"/>
      <c r="AA2611" s="31">
        <f t="shared" si="1"/>
        <v>44877</v>
      </c>
      <c r="AB2611" s="32" t="str">
        <f t="shared" si="5"/>
        <v>noviembre</v>
      </c>
    </row>
    <row r="2612" spans="1:28" ht="12.75">
      <c r="A2612" s="9" t="s">
        <v>567</v>
      </c>
      <c r="B2612" s="10">
        <v>44877</v>
      </c>
      <c r="C2612" s="11">
        <v>44883</v>
      </c>
      <c r="D2612" s="53">
        <v>46</v>
      </c>
      <c r="E2612" s="13" t="s">
        <v>1533</v>
      </c>
      <c r="F2612" s="13">
        <v>3025457</v>
      </c>
      <c r="G2612" s="14">
        <v>27530</v>
      </c>
      <c r="H2612" s="33">
        <f>8800-8798.59</f>
        <v>1.4099999999998545</v>
      </c>
      <c r="I2612" s="16">
        <f>-H2612*G2612</f>
        <v>-38817.299999995994</v>
      </c>
      <c r="J2612" s="17">
        <v>0</v>
      </c>
      <c r="K2612" s="34">
        <v>4502448152</v>
      </c>
      <c r="L2612" s="19">
        <v>5084567343</v>
      </c>
      <c r="M2612" s="20">
        <v>5113736808</v>
      </c>
      <c r="N2612" s="23"/>
      <c r="O2612" s="9"/>
      <c r="P2612" s="23"/>
      <c r="Q2612" s="24" t="s">
        <v>31</v>
      </c>
      <c r="R2612" s="25">
        <v>44877</v>
      </c>
      <c r="S2612" s="28"/>
      <c r="T2612" s="35"/>
      <c r="U2612" s="35"/>
      <c r="V2612" s="29"/>
      <c r="W2612" s="35"/>
      <c r="X2612" s="29"/>
      <c r="Y2612" s="36"/>
      <c r="Z2612" s="29"/>
      <c r="AA2612" s="31">
        <f t="shared" si="1"/>
        <v>44877</v>
      </c>
      <c r="AB2612" s="32" t="str">
        <f t="shared" si="5"/>
        <v>noviembre</v>
      </c>
    </row>
    <row r="2613" spans="1:28" ht="12.75">
      <c r="A2613" s="9" t="s">
        <v>580</v>
      </c>
      <c r="B2613" s="10">
        <v>44881</v>
      </c>
      <c r="C2613" s="11">
        <v>44881</v>
      </c>
      <c r="D2613" s="53">
        <v>46</v>
      </c>
      <c r="E2613" s="13" t="s">
        <v>3036</v>
      </c>
      <c r="F2613" s="13">
        <v>3025457</v>
      </c>
      <c r="G2613" s="14">
        <v>50845.5</v>
      </c>
      <c r="H2613" s="33">
        <v>8750</v>
      </c>
      <c r="I2613" s="16">
        <f>H2613*G2613</f>
        <v>444898125</v>
      </c>
      <c r="J2613" s="17">
        <v>112</v>
      </c>
      <c r="K2613" s="34">
        <v>4502448153</v>
      </c>
      <c r="L2613" s="19">
        <v>5084566161</v>
      </c>
      <c r="M2613" s="20">
        <v>5113737931</v>
      </c>
      <c r="N2613" s="23"/>
      <c r="O2613" s="9" t="s">
        <v>63</v>
      </c>
      <c r="P2613" s="23"/>
      <c r="Q2613" s="24" t="s">
        <v>31</v>
      </c>
      <c r="R2613" s="25">
        <v>44877</v>
      </c>
      <c r="S2613" s="28"/>
      <c r="T2613" s="35"/>
      <c r="U2613" s="35"/>
      <c r="V2613" s="29"/>
      <c r="W2613" s="35"/>
      <c r="X2613" s="29"/>
      <c r="Y2613" s="36"/>
      <c r="Z2613" s="29"/>
      <c r="AA2613" s="31">
        <f t="shared" si="1"/>
        <v>44877</v>
      </c>
      <c r="AB2613" s="32" t="str">
        <f t="shared" si="5"/>
        <v>noviembre</v>
      </c>
    </row>
    <row r="2614" spans="1:28" ht="12.75">
      <c r="A2614" s="9" t="s">
        <v>580</v>
      </c>
      <c r="B2614" s="10">
        <v>44881</v>
      </c>
      <c r="C2614" s="11"/>
      <c r="D2614" s="53">
        <v>46</v>
      </c>
      <c r="E2614" s="13" t="s">
        <v>845</v>
      </c>
      <c r="F2614" s="13">
        <v>3025457</v>
      </c>
      <c r="G2614" s="14">
        <v>50845.5</v>
      </c>
      <c r="H2614" s="33">
        <f>8750-8746.17</f>
        <v>3.8299999999999272</v>
      </c>
      <c r="I2614" s="16">
        <f>-H2614*G2614</f>
        <v>-194738.26499999629</v>
      </c>
      <c r="J2614" s="17">
        <v>0</v>
      </c>
      <c r="K2614" s="34">
        <v>4502448153</v>
      </c>
      <c r="L2614" s="19">
        <v>5084566161</v>
      </c>
      <c r="M2614" s="20">
        <v>5113737934</v>
      </c>
      <c r="N2614" s="23"/>
      <c r="O2614" s="9"/>
      <c r="P2614" s="23"/>
      <c r="Q2614" s="24" t="s">
        <v>31</v>
      </c>
      <c r="R2614" s="25">
        <v>44877</v>
      </c>
      <c r="S2614" s="28"/>
      <c r="T2614" s="35"/>
      <c r="U2614" s="35"/>
      <c r="V2614" s="29"/>
      <c r="W2614" s="35"/>
      <c r="X2614" s="29"/>
      <c r="Y2614" s="36"/>
      <c r="Z2614" s="29"/>
      <c r="AA2614" s="31">
        <f t="shared" si="1"/>
        <v>44877</v>
      </c>
      <c r="AB2614" s="32" t="str">
        <f t="shared" si="5"/>
        <v>noviembre</v>
      </c>
    </row>
    <row r="2615" spans="1:28" ht="12.75">
      <c r="A2615" s="9" t="s">
        <v>58</v>
      </c>
      <c r="B2615" s="10">
        <v>44883</v>
      </c>
      <c r="C2615" s="11">
        <v>44883</v>
      </c>
      <c r="D2615" s="53">
        <v>46</v>
      </c>
      <c r="E2615" s="13" t="s">
        <v>3037</v>
      </c>
      <c r="F2615" s="13">
        <v>3025457</v>
      </c>
      <c r="G2615" s="14">
        <v>26980</v>
      </c>
      <c r="H2615" s="33">
        <v>9150</v>
      </c>
      <c r="I2615" s="16">
        <f>H2615*G2615</f>
        <v>246867000</v>
      </c>
      <c r="J2615" s="17">
        <v>60</v>
      </c>
      <c r="K2615" s="34">
        <v>4502448154</v>
      </c>
      <c r="L2615" s="19">
        <v>5084566162</v>
      </c>
      <c r="M2615" s="20">
        <v>5113748986</v>
      </c>
      <c r="N2615" s="23"/>
      <c r="O2615" s="9" t="s">
        <v>37</v>
      </c>
      <c r="P2615" s="23"/>
      <c r="Q2615" s="24" t="s">
        <v>31</v>
      </c>
      <c r="R2615" s="25">
        <v>44877</v>
      </c>
      <c r="S2615" s="28"/>
      <c r="T2615" s="35"/>
      <c r="U2615" s="35"/>
      <c r="V2615" s="29"/>
      <c r="W2615" s="35"/>
      <c r="X2615" s="29"/>
      <c r="Y2615" s="36"/>
      <c r="Z2615" s="29"/>
      <c r="AA2615" s="31">
        <f t="shared" si="1"/>
        <v>44877</v>
      </c>
      <c r="AB2615" s="32" t="str">
        <f t="shared" si="5"/>
        <v>noviembre</v>
      </c>
    </row>
    <row r="2616" spans="1:28" ht="12.75">
      <c r="A2616" s="9" t="s">
        <v>58</v>
      </c>
      <c r="B2616" s="10">
        <v>44886</v>
      </c>
      <c r="C2616" s="11">
        <v>44886</v>
      </c>
      <c r="D2616" s="53">
        <v>46</v>
      </c>
      <c r="E2616" s="13" t="s">
        <v>2568</v>
      </c>
      <c r="F2616" s="13">
        <v>3025457</v>
      </c>
      <c r="G2616" s="14">
        <v>26980</v>
      </c>
      <c r="H2616" s="33">
        <f>9150-9144.17</f>
        <v>5.8299999999999272</v>
      </c>
      <c r="I2616" s="16">
        <f>-H2616*G2616</f>
        <v>-157293.39999999804</v>
      </c>
      <c r="J2616" s="17">
        <v>0</v>
      </c>
      <c r="K2616" s="34">
        <v>4502448154</v>
      </c>
      <c r="L2616" s="19">
        <v>5084566162</v>
      </c>
      <c r="M2616" s="20">
        <v>5113749097</v>
      </c>
      <c r="N2616" s="23"/>
      <c r="O2616" s="9"/>
      <c r="P2616" s="101" t="s">
        <v>3038</v>
      </c>
      <c r="Q2616" s="24" t="s">
        <v>31</v>
      </c>
      <c r="R2616" s="25">
        <v>44877</v>
      </c>
      <c r="S2616" s="28"/>
      <c r="T2616" s="35"/>
      <c r="U2616" s="35"/>
      <c r="V2616" s="29"/>
      <c r="W2616" s="35"/>
      <c r="X2616" s="29"/>
      <c r="Y2616" s="36"/>
      <c r="Z2616" s="29"/>
      <c r="AA2616" s="31">
        <f t="shared" si="1"/>
        <v>44877</v>
      </c>
      <c r="AB2616" s="32" t="str">
        <f t="shared" si="5"/>
        <v>noviembre</v>
      </c>
    </row>
    <row r="2617" spans="1:28" ht="12.75">
      <c r="A2617" s="9" t="s">
        <v>58</v>
      </c>
      <c r="B2617" s="10">
        <v>44883</v>
      </c>
      <c r="C2617" s="11">
        <v>44883</v>
      </c>
      <c r="D2617" s="53">
        <v>46</v>
      </c>
      <c r="E2617" s="13" t="s">
        <v>3039</v>
      </c>
      <c r="F2617" s="13">
        <v>3025457</v>
      </c>
      <c r="G2617" s="14">
        <v>6117</v>
      </c>
      <c r="H2617" s="33">
        <v>9150</v>
      </c>
      <c r="I2617" s="16">
        <f>H2617*G2617</f>
        <v>55970550</v>
      </c>
      <c r="J2617" s="17">
        <v>15</v>
      </c>
      <c r="K2617" s="34">
        <v>4502448154</v>
      </c>
      <c r="L2617" s="19">
        <v>5084566162</v>
      </c>
      <c r="M2617" s="20">
        <v>5113742692</v>
      </c>
      <c r="N2617" s="23"/>
      <c r="O2617" s="9" t="s">
        <v>37</v>
      </c>
      <c r="P2617" s="23"/>
      <c r="Q2617" s="24" t="s">
        <v>31</v>
      </c>
      <c r="R2617" s="25">
        <v>44877</v>
      </c>
      <c r="S2617" s="28"/>
      <c r="T2617" s="35"/>
      <c r="U2617" s="35"/>
      <c r="V2617" s="29"/>
      <c r="W2617" s="35"/>
      <c r="X2617" s="29"/>
      <c r="Y2617" s="36"/>
      <c r="Z2617" s="29"/>
      <c r="AA2617" s="31">
        <f t="shared" si="1"/>
        <v>44877</v>
      </c>
      <c r="AB2617" s="32" t="str">
        <f t="shared" si="5"/>
        <v>noviembre</v>
      </c>
    </row>
    <row r="2618" spans="1:28" ht="12.75">
      <c r="A2618" s="9" t="s">
        <v>58</v>
      </c>
      <c r="B2618" s="10">
        <v>44886</v>
      </c>
      <c r="C2618" s="11">
        <v>44886</v>
      </c>
      <c r="D2618" s="53">
        <v>46</v>
      </c>
      <c r="E2618" s="13" t="s">
        <v>2946</v>
      </c>
      <c r="F2618" s="13">
        <v>3025457</v>
      </c>
      <c r="G2618" s="14">
        <v>6117</v>
      </c>
      <c r="H2618" s="33">
        <f>9150-8962.82</f>
        <v>187.18000000000029</v>
      </c>
      <c r="I2618" s="16">
        <f>-H2618*G2618</f>
        <v>-1144980.0600000017</v>
      </c>
      <c r="J2618" s="17">
        <v>0</v>
      </c>
      <c r="K2618" s="34">
        <v>4502448154</v>
      </c>
      <c r="L2618" s="19">
        <v>5084566162</v>
      </c>
      <c r="M2618" s="20">
        <v>5113742738</v>
      </c>
      <c r="N2618" s="23"/>
      <c r="O2618" s="9"/>
      <c r="P2618" s="23"/>
      <c r="Q2618" s="24" t="s">
        <v>31</v>
      </c>
      <c r="R2618" s="25">
        <v>44877</v>
      </c>
      <c r="S2618" s="28"/>
      <c r="T2618" s="35"/>
      <c r="U2618" s="35"/>
      <c r="V2618" s="29"/>
      <c r="W2618" s="35"/>
      <c r="X2618" s="29"/>
      <c r="Y2618" s="36"/>
      <c r="Z2618" s="29"/>
      <c r="AA2618" s="31">
        <f t="shared" si="1"/>
        <v>44877</v>
      </c>
      <c r="AB2618" s="32" t="str">
        <f t="shared" si="5"/>
        <v>noviembre</v>
      </c>
    </row>
    <row r="2619" spans="1:28" ht="12.75">
      <c r="A2619" s="9" t="s">
        <v>348</v>
      </c>
      <c r="B2619" s="10">
        <v>44877</v>
      </c>
      <c r="C2619" s="11">
        <v>44881</v>
      </c>
      <c r="D2619" s="53">
        <v>46</v>
      </c>
      <c r="E2619" s="13" t="s">
        <v>3040</v>
      </c>
      <c r="F2619" s="13">
        <v>3025457</v>
      </c>
      <c r="G2619" s="14">
        <v>6742.5</v>
      </c>
      <c r="H2619" s="33">
        <v>8650</v>
      </c>
      <c r="I2619" s="16">
        <f>H2619*G2619</f>
        <v>58322625</v>
      </c>
      <c r="J2619" s="17">
        <v>15</v>
      </c>
      <c r="K2619" s="34">
        <v>4502448155</v>
      </c>
      <c r="L2619" s="19">
        <v>5084567344</v>
      </c>
      <c r="M2619" s="20">
        <v>5113728634</v>
      </c>
      <c r="N2619" s="23"/>
      <c r="O2619" s="9" t="s">
        <v>63</v>
      </c>
      <c r="P2619" s="23"/>
      <c r="Q2619" s="24" t="s">
        <v>31</v>
      </c>
      <c r="R2619" s="25">
        <v>44877</v>
      </c>
      <c r="S2619" s="28"/>
      <c r="T2619" s="35"/>
      <c r="U2619" s="35"/>
      <c r="V2619" s="29"/>
      <c r="W2619" s="35"/>
      <c r="X2619" s="29"/>
      <c r="Y2619" s="36"/>
      <c r="Z2619" s="29"/>
      <c r="AA2619" s="31">
        <f t="shared" si="1"/>
        <v>44877</v>
      </c>
      <c r="AB2619" s="32" t="str">
        <f t="shared" si="5"/>
        <v>noviembre</v>
      </c>
    </row>
    <row r="2620" spans="1:28" ht="12.75">
      <c r="A2620" s="9" t="s">
        <v>348</v>
      </c>
      <c r="B2620" s="10">
        <v>44877</v>
      </c>
      <c r="C2620" s="11">
        <v>44881</v>
      </c>
      <c r="D2620" s="53">
        <v>46</v>
      </c>
      <c r="E2620" s="13" t="s">
        <v>3041</v>
      </c>
      <c r="F2620" s="13">
        <v>3025457</v>
      </c>
      <c r="G2620" s="14">
        <v>6742.5</v>
      </c>
      <c r="H2620" s="33">
        <f>8650-8550</f>
        <v>100</v>
      </c>
      <c r="I2620" s="16">
        <f>-H2620*G2620</f>
        <v>-674250</v>
      </c>
      <c r="J2620" s="17">
        <v>0</v>
      </c>
      <c r="K2620" s="34">
        <v>4502448155</v>
      </c>
      <c r="L2620" s="19">
        <v>5084567344</v>
      </c>
      <c r="M2620" s="20">
        <v>5113728652</v>
      </c>
      <c r="N2620" s="23"/>
      <c r="O2620" s="9"/>
      <c r="P2620" s="23"/>
      <c r="Q2620" s="24" t="s">
        <v>31</v>
      </c>
      <c r="R2620" s="25">
        <v>44877</v>
      </c>
      <c r="S2620" s="28"/>
      <c r="T2620" s="35"/>
      <c r="U2620" s="35"/>
      <c r="V2620" s="29"/>
      <c r="W2620" s="35"/>
      <c r="X2620" s="29"/>
      <c r="Y2620" s="36"/>
      <c r="Z2620" s="29"/>
      <c r="AA2620" s="31">
        <f t="shared" si="1"/>
        <v>44877</v>
      </c>
      <c r="AB2620" s="32" t="str">
        <f t="shared" si="5"/>
        <v>noviembre</v>
      </c>
    </row>
    <row r="2621" spans="1:28" ht="12.75">
      <c r="A2621" s="9" t="s">
        <v>80</v>
      </c>
      <c r="B2621" s="10">
        <v>44878</v>
      </c>
      <c r="C2621" s="11">
        <v>44881</v>
      </c>
      <c r="D2621" s="53">
        <v>46</v>
      </c>
      <c r="E2621" s="13" t="s">
        <v>3042</v>
      </c>
      <c r="F2621" s="13">
        <v>3025457</v>
      </c>
      <c r="G2621" s="14">
        <v>19596</v>
      </c>
      <c r="H2621" s="15">
        <v>8550</v>
      </c>
      <c r="I2621" s="16">
        <f t="shared" ref="I2621:I2625" si="385">H2621*G2621</f>
        <v>167545800</v>
      </c>
      <c r="J2621" s="17">
        <v>42</v>
      </c>
      <c r="K2621" s="34">
        <v>4502450560</v>
      </c>
      <c r="L2621" s="19">
        <v>5084567295</v>
      </c>
      <c r="M2621" s="20">
        <v>5113731639</v>
      </c>
      <c r="N2621" s="128" t="s">
        <v>37</v>
      </c>
      <c r="O2621" s="9" t="s">
        <v>1057</v>
      </c>
      <c r="P2621" s="23"/>
      <c r="Q2621" s="24" t="s">
        <v>31</v>
      </c>
      <c r="R2621" s="25">
        <v>44878</v>
      </c>
      <c r="S2621" s="28">
        <v>4902385120</v>
      </c>
      <c r="T2621" s="28">
        <v>4792500</v>
      </c>
      <c r="U2621" s="28" t="s">
        <v>3043</v>
      </c>
      <c r="V2621" s="29">
        <v>5113739380</v>
      </c>
      <c r="W2621" s="35"/>
      <c r="X2621" s="29"/>
      <c r="Y2621" s="36"/>
      <c r="Z2621" s="29"/>
      <c r="AA2621" s="31">
        <f t="shared" si="1"/>
        <v>44878</v>
      </c>
      <c r="AB2621" s="32" t="str">
        <f t="shared" si="5"/>
        <v>noviembre</v>
      </c>
    </row>
    <row r="2622" spans="1:28" ht="12.75">
      <c r="A2622" s="9" t="s">
        <v>80</v>
      </c>
      <c r="B2622" s="10">
        <v>44878</v>
      </c>
      <c r="C2622" s="11">
        <v>44881</v>
      </c>
      <c r="D2622" s="53">
        <v>46</v>
      </c>
      <c r="E2622" s="13">
        <v>9</v>
      </c>
      <c r="F2622" s="13">
        <v>3025457</v>
      </c>
      <c r="G2622" s="14">
        <v>19596</v>
      </c>
      <c r="H2622" s="15">
        <f>8574-8550</f>
        <v>24</v>
      </c>
      <c r="I2622" s="16">
        <f t="shared" si="385"/>
        <v>470304</v>
      </c>
      <c r="J2622" s="17">
        <v>0</v>
      </c>
      <c r="K2622" s="34">
        <v>4502450560</v>
      </c>
      <c r="L2622" s="19">
        <v>5084567295</v>
      </c>
      <c r="M2622" s="20">
        <v>5113731640</v>
      </c>
      <c r="N2622" s="23"/>
      <c r="O2622" s="88"/>
      <c r="P2622" s="23"/>
      <c r="Q2622" s="24" t="s">
        <v>31</v>
      </c>
      <c r="R2622" s="25">
        <v>44878</v>
      </c>
      <c r="S2622" s="28"/>
      <c r="T2622" s="28"/>
      <c r="U2622" s="35"/>
      <c r="V2622" s="29"/>
      <c r="W2622" s="35"/>
      <c r="X2622" s="29"/>
      <c r="Y2622" s="36"/>
      <c r="Z2622" s="29"/>
      <c r="AA2622" s="31">
        <f t="shared" si="1"/>
        <v>44878</v>
      </c>
      <c r="AB2622" s="32" t="str">
        <f t="shared" si="5"/>
        <v>noviembre</v>
      </c>
    </row>
    <row r="2623" spans="1:28" ht="12.75">
      <c r="A2623" s="9" t="s">
        <v>983</v>
      </c>
      <c r="B2623" s="10">
        <v>44880</v>
      </c>
      <c r="C2623" s="11"/>
      <c r="D2623" s="53">
        <v>46</v>
      </c>
      <c r="E2623" s="13" t="s">
        <v>474</v>
      </c>
      <c r="F2623" s="13">
        <v>3025457</v>
      </c>
      <c r="G2623" s="14">
        <v>6702</v>
      </c>
      <c r="H2623" s="33">
        <v>8339</v>
      </c>
      <c r="I2623" s="16">
        <f t="shared" si="385"/>
        <v>55887978</v>
      </c>
      <c r="J2623" s="17">
        <v>14</v>
      </c>
      <c r="K2623" s="34">
        <v>4502450319</v>
      </c>
      <c r="L2623" s="19">
        <v>5084575254</v>
      </c>
      <c r="M2623" s="20">
        <v>5113726894</v>
      </c>
      <c r="N2623" s="23"/>
      <c r="O2623" s="88" t="s">
        <v>3044</v>
      </c>
      <c r="P2623" s="9" t="s">
        <v>63</v>
      </c>
      <c r="Q2623" s="24" t="s">
        <v>31</v>
      </c>
      <c r="R2623" s="25">
        <v>44878</v>
      </c>
      <c r="S2623" s="34">
        <v>4502450319</v>
      </c>
      <c r="T2623" s="28">
        <v>1152250</v>
      </c>
      <c r="U2623" s="28" t="s">
        <v>3045</v>
      </c>
      <c r="V2623" s="29">
        <v>5113728855</v>
      </c>
      <c r="W2623" s="35"/>
      <c r="X2623" s="29"/>
      <c r="Y2623" s="36"/>
      <c r="Z2623" s="29"/>
      <c r="AA2623" s="31">
        <f t="shared" si="1"/>
        <v>44878</v>
      </c>
      <c r="AB2623" s="32" t="str">
        <f t="shared" si="5"/>
        <v>noviembre</v>
      </c>
    </row>
    <row r="2624" spans="1:28" ht="12.75">
      <c r="A2624" s="9" t="s">
        <v>58</v>
      </c>
      <c r="B2624" s="10">
        <v>44883</v>
      </c>
      <c r="C2624" s="11">
        <v>44883</v>
      </c>
      <c r="D2624" s="53">
        <v>46</v>
      </c>
      <c r="E2624" s="13" t="s">
        <v>3046</v>
      </c>
      <c r="F2624" s="13">
        <v>3025457</v>
      </c>
      <c r="G2624" s="14">
        <v>13796</v>
      </c>
      <c r="H2624" s="33">
        <v>9150</v>
      </c>
      <c r="I2624" s="16">
        <f t="shared" si="385"/>
        <v>126233400</v>
      </c>
      <c r="J2624" s="17">
        <v>30</v>
      </c>
      <c r="K2624" s="34">
        <v>4502448156</v>
      </c>
      <c r="L2624" s="19">
        <v>5084566629</v>
      </c>
      <c r="M2624" s="20">
        <v>5113738902</v>
      </c>
      <c r="N2624" s="23"/>
      <c r="O2624" s="9" t="s">
        <v>37</v>
      </c>
      <c r="P2624" s="23"/>
      <c r="Q2624" s="24" t="s">
        <v>31</v>
      </c>
      <c r="R2624" s="25">
        <v>44878</v>
      </c>
      <c r="S2624" s="28"/>
      <c r="T2624" s="35"/>
      <c r="U2624" s="35"/>
      <c r="V2624" s="29"/>
      <c r="W2624" s="35"/>
      <c r="X2624" s="29"/>
      <c r="Y2624" s="36"/>
      <c r="Z2624" s="29"/>
      <c r="AA2624" s="31">
        <f t="shared" si="1"/>
        <v>44878</v>
      </c>
      <c r="AB2624" s="32" t="str">
        <f t="shared" si="5"/>
        <v>noviembre</v>
      </c>
    </row>
    <row r="2625" spans="1:28" ht="12.75">
      <c r="A2625" s="9" t="s">
        <v>58</v>
      </c>
      <c r="B2625" s="10">
        <v>44883</v>
      </c>
      <c r="C2625" s="11">
        <v>44883</v>
      </c>
      <c r="D2625" s="53">
        <v>46</v>
      </c>
      <c r="E2625" s="13" t="s">
        <v>3046</v>
      </c>
      <c r="F2625" s="13">
        <v>3025459</v>
      </c>
      <c r="G2625" s="14">
        <v>21567</v>
      </c>
      <c r="H2625" s="33">
        <v>9150</v>
      </c>
      <c r="I2625" s="16">
        <f t="shared" si="385"/>
        <v>197338050</v>
      </c>
      <c r="J2625" s="17">
        <v>45</v>
      </c>
      <c r="K2625" s="34">
        <v>4502448166</v>
      </c>
      <c r="L2625" s="19">
        <v>5084566629</v>
      </c>
      <c r="M2625" s="20">
        <v>5113738902</v>
      </c>
      <c r="N2625" s="23"/>
      <c r="O2625" s="9" t="s">
        <v>37</v>
      </c>
      <c r="P2625" s="23"/>
      <c r="Q2625" s="24" t="s">
        <v>31</v>
      </c>
      <c r="R2625" s="25">
        <v>44878</v>
      </c>
      <c r="S2625" s="28"/>
      <c r="T2625" s="35"/>
      <c r="U2625" s="35"/>
      <c r="V2625" s="29"/>
      <c r="W2625" s="35"/>
      <c r="X2625" s="29"/>
      <c r="Y2625" s="36"/>
      <c r="Z2625" s="29"/>
      <c r="AA2625" s="31">
        <f t="shared" si="1"/>
        <v>44878</v>
      </c>
      <c r="AB2625" s="32" t="str">
        <f t="shared" si="5"/>
        <v>noviembre</v>
      </c>
    </row>
    <row r="2626" spans="1:28" ht="12.75">
      <c r="A2626" s="9" t="s">
        <v>58</v>
      </c>
      <c r="B2626" s="10">
        <v>44886</v>
      </c>
      <c r="C2626" s="11">
        <v>44886</v>
      </c>
      <c r="D2626" s="53">
        <v>46</v>
      </c>
      <c r="E2626" s="13" t="s">
        <v>3047</v>
      </c>
      <c r="F2626" s="13">
        <v>3025459</v>
      </c>
      <c r="G2626" s="14">
        <v>35363</v>
      </c>
      <c r="H2626" s="33">
        <f>9150-9129.34</f>
        <v>20.659999999999854</v>
      </c>
      <c r="I2626" s="16">
        <f>-H2626*G2626</f>
        <v>-730599.57999999484</v>
      </c>
      <c r="J2626" s="17">
        <v>0</v>
      </c>
      <c r="K2626" s="34">
        <v>4502448166</v>
      </c>
      <c r="L2626" s="19">
        <v>5084566656</v>
      </c>
      <c r="M2626" s="20">
        <v>5113738929</v>
      </c>
      <c r="N2626" s="23"/>
      <c r="O2626" s="9"/>
      <c r="P2626" s="23"/>
      <c r="Q2626" s="24" t="s">
        <v>31</v>
      </c>
      <c r="R2626" s="25">
        <v>44878</v>
      </c>
      <c r="S2626" s="28"/>
      <c r="T2626" s="35"/>
      <c r="U2626" s="35"/>
      <c r="V2626" s="29"/>
      <c r="W2626" s="35"/>
      <c r="X2626" s="29"/>
      <c r="Y2626" s="36"/>
      <c r="Z2626" s="29"/>
      <c r="AA2626" s="31">
        <f t="shared" si="1"/>
        <v>44878</v>
      </c>
      <c r="AB2626" s="32" t="str">
        <f t="shared" si="5"/>
        <v>noviembre</v>
      </c>
    </row>
    <row r="2627" spans="1:28" ht="12.75">
      <c r="A2627" s="22" t="s">
        <v>501</v>
      </c>
      <c r="B2627" s="10">
        <v>44881</v>
      </c>
      <c r="C2627" s="11"/>
      <c r="D2627" s="53">
        <v>46</v>
      </c>
      <c r="E2627" s="13" t="s">
        <v>3048</v>
      </c>
      <c r="F2627" s="13">
        <v>3025457</v>
      </c>
      <c r="G2627" s="14">
        <v>22898</v>
      </c>
      <c r="H2627" s="33">
        <v>8750</v>
      </c>
      <c r="I2627" s="16">
        <f>H2627*G2627</f>
        <v>200357500</v>
      </c>
      <c r="J2627" s="17">
        <v>42</v>
      </c>
      <c r="K2627" s="34">
        <v>4502448158</v>
      </c>
      <c r="L2627" s="19">
        <v>5084566631</v>
      </c>
      <c r="M2627" s="20">
        <v>5113728670</v>
      </c>
      <c r="N2627" s="23"/>
      <c r="O2627" s="9" t="s">
        <v>37</v>
      </c>
      <c r="P2627" s="23"/>
      <c r="Q2627" s="24" t="s">
        <v>31</v>
      </c>
      <c r="R2627" s="25">
        <v>44878</v>
      </c>
      <c r="S2627" s="28"/>
      <c r="T2627" s="35"/>
      <c r="U2627" s="35"/>
      <c r="V2627" s="29"/>
      <c r="W2627" s="35"/>
      <c r="X2627" s="29"/>
      <c r="Y2627" s="36"/>
      <c r="Z2627" s="29"/>
      <c r="AA2627" s="31">
        <f t="shared" si="1"/>
        <v>44878</v>
      </c>
      <c r="AB2627" s="32" t="str">
        <f t="shared" si="5"/>
        <v>noviembre</v>
      </c>
    </row>
    <row r="2628" spans="1:28" ht="12.75">
      <c r="A2628" s="22" t="s">
        <v>501</v>
      </c>
      <c r="B2628" s="10">
        <v>44881</v>
      </c>
      <c r="C2628" s="11"/>
      <c r="D2628" s="53">
        <v>46</v>
      </c>
      <c r="E2628" s="13">
        <v>18</v>
      </c>
      <c r="F2628" s="13">
        <v>3025457</v>
      </c>
      <c r="G2628" s="14">
        <v>22898</v>
      </c>
      <c r="H2628" s="33">
        <f>8750-8728.23</f>
        <v>21.770000000000437</v>
      </c>
      <c r="I2628" s="16">
        <f>-H2628*G2628</f>
        <v>-498489.46000000997</v>
      </c>
      <c r="J2628" s="17">
        <v>0</v>
      </c>
      <c r="K2628" s="34">
        <v>4502448158</v>
      </c>
      <c r="L2628" s="19">
        <v>5084566631</v>
      </c>
      <c r="M2628" s="20">
        <v>5113728674</v>
      </c>
      <c r="N2628" s="23"/>
      <c r="O2628" s="9"/>
      <c r="P2628" s="23"/>
      <c r="Q2628" s="24" t="s">
        <v>31</v>
      </c>
      <c r="R2628" s="25">
        <v>44878</v>
      </c>
      <c r="S2628" s="28"/>
      <c r="T2628" s="35"/>
      <c r="U2628" s="35"/>
      <c r="V2628" s="29"/>
      <c r="W2628" s="35"/>
      <c r="X2628" s="29"/>
      <c r="Y2628" s="36"/>
      <c r="Z2628" s="29"/>
      <c r="AA2628" s="31">
        <f t="shared" si="1"/>
        <v>44878</v>
      </c>
      <c r="AB2628" s="32" t="str">
        <f t="shared" si="5"/>
        <v>noviembre</v>
      </c>
    </row>
    <row r="2629" spans="1:28" ht="12.75">
      <c r="A2629" s="9" t="s">
        <v>338</v>
      </c>
      <c r="B2629" s="10">
        <v>44881</v>
      </c>
      <c r="C2629" s="11"/>
      <c r="D2629" s="53">
        <v>46</v>
      </c>
      <c r="E2629" s="13" t="s">
        <v>3049</v>
      </c>
      <c r="F2629" s="13">
        <v>3025457</v>
      </c>
      <c r="G2629" s="14">
        <v>6590</v>
      </c>
      <c r="H2629" s="33">
        <v>8850</v>
      </c>
      <c r="I2629" s="16">
        <f>H2629*G2629</f>
        <v>58321500</v>
      </c>
      <c r="J2629" s="17">
        <v>14</v>
      </c>
      <c r="K2629" s="34">
        <v>4502448159</v>
      </c>
      <c r="L2629" s="19">
        <v>5084566632</v>
      </c>
      <c r="M2629" s="20">
        <v>5113726963</v>
      </c>
      <c r="N2629" s="23"/>
      <c r="O2629" s="128" t="s">
        <v>63</v>
      </c>
      <c r="P2629" s="23"/>
      <c r="Q2629" s="24" t="s">
        <v>31</v>
      </c>
      <c r="R2629" s="25">
        <v>44878</v>
      </c>
      <c r="S2629" s="28"/>
      <c r="T2629" s="35"/>
      <c r="U2629" s="35"/>
      <c r="V2629" s="29"/>
      <c r="W2629" s="35"/>
      <c r="X2629" s="29"/>
      <c r="Y2629" s="36"/>
      <c r="Z2629" s="29"/>
      <c r="AA2629" s="31">
        <f t="shared" si="1"/>
        <v>44878</v>
      </c>
      <c r="AB2629" s="32" t="str">
        <f t="shared" si="5"/>
        <v>noviembre</v>
      </c>
    </row>
    <row r="2630" spans="1:28" ht="12.75">
      <c r="A2630" s="9" t="s">
        <v>338</v>
      </c>
      <c r="B2630" s="10">
        <v>44881</v>
      </c>
      <c r="C2630" s="11"/>
      <c r="D2630" s="53">
        <v>46</v>
      </c>
      <c r="E2630" s="13" t="s">
        <v>3050</v>
      </c>
      <c r="F2630" s="13">
        <v>3025457</v>
      </c>
      <c r="G2630" s="14">
        <v>6590</v>
      </c>
      <c r="H2630" s="33">
        <f>8850-8750</f>
        <v>100</v>
      </c>
      <c r="I2630" s="16">
        <f>-H2630*G2630</f>
        <v>-659000</v>
      </c>
      <c r="J2630" s="17">
        <v>0</v>
      </c>
      <c r="K2630" s="34">
        <v>4502448159</v>
      </c>
      <c r="L2630" s="19">
        <v>5084566632</v>
      </c>
      <c r="M2630" s="20">
        <v>5113726998</v>
      </c>
      <c r="N2630" s="23"/>
      <c r="O2630" s="9"/>
      <c r="P2630" s="23"/>
      <c r="Q2630" s="24" t="s">
        <v>31</v>
      </c>
      <c r="R2630" s="25">
        <v>44878</v>
      </c>
      <c r="S2630" s="28"/>
      <c r="T2630" s="35"/>
      <c r="U2630" s="35"/>
      <c r="V2630" s="29"/>
      <c r="W2630" s="35"/>
      <c r="X2630" s="29"/>
      <c r="Y2630" s="36"/>
      <c r="Z2630" s="29"/>
      <c r="AA2630" s="31">
        <f t="shared" si="1"/>
        <v>44878</v>
      </c>
      <c r="AB2630" s="32" t="str">
        <f t="shared" si="5"/>
        <v>noviembre</v>
      </c>
    </row>
    <row r="2631" spans="1:28" ht="12.75">
      <c r="A2631" s="9" t="s">
        <v>73</v>
      </c>
      <c r="B2631" s="10">
        <v>44878</v>
      </c>
      <c r="C2631" s="11">
        <v>44881</v>
      </c>
      <c r="D2631" s="53">
        <v>46</v>
      </c>
      <c r="E2631" s="13" t="s">
        <v>3051</v>
      </c>
      <c r="F2631" s="13">
        <v>3025457</v>
      </c>
      <c r="G2631" s="14">
        <v>6410</v>
      </c>
      <c r="H2631" s="33">
        <v>9100</v>
      </c>
      <c r="I2631" s="16">
        <f>H2631*G2631</f>
        <v>58331000</v>
      </c>
      <c r="J2631" s="17">
        <v>14</v>
      </c>
      <c r="K2631" s="34">
        <v>4502448161</v>
      </c>
      <c r="L2631" s="19">
        <v>5084566633</v>
      </c>
      <c r="M2631" s="20">
        <v>5113728688</v>
      </c>
      <c r="N2631" s="23"/>
      <c r="O2631" s="128" t="s">
        <v>63</v>
      </c>
      <c r="P2631" s="23"/>
      <c r="Q2631" s="24" t="s">
        <v>31</v>
      </c>
      <c r="R2631" s="25">
        <v>44878</v>
      </c>
      <c r="S2631" s="28"/>
      <c r="T2631" s="35"/>
      <c r="U2631" s="35"/>
      <c r="V2631" s="29"/>
      <c r="W2631" s="35"/>
      <c r="X2631" s="29"/>
      <c r="Y2631" s="36"/>
      <c r="Z2631" s="29"/>
      <c r="AA2631" s="31">
        <f t="shared" si="1"/>
        <v>44878</v>
      </c>
      <c r="AB2631" s="32" t="str">
        <f t="shared" si="5"/>
        <v>noviembre</v>
      </c>
    </row>
    <row r="2632" spans="1:28" ht="12.75">
      <c r="A2632" s="9" t="s">
        <v>73</v>
      </c>
      <c r="B2632" s="10">
        <v>44878</v>
      </c>
      <c r="C2632" s="11">
        <v>44881</v>
      </c>
      <c r="D2632" s="53">
        <v>46</v>
      </c>
      <c r="E2632" s="13" t="s">
        <v>3052</v>
      </c>
      <c r="F2632" s="13">
        <v>3025457</v>
      </c>
      <c r="G2632" s="14">
        <v>6410</v>
      </c>
      <c r="H2632" s="33">
        <f>9100-9074</f>
        <v>26</v>
      </c>
      <c r="I2632" s="16">
        <f>-H2632*G2632</f>
        <v>-166660</v>
      </c>
      <c r="J2632" s="17">
        <v>0</v>
      </c>
      <c r="K2632" s="34">
        <v>4502448161</v>
      </c>
      <c r="L2632" s="19">
        <v>5084566633</v>
      </c>
      <c r="M2632" s="20">
        <v>5113728694</v>
      </c>
      <c r="N2632" s="23"/>
      <c r="O2632" s="9"/>
      <c r="P2632" s="23"/>
      <c r="Q2632" s="24" t="s">
        <v>31</v>
      </c>
      <c r="R2632" s="25">
        <v>44878</v>
      </c>
      <c r="S2632" s="28"/>
      <c r="T2632" s="35"/>
      <c r="U2632" s="35"/>
      <c r="V2632" s="29"/>
      <c r="W2632" s="35"/>
      <c r="X2632" s="29"/>
      <c r="Y2632" s="36"/>
      <c r="Z2632" s="29"/>
      <c r="AA2632" s="31">
        <f t="shared" si="1"/>
        <v>44878</v>
      </c>
      <c r="AB2632" s="32" t="str">
        <f t="shared" si="5"/>
        <v>noviembre</v>
      </c>
    </row>
    <row r="2633" spans="1:28" ht="12.75">
      <c r="A2633" s="9" t="s">
        <v>331</v>
      </c>
      <c r="B2633" s="10">
        <v>44881</v>
      </c>
      <c r="C2633" s="11">
        <v>44881</v>
      </c>
      <c r="D2633" s="53">
        <v>46</v>
      </c>
      <c r="E2633" s="13" t="s">
        <v>3053</v>
      </c>
      <c r="F2633" s="13">
        <v>3025457</v>
      </c>
      <c r="G2633" s="14">
        <v>6989</v>
      </c>
      <c r="H2633" s="33">
        <v>8650</v>
      </c>
      <c r="I2633" s="16">
        <f>H2633*G2633</f>
        <v>60454850</v>
      </c>
      <c r="J2633" s="17">
        <v>15</v>
      </c>
      <c r="K2633" s="34">
        <v>4502448162</v>
      </c>
      <c r="L2633" s="19">
        <v>5084567345</v>
      </c>
      <c r="M2633" s="20">
        <v>5113727019</v>
      </c>
      <c r="N2633" s="23"/>
      <c r="O2633" s="9" t="s">
        <v>63</v>
      </c>
      <c r="P2633" s="23"/>
      <c r="Q2633" s="24" t="s">
        <v>31</v>
      </c>
      <c r="R2633" s="25">
        <v>44878</v>
      </c>
      <c r="S2633" s="28"/>
      <c r="T2633" s="35"/>
      <c r="U2633" s="35"/>
      <c r="V2633" s="29"/>
      <c r="W2633" s="35"/>
      <c r="X2633" s="29"/>
      <c r="Y2633" s="36"/>
      <c r="Z2633" s="29"/>
      <c r="AA2633" s="31">
        <f t="shared" si="1"/>
        <v>44878</v>
      </c>
      <c r="AB2633" s="32" t="str">
        <f t="shared" si="5"/>
        <v>noviembre</v>
      </c>
    </row>
    <row r="2634" spans="1:28" ht="12.75">
      <c r="A2634" s="9" t="s">
        <v>331</v>
      </c>
      <c r="B2634" s="10">
        <v>44881</v>
      </c>
      <c r="C2634" s="11">
        <v>44577</v>
      </c>
      <c r="D2634" s="53">
        <v>46</v>
      </c>
      <c r="E2634" s="13" t="s">
        <v>127</v>
      </c>
      <c r="F2634" s="13">
        <v>3025457</v>
      </c>
      <c r="G2634" s="14">
        <v>6989</v>
      </c>
      <c r="H2634" s="33">
        <v>50</v>
      </c>
      <c r="I2634" s="16">
        <f>-H2634*G2634</f>
        <v>-349450</v>
      </c>
      <c r="J2634" s="17">
        <v>0</v>
      </c>
      <c r="K2634" s="34">
        <v>4502448162</v>
      </c>
      <c r="L2634" s="19">
        <v>5084567345</v>
      </c>
      <c r="M2634" s="20">
        <v>5113727022</v>
      </c>
      <c r="N2634" s="23"/>
      <c r="O2634" s="9"/>
      <c r="P2634" s="23"/>
      <c r="Q2634" s="24" t="s">
        <v>31</v>
      </c>
      <c r="R2634" s="25">
        <v>44878</v>
      </c>
      <c r="S2634" s="28"/>
      <c r="T2634" s="35"/>
      <c r="U2634" s="35"/>
      <c r="V2634" s="29"/>
      <c r="W2634" s="35"/>
      <c r="X2634" s="29"/>
      <c r="Y2634" s="36"/>
      <c r="Z2634" s="29"/>
      <c r="AA2634" s="31">
        <f t="shared" si="1"/>
        <v>44878</v>
      </c>
      <c r="AB2634" s="32" t="str">
        <f t="shared" si="5"/>
        <v>noviembre</v>
      </c>
    </row>
    <row r="2635" spans="1:28" ht="12.75">
      <c r="A2635" s="9" t="s">
        <v>469</v>
      </c>
      <c r="B2635" s="10">
        <v>44881</v>
      </c>
      <c r="C2635" s="11">
        <v>44881</v>
      </c>
      <c r="D2635" s="53">
        <v>46</v>
      </c>
      <c r="E2635" s="13" t="s">
        <v>3054</v>
      </c>
      <c r="F2635" s="13">
        <v>3025457</v>
      </c>
      <c r="G2635" s="14">
        <v>6092</v>
      </c>
      <c r="H2635" s="33">
        <v>8700</v>
      </c>
      <c r="I2635" s="16">
        <f>H2635*G2635</f>
        <v>53000400</v>
      </c>
      <c r="J2635" s="17">
        <v>14</v>
      </c>
      <c r="K2635" s="34">
        <v>4502448164</v>
      </c>
      <c r="L2635" s="19">
        <v>5084566655</v>
      </c>
      <c r="M2635" s="20">
        <v>5113728719</v>
      </c>
      <c r="N2635" s="23"/>
      <c r="O2635" s="9" t="s">
        <v>63</v>
      </c>
      <c r="P2635" s="23"/>
      <c r="Q2635" s="24" t="s">
        <v>31</v>
      </c>
      <c r="R2635" s="25">
        <v>44878</v>
      </c>
      <c r="S2635" s="28"/>
      <c r="T2635" s="35"/>
      <c r="U2635" s="35"/>
      <c r="V2635" s="29"/>
      <c r="W2635" s="35"/>
      <c r="X2635" s="29"/>
      <c r="Y2635" s="36"/>
      <c r="Z2635" s="29"/>
      <c r="AA2635" s="31">
        <f t="shared" si="1"/>
        <v>44878</v>
      </c>
      <c r="AB2635" s="32" t="str">
        <f t="shared" si="5"/>
        <v>noviembre</v>
      </c>
    </row>
    <row r="2636" spans="1:28" ht="12.75">
      <c r="A2636" s="9" t="s">
        <v>469</v>
      </c>
      <c r="B2636" s="10">
        <v>44881</v>
      </c>
      <c r="C2636" s="11">
        <v>44881</v>
      </c>
      <c r="D2636" s="53">
        <v>46</v>
      </c>
      <c r="E2636" s="13" t="s">
        <v>3055</v>
      </c>
      <c r="F2636" s="13">
        <v>3025457</v>
      </c>
      <c r="G2636" s="14">
        <v>6092</v>
      </c>
      <c r="H2636" s="33">
        <v>150</v>
      </c>
      <c r="I2636" s="16">
        <f>-H2636*G2636</f>
        <v>-913800</v>
      </c>
      <c r="J2636" s="17">
        <v>0</v>
      </c>
      <c r="K2636" s="34">
        <v>4502448164</v>
      </c>
      <c r="L2636" s="19">
        <v>5084566655</v>
      </c>
      <c r="M2636" s="20">
        <v>5113728721</v>
      </c>
      <c r="N2636" s="23"/>
      <c r="O2636" s="9"/>
      <c r="P2636" s="23"/>
      <c r="Q2636" s="24" t="s">
        <v>31</v>
      </c>
      <c r="R2636" s="25">
        <v>44878</v>
      </c>
      <c r="S2636" s="28"/>
      <c r="T2636" s="35"/>
      <c r="U2636" s="35"/>
      <c r="V2636" s="29"/>
      <c r="W2636" s="35"/>
      <c r="X2636" s="29"/>
      <c r="Y2636" s="36"/>
      <c r="Z2636" s="29"/>
      <c r="AA2636" s="31">
        <f t="shared" si="1"/>
        <v>44878</v>
      </c>
      <c r="AB2636" s="32" t="str">
        <f t="shared" si="5"/>
        <v>noviembre</v>
      </c>
    </row>
    <row r="2637" spans="1:28" ht="12.75">
      <c r="A2637" s="9" t="s">
        <v>213</v>
      </c>
      <c r="B2637" s="10">
        <v>44878</v>
      </c>
      <c r="C2637" s="11"/>
      <c r="D2637" s="53">
        <v>46</v>
      </c>
      <c r="E2637" s="13" t="s">
        <v>3056</v>
      </c>
      <c r="F2637" s="13">
        <v>3025457</v>
      </c>
      <c r="G2637" s="14">
        <v>7058</v>
      </c>
      <c r="H2637" s="33">
        <v>8700</v>
      </c>
      <c r="I2637" s="16">
        <f t="shared" ref="I2637:I2644" si="386">H2637*G2637</f>
        <v>61404600</v>
      </c>
      <c r="J2637" s="17">
        <v>15</v>
      </c>
      <c r="K2637" s="34">
        <v>4502448165</v>
      </c>
      <c r="L2637" s="19">
        <v>5084567346</v>
      </c>
      <c r="M2637" s="20">
        <v>5113732822</v>
      </c>
      <c r="N2637" s="23"/>
      <c r="O2637" s="9" t="s">
        <v>37</v>
      </c>
      <c r="P2637" s="23"/>
      <c r="Q2637" s="24" t="s">
        <v>31</v>
      </c>
      <c r="R2637" s="25">
        <v>44878</v>
      </c>
      <c r="S2637" s="28"/>
      <c r="T2637" s="35"/>
      <c r="U2637" s="35"/>
      <c r="V2637" s="29"/>
      <c r="W2637" s="35"/>
      <c r="X2637" s="29"/>
      <c r="Y2637" s="36"/>
      <c r="Z2637" s="29"/>
      <c r="AA2637" s="31">
        <f t="shared" si="1"/>
        <v>44878</v>
      </c>
      <c r="AB2637" s="32" t="str">
        <f t="shared" si="5"/>
        <v>noviembre</v>
      </c>
    </row>
    <row r="2638" spans="1:28" ht="12.75">
      <c r="A2638" s="9" t="s">
        <v>2973</v>
      </c>
      <c r="B2638" s="10">
        <v>44881</v>
      </c>
      <c r="C2638" s="11">
        <v>44881</v>
      </c>
      <c r="D2638" s="53">
        <v>46</v>
      </c>
      <c r="E2638" s="13" t="s">
        <v>3057</v>
      </c>
      <c r="F2638" s="13">
        <v>3025457</v>
      </c>
      <c r="G2638" s="14">
        <v>6480</v>
      </c>
      <c r="H2638" s="33">
        <v>8700</v>
      </c>
      <c r="I2638" s="16">
        <f t="shared" si="386"/>
        <v>56376000</v>
      </c>
      <c r="J2638" s="17">
        <v>14</v>
      </c>
      <c r="K2638" s="34">
        <v>4502448168</v>
      </c>
      <c r="L2638" s="19">
        <v>5084577883</v>
      </c>
      <c r="M2638" s="20">
        <v>5113728890</v>
      </c>
      <c r="N2638" s="23"/>
      <c r="O2638" s="9" t="s">
        <v>63</v>
      </c>
      <c r="P2638" s="23"/>
      <c r="Q2638" s="24" t="s">
        <v>31</v>
      </c>
      <c r="R2638" s="25">
        <v>44879</v>
      </c>
      <c r="S2638" s="28"/>
      <c r="T2638" s="35"/>
      <c r="U2638" s="35"/>
      <c r="V2638" s="29"/>
      <c r="W2638" s="35"/>
      <c r="X2638" s="29"/>
      <c r="Y2638" s="36"/>
      <c r="Z2638" s="29"/>
      <c r="AA2638" s="31">
        <f t="shared" si="1"/>
        <v>44879</v>
      </c>
      <c r="AB2638" s="32" t="str">
        <f t="shared" si="5"/>
        <v>noviembre</v>
      </c>
    </row>
    <row r="2639" spans="1:28" ht="12.75">
      <c r="A2639" s="9" t="s">
        <v>94</v>
      </c>
      <c r="B2639" s="10">
        <v>44882</v>
      </c>
      <c r="C2639" s="11"/>
      <c r="D2639" s="53">
        <v>46</v>
      </c>
      <c r="E2639" s="13" t="s">
        <v>2504</v>
      </c>
      <c r="F2639" s="13">
        <v>3025457</v>
      </c>
      <c r="G2639" s="14">
        <v>12624</v>
      </c>
      <c r="H2639" s="15">
        <v>8500</v>
      </c>
      <c r="I2639" s="16">
        <f t="shared" si="386"/>
        <v>107304000</v>
      </c>
      <c r="J2639" s="17">
        <v>28</v>
      </c>
      <c r="K2639" s="34">
        <v>4502452142</v>
      </c>
      <c r="L2639" s="19">
        <v>5084603755</v>
      </c>
      <c r="M2639" s="20">
        <v>5113731552</v>
      </c>
      <c r="N2639" s="23"/>
      <c r="O2639" s="9" t="s">
        <v>1046</v>
      </c>
      <c r="P2639" s="9" t="s">
        <v>63</v>
      </c>
      <c r="Q2639" s="24" t="s">
        <v>31</v>
      </c>
      <c r="R2639" s="25">
        <v>44880</v>
      </c>
      <c r="S2639" s="28">
        <v>4902385122</v>
      </c>
      <c r="T2639" s="35">
        <f t="shared" ref="T2639:T2640" si="387">1623900*2</f>
        <v>3247800</v>
      </c>
      <c r="U2639" s="28" t="s">
        <v>3058</v>
      </c>
      <c r="V2639" s="29">
        <v>5113728545</v>
      </c>
      <c r="W2639" s="35"/>
      <c r="X2639" s="29"/>
      <c r="Y2639" s="36"/>
      <c r="Z2639" s="29"/>
      <c r="AA2639" s="31">
        <f t="shared" si="1"/>
        <v>44880</v>
      </c>
      <c r="AB2639" s="32" t="str">
        <f t="shared" si="5"/>
        <v>noviembre</v>
      </c>
    </row>
    <row r="2640" spans="1:28" ht="12.75">
      <c r="A2640" s="9" t="s">
        <v>94</v>
      </c>
      <c r="B2640" s="10">
        <v>44882</v>
      </c>
      <c r="C2640" s="11"/>
      <c r="D2640" s="53">
        <v>46</v>
      </c>
      <c r="E2640" s="13" t="s">
        <v>3059</v>
      </c>
      <c r="F2640" s="13">
        <v>3025457</v>
      </c>
      <c r="G2640" s="14">
        <v>12624</v>
      </c>
      <c r="H2640" s="15">
        <f>8524-8500</f>
        <v>24</v>
      </c>
      <c r="I2640" s="16">
        <f t="shared" si="386"/>
        <v>302976</v>
      </c>
      <c r="J2640" s="17">
        <v>0</v>
      </c>
      <c r="K2640" s="34">
        <v>4502452142</v>
      </c>
      <c r="L2640" s="19">
        <v>5084603755</v>
      </c>
      <c r="M2640" s="20">
        <v>5113731555</v>
      </c>
      <c r="N2640" s="23"/>
      <c r="O2640" s="9"/>
      <c r="P2640" s="23"/>
      <c r="Q2640" s="24" t="s">
        <v>31</v>
      </c>
      <c r="R2640" s="25">
        <v>44880</v>
      </c>
      <c r="S2640" s="28">
        <v>4902385122</v>
      </c>
      <c r="T2640" s="35">
        <f t="shared" si="387"/>
        <v>3247800</v>
      </c>
      <c r="U2640" s="28" t="s">
        <v>3058</v>
      </c>
      <c r="V2640" s="29">
        <v>5113728545</v>
      </c>
      <c r="W2640" s="35"/>
      <c r="X2640" s="29"/>
      <c r="Y2640" s="36"/>
      <c r="Z2640" s="29"/>
      <c r="AA2640" s="31">
        <f t="shared" si="1"/>
        <v>44880</v>
      </c>
      <c r="AB2640" s="32" t="str">
        <f t="shared" si="5"/>
        <v>noviembre</v>
      </c>
    </row>
    <row r="2641" spans="1:28" ht="12.75">
      <c r="A2641" s="9" t="s">
        <v>28</v>
      </c>
      <c r="B2641" s="10">
        <v>44887</v>
      </c>
      <c r="C2641" s="11">
        <v>44887</v>
      </c>
      <c r="D2641" s="53">
        <v>46</v>
      </c>
      <c r="E2641" s="13" t="s">
        <v>3060</v>
      </c>
      <c r="F2641" s="13">
        <v>3025457</v>
      </c>
      <c r="G2641" s="14">
        <v>13956</v>
      </c>
      <c r="H2641" s="15">
        <v>8200</v>
      </c>
      <c r="I2641" s="16">
        <f t="shared" si="386"/>
        <v>114439200</v>
      </c>
      <c r="J2641" s="17">
        <v>28</v>
      </c>
      <c r="K2641" s="34">
        <v>4502452143</v>
      </c>
      <c r="L2641" s="19">
        <v>5084603756</v>
      </c>
      <c r="M2641" s="20">
        <v>5113742674</v>
      </c>
      <c r="N2641" s="23" t="s">
        <v>37</v>
      </c>
      <c r="O2641" s="9" t="s">
        <v>3061</v>
      </c>
      <c r="P2641" s="23"/>
      <c r="Q2641" s="24" t="s">
        <v>31</v>
      </c>
      <c r="R2641" s="25">
        <v>44880</v>
      </c>
      <c r="S2641" s="28">
        <v>4902385124</v>
      </c>
      <c r="T2641" s="35">
        <f>1980900*2</f>
        <v>3961800</v>
      </c>
      <c r="U2641" s="28" t="s">
        <v>3062</v>
      </c>
      <c r="V2641" s="29">
        <v>5113728683</v>
      </c>
      <c r="W2641" s="35"/>
      <c r="X2641" s="29"/>
      <c r="Y2641" s="36"/>
      <c r="Z2641" s="29"/>
      <c r="AA2641" s="31">
        <f t="shared" si="1"/>
        <v>44880</v>
      </c>
      <c r="AB2641" s="32" t="str">
        <f t="shared" si="5"/>
        <v>noviembre</v>
      </c>
    </row>
    <row r="2642" spans="1:28" ht="12.75">
      <c r="A2642" s="9" t="s">
        <v>305</v>
      </c>
      <c r="B2642" s="10">
        <v>44882</v>
      </c>
      <c r="C2642" s="11">
        <v>44883</v>
      </c>
      <c r="D2642" s="53">
        <v>46</v>
      </c>
      <c r="E2642" s="13" t="s">
        <v>3063</v>
      </c>
      <c r="F2642" s="13">
        <v>3025457</v>
      </c>
      <c r="G2642" s="14">
        <v>22184</v>
      </c>
      <c r="H2642" s="33">
        <v>8750</v>
      </c>
      <c r="I2642" s="16">
        <f t="shared" si="386"/>
        <v>194110000</v>
      </c>
      <c r="J2642" s="17">
        <v>45</v>
      </c>
      <c r="K2642" s="34">
        <v>4502448169</v>
      </c>
      <c r="L2642" s="19">
        <v>5084602616</v>
      </c>
      <c r="M2642" s="20">
        <v>5113732819</v>
      </c>
      <c r="N2642" s="23"/>
      <c r="O2642" s="9" t="s">
        <v>37</v>
      </c>
      <c r="P2642" s="23"/>
      <c r="Q2642" s="24" t="s">
        <v>31</v>
      </c>
      <c r="R2642" s="25">
        <v>44880</v>
      </c>
      <c r="S2642" s="28"/>
      <c r="T2642" s="35"/>
      <c r="U2642" s="35"/>
      <c r="V2642" s="29"/>
      <c r="W2642" s="35"/>
      <c r="X2642" s="29"/>
      <c r="Y2642" s="36"/>
      <c r="Z2642" s="29"/>
      <c r="AA2642" s="31">
        <f t="shared" si="1"/>
        <v>44880</v>
      </c>
      <c r="AB2642" s="32" t="str">
        <f t="shared" si="5"/>
        <v>noviembre</v>
      </c>
    </row>
    <row r="2643" spans="1:28" ht="12.75">
      <c r="A2643" s="9" t="s">
        <v>305</v>
      </c>
      <c r="B2643" s="10">
        <v>44882</v>
      </c>
      <c r="C2643" s="11">
        <v>44883</v>
      </c>
      <c r="D2643" s="53">
        <v>46</v>
      </c>
      <c r="E2643" s="13" t="s">
        <v>3064</v>
      </c>
      <c r="F2643" s="13">
        <v>3025457</v>
      </c>
      <c r="G2643" s="14">
        <v>22184</v>
      </c>
      <c r="H2643" s="33">
        <f>8800-8750</f>
        <v>50</v>
      </c>
      <c r="I2643" s="16">
        <f t="shared" si="386"/>
        <v>1109200</v>
      </c>
      <c r="J2643" s="17">
        <v>0</v>
      </c>
      <c r="K2643" s="34">
        <v>4502448169</v>
      </c>
      <c r="L2643" s="19">
        <v>5084602616</v>
      </c>
      <c r="M2643" s="20">
        <v>5113732820</v>
      </c>
      <c r="N2643" s="23"/>
      <c r="O2643" s="9"/>
      <c r="P2643" s="23"/>
      <c r="Q2643" s="24" t="s">
        <v>31</v>
      </c>
      <c r="R2643" s="25">
        <v>44880</v>
      </c>
      <c r="S2643" s="28"/>
      <c r="T2643" s="35"/>
      <c r="U2643" s="35"/>
      <c r="V2643" s="29"/>
      <c r="W2643" s="35"/>
      <c r="X2643" s="29"/>
      <c r="Y2643" s="36"/>
      <c r="Z2643" s="29"/>
      <c r="AA2643" s="31">
        <f t="shared" si="1"/>
        <v>44880</v>
      </c>
      <c r="AB2643" s="32" t="str">
        <f t="shared" si="5"/>
        <v>noviembre</v>
      </c>
    </row>
    <row r="2644" spans="1:28" ht="12.75">
      <c r="A2644" s="9" t="s">
        <v>3065</v>
      </c>
      <c r="B2644" s="10">
        <v>44882</v>
      </c>
      <c r="C2644" s="11">
        <v>44883</v>
      </c>
      <c r="D2644" s="53">
        <v>46</v>
      </c>
      <c r="E2644" s="13" t="s">
        <v>491</v>
      </c>
      <c r="F2644" s="13">
        <v>3025457</v>
      </c>
      <c r="G2644" s="14">
        <v>6279</v>
      </c>
      <c r="H2644" s="33">
        <v>8700</v>
      </c>
      <c r="I2644" s="16">
        <f t="shared" si="386"/>
        <v>54627300</v>
      </c>
      <c r="J2644" s="17">
        <v>15</v>
      </c>
      <c r="K2644" s="34">
        <v>4502448170</v>
      </c>
      <c r="L2644" s="19">
        <v>5084604403</v>
      </c>
      <c r="M2644" s="20">
        <v>5113733522</v>
      </c>
      <c r="N2644" s="23"/>
      <c r="O2644" s="9" t="s">
        <v>63</v>
      </c>
      <c r="P2644" s="23"/>
      <c r="Q2644" s="24" t="s">
        <v>31</v>
      </c>
      <c r="R2644" s="25">
        <v>44880</v>
      </c>
      <c r="S2644" s="28"/>
      <c r="T2644" s="35"/>
      <c r="U2644" s="35"/>
      <c r="V2644" s="29"/>
      <c r="W2644" s="35"/>
      <c r="X2644" s="29"/>
      <c r="Y2644" s="36"/>
      <c r="Z2644" s="29"/>
      <c r="AA2644" s="31">
        <f t="shared" si="1"/>
        <v>44880</v>
      </c>
      <c r="AB2644" s="32" t="str">
        <f t="shared" si="5"/>
        <v>noviembre</v>
      </c>
    </row>
    <row r="2645" spans="1:28" ht="12.75">
      <c r="A2645" s="9" t="s">
        <v>3065</v>
      </c>
      <c r="B2645" s="10">
        <v>44883</v>
      </c>
      <c r="C2645" s="11">
        <v>44883</v>
      </c>
      <c r="D2645" s="53">
        <v>46</v>
      </c>
      <c r="E2645" s="13" t="s">
        <v>1381</v>
      </c>
      <c r="F2645" s="13">
        <v>3025457</v>
      </c>
      <c r="G2645" s="14">
        <v>6279</v>
      </c>
      <c r="H2645" s="33">
        <f>8700-8525.09</f>
        <v>174.90999999999985</v>
      </c>
      <c r="I2645" s="16">
        <f>-H2645*G2645</f>
        <v>-1098259.8899999992</v>
      </c>
      <c r="J2645" s="17">
        <v>0</v>
      </c>
      <c r="K2645" s="34">
        <v>4502448170</v>
      </c>
      <c r="L2645" s="19">
        <v>5084604403</v>
      </c>
      <c r="M2645" s="20">
        <v>5113733526</v>
      </c>
      <c r="N2645" s="23"/>
      <c r="O2645" s="9"/>
      <c r="P2645" s="23"/>
      <c r="Q2645" s="24" t="s">
        <v>31</v>
      </c>
      <c r="R2645" s="25">
        <v>44880</v>
      </c>
      <c r="S2645" s="28"/>
      <c r="T2645" s="35"/>
      <c r="U2645" s="35"/>
      <c r="V2645" s="29"/>
      <c r="W2645" s="35"/>
      <c r="X2645" s="29"/>
      <c r="Y2645" s="36"/>
      <c r="Z2645" s="29"/>
      <c r="AA2645" s="31">
        <f t="shared" si="1"/>
        <v>44880</v>
      </c>
      <c r="AB2645" s="32" t="str">
        <f t="shared" si="5"/>
        <v>noviembre</v>
      </c>
    </row>
    <row r="2646" spans="1:28" ht="12.75">
      <c r="A2646" s="9" t="s">
        <v>1289</v>
      </c>
      <c r="B2646" s="10">
        <v>44880</v>
      </c>
      <c r="C2646" s="11">
        <v>44886</v>
      </c>
      <c r="D2646" s="53">
        <v>46</v>
      </c>
      <c r="E2646" s="13" t="s">
        <v>3066</v>
      </c>
      <c r="F2646" s="13">
        <v>3025457</v>
      </c>
      <c r="G2646" s="14">
        <v>7416</v>
      </c>
      <c r="H2646" s="15">
        <v>8200</v>
      </c>
      <c r="I2646" s="16">
        <f t="shared" ref="I2646:I2647" si="388">H2646*G2646</f>
        <v>60811200</v>
      </c>
      <c r="J2646" s="17">
        <v>14</v>
      </c>
      <c r="K2646" s="34">
        <v>4502452145</v>
      </c>
      <c r="L2646" s="19">
        <v>5084603820</v>
      </c>
      <c r="M2646" s="20">
        <v>5113738866</v>
      </c>
      <c r="N2646" s="9" t="s">
        <v>63</v>
      </c>
      <c r="O2646" s="9" t="s">
        <v>3067</v>
      </c>
      <c r="P2646" s="23"/>
      <c r="Q2646" s="24" t="s">
        <v>31</v>
      </c>
      <c r="R2646" s="25">
        <v>44880</v>
      </c>
      <c r="S2646" s="28">
        <v>4902385125</v>
      </c>
      <c r="T2646" s="35">
        <f>2979200*2</f>
        <v>5958400</v>
      </c>
      <c r="U2646" s="28" t="s">
        <v>3068</v>
      </c>
      <c r="V2646" s="29">
        <v>5113728677</v>
      </c>
      <c r="W2646" s="35"/>
      <c r="X2646" s="29"/>
      <c r="Y2646" s="36"/>
      <c r="Z2646" s="29"/>
      <c r="AA2646" s="31">
        <f t="shared" si="1"/>
        <v>44880</v>
      </c>
      <c r="AB2646" s="32" t="str">
        <f t="shared" si="5"/>
        <v>noviembre</v>
      </c>
    </row>
    <row r="2647" spans="1:28" ht="12.75">
      <c r="A2647" s="9" t="s">
        <v>642</v>
      </c>
      <c r="B2647" s="10">
        <v>44884</v>
      </c>
      <c r="C2647" s="11"/>
      <c r="D2647" s="53">
        <v>46</v>
      </c>
      <c r="E2647" s="13" t="s">
        <v>3069</v>
      </c>
      <c r="F2647" s="13">
        <v>3025457</v>
      </c>
      <c r="G2647" s="14">
        <v>13638</v>
      </c>
      <c r="H2647" s="33">
        <v>8750</v>
      </c>
      <c r="I2647" s="16">
        <f t="shared" si="388"/>
        <v>119332500</v>
      </c>
      <c r="J2647" s="17">
        <v>30</v>
      </c>
      <c r="K2647" s="34">
        <v>4502448171</v>
      </c>
      <c r="L2647" s="19">
        <v>5084604405</v>
      </c>
      <c r="M2647" s="20">
        <v>5113742364</v>
      </c>
      <c r="N2647" s="23"/>
      <c r="O2647" s="9" t="s">
        <v>37</v>
      </c>
      <c r="P2647" s="23"/>
      <c r="Q2647" s="24" t="s">
        <v>31</v>
      </c>
      <c r="R2647" s="25">
        <v>44880</v>
      </c>
      <c r="S2647" s="28"/>
      <c r="T2647" s="35"/>
      <c r="U2647" s="35"/>
      <c r="V2647" s="29"/>
      <c r="W2647" s="35"/>
      <c r="X2647" s="29"/>
      <c r="Y2647" s="36"/>
      <c r="Z2647" s="29"/>
      <c r="AA2647" s="31">
        <f t="shared" si="1"/>
        <v>44880</v>
      </c>
      <c r="AB2647" s="32" t="str">
        <f t="shared" si="5"/>
        <v>noviembre</v>
      </c>
    </row>
    <row r="2648" spans="1:28" ht="12.75">
      <c r="A2648" s="9" t="s">
        <v>642</v>
      </c>
      <c r="B2648" s="10">
        <v>44884</v>
      </c>
      <c r="C2648" s="11"/>
      <c r="D2648" s="53">
        <v>46</v>
      </c>
      <c r="E2648" s="13" t="s">
        <v>3070</v>
      </c>
      <c r="F2648" s="13">
        <v>3025457</v>
      </c>
      <c r="G2648" s="14">
        <v>13638</v>
      </c>
      <c r="H2648" s="33">
        <f>8750-8650</f>
        <v>100</v>
      </c>
      <c r="I2648" s="16">
        <f>-H2648*G2648</f>
        <v>-1363800</v>
      </c>
      <c r="J2648" s="17">
        <v>0</v>
      </c>
      <c r="K2648" s="34">
        <v>4502448171</v>
      </c>
      <c r="L2648" s="19">
        <v>5084604405</v>
      </c>
      <c r="M2648" s="20">
        <v>5113742365</v>
      </c>
      <c r="N2648" s="23"/>
      <c r="O2648" s="9"/>
      <c r="P2648" s="23"/>
      <c r="Q2648" s="24" t="s">
        <v>31</v>
      </c>
      <c r="R2648" s="25">
        <v>44880</v>
      </c>
      <c r="S2648" s="28"/>
      <c r="T2648" s="35"/>
      <c r="U2648" s="35"/>
      <c r="V2648" s="29"/>
      <c r="W2648" s="35"/>
      <c r="X2648" s="29"/>
      <c r="Y2648" s="36"/>
      <c r="Z2648" s="29"/>
      <c r="AA2648" s="31">
        <f t="shared" si="1"/>
        <v>44880</v>
      </c>
      <c r="AB2648" s="32" t="str">
        <f t="shared" si="5"/>
        <v>noviembre</v>
      </c>
    </row>
    <row r="2649" spans="1:28" ht="12.75">
      <c r="A2649" s="9" t="s">
        <v>2973</v>
      </c>
      <c r="B2649" s="10">
        <v>44890</v>
      </c>
      <c r="C2649" s="11">
        <v>44890</v>
      </c>
      <c r="D2649" s="42">
        <v>47</v>
      </c>
      <c r="E2649" s="13" t="s">
        <v>3071</v>
      </c>
      <c r="F2649" s="13">
        <v>3025457</v>
      </c>
      <c r="G2649" s="14">
        <v>6177</v>
      </c>
      <c r="H2649" s="33">
        <v>8750</v>
      </c>
      <c r="I2649" s="16">
        <f t="shared" ref="I2649:I2652" si="389">H2649*G2649</f>
        <v>54048750</v>
      </c>
      <c r="J2649" s="17">
        <v>14</v>
      </c>
      <c r="K2649" s="34">
        <v>4502452056</v>
      </c>
      <c r="L2649" s="126">
        <v>5084667131</v>
      </c>
      <c r="M2649" s="20">
        <v>5113755524</v>
      </c>
      <c r="N2649" s="128"/>
      <c r="O2649" s="9" t="s">
        <v>63</v>
      </c>
      <c r="P2649" s="23"/>
      <c r="Q2649" s="24" t="s">
        <v>31</v>
      </c>
      <c r="R2649" s="25">
        <v>44882</v>
      </c>
      <c r="S2649" s="28"/>
      <c r="T2649" s="35"/>
      <c r="U2649" s="35"/>
      <c r="V2649" s="29"/>
      <c r="W2649" s="35"/>
      <c r="X2649" s="29"/>
      <c r="Y2649" s="36"/>
      <c r="Z2649" s="29"/>
      <c r="AA2649" s="31">
        <f t="shared" si="1"/>
        <v>44882</v>
      </c>
      <c r="AB2649" s="32" t="str">
        <f t="shared" si="5"/>
        <v>noviembre</v>
      </c>
    </row>
    <row r="2650" spans="1:28" ht="12.75">
      <c r="A2650" s="22" t="s">
        <v>719</v>
      </c>
      <c r="B2650" s="10">
        <v>44886</v>
      </c>
      <c r="C2650" s="11">
        <v>44887</v>
      </c>
      <c r="D2650" s="42">
        <v>47</v>
      </c>
      <c r="E2650" s="13" t="s">
        <v>3072</v>
      </c>
      <c r="F2650" s="13">
        <v>3025457</v>
      </c>
      <c r="G2650" s="14">
        <v>7268</v>
      </c>
      <c r="H2650" s="33">
        <v>8750</v>
      </c>
      <c r="I2650" s="16">
        <f t="shared" si="389"/>
        <v>63595000</v>
      </c>
      <c r="J2650" s="17">
        <v>15</v>
      </c>
      <c r="K2650" s="34">
        <v>4502452057</v>
      </c>
      <c r="L2650" s="126">
        <v>5084667655</v>
      </c>
      <c r="M2650" s="20">
        <v>5113742671</v>
      </c>
      <c r="N2650" s="128"/>
      <c r="O2650" s="9" t="s">
        <v>37</v>
      </c>
      <c r="P2650" s="23"/>
      <c r="Q2650" s="24" t="s">
        <v>31</v>
      </c>
      <c r="R2650" s="25">
        <v>44882</v>
      </c>
      <c r="S2650" s="28"/>
      <c r="T2650" s="35"/>
      <c r="U2650" s="35"/>
      <c r="V2650" s="29"/>
      <c r="W2650" s="35"/>
      <c r="X2650" s="29"/>
      <c r="Y2650" s="36"/>
      <c r="Z2650" s="29"/>
      <c r="AA2650" s="31">
        <f t="shared" si="1"/>
        <v>44882</v>
      </c>
      <c r="AB2650" s="32" t="str">
        <f t="shared" si="5"/>
        <v>noviembre</v>
      </c>
    </row>
    <row r="2651" spans="1:28" ht="12.75">
      <c r="A2651" s="9" t="s">
        <v>2276</v>
      </c>
      <c r="B2651" s="10">
        <v>44887</v>
      </c>
      <c r="C2651" s="11">
        <v>44887</v>
      </c>
      <c r="D2651" s="42">
        <v>47</v>
      </c>
      <c r="E2651" s="13" t="s">
        <v>3073</v>
      </c>
      <c r="F2651" s="13">
        <v>3025457</v>
      </c>
      <c r="G2651" s="14">
        <v>12549.5</v>
      </c>
      <c r="H2651" s="33">
        <v>8800</v>
      </c>
      <c r="I2651" s="16">
        <f t="shared" si="389"/>
        <v>110435600</v>
      </c>
      <c r="J2651" s="17">
        <v>28</v>
      </c>
      <c r="K2651" s="34">
        <v>4502452058</v>
      </c>
      <c r="L2651" s="126">
        <v>5084667132</v>
      </c>
      <c r="M2651" s="20">
        <v>5113751097</v>
      </c>
      <c r="N2651" s="128"/>
      <c r="O2651" s="9" t="s">
        <v>37</v>
      </c>
      <c r="P2651" s="23"/>
      <c r="Q2651" s="24" t="s">
        <v>31</v>
      </c>
      <c r="R2651" s="25">
        <v>44882</v>
      </c>
      <c r="S2651" s="28">
        <v>15</v>
      </c>
      <c r="T2651" s="156">
        <f>R2651+S2651</f>
        <v>44897</v>
      </c>
      <c r="U2651" s="35"/>
      <c r="V2651" s="29"/>
      <c r="W2651" s="35"/>
      <c r="X2651" s="29"/>
      <c r="Y2651" s="36"/>
      <c r="Z2651" s="29"/>
      <c r="AA2651" s="31">
        <f t="shared" si="1"/>
        <v>44882</v>
      </c>
      <c r="AB2651" s="32" t="str">
        <f t="shared" si="5"/>
        <v>noviembre</v>
      </c>
    </row>
    <row r="2652" spans="1:28" ht="12.75">
      <c r="A2652" s="9" t="s">
        <v>46</v>
      </c>
      <c r="B2652" s="10">
        <v>44882</v>
      </c>
      <c r="C2652" s="11">
        <v>44887</v>
      </c>
      <c r="D2652" s="42">
        <v>47</v>
      </c>
      <c r="E2652" s="13" t="s">
        <v>3074</v>
      </c>
      <c r="F2652" s="13">
        <v>3025457</v>
      </c>
      <c r="G2652" s="14">
        <v>12666</v>
      </c>
      <c r="H2652" s="33">
        <v>8850</v>
      </c>
      <c r="I2652" s="16">
        <f t="shared" si="389"/>
        <v>112094100</v>
      </c>
      <c r="J2652" s="17">
        <v>28</v>
      </c>
      <c r="K2652" s="34">
        <v>4502452060</v>
      </c>
      <c r="L2652" s="126">
        <v>5084667133</v>
      </c>
      <c r="M2652" s="20">
        <v>5113739324</v>
      </c>
      <c r="N2652" s="128"/>
      <c r="O2652" s="9" t="s">
        <v>37</v>
      </c>
      <c r="P2652" s="23"/>
      <c r="Q2652" s="24" t="s">
        <v>31</v>
      </c>
      <c r="R2652" s="25">
        <v>44882</v>
      </c>
      <c r="S2652" s="28"/>
      <c r="T2652" s="35"/>
      <c r="U2652" s="35"/>
      <c r="V2652" s="29"/>
      <c r="W2652" s="35"/>
      <c r="X2652" s="29"/>
      <c r="Y2652" s="36"/>
      <c r="Z2652" s="29"/>
      <c r="AA2652" s="31">
        <f t="shared" si="1"/>
        <v>44882</v>
      </c>
      <c r="AB2652" s="32" t="str">
        <f t="shared" si="5"/>
        <v>noviembre</v>
      </c>
    </row>
    <row r="2653" spans="1:28" ht="12.75">
      <c r="A2653" s="9" t="s">
        <v>46</v>
      </c>
      <c r="B2653" s="10">
        <v>44882</v>
      </c>
      <c r="C2653" s="11">
        <v>44887</v>
      </c>
      <c r="D2653" s="42">
        <v>47</v>
      </c>
      <c r="E2653" s="13" t="s">
        <v>142</v>
      </c>
      <c r="F2653" s="13">
        <v>3025457</v>
      </c>
      <c r="G2653" s="14">
        <v>12666</v>
      </c>
      <c r="H2653" s="33">
        <f>8850-8838.27</f>
        <v>11.729999999999563</v>
      </c>
      <c r="I2653" s="16">
        <f>-H2653*G2653</f>
        <v>-148572.17999999446</v>
      </c>
      <c r="J2653" s="17">
        <v>0</v>
      </c>
      <c r="K2653" s="34">
        <v>4502452060</v>
      </c>
      <c r="L2653" s="126">
        <v>5084667133</v>
      </c>
      <c r="M2653" s="20">
        <v>5113739325</v>
      </c>
      <c r="N2653" s="128"/>
      <c r="O2653" s="9"/>
      <c r="P2653" s="23"/>
      <c r="Q2653" s="24" t="s">
        <v>31</v>
      </c>
      <c r="R2653" s="25">
        <v>44882</v>
      </c>
      <c r="S2653" s="28"/>
      <c r="T2653" s="35"/>
      <c r="U2653" s="35"/>
      <c r="V2653" s="29"/>
      <c r="W2653" s="35"/>
      <c r="X2653" s="29"/>
      <c r="Y2653" s="36"/>
      <c r="Z2653" s="29"/>
      <c r="AA2653" s="31">
        <f t="shared" si="1"/>
        <v>44882</v>
      </c>
      <c r="AB2653" s="32" t="str">
        <f t="shared" si="5"/>
        <v>noviembre</v>
      </c>
    </row>
    <row r="2654" spans="1:28" ht="12.75">
      <c r="A2654" s="9" t="s">
        <v>58</v>
      </c>
      <c r="B2654" s="10">
        <v>44887</v>
      </c>
      <c r="C2654" s="11">
        <v>44887</v>
      </c>
      <c r="D2654" s="42">
        <v>47</v>
      </c>
      <c r="E2654" s="13" t="s">
        <v>3075</v>
      </c>
      <c r="F2654" s="13">
        <v>3025457</v>
      </c>
      <c r="G2654" s="14">
        <v>25717.5</v>
      </c>
      <c r="H2654" s="33">
        <v>9200</v>
      </c>
      <c r="I2654" s="16">
        <f>H2654*G2654</f>
        <v>236601000</v>
      </c>
      <c r="J2654" s="17">
        <v>60</v>
      </c>
      <c r="K2654" s="34">
        <v>4502452061</v>
      </c>
      <c r="L2654" s="126">
        <v>5084667134</v>
      </c>
      <c r="M2654" s="20">
        <v>5113742888</v>
      </c>
      <c r="N2654" s="128"/>
      <c r="O2654" s="9" t="s">
        <v>37</v>
      </c>
      <c r="P2654" s="23"/>
      <c r="Q2654" s="24" t="s">
        <v>31</v>
      </c>
      <c r="R2654" s="25">
        <v>44882</v>
      </c>
      <c r="S2654" s="28"/>
      <c r="T2654" s="35"/>
      <c r="U2654" s="35"/>
      <c r="V2654" s="29"/>
      <c r="W2654" s="35"/>
      <c r="X2654" s="29"/>
      <c r="Y2654" s="36"/>
      <c r="Z2654" s="29"/>
      <c r="AA2654" s="31">
        <f t="shared" si="1"/>
        <v>44882</v>
      </c>
      <c r="AB2654" s="32" t="str">
        <f t="shared" si="5"/>
        <v>noviembre</v>
      </c>
    </row>
    <row r="2655" spans="1:28" ht="12.75">
      <c r="A2655" s="9" t="s">
        <v>58</v>
      </c>
      <c r="B2655" s="10">
        <v>44887</v>
      </c>
      <c r="C2655" s="11">
        <v>44887</v>
      </c>
      <c r="D2655" s="42">
        <v>47</v>
      </c>
      <c r="E2655" s="13" t="s">
        <v>3076</v>
      </c>
      <c r="F2655" s="13">
        <v>3025457</v>
      </c>
      <c r="G2655" s="14">
        <v>25717.5</v>
      </c>
      <c r="H2655" s="33">
        <f>9200-9168.77</f>
        <v>31.229999999999563</v>
      </c>
      <c r="I2655" s="16">
        <f>-H2655*G2655</f>
        <v>-803157.52499998873</v>
      </c>
      <c r="J2655" s="17">
        <v>0</v>
      </c>
      <c r="K2655" s="34">
        <v>4502452061</v>
      </c>
      <c r="L2655" s="126">
        <v>5084667134</v>
      </c>
      <c r="M2655" s="20">
        <v>5113742890</v>
      </c>
      <c r="N2655" s="128"/>
      <c r="O2655" s="9"/>
      <c r="P2655" s="23"/>
      <c r="Q2655" s="24" t="s">
        <v>31</v>
      </c>
      <c r="R2655" s="25">
        <v>44882</v>
      </c>
      <c r="S2655" s="28"/>
      <c r="T2655" s="35"/>
      <c r="U2655" s="35"/>
      <c r="V2655" s="29"/>
      <c r="W2655" s="35"/>
      <c r="X2655" s="29"/>
      <c r="Y2655" s="36"/>
      <c r="Z2655" s="29"/>
      <c r="AA2655" s="31">
        <f t="shared" si="1"/>
        <v>44882</v>
      </c>
      <c r="AB2655" s="32" t="str">
        <f t="shared" si="5"/>
        <v>noviembre</v>
      </c>
    </row>
    <row r="2656" spans="1:28" ht="12.75">
      <c r="A2656" s="9" t="s">
        <v>1721</v>
      </c>
      <c r="B2656" s="10">
        <v>44882</v>
      </c>
      <c r="C2656" s="11"/>
      <c r="D2656" s="42">
        <v>47</v>
      </c>
      <c r="E2656" s="13" t="s">
        <v>1171</v>
      </c>
      <c r="F2656" s="13">
        <v>3025457</v>
      </c>
      <c r="G2656" s="14">
        <v>12140.5</v>
      </c>
      <c r="H2656" s="33">
        <v>8750</v>
      </c>
      <c r="I2656" s="16">
        <f>H2656*G2656</f>
        <v>106229375</v>
      </c>
      <c r="J2656" s="17">
        <v>28</v>
      </c>
      <c r="K2656" s="34">
        <v>4502452062</v>
      </c>
      <c r="L2656" s="126">
        <v>5084667135</v>
      </c>
      <c r="M2656" s="20">
        <v>5113755525</v>
      </c>
      <c r="N2656" s="128"/>
      <c r="O2656" s="9" t="s">
        <v>313</v>
      </c>
      <c r="P2656" s="23"/>
      <c r="Q2656" s="24" t="s">
        <v>31</v>
      </c>
      <c r="R2656" s="25">
        <v>44882</v>
      </c>
      <c r="S2656" s="28"/>
      <c r="T2656" s="35"/>
      <c r="U2656" s="35"/>
      <c r="V2656" s="29"/>
      <c r="W2656" s="35"/>
      <c r="X2656" s="29"/>
      <c r="Y2656" s="36"/>
      <c r="Z2656" s="29"/>
      <c r="AA2656" s="31">
        <f t="shared" si="1"/>
        <v>44882</v>
      </c>
      <c r="AB2656" s="32" t="str">
        <f t="shared" si="5"/>
        <v>noviembre</v>
      </c>
    </row>
    <row r="2657" spans="1:28" ht="12.75">
      <c r="A2657" s="9" t="s">
        <v>1721</v>
      </c>
      <c r="B2657" s="10">
        <v>44882</v>
      </c>
      <c r="C2657" s="11">
        <v>44890</v>
      </c>
      <c r="D2657" s="42">
        <v>47</v>
      </c>
      <c r="E2657" s="61" t="s">
        <v>1031</v>
      </c>
      <c r="F2657" s="13">
        <v>3025457</v>
      </c>
      <c r="G2657" s="14">
        <v>12140.5</v>
      </c>
      <c r="H2657" s="33">
        <f>8750-8700</f>
        <v>50</v>
      </c>
      <c r="I2657" s="16">
        <f>-H2657*G2657</f>
        <v>-607025</v>
      </c>
      <c r="J2657" s="17">
        <v>0</v>
      </c>
      <c r="K2657" s="34">
        <v>4502452062</v>
      </c>
      <c r="L2657" s="126">
        <v>5084667135</v>
      </c>
      <c r="M2657" s="20">
        <v>5113755526</v>
      </c>
      <c r="N2657" s="128"/>
      <c r="O2657" s="9"/>
      <c r="P2657" s="23"/>
      <c r="Q2657" s="24" t="s">
        <v>31</v>
      </c>
      <c r="R2657" s="25">
        <v>44882</v>
      </c>
      <c r="S2657" s="28"/>
      <c r="T2657" s="35"/>
      <c r="U2657" s="35"/>
      <c r="V2657" s="29"/>
      <c r="W2657" s="35"/>
      <c r="X2657" s="29"/>
      <c r="Y2657" s="36"/>
      <c r="Z2657" s="29"/>
      <c r="AA2657" s="31">
        <f t="shared" si="1"/>
        <v>44882</v>
      </c>
      <c r="AB2657" s="32" t="str">
        <f t="shared" si="5"/>
        <v>noviembre</v>
      </c>
    </row>
    <row r="2658" spans="1:28" ht="12.75">
      <c r="A2658" s="9" t="s">
        <v>58</v>
      </c>
      <c r="B2658" s="10">
        <v>44886</v>
      </c>
      <c r="C2658" s="11">
        <v>44886</v>
      </c>
      <c r="D2658" s="42">
        <v>47</v>
      </c>
      <c r="E2658" s="13" t="s">
        <v>3077</v>
      </c>
      <c r="F2658" s="13">
        <v>3025461</v>
      </c>
      <c r="G2658" s="14">
        <v>20818</v>
      </c>
      <c r="H2658" s="57">
        <v>9200</v>
      </c>
      <c r="I2658" s="16">
        <f t="shared" ref="I2658:I2659" si="390">H2658*G2658</f>
        <v>191525600</v>
      </c>
      <c r="J2658" s="17">
        <v>42</v>
      </c>
      <c r="K2658" s="34">
        <v>4502454640</v>
      </c>
      <c r="L2658" s="126">
        <v>5084676585</v>
      </c>
      <c r="M2658" s="20">
        <v>5113737929</v>
      </c>
      <c r="N2658" s="23"/>
      <c r="O2658" s="9" t="s">
        <v>37</v>
      </c>
      <c r="P2658" s="23"/>
      <c r="Q2658" s="24" t="s">
        <v>1605</v>
      </c>
      <c r="R2658" s="25">
        <v>44882</v>
      </c>
      <c r="S2658" s="28"/>
      <c r="T2658" s="35"/>
      <c r="U2658" s="35"/>
      <c r="V2658" s="29"/>
      <c r="W2658" s="35"/>
      <c r="X2658" s="29"/>
      <c r="Y2658" s="36"/>
      <c r="Z2658" s="29"/>
      <c r="AA2658" s="31">
        <f t="shared" si="1"/>
        <v>44882</v>
      </c>
      <c r="AB2658" s="32" t="str">
        <f t="shared" si="5"/>
        <v>noviembre</v>
      </c>
    </row>
    <row r="2659" spans="1:28" ht="12.75">
      <c r="A2659" s="9" t="s">
        <v>73</v>
      </c>
      <c r="B2659" s="10">
        <v>44883</v>
      </c>
      <c r="C2659" s="11">
        <v>44887</v>
      </c>
      <c r="D2659" s="42">
        <v>47</v>
      </c>
      <c r="E2659" s="13" t="s">
        <v>3078</v>
      </c>
      <c r="F2659" s="13">
        <v>3025457</v>
      </c>
      <c r="G2659" s="37">
        <v>6510.5</v>
      </c>
      <c r="H2659" s="33">
        <v>9150</v>
      </c>
      <c r="I2659" s="16">
        <f t="shared" si="390"/>
        <v>59571075</v>
      </c>
      <c r="J2659" s="17">
        <v>14</v>
      </c>
      <c r="K2659" s="34">
        <v>4502452063</v>
      </c>
      <c r="L2659" s="126">
        <v>5084667136</v>
      </c>
      <c r="M2659" s="20">
        <v>5113742667</v>
      </c>
      <c r="N2659" s="128"/>
      <c r="O2659" s="128" t="s">
        <v>63</v>
      </c>
      <c r="P2659" s="23"/>
      <c r="Q2659" s="24" t="s">
        <v>31</v>
      </c>
      <c r="R2659" s="25">
        <v>44883</v>
      </c>
      <c r="S2659" s="28"/>
      <c r="T2659" s="35"/>
      <c r="U2659" s="35"/>
      <c r="V2659" s="29"/>
      <c r="W2659" s="35"/>
      <c r="X2659" s="29"/>
      <c r="Y2659" s="36"/>
      <c r="Z2659" s="29"/>
      <c r="AA2659" s="31">
        <f t="shared" si="1"/>
        <v>44883</v>
      </c>
      <c r="AB2659" s="32" t="str">
        <f t="shared" si="5"/>
        <v>noviembre</v>
      </c>
    </row>
    <row r="2660" spans="1:28" ht="12.75">
      <c r="A2660" s="9" t="s">
        <v>73</v>
      </c>
      <c r="B2660" s="10">
        <v>44887</v>
      </c>
      <c r="C2660" s="11">
        <v>44887</v>
      </c>
      <c r="D2660" s="42">
        <v>47</v>
      </c>
      <c r="E2660" s="13" t="s">
        <v>3079</v>
      </c>
      <c r="F2660" s="13">
        <v>3025457</v>
      </c>
      <c r="G2660" s="37">
        <v>6510.5</v>
      </c>
      <c r="H2660" s="33">
        <f>9150-9124</f>
        <v>26</v>
      </c>
      <c r="I2660" s="16">
        <f>-H2660*G2660</f>
        <v>-169273</v>
      </c>
      <c r="J2660" s="17">
        <v>0</v>
      </c>
      <c r="K2660" s="34">
        <v>4502452063</v>
      </c>
      <c r="L2660" s="126">
        <v>5084667136</v>
      </c>
      <c r="M2660" s="20">
        <v>5113742668</v>
      </c>
      <c r="N2660" s="128"/>
      <c r="O2660" s="9"/>
      <c r="P2660" s="23"/>
      <c r="Q2660" s="24" t="s">
        <v>31</v>
      </c>
      <c r="R2660" s="25">
        <v>44883</v>
      </c>
      <c r="S2660" s="28"/>
      <c r="T2660" s="35"/>
      <c r="U2660" s="35"/>
      <c r="V2660" s="29"/>
      <c r="W2660" s="35"/>
      <c r="X2660" s="29"/>
      <c r="Y2660" s="36"/>
      <c r="Z2660" s="29"/>
      <c r="AA2660" s="31">
        <f t="shared" si="1"/>
        <v>44883</v>
      </c>
      <c r="AB2660" s="32" t="str">
        <f t="shared" si="5"/>
        <v>noviembre</v>
      </c>
    </row>
    <row r="2661" spans="1:28" ht="12.75">
      <c r="A2661" s="9" t="s">
        <v>39</v>
      </c>
      <c r="B2661" s="10">
        <v>44883</v>
      </c>
      <c r="C2661" s="11">
        <v>44886</v>
      </c>
      <c r="D2661" s="42">
        <v>47</v>
      </c>
      <c r="E2661" s="13" t="s">
        <v>3080</v>
      </c>
      <c r="F2661" s="13">
        <v>3025457</v>
      </c>
      <c r="G2661" s="14">
        <v>13732.5</v>
      </c>
      <c r="H2661" s="33">
        <v>9150</v>
      </c>
      <c r="I2661" s="16">
        <f>H2661*G2661</f>
        <v>125652375</v>
      </c>
      <c r="J2661" s="17">
        <v>28</v>
      </c>
      <c r="K2661" s="34">
        <v>4502452064</v>
      </c>
      <c r="L2661" s="126">
        <v>5084667137</v>
      </c>
      <c r="M2661" s="20">
        <v>5113739839</v>
      </c>
      <c r="N2661" s="128"/>
      <c r="O2661" s="88" t="s">
        <v>37</v>
      </c>
      <c r="P2661" s="23"/>
      <c r="Q2661" s="24" t="s">
        <v>31</v>
      </c>
      <c r="R2661" s="25">
        <v>44883</v>
      </c>
      <c r="S2661" s="28"/>
      <c r="T2661" s="35"/>
      <c r="U2661" s="35"/>
      <c r="V2661" s="29"/>
      <c r="W2661" s="35"/>
      <c r="X2661" s="29"/>
      <c r="Y2661" s="36"/>
      <c r="Z2661" s="29"/>
      <c r="AA2661" s="31">
        <f t="shared" si="1"/>
        <v>44883</v>
      </c>
      <c r="AB2661" s="32" t="str">
        <f t="shared" si="5"/>
        <v>noviembre</v>
      </c>
    </row>
    <row r="2662" spans="1:28" ht="12.75">
      <c r="A2662" s="9" t="s">
        <v>39</v>
      </c>
      <c r="B2662" s="10">
        <v>44883</v>
      </c>
      <c r="C2662" s="11">
        <v>44886</v>
      </c>
      <c r="D2662" s="42">
        <v>47</v>
      </c>
      <c r="E2662" s="13" t="s">
        <v>809</v>
      </c>
      <c r="F2662" s="13">
        <v>3025457</v>
      </c>
      <c r="G2662" s="14">
        <v>13732.5</v>
      </c>
      <c r="H2662" s="33">
        <f>9150-9000</f>
        <v>150</v>
      </c>
      <c r="I2662" s="16">
        <f>-H2662*G2662</f>
        <v>-2059875</v>
      </c>
      <c r="J2662" s="17">
        <v>0</v>
      </c>
      <c r="K2662" s="34">
        <v>4502452064</v>
      </c>
      <c r="L2662" s="126">
        <v>5084667137</v>
      </c>
      <c r="M2662" s="20">
        <v>5113739842</v>
      </c>
      <c r="N2662" s="128"/>
      <c r="O2662" s="9"/>
      <c r="P2662" s="23"/>
      <c r="Q2662" s="24" t="s">
        <v>31</v>
      </c>
      <c r="R2662" s="25">
        <v>44883</v>
      </c>
      <c r="S2662" s="28"/>
      <c r="T2662" s="35"/>
      <c r="U2662" s="35"/>
      <c r="V2662" s="29"/>
      <c r="W2662" s="35"/>
      <c r="X2662" s="29"/>
      <c r="Y2662" s="36"/>
      <c r="Z2662" s="29"/>
      <c r="AA2662" s="31">
        <f t="shared" si="1"/>
        <v>44883</v>
      </c>
      <c r="AB2662" s="32" t="str">
        <f t="shared" si="5"/>
        <v>noviembre</v>
      </c>
    </row>
    <row r="2663" spans="1:28" ht="12.75">
      <c r="A2663" s="22" t="s">
        <v>3081</v>
      </c>
      <c r="B2663" s="10">
        <v>44883</v>
      </c>
      <c r="C2663" s="11">
        <v>44888</v>
      </c>
      <c r="D2663" s="42">
        <v>47</v>
      </c>
      <c r="E2663" s="13" t="s">
        <v>2847</v>
      </c>
      <c r="F2663" s="13">
        <v>3025457</v>
      </c>
      <c r="G2663" s="14">
        <v>7852</v>
      </c>
      <c r="H2663" s="33">
        <v>8750</v>
      </c>
      <c r="I2663" s="16">
        <f t="shared" ref="I2663:I2664" si="391">H2663*G2663</f>
        <v>68705000</v>
      </c>
      <c r="J2663" s="17">
        <v>15</v>
      </c>
      <c r="K2663" s="34">
        <v>4502452065</v>
      </c>
      <c r="L2663" s="126">
        <v>5084667656</v>
      </c>
      <c r="M2663" s="20">
        <v>5113767769</v>
      </c>
      <c r="N2663" s="128"/>
      <c r="O2663" s="88" t="s">
        <v>37</v>
      </c>
      <c r="P2663" s="157" t="s">
        <v>3082</v>
      </c>
      <c r="Q2663" s="24" t="s">
        <v>31</v>
      </c>
      <c r="R2663" s="25">
        <v>44883</v>
      </c>
      <c r="S2663" s="28"/>
      <c r="T2663" s="35"/>
      <c r="U2663" s="35"/>
      <c r="V2663" s="29"/>
      <c r="W2663" s="35"/>
      <c r="X2663" s="29"/>
      <c r="Y2663" s="36"/>
      <c r="Z2663" s="29"/>
      <c r="AA2663" s="31">
        <f t="shared" si="1"/>
        <v>44883</v>
      </c>
      <c r="AB2663" s="32" t="str">
        <f t="shared" si="5"/>
        <v>noviembre</v>
      </c>
    </row>
    <row r="2664" spans="1:28" ht="12.75">
      <c r="A2664" s="22" t="s">
        <v>404</v>
      </c>
      <c r="B2664" s="10">
        <v>44882</v>
      </c>
      <c r="C2664" s="11">
        <v>44886</v>
      </c>
      <c r="D2664" s="42">
        <v>47</v>
      </c>
      <c r="E2664" s="13" t="s">
        <v>3083</v>
      </c>
      <c r="F2664" s="13">
        <v>3025457</v>
      </c>
      <c r="G2664" s="14">
        <v>6880.5</v>
      </c>
      <c r="H2664" s="33">
        <v>9150</v>
      </c>
      <c r="I2664" s="16">
        <f t="shared" si="391"/>
        <v>62956575</v>
      </c>
      <c r="J2664" s="17">
        <v>15</v>
      </c>
      <c r="K2664" s="34">
        <v>4502452066</v>
      </c>
      <c r="L2664" s="126">
        <v>5084667488</v>
      </c>
      <c r="M2664" s="20">
        <v>5113740815</v>
      </c>
      <c r="N2664" s="128"/>
      <c r="O2664" s="9" t="s">
        <v>37</v>
      </c>
      <c r="P2664" s="23"/>
      <c r="Q2664" s="24" t="s">
        <v>31</v>
      </c>
      <c r="R2664" s="25">
        <v>44883</v>
      </c>
      <c r="S2664" s="28"/>
      <c r="T2664" s="35"/>
      <c r="U2664" s="35"/>
      <c r="V2664" s="29"/>
      <c r="W2664" s="35"/>
      <c r="X2664" s="29"/>
      <c r="Y2664" s="36"/>
      <c r="Z2664" s="29"/>
      <c r="AA2664" s="31">
        <f t="shared" si="1"/>
        <v>44883</v>
      </c>
      <c r="AB2664" s="32" t="str">
        <f t="shared" si="5"/>
        <v>noviembre</v>
      </c>
    </row>
    <row r="2665" spans="1:28" ht="12.75">
      <c r="A2665" s="22" t="s">
        <v>404</v>
      </c>
      <c r="B2665" s="10">
        <v>44886</v>
      </c>
      <c r="C2665" s="11">
        <v>44886</v>
      </c>
      <c r="D2665" s="42">
        <v>47</v>
      </c>
      <c r="E2665" s="13" t="s">
        <v>825</v>
      </c>
      <c r="F2665" s="13">
        <v>3025457</v>
      </c>
      <c r="G2665" s="14">
        <v>6880.5</v>
      </c>
      <c r="H2665" s="33">
        <f>9150-9100</f>
        <v>50</v>
      </c>
      <c r="I2665" s="16">
        <f>-H2665*G2665</f>
        <v>-344025</v>
      </c>
      <c r="J2665" s="17">
        <v>0</v>
      </c>
      <c r="K2665" s="34">
        <v>4502452066</v>
      </c>
      <c r="L2665" s="126">
        <v>5084667488</v>
      </c>
      <c r="M2665" s="20">
        <v>5113740816</v>
      </c>
      <c r="N2665" s="128"/>
      <c r="O2665" s="9"/>
      <c r="P2665" s="23"/>
      <c r="Q2665" s="24" t="s">
        <v>31</v>
      </c>
      <c r="R2665" s="25">
        <v>44883</v>
      </c>
      <c r="S2665" s="28"/>
      <c r="T2665" s="35"/>
      <c r="U2665" s="35"/>
      <c r="V2665" s="29"/>
      <c r="W2665" s="35"/>
      <c r="X2665" s="29"/>
      <c r="Y2665" s="36"/>
      <c r="Z2665" s="29"/>
      <c r="AA2665" s="31">
        <f t="shared" si="1"/>
        <v>44883</v>
      </c>
      <c r="AB2665" s="32" t="str">
        <f t="shared" si="5"/>
        <v>noviembre</v>
      </c>
    </row>
    <row r="2666" spans="1:28" ht="12.75">
      <c r="A2666" s="9" t="s">
        <v>274</v>
      </c>
      <c r="B2666" s="10">
        <v>44883</v>
      </c>
      <c r="C2666" s="11">
        <v>44887</v>
      </c>
      <c r="D2666" s="42">
        <v>47</v>
      </c>
      <c r="E2666" s="13" t="s">
        <v>3084</v>
      </c>
      <c r="F2666" s="13">
        <v>3025457</v>
      </c>
      <c r="G2666" s="14">
        <v>7461</v>
      </c>
      <c r="H2666" s="33">
        <v>9250</v>
      </c>
      <c r="I2666" s="16">
        <f t="shared" ref="I2666:I2670" si="392">H2666*G2666</f>
        <v>69014250</v>
      </c>
      <c r="J2666" s="17">
        <v>14</v>
      </c>
      <c r="K2666" s="34">
        <v>4502452067</v>
      </c>
      <c r="L2666" s="126">
        <v>5084667489</v>
      </c>
      <c r="M2666" s="20">
        <v>5113742688</v>
      </c>
      <c r="N2666" s="128"/>
      <c r="O2666" s="9" t="s">
        <v>63</v>
      </c>
      <c r="P2666" s="23"/>
      <c r="Q2666" s="24" t="s">
        <v>31</v>
      </c>
      <c r="R2666" s="25">
        <v>44883</v>
      </c>
      <c r="S2666" s="28"/>
      <c r="T2666" s="35"/>
      <c r="U2666" s="35"/>
      <c r="V2666" s="29"/>
      <c r="W2666" s="35"/>
      <c r="X2666" s="29"/>
      <c r="Y2666" s="36"/>
      <c r="Z2666" s="29"/>
      <c r="AA2666" s="31">
        <f t="shared" si="1"/>
        <v>44883</v>
      </c>
      <c r="AB2666" s="32" t="str">
        <f t="shared" si="5"/>
        <v>noviembre</v>
      </c>
    </row>
    <row r="2667" spans="1:28" ht="12.75">
      <c r="A2667" s="9" t="s">
        <v>274</v>
      </c>
      <c r="B2667" s="10">
        <v>44883</v>
      </c>
      <c r="C2667" s="11">
        <v>44887</v>
      </c>
      <c r="D2667" s="42">
        <v>47</v>
      </c>
      <c r="E2667" s="13" t="s">
        <v>422</v>
      </c>
      <c r="F2667" s="13">
        <v>3025457</v>
      </c>
      <c r="G2667" s="14">
        <v>7461</v>
      </c>
      <c r="H2667" s="33">
        <f>9274-9250</f>
        <v>24</v>
      </c>
      <c r="I2667" s="16">
        <f t="shared" si="392"/>
        <v>179064</v>
      </c>
      <c r="J2667" s="17">
        <v>0</v>
      </c>
      <c r="K2667" s="34">
        <v>4502452067</v>
      </c>
      <c r="L2667" s="126">
        <v>5084667489</v>
      </c>
      <c r="M2667" s="20">
        <v>5113742690</v>
      </c>
      <c r="N2667" s="128"/>
      <c r="O2667" s="9"/>
      <c r="P2667" s="23"/>
      <c r="Q2667" s="24" t="s">
        <v>31</v>
      </c>
      <c r="R2667" s="25">
        <v>44883</v>
      </c>
      <c r="S2667" s="28"/>
      <c r="T2667" s="35"/>
      <c r="U2667" s="35"/>
      <c r="V2667" s="29"/>
      <c r="W2667" s="35"/>
      <c r="X2667" s="29"/>
      <c r="Y2667" s="36"/>
      <c r="Z2667" s="29"/>
      <c r="AA2667" s="31">
        <f t="shared" si="1"/>
        <v>44883</v>
      </c>
      <c r="AB2667" s="32" t="str">
        <f t="shared" si="5"/>
        <v>noviembre</v>
      </c>
    </row>
    <row r="2668" spans="1:28" ht="12.75">
      <c r="A2668" s="107" t="s">
        <v>28</v>
      </c>
      <c r="B2668" s="10">
        <v>44886</v>
      </c>
      <c r="C2668" s="11">
        <v>44886</v>
      </c>
      <c r="D2668" s="42">
        <v>47</v>
      </c>
      <c r="E2668" s="115" t="s">
        <v>3085</v>
      </c>
      <c r="F2668" s="115">
        <v>3025461</v>
      </c>
      <c r="G2668" s="158">
        <v>69209</v>
      </c>
      <c r="H2668" s="15">
        <v>8250</v>
      </c>
      <c r="I2668" s="159">
        <f t="shared" si="392"/>
        <v>570974250</v>
      </c>
      <c r="J2668" s="17">
        <v>140</v>
      </c>
      <c r="K2668" s="34">
        <v>4502454772</v>
      </c>
      <c r="L2668" s="126">
        <v>5084677662</v>
      </c>
      <c r="M2668" s="20">
        <v>5113742676</v>
      </c>
      <c r="N2668" s="23" t="s">
        <v>37</v>
      </c>
      <c r="O2668" s="9" t="s">
        <v>3086</v>
      </c>
      <c r="P2668" s="23"/>
      <c r="Q2668" s="24" t="s">
        <v>1605</v>
      </c>
      <c r="R2668" s="25">
        <v>44883</v>
      </c>
      <c r="S2668" s="34">
        <v>4502454772</v>
      </c>
      <c r="T2668" s="28">
        <v>2010230</v>
      </c>
      <c r="U2668" s="28" t="s">
        <v>3087</v>
      </c>
      <c r="V2668" s="29">
        <v>5113767980</v>
      </c>
      <c r="W2668" s="28" t="s">
        <v>3088</v>
      </c>
      <c r="X2668" s="29">
        <v>5113768057</v>
      </c>
      <c r="Y2668" s="36"/>
      <c r="Z2668" s="29"/>
      <c r="AA2668" s="31">
        <f t="shared" si="1"/>
        <v>44883</v>
      </c>
      <c r="AB2668" s="32" t="str">
        <f t="shared" si="5"/>
        <v>noviembre</v>
      </c>
    </row>
    <row r="2669" spans="1:28" ht="12.75">
      <c r="A2669" s="9" t="s">
        <v>58</v>
      </c>
      <c r="B2669" s="10">
        <v>44886</v>
      </c>
      <c r="C2669" s="11">
        <v>44886</v>
      </c>
      <c r="D2669" s="42">
        <v>47</v>
      </c>
      <c r="E2669" s="13" t="s">
        <v>3089</v>
      </c>
      <c r="F2669" s="13">
        <v>3025461</v>
      </c>
      <c r="G2669" s="14">
        <v>62879</v>
      </c>
      <c r="H2669" s="57">
        <v>9199.1</v>
      </c>
      <c r="I2669" s="16">
        <f t="shared" si="392"/>
        <v>578430208.89999998</v>
      </c>
      <c r="J2669" s="17">
        <v>136</v>
      </c>
      <c r="K2669" s="34">
        <v>4502454640</v>
      </c>
      <c r="L2669" s="126">
        <v>5084676585</v>
      </c>
      <c r="M2669" s="20">
        <v>5113737928</v>
      </c>
      <c r="N2669" s="23"/>
      <c r="O2669" s="9" t="s">
        <v>37</v>
      </c>
      <c r="P2669" s="23"/>
      <c r="Q2669" s="24" t="s">
        <v>1605</v>
      </c>
      <c r="R2669" s="25">
        <v>44882</v>
      </c>
      <c r="S2669" s="28"/>
      <c r="T2669" s="35"/>
      <c r="U2669" s="35"/>
      <c r="V2669" s="29"/>
      <c r="W2669" s="35"/>
      <c r="X2669" s="29"/>
      <c r="Y2669" s="36"/>
      <c r="Z2669" s="29"/>
      <c r="AA2669" s="31">
        <f t="shared" si="1"/>
        <v>44882</v>
      </c>
      <c r="AB2669" s="32" t="str">
        <f t="shared" si="5"/>
        <v>noviembre</v>
      </c>
    </row>
    <row r="2670" spans="1:28" ht="12.75">
      <c r="A2670" s="9" t="s">
        <v>58</v>
      </c>
      <c r="B2670" s="10">
        <v>44887</v>
      </c>
      <c r="C2670" s="11">
        <v>44887</v>
      </c>
      <c r="D2670" s="42">
        <v>47</v>
      </c>
      <c r="E2670" s="13" t="s">
        <v>3090</v>
      </c>
      <c r="F2670" s="13">
        <v>3025457</v>
      </c>
      <c r="G2670" s="14">
        <v>13597</v>
      </c>
      <c r="H2670" s="33">
        <v>9200</v>
      </c>
      <c r="I2670" s="16">
        <f t="shared" si="392"/>
        <v>125092400</v>
      </c>
      <c r="J2670" s="17">
        <v>30</v>
      </c>
      <c r="K2670" s="34">
        <v>4502452068</v>
      </c>
      <c r="L2670" s="126">
        <v>5084667493</v>
      </c>
      <c r="M2670" s="20">
        <v>5113744766</v>
      </c>
      <c r="N2670" s="128"/>
      <c r="O2670" s="9" t="s">
        <v>37</v>
      </c>
      <c r="P2670" s="23"/>
      <c r="Q2670" s="24" t="s">
        <v>31</v>
      </c>
      <c r="R2670" s="25">
        <v>44884</v>
      </c>
      <c r="S2670" s="28"/>
      <c r="T2670" s="35"/>
      <c r="U2670" s="35"/>
      <c r="V2670" s="29"/>
      <c r="W2670" s="35"/>
      <c r="X2670" s="29"/>
      <c r="Y2670" s="36"/>
      <c r="Z2670" s="29"/>
      <c r="AA2670" s="31">
        <f t="shared" si="1"/>
        <v>44884</v>
      </c>
      <c r="AB2670" s="32" t="str">
        <f t="shared" si="5"/>
        <v>noviembre</v>
      </c>
    </row>
    <row r="2671" spans="1:28" ht="12.75">
      <c r="A2671" s="9" t="s">
        <v>58</v>
      </c>
      <c r="B2671" s="10">
        <v>44888</v>
      </c>
      <c r="C2671" s="11">
        <v>44888</v>
      </c>
      <c r="D2671" s="42">
        <v>47</v>
      </c>
      <c r="E2671" s="13" t="s">
        <v>3091</v>
      </c>
      <c r="F2671" s="13">
        <v>3025457</v>
      </c>
      <c r="G2671" s="14">
        <v>13597</v>
      </c>
      <c r="H2671" s="33">
        <f>9200-9197.19</f>
        <v>2.8099999999994907</v>
      </c>
      <c r="I2671" s="16">
        <f>-H2671*G2671</f>
        <v>-38207.569999993073</v>
      </c>
      <c r="J2671" s="17">
        <v>0</v>
      </c>
      <c r="K2671" s="34">
        <v>4502452068</v>
      </c>
      <c r="L2671" s="126">
        <v>5084667493</v>
      </c>
      <c r="M2671" s="20">
        <v>5113744797</v>
      </c>
      <c r="N2671" s="128"/>
      <c r="O2671" s="9"/>
      <c r="P2671" s="23"/>
      <c r="Q2671" s="24" t="s">
        <v>31</v>
      </c>
      <c r="R2671" s="25">
        <v>44884</v>
      </c>
      <c r="S2671" s="28"/>
      <c r="T2671" s="35"/>
      <c r="U2671" s="35"/>
      <c r="V2671" s="29"/>
      <c r="W2671" s="35"/>
      <c r="X2671" s="29"/>
      <c r="Y2671" s="36"/>
      <c r="Z2671" s="29"/>
      <c r="AA2671" s="31">
        <f t="shared" si="1"/>
        <v>44884</v>
      </c>
      <c r="AB2671" s="32" t="str">
        <f t="shared" si="5"/>
        <v>noviembre</v>
      </c>
    </row>
    <row r="2672" spans="1:28" ht="12.75">
      <c r="A2672" s="9" t="s">
        <v>58</v>
      </c>
      <c r="B2672" s="10">
        <v>44887</v>
      </c>
      <c r="C2672" s="11">
        <v>44887</v>
      </c>
      <c r="D2672" s="42">
        <v>47</v>
      </c>
      <c r="E2672" s="13" t="s">
        <v>3092</v>
      </c>
      <c r="F2672" s="13">
        <v>3025457</v>
      </c>
      <c r="G2672" s="14">
        <v>6286</v>
      </c>
      <c r="H2672" s="33">
        <v>9200</v>
      </c>
      <c r="I2672" s="16">
        <f>H2672*G2672</f>
        <v>57831200</v>
      </c>
      <c r="J2672" s="17">
        <v>15</v>
      </c>
      <c r="K2672" s="34">
        <v>4502452068</v>
      </c>
      <c r="L2672" s="126">
        <v>5084667493</v>
      </c>
      <c r="M2672" s="20">
        <v>5113744800</v>
      </c>
      <c r="N2672" s="128"/>
      <c r="O2672" s="9" t="s">
        <v>37</v>
      </c>
      <c r="P2672" s="23"/>
      <c r="Q2672" s="24" t="s">
        <v>31</v>
      </c>
      <c r="R2672" s="25">
        <v>44884</v>
      </c>
      <c r="S2672" s="28"/>
      <c r="T2672" s="35"/>
      <c r="U2672" s="35"/>
      <c r="V2672" s="29"/>
      <c r="W2672" s="35"/>
      <c r="X2672" s="29"/>
      <c r="Y2672" s="36"/>
      <c r="Z2672" s="29"/>
      <c r="AA2672" s="31">
        <f t="shared" si="1"/>
        <v>44884</v>
      </c>
      <c r="AB2672" s="32" t="str">
        <f t="shared" si="5"/>
        <v>noviembre</v>
      </c>
    </row>
    <row r="2673" spans="1:28" ht="12.75">
      <c r="A2673" s="9" t="s">
        <v>58</v>
      </c>
      <c r="B2673" s="10">
        <v>44888</v>
      </c>
      <c r="C2673" s="11">
        <v>44888</v>
      </c>
      <c r="D2673" s="42">
        <v>47</v>
      </c>
      <c r="E2673" s="13" t="s">
        <v>3093</v>
      </c>
      <c r="F2673" s="13">
        <v>3025457</v>
      </c>
      <c r="G2673" s="14">
        <v>6286</v>
      </c>
      <c r="H2673" s="33">
        <f>9200-8981.05</f>
        <v>218.95000000000073</v>
      </c>
      <c r="I2673" s="16">
        <f>-H2673*G2673</f>
        <v>-1376319.7000000046</v>
      </c>
      <c r="J2673" s="17">
        <v>0</v>
      </c>
      <c r="K2673" s="34">
        <v>4502452068</v>
      </c>
      <c r="L2673" s="126">
        <v>5084667493</v>
      </c>
      <c r="M2673" s="20">
        <v>5113744802</v>
      </c>
      <c r="N2673" s="128"/>
      <c r="O2673" s="9"/>
      <c r="P2673" s="23"/>
      <c r="Q2673" s="24" t="s">
        <v>31</v>
      </c>
      <c r="R2673" s="25">
        <v>44884</v>
      </c>
      <c r="S2673" s="28"/>
      <c r="T2673" s="35"/>
      <c r="U2673" s="35"/>
      <c r="V2673" s="29"/>
      <c r="W2673" s="35"/>
      <c r="X2673" s="29"/>
      <c r="Y2673" s="36"/>
      <c r="Z2673" s="29"/>
      <c r="AA2673" s="31">
        <f t="shared" si="1"/>
        <v>44884</v>
      </c>
      <c r="AB2673" s="32" t="str">
        <f t="shared" si="5"/>
        <v>noviembre</v>
      </c>
    </row>
    <row r="2674" spans="1:28" ht="12.75">
      <c r="A2674" s="9" t="s">
        <v>58</v>
      </c>
      <c r="B2674" s="10">
        <v>44887</v>
      </c>
      <c r="C2674" s="11">
        <v>44887</v>
      </c>
      <c r="D2674" s="42">
        <v>47</v>
      </c>
      <c r="E2674" s="13" t="s">
        <v>3094</v>
      </c>
      <c r="F2674" s="13">
        <v>3025457</v>
      </c>
      <c r="G2674" s="14">
        <v>7152</v>
      </c>
      <c r="H2674" s="33">
        <v>9200</v>
      </c>
      <c r="I2674" s="16">
        <f>H2674*G2674</f>
        <v>65798400</v>
      </c>
      <c r="J2674" s="17">
        <v>15</v>
      </c>
      <c r="K2674" s="34">
        <v>4502452068</v>
      </c>
      <c r="L2674" s="126">
        <v>5084667493</v>
      </c>
      <c r="M2674" s="20">
        <v>5113744804</v>
      </c>
      <c r="N2674" s="128"/>
      <c r="O2674" s="9" t="s">
        <v>37</v>
      </c>
      <c r="P2674" s="23"/>
      <c r="Q2674" s="24" t="s">
        <v>31</v>
      </c>
      <c r="R2674" s="25">
        <v>44884</v>
      </c>
      <c r="S2674" s="28"/>
      <c r="T2674" s="35"/>
      <c r="U2674" s="35"/>
      <c r="V2674" s="29"/>
      <c r="W2674" s="35"/>
      <c r="X2674" s="29"/>
      <c r="Y2674" s="36"/>
      <c r="Z2674" s="29"/>
      <c r="AA2674" s="31">
        <f t="shared" si="1"/>
        <v>44884</v>
      </c>
      <c r="AB2674" s="32" t="str">
        <f t="shared" si="5"/>
        <v>noviembre</v>
      </c>
    </row>
    <row r="2675" spans="1:28" ht="12.75">
      <c r="A2675" s="9" t="s">
        <v>58</v>
      </c>
      <c r="B2675" s="10">
        <v>44888</v>
      </c>
      <c r="C2675" s="11">
        <v>44888</v>
      </c>
      <c r="D2675" s="42">
        <v>47</v>
      </c>
      <c r="E2675" s="13" t="s">
        <v>3095</v>
      </c>
      <c r="F2675" s="13">
        <v>3025457</v>
      </c>
      <c r="G2675" s="14">
        <v>7152</v>
      </c>
      <c r="H2675" s="33">
        <f>9200-9136.07</f>
        <v>63.930000000000291</v>
      </c>
      <c r="I2675" s="16">
        <f>-H2675*G2675</f>
        <v>-457227.36000000208</v>
      </c>
      <c r="J2675" s="17">
        <v>0</v>
      </c>
      <c r="K2675" s="34">
        <v>4502452068</v>
      </c>
      <c r="L2675" s="126">
        <v>5084667493</v>
      </c>
      <c r="M2675" s="20">
        <v>5113744847</v>
      </c>
      <c r="N2675" s="128"/>
      <c r="O2675" s="9"/>
      <c r="P2675" s="23"/>
      <c r="Q2675" s="24" t="s">
        <v>31</v>
      </c>
      <c r="R2675" s="25">
        <v>44884</v>
      </c>
      <c r="S2675" s="28"/>
      <c r="T2675" s="35"/>
      <c r="U2675" s="35"/>
      <c r="V2675" s="29"/>
      <c r="W2675" s="35"/>
      <c r="X2675" s="29"/>
      <c r="Y2675" s="36"/>
      <c r="Z2675" s="29"/>
      <c r="AA2675" s="31">
        <f t="shared" si="1"/>
        <v>44884</v>
      </c>
      <c r="AB2675" s="32" t="str">
        <f t="shared" si="5"/>
        <v>noviembre</v>
      </c>
    </row>
    <row r="2676" spans="1:28" ht="12.75">
      <c r="A2676" s="9" t="s">
        <v>1102</v>
      </c>
      <c r="B2676" s="10">
        <v>44888</v>
      </c>
      <c r="C2676" s="11"/>
      <c r="D2676" s="42">
        <v>47</v>
      </c>
      <c r="E2676" s="13" t="s">
        <v>3096</v>
      </c>
      <c r="F2676" s="13">
        <v>3025457</v>
      </c>
      <c r="G2676" s="37">
        <v>11914.5</v>
      </c>
      <c r="H2676" s="33">
        <v>9100</v>
      </c>
      <c r="I2676" s="16">
        <f>H2676*G2676</f>
        <v>108421950</v>
      </c>
      <c r="J2676" s="17">
        <v>30</v>
      </c>
      <c r="K2676" s="34">
        <v>4502452070</v>
      </c>
      <c r="L2676" s="126">
        <v>5084667657</v>
      </c>
      <c r="M2676" s="20">
        <v>5113755287</v>
      </c>
      <c r="N2676" s="128"/>
      <c r="O2676" s="9" t="s">
        <v>37</v>
      </c>
      <c r="P2676" s="23"/>
      <c r="Q2676" s="24" t="s">
        <v>31</v>
      </c>
      <c r="R2676" s="25">
        <v>44884</v>
      </c>
      <c r="S2676" s="28"/>
      <c r="T2676" s="35"/>
      <c r="U2676" s="35"/>
      <c r="V2676" s="29"/>
      <c r="W2676" s="35"/>
      <c r="X2676" s="29"/>
      <c r="Y2676" s="36"/>
      <c r="Z2676" s="29"/>
      <c r="AA2676" s="31">
        <f t="shared" si="1"/>
        <v>44884</v>
      </c>
      <c r="AB2676" s="32" t="str">
        <f t="shared" si="5"/>
        <v>noviembre</v>
      </c>
    </row>
    <row r="2677" spans="1:28" ht="12.75">
      <c r="A2677" s="9" t="s">
        <v>1102</v>
      </c>
      <c r="B2677" s="10">
        <v>44888</v>
      </c>
      <c r="C2677" s="11"/>
      <c r="D2677" s="42">
        <v>47</v>
      </c>
      <c r="E2677" s="13" t="s">
        <v>3097</v>
      </c>
      <c r="F2677" s="13">
        <v>3025457</v>
      </c>
      <c r="G2677" s="37">
        <v>11914.5</v>
      </c>
      <c r="H2677" s="33">
        <f>9100-8700</f>
        <v>400</v>
      </c>
      <c r="I2677" s="16">
        <f>-H2677*G2677</f>
        <v>-4765800</v>
      </c>
      <c r="J2677" s="17">
        <v>0</v>
      </c>
      <c r="K2677" s="34">
        <v>4502452070</v>
      </c>
      <c r="L2677" s="126">
        <v>5084667657</v>
      </c>
      <c r="M2677" s="20">
        <v>5113755288</v>
      </c>
      <c r="N2677" s="128"/>
      <c r="O2677" s="88"/>
      <c r="P2677" s="23"/>
      <c r="Q2677" s="24" t="s">
        <v>31</v>
      </c>
      <c r="R2677" s="25">
        <v>44884</v>
      </c>
      <c r="S2677" s="28"/>
      <c r="T2677" s="35"/>
      <c r="U2677" s="35"/>
      <c r="V2677" s="29"/>
      <c r="W2677" s="35"/>
      <c r="X2677" s="29"/>
      <c r="Y2677" s="36"/>
      <c r="Z2677" s="29"/>
      <c r="AA2677" s="31">
        <f t="shared" si="1"/>
        <v>44884</v>
      </c>
      <c r="AB2677" s="32" t="str">
        <f t="shared" si="5"/>
        <v>noviembre</v>
      </c>
    </row>
    <row r="2678" spans="1:28" ht="12.75">
      <c r="A2678" s="22" t="s">
        <v>404</v>
      </c>
      <c r="B2678" s="10">
        <v>44883</v>
      </c>
      <c r="C2678" s="11">
        <v>44886</v>
      </c>
      <c r="D2678" s="42">
        <v>47</v>
      </c>
      <c r="E2678" s="13" t="s">
        <v>3098</v>
      </c>
      <c r="F2678" s="13">
        <v>3025457</v>
      </c>
      <c r="G2678" s="14">
        <v>30708.5</v>
      </c>
      <c r="H2678" s="33">
        <v>9150</v>
      </c>
      <c r="I2678" s="16">
        <f>H2678*G2678</f>
        <v>280982775</v>
      </c>
      <c r="J2678" s="17">
        <v>72</v>
      </c>
      <c r="K2678" s="34">
        <v>4502452072</v>
      </c>
      <c r="L2678" s="126">
        <v>5084667494</v>
      </c>
      <c r="M2678" s="20">
        <v>5113740937</v>
      </c>
      <c r="N2678" s="128"/>
      <c r="O2678" s="9" t="s">
        <v>37</v>
      </c>
      <c r="P2678" s="23"/>
      <c r="Q2678" s="24" t="s">
        <v>31</v>
      </c>
      <c r="R2678" s="25">
        <v>44884</v>
      </c>
      <c r="S2678" s="28"/>
      <c r="T2678" s="35"/>
      <c r="U2678" s="35"/>
      <c r="V2678" s="29"/>
      <c r="W2678" s="35"/>
      <c r="X2678" s="29"/>
      <c r="Y2678" s="36"/>
      <c r="Z2678" s="29"/>
      <c r="AA2678" s="31">
        <f t="shared" si="1"/>
        <v>44884</v>
      </c>
      <c r="AB2678" s="32" t="str">
        <f t="shared" si="5"/>
        <v>noviembre</v>
      </c>
    </row>
    <row r="2679" spans="1:28" ht="12.75">
      <c r="A2679" s="22" t="s">
        <v>404</v>
      </c>
      <c r="B2679" s="10">
        <v>44886</v>
      </c>
      <c r="C2679" s="11">
        <v>44886</v>
      </c>
      <c r="D2679" s="42">
        <v>47</v>
      </c>
      <c r="E2679" s="13" t="s">
        <v>827</v>
      </c>
      <c r="F2679" s="13">
        <v>3025457</v>
      </c>
      <c r="G2679" s="14">
        <v>30708.5</v>
      </c>
      <c r="H2679" s="33">
        <f>9150-9083.73</f>
        <v>66.270000000000437</v>
      </c>
      <c r="I2679" s="16">
        <f>-H2679*G2679</f>
        <v>-2035052.2950000134</v>
      </c>
      <c r="J2679" s="17">
        <v>0</v>
      </c>
      <c r="K2679" s="34">
        <v>4502452072</v>
      </c>
      <c r="L2679" s="126">
        <v>5084667494</v>
      </c>
      <c r="M2679" s="20">
        <v>5113740939</v>
      </c>
      <c r="N2679" s="128"/>
      <c r="O2679" s="9"/>
      <c r="P2679" s="23"/>
      <c r="Q2679" s="24" t="s">
        <v>31</v>
      </c>
      <c r="R2679" s="25">
        <v>44884</v>
      </c>
      <c r="S2679" s="28"/>
      <c r="T2679" s="35"/>
      <c r="U2679" s="35"/>
      <c r="V2679" s="29"/>
      <c r="W2679" s="35"/>
      <c r="X2679" s="29"/>
      <c r="Y2679" s="36"/>
      <c r="Z2679" s="29"/>
      <c r="AA2679" s="31">
        <f t="shared" si="1"/>
        <v>44884</v>
      </c>
      <c r="AB2679" s="32" t="str">
        <f t="shared" si="5"/>
        <v>noviembre</v>
      </c>
    </row>
    <row r="2680" spans="1:28" ht="12.75">
      <c r="A2680" s="9" t="s">
        <v>368</v>
      </c>
      <c r="B2680" s="10">
        <v>44885</v>
      </c>
      <c r="C2680" s="11">
        <v>44890</v>
      </c>
      <c r="D2680" s="42">
        <v>47</v>
      </c>
      <c r="E2680" s="13" t="s">
        <v>3099</v>
      </c>
      <c r="F2680" s="13">
        <v>3025457</v>
      </c>
      <c r="G2680" s="14">
        <v>6540.5</v>
      </c>
      <c r="H2680" s="33">
        <v>8750</v>
      </c>
      <c r="I2680" s="16">
        <f t="shared" ref="I2680:I2681" si="393">H2680*G2680</f>
        <v>57229375</v>
      </c>
      <c r="J2680" s="17">
        <v>15</v>
      </c>
      <c r="K2680" s="34">
        <v>4502452073</v>
      </c>
      <c r="L2680" s="126">
        <v>5084684090</v>
      </c>
      <c r="M2680" s="20">
        <v>5113752365</v>
      </c>
      <c r="N2680" s="128"/>
      <c r="O2680" s="9" t="s">
        <v>63</v>
      </c>
      <c r="P2680" s="23"/>
      <c r="Q2680" s="24" t="s">
        <v>31</v>
      </c>
      <c r="R2680" s="25">
        <v>44885</v>
      </c>
      <c r="S2680" s="28"/>
      <c r="T2680" s="35"/>
      <c r="U2680" s="35"/>
      <c r="V2680" s="29"/>
      <c r="W2680" s="35"/>
      <c r="X2680" s="29"/>
      <c r="Y2680" s="36"/>
      <c r="Z2680" s="29"/>
      <c r="AA2680" s="31">
        <f t="shared" si="1"/>
        <v>44885</v>
      </c>
      <c r="AB2680" s="32" t="str">
        <f t="shared" si="5"/>
        <v>noviembre</v>
      </c>
    </row>
    <row r="2681" spans="1:28" ht="12.75">
      <c r="A2681" s="9" t="s">
        <v>58</v>
      </c>
      <c r="B2681" s="10">
        <v>44887</v>
      </c>
      <c r="C2681" s="11">
        <v>44887</v>
      </c>
      <c r="D2681" s="42">
        <v>47</v>
      </c>
      <c r="E2681" s="13" t="s">
        <v>3100</v>
      </c>
      <c r="F2681" s="13">
        <v>3025459</v>
      </c>
      <c r="G2681" s="14">
        <v>6763</v>
      </c>
      <c r="H2681" s="33">
        <v>9200</v>
      </c>
      <c r="I2681" s="16">
        <f t="shared" si="393"/>
        <v>62219600</v>
      </c>
      <c r="J2681" s="17">
        <v>15</v>
      </c>
      <c r="K2681" s="34">
        <v>4502452074</v>
      </c>
      <c r="L2681" s="126">
        <v>5084680802</v>
      </c>
      <c r="M2681" s="20">
        <v>5113744849</v>
      </c>
      <c r="N2681" s="128"/>
      <c r="O2681" s="9" t="s">
        <v>37</v>
      </c>
      <c r="P2681" s="23"/>
      <c r="Q2681" s="24" t="s">
        <v>31</v>
      </c>
      <c r="R2681" s="25">
        <v>44885</v>
      </c>
      <c r="S2681" s="28"/>
      <c r="T2681" s="35"/>
      <c r="U2681" s="35"/>
      <c r="V2681" s="29"/>
      <c r="W2681" s="35"/>
      <c r="X2681" s="29"/>
      <c r="Y2681" s="36"/>
      <c r="Z2681" s="29"/>
      <c r="AA2681" s="31">
        <f t="shared" si="1"/>
        <v>44885</v>
      </c>
      <c r="AB2681" s="32" t="str">
        <f t="shared" si="5"/>
        <v>noviembre</v>
      </c>
    </row>
    <row r="2682" spans="1:28" ht="12.75">
      <c r="A2682" s="9" t="s">
        <v>58</v>
      </c>
      <c r="B2682" s="10">
        <v>44888</v>
      </c>
      <c r="C2682" s="11">
        <v>44888</v>
      </c>
      <c r="D2682" s="42">
        <v>47</v>
      </c>
      <c r="E2682" s="13" t="s">
        <v>3101</v>
      </c>
      <c r="F2682" s="13">
        <v>3025459</v>
      </c>
      <c r="G2682" s="14">
        <v>6763</v>
      </c>
      <c r="H2682" s="33">
        <f>9200-9179.53</f>
        <v>20.469999999999345</v>
      </c>
      <c r="I2682" s="16">
        <f>-H2682*G2682</f>
        <v>-138438.60999999556</v>
      </c>
      <c r="J2682" s="17">
        <v>0</v>
      </c>
      <c r="K2682" s="34">
        <v>4502452074</v>
      </c>
      <c r="L2682" s="126">
        <v>5084680802</v>
      </c>
      <c r="M2682" s="20">
        <v>5113744853</v>
      </c>
      <c r="N2682" s="128"/>
      <c r="O2682" s="9"/>
      <c r="P2682" s="23"/>
      <c r="Q2682" s="24" t="s">
        <v>31</v>
      </c>
      <c r="R2682" s="25">
        <v>44885</v>
      </c>
      <c r="S2682" s="28"/>
      <c r="T2682" s="35"/>
      <c r="U2682" s="35"/>
      <c r="V2682" s="29"/>
      <c r="W2682" s="35"/>
      <c r="X2682" s="29"/>
      <c r="Y2682" s="36"/>
      <c r="Z2682" s="29"/>
      <c r="AA2682" s="31">
        <f t="shared" si="1"/>
        <v>44885</v>
      </c>
      <c r="AB2682" s="32" t="str">
        <f t="shared" si="5"/>
        <v>noviembre</v>
      </c>
    </row>
    <row r="2683" spans="1:28" ht="12.75">
      <c r="A2683" s="9" t="s">
        <v>58</v>
      </c>
      <c r="B2683" s="10">
        <v>44887</v>
      </c>
      <c r="C2683" s="11">
        <v>44887</v>
      </c>
      <c r="D2683" s="42">
        <v>47</v>
      </c>
      <c r="E2683" s="13" t="s">
        <v>3102</v>
      </c>
      <c r="F2683" s="13">
        <v>3025459</v>
      </c>
      <c r="G2683" s="14">
        <v>6916</v>
      </c>
      <c r="H2683" s="33">
        <v>9200</v>
      </c>
      <c r="I2683" s="16">
        <f>H2683*G2683</f>
        <v>63627200</v>
      </c>
      <c r="J2683" s="17">
        <v>15</v>
      </c>
      <c r="K2683" s="34">
        <v>4502452074</v>
      </c>
      <c r="L2683" s="126">
        <v>5084680802</v>
      </c>
      <c r="M2683" s="20">
        <v>5113744855</v>
      </c>
      <c r="N2683" s="128"/>
      <c r="O2683" s="9" t="s">
        <v>37</v>
      </c>
      <c r="P2683" s="23"/>
      <c r="Q2683" s="24" t="s">
        <v>31</v>
      </c>
      <c r="R2683" s="25">
        <v>44885</v>
      </c>
      <c r="S2683" s="28"/>
      <c r="T2683" s="35"/>
      <c r="U2683" s="35"/>
      <c r="V2683" s="29"/>
      <c r="W2683" s="35"/>
      <c r="X2683" s="29"/>
      <c r="Y2683" s="36"/>
      <c r="Z2683" s="29"/>
      <c r="AA2683" s="31">
        <f t="shared" si="1"/>
        <v>44885</v>
      </c>
      <c r="AB2683" s="32" t="str">
        <f t="shared" si="5"/>
        <v>noviembre</v>
      </c>
    </row>
    <row r="2684" spans="1:28" ht="12.75">
      <c r="A2684" s="9" t="s">
        <v>58</v>
      </c>
      <c r="B2684" s="10">
        <v>44888</v>
      </c>
      <c r="C2684" s="11">
        <v>44888</v>
      </c>
      <c r="D2684" s="42">
        <v>47</v>
      </c>
      <c r="E2684" s="13" t="s">
        <v>3103</v>
      </c>
      <c r="F2684" s="13">
        <v>3025459</v>
      </c>
      <c r="G2684" s="14">
        <v>6916</v>
      </c>
      <c r="H2684" s="33">
        <f>9200-9174.54</f>
        <v>25.459999999999127</v>
      </c>
      <c r="I2684" s="16">
        <f>-H2684*G2684</f>
        <v>-176081.35999999396</v>
      </c>
      <c r="J2684" s="17">
        <v>0</v>
      </c>
      <c r="K2684" s="34">
        <v>4502452074</v>
      </c>
      <c r="L2684" s="126">
        <v>5084680802</v>
      </c>
      <c r="M2684" s="20">
        <v>5113744868</v>
      </c>
      <c r="N2684" s="128"/>
      <c r="O2684" s="9"/>
      <c r="P2684" s="23"/>
      <c r="Q2684" s="24" t="s">
        <v>31</v>
      </c>
      <c r="R2684" s="25">
        <v>44885</v>
      </c>
      <c r="S2684" s="28"/>
      <c r="T2684" s="35"/>
      <c r="U2684" s="35"/>
      <c r="V2684" s="29"/>
      <c r="W2684" s="35"/>
      <c r="X2684" s="29"/>
      <c r="Y2684" s="36"/>
      <c r="Z2684" s="29"/>
      <c r="AA2684" s="31">
        <f t="shared" si="1"/>
        <v>44885</v>
      </c>
      <c r="AB2684" s="32" t="str">
        <f t="shared" si="5"/>
        <v>noviembre</v>
      </c>
    </row>
    <row r="2685" spans="1:28" ht="12.75">
      <c r="A2685" s="9" t="s">
        <v>80</v>
      </c>
      <c r="B2685" s="10">
        <v>44885</v>
      </c>
      <c r="C2685" s="11">
        <v>44888</v>
      </c>
      <c r="D2685" s="42">
        <v>47</v>
      </c>
      <c r="E2685" s="13" t="s">
        <v>3104</v>
      </c>
      <c r="F2685" s="13">
        <v>3025460</v>
      </c>
      <c r="G2685" s="14">
        <v>39474</v>
      </c>
      <c r="H2685" s="57">
        <v>8850</v>
      </c>
      <c r="I2685" s="16">
        <f t="shared" ref="I2685:I2688" si="394">H2685*G2685</f>
        <v>349344900</v>
      </c>
      <c r="J2685" s="17">
        <v>84</v>
      </c>
      <c r="K2685" s="34">
        <v>4502456760</v>
      </c>
      <c r="L2685" s="126">
        <v>5084719521</v>
      </c>
      <c r="M2685" s="20">
        <v>5113751321</v>
      </c>
      <c r="N2685" s="128" t="s">
        <v>37</v>
      </c>
      <c r="O2685" s="9"/>
      <c r="P2685" s="23"/>
      <c r="Q2685" s="24" t="s">
        <v>82</v>
      </c>
      <c r="R2685" s="25">
        <v>44885</v>
      </c>
      <c r="S2685" s="28"/>
      <c r="T2685" s="35"/>
      <c r="U2685" s="35"/>
      <c r="V2685" s="29"/>
      <c r="W2685" s="35"/>
      <c r="X2685" s="29"/>
      <c r="Y2685" s="36"/>
      <c r="Z2685" s="29"/>
      <c r="AA2685" s="31">
        <f t="shared" si="1"/>
        <v>44885</v>
      </c>
      <c r="AB2685" s="32" t="str">
        <f t="shared" si="5"/>
        <v>noviembre</v>
      </c>
    </row>
    <row r="2686" spans="1:28" ht="12.75">
      <c r="A2686" s="9" t="s">
        <v>80</v>
      </c>
      <c r="B2686" s="10">
        <v>44885</v>
      </c>
      <c r="C2686" s="11">
        <v>44888</v>
      </c>
      <c r="D2686" s="42">
        <v>47</v>
      </c>
      <c r="E2686" s="13">
        <v>10</v>
      </c>
      <c r="F2686" s="13">
        <v>3025460</v>
      </c>
      <c r="G2686" s="14">
        <v>39474</v>
      </c>
      <c r="H2686" s="57">
        <f>8874-8850</f>
        <v>24</v>
      </c>
      <c r="I2686" s="16">
        <f t="shared" si="394"/>
        <v>947376</v>
      </c>
      <c r="J2686" s="17">
        <v>0</v>
      </c>
      <c r="K2686" s="34">
        <v>4502456760</v>
      </c>
      <c r="L2686" s="126">
        <v>5084719521</v>
      </c>
      <c r="M2686" s="20">
        <v>5113751323</v>
      </c>
      <c r="N2686" s="128"/>
      <c r="O2686" s="9"/>
      <c r="P2686" s="23"/>
      <c r="Q2686" s="24" t="s">
        <v>82</v>
      </c>
      <c r="R2686" s="25">
        <v>44885</v>
      </c>
      <c r="S2686" s="28"/>
      <c r="T2686" s="35"/>
      <c r="U2686" s="35"/>
      <c r="V2686" s="29"/>
      <c r="W2686" s="35"/>
      <c r="X2686" s="29"/>
      <c r="Y2686" s="36"/>
      <c r="Z2686" s="29"/>
      <c r="AA2686" s="31">
        <f t="shared" si="1"/>
        <v>44885</v>
      </c>
      <c r="AB2686" s="32" t="str">
        <f t="shared" si="5"/>
        <v>noviembre</v>
      </c>
    </row>
    <row r="2687" spans="1:28" ht="12.75">
      <c r="A2687" s="9" t="s">
        <v>83</v>
      </c>
      <c r="B2687" s="10">
        <v>44885</v>
      </c>
      <c r="C2687" s="11">
        <v>44889</v>
      </c>
      <c r="D2687" s="42">
        <v>47</v>
      </c>
      <c r="E2687" s="13" t="s">
        <v>3105</v>
      </c>
      <c r="F2687" s="13">
        <v>3025460</v>
      </c>
      <c r="G2687" s="14">
        <v>39950</v>
      </c>
      <c r="H2687" s="57">
        <v>8850</v>
      </c>
      <c r="I2687" s="16">
        <f t="shared" si="394"/>
        <v>353557500</v>
      </c>
      <c r="J2687" s="17">
        <v>84</v>
      </c>
      <c r="K2687" s="34">
        <v>4502456771</v>
      </c>
      <c r="L2687" s="126">
        <v>5084719577</v>
      </c>
      <c r="M2687" s="20">
        <v>5113748761</v>
      </c>
      <c r="N2687" s="128"/>
      <c r="O2687" s="22" t="s">
        <v>37</v>
      </c>
      <c r="P2687" s="23"/>
      <c r="Q2687" s="24" t="s">
        <v>82</v>
      </c>
      <c r="R2687" s="25">
        <v>44885</v>
      </c>
      <c r="S2687" s="28"/>
      <c r="T2687" s="35"/>
      <c r="U2687" s="35"/>
      <c r="V2687" s="29"/>
      <c r="W2687" s="35"/>
      <c r="X2687" s="29"/>
      <c r="Y2687" s="36"/>
      <c r="Z2687" s="29"/>
      <c r="AA2687" s="31">
        <f t="shared" si="1"/>
        <v>44885</v>
      </c>
      <c r="AB2687" s="32" t="str">
        <f t="shared" si="5"/>
        <v>noviembre</v>
      </c>
    </row>
    <row r="2688" spans="1:28" ht="12.75">
      <c r="A2688" s="9" t="s">
        <v>58</v>
      </c>
      <c r="B2688" s="10">
        <v>44889</v>
      </c>
      <c r="C2688" s="11">
        <v>44889</v>
      </c>
      <c r="D2688" s="42">
        <v>47</v>
      </c>
      <c r="E2688" s="13" t="s">
        <v>3106</v>
      </c>
      <c r="F2688" s="13">
        <v>3025457</v>
      </c>
      <c r="G2688" s="14">
        <v>21097.5</v>
      </c>
      <c r="H2688" s="33">
        <v>9200</v>
      </c>
      <c r="I2688" s="16">
        <f t="shared" si="394"/>
        <v>194097000</v>
      </c>
      <c r="J2688" s="17">
        <v>44</v>
      </c>
      <c r="K2688" s="34">
        <v>4502452075</v>
      </c>
      <c r="L2688" s="126">
        <v>5084695781</v>
      </c>
      <c r="M2688" s="20">
        <v>5113749102</v>
      </c>
      <c r="N2688" s="128"/>
      <c r="O2688" s="9" t="s">
        <v>37</v>
      </c>
      <c r="P2688" s="23"/>
      <c r="Q2688" s="24" t="s">
        <v>31</v>
      </c>
      <c r="R2688" s="25">
        <v>44886</v>
      </c>
      <c r="S2688" s="28"/>
      <c r="T2688" s="35"/>
      <c r="U2688" s="35"/>
      <c r="V2688" s="29"/>
      <c r="W2688" s="35"/>
      <c r="X2688" s="29"/>
      <c r="Y2688" s="36"/>
      <c r="Z2688" s="29"/>
      <c r="AA2688" s="31">
        <f t="shared" si="1"/>
        <v>44886</v>
      </c>
      <c r="AB2688" s="32" t="str">
        <f t="shared" si="5"/>
        <v>noviembre</v>
      </c>
    </row>
    <row r="2689" spans="1:28" ht="12.75">
      <c r="A2689" s="9" t="s">
        <v>58</v>
      </c>
      <c r="B2689" s="10">
        <v>44889</v>
      </c>
      <c r="C2689" s="11">
        <v>44889</v>
      </c>
      <c r="D2689" s="42">
        <v>47</v>
      </c>
      <c r="E2689" s="13" t="s">
        <v>3107</v>
      </c>
      <c r="F2689" s="13">
        <v>3025457</v>
      </c>
      <c r="G2689" s="14">
        <v>21097.5</v>
      </c>
      <c r="H2689" s="33">
        <f>9200-9163.05</f>
        <v>36.950000000000728</v>
      </c>
      <c r="I2689" s="16">
        <f>-H2689*G2689</f>
        <v>-779552.62500001537</v>
      </c>
      <c r="J2689" s="17">
        <v>0</v>
      </c>
      <c r="K2689" s="34">
        <v>4502452075</v>
      </c>
      <c r="L2689" s="126">
        <v>5084695781</v>
      </c>
      <c r="M2689" s="20">
        <v>5113749105</v>
      </c>
      <c r="N2689" s="128"/>
      <c r="O2689" s="9"/>
      <c r="P2689" s="23"/>
      <c r="Q2689" s="24" t="s">
        <v>31</v>
      </c>
      <c r="R2689" s="25">
        <v>44886</v>
      </c>
      <c r="S2689" s="28"/>
      <c r="T2689" s="35"/>
      <c r="U2689" s="35"/>
      <c r="V2689" s="29"/>
      <c r="W2689" s="35"/>
      <c r="X2689" s="29"/>
      <c r="Y2689" s="36"/>
      <c r="Z2689" s="29"/>
      <c r="AA2689" s="31">
        <f t="shared" si="1"/>
        <v>44886</v>
      </c>
      <c r="AB2689" s="32" t="str">
        <f t="shared" si="5"/>
        <v>noviembre</v>
      </c>
    </row>
    <row r="2690" spans="1:28" ht="12.75">
      <c r="A2690" s="9" t="s">
        <v>58</v>
      </c>
      <c r="B2690" s="10">
        <v>44889</v>
      </c>
      <c r="C2690" s="11">
        <v>44889</v>
      </c>
      <c r="D2690" s="42">
        <v>47</v>
      </c>
      <c r="E2690" s="13" t="s">
        <v>3108</v>
      </c>
      <c r="F2690" s="13">
        <v>3025457</v>
      </c>
      <c r="G2690" s="14">
        <v>14911</v>
      </c>
      <c r="H2690" s="33">
        <v>9200</v>
      </c>
      <c r="I2690" s="16">
        <f t="shared" ref="I2690:I2691" si="395">H2690*G2690</f>
        <v>137181200</v>
      </c>
      <c r="J2690" s="17">
        <v>30</v>
      </c>
      <c r="K2690" s="34">
        <v>4502455488</v>
      </c>
      <c r="L2690" s="126">
        <v>5084715376</v>
      </c>
      <c r="M2690" s="20">
        <v>5113749106</v>
      </c>
      <c r="N2690" s="128"/>
      <c r="O2690" s="9" t="s">
        <v>37</v>
      </c>
      <c r="P2690" s="23"/>
      <c r="Q2690" s="24" t="s">
        <v>31</v>
      </c>
      <c r="R2690" s="25">
        <v>44886</v>
      </c>
      <c r="S2690" s="28"/>
      <c r="T2690" s="35"/>
      <c r="U2690" s="35"/>
      <c r="V2690" s="29"/>
      <c r="W2690" s="35"/>
      <c r="X2690" s="29"/>
      <c r="Y2690" s="36"/>
      <c r="Z2690" s="29"/>
      <c r="AA2690" s="31">
        <f t="shared" si="1"/>
        <v>44886</v>
      </c>
      <c r="AB2690" s="32" t="str">
        <f t="shared" si="5"/>
        <v>noviembre</v>
      </c>
    </row>
    <row r="2691" spans="1:28" ht="12.75">
      <c r="A2691" s="9" t="s">
        <v>338</v>
      </c>
      <c r="B2691" s="10">
        <v>44891</v>
      </c>
      <c r="C2691" s="11"/>
      <c r="D2691" s="42">
        <v>47</v>
      </c>
      <c r="E2691" s="13" t="s">
        <v>3109</v>
      </c>
      <c r="F2691" s="13">
        <v>3025457</v>
      </c>
      <c r="G2691" s="14">
        <v>6471.5</v>
      </c>
      <c r="H2691" s="33">
        <v>8850</v>
      </c>
      <c r="I2691" s="16">
        <f t="shared" si="395"/>
        <v>57272775</v>
      </c>
      <c r="J2691" s="17">
        <v>14</v>
      </c>
      <c r="K2691" s="34">
        <v>4502452076</v>
      </c>
      <c r="L2691" s="126">
        <v>5084695782</v>
      </c>
      <c r="M2691" s="20">
        <v>5113755598</v>
      </c>
      <c r="N2691" s="128"/>
      <c r="O2691" s="23" t="s">
        <v>63</v>
      </c>
      <c r="P2691" s="23"/>
      <c r="Q2691" s="24" t="s">
        <v>31</v>
      </c>
      <c r="R2691" s="25">
        <v>44886</v>
      </c>
      <c r="S2691" s="28"/>
      <c r="T2691" s="35"/>
      <c r="U2691" s="35"/>
      <c r="V2691" s="29"/>
      <c r="W2691" s="35"/>
      <c r="X2691" s="29"/>
      <c r="Y2691" s="36"/>
      <c r="Z2691" s="29"/>
      <c r="AA2691" s="31">
        <f t="shared" si="1"/>
        <v>44886</v>
      </c>
      <c r="AB2691" s="32" t="str">
        <f t="shared" si="5"/>
        <v>noviembre</v>
      </c>
    </row>
    <row r="2692" spans="1:28" ht="12.75">
      <c r="A2692" s="9" t="s">
        <v>338</v>
      </c>
      <c r="B2692" s="10">
        <v>44891</v>
      </c>
      <c r="C2692" s="11"/>
      <c r="D2692" s="42">
        <v>47</v>
      </c>
      <c r="E2692" s="13" t="s">
        <v>101</v>
      </c>
      <c r="F2692" s="13">
        <v>3025457</v>
      </c>
      <c r="G2692" s="14">
        <v>6471.5</v>
      </c>
      <c r="H2692" s="33">
        <f>8850-8843.87</f>
        <v>6.1299999999991996</v>
      </c>
      <c r="I2692" s="16">
        <f>-H2692*G2692</f>
        <v>-39670.294999994818</v>
      </c>
      <c r="J2692" s="17">
        <v>0</v>
      </c>
      <c r="K2692" s="34">
        <v>4502452076</v>
      </c>
      <c r="L2692" s="126">
        <v>5084695782</v>
      </c>
      <c r="M2692" s="20">
        <v>5113755599</v>
      </c>
      <c r="N2692" s="128"/>
      <c r="O2692" s="9"/>
      <c r="P2692" s="23"/>
      <c r="Q2692" s="24" t="s">
        <v>31</v>
      </c>
      <c r="R2692" s="25">
        <v>44886</v>
      </c>
      <c r="S2692" s="28"/>
      <c r="T2692" s="35"/>
      <c r="U2692" s="35"/>
      <c r="V2692" s="29"/>
      <c r="W2692" s="35"/>
      <c r="X2692" s="29"/>
      <c r="Y2692" s="36"/>
      <c r="Z2692" s="29"/>
      <c r="AA2692" s="31">
        <f t="shared" si="1"/>
        <v>44886</v>
      </c>
      <c r="AB2692" s="32" t="str">
        <f t="shared" si="5"/>
        <v>noviembre</v>
      </c>
    </row>
    <row r="2693" spans="1:28" ht="12.75">
      <c r="A2693" s="9" t="s">
        <v>65</v>
      </c>
      <c r="B2693" s="10">
        <v>44886</v>
      </c>
      <c r="C2693" s="11"/>
      <c r="D2693" s="42">
        <v>47</v>
      </c>
      <c r="E2693" s="13" t="s">
        <v>3110</v>
      </c>
      <c r="F2693" s="13">
        <v>3025457</v>
      </c>
      <c r="G2693" s="14">
        <v>13486</v>
      </c>
      <c r="H2693" s="15">
        <v>8650</v>
      </c>
      <c r="I2693" s="16">
        <f t="shared" ref="I2693:I2696" si="396">H2693*G2693</f>
        <v>116653900</v>
      </c>
      <c r="J2693" s="17">
        <v>28</v>
      </c>
      <c r="K2693" s="34">
        <v>4502455394</v>
      </c>
      <c r="L2693" s="126">
        <v>5084693642</v>
      </c>
      <c r="M2693" s="20">
        <v>5113743362</v>
      </c>
      <c r="N2693" s="9" t="s">
        <v>63</v>
      </c>
      <c r="O2693" s="88" t="s">
        <v>3111</v>
      </c>
      <c r="P2693" s="23"/>
      <c r="Q2693" s="24" t="s">
        <v>31</v>
      </c>
      <c r="R2693" s="25">
        <v>44886</v>
      </c>
      <c r="S2693" s="28">
        <v>4902389075</v>
      </c>
      <c r="T2693" s="28">
        <f>920000*2</f>
        <v>1840000</v>
      </c>
      <c r="U2693" s="28" t="s">
        <v>3112</v>
      </c>
      <c r="V2693" s="29">
        <v>5113739977</v>
      </c>
      <c r="W2693" s="35"/>
      <c r="X2693" s="29"/>
      <c r="Y2693" s="36"/>
      <c r="Z2693" s="29"/>
      <c r="AA2693" s="31">
        <f t="shared" si="1"/>
        <v>44886</v>
      </c>
      <c r="AB2693" s="32" t="str">
        <f t="shared" si="5"/>
        <v>noviembre</v>
      </c>
    </row>
    <row r="2694" spans="1:28" ht="12.75">
      <c r="A2694" s="9" t="s">
        <v>65</v>
      </c>
      <c r="B2694" s="10">
        <v>44886</v>
      </c>
      <c r="C2694" s="11"/>
      <c r="D2694" s="42">
        <v>47</v>
      </c>
      <c r="E2694" s="13" t="s">
        <v>3110</v>
      </c>
      <c r="F2694" s="13">
        <v>3025459</v>
      </c>
      <c r="G2694" s="14">
        <v>26972</v>
      </c>
      <c r="H2694" s="15">
        <v>8650</v>
      </c>
      <c r="I2694" s="16">
        <f t="shared" si="396"/>
        <v>233307800</v>
      </c>
      <c r="J2694" s="17">
        <v>56</v>
      </c>
      <c r="K2694" s="34">
        <v>4502455394</v>
      </c>
      <c r="L2694" s="126">
        <v>5084693642</v>
      </c>
      <c r="M2694" s="20">
        <v>5113743362</v>
      </c>
      <c r="N2694" s="9" t="s">
        <v>63</v>
      </c>
      <c r="O2694" s="88" t="s">
        <v>3113</v>
      </c>
      <c r="P2694" s="23"/>
      <c r="Q2694" s="24" t="s">
        <v>31</v>
      </c>
      <c r="R2694" s="25">
        <v>44886</v>
      </c>
      <c r="S2694" s="28">
        <v>4902389076</v>
      </c>
      <c r="T2694" s="28">
        <f>920000*4</f>
        <v>3680000</v>
      </c>
      <c r="U2694" s="28" t="s">
        <v>3112</v>
      </c>
      <c r="V2694" s="29">
        <v>5113739977</v>
      </c>
      <c r="W2694" s="35"/>
      <c r="X2694" s="29"/>
      <c r="Y2694" s="36"/>
      <c r="Z2694" s="29"/>
      <c r="AA2694" s="31">
        <f t="shared" si="1"/>
        <v>44886</v>
      </c>
      <c r="AB2694" s="32" t="str">
        <f t="shared" si="5"/>
        <v>noviembre</v>
      </c>
    </row>
    <row r="2695" spans="1:28" ht="12.75">
      <c r="A2695" s="9" t="s">
        <v>276</v>
      </c>
      <c r="B2695" s="10">
        <v>44889</v>
      </c>
      <c r="C2695" s="11"/>
      <c r="D2695" s="42">
        <v>47</v>
      </c>
      <c r="E2695" s="13" t="s">
        <v>299</v>
      </c>
      <c r="F2695" s="13">
        <v>3025457</v>
      </c>
      <c r="G2695" s="14">
        <v>6492</v>
      </c>
      <c r="H2695" s="33">
        <v>8750</v>
      </c>
      <c r="I2695" s="16">
        <f t="shared" si="396"/>
        <v>56805000</v>
      </c>
      <c r="J2695" s="17">
        <v>14</v>
      </c>
      <c r="K2695" s="34">
        <v>4502452077</v>
      </c>
      <c r="L2695" s="126">
        <v>5084714251</v>
      </c>
      <c r="M2695" s="20">
        <v>5113747815</v>
      </c>
      <c r="N2695" s="128"/>
      <c r="O2695" s="9" t="s">
        <v>63</v>
      </c>
      <c r="P2695" s="23"/>
      <c r="Q2695" s="24" t="s">
        <v>31</v>
      </c>
      <c r="R2695" s="25">
        <v>44887</v>
      </c>
      <c r="S2695" s="28"/>
      <c r="T2695" s="35"/>
      <c r="U2695" s="35"/>
      <c r="V2695" s="29"/>
      <c r="W2695" s="35"/>
      <c r="X2695" s="29"/>
      <c r="Y2695" s="36"/>
      <c r="Z2695" s="29"/>
      <c r="AA2695" s="31">
        <f t="shared" si="1"/>
        <v>44887</v>
      </c>
      <c r="AB2695" s="32" t="str">
        <f t="shared" si="5"/>
        <v>noviembre</v>
      </c>
    </row>
    <row r="2696" spans="1:28" ht="12.75">
      <c r="A2696" s="9" t="s">
        <v>99</v>
      </c>
      <c r="B2696" s="10">
        <v>44889</v>
      </c>
      <c r="C2696" s="11">
        <v>44890</v>
      </c>
      <c r="D2696" s="42">
        <v>47</v>
      </c>
      <c r="E2696" s="13" t="s">
        <v>3114</v>
      </c>
      <c r="F2696" s="13">
        <v>3025457</v>
      </c>
      <c r="G2696" s="14">
        <v>6299.5</v>
      </c>
      <c r="H2696" s="33">
        <v>8800</v>
      </c>
      <c r="I2696" s="16">
        <f t="shared" si="396"/>
        <v>55435600</v>
      </c>
      <c r="J2696" s="17">
        <v>14</v>
      </c>
      <c r="K2696" s="34">
        <v>4502452078</v>
      </c>
      <c r="L2696" s="126">
        <v>5084714253</v>
      </c>
      <c r="M2696" s="20">
        <v>5113755293</v>
      </c>
      <c r="N2696" s="128"/>
      <c r="O2696" s="9" t="s">
        <v>37</v>
      </c>
      <c r="P2696" s="23"/>
      <c r="Q2696" s="24" t="s">
        <v>31</v>
      </c>
      <c r="R2696" s="25">
        <v>44887</v>
      </c>
      <c r="S2696" s="28"/>
      <c r="T2696" s="35"/>
      <c r="U2696" s="35"/>
      <c r="V2696" s="29"/>
      <c r="W2696" s="35"/>
      <c r="X2696" s="29"/>
      <c r="Y2696" s="36"/>
      <c r="Z2696" s="29"/>
      <c r="AA2696" s="31">
        <f t="shared" si="1"/>
        <v>44887</v>
      </c>
      <c r="AB2696" s="32" t="str">
        <f t="shared" si="5"/>
        <v>noviembre</v>
      </c>
    </row>
    <row r="2697" spans="1:28" ht="12.75">
      <c r="A2697" s="9" t="s">
        <v>99</v>
      </c>
      <c r="B2697" s="160">
        <v>44889</v>
      </c>
      <c r="C2697" s="161">
        <v>44890</v>
      </c>
      <c r="D2697" s="42">
        <v>47</v>
      </c>
      <c r="E2697" s="13" t="s">
        <v>3115</v>
      </c>
      <c r="F2697" s="13">
        <v>3025457</v>
      </c>
      <c r="G2697" s="14">
        <v>6299.5</v>
      </c>
      <c r="H2697" s="33">
        <f>8800-8782.19</f>
        <v>17.809999999999491</v>
      </c>
      <c r="I2697" s="16">
        <f>-H2697*G2697</f>
        <v>-112194.09499999679</v>
      </c>
      <c r="J2697" s="17">
        <v>0</v>
      </c>
      <c r="K2697" s="34">
        <v>4502452078</v>
      </c>
      <c r="L2697" s="126">
        <v>5084714253</v>
      </c>
      <c r="M2697" s="20">
        <v>5113755295</v>
      </c>
      <c r="N2697" s="128"/>
      <c r="O2697" s="9"/>
      <c r="P2697" s="23"/>
      <c r="Q2697" s="24" t="s">
        <v>31</v>
      </c>
      <c r="R2697" s="25">
        <v>44887</v>
      </c>
      <c r="S2697" s="28"/>
      <c r="T2697" s="35"/>
      <c r="U2697" s="35"/>
      <c r="V2697" s="29"/>
      <c r="W2697" s="35"/>
      <c r="X2697" s="29"/>
      <c r="Y2697" s="36"/>
      <c r="Z2697" s="29"/>
      <c r="AA2697" s="31">
        <f t="shared" si="1"/>
        <v>44887</v>
      </c>
      <c r="AB2697" s="32" t="str">
        <f t="shared" si="5"/>
        <v>noviembre</v>
      </c>
    </row>
    <row r="2698" spans="1:28" ht="12.75">
      <c r="A2698" s="9" t="s">
        <v>2135</v>
      </c>
      <c r="B2698" s="10">
        <v>44887</v>
      </c>
      <c r="C2698" s="11"/>
      <c r="D2698" s="42">
        <v>47</v>
      </c>
      <c r="E2698" s="13" t="s">
        <v>3116</v>
      </c>
      <c r="F2698" s="13">
        <v>3025457</v>
      </c>
      <c r="G2698" s="14">
        <v>6270</v>
      </c>
      <c r="H2698" s="33">
        <v>8750</v>
      </c>
      <c r="I2698" s="16">
        <f>H2698*G2698</f>
        <v>54862500</v>
      </c>
      <c r="J2698" s="17">
        <v>13</v>
      </c>
      <c r="K2698" s="34">
        <v>4502452079</v>
      </c>
      <c r="L2698" s="126">
        <v>5084714254</v>
      </c>
      <c r="M2698" s="20">
        <v>5113747716</v>
      </c>
      <c r="N2698" s="128"/>
      <c r="O2698" s="88" t="s">
        <v>63</v>
      </c>
      <c r="P2698" s="23"/>
      <c r="Q2698" s="24" t="s">
        <v>31</v>
      </c>
      <c r="R2698" s="25">
        <v>44887</v>
      </c>
      <c r="S2698" s="28"/>
      <c r="T2698" s="35"/>
      <c r="U2698" s="35"/>
      <c r="V2698" s="29"/>
      <c r="W2698" s="35"/>
      <c r="X2698" s="29"/>
      <c r="Y2698" s="36"/>
      <c r="Z2698" s="29"/>
      <c r="AA2698" s="31">
        <f t="shared" si="1"/>
        <v>44887</v>
      </c>
      <c r="AB2698" s="32" t="str">
        <f t="shared" si="5"/>
        <v>noviembre</v>
      </c>
    </row>
    <row r="2699" spans="1:28" ht="12.75">
      <c r="A2699" s="9" t="s">
        <v>2135</v>
      </c>
      <c r="B2699" s="10">
        <v>44887</v>
      </c>
      <c r="C2699" s="11"/>
      <c r="D2699" s="42">
        <v>47</v>
      </c>
      <c r="E2699" s="13" t="s">
        <v>3117</v>
      </c>
      <c r="F2699" s="13">
        <v>3025457</v>
      </c>
      <c r="G2699" s="14">
        <v>6270</v>
      </c>
      <c r="H2699" s="33">
        <f>8750-8567.66</f>
        <v>182.34000000000015</v>
      </c>
      <c r="I2699" s="16">
        <f>-H2699*G2699</f>
        <v>-1143271.800000001</v>
      </c>
      <c r="J2699" s="17">
        <v>0</v>
      </c>
      <c r="K2699" s="34">
        <v>4502452079</v>
      </c>
      <c r="L2699" s="126">
        <v>5084714254</v>
      </c>
      <c r="M2699" s="20">
        <v>5113747807</v>
      </c>
      <c r="N2699" s="128"/>
      <c r="O2699" s="9"/>
      <c r="P2699" s="23"/>
      <c r="Q2699" s="24" t="s">
        <v>31</v>
      </c>
      <c r="R2699" s="25">
        <v>44887</v>
      </c>
      <c r="S2699" s="28"/>
      <c r="T2699" s="35"/>
      <c r="U2699" s="35"/>
      <c r="V2699" s="29"/>
      <c r="W2699" s="35"/>
      <c r="X2699" s="29"/>
      <c r="Y2699" s="36"/>
      <c r="Z2699" s="29"/>
      <c r="AA2699" s="31">
        <f t="shared" si="1"/>
        <v>44887</v>
      </c>
      <c r="AB2699" s="32" t="str">
        <f t="shared" si="5"/>
        <v>noviembre</v>
      </c>
    </row>
    <row r="2700" spans="1:28" ht="12.75">
      <c r="A2700" s="22" t="s">
        <v>501</v>
      </c>
      <c r="B2700" s="10">
        <v>44889</v>
      </c>
      <c r="C2700" s="11">
        <v>44889</v>
      </c>
      <c r="D2700" s="42">
        <v>47</v>
      </c>
      <c r="E2700" s="13" t="s">
        <v>3118</v>
      </c>
      <c r="F2700" s="13">
        <v>3025457</v>
      </c>
      <c r="G2700" s="14">
        <v>20059</v>
      </c>
      <c r="H2700" s="33">
        <v>8800</v>
      </c>
      <c r="I2700" s="16">
        <f>H2700*G2700</f>
        <v>176519200</v>
      </c>
      <c r="J2700" s="17">
        <v>42</v>
      </c>
      <c r="K2700" s="34">
        <v>4502452080</v>
      </c>
      <c r="L2700" s="126">
        <v>5084714255</v>
      </c>
      <c r="M2700" s="20">
        <v>5113748820</v>
      </c>
      <c r="N2700" s="128"/>
      <c r="O2700" s="9" t="s">
        <v>37</v>
      </c>
      <c r="P2700" s="23"/>
      <c r="Q2700" s="24" t="s">
        <v>31</v>
      </c>
      <c r="R2700" s="25">
        <v>44887</v>
      </c>
      <c r="S2700" s="28"/>
      <c r="T2700" s="35"/>
      <c r="U2700" s="35"/>
      <c r="V2700" s="29"/>
      <c r="W2700" s="35"/>
      <c r="X2700" s="29"/>
      <c r="Y2700" s="36"/>
      <c r="Z2700" s="29"/>
      <c r="AA2700" s="31">
        <f t="shared" si="1"/>
        <v>44887</v>
      </c>
      <c r="AB2700" s="32" t="str">
        <f t="shared" si="5"/>
        <v>noviembre</v>
      </c>
    </row>
    <row r="2701" spans="1:28" ht="12.75">
      <c r="A2701" s="22" t="s">
        <v>501</v>
      </c>
      <c r="B2701" s="10">
        <v>44889</v>
      </c>
      <c r="C2701" s="11">
        <v>44889</v>
      </c>
      <c r="D2701" s="42">
        <v>47</v>
      </c>
      <c r="E2701" s="13">
        <v>19</v>
      </c>
      <c r="F2701" s="13">
        <v>3025457</v>
      </c>
      <c r="G2701" s="14">
        <v>20059</v>
      </c>
      <c r="H2701" s="33">
        <f>8800-8743.83</f>
        <v>56.170000000000073</v>
      </c>
      <c r="I2701" s="16">
        <f>-H2701*G2701</f>
        <v>-1126714.0300000014</v>
      </c>
      <c r="J2701" s="17">
        <v>0</v>
      </c>
      <c r="K2701" s="34">
        <v>4502452080</v>
      </c>
      <c r="L2701" s="126">
        <v>5084714255</v>
      </c>
      <c r="M2701" s="20">
        <v>5113748823</v>
      </c>
      <c r="N2701" s="128"/>
      <c r="O2701" s="9"/>
      <c r="P2701" s="23"/>
      <c r="Q2701" s="24" t="s">
        <v>31</v>
      </c>
      <c r="R2701" s="25">
        <v>44887</v>
      </c>
      <c r="S2701" s="28"/>
      <c r="T2701" s="35"/>
      <c r="U2701" s="35"/>
      <c r="V2701" s="29"/>
      <c r="W2701" s="35"/>
      <c r="X2701" s="29"/>
      <c r="Y2701" s="36"/>
      <c r="Z2701" s="29"/>
      <c r="AA2701" s="31">
        <f t="shared" si="1"/>
        <v>44887</v>
      </c>
      <c r="AB2701" s="32" t="str">
        <f t="shared" si="5"/>
        <v>noviembre</v>
      </c>
    </row>
    <row r="2702" spans="1:28" ht="12.75">
      <c r="A2702" s="9" t="s">
        <v>642</v>
      </c>
      <c r="B2702" s="10">
        <v>44894</v>
      </c>
      <c r="C2702" s="11"/>
      <c r="D2702" s="42">
        <v>47</v>
      </c>
      <c r="E2702" s="162" t="s">
        <v>3119</v>
      </c>
      <c r="F2702" s="13">
        <v>3025457</v>
      </c>
      <c r="G2702" s="14">
        <v>6244</v>
      </c>
      <c r="H2702" s="33">
        <v>8750</v>
      </c>
      <c r="I2702" s="16">
        <f>H2702*G2702</f>
        <v>54635000</v>
      </c>
      <c r="J2702" s="17">
        <v>14</v>
      </c>
      <c r="K2702" s="34">
        <v>4502452799</v>
      </c>
      <c r="L2702" s="126">
        <v>5084714257</v>
      </c>
      <c r="M2702" s="20">
        <v>5113772300</v>
      </c>
      <c r="N2702" s="128"/>
      <c r="O2702" s="9" t="s">
        <v>37</v>
      </c>
      <c r="P2702" s="23"/>
      <c r="Q2702" s="24" t="s">
        <v>31</v>
      </c>
      <c r="R2702" s="25">
        <v>44887</v>
      </c>
      <c r="S2702" s="28"/>
      <c r="T2702" s="35"/>
      <c r="U2702" s="35"/>
      <c r="V2702" s="29"/>
      <c r="W2702" s="35"/>
      <c r="X2702" s="29"/>
      <c r="Y2702" s="36"/>
      <c r="Z2702" s="29"/>
      <c r="AA2702" s="31">
        <f t="shared" si="1"/>
        <v>44887</v>
      </c>
      <c r="AB2702" s="32" t="str">
        <f t="shared" si="5"/>
        <v>noviembre</v>
      </c>
    </row>
    <row r="2703" spans="1:28" ht="12.75">
      <c r="A2703" s="9" t="s">
        <v>642</v>
      </c>
      <c r="B2703" s="10">
        <v>44894</v>
      </c>
      <c r="C2703" s="11"/>
      <c r="D2703" s="42">
        <v>47</v>
      </c>
      <c r="E2703" s="162" t="s">
        <v>3120</v>
      </c>
      <c r="F2703" s="13">
        <v>3025457</v>
      </c>
      <c r="G2703" s="14">
        <v>6244</v>
      </c>
      <c r="H2703" s="33">
        <f>8750-8594.88</f>
        <v>155.1200000000008</v>
      </c>
      <c r="I2703" s="16">
        <f>-H2703*G2703</f>
        <v>-968569.28000000503</v>
      </c>
      <c r="J2703" s="17">
        <v>0</v>
      </c>
      <c r="K2703" s="34">
        <v>4502452799</v>
      </c>
      <c r="L2703" s="126">
        <v>5084714257</v>
      </c>
      <c r="M2703" s="20">
        <v>5113772305</v>
      </c>
      <c r="N2703" s="128"/>
      <c r="O2703" s="9"/>
      <c r="P2703" s="23"/>
      <c r="Q2703" s="24" t="s">
        <v>31</v>
      </c>
      <c r="R2703" s="25">
        <v>44887</v>
      </c>
      <c r="S2703" s="28"/>
      <c r="T2703" s="35"/>
      <c r="U2703" s="35"/>
      <c r="V2703" s="29"/>
      <c r="W2703" s="35"/>
      <c r="X2703" s="29"/>
      <c r="Y2703" s="36"/>
      <c r="Z2703" s="29"/>
      <c r="AA2703" s="31">
        <f t="shared" si="1"/>
        <v>44887</v>
      </c>
      <c r="AB2703" s="32" t="str">
        <f t="shared" si="5"/>
        <v>noviembre</v>
      </c>
    </row>
    <row r="2704" spans="1:28" ht="12.75">
      <c r="A2704" s="22" t="s">
        <v>404</v>
      </c>
      <c r="B2704" s="10">
        <v>44887</v>
      </c>
      <c r="C2704" s="11">
        <v>44890</v>
      </c>
      <c r="D2704" s="42">
        <v>47</v>
      </c>
      <c r="E2704" s="13" t="s">
        <v>3121</v>
      </c>
      <c r="F2704" s="13">
        <v>3025457</v>
      </c>
      <c r="G2704" s="14">
        <v>7610.5</v>
      </c>
      <c r="H2704" s="33">
        <v>9150</v>
      </c>
      <c r="I2704" s="16">
        <f>H2704*G2704</f>
        <v>69636075</v>
      </c>
      <c r="J2704" s="17">
        <v>15</v>
      </c>
      <c r="K2704" s="34">
        <v>4502452803</v>
      </c>
      <c r="L2704" s="126">
        <v>5084714278</v>
      </c>
      <c r="M2704" s="20">
        <v>5113750945</v>
      </c>
      <c r="N2704" s="128"/>
      <c r="O2704" s="9" t="s">
        <v>37</v>
      </c>
      <c r="P2704" s="23"/>
      <c r="Q2704" s="24" t="s">
        <v>31</v>
      </c>
      <c r="R2704" s="25">
        <v>44887</v>
      </c>
      <c r="S2704" s="28"/>
      <c r="T2704" s="35"/>
      <c r="U2704" s="35"/>
      <c r="V2704" s="29"/>
      <c r="W2704" s="35"/>
      <c r="X2704" s="29"/>
      <c r="Y2704" s="36"/>
      <c r="Z2704" s="29"/>
      <c r="AA2704" s="31">
        <f t="shared" si="1"/>
        <v>44887</v>
      </c>
      <c r="AB2704" s="32" t="str">
        <f t="shared" si="5"/>
        <v>noviembre</v>
      </c>
    </row>
    <row r="2705" spans="1:28" ht="12.75">
      <c r="A2705" s="22" t="s">
        <v>404</v>
      </c>
      <c r="B2705" s="10">
        <v>44889</v>
      </c>
      <c r="C2705" s="11">
        <v>44890</v>
      </c>
      <c r="D2705" s="42">
        <v>47</v>
      </c>
      <c r="E2705" s="13" t="s">
        <v>848</v>
      </c>
      <c r="F2705" s="13">
        <v>3025457</v>
      </c>
      <c r="G2705" s="14">
        <v>7610.5</v>
      </c>
      <c r="H2705" s="33">
        <f>9150-9100</f>
        <v>50</v>
      </c>
      <c r="I2705" s="16">
        <f>-H2705*G2705</f>
        <v>-380525</v>
      </c>
      <c r="J2705" s="17">
        <v>0</v>
      </c>
      <c r="K2705" s="34">
        <v>4502452803</v>
      </c>
      <c r="L2705" s="126">
        <v>5084714278</v>
      </c>
      <c r="M2705" s="20">
        <v>5113750946</v>
      </c>
      <c r="N2705" s="128"/>
      <c r="O2705" s="9"/>
      <c r="P2705" s="23"/>
      <c r="Q2705" s="24" t="s">
        <v>31</v>
      </c>
      <c r="R2705" s="25">
        <v>44887</v>
      </c>
      <c r="S2705" s="28"/>
      <c r="T2705" s="35"/>
      <c r="U2705" s="35"/>
      <c r="V2705" s="29"/>
      <c r="W2705" s="35"/>
      <c r="X2705" s="29"/>
      <c r="Y2705" s="36"/>
      <c r="Z2705" s="29"/>
      <c r="AA2705" s="31">
        <f t="shared" si="1"/>
        <v>44887</v>
      </c>
      <c r="AB2705" s="32" t="str">
        <f t="shared" si="5"/>
        <v>noviembre</v>
      </c>
    </row>
    <row r="2706" spans="1:28" ht="12.75">
      <c r="A2706" s="9" t="s">
        <v>485</v>
      </c>
      <c r="B2706" s="10">
        <v>44889</v>
      </c>
      <c r="C2706" s="11">
        <v>44889</v>
      </c>
      <c r="D2706" s="42">
        <v>47</v>
      </c>
      <c r="E2706" s="13" t="s">
        <v>3122</v>
      </c>
      <c r="F2706" s="13">
        <v>3025459</v>
      </c>
      <c r="G2706" s="14">
        <v>5730.5</v>
      </c>
      <c r="H2706" s="33">
        <v>9100</v>
      </c>
      <c r="I2706" s="16">
        <f>H2706*G2706</f>
        <v>52147550</v>
      </c>
      <c r="J2706" s="17">
        <v>14</v>
      </c>
      <c r="K2706" s="34">
        <v>4502452081</v>
      </c>
      <c r="L2706" s="126">
        <v>5084714256</v>
      </c>
      <c r="M2706" s="20">
        <v>5113749215</v>
      </c>
      <c r="N2706" s="128"/>
      <c r="O2706" s="9" t="s">
        <v>313</v>
      </c>
      <c r="P2706" s="23"/>
      <c r="Q2706" s="24" t="s">
        <v>31</v>
      </c>
      <c r="R2706" s="25">
        <v>44887</v>
      </c>
      <c r="S2706" s="28"/>
      <c r="T2706" s="35"/>
      <c r="U2706" s="35"/>
      <c r="V2706" s="29"/>
      <c r="W2706" s="35"/>
      <c r="X2706" s="29"/>
      <c r="Y2706" s="36"/>
      <c r="Z2706" s="29"/>
      <c r="AA2706" s="31">
        <f t="shared" si="1"/>
        <v>44887</v>
      </c>
      <c r="AB2706" s="32" t="str">
        <f t="shared" si="5"/>
        <v>noviembre</v>
      </c>
    </row>
    <row r="2707" spans="1:28" ht="12.75">
      <c r="A2707" s="9" t="s">
        <v>485</v>
      </c>
      <c r="B2707" s="10">
        <v>44889</v>
      </c>
      <c r="C2707" s="11">
        <v>44889</v>
      </c>
      <c r="D2707" s="42">
        <v>47</v>
      </c>
      <c r="E2707" s="13" t="s">
        <v>295</v>
      </c>
      <c r="F2707" s="13">
        <v>3025459</v>
      </c>
      <c r="G2707" s="14">
        <v>5730.5</v>
      </c>
      <c r="H2707" s="33">
        <f>9100-9036.21</f>
        <v>63.790000000000873</v>
      </c>
      <c r="I2707" s="16">
        <f>-H2707*G2707</f>
        <v>-365548.59500000498</v>
      </c>
      <c r="J2707" s="17">
        <v>0</v>
      </c>
      <c r="K2707" s="34">
        <v>4502452081</v>
      </c>
      <c r="L2707" s="126">
        <v>5084714256</v>
      </c>
      <c r="M2707" s="20">
        <v>5113749287</v>
      </c>
      <c r="N2707" s="128"/>
      <c r="O2707" s="9"/>
      <c r="P2707" s="23"/>
      <c r="Q2707" s="24" t="s">
        <v>31</v>
      </c>
      <c r="R2707" s="25">
        <v>44887</v>
      </c>
      <c r="S2707" s="28"/>
      <c r="T2707" s="35"/>
      <c r="U2707" s="35"/>
      <c r="V2707" s="29"/>
      <c r="W2707" s="35"/>
      <c r="X2707" s="29"/>
      <c r="Y2707" s="36"/>
      <c r="Z2707" s="29"/>
      <c r="AA2707" s="31">
        <f t="shared" si="1"/>
        <v>44887</v>
      </c>
      <c r="AB2707" s="32" t="str">
        <f t="shared" si="5"/>
        <v>noviembre</v>
      </c>
    </row>
    <row r="2708" spans="1:28" ht="12.75">
      <c r="A2708" s="9" t="s">
        <v>196</v>
      </c>
      <c r="B2708" s="10">
        <v>44887</v>
      </c>
      <c r="C2708" s="11"/>
      <c r="D2708" s="42">
        <v>47</v>
      </c>
      <c r="E2708" s="13" t="s">
        <v>3123</v>
      </c>
      <c r="F2708" s="13">
        <v>3025460</v>
      </c>
      <c r="G2708" s="14">
        <v>26615</v>
      </c>
      <c r="H2708" s="57">
        <v>8850</v>
      </c>
      <c r="I2708" s="16">
        <f t="shared" ref="I2708:I2723" si="397">H2708*G2708</f>
        <v>235542750</v>
      </c>
      <c r="J2708" s="17">
        <v>56</v>
      </c>
      <c r="K2708" s="34">
        <v>4502458441</v>
      </c>
      <c r="L2708" s="126">
        <v>5084753489</v>
      </c>
      <c r="M2708" s="20">
        <v>5113755601</v>
      </c>
      <c r="N2708" s="128"/>
      <c r="O2708" s="23" t="s">
        <v>63</v>
      </c>
      <c r="P2708" s="23"/>
      <c r="Q2708" s="24" t="s">
        <v>82</v>
      </c>
      <c r="R2708" s="25">
        <v>44887</v>
      </c>
      <c r="S2708" s="28"/>
      <c r="T2708" s="35"/>
      <c r="U2708" s="35"/>
      <c r="V2708" s="29"/>
      <c r="W2708" s="35"/>
      <c r="X2708" s="29"/>
      <c r="Y2708" s="36"/>
      <c r="Z2708" s="29"/>
      <c r="AA2708" s="31">
        <f t="shared" si="1"/>
        <v>44887</v>
      </c>
      <c r="AB2708" s="32" t="str">
        <f t="shared" si="5"/>
        <v>noviembre</v>
      </c>
    </row>
    <row r="2709" spans="1:28" ht="12.75">
      <c r="A2709" s="9" t="s">
        <v>85</v>
      </c>
      <c r="B2709" s="10">
        <v>44887</v>
      </c>
      <c r="C2709" s="11">
        <v>44887</v>
      </c>
      <c r="D2709" s="42">
        <v>47</v>
      </c>
      <c r="E2709" s="13" t="s">
        <v>3124</v>
      </c>
      <c r="F2709" s="13">
        <v>3025460</v>
      </c>
      <c r="G2709" s="14">
        <v>25252</v>
      </c>
      <c r="H2709" s="57">
        <v>8850</v>
      </c>
      <c r="I2709" s="16">
        <f t="shared" si="397"/>
        <v>223480200</v>
      </c>
      <c r="J2709" s="17">
        <v>56</v>
      </c>
      <c r="K2709" s="34">
        <v>4502458409</v>
      </c>
      <c r="L2709" s="126">
        <v>5084753158</v>
      </c>
      <c r="M2709" s="20">
        <v>5113755604</v>
      </c>
      <c r="N2709" s="128"/>
      <c r="O2709" s="88"/>
      <c r="P2709" s="23" t="s">
        <v>63</v>
      </c>
      <c r="Q2709" s="24" t="s">
        <v>82</v>
      </c>
      <c r="R2709" s="25">
        <v>44887</v>
      </c>
      <c r="S2709" s="28"/>
      <c r="T2709" s="35"/>
      <c r="U2709" s="35"/>
      <c r="V2709" s="29"/>
      <c r="W2709" s="35"/>
      <c r="X2709" s="29"/>
      <c r="Y2709" s="36"/>
      <c r="Z2709" s="29"/>
      <c r="AA2709" s="31">
        <f t="shared" si="1"/>
        <v>44887</v>
      </c>
      <c r="AB2709" s="32" t="str">
        <f t="shared" si="5"/>
        <v>noviembre</v>
      </c>
    </row>
    <row r="2710" spans="1:28" ht="12.75">
      <c r="A2710" s="9" t="s">
        <v>85</v>
      </c>
      <c r="B2710" s="10">
        <v>44887</v>
      </c>
      <c r="C2710" s="11">
        <v>44887</v>
      </c>
      <c r="D2710" s="42">
        <v>47</v>
      </c>
      <c r="E2710" s="13" t="s">
        <v>3125</v>
      </c>
      <c r="F2710" s="13">
        <v>3025460</v>
      </c>
      <c r="G2710" s="14">
        <v>25252</v>
      </c>
      <c r="H2710" s="57">
        <f>8874-8850</f>
        <v>24</v>
      </c>
      <c r="I2710" s="16">
        <f t="shared" si="397"/>
        <v>606048</v>
      </c>
      <c r="J2710" s="17">
        <v>0</v>
      </c>
      <c r="K2710" s="34">
        <v>4502458409</v>
      </c>
      <c r="L2710" s="126">
        <v>5084753158</v>
      </c>
      <c r="M2710" s="20">
        <v>5113755605</v>
      </c>
      <c r="N2710" s="128"/>
      <c r="O2710" s="88"/>
      <c r="P2710" s="23"/>
      <c r="Q2710" s="24" t="s">
        <v>82</v>
      </c>
      <c r="R2710" s="25">
        <v>44887</v>
      </c>
      <c r="S2710" s="28"/>
      <c r="T2710" s="35"/>
      <c r="U2710" s="35"/>
      <c r="V2710" s="29"/>
      <c r="W2710" s="35"/>
      <c r="X2710" s="29"/>
      <c r="Y2710" s="36"/>
      <c r="Z2710" s="29"/>
      <c r="AA2710" s="31">
        <f t="shared" si="1"/>
        <v>44887</v>
      </c>
      <c r="AB2710" s="32" t="str">
        <f t="shared" si="5"/>
        <v>noviembre</v>
      </c>
    </row>
    <row r="2711" spans="1:28" ht="12.75">
      <c r="A2711" s="9" t="s">
        <v>314</v>
      </c>
      <c r="B2711" s="10">
        <v>44890</v>
      </c>
      <c r="C2711" s="11">
        <v>44890</v>
      </c>
      <c r="D2711" s="42">
        <v>47</v>
      </c>
      <c r="E2711" s="13" t="s">
        <v>2011</v>
      </c>
      <c r="F2711" s="13">
        <v>3025460</v>
      </c>
      <c r="G2711" s="14">
        <v>6898</v>
      </c>
      <c r="H2711" s="57">
        <v>8750</v>
      </c>
      <c r="I2711" s="16">
        <f t="shared" si="397"/>
        <v>60357500</v>
      </c>
      <c r="J2711" s="17">
        <v>14</v>
      </c>
      <c r="K2711" s="34">
        <v>4502458373</v>
      </c>
      <c r="L2711" s="126">
        <v>5084752854</v>
      </c>
      <c r="M2711" s="20">
        <v>5113752362</v>
      </c>
      <c r="N2711" s="128"/>
      <c r="O2711" s="9" t="s">
        <v>63</v>
      </c>
      <c r="P2711" s="23"/>
      <c r="Q2711" s="24" t="s">
        <v>82</v>
      </c>
      <c r="R2711" s="25">
        <v>44887</v>
      </c>
      <c r="S2711" s="28"/>
      <c r="T2711" s="35"/>
      <c r="U2711" s="35"/>
      <c r="V2711" s="29"/>
      <c r="W2711" s="35"/>
      <c r="X2711" s="29"/>
      <c r="Y2711" s="36"/>
      <c r="Z2711" s="29"/>
      <c r="AA2711" s="31">
        <f t="shared" si="1"/>
        <v>44887</v>
      </c>
      <c r="AB2711" s="32" t="str">
        <f t="shared" si="5"/>
        <v>noviembre</v>
      </c>
    </row>
    <row r="2712" spans="1:28" ht="12.75">
      <c r="A2712" s="9" t="s">
        <v>314</v>
      </c>
      <c r="B2712" s="10">
        <v>44887</v>
      </c>
      <c r="C2712" s="11">
        <v>44890</v>
      </c>
      <c r="D2712" s="42">
        <v>47</v>
      </c>
      <c r="E2712" s="13" t="s">
        <v>1045</v>
      </c>
      <c r="F2712" s="13">
        <v>3025460</v>
      </c>
      <c r="G2712" s="14">
        <v>6898</v>
      </c>
      <c r="H2712" s="57">
        <f>8774-8750</f>
        <v>24</v>
      </c>
      <c r="I2712" s="16">
        <f t="shared" si="397"/>
        <v>165552</v>
      </c>
      <c r="J2712" s="17">
        <v>0</v>
      </c>
      <c r="K2712" s="34">
        <v>4502458373</v>
      </c>
      <c r="L2712" s="126">
        <v>5084752854</v>
      </c>
      <c r="M2712" s="20">
        <v>5113761858</v>
      </c>
      <c r="N2712" s="128"/>
      <c r="O2712" s="9"/>
      <c r="P2712" s="23"/>
      <c r="Q2712" s="24" t="s">
        <v>82</v>
      </c>
      <c r="R2712" s="25">
        <v>44887</v>
      </c>
      <c r="S2712" s="28"/>
      <c r="T2712" s="35"/>
      <c r="U2712" s="35"/>
      <c r="V2712" s="29"/>
      <c r="W2712" s="35"/>
      <c r="X2712" s="29"/>
      <c r="Y2712" s="36"/>
      <c r="Z2712" s="29"/>
      <c r="AA2712" s="31">
        <f t="shared" si="1"/>
        <v>44887</v>
      </c>
      <c r="AB2712" s="32" t="str">
        <f t="shared" si="5"/>
        <v>noviembre</v>
      </c>
    </row>
    <row r="2713" spans="1:28" ht="12.75">
      <c r="A2713" s="9" t="s">
        <v>1120</v>
      </c>
      <c r="B2713" s="10">
        <v>44889</v>
      </c>
      <c r="C2713" s="11"/>
      <c r="D2713" s="42">
        <v>47</v>
      </c>
      <c r="E2713" s="13" t="s">
        <v>3126</v>
      </c>
      <c r="F2713" s="13">
        <v>3025460</v>
      </c>
      <c r="G2713" s="14">
        <v>20334</v>
      </c>
      <c r="H2713" s="57">
        <v>8900</v>
      </c>
      <c r="I2713" s="16">
        <f t="shared" si="397"/>
        <v>180972600</v>
      </c>
      <c r="J2713" s="17">
        <v>42</v>
      </c>
      <c r="K2713" s="34">
        <v>4502458380</v>
      </c>
      <c r="L2713" s="126">
        <v>5084753496</v>
      </c>
      <c r="M2713" s="20">
        <v>5113752264</v>
      </c>
      <c r="N2713" s="128"/>
      <c r="O2713" s="9" t="s">
        <v>63</v>
      </c>
      <c r="P2713" s="23"/>
      <c r="Q2713" s="24" t="s">
        <v>82</v>
      </c>
      <c r="R2713" s="25">
        <v>44887</v>
      </c>
      <c r="S2713" s="28"/>
      <c r="T2713" s="35"/>
      <c r="U2713" s="35"/>
      <c r="V2713" s="29"/>
      <c r="W2713" s="35"/>
      <c r="X2713" s="29"/>
      <c r="Y2713" s="36"/>
      <c r="Z2713" s="29"/>
      <c r="AA2713" s="31">
        <f t="shared" si="1"/>
        <v>44887</v>
      </c>
      <c r="AB2713" s="32" t="str">
        <f t="shared" si="5"/>
        <v>noviembre</v>
      </c>
    </row>
    <row r="2714" spans="1:28" ht="12.75">
      <c r="A2714" s="9" t="s">
        <v>1120</v>
      </c>
      <c r="B2714" s="10">
        <v>44902</v>
      </c>
      <c r="C2714" s="11"/>
      <c r="D2714" s="42">
        <v>47</v>
      </c>
      <c r="E2714" s="13" t="s">
        <v>123</v>
      </c>
      <c r="F2714" s="13">
        <v>3025460</v>
      </c>
      <c r="G2714" s="14">
        <v>20334</v>
      </c>
      <c r="H2714" s="57">
        <v>24</v>
      </c>
      <c r="I2714" s="16">
        <f t="shared" si="397"/>
        <v>488016</v>
      </c>
      <c r="J2714" s="17">
        <v>0</v>
      </c>
      <c r="K2714" s="34">
        <v>4502458380</v>
      </c>
      <c r="L2714" s="126">
        <v>5084753496</v>
      </c>
      <c r="M2714" s="20">
        <v>5113798208</v>
      </c>
      <c r="N2714" s="128"/>
      <c r="O2714" s="9"/>
      <c r="P2714" s="23"/>
      <c r="Q2714" s="24" t="s">
        <v>82</v>
      </c>
      <c r="R2714" s="25">
        <v>44887</v>
      </c>
      <c r="S2714" s="28"/>
      <c r="T2714" s="35"/>
      <c r="U2714" s="35"/>
      <c r="V2714" s="29"/>
      <c r="W2714" s="35"/>
      <c r="X2714" s="29"/>
      <c r="Y2714" s="36"/>
      <c r="Z2714" s="29"/>
      <c r="AA2714" s="31">
        <f t="shared" si="1"/>
        <v>44887</v>
      </c>
      <c r="AB2714" s="32" t="str">
        <f t="shared" si="5"/>
        <v>noviembre</v>
      </c>
    </row>
    <row r="2715" spans="1:28" ht="12.75">
      <c r="A2715" s="9" t="s">
        <v>2276</v>
      </c>
      <c r="B2715" s="10">
        <v>44889</v>
      </c>
      <c r="C2715" s="11">
        <v>44894</v>
      </c>
      <c r="D2715" s="42">
        <v>47</v>
      </c>
      <c r="E2715" s="13" t="s">
        <v>3127</v>
      </c>
      <c r="F2715" s="13">
        <v>3025460</v>
      </c>
      <c r="G2715" s="14">
        <v>6281</v>
      </c>
      <c r="H2715" s="57">
        <v>8800</v>
      </c>
      <c r="I2715" s="16">
        <f t="shared" si="397"/>
        <v>55272800</v>
      </c>
      <c r="J2715" s="17">
        <v>14</v>
      </c>
      <c r="K2715" s="34">
        <v>4502458501</v>
      </c>
      <c r="L2715" s="126">
        <v>5084754109</v>
      </c>
      <c r="M2715" s="20">
        <v>5113766598</v>
      </c>
      <c r="N2715" s="128"/>
      <c r="O2715" s="9" t="s">
        <v>37</v>
      </c>
      <c r="P2715" s="23"/>
      <c r="Q2715" s="24" t="s">
        <v>82</v>
      </c>
      <c r="R2715" s="25">
        <v>44887</v>
      </c>
      <c r="S2715" s="28"/>
      <c r="T2715" s="35"/>
      <c r="U2715" s="35"/>
      <c r="V2715" s="29"/>
      <c r="W2715" s="35"/>
      <c r="X2715" s="29"/>
      <c r="Y2715" s="36"/>
      <c r="Z2715" s="29"/>
      <c r="AA2715" s="31">
        <f t="shared" si="1"/>
        <v>44887</v>
      </c>
      <c r="AB2715" s="32" t="str">
        <f t="shared" si="5"/>
        <v>noviembre</v>
      </c>
    </row>
    <row r="2716" spans="1:28" ht="12.75">
      <c r="A2716" s="22" t="s">
        <v>3128</v>
      </c>
      <c r="B2716" s="10">
        <v>44890</v>
      </c>
      <c r="C2716" s="11">
        <v>44894</v>
      </c>
      <c r="D2716" s="42">
        <v>47</v>
      </c>
      <c r="E2716" s="13" t="s">
        <v>3129</v>
      </c>
      <c r="F2716" s="13">
        <v>3025460</v>
      </c>
      <c r="G2716" s="14">
        <v>13595</v>
      </c>
      <c r="H2716" s="57">
        <v>8850</v>
      </c>
      <c r="I2716" s="16">
        <f t="shared" si="397"/>
        <v>120315750</v>
      </c>
      <c r="J2716" s="17">
        <v>28</v>
      </c>
      <c r="K2716" s="34">
        <v>4502458503</v>
      </c>
      <c r="L2716" s="126">
        <v>5084754113</v>
      </c>
      <c r="M2716" s="20">
        <v>5113766846</v>
      </c>
      <c r="N2716" s="128"/>
      <c r="O2716" s="9" t="s">
        <v>37</v>
      </c>
      <c r="P2716" s="23"/>
      <c r="Q2716" s="24" t="s">
        <v>82</v>
      </c>
      <c r="R2716" s="25">
        <v>44887</v>
      </c>
      <c r="S2716" s="28"/>
      <c r="T2716" s="35"/>
      <c r="U2716" s="35"/>
      <c r="V2716" s="29"/>
      <c r="W2716" s="35"/>
      <c r="X2716" s="29"/>
      <c r="Y2716" s="36"/>
      <c r="Z2716" s="29"/>
      <c r="AA2716" s="31">
        <f t="shared" si="1"/>
        <v>44887</v>
      </c>
      <c r="AB2716" s="32" t="str">
        <f t="shared" si="5"/>
        <v>noviembre</v>
      </c>
    </row>
    <row r="2717" spans="1:28" ht="12.75">
      <c r="A2717" s="9" t="s">
        <v>58</v>
      </c>
      <c r="B2717" s="10">
        <v>44889</v>
      </c>
      <c r="C2717" s="11">
        <v>44889</v>
      </c>
      <c r="D2717" s="42">
        <v>47</v>
      </c>
      <c r="E2717" s="13" t="s">
        <v>3130</v>
      </c>
      <c r="F2717" s="13">
        <v>3025462</v>
      </c>
      <c r="G2717" s="14">
        <v>8008</v>
      </c>
      <c r="H2717" s="57">
        <v>7800</v>
      </c>
      <c r="I2717" s="16">
        <f t="shared" si="397"/>
        <v>62462400</v>
      </c>
      <c r="J2717" s="17">
        <v>32</v>
      </c>
      <c r="K2717" s="34">
        <v>4502457597</v>
      </c>
      <c r="L2717" s="126">
        <v>5084739313</v>
      </c>
      <c r="M2717" s="20">
        <v>5113749208</v>
      </c>
      <c r="N2717" s="128"/>
      <c r="O2717" s="9" t="s">
        <v>37</v>
      </c>
      <c r="P2717" s="23"/>
      <c r="Q2717" s="24" t="s">
        <v>357</v>
      </c>
      <c r="R2717" s="25">
        <v>44888</v>
      </c>
      <c r="S2717" s="28"/>
      <c r="T2717" s="35"/>
      <c r="U2717" s="35"/>
      <c r="V2717" s="29"/>
      <c r="W2717" s="35"/>
      <c r="X2717" s="29"/>
      <c r="Y2717" s="36"/>
      <c r="Z2717" s="29"/>
      <c r="AA2717" s="31">
        <f t="shared" si="1"/>
        <v>44888</v>
      </c>
      <c r="AB2717" s="32" t="str">
        <f t="shared" si="5"/>
        <v>noviembre</v>
      </c>
    </row>
    <row r="2718" spans="1:28" ht="12.75">
      <c r="A2718" s="9" t="s">
        <v>1613</v>
      </c>
      <c r="B2718" s="10">
        <v>44887</v>
      </c>
      <c r="C2718" s="11">
        <v>44887</v>
      </c>
      <c r="D2718" s="49">
        <v>48</v>
      </c>
      <c r="E2718" s="13" t="s">
        <v>3131</v>
      </c>
      <c r="F2718" s="13">
        <v>3025461</v>
      </c>
      <c r="G2718" s="14">
        <v>52513</v>
      </c>
      <c r="H2718" s="15">
        <v>8650</v>
      </c>
      <c r="I2718" s="16">
        <f t="shared" si="397"/>
        <v>454237450</v>
      </c>
      <c r="J2718" s="17">
        <v>112</v>
      </c>
      <c r="K2718" s="163">
        <v>4502456412</v>
      </c>
      <c r="L2718" s="20">
        <v>5084714026</v>
      </c>
      <c r="M2718" s="20" t="s">
        <v>3132</v>
      </c>
      <c r="N2718" s="9" t="s">
        <v>63</v>
      </c>
      <c r="O2718" s="88" t="s">
        <v>3133</v>
      </c>
      <c r="P2718" s="23"/>
      <c r="Q2718" s="24" t="s">
        <v>1605</v>
      </c>
      <c r="R2718" s="25">
        <v>44888</v>
      </c>
      <c r="S2718" s="28">
        <v>4502456412</v>
      </c>
      <c r="T2718" s="35">
        <f>750000*8</f>
        <v>6000000</v>
      </c>
      <c r="U2718" s="28" t="s">
        <v>3134</v>
      </c>
      <c r="V2718" s="29">
        <v>5113751622</v>
      </c>
      <c r="W2718" s="28" t="s">
        <v>3135</v>
      </c>
      <c r="X2718" s="29">
        <v>5113751619</v>
      </c>
      <c r="Y2718" s="36"/>
      <c r="Z2718" s="29"/>
      <c r="AA2718" s="31">
        <f t="shared" si="1"/>
        <v>44888</v>
      </c>
      <c r="AB2718" s="32" t="str">
        <f t="shared" si="5"/>
        <v>noviembre</v>
      </c>
    </row>
    <row r="2719" spans="1:28" ht="12.75">
      <c r="A2719" s="9" t="s">
        <v>1613</v>
      </c>
      <c r="B2719" s="10">
        <v>44887</v>
      </c>
      <c r="C2719" s="11">
        <v>44887</v>
      </c>
      <c r="D2719" s="49">
        <v>48</v>
      </c>
      <c r="E2719" s="13" t="s">
        <v>3136</v>
      </c>
      <c r="F2719" s="13">
        <v>3025461</v>
      </c>
      <c r="G2719" s="14">
        <v>52513</v>
      </c>
      <c r="H2719" s="15">
        <f>8674-8650</f>
        <v>24</v>
      </c>
      <c r="I2719" s="16">
        <f t="shared" si="397"/>
        <v>1260312</v>
      </c>
      <c r="J2719" s="17">
        <v>0</v>
      </c>
      <c r="K2719" s="163">
        <v>4502456412</v>
      </c>
      <c r="L2719" s="20">
        <v>5084714026</v>
      </c>
      <c r="M2719" s="20">
        <v>5113743570</v>
      </c>
      <c r="N2719" s="128"/>
      <c r="O2719" s="9"/>
      <c r="P2719" s="23"/>
      <c r="Q2719" s="24" t="s">
        <v>1605</v>
      </c>
      <c r="R2719" s="25">
        <v>44888</v>
      </c>
      <c r="S2719" s="28"/>
      <c r="T2719" s="35"/>
      <c r="U2719" s="35"/>
      <c r="V2719" s="29"/>
      <c r="W2719" s="35"/>
      <c r="X2719" s="29"/>
      <c r="Y2719" s="36"/>
      <c r="Z2719" s="29"/>
      <c r="AA2719" s="31">
        <f t="shared" si="1"/>
        <v>44888</v>
      </c>
      <c r="AB2719" s="32" t="str">
        <f t="shared" si="5"/>
        <v>noviembre</v>
      </c>
    </row>
    <row r="2720" spans="1:28" ht="12.75">
      <c r="A2720" s="9" t="s">
        <v>65</v>
      </c>
      <c r="B2720" s="10">
        <v>44886</v>
      </c>
      <c r="C2720" s="11"/>
      <c r="D2720" s="49">
        <v>48</v>
      </c>
      <c r="E2720" s="13" t="s">
        <v>3110</v>
      </c>
      <c r="F2720" s="13">
        <v>3025461</v>
      </c>
      <c r="G2720" s="14">
        <v>64944</v>
      </c>
      <c r="H2720" s="15">
        <v>8650</v>
      </c>
      <c r="I2720" s="16">
        <f t="shared" si="397"/>
        <v>561765600</v>
      </c>
      <c r="J2720" s="17">
        <v>140</v>
      </c>
      <c r="K2720" s="34">
        <v>4502456406</v>
      </c>
      <c r="L2720" s="126">
        <v>5084693642</v>
      </c>
      <c r="M2720" s="20">
        <v>5113743362</v>
      </c>
      <c r="N2720" s="9" t="s">
        <v>63</v>
      </c>
      <c r="O2720" s="88" t="s">
        <v>3137</v>
      </c>
      <c r="P2720" s="23"/>
      <c r="Q2720" s="24" t="s">
        <v>1605</v>
      </c>
      <c r="R2720" s="25">
        <v>44888</v>
      </c>
      <c r="S2720" s="34">
        <v>4502456406</v>
      </c>
      <c r="T2720" s="35">
        <v>7500000</v>
      </c>
      <c r="U2720" s="28" t="s">
        <v>3138</v>
      </c>
      <c r="V2720" s="29">
        <v>5113747857</v>
      </c>
      <c r="W2720" s="35"/>
      <c r="X2720" s="29"/>
      <c r="Y2720" s="36"/>
      <c r="Z2720" s="29"/>
      <c r="AA2720" s="31">
        <f t="shared" si="1"/>
        <v>44888</v>
      </c>
      <c r="AB2720" s="32" t="str">
        <f t="shared" si="5"/>
        <v>noviembre</v>
      </c>
    </row>
    <row r="2721" spans="1:28" ht="12.75">
      <c r="A2721" s="9" t="s">
        <v>65</v>
      </c>
      <c r="B2721" s="10">
        <v>44886</v>
      </c>
      <c r="C2721" s="11"/>
      <c r="D2721" s="49">
        <v>48</v>
      </c>
      <c r="E2721" s="13" t="s">
        <v>3139</v>
      </c>
      <c r="F2721" s="13">
        <v>3025461</v>
      </c>
      <c r="G2721" s="14">
        <v>105402</v>
      </c>
      <c r="H2721" s="15">
        <v>24</v>
      </c>
      <c r="I2721" s="16">
        <f t="shared" si="397"/>
        <v>2529648</v>
      </c>
      <c r="J2721" s="17">
        <v>0</v>
      </c>
      <c r="K2721" s="34">
        <v>4502456406</v>
      </c>
      <c r="L2721" s="126">
        <v>5084713961</v>
      </c>
      <c r="M2721" s="20">
        <v>5113743572</v>
      </c>
      <c r="N2721" s="47"/>
      <c r="O2721" s="9"/>
      <c r="P2721" s="23"/>
      <c r="Q2721" s="24" t="s">
        <v>1605</v>
      </c>
      <c r="R2721" s="25">
        <v>44888</v>
      </c>
      <c r="S2721" s="28"/>
      <c r="T2721" s="35"/>
      <c r="U2721" s="35"/>
      <c r="V2721" s="29"/>
      <c r="W2721" s="35"/>
      <c r="X2721" s="29"/>
      <c r="Y2721" s="36"/>
      <c r="Z2721" s="29"/>
      <c r="AA2721" s="31">
        <f t="shared" si="1"/>
        <v>44888</v>
      </c>
      <c r="AB2721" s="32" t="str">
        <f t="shared" si="5"/>
        <v>noviembre</v>
      </c>
    </row>
    <row r="2722" spans="1:28" ht="12.75">
      <c r="A2722" s="9" t="s">
        <v>83</v>
      </c>
      <c r="B2722" s="11">
        <v>44893</v>
      </c>
      <c r="C2722" s="11">
        <v>44893</v>
      </c>
      <c r="D2722" s="49">
        <v>48</v>
      </c>
      <c r="E2722" s="13" t="s">
        <v>3140</v>
      </c>
      <c r="F2722" s="13">
        <v>3025457</v>
      </c>
      <c r="G2722" s="14">
        <v>24721</v>
      </c>
      <c r="H2722" s="15">
        <v>8500</v>
      </c>
      <c r="I2722" s="16">
        <f t="shared" si="397"/>
        <v>210128500</v>
      </c>
      <c r="J2722" s="17">
        <v>56</v>
      </c>
      <c r="K2722" s="34">
        <v>4502457606</v>
      </c>
      <c r="L2722" s="126">
        <v>5084739459</v>
      </c>
      <c r="M2722" s="20">
        <v>5113762378</v>
      </c>
      <c r="N2722" s="128"/>
      <c r="O2722" s="9" t="s">
        <v>3141</v>
      </c>
      <c r="P2722" s="23"/>
      <c r="Q2722" s="24" t="s">
        <v>31</v>
      </c>
      <c r="R2722" s="25">
        <v>44889</v>
      </c>
      <c r="S2722" s="28">
        <v>4902394205</v>
      </c>
      <c r="T2722" s="27">
        <v>7081400</v>
      </c>
      <c r="U2722" s="28" t="s">
        <v>3142</v>
      </c>
      <c r="V2722" s="29">
        <v>5113768134</v>
      </c>
      <c r="W2722" s="28" t="s">
        <v>3143</v>
      </c>
      <c r="X2722" s="29">
        <v>5113768244</v>
      </c>
      <c r="Y2722" s="36"/>
      <c r="Z2722" s="29"/>
      <c r="AA2722" s="31">
        <f t="shared" si="1"/>
        <v>44889</v>
      </c>
      <c r="AB2722" s="32" t="str">
        <f t="shared" si="5"/>
        <v>noviembre</v>
      </c>
    </row>
    <row r="2723" spans="1:28" ht="12.75">
      <c r="A2723" s="9" t="s">
        <v>2311</v>
      </c>
      <c r="B2723" s="10">
        <v>44889</v>
      </c>
      <c r="C2723" s="11"/>
      <c r="D2723" s="49">
        <v>48</v>
      </c>
      <c r="E2723" s="13" t="s">
        <v>3144</v>
      </c>
      <c r="F2723" s="13">
        <v>3025457</v>
      </c>
      <c r="G2723" s="14">
        <v>6164.5</v>
      </c>
      <c r="H2723" s="33">
        <v>8750</v>
      </c>
      <c r="I2723" s="16">
        <f t="shared" si="397"/>
        <v>53939375</v>
      </c>
      <c r="J2723" s="17">
        <v>15</v>
      </c>
      <c r="K2723" s="34">
        <v>4502456859</v>
      </c>
      <c r="L2723" s="126">
        <v>5084758363</v>
      </c>
      <c r="M2723" s="20">
        <v>5113776762</v>
      </c>
      <c r="N2723" s="128"/>
      <c r="O2723" s="88" t="s">
        <v>37</v>
      </c>
      <c r="P2723" s="23"/>
      <c r="Q2723" s="24" t="s">
        <v>31</v>
      </c>
      <c r="R2723" s="25">
        <v>44889</v>
      </c>
      <c r="S2723" s="28"/>
      <c r="T2723" s="35"/>
      <c r="U2723" s="35"/>
      <c r="V2723" s="29"/>
      <c r="W2723" s="35"/>
      <c r="X2723" s="29"/>
      <c r="Y2723" s="36"/>
      <c r="Z2723" s="29"/>
      <c r="AA2723" s="31">
        <f t="shared" si="1"/>
        <v>44889</v>
      </c>
      <c r="AB2723" s="32" t="str">
        <f t="shared" si="5"/>
        <v>noviembre</v>
      </c>
    </row>
    <row r="2724" spans="1:28" ht="12.75">
      <c r="A2724" s="9" t="s">
        <v>2311</v>
      </c>
      <c r="B2724" s="10">
        <v>44893</v>
      </c>
      <c r="C2724" s="11"/>
      <c r="D2724" s="49">
        <v>48</v>
      </c>
      <c r="E2724" s="13" t="s">
        <v>183</v>
      </c>
      <c r="F2724" s="13">
        <v>3025457</v>
      </c>
      <c r="G2724" s="14">
        <v>6164.5</v>
      </c>
      <c r="H2724" s="33">
        <f>8750-8724.39</f>
        <v>25.610000000000582</v>
      </c>
      <c r="I2724" s="16">
        <f>-H2724*G2724</f>
        <v>-157872.84500000358</v>
      </c>
      <c r="J2724" s="17">
        <v>0</v>
      </c>
      <c r="K2724" s="34">
        <v>4502456859</v>
      </c>
      <c r="L2724" s="126">
        <v>5084758363</v>
      </c>
      <c r="M2724" s="20">
        <v>5113776763</v>
      </c>
      <c r="N2724" s="88"/>
      <c r="O2724" s="9"/>
      <c r="P2724" s="23"/>
      <c r="Q2724" s="24" t="s">
        <v>31</v>
      </c>
      <c r="R2724" s="25">
        <v>44889</v>
      </c>
      <c r="S2724" s="28"/>
      <c r="T2724" s="35"/>
      <c r="U2724" s="35"/>
      <c r="V2724" s="29"/>
      <c r="W2724" s="35"/>
      <c r="X2724" s="29"/>
      <c r="Y2724" s="36"/>
      <c r="Z2724" s="29"/>
      <c r="AA2724" s="31">
        <f t="shared" si="1"/>
        <v>44889</v>
      </c>
      <c r="AB2724" s="32" t="str">
        <f t="shared" si="5"/>
        <v>noviembre</v>
      </c>
    </row>
    <row r="2725" spans="1:28" ht="12.75">
      <c r="A2725" s="22" t="s">
        <v>719</v>
      </c>
      <c r="B2725" s="10">
        <v>44889</v>
      </c>
      <c r="C2725" s="11">
        <v>44895</v>
      </c>
      <c r="D2725" s="49">
        <v>48</v>
      </c>
      <c r="E2725" s="13" t="s">
        <v>3145</v>
      </c>
      <c r="F2725" s="13">
        <v>3025457</v>
      </c>
      <c r="G2725" s="14">
        <v>6273</v>
      </c>
      <c r="H2725" s="33">
        <v>8750</v>
      </c>
      <c r="I2725" s="16">
        <f>H2725*G2725</f>
        <v>54888750</v>
      </c>
      <c r="J2725" s="17">
        <v>15</v>
      </c>
      <c r="K2725" s="34">
        <v>4502456860</v>
      </c>
      <c r="L2725" s="126">
        <v>5084758364</v>
      </c>
      <c r="M2725" s="20">
        <v>5113776366</v>
      </c>
      <c r="N2725" s="128"/>
      <c r="O2725" s="9" t="s">
        <v>37</v>
      </c>
      <c r="P2725" s="23"/>
      <c r="Q2725" s="24" t="s">
        <v>31</v>
      </c>
      <c r="R2725" s="25">
        <v>44889</v>
      </c>
      <c r="S2725" s="28"/>
      <c r="T2725" s="35"/>
      <c r="U2725" s="35"/>
      <c r="V2725" s="29"/>
      <c r="W2725" s="35"/>
      <c r="X2725" s="29"/>
      <c r="Y2725" s="36"/>
      <c r="Z2725" s="29"/>
      <c r="AA2725" s="31">
        <f t="shared" si="1"/>
        <v>44889</v>
      </c>
      <c r="AB2725" s="32" t="str">
        <f t="shared" si="5"/>
        <v>noviembre</v>
      </c>
    </row>
    <row r="2726" spans="1:28" ht="12.75">
      <c r="A2726" s="22" t="s">
        <v>719</v>
      </c>
      <c r="B2726" s="10">
        <v>44889</v>
      </c>
      <c r="C2726" s="11">
        <v>44895</v>
      </c>
      <c r="D2726" s="49">
        <v>48</v>
      </c>
      <c r="E2726" s="13" t="s">
        <v>918</v>
      </c>
      <c r="F2726" s="13">
        <v>3025457</v>
      </c>
      <c r="G2726" s="14">
        <v>6273</v>
      </c>
      <c r="H2726" s="33">
        <f>8750-8681.68</f>
        <v>68.319999999999709</v>
      </c>
      <c r="I2726" s="16">
        <f>-H2726*G2726</f>
        <v>-428571.35999999818</v>
      </c>
      <c r="J2726" s="17">
        <v>0</v>
      </c>
      <c r="K2726" s="34">
        <v>4502456860</v>
      </c>
      <c r="L2726" s="126">
        <v>5084758364</v>
      </c>
      <c r="M2726" s="20">
        <v>5113776387</v>
      </c>
      <c r="N2726" s="128"/>
      <c r="O2726" s="9"/>
      <c r="P2726" s="23"/>
      <c r="Q2726" s="24" t="s">
        <v>31</v>
      </c>
      <c r="R2726" s="25">
        <v>44889</v>
      </c>
      <c r="S2726" s="28"/>
      <c r="T2726" s="35"/>
      <c r="U2726" s="35"/>
      <c r="V2726" s="29"/>
      <c r="W2726" s="35"/>
      <c r="X2726" s="29"/>
      <c r="Y2726" s="36"/>
      <c r="Z2726" s="29"/>
      <c r="AA2726" s="31">
        <f t="shared" si="1"/>
        <v>44889</v>
      </c>
      <c r="AB2726" s="32" t="str">
        <f t="shared" si="5"/>
        <v>noviembre</v>
      </c>
    </row>
    <row r="2727" spans="1:28" ht="12.75">
      <c r="A2727" s="9" t="s">
        <v>39</v>
      </c>
      <c r="B2727" s="10">
        <v>44890</v>
      </c>
      <c r="C2727" s="11">
        <v>44893</v>
      </c>
      <c r="D2727" s="49">
        <v>48</v>
      </c>
      <c r="E2727" s="13" t="s">
        <v>3146</v>
      </c>
      <c r="F2727" s="13">
        <v>3025457</v>
      </c>
      <c r="G2727" s="14">
        <v>12810.5</v>
      </c>
      <c r="H2727" s="33">
        <v>9100</v>
      </c>
      <c r="I2727" s="16">
        <f>H2727*G2727</f>
        <v>116575550</v>
      </c>
      <c r="J2727" s="17">
        <v>28</v>
      </c>
      <c r="K2727" s="34">
        <v>4502456861</v>
      </c>
      <c r="L2727" s="126">
        <v>5084757087</v>
      </c>
      <c r="M2727" s="20">
        <v>5113758660</v>
      </c>
      <c r="N2727" s="88"/>
      <c r="O2727" s="88" t="s">
        <v>37</v>
      </c>
      <c r="P2727" s="23"/>
      <c r="Q2727" s="24" t="s">
        <v>31</v>
      </c>
      <c r="R2727" s="25">
        <v>44889</v>
      </c>
      <c r="S2727" s="28"/>
      <c r="T2727" s="35"/>
      <c r="U2727" s="35"/>
      <c r="V2727" s="29"/>
      <c r="W2727" s="35"/>
      <c r="X2727" s="29"/>
      <c r="Y2727" s="36"/>
      <c r="Z2727" s="29"/>
      <c r="AA2727" s="31">
        <f t="shared" si="1"/>
        <v>44889</v>
      </c>
      <c r="AB2727" s="32" t="str">
        <f t="shared" si="5"/>
        <v>noviembre</v>
      </c>
    </row>
    <row r="2728" spans="1:28" ht="12.75">
      <c r="A2728" s="9" t="s">
        <v>39</v>
      </c>
      <c r="B2728" s="10">
        <v>44890</v>
      </c>
      <c r="C2728" s="11">
        <v>44893</v>
      </c>
      <c r="D2728" s="49">
        <v>48</v>
      </c>
      <c r="E2728" s="13" t="s">
        <v>825</v>
      </c>
      <c r="F2728" s="13">
        <v>3025457</v>
      </c>
      <c r="G2728" s="14">
        <v>12810.5</v>
      </c>
      <c r="H2728" s="33">
        <f>9100-9050</f>
        <v>50</v>
      </c>
      <c r="I2728" s="16">
        <f>-H2728*G2728</f>
        <v>-640525</v>
      </c>
      <c r="J2728" s="17">
        <v>0</v>
      </c>
      <c r="K2728" s="34">
        <v>4502456861</v>
      </c>
      <c r="L2728" s="126">
        <v>5084757087</v>
      </c>
      <c r="M2728" s="20">
        <v>5113758661</v>
      </c>
      <c r="N2728" s="128"/>
      <c r="O2728" s="119" t="s">
        <v>3147</v>
      </c>
      <c r="P2728" s="23"/>
      <c r="Q2728" s="24" t="s">
        <v>31</v>
      </c>
      <c r="R2728" s="25">
        <v>44889</v>
      </c>
      <c r="S2728" s="28"/>
      <c r="T2728" s="35"/>
      <c r="U2728" s="35"/>
      <c r="V2728" s="29"/>
      <c r="W2728" s="35"/>
      <c r="X2728" s="29"/>
      <c r="Y2728" s="36"/>
      <c r="Z2728" s="29"/>
      <c r="AA2728" s="31">
        <f t="shared" si="1"/>
        <v>44889</v>
      </c>
      <c r="AB2728" s="32" t="str">
        <f t="shared" si="5"/>
        <v>noviembre</v>
      </c>
    </row>
    <row r="2729" spans="1:28" ht="12.75">
      <c r="A2729" s="22" t="s">
        <v>404</v>
      </c>
      <c r="B2729" s="10">
        <v>44890</v>
      </c>
      <c r="C2729" s="11">
        <v>44893</v>
      </c>
      <c r="D2729" s="49">
        <v>48</v>
      </c>
      <c r="E2729" s="13" t="s">
        <v>3148</v>
      </c>
      <c r="F2729" s="13">
        <v>3025457</v>
      </c>
      <c r="G2729" s="14">
        <v>13146</v>
      </c>
      <c r="H2729" s="33">
        <v>9100</v>
      </c>
      <c r="I2729" s="16">
        <f>H2729*G2729</f>
        <v>119628600</v>
      </c>
      <c r="J2729" s="17">
        <v>28</v>
      </c>
      <c r="K2729" s="34">
        <v>4502456863</v>
      </c>
      <c r="L2729" s="126">
        <v>5084757168</v>
      </c>
      <c r="M2729" s="20">
        <v>5113758496</v>
      </c>
      <c r="N2729" s="128"/>
      <c r="O2729" s="9" t="s">
        <v>37</v>
      </c>
      <c r="P2729" s="23"/>
      <c r="Q2729" s="24" t="s">
        <v>31</v>
      </c>
      <c r="R2729" s="25">
        <v>44889</v>
      </c>
      <c r="S2729" s="28"/>
      <c r="T2729" s="35"/>
      <c r="U2729" s="35"/>
      <c r="V2729" s="29"/>
      <c r="W2729" s="35"/>
      <c r="X2729" s="29"/>
      <c r="Y2729" s="36"/>
      <c r="Z2729" s="29"/>
      <c r="AA2729" s="31">
        <f t="shared" si="1"/>
        <v>44889</v>
      </c>
      <c r="AB2729" s="32" t="str">
        <f t="shared" si="5"/>
        <v>noviembre</v>
      </c>
    </row>
    <row r="2730" spans="1:28" ht="12.75">
      <c r="A2730" s="22" t="s">
        <v>404</v>
      </c>
      <c r="B2730" s="10">
        <v>44890</v>
      </c>
      <c r="C2730" s="11">
        <v>44893</v>
      </c>
      <c r="D2730" s="49">
        <v>48</v>
      </c>
      <c r="E2730" s="13" t="s">
        <v>868</v>
      </c>
      <c r="F2730" s="13">
        <v>3025457</v>
      </c>
      <c r="G2730" s="14">
        <v>13146</v>
      </c>
      <c r="H2730" s="33">
        <f>9100-9050</f>
        <v>50</v>
      </c>
      <c r="I2730" s="16">
        <f>-H2730*G2730</f>
        <v>-657300</v>
      </c>
      <c r="J2730" s="17">
        <v>0</v>
      </c>
      <c r="K2730" s="34">
        <v>4502456863</v>
      </c>
      <c r="L2730" s="126">
        <v>5084757168</v>
      </c>
      <c r="M2730" s="20">
        <v>5113758544</v>
      </c>
      <c r="N2730" s="128"/>
      <c r="O2730" s="9"/>
      <c r="P2730" s="23"/>
      <c r="Q2730" s="24" t="s">
        <v>31</v>
      </c>
      <c r="R2730" s="25">
        <v>44889</v>
      </c>
      <c r="S2730" s="28"/>
      <c r="T2730" s="35"/>
      <c r="U2730" s="35"/>
      <c r="V2730" s="29"/>
      <c r="W2730" s="35"/>
      <c r="X2730" s="29"/>
      <c r="Y2730" s="36"/>
      <c r="Z2730" s="29"/>
      <c r="AA2730" s="31">
        <f t="shared" si="1"/>
        <v>44889</v>
      </c>
      <c r="AB2730" s="32" t="str">
        <f t="shared" si="5"/>
        <v>noviembre</v>
      </c>
    </row>
    <row r="2731" spans="1:28" ht="12.75">
      <c r="A2731" s="9" t="s">
        <v>949</v>
      </c>
      <c r="B2731" s="10">
        <v>44893</v>
      </c>
      <c r="C2731" s="11"/>
      <c r="D2731" s="49">
        <v>48</v>
      </c>
      <c r="E2731" s="13" t="s">
        <v>3149</v>
      </c>
      <c r="F2731" s="13">
        <v>3025457</v>
      </c>
      <c r="G2731" s="14">
        <v>7538.5</v>
      </c>
      <c r="H2731" s="33">
        <v>8750</v>
      </c>
      <c r="I2731" s="16">
        <f t="shared" ref="I2731:I2732" si="398">H2731*G2731</f>
        <v>65961875</v>
      </c>
      <c r="J2731" s="17">
        <v>15</v>
      </c>
      <c r="K2731" s="34">
        <v>4502456864</v>
      </c>
      <c r="L2731" s="126">
        <v>5084757169</v>
      </c>
      <c r="M2731" s="20">
        <v>5113776413</v>
      </c>
      <c r="N2731" s="128"/>
      <c r="O2731" s="9" t="s">
        <v>37</v>
      </c>
      <c r="P2731" s="23"/>
      <c r="Q2731" s="24" t="s">
        <v>31</v>
      </c>
      <c r="R2731" s="25">
        <v>44889</v>
      </c>
      <c r="S2731" s="28"/>
      <c r="T2731" s="35"/>
      <c r="U2731" s="35"/>
      <c r="V2731" s="29"/>
      <c r="W2731" s="35"/>
      <c r="X2731" s="29"/>
      <c r="Y2731" s="36"/>
      <c r="Z2731" s="29"/>
      <c r="AA2731" s="31">
        <f t="shared" si="1"/>
        <v>44889</v>
      </c>
      <c r="AB2731" s="32" t="str">
        <f t="shared" si="5"/>
        <v>noviembre</v>
      </c>
    </row>
    <row r="2732" spans="1:28" ht="12.75">
      <c r="A2732" s="9" t="s">
        <v>2276</v>
      </c>
      <c r="B2732" s="10">
        <v>44894</v>
      </c>
      <c r="C2732" s="11">
        <v>44894</v>
      </c>
      <c r="D2732" s="49">
        <v>48</v>
      </c>
      <c r="E2732" s="13" t="s">
        <v>3150</v>
      </c>
      <c r="F2732" s="13">
        <v>3025457</v>
      </c>
      <c r="G2732" s="14">
        <v>12037.5</v>
      </c>
      <c r="H2732" s="33">
        <v>8800</v>
      </c>
      <c r="I2732" s="16">
        <f t="shared" si="398"/>
        <v>105930000</v>
      </c>
      <c r="J2732" s="17">
        <v>28</v>
      </c>
      <c r="K2732" s="34">
        <v>4502456865</v>
      </c>
      <c r="L2732" s="126">
        <v>5084757170</v>
      </c>
      <c r="M2732" s="20">
        <v>5113792121</v>
      </c>
      <c r="N2732" s="128"/>
      <c r="O2732" s="9" t="s">
        <v>37</v>
      </c>
      <c r="P2732" s="124"/>
      <c r="Q2732" s="24" t="s">
        <v>31</v>
      </c>
      <c r="R2732" s="25">
        <v>44889</v>
      </c>
      <c r="S2732" s="28"/>
      <c r="T2732" s="35"/>
      <c r="U2732" s="35"/>
      <c r="V2732" s="29"/>
      <c r="W2732" s="35"/>
      <c r="X2732" s="29"/>
      <c r="Y2732" s="36"/>
      <c r="Z2732" s="29"/>
      <c r="AA2732" s="31">
        <f t="shared" si="1"/>
        <v>44889</v>
      </c>
      <c r="AB2732" s="32" t="str">
        <f t="shared" si="5"/>
        <v>noviembre</v>
      </c>
    </row>
    <row r="2733" spans="1:28" ht="12.75">
      <c r="A2733" s="9" t="s">
        <v>2276</v>
      </c>
      <c r="B2733" s="10">
        <v>44894</v>
      </c>
      <c r="C2733" s="11">
        <v>44894</v>
      </c>
      <c r="D2733" s="49">
        <v>48</v>
      </c>
      <c r="E2733" s="13" t="s">
        <v>3076</v>
      </c>
      <c r="F2733" s="13">
        <v>3025457</v>
      </c>
      <c r="G2733" s="14">
        <v>12037.5</v>
      </c>
      <c r="H2733" s="33">
        <f>8800-8793.73</f>
        <v>6.2700000000004366</v>
      </c>
      <c r="I2733" s="16">
        <f>-H2733*G2733</f>
        <v>-75475.125000005253</v>
      </c>
      <c r="J2733" s="17">
        <v>0</v>
      </c>
      <c r="K2733" s="34">
        <v>4502456865</v>
      </c>
      <c r="L2733" s="126">
        <v>5084757170</v>
      </c>
      <c r="M2733" s="20">
        <v>5113792124</v>
      </c>
      <c r="N2733" s="124"/>
      <c r="O2733" s="88"/>
      <c r="P2733" s="23"/>
      <c r="Q2733" s="24" t="s">
        <v>31</v>
      </c>
      <c r="R2733" s="25">
        <v>44889</v>
      </c>
      <c r="S2733" s="28"/>
      <c r="T2733" s="35"/>
      <c r="U2733" s="35"/>
      <c r="V2733" s="29"/>
      <c r="W2733" s="35"/>
      <c r="X2733" s="29"/>
      <c r="Y2733" s="36"/>
      <c r="Z2733" s="29"/>
      <c r="AA2733" s="31">
        <f t="shared" si="1"/>
        <v>44889</v>
      </c>
      <c r="AB2733" s="32" t="str">
        <f t="shared" si="5"/>
        <v>noviembre</v>
      </c>
    </row>
    <row r="2734" spans="1:28" ht="12.75">
      <c r="A2734" s="9" t="s">
        <v>264</v>
      </c>
      <c r="B2734" s="10">
        <v>44887</v>
      </c>
      <c r="C2734" s="11">
        <v>44887</v>
      </c>
      <c r="D2734" s="49">
        <v>48</v>
      </c>
      <c r="E2734" s="13" t="s">
        <v>3151</v>
      </c>
      <c r="F2734" s="13">
        <v>3025461</v>
      </c>
      <c r="G2734" s="37">
        <v>34422</v>
      </c>
      <c r="H2734" s="15">
        <v>8650</v>
      </c>
      <c r="I2734" s="16">
        <f t="shared" ref="I2734:I2738" si="399">H2734*G2734</f>
        <v>297750300</v>
      </c>
      <c r="J2734" s="17">
        <v>70</v>
      </c>
      <c r="K2734" s="163">
        <v>4502456397</v>
      </c>
      <c r="L2734" s="20">
        <v>5084713798</v>
      </c>
      <c r="M2734" s="20">
        <v>5113743291</v>
      </c>
      <c r="N2734" s="9" t="s">
        <v>63</v>
      </c>
      <c r="O2734" s="88" t="s">
        <v>3152</v>
      </c>
      <c r="P2734" s="23"/>
      <c r="Q2734" s="24" t="s">
        <v>1605</v>
      </c>
      <c r="R2734" s="25">
        <v>44889</v>
      </c>
      <c r="S2734" s="163">
        <v>4502456397</v>
      </c>
      <c r="T2734" s="35">
        <f>750000*5</f>
        <v>3750000</v>
      </c>
      <c r="U2734" s="28" t="s">
        <v>3153</v>
      </c>
      <c r="V2734" s="29">
        <v>5113751587</v>
      </c>
      <c r="W2734" s="35"/>
      <c r="X2734" s="29"/>
      <c r="Y2734" s="36"/>
      <c r="Z2734" s="29"/>
      <c r="AA2734" s="31">
        <f t="shared" si="1"/>
        <v>44889</v>
      </c>
      <c r="AB2734" s="32" t="str">
        <f t="shared" si="5"/>
        <v>noviembre</v>
      </c>
    </row>
    <row r="2735" spans="1:28" ht="12.75">
      <c r="A2735" s="9" t="s">
        <v>264</v>
      </c>
      <c r="B2735" s="10"/>
      <c r="C2735" s="11"/>
      <c r="D2735" s="49">
        <v>48</v>
      </c>
      <c r="E2735" s="13" t="s">
        <v>3154</v>
      </c>
      <c r="F2735" s="13">
        <v>3025461</v>
      </c>
      <c r="G2735" s="37">
        <v>34422</v>
      </c>
      <c r="H2735" s="15">
        <v>24</v>
      </c>
      <c r="I2735" s="16">
        <f t="shared" si="399"/>
        <v>826128</v>
      </c>
      <c r="J2735" s="17">
        <v>0</v>
      </c>
      <c r="K2735" s="163">
        <v>4502456397</v>
      </c>
      <c r="L2735" s="20">
        <v>5084713798</v>
      </c>
      <c r="M2735" s="20">
        <v>5113743571</v>
      </c>
      <c r="N2735" s="47"/>
      <c r="O2735" s="9"/>
      <c r="P2735" s="23"/>
      <c r="Q2735" s="24" t="s">
        <v>1605</v>
      </c>
      <c r="R2735" s="25">
        <v>44889</v>
      </c>
      <c r="S2735" s="28"/>
      <c r="T2735" s="35"/>
      <c r="U2735" s="35"/>
      <c r="V2735" s="29"/>
      <c r="W2735" s="35"/>
      <c r="X2735" s="29"/>
      <c r="Y2735" s="36"/>
      <c r="Z2735" s="29"/>
      <c r="AA2735" s="31">
        <f t="shared" si="1"/>
        <v>44889</v>
      </c>
      <c r="AB2735" s="32" t="str">
        <f t="shared" si="5"/>
        <v>noviembre</v>
      </c>
    </row>
    <row r="2736" spans="1:28" ht="12.75">
      <c r="A2736" s="9" t="s">
        <v>58</v>
      </c>
      <c r="B2736" s="10">
        <v>44896</v>
      </c>
      <c r="C2736" s="11">
        <v>44896</v>
      </c>
      <c r="D2736" s="49">
        <v>48</v>
      </c>
      <c r="E2736" s="13" t="s">
        <v>3155</v>
      </c>
      <c r="F2736" s="13">
        <v>3025461</v>
      </c>
      <c r="G2736" s="14">
        <v>41367</v>
      </c>
      <c r="H2736" s="57">
        <v>9188.92</v>
      </c>
      <c r="I2736" s="16">
        <f t="shared" si="399"/>
        <v>380118053.63999999</v>
      </c>
      <c r="J2736" s="17">
        <v>90</v>
      </c>
      <c r="K2736" s="34">
        <v>4502459727</v>
      </c>
      <c r="L2736" s="126">
        <v>5084793946</v>
      </c>
      <c r="M2736" s="20">
        <v>5113776389</v>
      </c>
      <c r="N2736" s="128"/>
      <c r="O2736" s="9" t="s">
        <v>37</v>
      </c>
      <c r="P2736" s="23"/>
      <c r="Q2736" s="24" t="s">
        <v>1605</v>
      </c>
      <c r="R2736" s="25">
        <v>44889</v>
      </c>
      <c r="S2736" s="28"/>
      <c r="T2736" s="35"/>
      <c r="U2736" s="35"/>
      <c r="V2736" s="29"/>
      <c r="W2736" s="35"/>
      <c r="X2736" s="29"/>
      <c r="Y2736" s="36"/>
      <c r="Z2736" s="29"/>
      <c r="AA2736" s="31">
        <f t="shared" si="1"/>
        <v>44889</v>
      </c>
      <c r="AB2736" s="32" t="str">
        <f t="shared" si="5"/>
        <v>noviembre</v>
      </c>
    </row>
    <row r="2737" spans="1:28" ht="12.75">
      <c r="A2737" s="9" t="s">
        <v>58</v>
      </c>
      <c r="B2737" s="10">
        <v>44896</v>
      </c>
      <c r="C2737" s="11">
        <v>44896</v>
      </c>
      <c r="D2737" s="49">
        <v>48</v>
      </c>
      <c r="E2737" s="13" t="s">
        <v>3156</v>
      </c>
      <c r="F2737" s="13">
        <v>3025461</v>
      </c>
      <c r="G2737" s="14">
        <v>41367</v>
      </c>
      <c r="H2737" s="57">
        <f>9200-9188.92</f>
        <v>11.079999999999927</v>
      </c>
      <c r="I2737" s="16">
        <f t="shared" si="399"/>
        <v>458346.35999999702</v>
      </c>
      <c r="J2737" s="17">
        <v>0</v>
      </c>
      <c r="K2737" s="34">
        <v>4502459727</v>
      </c>
      <c r="L2737" s="126">
        <v>5084793946</v>
      </c>
      <c r="M2737" s="20">
        <v>5113776392</v>
      </c>
      <c r="N2737" s="128"/>
      <c r="O2737" s="9"/>
      <c r="P2737" s="23"/>
      <c r="Q2737" s="24" t="s">
        <v>1605</v>
      </c>
      <c r="R2737" s="25">
        <v>44889</v>
      </c>
      <c r="S2737" s="28"/>
      <c r="T2737" s="35"/>
      <c r="U2737" s="35"/>
      <c r="V2737" s="29"/>
      <c r="W2737" s="35"/>
      <c r="X2737" s="29"/>
      <c r="Y2737" s="36"/>
      <c r="Z2737" s="29"/>
      <c r="AA2737" s="31">
        <f t="shared" si="1"/>
        <v>44889</v>
      </c>
      <c r="AB2737" s="32" t="str">
        <f t="shared" si="5"/>
        <v>noviembre</v>
      </c>
    </row>
    <row r="2738" spans="1:28" ht="12.75">
      <c r="A2738" s="9" t="s">
        <v>1270</v>
      </c>
      <c r="B2738" s="10">
        <v>44893</v>
      </c>
      <c r="C2738" s="11"/>
      <c r="D2738" s="49">
        <v>48</v>
      </c>
      <c r="E2738" s="13" t="s">
        <v>598</v>
      </c>
      <c r="F2738" s="13">
        <v>3025457</v>
      </c>
      <c r="G2738" s="14">
        <v>34894</v>
      </c>
      <c r="H2738" s="33">
        <v>8750</v>
      </c>
      <c r="I2738" s="16">
        <f t="shared" si="399"/>
        <v>305322500</v>
      </c>
      <c r="J2738" s="17">
        <v>70</v>
      </c>
      <c r="K2738" s="34">
        <v>4502456866</v>
      </c>
      <c r="L2738" s="126">
        <v>5084790810</v>
      </c>
      <c r="M2738" s="20">
        <v>5113769081</v>
      </c>
      <c r="N2738" s="128"/>
      <c r="O2738" s="23" t="s">
        <v>63</v>
      </c>
      <c r="P2738" s="124"/>
      <c r="Q2738" s="24" t="s">
        <v>31</v>
      </c>
      <c r="R2738" s="25">
        <v>44890</v>
      </c>
      <c r="S2738" s="28"/>
      <c r="T2738" s="35"/>
      <c r="U2738" s="35"/>
      <c r="V2738" s="29"/>
      <c r="W2738" s="35"/>
      <c r="X2738" s="29"/>
      <c r="Y2738" s="36"/>
      <c r="Z2738" s="29"/>
      <c r="AA2738" s="31">
        <f t="shared" si="1"/>
        <v>44890</v>
      </c>
      <c r="AB2738" s="32" t="str">
        <f t="shared" si="5"/>
        <v>noviembre</v>
      </c>
    </row>
    <row r="2739" spans="1:28" ht="12.75">
      <c r="A2739" s="9" t="s">
        <v>1270</v>
      </c>
      <c r="B2739" s="10">
        <v>44893</v>
      </c>
      <c r="C2739" s="11"/>
      <c r="D2739" s="49">
        <v>48</v>
      </c>
      <c r="E2739" s="13" t="s">
        <v>667</v>
      </c>
      <c r="F2739" s="13">
        <v>3025457</v>
      </c>
      <c r="G2739" s="14">
        <v>34894</v>
      </c>
      <c r="H2739" s="33">
        <f>8750-8744.77</f>
        <v>5.2299999999995634</v>
      </c>
      <c r="I2739" s="16">
        <f>-H2739*G2739</f>
        <v>-182495.61999998477</v>
      </c>
      <c r="J2739" s="17">
        <v>0</v>
      </c>
      <c r="K2739" s="34">
        <v>4502456866</v>
      </c>
      <c r="L2739" s="126">
        <v>5084790810</v>
      </c>
      <c r="M2739" s="20">
        <v>5113769086</v>
      </c>
      <c r="N2739" s="128"/>
      <c r="O2739" s="9"/>
      <c r="P2739" s="124"/>
      <c r="Q2739" s="24" t="s">
        <v>31</v>
      </c>
      <c r="R2739" s="25">
        <v>44890</v>
      </c>
      <c r="S2739" s="28"/>
      <c r="T2739" s="35"/>
      <c r="U2739" s="35"/>
      <c r="V2739" s="29"/>
      <c r="W2739" s="35"/>
      <c r="X2739" s="29"/>
      <c r="Y2739" s="36"/>
      <c r="Z2739" s="29"/>
      <c r="AA2739" s="31">
        <f t="shared" si="1"/>
        <v>44890</v>
      </c>
      <c r="AB2739" s="32" t="str">
        <f t="shared" si="5"/>
        <v>noviembre</v>
      </c>
    </row>
    <row r="2740" spans="1:28" ht="12.75">
      <c r="A2740" s="22" t="s">
        <v>404</v>
      </c>
      <c r="B2740" s="10">
        <v>44890</v>
      </c>
      <c r="C2740" s="11"/>
      <c r="D2740" s="49">
        <v>48</v>
      </c>
      <c r="E2740" s="13" t="s">
        <v>3157</v>
      </c>
      <c r="F2740" s="13">
        <v>3025457</v>
      </c>
      <c r="G2740" s="14">
        <v>14380</v>
      </c>
      <c r="H2740" s="33">
        <v>9100</v>
      </c>
      <c r="I2740" s="16">
        <f>H2740*G2740</f>
        <v>130858000</v>
      </c>
      <c r="J2740" s="17">
        <v>29</v>
      </c>
      <c r="K2740" s="34">
        <v>4502456867</v>
      </c>
      <c r="L2740" s="126">
        <v>5084790811</v>
      </c>
      <c r="M2740" s="20">
        <v>5113758936</v>
      </c>
      <c r="N2740" s="128"/>
      <c r="O2740" s="9" t="s">
        <v>37</v>
      </c>
      <c r="P2740" s="23"/>
      <c r="Q2740" s="24" t="s">
        <v>31</v>
      </c>
      <c r="R2740" s="25">
        <v>44890</v>
      </c>
      <c r="S2740" s="28"/>
      <c r="T2740" s="35"/>
      <c r="U2740" s="35"/>
      <c r="V2740" s="29"/>
      <c r="W2740" s="35"/>
      <c r="X2740" s="29"/>
      <c r="Y2740" s="36"/>
      <c r="Z2740" s="29"/>
      <c r="AA2740" s="31">
        <f t="shared" si="1"/>
        <v>44890</v>
      </c>
      <c r="AB2740" s="32" t="str">
        <f t="shared" si="5"/>
        <v>noviembre</v>
      </c>
    </row>
    <row r="2741" spans="1:28" ht="12.75">
      <c r="A2741" s="22" t="s">
        <v>404</v>
      </c>
      <c r="B2741" s="10">
        <v>44893</v>
      </c>
      <c r="C2741" s="11"/>
      <c r="D2741" s="49">
        <v>48</v>
      </c>
      <c r="E2741" s="13" t="s">
        <v>900</v>
      </c>
      <c r="F2741" s="13">
        <v>3025457</v>
      </c>
      <c r="G2741" s="14">
        <v>14380</v>
      </c>
      <c r="H2741" s="33">
        <f>9100-8924.99</f>
        <v>175.01000000000022</v>
      </c>
      <c r="I2741" s="16">
        <f>-H2741*G2741</f>
        <v>-2516643.8000000031</v>
      </c>
      <c r="J2741" s="17">
        <v>0</v>
      </c>
      <c r="K2741" s="34">
        <v>4502456867</v>
      </c>
      <c r="L2741" s="126">
        <v>5084790811</v>
      </c>
      <c r="M2741" s="20">
        <v>5113758955</v>
      </c>
      <c r="N2741" s="128"/>
      <c r="O2741" s="9"/>
      <c r="P2741" s="23"/>
      <c r="Q2741" s="24" t="s">
        <v>31</v>
      </c>
      <c r="R2741" s="25">
        <v>44890</v>
      </c>
      <c r="S2741" s="28"/>
      <c r="T2741" s="35"/>
      <c r="U2741" s="35"/>
      <c r="V2741" s="29"/>
      <c r="W2741" s="35"/>
      <c r="X2741" s="29"/>
      <c r="Y2741" s="36"/>
      <c r="Z2741" s="29"/>
      <c r="AA2741" s="31">
        <f t="shared" si="1"/>
        <v>44890</v>
      </c>
      <c r="AB2741" s="32" t="str">
        <f t="shared" si="5"/>
        <v>noviembre</v>
      </c>
    </row>
    <row r="2742" spans="1:28" ht="12.75">
      <c r="A2742" s="9" t="s">
        <v>96</v>
      </c>
      <c r="B2742" s="10">
        <v>44893</v>
      </c>
      <c r="C2742" s="11"/>
      <c r="D2742" s="49">
        <v>48</v>
      </c>
      <c r="E2742" s="13" t="s">
        <v>3158</v>
      </c>
      <c r="F2742" s="13">
        <v>3025459</v>
      </c>
      <c r="G2742" s="14">
        <v>24822</v>
      </c>
      <c r="H2742" s="33">
        <v>8800</v>
      </c>
      <c r="I2742" s="16">
        <f t="shared" ref="I2742:I2746" si="400">H2742*G2742</f>
        <v>218433600</v>
      </c>
      <c r="J2742" s="17">
        <v>56</v>
      </c>
      <c r="K2742" s="34">
        <v>4502456868</v>
      </c>
      <c r="L2742" s="126">
        <v>5084790812</v>
      </c>
      <c r="M2742" s="20">
        <v>5113775840</v>
      </c>
      <c r="N2742" s="128"/>
      <c r="O2742" s="23" t="s">
        <v>63</v>
      </c>
      <c r="P2742" s="23"/>
      <c r="Q2742" s="24" t="s">
        <v>31</v>
      </c>
      <c r="R2742" s="25">
        <v>44890</v>
      </c>
      <c r="S2742" s="28"/>
      <c r="T2742" s="35"/>
      <c r="U2742" s="35"/>
      <c r="V2742" s="29"/>
      <c r="W2742" s="35"/>
      <c r="X2742" s="29"/>
      <c r="Y2742" s="36"/>
      <c r="Z2742" s="29"/>
      <c r="AA2742" s="31">
        <f t="shared" si="1"/>
        <v>44890</v>
      </c>
      <c r="AB2742" s="32" t="str">
        <f t="shared" si="5"/>
        <v>noviembre</v>
      </c>
    </row>
    <row r="2743" spans="1:28" ht="12.75">
      <c r="A2743" s="9" t="s">
        <v>96</v>
      </c>
      <c r="B2743" s="10">
        <v>44893</v>
      </c>
      <c r="C2743" s="11"/>
      <c r="D2743" s="49">
        <v>48</v>
      </c>
      <c r="E2743" s="13" t="s">
        <v>3159</v>
      </c>
      <c r="F2743" s="13">
        <v>3025459</v>
      </c>
      <c r="G2743" s="14">
        <v>24822</v>
      </c>
      <c r="H2743" s="33">
        <f>8813.05-8800</f>
        <v>13.049999999999272</v>
      </c>
      <c r="I2743" s="16">
        <f t="shared" si="400"/>
        <v>323927.09999998193</v>
      </c>
      <c r="J2743" s="17">
        <v>0</v>
      </c>
      <c r="K2743" s="34">
        <v>4502456868</v>
      </c>
      <c r="L2743" s="126">
        <v>5084790812</v>
      </c>
      <c r="M2743" s="20">
        <v>5113775843</v>
      </c>
      <c r="N2743" s="128"/>
      <c r="O2743" s="9"/>
      <c r="P2743" s="23"/>
      <c r="Q2743" s="24" t="s">
        <v>31</v>
      </c>
      <c r="R2743" s="25">
        <v>44890</v>
      </c>
      <c r="S2743" s="28"/>
      <c r="T2743" s="35"/>
      <c r="U2743" s="35"/>
      <c r="V2743" s="29"/>
      <c r="W2743" s="35"/>
      <c r="X2743" s="29"/>
      <c r="Y2743" s="36"/>
      <c r="Z2743" s="29"/>
      <c r="AA2743" s="31">
        <f t="shared" si="1"/>
        <v>44890</v>
      </c>
      <c r="AB2743" s="32" t="str">
        <f t="shared" si="5"/>
        <v>noviembre</v>
      </c>
    </row>
    <row r="2744" spans="1:28" ht="12.75">
      <c r="A2744" s="9" t="s">
        <v>73</v>
      </c>
      <c r="B2744" s="10">
        <v>44890</v>
      </c>
      <c r="C2744" s="11">
        <v>44893</v>
      </c>
      <c r="D2744" s="49">
        <v>48</v>
      </c>
      <c r="E2744" s="13" t="s">
        <v>3160</v>
      </c>
      <c r="F2744" s="13">
        <v>3025457</v>
      </c>
      <c r="G2744" s="14">
        <v>6429.5</v>
      </c>
      <c r="H2744" s="33">
        <v>9100</v>
      </c>
      <c r="I2744" s="16">
        <f t="shared" si="400"/>
        <v>58508450</v>
      </c>
      <c r="J2744" s="17">
        <v>14</v>
      </c>
      <c r="K2744" s="34">
        <v>4502456869</v>
      </c>
      <c r="L2744" s="126">
        <v>5084790813</v>
      </c>
      <c r="M2744" s="20">
        <v>5113761078</v>
      </c>
      <c r="N2744" s="128"/>
      <c r="O2744" s="128" t="s">
        <v>63</v>
      </c>
      <c r="P2744" s="23"/>
      <c r="Q2744" s="24" t="s">
        <v>31</v>
      </c>
      <c r="R2744" s="25">
        <v>44890</v>
      </c>
      <c r="S2744" s="28"/>
      <c r="T2744" s="35"/>
      <c r="U2744" s="35"/>
      <c r="V2744" s="29"/>
      <c r="W2744" s="35"/>
      <c r="X2744" s="29"/>
      <c r="Y2744" s="36"/>
      <c r="Z2744" s="29"/>
      <c r="AA2744" s="31">
        <f t="shared" si="1"/>
        <v>44890</v>
      </c>
      <c r="AB2744" s="32" t="str">
        <f t="shared" si="5"/>
        <v>noviembre</v>
      </c>
    </row>
    <row r="2745" spans="1:28" ht="12.75">
      <c r="A2745" s="9" t="s">
        <v>73</v>
      </c>
      <c r="B2745" s="10"/>
      <c r="C2745" s="11"/>
      <c r="D2745" s="49">
        <v>48</v>
      </c>
      <c r="E2745" s="13" t="s">
        <v>3161</v>
      </c>
      <c r="F2745" s="13">
        <v>3025457</v>
      </c>
      <c r="G2745" s="14">
        <v>6429.5</v>
      </c>
      <c r="H2745" s="33">
        <f>9124-9100</f>
        <v>24</v>
      </c>
      <c r="I2745" s="16">
        <f t="shared" si="400"/>
        <v>154308</v>
      </c>
      <c r="J2745" s="17">
        <v>0</v>
      </c>
      <c r="K2745" s="34">
        <v>4502456869</v>
      </c>
      <c r="L2745" s="126">
        <v>5084790813</v>
      </c>
      <c r="M2745" s="20">
        <v>5113761081</v>
      </c>
      <c r="N2745" s="128"/>
      <c r="O2745" s="9"/>
      <c r="P2745" s="23"/>
      <c r="Q2745" s="24" t="s">
        <v>31</v>
      </c>
      <c r="R2745" s="25">
        <v>44890</v>
      </c>
      <c r="S2745" s="28"/>
      <c r="T2745" s="35"/>
      <c r="U2745" s="35"/>
      <c r="V2745" s="29"/>
      <c r="W2745" s="35"/>
      <c r="X2745" s="29"/>
      <c r="Y2745" s="36"/>
      <c r="Z2745" s="29"/>
      <c r="AA2745" s="31">
        <f t="shared" si="1"/>
        <v>44890</v>
      </c>
      <c r="AB2745" s="32" t="str">
        <f t="shared" si="5"/>
        <v>noviembre</v>
      </c>
    </row>
    <row r="2746" spans="1:28" ht="12.75">
      <c r="A2746" s="9" t="s">
        <v>633</v>
      </c>
      <c r="B2746" s="10">
        <v>44895</v>
      </c>
      <c r="C2746" s="11"/>
      <c r="D2746" s="49">
        <v>48</v>
      </c>
      <c r="E2746" s="13" t="s">
        <v>3162</v>
      </c>
      <c r="F2746" s="13">
        <v>3025457</v>
      </c>
      <c r="G2746" s="14">
        <v>7309.5</v>
      </c>
      <c r="H2746" s="33">
        <v>8750</v>
      </c>
      <c r="I2746" s="16">
        <f t="shared" si="400"/>
        <v>63958125</v>
      </c>
      <c r="J2746" s="17">
        <v>14</v>
      </c>
      <c r="K2746" s="34">
        <v>4502456871</v>
      </c>
      <c r="L2746" s="126">
        <v>5084790814</v>
      </c>
      <c r="M2746" s="20">
        <v>5113783030</v>
      </c>
      <c r="N2746" s="128"/>
      <c r="O2746" s="88" t="s">
        <v>37</v>
      </c>
      <c r="P2746" s="23"/>
      <c r="Q2746" s="24" t="s">
        <v>31</v>
      </c>
      <c r="R2746" s="25">
        <v>44890</v>
      </c>
      <c r="S2746" s="28"/>
      <c r="T2746" s="35"/>
      <c r="U2746" s="35"/>
      <c r="V2746" s="29"/>
      <c r="W2746" s="35"/>
      <c r="X2746" s="29"/>
      <c r="Y2746" s="36"/>
      <c r="Z2746" s="29"/>
      <c r="AA2746" s="31">
        <f t="shared" si="1"/>
        <v>44890</v>
      </c>
      <c r="AB2746" s="32" t="str">
        <f t="shared" si="5"/>
        <v>noviembre</v>
      </c>
    </row>
    <row r="2747" spans="1:28" ht="12.75">
      <c r="A2747" s="9" t="s">
        <v>633</v>
      </c>
      <c r="B2747" s="10">
        <v>44895</v>
      </c>
      <c r="C2747" s="11"/>
      <c r="D2747" s="49">
        <v>48</v>
      </c>
      <c r="E2747" s="13" t="s">
        <v>3163</v>
      </c>
      <c r="F2747" s="13">
        <v>3025457</v>
      </c>
      <c r="G2747" s="14">
        <v>7309.5</v>
      </c>
      <c r="H2747" s="33">
        <f>8750-8700</f>
        <v>50</v>
      </c>
      <c r="I2747" s="16">
        <f>-H2747*G2747</f>
        <v>-365475</v>
      </c>
      <c r="J2747" s="17">
        <v>0</v>
      </c>
      <c r="K2747" s="34">
        <v>4502456871</v>
      </c>
      <c r="L2747" s="126">
        <v>5084790814</v>
      </c>
      <c r="M2747" s="20">
        <v>5113783032</v>
      </c>
      <c r="N2747" s="128"/>
      <c r="O2747" s="88"/>
      <c r="P2747" s="23"/>
      <c r="Q2747" s="24" t="s">
        <v>31</v>
      </c>
      <c r="R2747" s="25">
        <v>44890</v>
      </c>
      <c r="S2747" s="28"/>
      <c r="T2747" s="35"/>
      <c r="U2747" s="35"/>
      <c r="V2747" s="29"/>
      <c r="W2747" s="35"/>
      <c r="X2747" s="29"/>
      <c r="Y2747" s="36"/>
      <c r="Z2747" s="29"/>
      <c r="AA2747" s="31">
        <f t="shared" si="1"/>
        <v>44890</v>
      </c>
      <c r="AB2747" s="32" t="str">
        <f t="shared" si="5"/>
        <v>noviembre</v>
      </c>
    </row>
    <row r="2748" spans="1:28" ht="12.75">
      <c r="A2748" s="9" t="s">
        <v>80</v>
      </c>
      <c r="B2748" s="10">
        <v>44891</v>
      </c>
      <c r="C2748" s="11">
        <v>44893</v>
      </c>
      <c r="D2748" s="49">
        <v>48</v>
      </c>
      <c r="E2748" s="13" t="s">
        <v>3164</v>
      </c>
      <c r="F2748" s="13">
        <v>3025457</v>
      </c>
      <c r="G2748" s="14">
        <v>6401</v>
      </c>
      <c r="H2748" s="15">
        <v>8500</v>
      </c>
      <c r="I2748" s="16">
        <f t="shared" ref="I2748:I2751" si="401">H2748*G2748</f>
        <v>54408500</v>
      </c>
      <c r="J2748" s="17">
        <v>14</v>
      </c>
      <c r="K2748" s="34">
        <v>4502457609</v>
      </c>
      <c r="L2748" s="126">
        <v>5084792931</v>
      </c>
      <c r="M2748" s="20">
        <v>5113776362</v>
      </c>
      <c r="N2748" s="128" t="s">
        <v>37</v>
      </c>
      <c r="O2748" s="9" t="s">
        <v>3165</v>
      </c>
      <c r="P2748" s="23"/>
      <c r="Q2748" s="24" t="s">
        <v>31</v>
      </c>
      <c r="R2748" s="25">
        <v>44891</v>
      </c>
      <c r="S2748" s="28">
        <v>4902394208</v>
      </c>
      <c r="T2748" s="27">
        <v>1857700</v>
      </c>
      <c r="U2748" s="28" t="s">
        <v>3166</v>
      </c>
      <c r="V2748" s="29">
        <v>5113769064</v>
      </c>
      <c r="W2748" s="35"/>
      <c r="X2748" s="29"/>
      <c r="Y2748" s="36"/>
      <c r="Z2748" s="29"/>
      <c r="AA2748" s="31">
        <f t="shared" si="1"/>
        <v>44891</v>
      </c>
      <c r="AB2748" s="32" t="str">
        <f t="shared" si="5"/>
        <v>noviembre</v>
      </c>
    </row>
    <row r="2749" spans="1:28" ht="12.75">
      <c r="A2749" s="9" t="s">
        <v>80</v>
      </c>
      <c r="B2749" s="10">
        <v>44891</v>
      </c>
      <c r="C2749" s="11">
        <v>44893</v>
      </c>
      <c r="D2749" s="49">
        <v>48</v>
      </c>
      <c r="E2749" s="13">
        <v>11</v>
      </c>
      <c r="F2749" s="13">
        <v>3025457</v>
      </c>
      <c r="G2749" s="14">
        <v>6401</v>
      </c>
      <c r="H2749" s="15">
        <f>8524-8500</f>
        <v>24</v>
      </c>
      <c r="I2749" s="16">
        <f t="shared" si="401"/>
        <v>153624</v>
      </c>
      <c r="J2749" s="17">
        <v>0</v>
      </c>
      <c r="K2749" s="34">
        <v>4502457609</v>
      </c>
      <c r="L2749" s="126">
        <v>5084792931</v>
      </c>
      <c r="M2749" s="20">
        <v>5113776363</v>
      </c>
      <c r="N2749" s="128"/>
      <c r="O2749" s="9"/>
      <c r="P2749" s="23"/>
      <c r="Q2749" s="24" t="s">
        <v>31</v>
      </c>
      <c r="R2749" s="25">
        <v>44891</v>
      </c>
      <c r="S2749" s="28"/>
      <c r="T2749" s="27"/>
      <c r="U2749" s="35"/>
      <c r="V2749" s="29"/>
      <c r="W2749" s="35"/>
      <c r="X2749" s="29"/>
      <c r="Y2749" s="36"/>
      <c r="Z2749" s="29"/>
      <c r="AA2749" s="31">
        <f t="shared" si="1"/>
        <v>44891</v>
      </c>
      <c r="AB2749" s="32" t="str">
        <f t="shared" si="5"/>
        <v>noviembre</v>
      </c>
    </row>
    <row r="2750" spans="1:28" ht="12.75">
      <c r="A2750" s="9" t="s">
        <v>58</v>
      </c>
      <c r="B2750" s="10">
        <v>44895</v>
      </c>
      <c r="C2750" s="11">
        <v>44895</v>
      </c>
      <c r="D2750" s="49">
        <v>48</v>
      </c>
      <c r="E2750" s="13" t="s">
        <v>3167</v>
      </c>
      <c r="F2750" s="13">
        <v>3025459</v>
      </c>
      <c r="G2750" s="14">
        <v>16171</v>
      </c>
      <c r="H2750" s="33">
        <v>9200</v>
      </c>
      <c r="I2750" s="16">
        <f t="shared" si="401"/>
        <v>148773200</v>
      </c>
      <c r="J2750" s="17">
        <v>30</v>
      </c>
      <c r="K2750" s="34">
        <v>4502456872</v>
      </c>
      <c r="L2750" s="126">
        <v>5084791112</v>
      </c>
      <c r="M2750" s="20">
        <v>5113770273</v>
      </c>
      <c r="N2750" s="128"/>
      <c r="O2750" s="9" t="s">
        <v>37</v>
      </c>
      <c r="P2750" s="23"/>
      <c r="Q2750" s="24" t="s">
        <v>31</v>
      </c>
      <c r="R2750" s="25">
        <v>44891</v>
      </c>
      <c r="S2750" s="28"/>
      <c r="T2750" s="35"/>
      <c r="U2750" s="35"/>
      <c r="V2750" s="29"/>
      <c r="W2750" s="35"/>
      <c r="X2750" s="29"/>
      <c r="Y2750" s="36"/>
      <c r="Z2750" s="29"/>
      <c r="AA2750" s="31">
        <f t="shared" si="1"/>
        <v>44891</v>
      </c>
      <c r="AB2750" s="32" t="str">
        <f t="shared" si="5"/>
        <v>noviembre</v>
      </c>
    </row>
    <row r="2751" spans="1:28" ht="12.75">
      <c r="A2751" s="9" t="s">
        <v>58</v>
      </c>
      <c r="B2751" s="10">
        <v>44895</v>
      </c>
      <c r="C2751" s="11">
        <v>44895</v>
      </c>
      <c r="D2751" s="49">
        <v>48</v>
      </c>
      <c r="E2751" s="13" t="s">
        <v>3168</v>
      </c>
      <c r="F2751" s="13">
        <v>3025459</v>
      </c>
      <c r="G2751" s="14">
        <v>20174</v>
      </c>
      <c r="H2751" s="33">
        <v>9200</v>
      </c>
      <c r="I2751" s="16">
        <f t="shared" si="401"/>
        <v>185600800</v>
      </c>
      <c r="J2751" s="17">
        <v>44</v>
      </c>
      <c r="K2751" s="34">
        <v>4502456872</v>
      </c>
      <c r="L2751" s="126">
        <v>5084791112</v>
      </c>
      <c r="M2751" s="20">
        <v>5113771497</v>
      </c>
      <c r="N2751" s="128"/>
      <c r="O2751" s="9" t="s">
        <v>37</v>
      </c>
      <c r="P2751" s="23"/>
      <c r="Q2751" s="24" t="s">
        <v>31</v>
      </c>
      <c r="R2751" s="25">
        <v>44891</v>
      </c>
      <c r="S2751" s="28"/>
      <c r="T2751" s="35"/>
      <c r="U2751" s="35"/>
      <c r="V2751" s="29"/>
      <c r="W2751" s="35"/>
      <c r="X2751" s="29"/>
      <c r="Y2751" s="36"/>
      <c r="Z2751" s="29"/>
      <c r="AA2751" s="31">
        <f t="shared" si="1"/>
        <v>44891</v>
      </c>
      <c r="AB2751" s="32" t="str">
        <f t="shared" si="5"/>
        <v>noviembre</v>
      </c>
    </row>
    <row r="2752" spans="1:28" ht="12.75">
      <c r="A2752" s="9" t="s">
        <v>58</v>
      </c>
      <c r="B2752" s="10">
        <v>44895</v>
      </c>
      <c r="C2752" s="11">
        <v>44895</v>
      </c>
      <c r="D2752" s="49">
        <v>48</v>
      </c>
      <c r="E2752" s="13" t="s">
        <v>3169</v>
      </c>
      <c r="F2752" s="13">
        <v>3025459</v>
      </c>
      <c r="G2752" s="14">
        <v>20174</v>
      </c>
      <c r="H2752" s="33">
        <f>9200-9196.15</f>
        <v>3.8500000000003638</v>
      </c>
      <c r="I2752" s="16">
        <f>-H2752*G2752</f>
        <v>-77669.900000007343</v>
      </c>
      <c r="J2752" s="17">
        <v>0</v>
      </c>
      <c r="K2752" s="34">
        <v>4502456872</v>
      </c>
      <c r="L2752" s="126">
        <v>5084791112</v>
      </c>
      <c r="M2752" s="20">
        <v>5113771501</v>
      </c>
      <c r="N2752" s="147"/>
      <c r="O2752" s="9"/>
      <c r="P2752" s="23"/>
      <c r="Q2752" s="24" t="s">
        <v>31</v>
      </c>
      <c r="R2752" s="25">
        <v>44891</v>
      </c>
      <c r="S2752" s="28"/>
      <c r="T2752" s="35"/>
      <c r="U2752" s="35"/>
      <c r="V2752" s="29"/>
      <c r="W2752" s="35"/>
      <c r="X2752" s="29"/>
      <c r="Y2752" s="36"/>
      <c r="Z2752" s="29"/>
      <c r="AA2752" s="31">
        <f t="shared" si="1"/>
        <v>44891</v>
      </c>
      <c r="AB2752" s="32" t="str">
        <f t="shared" si="5"/>
        <v>noviembre</v>
      </c>
    </row>
    <row r="2753" spans="1:28" ht="12.75">
      <c r="A2753" s="22" t="s">
        <v>404</v>
      </c>
      <c r="B2753" s="10">
        <v>44891</v>
      </c>
      <c r="C2753" s="11"/>
      <c r="D2753" s="49">
        <v>48</v>
      </c>
      <c r="E2753" s="13" t="s">
        <v>3170</v>
      </c>
      <c r="F2753" s="13">
        <v>3025457</v>
      </c>
      <c r="G2753" s="14">
        <v>6922</v>
      </c>
      <c r="H2753" s="33">
        <v>9100</v>
      </c>
      <c r="I2753" s="16">
        <f>H2753*G2753</f>
        <v>62990200</v>
      </c>
      <c r="J2753" s="17">
        <v>15</v>
      </c>
      <c r="K2753" s="34">
        <v>4502456873</v>
      </c>
      <c r="L2753" s="126">
        <v>5084791113</v>
      </c>
      <c r="M2753" s="20">
        <v>5113758899</v>
      </c>
      <c r="N2753" s="128"/>
      <c r="O2753" s="9" t="s">
        <v>37</v>
      </c>
      <c r="P2753" s="23"/>
      <c r="Q2753" s="24" t="s">
        <v>31</v>
      </c>
      <c r="R2753" s="25">
        <v>44891</v>
      </c>
      <c r="S2753" s="28"/>
      <c r="T2753" s="35"/>
      <c r="U2753" s="35"/>
      <c r="V2753" s="29"/>
      <c r="W2753" s="35"/>
      <c r="X2753" s="29"/>
      <c r="Y2753" s="36"/>
      <c r="Z2753" s="29"/>
      <c r="AA2753" s="31">
        <f t="shared" si="1"/>
        <v>44891</v>
      </c>
      <c r="AB2753" s="32" t="str">
        <f t="shared" si="5"/>
        <v>noviembre</v>
      </c>
    </row>
    <row r="2754" spans="1:28" ht="12.75">
      <c r="A2754" s="22" t="s">
        <v>404</v>
      </c>
      <c r="B2754" s="10">
        <v>44893</v>
      </c>
      <c r="C2754" s="11"/>
      <c r="D2754" s="49">
        <v>48</v>
      </c>
      <c r="E2754" s="13" t="s">
        <v>902</v>
      </c>
      <c r="F2754" s="13">
        <v>3025457</v>
      </c>
      <c r="G2754" s="14">
        <v>6922</v>
      </c>
      <c r="H2754" s="33">
        <f>9100-9000</f>
        <v>100</v>
      </c>
      <c r="I2754" s="16">
        <f>-H2754*G2754</f>
        <v>-692200</v>
      </c>
      <c r="J2754" s="17">
        <v>0</v>
      </c>
      <c r="K2754" s="34">
        <v>4502456873</v>
      </c>
      <c r="L2754" s="126">
        <v>5084791113</v>
      </c>
      <c r="M2754" s="20">
        <v>5113758904</v>
      </c>
      <c r="N2754" s="128"/>
      <c r="O2754" s="9"/>
      <c r="P2754" s="23"/>
      <c r="Q2754" s="24" t="s">
        <v>31</v>
      </c>
      <c r="R2754" s="25">
        <v>44891</v>
      </c>
      <c r="S2754" s="28"/>
      <c r="T2754" s="35"/>
      <c r="U2754" s="35"/>
      <c r="V2754" s="29"/>
      <c r="W2754" s="35"/>
      <c r="X2754" s="29"/>
      <c r="Y2754" s="36"/>
      <c r="Z2754" s="29"/>
      <c r="AA2754" s="31">
        <f t="shared" si="1"/>
        <v>44891</v>
      </c>
      <c r="AB2754" s="32" t="str">
        <f t="shared" si="5"/>
        <v>noviembre</v>
      </c>
    </row>
    <row r="2755" spans="1:28" ht="12.75">
      <c r="A2755" s="22" t="s">
        <v>404</v>
      </c>
      <c r="B2755" s="10">
        <v>44891</v>
      </c>
      <c r="C2755" s="11"/>
      <c r="D2755" s="49">
        <v>48</v>
      </c>
      <c r="E2755" s="13" t="s">
        <v>3171</v>
      </c>
      <c r="F2755" s="13">
        <v>3025457</v>
      </c>
      <c r="G2755" s="14">
        <v>6945.5</v>
      </c>
      <c r="H2755" s="33">
        <v>9100</v>
      </c>
      <c r="I2755" s="16">
        <f>H2755*G2755</f>
        <v>63204050</v>
      </c>
      <c r="J2755" s="17">
        <v>15</v>
      </c>
      <c r="K2755" s="34">
        <v>4502456873</v>
      </c>
      <c r="L2755" s="126">
        <v>5084791113</v>
      </c>
      <c r="M2755" s="20">
        <v>5113758921</v>
      </c>
      <c r="N2755" s="128"/>
      <c r="O2755" s="9" t="s">
        <v>37</v>
      </c>
      <c r="P2755" s="23"/>
      <c r="Q2755" s="24" t="s">
        <v>31</v>
      </c>
      <c r="R2755" s="25">
        <v>44891</v>
      </c>
      <c r="S2755" s="28"/>
      <c r="T2755" s="35"/>
      <c r="U2755" s="35"/>
      <c r="V2755" s="29"/>
      <c r="W2755" s="35"/>
      <c r="X2755" s="29"/>
      <c r="Y2755" s="36"/>
      <c r="Z2755" s="29"/>
      <c r="AA2755" s="31">
        <f t="shared" si="1"/>
        <v>44891</v>
      </c>
      <c r="AB2755" s="32" t="str">
        <f t="shared" si="5"/>
        <v>noviembre</v>
      </c>
    </row>
    <row r="2756" spans="1:28" ht="12.75">
      <c r="A2756" s="22" t="s">
        <v>404</v>
      </c>
      <c r="B2756" s="10">
        <v>44893</v>
      </c>
      <c r="C2756" s="11"/>
      <c r="D2756" s="49">
        <v>48</v>
      </c>
      <c r="E2756" s="13" t="s">
        <v>2641</v>
      </c>
      <c r="F2756" s="13">
        <v>3025457</v>
      </c>
      <c r="G2756" s="14">
        <v>6945.5</v>
      </c>
      <c r="H2756" s="33">
        <f>9100-8974</f>
        <v>126</v>
      </c>
      <c r="I2756" s="16">
        <f>-H2756*G2756</f>
        <v>-875133</v>
      </c>
      <c r="J2756" s="17">
        <v>0</v>
      </c>
      <c r="K2756" s="34">
        <v>4502456873</v>
      </c>
      <c r="L2756" s="126">
        <v>5084791113</v>
      </c>
      <c r="M2756" s="20">
        <v>5113758927</v>
      </c>
      <c r="N2756" s="128"/>
      <c r="O2756" s="9"/>
      <c r="P2756" s="23"/>
      <c r="Q2756" s="24" t="s">
        <v>31</v>
      </c>
      <c r="R2756" s="25">
        <v>44891</v>
      </c>
      <c r="S2756" s="28"/>
      <c r="T2756" s="35"/>
      <c r="U2756" s="35"/>
      <c r="V2756" s="29"/>
      <c r="W2756" s="35"/>
      <c r="X2756" s="29"/>
      <c r="Y2756" s="36"/>
      <c r="Z2756" s="29"/>
      <c r="AA2756" s="31">
        <f t="shared" si="1"/>
        <v>44891</v>
      </c>
      <c r="AB2756" s="32" t="str">
        <f t="shared" si="5"/>
        <v>noviembre</v>
      </c>
    </row>
    <row r="2757" spans="1:28" ht="12.75">
      <c r="A2757" s="9" t="s">
        <v>209</v>
      </c>
      <c r="B2757" s="10">
        <v>44893</v>
      </c>
      <c r="C2757" s="11"/>
      <c r="D2757" s="49">
        <v>48</v>
      </c>
      <c r="E2757" s="13" t="s">
        <v>3172</v>
      </c>
      <c r="F2757" s="13">
        <v>3025457</v>
      </c>
      <c r="G2757" s="14">
        <v>7117.5</v>
      </c>
      <c r="H2757" s="33">
        <v>8750</v>
      </c>
      <c r="I2757" s="16">
        <f>H2757*G2757</f>
        <v>62278125</v>
      </c>
      <c r="J2757" s="17">
        <v>15</v>
      </c>
      <c r="K2757" s="34">
        <v>4502456875</v>
      </c>
      <c r="L2757" s="126">
        <v>5084791114</v>
      </c>
      <c r="M2757" s="20">
        <v>5113766838</v>
      </c>
      <c r="N2757" s="128"/>
      <c r="O2757" s="23" t="s">
        <v>313</v>
      </c>
      <c r="P2757" s="124"/>
      <c r="Q2757" s="24" t="s">
        <v>31</v>
      </c>
      <c r="R2757" s="25">
        <v>44891</v>
      </c>
      <c r="S2757" s="28"/>
      <c r="T2757" s="35"/>
      <c r="U2757" s="35"/>
      <c r="V2757" s="29"/>
      <c r="W2757" s="35"/>
      <c r="X2757" s="29"/>
      <c r="Y2757" s="36"/>
      <c r="Z2757" s="29"/>
      <c r="AA2757" s="31">
        <f t="shared" si="1"/>
        <v>44891</v>
      </c>
      <c r="AB2757" s="32" t="str">
        <f t="shared" si="5"/>
        <v>noviembre</v>
      </c>
    </row>
    <row r="2758" spans="1:28" ht="12.75">
      <c r="A2758" s="9" t="s">
        <v>209</v>
      </c>
      <c r="B2758" s="10">
        <v>44893</v>
      </c>
      <c r="C2758" s="11"/>
      <c r="D2758" s="49">
        <v>48</v>
      </c>
      <c r="E2758" s="13" t="s">
        <v>3173</v>
      </c>
      <c r="F2758" s="13">
        <v>3025457</v>
      </c>
      <c r="G2758" s="14">
        <v>7117.5</v>
      </c>
      <c r="H2758" s="33">
        <f>8750-8600</f>
        <v>150</v>
      </c>
      <c r="I2758" s="16">
        <f>-H2758*G2758</f>
        <v>-1067625</v>
      </c>
      <c r="J2758" s="17">
        <v>0</v>
      </c>
      <c r="K2758" s="34">
        <v>4502456875</v>
      </c>
      <c r="L2758" s="126">
        <v>5084791114</v>
      </c>
      <c r="M2758" s="20">
        <v>5113766840</v>
      </c>
      <c r="N2758" s="128"/>
      <c r="O2758" s="9"/>
      <c r="P2758" s="124"/>
      <c r="Q2758" s="24" t="s">
        <v>31</v>
      </c>
      <c r="R2758" s="25">
        <v>44891</v>
      </c>
      <c r="S2758" s="28"/>
      <c r="T2758" s="35"/>
      <c r="U2758" s="35"/>
      <c r="V2758" s="29"/>
      <c r="W2758" s="35"/>
      <c r="X2758" s="29"/>
      <c r="Y2758" s="36"/>
      <c r="Z2758" s="29"/>
      <c r="AA2758" s="31">
        <f t="shared" si="1"/>
        <v>44891</v>
      </c>
      <c r="AB2758" s="32" t="str">
        <f t="shared" si="5"/>
        <v>noviembre</v>
      </c>
    </row>
    <row r="2759" spans="1:28" ht="12.75">
      <c r="A2759" s="9" t="s">
        <v>1923</v>
      </c>
      <c r="B2759" s="10">
        <v>44891</v>
      </c>
      <c r="C2759" s="11">
        <v>44895</v>
      </c>
      <c r="D2759" s="49">
        <v>48</v>
      </c>
      <c r="E2759" s="13" t="s">
        <v>3174</v>
      </c>
      <c r="F2759" s="13">
        <v>3025457</v>
      </c>
      <c r="G2759" s="14">
        <v>13467.5</v>
      </c>
      <c r="H2759" s="33">
        <v>8850</v>
      </c>
      <c r="I2759" s="16">
        <f>H2759*G2759</f>
        <v>119187375</v>
      </c>
      <c r="J2759" s="17">
        <v>30</v>
      </c>
      <c r="K2759" s="34">
        <v>4502456876</v>
      </c>
      <c r="L2759" s="126">
        <v>5084791115</v>
      </c>
      <c r="M2759" s="20">
        <v>5113771558</v>
      </c>
      <c r="N2759" s="147"/>
      <c r="O2759" s="9" t="s">
        <v>63</v>
      </c>
      <c r="P2759" s="23"/>
      <c r="Q2759" s="24" t="s">
        <v>31</v>
      </c>
      <c r="R2759" s="25">
        <v>44891</v>
      </c>
      <c r="S2759" s="28"/>
      <c r="T2759" s="35"/>
      <c r="U2759" s="35"/>
      <c r="V2759" s="29"/>
      <c r="W2759" s="35"/>
      <c r="X2759" s="29"/>
      <c r="Y2759" s="36"/>
      <c r="Z2759" s="29"/>
      <c r="AA2759" s="31">
        <f t="shared" si="1"/>
        <v>44891</v>
      </c>
      <c r="AB2759" s="32" t="str">
        <f t="shared" si="5"/>
        <v>noviembre</v>
      </c>
    </row>
    <row r="2760" spans="1:28" ht="12.75">
      <c r="A2760" s="9" t="s">
        <v>1923</v>
      </c>
      <c r="B2760" s="10">
        <v>44891</v>
      </c>
      <c r="C2760" s="11">
        <v>44895</v>
      </c>
      <c r="D2760" s="49">
        <v>48</v>
      </c>
      <c r="E2760" s="13">
        <v>19</v>
      </c>
      <c r="F2760" s="13">
        <v>3025457</v>
      </c>
      <c r="G2760" s="14">
        <v>13467.5</v>
      </c>
      <c r="H2760" s="33">
        <f>8850-8800</f>
        <v>50</v>
      </c>
      <c r="I2760" s="16">
        <f>-H2760*G2760</f>
        <v>-673375</v>
      </c>
      <c r="J2760" s="17">
        <v>0</v>
      </c>
      <c r="K2760" s="34">
        <v>4502456876</v>
      </c>
      <c r="L2760" s="126">
        <v>5084791115</v>
      </c>
      <c r="M2760" s="20">
        <v>5113771649</v>
      </c>
      <c r="N2760" s="147"/>
      <c r="O2760" s="9"/>
      <c r="P2760" s="23"/>
      <c r="Q2760" s="24" t="s">
        <v>31</v>
      </c>
      <c r="R2760" s="25">
        <v>44891</v>
      </c>
      <c r="S2760" s="28"/>
      <c r="T2760" s="35"/>
      <c r="U2760" s="35"/>
      <c r="V2760" s="29"/>
      <c r="W2760" s="35"/>
      <c r="X2760" s="29"/>
      <c r="Y2760" s="36"/>
      <c r="Z2760" s="29"/>
      <c r="AA2760" s="31">
        <f t="shared" si="1"/>
        <v>44891</v>
      </c>
      <c r="AB2760" s="32" t="str">
        <f t="shared" si="5"/>
        <v>noviembre</v>
      </c>
    </row>
    <row r="2761" spans="1:28" ht="12.75">
      <c r="A2761" s="9" t="s">
        <v>80</v>
      </c>
      <c r="B2761" s="10">
        <v>44892</v>
      </c>
      <c r="C2761" s="11">
        <v>44894</v>
      </c>
      <c r="D2761" s="49">
        <v>48</v>
      </c>
      <c r="E2761" s="13" t="s">
        <v>3175</v>
      </c>
      <c r="F2761" s="13">
        <v>3025459</v>
      </c>
      <c r="G2761" s="14">
        <v>32999</v>
      </c>
      <c r="H2761" s="15">
        <v>8500</v>
      </c>
      <c r="I2761" s="16">
        <f t="shared" ref="I2761:I2763" si="402">H2761*G2761</f>
        <v>280491500</v>
      </c>
      <c r="J2761" s="17">
        <v>70</v>
      </c>
      <c r="K2761" s="34">
        <v>4502457611</v>
      </c>
      <c r="L2761" s="126">
        <v>5084792932</v>
      </c>
      <c r="M2761" s="20">
        <v>5113776357</v>
      </c>
      <c r="N2761" s="128" t="s">
        <v>37</v>
      </c>
      <c r="O2761" s="9" t="s">
        <v>3176</v>
      </c>
      <c r="P2761" s="23"/>
      <c r="Q2761" s="24" t="s">
        <v>31</v>
      </c>
      <c r="R2761" s="25">
        <v>44892</v>
      </c>
      <c r="S2761" s="28">
        <v>4902394211</v>
      </c>
      <c r="T2761" s="27">
        <v>9097100</v>
      </c>
      <c r="U2761" s="28" t="s">
        <v>3177</v>
      </c>
      <c r="V2761" s="29">
        <v>5113769352</v>
      </c>
      <c r="W2761" s="28" t="s">
        <v>3178</v>
      </c>
      <c r="X2761" s="29">
        <v>5113769401</v>
      </c>
      <c r="Y2761" s="36"/>
      <c r="Z2761" s="29"/>
      <c r="AA2761" s="31">
        <f t="shared" si="1"/>
        <v>44892</v>
      </c>
      <c r="AB2761" s="32" t="str">
        <f t="shared" si="5"/>
        <v>noviembre</v>
      </c>
    </row>
    <row r="2762" spans="1:28" ht="12.75">
      <c r="A2762" s="9" t="s">
        <v>80</v>
      </c>
      <c r="B2762" s="10">
        <v>44892</v>
      </c>
      <c r="C2762" s="11">
        <v>44894</v>
      </c>
      <c r="D2762" s="49">
        <v>48</v>
      </c>
      <c r="E2762" s="13">
        <v>12</v>
      </c>
      <c r="F2762" s="13">
        <v>3025459</v>
      </c>
      <c r="G2762" s="14">
        <v>32999</v>
      </c>
      <c r="H2762" s="15">
        <f>8524-8500</f>
        <v>24</v>
      </c>
      <c r="I2762" s="16">
        <f t="shared" si="402"/>
        <v>791976</v>
      </c>
      <c r="J2762" s="17">
        <v>0</v>
      </c>
      <c r="K2762" s="34">
        <v>4502457611</v>
      </c>
      <c r="L2762" s="126">
        <v>5084792932</v>
      </c>
      <c r="M2762" s="20">
        <v>5113776361</v>
      </c>
      <c r="N2762" s="128"/>
      <c r="O2762" s="9"/>
      <c r="P2762" s="23"/>
      <c r="Q2762" s="24" t="s">
        <v>31</v>
      </c>
      <c r="R2762" s="25">
        <v>44892</v>
      </c>
      <c r="S2762" s="28"/>
      <c r="T2762" s="27">
        <v>9097100</v>
      </c>
      <c r="U2762" s="35"/>
      <c r="V2762" s="29"/>
      <c r="W2762" s="35"/>
      <c r="X2762" s="29"/>
      <c r="Y2762" s="36"/>
      <c r="Z2762" s="29"/>
      <c r="AA2762" s="31">
        <f t="shared" si="1"/>
        <v>44892</v>
      </c>
      <c r="AB2762" s="32" t="str">
        <f t="shared" si="5"/>
        <v>noviembre</v>
      </c>
    </row>
    <row r="2763" spans="1:28" ht="12.75">
      <c r="A2763" s="9" t="s">
        <v>58</v>
      </c>
      <c r="B2763" s="10">
        <v>44895</v>
      </c>
      <c r="C2763" s="11">
        <v>44895</v>
      </c>
      <c r="D2763" s="49">
        <v>48</v>
      </c>
      <c r="E2763" s="13" t="s">
        <v>3179</v>
      </c>
      <c r="F2763" s="13">
        <v>3025457</v>
      </c>
      <c r="G2763" s="14">
        <v>23310</v>
      </c>
      <c r="H2763" s="33">
        <v>9200</v>
      </c>
      <c r="I2763" s="16">
        <f t="shared" si="402"/>
        <v>214452000</v>
      </c>
      <c r="J2763" s="17">
        <v>58</v>
      </c>
      <c r="K2763" s="34">
        <v>4502456877</v>
      </c>
      <c r="L2763" s="126">
        <v>5084796964</v>
      </c>
      <c r="M2763" s="20">
        <v>5113775395</v>
      </c>
      <c r="N2763" s="128"/>
      <c r="O2763" s="9" t="s">
        <v>37</v>
      </c>
      <c r="P2763" s="23"/>
      <c r="Q2763" s="24" t="s">
        <v>31</v>
      </c>
      <c r="R2763" s="25">
        <v>44892</v>
      </c>
      <c r="S2763" s="28"/>
      <c r="T2763" s="35"/>
      <c r="U2763" s="35"/>
      <c r="V2763" s="29"/>
      <c r="W2763" s="35"/>
      <c r="X2763" s="29"/>
      <c r="Y2763" s="36"/>
      <c r="Z2763" s="29"/>
      <c r="AA2763" s="31">
        <f t="shared" si="1"/>
        <v>44892</v>
      </c>
      <c r="AB2763" s="32" t="str">
        <f t="shared" si="5"/>
        <v>noviembre</v>
      </c>
    </row>
    <row r="2764" spans="1:28" ht="12.75">
      <c r="A2764" s="9" t="s">
        <v>58</v>
      </c>
      <c r="B2764" s="10">
        <v>44895</v>
      </c>
      <c r="C2764" s="11">
        <v>44895</v>
      </c>
      <c r="D2764" s="49">
        <v>48</v>
      </c>
      <c r="E2764" s="13" t="s">
        <v>3180</v>
      </c>
      <c r="F2764" s="13">
        <v>3025457</v>
      </c>
      <c r="G2764" s="14">
        <v>23310</v>
      </c>
      <c r="H2764" s="33">
        <f>9200-9157.26</f>
        <v>42.739999999999782</v>
      </c>
      <c r="I2764" s="16">
        <f>-H2764*G2764</f>
        <v>-996269.3999999949</v>
      </c>
      <c r="J2764" s="17">
        <v>0</v>
      </c>
      <c r="K2764" s="34">
        <v>4502456877</v>
      </c>
      <c r="L2764" s="126">
        <v>5084796964</v>
      </c>
      <c r="M2764" s="20">
        <v>5113775428</v>
      </c>
      <c r="N2764" s="128"/>
      <c r="O2764" s="9"/>
      <c r="P2764" s="23"/>
      <c r="Q2764" s="24" t="s">
        <v>31</v>
      </c>
      <c r="R2764" s="25">
        <v>44892</v>
      </c>
      <c r="S2764" s="28"/>
      <c r="T2764" s="35"/>
      <c r="U2764" s="35"/>
      <c r="V2764" s="29"/>
      <c r="W2764" s="35"/>
      <c r="X2764" s="29"/>
      <c r="Y2764" s="36"/>
      <c r="Z2764" s="29"/>
      <c r="AA2764" s="31">
        <f t="shared" si="1"/>
        <v>44892</v>
      </c>
      <c r="AB2764" s="32" t="str">
        <f t="shared" si="5"/>
        <v>noviembre</v>
      </c>
    </row>
    <row r="2765" spans="1:28" ht="12.75">
      <c r="A2765" s="107" t="s">
        <v>28</v>
      </c>
      <c r="B2765" s="10">
        <v>44894</v>
      </c>
      <c r="C2765" s="11"/>
      <c r="D2765" s="49">
        <v>48</v>
      </c>
      <c r="E2765" s="115" t="s">
        <v>3181</v>
      </c>
      <c r="F2765" s="115">
        <v>3025461</v>
      </c>
      <c r="G2765" s="158">
        <v>73280</v>
      </c>
      <c r="H2765" s="15">
        <v>8250</v>
      </c>
      <c r="I2765" s="159">
        <f t="shared" ref="I2765:I2767" si="403">H2765*G2765</f>
        <v>604560000</v>
      </c>
      <c r="J2765" s="17">
        <v>140</v>
      </c>
      <c r="K2765" s="34">
        <v>4502461215</v>
      </c>
      <c r="L2765" s="126">
        <v>5084820631</v>
      </c>
      <c r="M2765" s="20">
        <v>5113770269</v>
      </c>
      <c r="N2765" s="23" t="s">
        <v>37</v>
      </c>
      <c r="O2765" s="9" t="s">
        <v>3182</v>
      </c>
      <c r="P2765" s="23"/>
      <c r="Q2765" s="24" t="s">
        <v>1605</v>
      </c>
      <c r="R2765" s="25">
        <v>44892</v>
      </c>
      <c r="S2765" s="34">
        <v>4502461215</v>
      </c>
      <c r="T2765" s="27">
        <f>16837200+1980900</f>
        <v>18818100</v>
      </c>
      <c r="U2765" s="28" t="s">
        <v>3183</v>
      </c>
      <c r="V2765" s="29">
        <v>5113769405</v>
      </c>
      <c r="W2765" s="28" t="s">
        <v>3184</v>
      </c>
      <c r="X2765" s="29">
        <v>5113769477</v>
      </c>
      <c r="Y2765" s="36"/>
      <c r="Z2765" s="29"/>
      <c r="AA2765" s="31">
        <f t="shared" si="1"/>
        <v>44892</v>
      </c>
      <c r="AB2765" s="32" t="str">
        <f t="shared" si="5"/>
        <v>noviembre</v>
      </c>
    </row>
    <row r="2766" spans="1:28" ht="12.75">
      <c r="A2766" s="9" t="s">
        <v>1289</v>
      </c>
      <c r="B2766" s="10">
        <v>44893</v>
      </c>
      <c r="C2766" s="11"/>
      <c r="D2766" s="49">
        <v>48</v>
      </c>
      <c r="E2766" s="13" t="s">
        <v>3185</v>
      </c>
      <c r="F2766" s="13">
        <v>3025461</v>
      </c>
      <c r="G2766" s="14">
        <v>14534</v>
      </c>
      <c r="H2766" s="15">
        <v>8250</v>
      </c>
      <c r="I2766" s="16">
        <f t="shared" si="403"/>
        <v>119905500</v>
      </c>
      <c r="J2766" s="17">
        <v>29</v>
      </c>
      <c r="K2766" s="34">
        <v>4502461228</v>
      </c>
      <c r="L2766" s="126">
        <v>5084821139</v>
      </c>
      <c r="M2766" s="20">
        <v>5113766601</v>
      </c>
      <c r="N2766" s="9" t="s">
        <v>63</v>
      </c>
      <c r="O2766" s="9" t="s">
        <v>3186</v>
      </c>
      <c r="P2766" s="23"/>
      <c r="Q2766" s="24" t="s">
        <v>1605</v>
      </c>
      <c r="R2766" s="25">
        <v>44892</v>
      </c>
      <c r="S2766" s="34">
        <v>4502461228</v>
      </c>
      <c r="T2766" s="35">
        <f>1880900*2</f>
        <v>3761800</v>
      </c>
      <c r="U2766" s="28" t="s">
        <v>3187</v>
      </c>
      <c r="V2766" s="29">
        <v>5113769482</v>
      </c>
      <c r="W2766" s="35"/>
      <c r="X2766" s="29"/>
      <c r="Y2766" s="36"/>
      <c r="Z2766" s="29"/>
      <c r="AA2766" s="31">
        <f t="shared" si="1"/>
        <v>44892</v>
      </c>
      <c r="AB2766" s="32" t="str">
        <f t="shared" si="5"/>
        <v>noviembre</v>
      </c>
    </row>
    <row r="2767" spans="1:28" ht="12.75">
      <c r="A2767" s="9" t="s">
        <v>233</v>
      </c>
      <c r="B2767" s="10">
        <v>44893</v>
      </c>
      <c r="C2767" s="11"/>
      <c r="D2767" s="49">
        <v>48</v>
      </c>
      <c r="E2767" s="13" t="s">
        <v>3188</v>
      </c>
      <c r="F2767" s="13">
        <v>3025459</v>
      </c>
      <c r="G2767" s="14">
        <v>27422</v>
      </c>
      <c r="H2767" s="33">
        <v>8750</v>
      </c>
      <c r="I2767" s="16">
        <f t="shared" si="403"/>
        <v>239942500</v>
      </c>
      <c r="J2767" s="17">
        <v>60</v>
      </c>
      <c r="K2767" s="34">
        <v>4502456878</v>
      </c>
      <c r="L2767" s="126">
        <v>5084816687</v>
      </c>
      <c r="M2767" s="20">
        <v>5113775795</v>
      </c>
      <c r="N2767" s="128"/>
      <c r="O2767" s="9" t="s">
        <v>37</v>
      </c>
      <c r="P2767" s="23"/>
      <c r="Q2767" s="24" t="s">
        <v>31</v>
      </c>
      <c r="R2767" s="25">
        <v>44893</v>
      </c>
      <c r="S2767" s="28"/>
      <c r="T2767" s="35"/>
      <c r="U2767" s="35"/>
      <c r="V2767" s="29"/>
      <c r="W2767" s="35"/>
      <c r="X2767" s="29"/>
      <c r="Y2767" s="36"/>
      <c r="Z2767" s="29"/>
      <c r="AA2767" s="31">
        <f t="shared" si="1"/>
        <v>44893</v>
      </c>
      <c r="AB2767" s="32" t="str">
        <f t="shared" si="5"/>
        <v>noviembre</v>
      </c>
    </row>
    <row r="2768" spans="1:28" ht="12.75">
      <c r="A2768" s="9" t="s">
        <v>233</v>
      </c>
      <c r="B2768" s="10">
        <v>44893</v>
      </c>
      <c r="C2768" s="11">
        <v>44896</v>
      </c>
      <c r="D2768" s="49">
        <v>48</v>
      </c>
      <c r="E2768" s="13" t="s">
        <v>3189</v>
      </c>
      <c r="F2768" s="13">
        <v>3025459</v>
      </c>
      <c r="G2768" s="14">
        <v>27422</v>
      </c>
      <c r="H2768" s="33">
        <f>8750-8748.63</f>
        <v>1.3700000000008004</v>
      </c>
      <c r="I2768" s="16">
        <f>-H2768*G2768</f>
        <v>-37568.140000021944</v>
      </c>
      <c r="J2768" s="17">
        <v>0</v>
      </c>
      <c r="K2768" s="34">
        <v>4502456878</v>
      </c>
      <c r="L2768" s="126">
        <v>5084816687</v>
      </c>
      <c r="M2768" s="20">
        <v>5113775838</v>
      </c>
      <c r="N2768" s="128"/>
      <c r="O2768" s="9"/>
      <c r="P2768" s="23"/>
      <c r="Q2768" s="24" t="s">
        <v>31</v>
      </c>
      <c r="R2768" s="25">
        <v>44893</v>
      </c>
      <c r="S2768" s="28"/>
      <c r="T2768" s="35"/>
      <c r="U2768" s="35"/>
      <c r="V2768" s="29"/>
      <c r="W2768" s="35"/>
      <c r="X2768" s="29"/>
      <c r="Y2768" s="36"/>
      <c r="Z2768" s="29"/>
      <c r="AA2768" s="31">
        <f t="shared" si="1"/>
        <v>44893</v>
      </c>
      <c r="AB2768" s="32" t="str">
        <f t="shared" si="5"/>
        <v>noviembre</v>
      </c>
    </row>
    <row r="2769" spans="1:28" ht="12.75">
      <c r="A2769" s="9" t="s">
        <v>2135</v>
      </c>
      <c r="B2769" s="10">
        <v>44895</v>
      </c>
      <c r="C2769" s="11"/>
      <c r="D2769" s="49">
        <v>48</v>
      </c>
      <c r="E2769" s="13" t="s">
        <v>1444</v>
      </c>
      <c r="F2769" s="13">
        <v>3025459</v>
      </c>
      <c r="G2769" s="14">
        <v>4118.5</v>
      </c>
      <c r="H2769" s="33">
        <v>8700</v>
      </c>
      <c r="I2769" s="16">
        <f>H2769*G2769</f>
        <v>35830950</v>
      </c>
      <c r="J2769" s="17">
        <v>11</v>
      </c>
      <c r="K2769" s="34">
        <v>4502456879</v>
      </c>
      <c r="L2769" s="126">
        <v>5084816790</v>
      </c>
      <c r="M2769" s="20">
        <v>5113771829</v>
      </c>
      <c r="N2769" s="128"/>
      <c r="O2769" s="88" t="s">
        <v>63</v>
      </c>
      <c r="P2769" s="23"/>
      <c r="Q2769" s="24" t="s">
        <v>31</v>
      </c>
      <c r="R2769" s="25">
        <v>44893</v>
      </c>
      <c r="S2769" s="28"/>
      <c r="T2769" s="35"/>
      <c r="U2769" s="35"/>
      <c r="V2769" s="29"/>
      <c r="W2769" s="35"/>
      <c r="X2769" s="29"/>
      <c r="Y2769" s="36"/>
      <c r="Z2769" s="29"/>
      <c r="AA2769" s="31">
        <f t="shared" si="1"/>
        <v>44893</v>
      </c>
      <c r="AB2769" s="32" t="str">
        <f t="shared" si="5"/>
        <v>noviembre</v>
      </c>
    </row>
    <row r="2770" spans="1:28" ht="12.75">
      <c r="A2770" s="9" t="s">
        <v>2135</v>
      </c>
      <c r="B2770" s="10">
        <v>44895</v>
      </c>
      <c r="C2770" s="11"/>
      <c r="D2770" s="49">
        <v>48</v>
      </c>
      <c r="E2770" s="13" t="s">
        <v>3190</v>
      </c>
      <c r="F2770" s="13">
        <v>3025459</v>
      </c>
      <c r="G2770" s="14">
        <v>4118.5</v>
      </c>
      <c r="H2770" s="33">
        <f>8700-8462.16</f>
        <v>237.84000000000015</v>
      </c>
      <c r="I2770" s="16">
        <f>-H2770*G2770</f>
        <v>-979544.04000000062</v>
      </c>
      <c r="J2770" s="17">
        <v>0</v>
      </c>
      <c r="K2770" s="34">
        <v>4502456879</v>
      </c>
      <c r="L2770" s="126">
        <v>5084816790</v>
      </c>
      <c r="M2770" s="20">
        <v>5113771897</v>
      </c>
      <c r="N2770" s="128"/>
      <c r="O2770" s="9"/>
      <c r="P2770" s="23"/>
      <c r="Q2770" s="24" t="s">
        <v>31</v>
      </c>
      <c r="R2770" s="25">
        <v>44893</v>
      </c>
      <c r="S2770" s="28"/>
      <c r="T2770" s="35"/>
      <c r="U2770" s="35"/>
      <c r="V2770" s="29"/>
      <c r="W2770" s="35"/>
      <c r="X2770" s="29"/>
      <c r="Y2770" s="36"/>
      <c r="Z2770" s="29"/>
      <c r="AA2770" s="31">
        <f t="shared" si="1"/>
        <v>44893</v>
      </c>
      <c r="AB2770" s="32" t="str">
        <f t="shared" si="5"/>
        <v>noviembre</v>
      </c>
    </row>
    <row r="2771" spans="1:28" ht="12.75">
      <c r="A2771" s="9" t="s">
        <v>58</v>
      </c>
      <c r="B2771" s="10">
        <v>44895</v>
      </c>
      <c r="C2771" s="11">
        <v>44895</v>
      </c>
      <c r="D2771" s="49">
        <v>48</v>
      </c>
      <c r="E2771" s="13" t="s">
        <v>3191</v>
      </c>
      <c r="F2771" s="13">
        <v>3025457</v>
      </c>
      <c r="G2771" s="14">
        <v>20795.5</v>
      </c>
      <c r="H2771" s="33">
        <v>9200</v>
      </c>
      <c r="I2771" s="16">
        <f>H2771*G2771</f>
        <v>191318600</v>
      </c>
      <c r="J2771" s="17">
        <v>47</v>
      </c>
      <c r="K2771" s="34">
        <v>4502456880</v>
      </c>
      <c r="L2771" s="126">
        <v>5084820517</v>
      </c>
      <c r="M2771" s="20">
        <v>5113776304</v>
      </c>
      <c r="N2771" s="128"/>
      <c r="O2771" s="9" t="s">
        <v>37</v>
      </c>
      <c r="P2771" s="23"/>
      <c r="Q2771" s="24" t="s">
        <v>31</v>
      </c>
      <c r="R2771" s="25">
        <v>44893</v>
      </c>
      <c r="S2771" s="28"/>
      <c r="T2771" s="35"/>
      <c r="U2771" s="35"/>
      <c r="V2771" s="29"/>
      <c r="W2771" s="35"/>
      <c r="X2771" s="29"/>
      <c r="Y2771" s="36"/>
      <c r="Z2771" s="29"/>
      <c r="AA2771" s="31">
        <f t="shared" si="1"/>
        <v>44893</v>
      </c>
      <c r="AB2771" s="32" t="str">
        <f t="shared" si="5"/>
        <v>noviembre</v>
      </c>
    </row>
    <row r="2772" spans="1:28" ht="12.75">
      <c r="A2772" s="9" t="s">
        <v>58</v>
      </c>
      <c r="B2772" s="10">
        <v>44895</v>
      </c>
      <c r="C2772" s="11">
        <v>44895</v>
      </c>
      <c r="D2772" s="49">
        <v>48</v>
      </c>
      <c r="E2772" s="13" t="s">
        <v>3192</v>
      </c>
      <c r="F2772" s="13">
        <v>3025457</v>
      </c>
      <c r="G2772" s="14">
        <v>20795.5</v>
      </c>
      <c r="H2772" s="33">
        <f>9200-9185.12</f>
        <v>14.8799999999992</v>
      </c>
      <c r="I2772" s="16">
        <f>-H2772*G2772</f>
        <v>-309437.03999998333</v>
      </c>
      <c r="J2772" s="17">
        <v>0</v>
      </c>
      <c r="K2772" s="34">
        <v>4502456880</v>
      </c>
      <c r="L2772" s="126">
        <v>5084820517</v>
      </c>
      <c r="M2772" s="20">
        <v>5113776306</v>
      </c>
      <c r="N2772" s="128"/>
      <c r="O2772" s="9"/>
      <c r="P2772" s="23"/>
      <c r="Q2772" s="24" t="s">
        <v>31</v>
      </c>
      <c r="R2772" s="25">
        <v>44893</v>
      </c>
      <c r="S2772" s="28"/>
      <c r="T2772" s="35"/>
      <c r="U2772" s="35"/>
      <c r="V2772" s="29"/>
      <c r="W2772" s="35"/>
      <c r="X2772" s="29"/>
      <c r="Y2772" s="36"/>
      <c r="Z2772" s="29"/>
      <c r="AA2772" s="31">
        <f t="shared" si="1"/>
        <v>44893</v>
      </c>
      <c r="AB2772" s="32" t="str">
        <f t="shared" si="5"/>
        <v>noviembre</v>
      </c>
    </row>
    <row r="2773" spans="1:28" ht="12.75">
      <c r="A2773" s="9" t="s">
        <v>58</v>
      </c>
      <c r="B2773" s="10">
        <v>44895</v>
      </c>
      <c r="C2773" s="11">
        <v>44895</v>
      </c>
      <c r="D2773" s="49">
        <v>48</v>
      </c>
      <c r="E2773" s="13" t="s">
        <v>3193</v>
      </c>
      <c r="F2773" s="13">
        <v>3025457</v>
      </c>
      <c r="G2773" s="14">
        <v>15013.5</v>
      </c>
      <c r="H2773" s="33">
        <v>9200</v>
      </c>
      <c r="I2773" s="16">
        <f>H2773*G2773</f>
        <v>138124200</v>
      </c>
      <c r="J2773" s="17">
        <v>30</v>
      </c>
      <c r="K2773" s="34">
        <v>4502456880</v>
      </c>
      <c r="L2773" s="126">
        <v>5084820517</v>
      </c>
      <c r="M2773" s="20">
        <v>5113776299</v>
      </c>
      <c r="N2773" s="128"/>
      <c r="O2773" s="9" t="s">
        <v>37</v>
      </c>
      <c r="P2773" s="23"/>
      <c r="Q2773" s="24" t="s">
        <v>31</v>
      </c>
      <c r="R2773" s="25">
        <v>44893</v>
      </c>
      <c r="S2773" s="28"/>
      <c r="T2773" s="35"/>
      <c r="U2773" s="35"/>
      <c r="V2773" s="29"/>
      <c r="W2773" s="35"/>
      <c r="X2773" s="29"/>
      <c r="Y2773" s="36"/>
      <c r="Z2773" s="29"/>
      <c r="AA2773" s="31">
        <f t="shared" si="1"/>
        <v>44893</v>
      </c>
      <c r="AB2773" s="32" t="str">
        <f t="shared" si="5"/>
        <v>noviembre</v>
      </c>
    </row>
    <row r="2774" spans="1:28" ht="12.75">
      <c r="A2774" s="9" t="s">
        <v>58</v>
      </c>
      <c r="B2774" s="10">
        <v>44895</v>
      </c>
      <c r="C2774" s="11">
        <v>44895</v>
      </c>
      <c r="D2774" s="49">
        <v>48</v>
      </c>
      <c r="E2774" s="13" t="s">
        <v>3194</v>
      </c>
      <c r="F2774" s="13">
        <v>3025457</v>
      </c>
      <c r="G2774" s="14">
        <v>15013.5</v>
      </c>
      <c r="H2774" s="33">
        <f>9200-9150</f>
        <v>50</v>
      </c>
      <c r="I2774" s="16">
        <f>-H2774*G2774</f>
        <v>-750675</v>
      </c>
      <c r="J2774" s="17">
        <v>0</v>
      </c>
      <c r="K2774" s="34">
        <v>4502456880</v>
      </c>
      <c r="L2774" s="126">
        <v>5084820517</v>
      </c>
      <c r="M2774" s="20">
        <v>5113776301</v>
      </c>
      <c r="N2774" s="23"/>
      <c r="O2774" s="9"/>
      <c r="P2774" s="23"/>
      <c r="Q2774" s="24" t="s">
        <v>31</v>
      </c>
      <c r="R2774" s="25">
        <v>44893</v>
      </c>
      <c r="S2774" s="28"/>
      <c r="T2774" s="35"/>
      <c r="U2774" s="35"/>
      <c r="V2774" s="29"/>
      <c r="W2774" s="35"/>
      <c r="X2774" s="29"/>
      <c r="Y2774" s="36"/>
      <c r="Z2774" s="29"/>
      <c r="AA2774" s="31">
        <f t="shared" si="1"/>
        <v>44893</v>
      </c>
      <c r="AB2774" s="32" t="str">
        <f t="shared" si="5"/>
        <v>noviembre</v>
      </c>
    </row>
    <row r="2775" spans="1:28" ht="12.75">
      <c r="A2775" s="9" t="s">
        <v>58</v>
      </c>
      <c r="B2775" s="10">
        <v>44895</v>
      </c>
      <c r="C2775" s="11">
        <v>44895</v>
      </c>
      <c r="D2775" s="49">
        <v>48</v>
      </c>
      <c r="E2775" s="13" t="s">
        <v>3195</v>
      </c>
      <c r="F2775" s="13">
        <v>3025462</v>
      </c>
      <c r="G2775" s="14">
        <v>13906</v>
      </c>
      <c r="H2775" s="57">
        <v>7800</v>
      </c>
      <c r="I2775" s="16">
        <f t="shared" ref="I2775:I2776" si="404">H2775*G2775</f>
        <v>108466800</v>
      </c>
      <c r="J2775" s="17">
        <v>60</v>
      </c>
      <c r="K2775" s="34">
        <v>4502460036</v>
      </c>
      <c r="L2775" s="126">
        <v>5084798380</v>
      </c>
      <c r="M2775" s="20">
        <v>5113770478</v>
      </c>
      <c r="N2775" s="128"/>
      <c r="O2775" s="9" t="s">
        <v>37</v>
      </c>
      <c r="P2775" s="23"/>
      <c r="Q2775" s="24" t="s">
        <v>357</v>
      </c>
      <c r="R2775" s="25">
        <v>44892</v>
      </c>
      <c r="S2775" s="28"/>
      <c r="T2775" s="35"/>
      <c r="U2775" s="35"/>
      <c r="V2775" s="29"/>
      <c r="W2775" s="35"/>
      <c r="X2775" s="29"/>
      <c r="Y2775" s="36"/>
      <c r="Z2775" s="29"/>
      <c r="AA2775" s="31">
        <f t="shared" si="1"/>
        <v>44892</v>
      </c>
      <c r="AB2775" s="32" t="str">
        <f t="shared" si="5"/>
        <v>noviembre</v>
      </c>
    </row>
    <row r="2776" spans="1:28" ht="12.75">
      <c r="A2776" s="22" t="s">
        <v>719</v>
      </c>
      <c r="B2776" s="10">
        <v>44894</v>
      </c>
      <c r="C2776" s="11"/>
      <c r="D2776" s="49">
        <v>48</v>
      </c>
      <c r="E2776" s="13" t="s">
        <v>1777</v>
      </c>
      <c r="F2776" s="13">
        <v>3025457</v>
      </c>
      <c r="G2776" s="14">
        <v>6838.5</v>
      </c>
      <c r="H2776" s="33">
        <v>8750</v>
      </c>
      <c r="I2776" s="16">
        <f t="shared" si="404"/>
        <v>59836875</v>
      </c>
      <c r="J2776" s="17">
        <v>15</v>
      </c>
      <c r="K2776" s="34">
        <v>4502456881</v>
      </c>
      <c r="L2776" s="126">
        <v>5084833710</v>
      </c>
      <c r="M2776" s="20">
        <v>5113781127</v>
      </c>
      <c r="O2776" s="9" t="s">
        <v>37</v>
      </c>
      <c r="P2776" s="23"/>
      <c r="Q2776" s="24" t="s">
        <v>31</v>
      </c>
      <c r="R2776" s="25">
        <v>44894</v>
      </c>
      <c r="S2776" s="28"/>
      <c r="T2776" s="35"/>
      <c r="U2776" s="35"/>
      <c r="V2776" s="29"/>
      <c r="W2776" s="35"/>
      <c r="X2776" s="29"/>
      <c r="Y2776" s="36"/>
      <c r="Z2776" s="29"/>
      <c r="AA2776" s="31">
        <f t="shared" si="1"/>
        <v>44894</v>
      </c>
      <c r="AB2776" s="32" t="str">
        <f t="shared" si="5"/>
        <v>noviembre</v>
      </c>
    </row>
    <row r="2777" spans="1:28" ht="12.75">
      <c r="A2777" s="22" t="s">
        <v>719</v>
      </c>
      <c r="B2777" s="10">
        <v>44894</v>
      </c>
      <c r="C2777" s="11"/>
      <c r="D2777" s="49">
        <v>48</v>
      </c>
      <c r="E2777" s="13" t="s">
        <v>397</v>
      </c>
      <c r="F2777" s="13">
        <v>3025457</v>
      </c>
      <c r="G2777" s="14">
        <v>6838.5</v>
      </c>
      <c r="H2777" s="33">
        <f>8750-8609.61</f>
        <v>140.38999999999942</v>
      </c>
      <c r="I2777" s="16">
        <f>-H2777*G2777</f>
        <v>-960057.01499999606</v>
      </c>
      <c r="J2777" s="17">
        <v>0</v>
      </c>
      <c r="K2777" s="34">
        <v>4502456881</v>
      </c>
      <c r="L2777" s="126">
        <v>5084833710</v>
      </c>
      <c r="M2777" s="20">
        <v>5113781129</v>
      </c>
      <c r="O2777" s="9"/>
      <c r="P2777" s="23"/>
      <c r="Q2777" s="24" t="s">
        <v>31</v>
      </c>
      <c r="R2777" s="25">
        <v>44894</v>
      </c>
      <c r="S2777" s="28"/>
      <c r="T2777" s="35"/>
      <c r="U2777" s="35"/>
      <c r="V2777" s="29"/>
      <c r="W2777" s="35"/>
      <c r="X2777" s="29"/>
      <c r="Y2777" s="36"/>
      <c r="Z2777" s="29"/>
      <c r="AA2777" s="31">
        <f t="shared" si="1"/>
        <v>44894</v>
      </c>
      <c r="AB2777" s="32" t="str">
        <f t="shared" si="5"/>
        <v>noviembre</v>
      </c>
    </row>
    <row r="2778" spans="1:28" ht="12.75">
      <c r="A2778" s="9" t="s">
        <v>2958</v>
      </c>
      <c r="B2778" s="10">
        <v>44897</v>
      </c>
      <c r="C2778" s="11">
        <v>44897</v>
      </c>
      <c r="D2778" s="49">
        <v>48</v>
      </c>
      <c r="E2778" s="13" t="s">
        <v>3196</v>
      </c>
      <c r="F2778" s="13">
        <v>3025457</v>
      </c>
      <c r="G2778" s="14">
        <v>5932</v>
      </c>
      <c r="H2778" s="33">
        <v>8750</v>
      </c>
      <c r="I2778" s="16">
        <f>H2778*G2778</f>
        <v>51905000</v>
      </c>
      <c r="J2778" s="17">
        <v>16</v>
      </c>
      <c r="K2778" s="34">
        <v>4502456882</v>
      </c>
      <c r="L2778" s="126">
        <v>5084822158</v>
      </c>
      <c r="M2778" s="20">
        <v>5113778387</v>
      </c>
      <c r="N2778" s="128"/>
      <c r="O2778" s="9" t="s">
        <v>63</v>
      </c>
      <c r="P2778" s="23"/>
      <c r="Q2778" s="24" t="s">
        <v>31</v>
      </c>
      <c r="R2778" s="25">
        <v>44894</v>
      </c>
      <c r="S2778" s="28"/>
      <c r="T2778" s="35"/>
      <c r="U2778" s="35"/>
      <c r="V2778" s="29"/>
      <c r="W2778" s="35"/>
      <c r="X2778" s="29"/>
      <c r="Y2778" s="36"/>
      <c r="Z2778" s="29"/>
      <c r="AA2778" s="31">
        <f t="shared" si="1"/>
        <v>44894</v>
      </c>
      <c r="AB2778" s="32" t="str">
        <f t="shared" si="5"/>
        <v>noviembre</v>
      </c>
    </row>
    <row r="2779" spans="1:28" ht="12.75">
      <c r="A2779" s="9" t="s">
        <v>2958</v>
      </c>
      <c r="B2779" s="10">
        <v>44897</v>
      </c>
      <c r="C2779" s="11">
        <v>44897</v>
      </c>
      <c r="D2779" s="49">
        <v>48</v>
      </c>
      <c r="E2779" s="13" t="s">
        <v>1356</v>
      </c>
      <c r="F2779" s="13">
        <v>3025457</v>
      </c>
      <c r="G2779" s="14">
        <v>5932</v>
      </c>
      <c r="H2779" s="33">
        <f>8750-8700</f>
        <v>50</v>
      </c>
      <c r="I2779" s="16">
        <f>-H2779*G2779</f>
        <v>-296600</v>
      </c>
      <c r="J2779" s="17">
        <v>0</v>
      </c>
      <c r="K2779" s="34">
        <v>4502456882</v>
      </c>
      <c r="L2779" s="126">
        <v>5084822158</v>
      </c>
      <c r="M2779" s="20">
        <v>5113778388</v>
      </c>
      <c r="N2779" s="128"/>
      <c r="O2779" s="9"/>
      <c r="P2779" s="23"/>
      <c r="Q2779" s="24" t="s">
        <v>31</v>
      </c>
      <c r="R2779" s="25">
        <v>44894</v>
      </c>
      <c r="S2779" s="28"/>
      <c r="T2779" s="35"/>
      <c r="U2779" s="35"/>
      <c r="V2779" s="29"/>
      <c r="W2779" s="35"/>
      <c r="X2779" s="29"/>
      <c r="Y2779" s="36"/>
      <c r="Z2779" s="29"/>
      <c r="AA2779" s="31">
        <f t="shared" si="1"/>
        <v>44894</v>
      </c>
      <c r="AB2779" s="32" t="str">
        <f t="shared" si="5"/>
        <v>noviembre</v>
      </c>
    </row>
    <row r="2780" spans="1:28" ht="12.75">
      <c r="A2780" s="9" t="s">
        <v>215</v>
      </c>
      <c r="B2780" s="10">
        <v>44896</v>
      </c>
      <c r="C2780" s="11"/>
      <c r="D2780" s="49">
        <v>48</v>
      </c>
      <c r="E2780" s="13" t="s">
        <v>3197</v>
      </c>
      <c r="F2780" s="13">
        <v>3025459</v>
      </c>
      <c r="G2780" s="14">
        <v>13700</v>
      </c>
      <c r="H2780" s="33">
        <v>8750</v>
      </c>
      <c r="I2780" s="16">
        <f t="shared" ref="I2780:I2782" si="405">H2780*G2780</f>
        <v>119875000</v>
      </c>
      <c r="J2780" s="17">
        <v>28</v>
      </c>
      <c r="K2780" s="34">
        <v>4502456884</v>
      </c>
      <c r="L2780" s="126">
        <v>5084822159</v>
      </c>
      <c r="M2780" s="20">
        <v>5113781131</v>
      </c>
      <c r="N2780" s="128"/>
      <c r="O2780" s="22" t="s">
        <v>37</v>
      </c>
      <c r="P2780" s="23"/>
      <c r="Q2780" s="24" t="s">
        <v>31</v>
      </c>
      <c r="R2780" s="25">
        <v>44894</v>
      </c>
      <c r="S2780" s="28"/>
      <c r="T2780" s="35"/>
      <c r="U2780" s="35"/>
      <c r="V2780" s="29"/>
      <c r="W2780" s="35"/>
      <c r="X2780" s="29"/>
      <c r="Y2780" s="36"/>
      <c r="Z2780" s="29"/>
      <c r="AA2780" s="31">
        <f t="shared" si="1"/>
        <v>44894</v>
      </c>
      <c r="AB2780" s="32" t="str">
        <f t="shared" si="5"/>
        <v>noviembre</v>
      </c>
    </row>
    <row r="2781" spans="1:28" ht="12.75">
      <c r="A2781" s="9" t="s">
        <v>215</v>
      </c>
      <c r="B2781" s="10">
        <v>44897</v>
      </c>
      <c r="C2781" s="11"/>
      <c r="D2781" s="49">
        <v>48</v>
      </c>
      <c r="E2781" s="13" t="s">
        <v>3198</v>
      </c>
      <c r="F2781" s="13">
        <v>3025459</v>
      </c>
      <c r="G2781" s="14">
        <v>13700</v>
      </c>
      <c r="H2781" s="33">
        <f>8850-8750</f>
        <v>100</v>
      </c>
      <c r="I2781" s="16">
        <f t="shared" si="405"/>
        <v>1370000</v>
      </c>
      <c r="J2781" s="17">
        <v>0</v>
      </c>
      <c r="K2781" s="34">
        <v>4502456884</v>
      </c>
      <c r="L2781" s="126">
        <v>5084822159</v>
      </c>
      <c r="M2781" s="20">
        <v>5113781136</v>
      </c>
      <c r="N2781" s="128"/>
      <c r="O2781" s="22" t="s">
        <v>37</v>
      </c>
      <c r="P2781" s="23"/>
      <c r="Q2781" s="24" t="s">
        <v>31</v>
      </c>
      <c r="R2781" s="25">
        <v>44894</v>
      </c>
      <c r="S2781" s="28"/>
      <c r="T2781" s="35"/>
      <c r="U2781" s="35"/>
      <c r="V2781" s="29"/>
      <c r="W2781" s="35"/>
      <c r="X2781" s="29"/>
      <c r="Y2781" s="36"/>
      <c r="Z2781" s="29"/>
      <c r="AA2781" s="31">
        <f t="shared" si="1"/>
        <v>44894</v>
      </c>
      <c r="AB2781" s="32" t="str">
        <f t="shared" si="5"/>
        <v>noviembre</v>
      </c>
    </row>
    <row r="2782" spans="1:28" ht="12.75">
      <c r="A2782" s="9" t="s">
        <v>2311</v>
      </c>
      <c r="B2782" s="10">
        <v>44894</v>
      </c>
      <c r="C2782" s="11"/>
      <c r="D2782" s="49">
        <v>48</v>
      </c>
      <c r="E2782" s="13" t="s">
        <v>3199</v>
      </c>
      <c r="F2782" s="13">
        <v>3025459</v>
      </c>
      <c r="G2782" s="14">
        <v>6608</v>
      </c>
      <c r="H2782" s="33">
        <v>9100</v>
      </c>
      <c r="I2782" s="16">
        <f t="shared" si="405"/>
        <v>60132800</v>
      </c>
      <c r="J2782" s="17">
        <v>15</v>
      </c>
      <c r="K2782" s="34">
        <v>4502456885</v>
      </c>
      <c r="L2782" s="126">
        <v>5084833085</v>
      </c>
      <c r="M2782" s="20">
        <v>5113782948</v>
      </c>
      <c r="N2782" s="128"/>
      <c r="O2782" s="88" t="s">
        <v>37</v>
      </c>
      <c r="P2782" s="23"/>
      <c r="Q2782" s="24" t="s">
        <v>31</v>
      </c>
      <c r="R2782" s="25">
        <v>44894</v>
      </c>
      <c r="S2782" s="28"/>
      <c r="T2782" s="35"/>
      <c r="U2782" s="35"/>
      <c r="V2782" s="29"/>
      <c r="W2782" s="35"/>
      <c r="X2782" s="29"/>
      <c r="Y2782" s="36"/>
      <c r="Z2782" s="29"/>
      <c r="AA2782" s="31">
        <f t="shared" si="1"/>
        <v>44894</v>
      </c>
      <c r="AB2782" s="32" t="str">
        <f t="shared" si="5"/>
        <v>noviembre</v>
      </c>
    </row>
    <row r="2783" spans="1:28" ht="12.75">
      <c r="A2783" s="9" t="s">
        <v>2311</v>
      </c>
      <c r="B2783" s="10">
        <v>44894</v>
      </c>
      <c r="C2783" s="11"/>
      <c r="D2783" s="49">
        <v>48</v>
      </c>
      <c r="E2783" s="13" t="s">
        <v>360</v>
      </c>
      <c r="F2783" s="13">
        <v>3025459</v>
      </c>
      <c r="G2783" s="14">
        <v>6608</v>
      </c>
      <c r="H2783" s="33">
        <f>9100-9050</f>
        <v>50</v>
      </c>
      <c r="I2783" s="16">
        <f>-H2783*G2783</f>
        <v>-330400</v>
      </c>
      <c r="J2783" s="17">
        <v>0</v>
      </c>
      <c r="K2783" s="34">
        <v>4502456885</v>
      </c>
      <c r="L2783" s="126">
        <v>5084833085</v>
      </c>
      <c r="M2783" s="20">
        <v>5113782952</v>
      </c>
      <c r="N2783" s="128"/>
      <c r="O2783" s="9"/>
      <c r="P2783" s="23"/>
      <c r="Q2783" s="24" t="s">
        <v>31</v>
      </c>
      <c r="R2783" s="25">
        <v>44894</v>
      </c>
      <c r="S2783" s="28"/>
      <c r="T2783" s="35"/>
      <c r="U2783" s="35"/>
      <c r="V2783" s="29"/>
      <c r="W2783" s="35"/>
      <c r="X2783" s="29"/>
      <c r="Y2783" s="36"/>
      <c r="Z2783" s="29"/>
      <c r="AA2783" s="31">
        <f t="shared" si="1"/>
        <v>44894</v>
      </c>
      <c r="AB2783" s="32" t="str">
        <f t="shared" si="5"/>
        <v>noviembre</v>
      </c>
    </row>
    <row r="2784" spans="1:28" ht="12.75">
      <c r="A2784" s="9" t="s">
        <v>94</v>
      </c>
      <c r="B2784" s="10">
        <v>44900</v>
      </c>
      <c r="C2784" s="11">
        <v>44900</v>
      </c>
      <c r="D2784" s="49">
        <v>48</v>
      </c>
      <c r="E2784" s="13" t="s">
        <v>3200</v>
      </c>
      <c r="F2784" s="13">
        <v>3025459</v>
      </c>
      <c r="G2784" s="14">
        <v>6086</v>
      </c>
      <c r="H2784" s="15">
        <v>8450</v>
      </c>
      <c r="I2784" s="16">
        <f t="shared" ref="I2784:I2786" si="406">H2784*G2784</f>
        <v>51426700</v>
      </c>
      <c r="J2784" s="17">
        <v>14</v>
      </c>
      <c r="K2784" s="34">
        <v>4502457613</v>
      </c>
      <c r="L2784" s="126">
        <v>5084792933</v>
      </c>
      <c r="M2784" s="20">
        <v>5113781171</v>
      </c>
      <c r="N2784" s="128"/>
      <c r="O2784" s="9" t="s">
        <v>3201</v>
      </c>
      <c r="P2784" s="9" t="s">
        <v>63</v>
      </c>
      <c r="Q2784" s="24" t="s">
        <v>31</v>
      </c>
      <c r="R2784" s="25">
        <v>44894</v>
      </c>
      <c r="S2784" s="34">
        <v>4902394213</v>
      </c>
      <c r="T2784" s="27">
        <v>1623900</v>
      </c>
      <c r="U2784" s="28" t="s">
        <v>3202</v>
      </c>
      <c r="V2784" s="29">
        <v>5113782050</v>
      </c>
      <c r="W2784" s="35"/>
      <c r="X2784" s="29"/>
      <c r="Y2784" s="36"/>
      <c r="Z2784" s="29"/>
      <c r="AA2784" s="31">
        <f t="shared" si="1"/>
        <v>44894</v>
      </c>
      <c r="AB2784" s="32" t="str">
        <f t="shared" si="5"/>
        <v>noviembre</v>
      </c>
    </row>
    <row r="2785" spans="1:28" ht="12.75">
      <c r="A2785" s="9" t="s">
        <v>94</v>
      </c>
      <c r="B2785" s="10">
        <v>44900</v>
      </c>
      <c r="C2785" s="11">
        <v>44900</v>
      </c>
      <c r="D2785" s="49">
        <v>48</v>
      </c>
      <c r="E2785" s="13" t="s">
        <v>3203</v>
      </c>
      <c r="F2785" s="13">
        <v>3025459</v>
      </c>
      <c r="G2785" s="14">
        <v>6086</v>
      </c>
      <c r="H2785" s="15">
        <f>8474-8450</f>
        <v>24</v>
      </c>
      <c r="I2785" s="16">
        <f t="shared" si="406"/>
        <v>146064</v>
      </c>
      <c r="J2785" s="17">
        <v>0</v>
      </c>
      <c r="K2785" s="34">
        <v>4502457613</v>
      </c>
      <c r="L2785" s="126">
        <v>5084792933</v>
      </c>
      <c r="M2785" s="20">
        <v>5113781172</v>
      </c>
      <c r="N2785" s="128"/>
      <c r="O2785" s="9"/>
      <c r="P2785" s="23"/>
      <c r="Q2785" s="24" t="s">
        <v>31</v>
      </c>
      <c r="R2785" s="25">
        <v>44894</v>
      </c>
      <c r="S2785" s="28"/>
      <c r="T2785" s="27"/>
      <c r="U2785" s="28"/>
      <c r="V2785" s="29"/>
      <c r="W2785" s="35"/>
      <c r="X2785" s="29"/>
      <c r="Y2785" s="36"/>
      <c r="Z2785" s="29"/>
      <c r="AA2785" s="31">
        <f t="shared" si="1"/>
        <v>44894</v>
      </c>
      <c r="AB2785" s="32" t="str">
        <f t="shared" si="5"/>
        <v>noviembre</v>
      </c>
    </row>
    <row r="2786" spans="1:28" ht="12.75">
      <c r="A2786" s="22" t="s">
        <v>404</v>
      </c>
      <c r="B2786" s="10">
        <v>44900</v>
      </c>
      <c r="C2786" s="11">
        <v>44900</v>
      </c>
      <c r="D2786" s="53">
        <v>49</v>
      </c>
      <c r="E2786" s="13" t="s">
        <v>3204</v>
      </c>
      <c r="F2786" s="13">
        <v>3025457</v>
      </c>
      <c r="G2786" s="14">
        <v>27467.5</v>
      </c>
      <c r="H2786" s="33">
        <v>9100</v>
      </c>
      <c r="I2786" s="16">
        <f t="shared" si="406"/>
        <v>249954250</v>
      </c>
      <c r="J2786" s="17">
        <v>60</v>
      </c>
      <c r="K2786" s="34">
        <v>4502462068</v>
      </c>
      <c r="L2786" s="19">
        <v>5084874816</v>
      </c>
      <c r="M2786" s="20">
        <v>5113782975</v>
      </c>
      <c r="N2786" s="23"/>
      <c r="O2786" s="88" t="s">
        <v>37</v>
      </c>
      <c r="P2786" s="23"/>
      <c r="Q2786" s="24" t="s">
        <v>31</v>
      </c>
      <c r="R2786" s="25">
        <v>44896</v>
      </c>
      <c r="S2786" s="28"/>
      <c r="T2786" s="35"/>
      <c r="U2786" s="35"/>
      <c r="V2786" s="29"/>
      <c r="W2786" s="35"/>
      <c r="X2786" s="29"/>
      <c r="Y2786" s="36"/>
      <c r="Z2786" s="29"/>
      <c r="AA2786" s="31">
        <f t="shared" si="1"/>
        <v>44896</v>
      </c>
      <c r="AB2786" s="32" t="str">
        <f t="shared" si="5"/>
        <v>diciembre</v>
      </c>
    </row>
    <row r="2787" spans="1:28" ht="12.75">
      <c r="A2787" s="22" t="s">
        <v>404</v>
      </c>
      <c r="B2787" s="10">
        <v>44900</v>
      </c>
      <c r="C2787" s="11">
        <v>44900</v>
      </c>
      <c r="D2787" s="53">
        <v>49</v>
      </c>
      <c r="E2787" s="13" t="s">
        <v>909</v>
      </c>
      <c r="F2787" s="13">
        <v>3025457</v>
      </c>
      <c r="G2787" s="14">
        <v>27467.5</v>
      </c>
      <c r="H2787" s="33">
        <f>9100-8950</f>
        <v>150</v>
      </c>
      <c r="I2787" s="16">
        <f>-H2787*G2787</f>
        <v>-4120125</v>
      </c>
      <c r="J2787" s="17">
        <v>0</v>
      </c>
      <c r="K2787" s="34">
        <v>4502462068</v>
      </c>
      <c r="L2787" s="19">
        <v>5084874816</v>
      </c>
      <c r="M2787" s="20">
        <v>5113783019</v>
      </c>
      <c r="N2787" s="23"/>
      <c r="O2787" s="9"/>
      <c r="P2787" s="23"/>
      <c r="Q2787" s="24" t="s">
        <v>31</v>
      </c>
      <c r="R2787" s="25">
        <v>44896</v>
      </c>
      <c r="S2787" s="28"/>
      <c r="T2787" s="35"/>
      <c r="U2787" s="35"/>
      <c r="V2787" s="29"/>
      <c r="W2787" s="35"/>
      <c r="X2787" s="29"/>
      <c r="Y2787" s="36"/>
      <c r="Z2787" s="29"/>
      <c r="AA2787" s="31">
        <f t="shared" si="1"/>
        <v>44896</v>
      </c>
      <c r="AB2787" s="32" t="str">
        <f t="shared" si="5"/>
        <v>diciembre</v>
      </c>
    </row>
    <row r="2788" spans="1:28" ht="12.75">
      <c r="A2788" s="22" t="s">
        <v>719</v>
      </c>
      <c r="B2788" s="10">
        <v>44896</v>
      </c>
      <c r="C2788" s="11">
        <v>44901</v>
      </c>
      <c r="D2788" s="53">
        <v>49</v>
      </c>
      <c r="E2788" s="13" t="s">
        <v>44</v>
      </c>
      <c r="F2788" s="13">
        <v>3025457</v>
      </c>
      <c r="G2788" s="14">
        <v>7054.5</v>
      </c>
      <c r="H2788" s="33">
        <v>8800</v>
      </c>
      <c r="I2788" s="16">
        <f>H2788*G2788</f>
        <v>62079600</v>
      </c>
      <c r="J2788" s="17">
        <v>16</v>
      </c>
      <c r="K2788" s="34">
        <v>4502462069</v>
      </c>
      <c r="L2788" s="19">
        <v>5084876578</v>
      </c>
      <c r="M2788" s="20">
        <v>5113783023</v>
      </c>
      <c r="N2788" s="23"/>
      <c r="O2788" s="88" t="s">
        <v>37</v>
      </c>
      <c r="P2788" s="23"/>
      <c r="Q2788" s="24" t="s">
        <v>31</v>
      </c>
      <c r="R2788" s="25">
        <v>44896</v>
      </c>
      <c r="S2788" s="28"/>
      <c r="T2788" s="35"/>
      <c r="U2788" s="35"/>
      <c r="V2788" s="29"/>
      <c r="W2788" s="35"/>
      <c r="X2788" s="29"/>
      <c r="Y2788" s="36"/>
      <c r="Z2788" s="29"/>
      <c r="AA2788" s="31">
        <f t="shared" si="1"/>
        <v>44896</v>
      </c>
      <c r="AB2788" s="32" t="str">
        <f t="shared" si="5"/>
        <v>diciembre</v>
      </c>
    </row>
    <row r="2789" spans="1:28" ht="12.75">
      <c r="A2789" s="22" t="s">
        <v>719</v>
      </c>
      <c r="B2789" s="10">
        <v>44896</v>
      </c>
      <c r="C2789" s="11">
        <v>44901</v>
      </c>
      <c r="D2789" s="53">
        <v>49</v>
      </c>
      <c r="E2789" s="13" t="s">
        <v>427</v>
      </c>
      <c r="F2789" s="13">
        <v>3025457</v>
      </c>
      <c r="G2789" s="14">
        <v>7054.5</v>
      </c>
      <c r="H2789" s="33">
        <f>8800-8695.57</f>
        <v>104.43000000000029</v>
      </c>
      <c r="I2789" s="16">
        <f>-H2789*G2789</f>
        <v>-736701.43500000203</v>
      </c>
      <c r="J2789" s="17">
        <v>0</v>
      </c>
      <c r="K2789" s="34">
        <v>4502462069</v>
      </c>
      <c r="L2789" s="19">
        <v>5084876578</v>
      </c>
      <c r="M2789" s="20">
        <v>5113783027</v>
      </c>
      <c r="N2789" s="23"/>
      <c r="O2789" s="9"/>
      <c r="P2789" s="23"/>
      <c r="Q2789" s="24" t="s">
        <v>31</v>
      </c>
      <c r="R2789" s="25">
        <v>44896</v>
      </c>
      <c r="S2789" s="28"/>
      <c r="T2789" s="35"/>
      <c r="U2789" s="35"/>
      <c r="V2789" s="29"/>
      <c r="W2789" s="35"/>
      <c r="X2789" s="29"/>
      <c r="Y2789" s="36"/>
      <c r="Z2789" s="29"/>
      <c r="AA2789" s="31">
        <f t="shared" si="1"/>
        <v>44896</v>
      </c>
      <c r="AB2789" s="32" t="str">
        <f t="shared" si="5"/>
        <v>diciembre</v>
      </c>
    </row>
    <row r="2790" spans="1:28" ht="12.75">
      <c r="A2790" s="9" t="s">
        <v>2973</v>
      </c>
      <c r="B2790" s="10">
        <v>44896</v>
      </c>
      <c r="C2790" s="11">
        <v>44902</v>
      </c>
      <c r="D2790" s="53">
        <v>49</v>
      </c>
      <c r="E2790" s="13" t="s">
        <v>3205</v>
      </c>
      <c r="F2790" s="13">
        <v>3025457</v>
      </c>
      <c r="G2790" s="14">
        <v>6342.5</v>
      </c>
      <c r="H2790" s="33">
        <v>8750</v>
      </c>
      <c r="I2790" s="16">
        <f>H2790*G2790</f>
        <v>55496875</v>
      </c>
      <c r="J2790" s="17">
        <v>14</v>
      </c>
      <c r="K2790" s="34">
        <v>4502462070</v>
      </c>
      <c r="L2790" s="19">
        <v>5084874817</v>
      </c>
      <c r="M2790" s="20">
        <v>5113788141</v>
      </c>
      <c r="N2790" s="23"/>
      <c r="O2790" s="9" t="s">
        <v>63</v>
      </c>
      <c r="P2790" s="23"/>
      <c r="Q2790" s="24" t="s">
        <v>31</v>
      </c>
      <c r="R2790" s="25">
        <v>44896</v>
      </c>
      <c r="S2790" s="28"/>
      <c r="T2790" s="35"/>
      <c r="U2790" s="35"/>
      <c r="V2790" s="29"/>
      <c r="W2790" s="35"/>
      <c r="X2790" s="29"/>
      <c r="Y2790" s="36"/>
      <c r="Z2790" s="29"/>
      <c r="AA2790" s="31">
        <f t="shared" si="1"/>
        <v>44896</v>
      </c>
      <c r="AB2790" s="32" t="str">
        <f t="shared" si="5"/>
        <v>diciembre</v>
      </c>
    </row>
    <row r="2791" spans="1:28" ht="12.75">
      <c r="A2791" s="9" t="s">
        <v>2973</v>
      </c>
      <c r="B2791" s="10">
        <v>44896</v>
      </c>
      <c r="C2791" s="11">
        <v>44902</v>
      </c>
      <c r="D2791" s="53">
        <v>49</v>
      </c>
      <c r="E2791" s="13" t="s">
        <v>226</v>
      </c>
      <c r="F2791" s="13">
        <v>3025457</v>
      </c>
      <c r="G2791" s="14">
        <v>6342.5</v>
      </c>
      <c r="H2791" s="33">
        <f>8750-8700</f>
        <v>50</v>
      </c>
      <c r="I2791" s="16">
        <f>-H2791*G2791</f>
        <v>-317125</v>
      </c>
      <c r="J2791" s="17">
        <v>0</v>
      </c>
      <c r="K2791" s="34">
        <v>4502462070</v>
      </c>
      <c r="L2791" s="19">
        <v>5084874817</v>
      </c>
      <c r="M2791" s="20">
        <v>5113788144</v>
      </c>
      <c r="N2791" s="23"/>
      <c r="O2791" s="9"/>
      <c r="P2791" s="23"/>
      <c r="Q2791" s="24" t="s">
        <v>31</v>
      </c>
      <c r="R2791" s="25">
        <v>44896</v>
      </c>
      <c r="S2791" s="28"/>
      <c r="T2791" s="35"/>
      <c r="U2791" s="35"/>
      <c r="V2791" s="29"/>
      <c r="W2791" s="35"/>
      <c r="X2791" s="29"/>
      <c r="Y2791" s="36"/>
      <c r="Z2791" s="29"/>
      <c r="AA2791" s="31">
        <f t="shared" si="1"/>
        <v>44896</v>
      </c>
      <c r="AB2791" s="32" t="str">
        <f t="shared" si="5"/>
        <v>diciembre</v>
      </c>
    </row>
    <row r="2792" spans="1:28" ht="12.75">
      <c r="A2792" s="9" t="s">
        <v>621</v>
      </c>
      <c r="B2792" s="10">
        <v>44902</v>
      </c>
      <c r="C2792" s="11">
        <v>44902</v>
      </c>
      <c r="D2792" s="53">
        <v>49</v>
      </c>
      <c r="E2792" s="13" t="s">
        <v>3206</v>
      </c>
      <c r="F2792" s="13">
        <v>3025457</v>
      </c>
      <c r="G2792" s="14">
        <v>5259</v>
      </c>
      <c r="H2792" s="33">
        <v>8750</v>
      </c>
      <c r="I2792" s="16">
        <f>H2792*G2792</f>
        <v>46016250</v>
      </c>
      <c r="J2792" s="17">
        <v>14</v>
      </c>
      <c r="K2792" s="34">
        <v>4502462071</v>
      </c>
      <c r="L2792" s="19">
        <v>5084874948</v>
      </c>
      <c r="M2792" s="20">
        <v>5113786794</v>
      </c>
      <c r="N2792" s="23"/>
      <c r="O2792" s="9" t="s">
        <v>63</v>
      </c>
      <c r="P2792" s="23"/>
      <c r="Q2792" s="24" t="s">
        <v>31</v>
      </c>
      <c r="R2792" s="25">
        <v>44896</v>
      </c>
      <c r="S2792" s="28"/>
      <c r="T2792" s="35"/>
      <c r="U2792" s="35"/>
      <c r="V2792" s="29"/>
      <c r="W2792" s="35"/>
      <c r="X2792" s="29"/>
      <c r="Y2792" s="36"/>
      <c r="Z2792" s="29"/>
      <c r="AA2792" s="31">
        <f t="shared" si="1"/>
        <v>44896</v>
      </c>
      <c r="AB2792" s="32" t="str">
        <f t="shared" si="5"/>
        <v>diciembre</v>
      </c>
    </row>
    <row r="2793" spans="1:28" ht="12.75">
      <c r="A2793" s="9" t="s">
        <v>621</v>
      </c>
      <c r="B2793" s="10">
        <v>44902</v>
      </c>
      <c r="C2793" s="11">
        <v>44902</v>
      </c>
      <c r="D2793" s="53">
        <v>49</v>
      </c>
      <c r="E2793" s="13" t="s">
        <v>3207</v>
      </c>
      <c r="F2793" s="13">
        <v>3025457</v>
      </c>
      <c r="G2793" s="14">
        <v>5259</v>
      </c>
      <c r="H2793" s="33">
        <f>8750-8450</f>
        <v>300</v>
      </c>
      <c r="I2793" s="16">
        <f>-H2793*G2793</f>
        <v>-1577700</v>
      </c>
      <c r="J2793" s="17">
        <v>0</v>
      </c>
      <c r="K2793" s="34">
        <v>4502462071</v>
      </c>
      <c r="L2793" s="19">
        <v>5084874948</v>
      </c>
      <c r="M2793" s="20">
        <v>5113786808</v>
      </c>
      <c r="N2793" s="23"/>
      <c r="O2793" s="9"/>
      <c r="P2793" s="23"/>
      <c r="Q2793" s="24" t="s">
        <v>31</v>
      </c>
      <c r="R2793" s="25">
        <v>44896</v>
      </c>
      <c r="S2793" s="28"/>
      <c r="T2793" s="35"/>
      <c r="U2793" s="35"/>
      <c r="V2793" s="29"/>
      <c r="W2793" s="35"/>
      <c r="X2793" s="29"/>
      <c r="Y2793" s="36"/>
      <c r="Z2793" s="29"/>
      <c r="AA2793" s="31">
        <f t="shared" si="1"/>
        <v>44896</v>
      </c>
      <c r="AB2793" s="32" t="str">
        <f t="shared" si="5"/>
        <v>diciembre</v>
      </c>
    </row>
    <row r="2794" spans="1:28" ht="12.75">
      <c r="A2794" s="9" t="s">
        <v>191</v>
      </c>
      <c r="B2794" s="10">
        <v>44896</v>
      </c>
      <c r="C2794" s="11"/>
      <c r="D2794" s="53">
        <v>49</v>
      </c>
      <c r="E2794" s="13" t="s">
        <v>3208</v>
      </c>
      <c r="F2794" s="13">
        <v>3025459</v>
      </c>
      <c r="G2794" s="14">
        <v>6153.5</v>
      </c>
      <c r="H2794" s="33">
        <v>8800</v>
      </c>
      <c r="I2794" s="16">
        <f>H2794*G2794</f>
        <v>54150800</v>
      </c>
      <c r="J2794" s="17">
        <v>14</v>
      </c>
      <c r="K2794" s="34">
        <v>4502462072</v>
      </c>
      <c r="L2794" s="19">
        <v>5084874949</v>
      </c>
      <c r="M2794" s="20">
        <v>5113781175</v>
      </c>
      <c r="N2794" s="23"/>
      <c r="O2794" s="9" t="s">
        <v>63</v>
      </c>
      <c r="P2794" s="23"/>
      <c r="Q2794" s="24" t="s">
        <v>31</v>
      </c>
      <c r="R2794" s="25">
        <v>44896</v>
      </c>
      <c r="S2794" s="28"/>
      <c r="T2794" s="35"/>
      <c r="U2794" s="35"/>
      <c r="V2794" s="29"/>
      <c r="W2794" s="35"/>
      <c r="X2794" s="29"/>
      <c r="Y2794" s="36"/>
      <c r="Z2794" s="29"/>
      <c r="AA2794" s="31">
        <f t="shared" si="1"/>
        <v>44896</v>
      </c>
      <c r="AB2794" s="32" t="str">
        <f t="shared" si="5"/>
        <v>diciembre</v>
      </c>
    </row>
    <row r="2795" spans="1:28" ht="12.75">
      <c r="A2795" s="9" t="s">
        <v>191</v>
      </c>
      <c r="B2795" s="10">
        <v>44896</v>
      </c>
      <c r="C2795" s="11"/>
      <c r="D2795" s="53">
        <v>49</v>
      </c>
      <c r="E2795" s="13" t="s">
        <v>1207</v>
      </c>
      <c r="F2795" s="13">
        <v>3025459</v>
      </c>
      <c r="G2795" s="14">
        <v>6153.5</v>
      </c>
      <c r="H2795" s="33">
        <f>8800-8687.16</f>
        <v>112.84000000000015</v>
      </c>
      <c r="I2795" s="16">
        <f>-H2795*G2795</f>
        <v>-694360.94000000088</v>
      </c>
      <c r="J2795" s="17">
        <v>0</v>
      </c>
      <c r="K2795" s="34">
        <v>4502462072</v>
      </c>
      <c r="L2795" s="19">
        <v>5084874949</v>
      </c>
      <c r="M2795" s="20">
        <v>5113781176</v>
      </c>
      <c r="N2795" s="23"/>
      <c r="O2795" s="9"/>
      <c r="P2795" s="23"/>
      <c r="Q2795" s="24" t="s">
        <v>31</v>
      </c>
      <c r="R2795" s="25">
        <v>44896</v>
      </c>
      <c r="S2795" s="28"/>
      <c r="T2795" s="35"/>
      <c r="U2795" s="35"/>
      <c r="V2795" s="29"/>
      <c r="W2795" s="35"/>
      <c r="X2795" s="29"/>
      <c r="Y2795" s="36"/>
      <c r="Z2795" s="29"/>
      <c r="AA2795" s="31">
        <f t="shared" si="1"/>
        <v>44896</v>
      </c>
      <c r="AB2795" s="32" t="str">
        <f t="shared" si="5"/>
        <v>diciembre</v>
      </c>
    </row>
    <row r="2796" spans="1:28" ht="12.75">
      <c r="A2796" s="9" t="s">
        <v>485</v>
      </c>
      <c r="B2796" s="10">
        <v>44900</v>
      </c>
      <c r="C2796" s="11"/>
      <c r="D2796" s="53">
        <v>49</v>
      </c>
      <c r="E2796" s="13" t="s">
        <v>3209</v>
      </c>
      <c r="F2796" s="13">
        <v>3025459</v>
      </c>
      <c r="G2796" s="14">
        <v>17617.5</v>
      </c>
      <c r="H2796" s="33">
        <v>9100</v>
      </c>
      <c r="I2796" s="16">
        <f>H2796*G2796</f>
        <v>160319250</v>
      </c>
      <c r="J2796" s="17">
        <v>42</v>
      </c>
      <c r="K2796" s="34">
        <v>4502462073</v>
      </c>
      <c r="L2796" s="19">
        <v>5084874950</v>
      </c>
      <c r="M2796" s="20">
        <v>5113781239</v>
      </c>
      <c r="N2796" s="23"/>
      <c r="O2796" s="9" t="s">
        <v>63</v>
      </c>
      <c r="P2796" s="23"/>
      <c r="Q2796" s="24" t="s">
        <v>31</v>
      </c>
      <c r="R2796" s="25">
        <v>44896</v>
      </c>
      <c r="S2796" s="28"/>
      <c r="T2796" s="35"/>
      <c r="U2796" s="35"/>
      <c r="V2796" s="29"/>
      <c r="W2796" s="35"/>
      <c r="X2796" s="29"/>
      <c r="Y2796" s="36"/>
      <c r="Z2796" s="29"/>
      <c r="AA2796" s="31">
        <f t="shared" si="1"/>
        <v>44896</v>
      </c>
      <c r="AB2796" s="32" t="str">
        <f t="shared" si="5"/>
        <v>diciembre</v>
      </c>
    </row>
    <row r="2797" spans="1:28" ht="12.75">
      <c r="A2797" s="9" t="s">
        <v>485</v>
      </c>
      <c r="B2797" s="10">
        <v>44900</v>
      </c>
      <c r="C2797" s="11"/>
      <c r="D2797" s="53">
        <v>49</v>
      </c>
      <c r="E2797" s="13" t="s">
        <v>249</v>
      </c>
      <c r="F2797" s="13">
        <v>3025459</v>
      </c>
      <c r="G2797" s="14">
        <v>17617.5</v>
      </c>
      <c r="H2797" s="33">
        <f>9100-9080.51</f>
        <v>19.489999999999782</v>
      </c>
      <c r="I2797" s="16">
        <f>-H2797*G2797</f>
        <v>-343365.07499999617</v>
      </c>
      <c r="J2797" s="17">
        <v>0</v>
      </c>
      <c r="K2797" s="34">
        <v>4502462073</v>
      </c>
      <c r="L2797" s="19">
        <v>5084874950</v>
      </c>
      <c r="M2797" s="20">
        <v>5113781240</v>
      </c>
      <c r="N2797" s="23"/>
      <c r="O2797" s="9"/>
      <c r="P2797" s="23"/>
      <c r="Q2797" s="24" t="s">
        <v>31</v>
      </c>
      <c r="R2797" s="25">
        <v>44896</v>
      </c>
      <c r="S2797" s="28"/>
      <c r="T2797" s="35"/>
      <c r="U2797" s="35"/>
      <c r="V2797" s="29"/>
      <c r="W2797" s="35"/>
      <c r="X2797" s="29"/>
      <c r="Y2797" s="36"/>
      <c r="Z2797" s="29"/>
      <c r="AA2797" s="31">
        <f t="shared" si="1"/>
        <v>44896</v>
      </c>
      <c r="AB2797" s="32" t="str">
        <f t="shared" si="5"/>
        <v>diciembre</v>
      </c>
    </row>
    <row r="2798" spans="1:28" ht="12.75">
      <c r="A2798" s="9" t="s">
        <v>58</v>
      </c>
      <c r="B2798" s="10">
        <v>44901</v>
      </c>
      <c r="C2798" s="11">
        <v>44901</v>
      </c>
      <c r="D2798" s="53">
        <v>49</v>
      </c>
      <c r="E2798" s="13" t="s">
        <v>3210</v>
      </c>
      <c r="F2798" s="13">
        <v>3025459</v>
      </c>
      <c r="G2798" s="14">
        <v>13432</v>
      </c>
      <c r="H2798" s="33">
        <v>9200</v>
      </c>
      <c r="I2798" s="16">
        <f>H2798*G2798</f>
        <v>123574400</v>
      </c>
      <c r="J2798" s="17">
        <v>31</v>
      </c>
      <c r="K2798" s="34">
        <v>4502462074</v>
      </c>
      <c r="L2798" s="19">
        <v>5084876579</v>
      </c>
      <c r="M2798" s="20">
        <v>5113783052</v>
      </c>
      <c r="N2798" s="23"/>
      <c r="O2798" s="9" t="s">
        <v>37</v>
      </c>
      <c r="P2798" s="23"/>
      <c r="Q2798" s="24" t="s">
        <v>31</v>
      </c>
      <c r="R2798" s="25">
        <v>44896</v>
      </c>
      <c r="S2798" s="28"/>
      <c r="T2798" s="35"/>
      <c r="U2798" s="35"/>
      <c r="V2798" s="29"/>
      <c r="W2798" s="35"/>
      <c r="X2798" s="29"/>
      <c r="Y2798" s="36"/>
      <c r="Z2798" s="29"/>
      <c r="AA2798" s="31">
        <f t="shared" si="1"/>
        <v>44896</v>
      </c>
      <c r="AB2798" s="32" t="str">
        <f t="shared" si="5"/>
        <v>diciembre</v>
      </c>
    </row>
    <row r="2799" spans="1:28" ht="12.75">
      <c r="A2799" s="9" t="s">
        <v>58</v>
      </c>
      <c r="B2799" s="10">
        <v>44901</v>
      </c>
      <c r="C2799" s="11">
        <v>44901</v>
      </c>
      <c r="D2799" s="53">
        <v>49</v>
      </c>
      <c r="E2799" s="13" t="s">
        <v>3211</v>
      </c>
      <c r="F2799" s="13">
        <v>3025459</v>
      </c>
      <c r="G2799" s="14">
        <v>13432</v>
      </c>
      <c r="H2799" s="33">
        <f>9200-9041.52</f>
        <v>158.47999999999956</v>
      </c>
      <c r="I2799" s="16">
        <f>-H2799*G2799</f>
        <v>-2128703.3599999943</v>
      </c>
      <c r="J2799" s="17">
        <v>0</v>
      </c>
      <c r="K2799" s="34">
        <v>4502462074</v>
      </c>
      <c r="L2799" s="19">
        <v>5084876579</v>
      </c>
      <c r="M2799" s="20">
        <v>5113783056</v>
      </c>
      <c r="N2799" s="23"/>
      <c r="O2799" s="9"/>
      <c r="P2799" s="23"/>
      <c r="Q2799" s="24" t="s">
        <v>31</v>
      </c>
      <c r="R2799" s="25">
        <v>44896</v>
      </c>
      <c r="S2799" s="28"/>
      <c r="T2799" s="35"/>
      <c r="U2799" s="35"/>
      <c r="V2799" s="29"/>
      <c r="W2799" s="35"/>
      <c r="X2799" s="29"/>
      <c r="Y2799" s="36"/>
      <c r="Z2799" s="29"/>
      <c r="AA2799" s="31">
        <f t="shared" si="1"/>
        <v>44896</v>
      </c>
      <c r="AB2799" s="32" t="str">
        <f t="shared" si="5"/>
        <v>diciembre</v>
      </c>
    </row>
    <row r="2800" spans="1:28" ht="12.75">
      <c r="A2800" s="9" t="s">
        <v>58</v>
      </c>
      <c r="B2800" s="10">
        <v>44901</v>
      </c>
      <c r="C2800" s="11">
        <v>44901</v>
      </c>
      <c r="D2800" s="53">
        <v>49</v>
      </c>
      <c r="E2800" s="13" t="s">
        <v>3212</v>
      </c>
      <c r="F2800" s="13">
        <v>3025457</v>
      </c>
      <c r="G2800" s="14">
        <v>6044</v>
      </c>
      <c r="H2800" s="33">
        <v>9200</v>
      </c>
      <c r="I2800" s="16">
        <f>H2800*G2800</f>
        <v>55604800</v>
      </c>
      <c r="J2800" s="17">
        <v>15</v>
      </c>
      <c r="K2800" s="34">
        <v>4502462076</v>
      </c>
      <c r="L2800" s="19">
        <v>5084895225</v>
      </c>
      <c r="M2800" s="20">
        <v>5113783080</v>
      </c>
      <c r="N2800" s="23"/>
      <c r="O2800" s="9" t="s">
        <v>37</v>
      </c>
      <c r="P2800" s="23"/>
      <c r="Q2800" s="24" t="s">
        <v>31</v>
      </c>
      <c r="R2800" s="25">
        <v>44897</v>
      </c>
      <c r="S2800" s="28"/>
      <c r="T2800" s="35"/>
      <c r="U2800" s="35"/>
      <c r="V2800" s="29"/>
      <c r="W2800" s="35"/>
      <c r="X2800" s="29"/>
      <c r="Y2800" s="36"/>
      <c r="Z2800" s="29"/>
      <c r="AA2800" s="31">
        <f t="shared" si="1"/>
        <v>44897</v>
      </c>
      <c r="AB2800" s="32" t="str">
        <f t="shared" si="5"/>
        <v>diciembre</v>
      </c>
    </row>
    <row r="2801" spans="1:28" ht="12.75">
      <c r="A2801" s="9" t="s">
        <v>58</v>
      </c>
      <c r="B2801" s="10">
        <v>44901</v>
      </c>
      <c r="C2801" s="11">
        <v>44901</v>
      </c>
      <c r="D2801" s="53">
        <v>49</v>
      </c>
      <c r="E2801" s="13" t="s">
        <v>3213</v>
      </c>
      <c r="F2801" s="13">
        <v>3025457</v>
      </c>
      <c r="G2801" s="14">
        <v>6044</v>
      </c>
      <c r="H2801" s="33">
        <f>9200-9130.94</f>
        <v>69.059999999999491</v>
      </c>
      <c r="I2801" s="16">
        <f>-H2801*G2801</f>
        <v>-417398.63999999693</v>
      </c>
      <c r="J2801" s="17">
        <v>0</v>
      </c>
      <c r="K2801" s="34">
        <v>4502462076</v>
      </c>
      <c r="L2801" s="19">
        <v>5084895225</v>
      </c>
      <c r="M2801" s="20">
        <v>5113783082</v>
      </c>
      <c r="N2801" s="23"/>
      <c r="O2801" s="9"/>
      <c r="P2801" s="23"/>
      <c r="Q2801" s="24" t="s">
        <v>31</v>
      </c>
      <c r="R2801" s="25">
        <v>44897</v>
      </c>
      <c r="S2801" s="28"/>
      <c r="T2801" s="35"/>
      <c r="U2801" s="35"/>
      <c r="V2801" s="29"/>
      <c r="W2801" s="35"/>
      <c r="X2801" s="29"/>
      <c r="Y2801" s="36"/>
      <c r="Z2801" s="29"/>
      <c r="AA2801" s="31">
        <f t="shared" si="1"/>
        <v>44897</v>
      </c>
      <c r="AB2801" s="32" t="str">
        <f t="shared" si="5"/>
        <v>diciembre</v>
      </c>
    </row>
    <row r="2802" spans="1:28" ht="12.75">
      <c r="A2802" s="9" t="s">
        <v>58</v>
      </c>
      <c r="B2802" s="10">
        <v>44901</v>
      </c>
      <c r="C2802" s="11">
        <v>44901</v>
      </c>
      <c r="D2802" s="53">
        <v>49</v>
      </c>
      <c r="E2802" s="164" t="s">
        <v>3214</v>
      </c>
      <c r="F2802" s="13">
        <v>3025457</v>
      </c>
      <c r="G2802" s="14">
        <f>30290/2</f>
        <v>15145</v>
      </c>
      <c r="H2802" s="33">
        <v>9200</v>
      </c>
      <c r="I2802" s="16">
        <f>H2802*G2802</f>
        <v>139334000</v>
      </c>
      <c r="J2802" s="17">
        <v>60</v>
      </c>
      <c r="K2802" s="165">
        <v>4502462076</v>
      </c>
      <c r="L2802" s="19">
        <v>5084895225</v>
      </c>
      <c r="M2802" s="20">
        <v>5113783098</v>
      </c>
      <c r="N2802" s="23"/>
      <c r="O2802" s="9" t="s">
        <v>37</v>
      </c>
      <c r="P2802" s="23"/>
      <c r="Q2802" s="24" t="s">
        <v>31</v>
      </c>
      <c r="R2802" s="25">
        <v>44897</v>
      </c>
      <c r="S2802" s="28"/>
      <c r="T2802" s="35"/>
      <c r="U2802" s="35"/>
      <c r="V2802" s="29"/>
      <c r="W2802" s="35"/>
      <c r="X2802" s="29"/>
      <c r="Y2802" s="36"/>
      <c r="Z2802" s="29"/>
      <c r="AA2802" s="31">
        <f t="shared" si="1"/>
        <v>44897</v>
      </c>
      <c r="AB2802" s="32" t="str">
        <f t="shared" si="5"/>
        <v>diciembre</v>
      </c>
    </row>
    <row r="2803" spans="1:28" ht="12.75">
      <c r="A2803" s="9" t="s">
        <v>58</v>
      </c>
      <c r="B2803" s="10">
        <v>44901</v>
      </c>
      <c r="C2803" s="11">
        <v>44901</v>
      </c>
      <c r="D2803" s="53">
        <v>49</v>
      </c>
      <c r="E2803" s="13" t="s">
        <v>3215</v>
      </c>
      <c r="F2803" s="13">
        <v>3025457</v>
      </c>
      <c r="G2803" s="14">
        <v>30290</v>
      </c>
      <c r="H2803" s="33">
        <f>9200-9150</f>
        <v>50</v>
      </c>
      <c r="I2803" s="16">
        <f>-H2803*G2803</f>
        <v>-1514500</v>
      </c>
      <c r="J2803" s="17">
        <v>0</v>
      </c>
      <c r="K2803" s="34">
        <v>4502462076</v>
      </c>
      <c r="L2803" s="19">
        <v>5084895225</v>
      </c>
      <c r="M2803" s="20">
        <v>5113783100</v>
      </c>
      <c r="N2803" s="23"/>
      <c r="O2803" s="107" t="s">
        <v>3216</v>
      </c>
      <c r="P2803" s="23"/>
      <c r="Q2803" s="24" t="s">
        <v>31</v>
      </c>
      <c r="R2803" s="25">
        <v>44897</v>
      </c>
      <c r="S2803" s="28"/>
      <c r="T2803" s="35"/>
      <c r="U2803" s="35"/>
      <c r="V2803" s="29"/>
      <c r="W2803" s="35"/>
      <c r="X2803" s="29"/>
      <c r="Y2803" s="36"/>
      <c r="Z2803" s="29"/>
      <c r="AA2803" s="31">
        <f t="shared" si="1"/>
        <v>44897</v>
      </c>
      <c r="AB2803" s="32" t="str">
        <f t="shared" si="5"/>
        <v>diciembre</v>
      </c>
    </row>
    <row r="2804" spans="1:28" ht="12.75">
      <c r="A2804" s="9" t="s">
        <v>73</v>
      </c>
      <c r="B2804" s="10">
        <v>44901</v>
      </c>
      <c r="C2804" s="11">
        <v>44901</v>
      </c>
      <c r="D2804" s="53">
        <v>49</v>
      </c>
      <c r="E2804" s="13" t="s">
        <v>3217</v>
      </c>
      <c r="F2804" s="13">
        <v>3025457</v>
      </c>
      <c r="G2804" s="14">
        <v>6440</v>
      </c>
      <c r="H2804" s="33">
        <v>9100</v>
      </c>
      <c r="I2804" s="16">
        <f>H2804*G2804</f>
        <v>58604000</v>
      </c>
      <c r="J2804" s="17">
        <v>14</v>
      </c>
      <c r="K2804" s="34">
        <v>4502462077</v>
      </c>
      <c r="L2804" s="19">
        <v>5084895549</v>
      </c>
      <c r="M2804" s="20">
        <v>5113786812</v>
      </c>
      <c r="N2804" s="23"/>
      <c r="O2804" s="128" t="s">
        <v>63</v>
      </c>
      <c r="P2804" s="23"/>
      <c r="Q2804" s="24" t="s">
        <v>31</v>
      </c>
      <c r="R2804" s="25">
        <v>44897</v>
      </c>
      <c r="S2804" s="28"/>
      <c r="T2804" s="35"/>
      <c r="U2804" s="35"/>
      <c r="V2804" s="29"/>
      <c r="W2804" s="35"/>
      <c r="X2804" s="29"/>
      <c r="Y2804" s="36"/>
      <c r="Z2804" s="29"/>
      <c r="AA2804" s="31">
        <f t="shared" si="1"/>
        <v>44897</v>
      </c>
      <c r="AB2804" s="32" t="str">
        <f t="shared" si="5"/>
        <v>diciembre</v>
      </c>
    </row>
    <row r="2805" spans="1:28" ht="12.75">
      <c r="A2805" s="9" t="s">
        <v>73</v>
      </c>
      <c r="B2805" s="10">
        <v>44901</v>
      </c>
      <c r="C2805" s="11">
        <v>44901</v>
      </c>
      <c r="D2805" s="53">
        <v>49</v>
      </c>
      <c r="E2805" s="13" t="s">
        <v>3218</v>
      </c>
      <c r="F2805" s="13">
        <v>3025457</v>
      </c>
      <c r="G2805" s="14">
        <v>6440</v>
      </c>
      <c r="H2805" s="33">
        <f>9100-9024</f>
        <v>76</v>
      </c>
      <c r="I2805" s="16">
        <f>-H2805*G2805</f>
        <v>-489440</v>
      </c>
      <c r="J2805" s="17">
        <v>0</v>
      </c>
      <c r="K2805" s="34">
        <v>4502462077</v>
      </c>
      <c r="L2805" s="19">
        <v>5084895549</v>
      </c>
      <c r="M2805" s="20">
        <v>5113786815</v>
      </c>
      <c r="N2805" s="23"/>
      <c r="O2805" s="9"/>
      <c r="P2805" s="23"/>
      <c r="Q2805" s="24" t="s">
        <v>31</v>
      </c>
      <c r="R2805" s="25">
        <v>44897</v>
      </c>
      <c r="S2805" s="28"/>
      <c r="T2805" s="35"/>
      <c r="U2805" s="35"/>
      <c r="V2805" s="29"/>
      <c r="W2805" s="35"/>
      <c r="X2805" s="29"/>
      <c r="Y2805" s="36"/>
      <c r="Z2805" s="29"/>
      <c r="AA2805" s="31">
        <f t="shared" si="1"/>
        <v>44897</v>
      </c>
      <c r="AB2805" s="32" t="str">
        <f t="shared" si="5"/>
        <v>diciembre</v>
      </c>
    </row>
    <row r="2806" spans="1:28" ht="12.75">
      <c r="A2806" s="9" t="s">
        <v>247</v>
      </c>
      <c r="B2806" s="10">
        <v>44901</v>
      </c>
      <c r="C2806" s="11">
        <v>44901</v>
      </c>
      <c r="D2806" s="53">
        <v>49</v>
      </c>
      <c r="E2806" s="13" t="s">
        <v>3219</v>
      </c>
      <c r="F2806" s="13">
        <v>3025457</v>
      </c>
      <c r="G2806" s="14">
        <v>6790</v>
      </c>
      <c r="H2806" s="33">
        <v>8750</v>
      </c>
      <c r="I2806" s="16">
        <f>H2806*G2806</f>
        <v>59412500</v>
      </c>
      <c r="J2806" s="17">
        <v>14</v>
      </c>
      <c r="K2806" s="34">
        <v>4502462078</v>
      </c>
      <c r="L2806" s="19">
        <v>5084895550</v>
      </c>
      <c r="M2806" s="20">
        <v>5113790228</v>
      </c>
      <c r="N2806" s="23"/>
      <c r="O2806" s="9" t="s">
        <v>63</v>
      </c>
      <c r="P2806" s="23"/>
      <c r="Q2806" s="24" t="s">
        <v>31</v>
      </c>
      <c r="R2806" s="25">
        <v>44897</v>
      </c>
      <c r="S2806" s="28"/>
      <c r="T2806" s="35"/>
      <c r="U2806" s="35"/>
      <c r="V2806" s="29"/>
      <c r="W2806" s="35"/>
      <c r="X2806" s="29"/>
      <c r="Y2806" s="36"/>
      <c r="Z2806" s="29"/>
      <c r="AA2806" s="31">
        <f t="shared" si="1"/>
        <v>44897</v>
      </c>
      <c r="AB2806" s="32" t="str">
        <f t="shared" si="5"/>
        <v>diciembre</v>
      </c>
    </row>
    <row r="2807" spans="1:28" ht="12.75">
      <c r="A2807" s="9" t="s">
        <v>247</v>
      </c>
      <c r="B2807" s="10">
        <v>44901</v>
      </c>
      <c r="C2807" s="11"/>
      <c r="D2807" s="53">
        <v>49</v>
      </c>
      <c r="E2807" s="13" t="s">
        <v>465</v>
      </c>
      <c r="F2807" s="13">
        <v>3025457</v>
      </c>
      <c r="G2807" s="14">
        <v>6790</v>
      </c>
      <c r="H2807" s="33">
        <f>8750-8700</f>
        <v>50</v>
      </c>
      <c r="I2807" s="16">
        <f>-H2807*G2807</f>
        <v>-339500</v>
      </c>
      <c r="J2807" s="17">
        <v>0</v>
      </c>
      <c r="K2807" s="34">
        <v>4502462078</v>
      </c>
      <c r="L2807" s="19">
        <v>5084895550</v>
      </c>
      <c r="M2807" s="20">
        <v>5113790232</v>
      </c>
      <c r="N2807" s="124"/>
      <c r="O2807" s="9"/>
      <c r="P2807" s="23"/>
      <c r="Q2807" s="24" t="s">
        <v>31</v>
      </c>
      <c r="R2807" s="25">
        <v>44897</v>
      </c>
      <c r="S2807" s="28"/>
      <c r="T2807" s="35"/>
      <c r="U2807" s="35"/>
      <c r="V2807" s="29"/>
      <c r="W2807" s="35"/>
      <c r="X2807" s="29"/>
      <c r="Y2807" s="36"/>
      <c r="Z2807" s="29"/>
      <c r="AA2807" s="31">
        <f t="shared" si="1"/>
        <v>44897</v>
      </c>
      <c r="AB2807" s="32" t="str">
        <f t="shared" si="5"/>
        <v>diciembre</v>
      </c>
    </row>
    <row r="2808" spans="1:28" ht="12.75">
      <c r="A2808" s="9" t="s">
        <v>274</v>
      </c>
      <c r="B2808" s="10">
        <v>44897</v>
      </c>
      <c r="C2808" s="11">
        <v>44902</v>
      </c>
      <c r="D2808" s="53">
        <v>49</v>
      </c>
      <c r="E2808" s="13" t="s">
        <v>3220</v>
      </c>
      <c r="F2808" s="13">
        <v>3025459</v>
      </c>
      <c r="G2808" s="14">
        <v>7121.5</v>
      </c>
      <c r="H2808" s="33">
        <v>9150</v>
      </c>
      <c r="I2808" s="16">
        <f t="shared" ref="I2808:I2811" si="407">H2808*G2808</f>
        <v>65161725</v>
      </c>
      <c r="J2808" s="17">
        <v>15</v>
      </c>
      <c r="K2808" s="34">
        <v>4502462079</v>
      </c>
      <c r="L2808" s="19">
        <v>5084895646</v>
      </c>
      <c r="M2808" s="20">
        <v>5113784166</v>
      </c>
      <c r="N2808" s="23"/>
      <c r="O2808" s="9" t="s">
        <v>63</v>
      </c>
      <c r="P2808" s="23"/>
      <c r="Q2808" s="24" t="s">
        <v>31</v>
      </c>
      <c r="R2808" s="25">
        <v>44897</v>
      </c>
      <c r="S2808" s="28"/>
      <c r="T2808" s="35"/>
      <c r="U2808" s="35"/>
      <c r="V2808" s="29"/>
      <c r="W2808" s="35"/>
      <c r="X2808" s="29"/>
      <c r="Y2808" s="36"/>
      <c r="Z2808" s="29"/>
      <c r="AA2808" s="31">
        <f t="shared" si="1"/>
        <v>44897</v>
      </c>
      <c r="AB2808" s="32" t="str">
        <f t="shared" si="5"/>
        <v>diciembre</v>
      </c>
    </row>
    <row r="2809" spans="1:28" ht="12.75">
      <c r="A2809" s="9" t="s">
        <v>274</v>
      </c>
      <c r="B2809" s="10">
        <v>44897</v>
      </c>
      <c r="C2809" s="11">
        <v>44902</v>
      </c>
      <c r="D2809" s="53">
        <v>49</v>
      </c>
      <c r="E2809" s="13" t="s">
        <v>1013</v>
      </c>
      <c r="F2809" s="13">
        <v>3025459</v>
      </c>
      <c r="G2809" s="14">
        <v>7121.5</v>
      </c>
      <c r="H2809" s="33">
        <f>9150-9124</f>
        <v>26</v>
      </c>
      <c r="I2809" s="16">
        <f t="shared" si="407"/>
        <v>185159</v>
      </c>
      <c r="J2809" s="17">
        <v>0</v>
      </c>
      <c r="K2809" s="34">
        <v>4502462079</v>
      </c>
      <c r="L2809" s="19">
        <v>5084895646</v>
      </c>
      <c r="M2809" s="20">
        <v>5113784248</v>
      </c>
      <c r="N2809" s="23"/>
      <c r="O2809" s="9"/>
      <c r="P2809" s="23"/>
      <c r="Q2809" s="24" t="s">
        <v>31</v>
      </c>
      <c r="R2809" s="25">
        <v>44897</v>
      </c>
      <c r="S2809" s="28"/>
      <c r="T2809" s="35"/>
      <c r="U2809" s="35"/>
      <c r="V2809" s="29"/>
      <c r="W2809" s="35"/>
      <c r="X2809" s="29"/>
      <c r="Y2809" s="36"/>
      <c r="Z2809" s="29"/>
      <c r="AA2809" s="31">
        <f t="shared" si="1"/>
        <v>44897</v>
      </c>
      <c r="AB2809" s="32" t="str">
        <f t="shared" si="5"/>
        <v>diciembre</v>
      </c>
    </row>
    <row r="2810" spans="1:28" ht="12.75">
      <c r="A2810" s="9" t="s">
        <v>58</v>
      </c>
      <c r="B2810" s="10">
        <v>44901</v>
      </c>
      <c r="C2810" s="11">
        <v>44901</v>
      </c>
      <c r="D2810" s="53">
        <v>49</v>
      </c>
      <c r="E2810" s="13" t="s">
        <v>3214</v>
      </c>
      <c r="F2810" s="13">
        <v>3025460</v>
      </c>
      <c r="G2810" s="14">
        <f>30290/2</f>
        <v>15145</v>
      </c>
      <c r="H2810" s="33">
        <v>9200</v>
      </c>
      <c r="I2810" s="16">
        <f t="shared" si="407"/>
        <v>139334000</v>
      </c>
      <c r="J2810" s="17">
        <v>30</v>
      </c>
      <c r="K2810" s="34">
        <v>4502462080</v>
      </c>
      <c r="L2810" s="19">
        <v>5084895225</v>
      </c>
      <c r="M2810" s="20">
        <v>5113783098</v>
      </c>
      <c r="N2810" s="23"/>
      <c r="O2810" s="9" t="s">
        <v>37</v>
      </c>
      <c r="P2810" s="23"/>
      <c r="Q2810" s="24" t="s">
        <v>31</v>
      </c>
      <c r="R2810" s="25">
        <v>44897</v>
      </c>
      <c r="S2810" s="28"/>
      <c r="T2810" s="35"/>
      <c r="U2810" s="35"/>
      <c r="V2810" s="29"/>
      <c r="W2810" s="35"/>
      <c r="X2810" s="29"/>
      <c r="Y2810" s="36"/>
      <c r="Z2810" s="29"/>
      <c r="AA2810" s="31">
        <f t="shared" si="1"/>
        <v>44897</v>
      </c>
      <c r="AB2810" s="32" t="str">
        <f t="shared" si="5"/>
        <v>diciembre</v>
      </c>
    </row>
    <row r="2811" spans="1:28" ht="12.75">
      <c r="A2811" s="22" t="s">
        <v>774</v>
      </c>
      <c r="B2811" s="10">
        <v>44915</v>
      </c>
      <c r="C2811" s="11">
        <v>44915</v>
      </c>
      <c r="D2811" s="53">
        <v>49</v>
      </c>
      <c r="E2811" s="13" t="s">
        <v>1658</v>
      </c>
      <c r="F2811" s="13">
        <v>3025460</v>
      </c>
      <c r="G2811" s="14">
        <v>23915.5</v>
      </c>
      <c r="H2811" s="33">
        <v>8900</v>
      </c>
      <c r="I2811" s="16">
        <f t="shared" si="407"/>
        <v>212847950</v>
      </c>
      <c r="J2811" s="17">
        <v>60</v>
      </c>
      <c r="K2811" s="34">
        <v>4502462081</v>
      </c>
      <c r="L2811" s="19">
        <v>5084895647</v>
      </c>
      <c r="M2811" s="20">
        <v>5113819893</v>
      </c>
      <c r="N2811" s="23"/>
      <c r="O2811" s="9" t="s">
        <v>63</v>
      </c>
      <c r="P2811" s="23"/>
      <c r="Q2811" s="24" t="s">
        <v>31</v>
      </c>
      <c r="R2811" s="25">
        <v>44897</v>
      </c>
      <c r="S2811" s="28"/>
      <c r="T2811" s="35"/>
      <c r="U2811" s="35"/>
      <c r="V2811" s="29"/>
      <c r="W2811" s="35"/>
      <c r="X2811" s="29"/>
      <c r="Y2811" s="36"/>
      <c r="Z2811" s="29"/>
      <c r="AA2811" s="31">
        <f t="shared" si="1"/>
        <v>44897</v>
      </c>
      <c r="AB2811" s="32" t="str">
        <f t="shared" si="5"/>
        <v>diciembre</v>
      </c>
    </row>
    <row r="2812" spans="1:28" ht="12.75">
      <c r="A2812" s="22" t="s">
        <v>774</v>
      </c>
      <c r="B2812" s="10">
        <v>44915</v>
      </c>
      <c r="C2812" s="11">
        <v>44915</v>
      </c>
      <c r="D2812" s="53">
        <v>49</v>
      </c>
      <c r="E2812" s="13" t="s">
        <v>575</v>
      </c>
      <c r="F2812" s="13">
        <v>3025460</v>
      </c>
      <c r="G2812" s="14">
        <v>23915.5</v>
      </c>
      <c r="H2812" s="33">
        <f>8900-8748.71</f>
        <v>151.29000000000087</v>
      </c>
      <c r="I2812" s="16">
        <f>-H2812*G2812</f>
        <v>-3618175.9950000211</v>
      </c>
      <c r="J2812" s="17">
        <v>0</v>
      </c>
      <c r="K2812" s="34">
        <v>4502462081</v>
      </c>
      <c r="L2812" s="19">
        <v>5084895647</v>
      </c>
      <c r="M2812" s="20">
        <v>5113819894</v>
      </c>
      <c r="N2812" s="23"/>
      <c r="O2812" s="9"/>
      <c r="P2812" s="23"/>
      <c r="Q2812" s="24" t="s">
        <v>31</v>
      </c>
      <c r="R2812" s="25">
        <v>44897</v>
      </c>
      <c r="S2812" s="28"/>
      <c r="T2812" s="35"/>
      <c r="U2812" s="35"/>
      <c r="V2812" s="29"/>
      <c r="W2812" s="35"/>
      <c r="X2812" s="29"/>
      <c r="Y2812" s="36"/>
      <c r="Z2812" s="29"/>
      <c r="AA2812" s="31">
        <f t="shared" si="1"/>
        <v>44897</v>
      </c>
      <c r="AB2812" s="32" t="str">
        <f t="shared" si="5"/>
        <v>diciembre</v>
      </c>
    </row>
    <row r="2813" spans="1:28" ht="12.75">
      <c r="A2813" s="9" t="s">
        <v>3221</v>
      </c>
      <c r="B2813" s="10">
        <v>44901</v>
      </c>
      <c r="C2813" s="11"/>
      <c r="D2813" s="53">
        <v>49</v>
      </c>
      <c r="E2813" s="13" t="s">
        <v>3222</v>
      </c>
      <c r="F2813" s="13">
        <v>3025460</v>
      </c>
      <c r="G2813" s="14">
        <v>12467</v>
      </c>
      <c r="H2813" s="33">
        <v>8800</v>
      </c>
      <c r="I2813" s="16">
        <f>H2813*G2813</f>
        <v>109709600</v>
      </c>
      <c r="J2813" s="17">
        <v>28</v>
      </c>
      <c r="K2813" s="34">
        <v>4502462082</v>
      </c>
      <c r="L2813" s="19">
        <v>5084895555</v>
      </c>
      <c r="M2813" s="20">
        <v>5113786318</v>
      </c>
      <c r="N2813" s="23"/>
      <c r="O2813" s="9" t="s">
        <v>63</v>
      </c>
      <c r="P2813" s="23" t="s">
        <v>3223</v>
      </c>
      <c r="Q2813" s="24" t="s">
        <v>31</v>
      </c>
      <c r="R2813" s="25">
        <v>44897</v>
      </c>
      <c r="S2813" s="28"/>
      <c r="T2813" s="35"/>
      <c r="U2813" s="35"/>
      <c r="V2813" s="29"/>
      <c r="W2813" s="35"/>
      <c r="X2813" s="29"/>
      <c r="Y2813" s="36"/>
      <c r="Z2813" s="29"/>
      <c r="AA2813" s="31">
        <f t="shared" si="1"/>
        <v>44897</v>
      </c>
      <c r="AB2813" s="32" t="str">
        <f t="shared" si="5"/>
        <v>diciembre</v>
      </c>
    </row>
    <row r="2814" spans="1:28" ht="12.75">
      <c r="A2814" s="9" t="s">
        <v>3221</v>
      </c>
      <c r="B2814" s="10">
        <v>44901</v>
      </c>
      <c r="C2814" s="11"/>
      <c r="D2814" s="53">
        <v>49</v>
      </c>
      <c r="E2814" s="13" t="s">
        <v>3224</v>
      </c>
      <c r="F2814" s="13">
        <v>3025460</v>
      </c>
      <c r="G2814" s="14">
        <v>12467</v>
      </c>
      <c r="H2814" s="33">
        <f>8800-8690.74</f>
        <v>109.26000000000022</v>
      </c>
      <c r="I2814" s="16">
        <f>-H2814*G2814</f>
        <v>-1362144.4200000027</v>
      </c>
      <c r="J2814" s="17">
        <v>0</v>
      </c>
      <c r="K2814" s="34">
        <v>4502462082</v>
      </c>
      <c r="L2814" s="19">
        <v>5084895555</v>
      </c>
      <c r="M2814" s="20">
        <v>5113786319</v>
      </c>
      <c r="N2814" s="23"/>
      <c r="O2814" s="9"/>
      <c r="P2814" s="23" t="s">
        <v>3225</v>
      </c>
      <c r="Q2814" s="24" t="s">
        <v>31</v>
      </c>
      <c r="R2814" s="25">
        <v>44897</v>
      </c>
      <c r="S2814" s="28"/>
      <c r="T2814" s="35"/>
      <c r="U2814" s="35"/>
      <c r="V2814" s="29"/>
      <c r="W2814" s="35"/>
      <c r="X2814" s="29"/>
      <c r="Y2814" s="36"/>
      <c r="Z2814" s="29"/>
      <c r="AA2814" s="31">
        <f t="shared" si="1"/>
        <v>44897</v>
      </c>
      <c r="AB2814" s="32" t="str">
        <f t="shared" si="5"/>
        <v>diciembre</v>
      </c>
    </row>
    <row r="2815" spans="1:28" ht="12.75">
      <c r="A2815" s="9" t="s">
        <v>452</v>
      </c>
      <c r="B2815" s="10">
        <v>44902</v>
      </c>
      <c r="C2815" s="10">
        <v>44902</v>
      </c>
      <c r="D2815" s="53">
        <v>49</v>
      </c>
      <c r="E2815" s="13" t="s">
        <v>36</v>
      </c>
      <c r="F2815" s="13">
        <v>3025460</v>
      </c>
      <c r="G2815" s="14">
        <v>7311.5</v>
      </c>
      <c r="H2815" s="33">
        <v>8750</v>
      </c>
      <c r="I2815" s="16">
        <f t="shared" ref="I2815:I2821" si="408">H2815*G2815</f>
        <v>63975625</v>
      </c>
      <c r="J2815" s="17">
        <v>14</v>
      </c>
      <c r="K2815" s="34">
        <v>4502462084</v>
      </c>
      <c r="L2815" s="19">
        <v>5084895556</v>
      </c>
      <c r="M2815" s="20">
        <v>5113786279</v>
      </c>
      <c r="N2815" s="23"/>
      <c r="O2815" s="9" t="s">
        <v>37</v>
      </c>
      <c r="P2815" s="23"/>
      <c r="Q2815" s="24" t="s">
        <v>31</v>
      </c>
      <c r="R2815" s="25">
        <v>44897</v>
      </c>
      <c r="S2815" s="28"/>
      <c r="T2815" s="35"/>
      <c r="U2815" s="35"/>
      <c r="V2815" s="29"/>
      <c r="W2815" s="35"/>
      <c r="X2815" s="29"/>
      <c r="Y2815" s="36"/>
      <c r="Z2815" s="29"/>
      <c r="AA2815" s="31">
        <f t="shared" si="1"/>
        <v>44897</v>
      </c>
      <c r="AB2815" s="32" t="str">
        <f t="shared" si="5"/>
        <v>diciembre</v>
      </c>
    </row>
    <row r="2816" spans="1:28" ht="12.75">
      <c r="A2816" s="9" t="s">
        <v>250</v>
      </c>
      <c r="B2816" s="10">
        <v>44897</v>
      </c>
      <c r="C2816" s="11">
        <v>44901</v>
      </c>
      <c r="D2816" s="53">
        <v>49</v>
      </c>
      <c r="E2816" s="13" t="s">
        <v>3226</v>
      </c>
      <c r="F2816" s="13">
        <v>3025460</v>
      </c>
      <c r="G2816" s="14">
        <v>7326.5</v>
      </c>
      <c r="H2816" s="33">
        <v>8750</v>
      </c>
      <c r="I2816" s="16">
        <f t="shared" si="408"/>
        <v>64106875</v>
      </c>
      <c r="J2816" s="17">
        <v>15</v>
      </c>
      <c r="K2816" s="34">
        <v>4502462086</v>
      </c>
      <c r="L2816" s="19">
        <v>5084895557</v>
      </c>
      <c r="M2816" s="20">
        <v>5113781816</v>
      </c>
      <c r="N2816" s="23"/>
      <c r="O2816" s="9" t="s">
        <v>63</v>
      </c>
      <c r="P2816" s="124"/>
      <c r="Q2816" s="24" t="s">
        <v>31</v>
      </c>
      <c r="R2816" s="25">
        <v>44897</v>
      </c>
      <c r="S2816" s="28"/>
      <c r="T2816" s="35"/>
      <c r="U2816" s="35"/>
      <c r="V2816" s="29"/>
      <c r="W2816" s="35"/>
      <c r="X2816" s="29"/>
      <c r="Y2816" s="36"/>
      <c r="Z2816" s="29"/>
      <c r="AA2816" s="31">
        <f t="shared" si="1"/>
        <v>44897</v>
      </c>
      <c r="AB2816" s="32" t="str">
        <f t="shared" si="5"/>
        <v>diciembre</v>
      </c>
    </row>
    <row r="2817" spans="1:28" ht="12.75">
      <c r="A2817" s="9" t="s">
        <v>1120</v>
      </c>
      <c r="B2817" s="10">
        <v>44907</v>
      </c>
      <c r="C2817" s="11"/>
      <c r="D2817" s="53">
        <v>49</v>
      </c>
      <c r="E2817" s="13" t="s">
        <v>3227</v>
      </c>
      <c r="F2817" s="13">
        <v>3025460</v>
      </c>
      <c r="G2817" s="14">
        <v>20312</v>
      </c>
      <c r="H2817" s="33">
        <v>8750</v>
      </c>
      <c r="I2817" s="16">
        <f t="shared" si="408"/>
        <v>177730000</v>
      </c>
      <c r="J2817" s="17">
        <v>42</v>
      </c>
      <c r="K2817" s="34">
        <v>4502465606</v>
      </c>
      <c r="L2817" s="19">
        <v>5084929798</v>
      </c>
      <c r="M2817" s="20">
        <v>5113796584</v>
      </c>
      <c r="N2817" s="23"/>
      <c r="O2817" s="9" t="s">
        <v>63</v>
      </c>
      <c r="P2817" s="23"/>
      <c r="Q2817" s="24" t="s">
        <v>82</v>
      </c>
      <c r="R2817" s="25">
        <v>44897</v>
      </c>
      <c r="S2817" s="28"/>
      <c r="T2817" s="35"/>
      <c r="U2817" s="35"/>
      <c r="V2817" s="29"/>
      <c r="W2817" s="35"/>
      <c r="X2817" s="29"/>
      <c r="Y2817" s="36"/>
      <c r="Z2817" s="29"/>
      <c r="AA2817" s="31">
        <f t="shared" si="1"/>
        <v>44897</v>
      </c>
      <c r="AB2817" s="32" t="str">
        <f t="shared" si="5"/>
        <v>diciembre</v>
      </c>
    </row>
    <row r="2818" spans="1:28" ht="12.75">
      <c r="A2818" s="9" t="s">
        <v>1120</v>
      </c>
      <c r="B2818" s="10">
        <v>44908</v>
      </c>
      <c r="C2818" s="11"/>
      <c r="D2818" s="53">
        <v>49</v>
      </c>
      <c r="E2818" s="13" t="s">
        <v>863</v>
      </c>
      <c r="F2818" s="13">
        <v>3025460</v>
      </c>
      <c r="G2818" s="14">
        <v>20312</v>
      </c>
      <c r="H2818" s="33">
        <f>8774-8750</f>
        <v>24</v>
      </c>
      <c r="I2818" s="16">
        <f t="shared" si="408"/>
        <v>487488</v>
      </c>
      <c r="J2818" s="17">
        <v>0</v>
      </c>
      <c r="K2818" s="34">
        <v>4502465606</v>
      </c>
      <c r="L2818" s="19">
        <v>5084929798</v>
      </c>
      <c r="M2818" s="20">
        <v>5113800802</v>
      </c>
      <c r="N2818" s="23"/>
      <c r="O2818" s="9"/>
      <c r="P2818" s="23"/>
      <c r="Q2818" s="24" t="s">
        <v>82</v>
      </c>
      <c r="R2818" s="25">
        <v>44897</v>
      </c>
      <c r="S2818" s="28"/>
      <c r="T2818" s="35"/>
      <c r="U2818" s="35"/>
      <c r="V2818" s="29"/>
      <c r="W2818" s="35"/>
      <c r="X2818" s="29"/>
      <c r="Y2818" s="36"/>
      <c r="Z2818" s="29"/>
      <c r="AA2818" s="31">
        <f t="shared" si="1"/>
        <v>44897</v>
      </c>
      <c r="AB2818" s="32" t="str">
        <f t="shared" si="5"/>
        <v>diciembre</v>
      </c>
    </row>
    <row r="2819" spans="1:28" ht="12.75">
      <c r="A2819" s="9" t="s">
        <v>83</v>
      </c>
      <c r="B2819" s="10">
        <v>44897</v>
      </c>
      <c r="C2819" s="11">
        <v>44901</v>
      </c>
      <c r="D2819" s="53">
        <v>49</v>
      </c>
      <c r="E2819" s="13" t="s">
        <v>3228</v>
      </c>
      <c r="F2819" s="13">
        <v>3025460</v>
      </c>
      <c r="G2819" s="14">
        <v>25252</v>
      </c>
      <c r="H2819" s="33">
        <v>8800</v>
      </c>
      <c r="I2819" s="16">
        <f t="shared" si="408"/>
        <v>222217600</v>
      </c>
      <c r="J2819" s="17">
        <v>56</v>
      </c>
      <c r="K2819" s="34">
        <v>4502465614</v>
      </c>
      <c r="L2819" s="19">
        <v>5084929804</v>
      </c>
      <c r="M2819" s="20">
        <v>5113786719</v>
      </c>
      <c r="N2819" s="23"/>
      <c r="O2819" s="22" t="s">
        <v>37</v>
      </c>
      <c r="P2819" s="23"/>
      <c r="Q2819" s="24" t="s">
        <v>82</v>
      </c>
      <c r="R2819" s="25">
        <v>44897</v>
      </c>
      <c r="S2819" s="28"/>
      <c r="T2819" s="35"/>
      <c r="U2819" s="35"/>
      <c r="V2819" s="29"/>
      <c r="W2819" s="35"/>
      <c r="X2819" s="29"/>
      <c r="Y2819" s="36"/>
      <c r="Z2819" s="29"/>
      <c r="AA2819" s="31">
        <f t="shared" si="1"/>
        <v>44897</v>
      </c>
      <c r="AB2819" s="32" t="str">
        <f t="shared" si="5"/>
        <v>diciembre</v>
      </c>
    </row>
    <row r="2820" spans="1:28" ht="12.75">
      <c r="A2820" s="9" t="s">
        <v>85</v>
      </c>
      <c r="B2820" s="10">
        <v>44898</v>
      </c>
      <c r="C2820" s="11">
        <v>44907</v>
      </c>
      <c r="D2820" s="53">
        <v>49</v>
      </c>
      <c r="E2820" s="13" t="s">
        <v>3229</v>
      </c>
      <c r="F2820" s="13">
        <v>3025460</v>
      </c>
      <c r="G2820" s="14">
        <v>24963</v>
      </c>
      <c r="H2820" s="33">
        <v>8750</v>
      </c>
      <c r="I2820" s="16">
        <f t="shared" si="408"/>
        <v>218426250</v>
      </c>
      <c r="J2820" s="17">
        <v>56</v>
      </c>
      <c r="K2820" s="34">
        <v>4502465633</v>
      </c>
      <c r="L2820" s="19">
        <v>5084929861</v>
      </c>
      <c r="M2820" s="20">
        <v>5113783139</v>
      </c>
      <c r="N2820" s="23"/>
      <c r="O2820" s="23" t="s">
        <v>63</v>
      </c>
      <c r="P2820" s="23"/>
      <c r="Q2820" s="24" t="s">
        <v>82</v>
      </c>
      <c r="R2820" s="25">
        <v>44897</v>
      </c>
      <c r="S2820" s="28"/>
      <c r="T2820" s="35"/>
      <c r="U2820" s="35"/>
      <c r="V2820" s="29"/>
      <c r="W2820" s="35"/>
      <c r="X2820" s="29"/>
      <c r="Y2820" s="36"/>
      <c r="Z2820" s="29"/>
      <c r="AA2820" s="31">
        <f t="shared" si="1"/>
        <v>44897</v>
      </c>
      <c r="AB2820" s="32" t="str">
        <f t="shared" si="5"/>
        <v>diciembre</v>
      </c>
    </row>
    <row r="2821" spans="1:28" ht="12.75">
      <c r="A2821" s="9" t="s">
        <v>2360</v>
      </c>
      <c r="B2821" s="10">
        <v>44901</v>
      </c>
      <c r="C2821" s="11"/>
      <c r="D2821" s="53">
        <v>49</v>
      </c>
      <c r="E2821" s="13" t="s">
        <v>3230</v>
      </c>
      <c r="F2821" s="13">
        <v>3025457</v>
      </c>
      <c r="G2821" s="14">
        <v>6690.5</v>
      </c>
      <c r="H2821" s="33">
        <v>8800</v>
      </c>
      <c r="I2821" s="16">
        <f t="shared" si="408"/>
        <v>58876400</v>
      </c>
      <c r="J2821" s="17">
        <v>14</v>
      </c>
      <c r="K2821" s="34">
        <v>4502462087</v>
      </c>
      <c r="L2821" s="19">
        <v>5084895635</v>
      </c>
      <c r="M2821" s="20">
        <v>5113783170</v>
      </c>
      <c r="N2821" s="23"/>
      <c r="O2821" s="9" t="s">
        <v>63</v>
      </c>
      <c r="P2821" s="23"/>
      <c r="Q2821" s="24" t="s">
        <v>31</v>
      </c>
      <c r="R2821" s="25">
        <v>44898</v>
      </c>
      <c r="S2821" s="28"/>
      <c r="T2821" s="35"/>
      <c r="U2821" s="35"/>
      <c r="V2821" s="29"/>
      <c r="W2821" s="35"/>
      <c r="X2821" s="29"/>
      <c r="Y2821" s="36"/>
      <c r="Z2821" s="29"/>
      <c r="AA2821" s="31">
        <f t="shared" si="1"/>
        <v>44898</v>
      </c>
      <c r="AB2821" s="32" t="str">
        <f t="shared" si="5"/>
        <v>diciembre</v>
      </c>
    </row>
    <row r="2822" spans="1:28" ht="12.75">
      <c r="A2822" s="9" t="s">
        <v>2360</v>
      </c>
      <c r="B2822" s="10">
        <v>44901</v>
      </c>
      <c r="C2822" s="11"/>
      <c r="D2822" s="53">
        <v>49</v>
      </c>
      <c r="E2822" s="13" t="s">
        <v>1589</v>
      </c>
      <c r="F2822" s="13">
        <v>3025457</v>
      </c>
      <c r="G2822" s="14">
        <v>6690.5</v>
      </c>
      <c r="H2822" s="33">
        <f>8800-8750</f>
        <v>50</v>
      </c>
      <c r="I2822" s="16">
        <f>-H2822*G2822</f>
        <v>-334525</v>
      </c>
      <c r="J2822" s="17">
        <v>0</v>
      </c>
      <c r="K2822" s="34">
        <v>4502462087</v>
      </c>
      <c r="L2822" s="19">
        <v>5084895635</v>
      </c>
      <c r="M2822" s="20">
        <v>5113783173</v>
      </c>
      <c r="N2822" s="23"/>
      <c r="O2822" s="9"/>
      <c r="P2822" s="23"/>
      <c r="Q2822" s="24" t="s">
        <v>31</v>
      </c>
      <c r="R2822" s="25">
        <v>44898</v>
      </c>
      <c r="S2822" s="28"/>
      <c r="T2822" s="35"/>
      <c r="U2822" s="35"/>
      <c r="V2822" s="29"/>
      <c r="W2822" s="35"/>
      <c r="X2822" s="29"/>
      <c r="Y2822" s="36"/>
      <c r="Z2822" s="29"/>
      <c r="AA2822" s="31">
        <f t="shared" si="1"/>
        <v>44898</v>
      </c>
      <c r="AB2822" s="32" t="str">
        <f t="shared" si="5"/>
        <v>diciembre</v>
      </c>
    </row>
    <row r="2823" spans="1:28" ht="12.75">
      <c r="A2823" s="9" t="s">
        <v>213</v>
      </c>
      <c r="B2823" s="10">
        <v>44898</v>
      </c>
      <c r="C2823" s="11"/>
      <c r="D2823" s="53">
        <v>49</v>
      </c>
      <c r="E2823" s="13" t="s">
        <v>3231</v>
      </c>
      <c r="F2823" s="13">
        <v>3025460</v>
      </c>
      <c r="G2823" s="14">
        <v>12283</v>
      </c>
      <c r="H2823" s="33">
        <v>8750</v>
      </c>
      <c r="I2823" s="16">
        <f>H2823*G2823</f>
        <v>107476250</v>
      </c>
      <c r="J2823" s="17">
        <v>30</v>
      </c>
      <c r="K2823" s="34">
        <v>4502462088</v>
      </c>
      <c r="L2823" s="19">
        <v>5084895644</v>
      </c>
      <c r="M2823" s="20">
        <v>5113790023</v>
      </c>
      <c r="N2823" s="23"/>
      <c r="O2823" s="9" t="s">
        <v>37</v>
      </c>
      <c r="P2823" s="23"/>
      <c r="Q2823" s="24" t="s">
        <v>31</v>
      </c>
      <c r="R2823" s="25">
        <v>44898</v>
      </c>
      <c r="S2823" s="28"/>
      <c r="T2823" s="35"/>
      <c r="U2823" s="35"/>
      <c r="V2823" s="29"/>
      <c r="W2823" s="35"/>
      <c r="X2823" s="29"/>
      <c r="Y2823" s="36"/>
      <c r="Z2823" s="29"/>
      <c r="AA2823" s="31">
        <f t="shared" si="1"/>
        <v>44898</v>
      </c>
      <c r="AB2823" s="32" t="str">
        <f t="shared" si="5"/>
        <v>diciembre</v>
      </c>
    </row>
    <row r="2824" spans="1:28" ht="12.75">
      <c r="A2824" s="9" t="s">
        <v>213</v>
      </c>
      <c r="B2824" s="10">
        <v>44898</v>
      </c>
      <c r="C2824" s="11"/>
      <c r="D2824" s="53">
        <v>49</v>
      </c>
      <c r="E2824" s="13" t="s">
        <v>41</v>
      </c>
      <c r="F2824" s="13">
        <v>3025460</v>
      </c>
      <c r="G2824" s="14">
        <v>12283</v>
      </c>
      <c r="H2824" s="33">
        <f>8750-8690.98</f>
        <v>59.020000000000437</v>
      </c>
      <c r="I2824" s="16">
        <f>-H2824*G2824</f>
        <v>-724942.66000000539</v>
      </c>
      <c r="J2824" s="17">
        <v>0</v>
      </c>
      <c r="K2824" s="34">
        <v>4502462088</v>
      </c>
      <c r="L2824" s="19">
        <v>5084895644</v>
      </c>
      <c r="M2824" s="20">
        <v>5113790024</v>
      </c>
      <c r="N2824" s="23"/>
      <c r="O2824" s="9"/>
      <c r="P2824" s="23"/>
      <c r="Q2824" s="24" t="s">
        <v>31</v>
      </c>
      <c r="R2824" s="25">
        <v>44898</v>
      </c>
      <c r="S2824" s="28"/>
      <c r="T2824" s="35"/>
      <c r="U2824" s="35"/>
      <c r="V2824" s="29"/>
      <c r="W2824" s="35"/>
      <c r="X2824" s="29"/>
      <c r="Y2824" s="36"/>
      <c r="Z2824" s="29"/>
      <c r="AA2824" s="31">
        <f t="shared" si="1"/>
        <v>44898</v>
      </c>
      <c r="AB2824" s="32" t="str">
        <f t="shared" si="5"/>
        <v>diciembre</v>
      </c>
    </row>
    <row r="2825" spans="1:28" ht="12.75">
      <c r="A2825" s="9" t="s">
        <v>819</v>
      </c>
      <c r="B2825" s="10">
        <v>44898</v>
      </c>
      <c r="C2825" s="11"/>
      <c r="D2825" s="53">
        <v>49</v>
      </c>
      <c r="E2825" s="13">
        <v>6194</v>
      </c>
      <c r="F2825" s="13">
        <v>3025460</v>
      </c>
      <c r="G2825" s="14">
        <v>12517</v>
      </c>
      <c r="H2825" s="33">
        <v>9100</v>
      </c>
      <c r="I2825" s="16">
        <f>H2825*G2825</f>
        <v>113904700</v>
      </c>
      <c r="J2825" s="17">
        <v>30</v>
      </c>
      <c r="K2825" s="34">
        <v>4502462089</v>
      </c>
      <c r="L2825" s="19">
        <v>5084895645</v>
      </c>
      <c r="M2825" s="20">
        <v>5113796962</v>
      </c>
      <c r="N2825" s="23"/>
      <c r="O2825" s="9" t="s">
        <v>37</v>
      </c>
      <c r="P2825" s="23" t="s">
        <v>3232</v>
      </c>
      <c r="Q2825" s="24" t="s">
        <v>31</v>
      </c>
      <c r="R2825" s="25">
        <v>44898</v>
      </c>
      <c r="S2825" s="28"/>
      <c r="T2825" s="35"/>
      <c r="U2825" s="35"/>
      <c r="V2825" s="29"/>
      <c r="W2825" s="35"/>
      <c r="X2825" s="29"/>
      <c r="Y2825" s="36"/>
      <c r="Z2825" s="29"/>
      <c r="AA2825" s="31">
        <f t="shared" si="1"/>
        <v>44898</v>
      </c>
      <c r="AB2825" s="32" t="str">
        <f t="shared" si="5"/>
        <v>diciembre</v>
      </c>
    </row>
    <row r="2826" spans="1:28" ht="12.75">
      <c r="A2826" s="9" t="s">
        <v>819</v>
      </c>
      <c r="B2826" s="10">
        <v>44898</v>
      </c>
      <c r="C2826" s="11"/>
      <c r="D2826" s="53">
        <v>49</v>
      </c>
      <c r="E2826" s="13" t="s">
        <v>3233</v>
      </c>
      <c r="F2826" s="13">
        <v>3025460</v>
      </c>
      <c r="G2826" s="14">
        <v>12517</v>
      </c>
      <c r="H2826" s="33">
        <f>9100-9014.25</f>
        <v>85.75</v>
      </c>
      <c r="I2826" s="16">
        <f>-H2826*G2826</f>
        <v>-1073332.75</v>
      </c>
      <c r="J2826" s="17">
        <v>0</v>
      </c>
      <c r="K2826" s="34">
        <v>4502462089</v>
      </c>
      <c r="L2826" s="19">
        <v>5084895645</v>
      </c>
      <c r="M2826" s="20">
        <v>5113796963</v>
      </c>
      <c r="N2826" s="23"/>
      <c r="O2826" s="9"/>
      <c r="P2826" s="23"/>
      <c r="Q2826" s="24" t="s">
        <v>31</v>
      </c>
      <c r="R2826" s="25">
        <v>44898</v>
      </c>
      <c r="S2826" s="28"/>
      <c r="T2826" s="35"/>
      <c r="U2826" s="35"/>
      <c r="V2826" s="29"/>
      <c r="W2826" s="35"/>
      <c r="X2826" s="29"/>
      <c r="Y2826" s="36"/>
      <c r="Z2826" s="29"/>
      <c r="AA2826" s="31">
        <f t="shared" si="1"/>
        <v>44898</v>
      </c>
      <c r="AB2826" s="32" t="str">
        <f t="shared" si="5"/>
        <v>diciembre</v>
      </c>
    </row>
    <row r="2827" spans="1:28" ht="12.75">
      <c r="A2827" s="9" t="s">
        <v>338</v>
      </c>
      <c r="B2827" s="10">
        <v>44902</v>
      </c>
      <c r="C2827" s="11"/>
      <c r="D2827" s="53">
        <v>49</v>
      </c>
      <c r="E2827" s="13" t="s">
        <v>3234</v>
      </c>
      <c r="F2827" s="13">
        <v>3025460</v>
      </c>
      <c r="G2827" s="14">
        <v>6456.5</v>
      </c>
      <c r="H2827" s="33">
        <v>8850</v>
      </c>
      <c r="I2827" s="16">
        <f t="shared" ref="I2827:I2829" si="409">H2827*G2827</f>
        <v>57140025</v>
      </c>
      <c r="J2827" s="17">
        <v>14</v>
      </c>
      <c r="K2827" s="34">
        <v>4502462090</v>
      </c>
      <c r="L2827" s="19">
        <v>5084895637</v>
      </c>
      <c r="M2827" s="20">
        <v>5113787504</v>
      </c>
      <c r="N2827" s="23"/>
      <c r="O2827" s="9" t="s">
        <v>63</v>
      </c>
      <c r="P2827" s="23"/>
      <c r="Q2827" s="24" t="s">
        <v>31</v>
      </c>
      <c r="R2827" s="25">
        <v>44898</v>
      </c>
      <c r="S2827" s="28"/>
      <c r="T2827" s="35"/>
      <c r="U2827" s="35"/>
      <c r="V2827" s="29"/>
      <c r="W2827" s="35"/>
      <c r="X2827" s="29"/>
      <c r="Y2827" s="36"/>
      <c r="Z2827" s="29"/>
      <c r="AA2827" s="31">
        <f t="shared" si="1"/>
        <v>44898</v>
      </c>
      <c r="AB2827" s="32" t="str">
        <f t="shared" si="5"/>
        <v>diciembre</v>
      </c>
    </row>
    <row r="2828" spans="1:28" ht="12.75">
      <c r="A2828" s="9" t="s">
        <v>58</v>
      </c>
      <c r="B2828" s="10">
        <v>44901</v>
      </c>
      <c r="C2828" s="11">
        <v>44901</v>
      </c>
      <c r="D2828" s="53">
        <v>49</v>
      </c>
      <c r="E2828" s="13" t="s">
        <v>3235</v>
      </c>
      <c r="F2828" s="13">
        <v>3025460</v>
      </c>
      <c r="G2828" s="14">
        <v>14761.5</v>
      </c>
      <c r="H2828" s="33">
        <v>9200</v>
      </c>
      <c r="I2828" s="16">
        <f t="shared" si="409"/>
        <v>135805800</v>
      </c>
      <c r="J2828" s="17">
        <v>30</v>
      </c>
      <c r="K2828" s="34">
        <v>4502462091</v>
      </c>
      <c r="L2828" s="19">
        <v>5084895659</v>
      </c>
      <c r="M2828" s="20">
        <v>5113786321</v>
      </c>
      <c r="N2828" s="23"/>
      <c r="O2828" s="9" t="s">
        <v>37</v>
      </c>
      <c r="P2828" s="23"/>
      <c r="Q2828" s="24" t="s">
        <v>31</v>
      </c>
      <c r="R2828" s="25">
        <v>44898</v>
      </c>
      <c r="S2828" s="28"/>
      <c r="T2828" s="35"/>
      <c r="U2828" s="35"/>
      <c r="V2828" s="29"/>
      <c r="W2828" s="35"/>
      <c r="X2828" s="29"/>
      <c r="Y2828" s="36"/>
      <c r="Z2828" s="29"/>
      <c r="AA2828" s="31">
        <f t="shared" si="1"/>
        <v>44898</v>
      </c>
      <c r="AB2828" s="32" t="str">
        <f t="shared" si="5"/>
        <v>diciembre</v>
      </c>
    </row>
    <row r="2829" spans="1:28" ht="12.75">
      <c r="A2829" s="22" t="s">
        <v>404</v>
      </c>
      <c r="B2829" s="10">
        <v>44899</v>
      </c>
      <c r="C2829" s="11">
        <v>44902</v>
      </c>
      <c r="D2829" s="53">
        <v>49</v>
      </c>
      <c r="E2829" s="13" t="s">
        <v>3236</v>
      </c>
      <c r="F2829" s="13">
        <v>3025459</v>
      </c>
      <c r="G2829" s="14">
        <v>21694.5</v>
      </c>
      <c r="H2829" s="33">
        <v>9100</v>
      </c>
      <c r="I2829" s="16">
        <f t="shared" si="409"/>
        <v>197419950</v>
      </c>
      <c r="J2829" s="17">
        <v>45</v>
      </c>
      <c r="K2829" s="34">
        <v>4502462092</v>
      </c>
      <c r="L2829" s="19">
        <v>5084907526</v>
      </c>
      <c r="M2829" s="20">
        <v>5113786693</v>
      </c>
      <c r="N2829" s="23"/>
      <c r="O2829" s="88" t="s">
        <v>37</v>
      </c>
      <c r="P2829" s="23"/>
      <c r="Q2829" s="24" t="s">
        <v>31</v>
      </c>
      <c r="R2829" s="25">
        <v>44899</v>
      </c>
      <c r="S2829" s="28"/>
      <c r="T2829" s="35"/>
      <c r="U2829" s="35"/>
      <c r="V2829" s="29"/>
      <c r="W2829" s="35"/>
      <c r="X2829" s="29"/>
      <c r="Y2829" s="36"/>
      <c r="Z2829" s="29"/>
      <c r="AA2829" s="31">
        <f t="shared" si="1"/>
        <v>44899</v>
      </c>
      <c r="AB2829" s="32" t="str">
        <f t="shared" si="5"/>
        <v>diciembre</v>
      </c>
    </row>
    <row r="2830" spans="1:28" ht="12.75">
      <c r="A2830" s="22" t="s">
        <v>404</v>
      </c>
      <c r="B2830" s="10">
        <v>44901</v>
      </c>
      <c r="C2830" s="11">
        <v>44902</v>
      </c>
      <c r="D2830" s="53">
        <v>49</v>
      </c>
      <c r="E2830" s="13" t="s">
        <v>921</v>
      </c>
      <c r="F2830" s="13">
        <v>3025459</v>
      </c>
      <c r="G2830" s="14">
        <v>21694.5</v>
      </c>
      <c r="H2830" s="33">
        <f>9100-8923.82</f>
        <v>176.18000000000029</v>
      </c>
      <c r="I2830" s="16">
        <f>-H2830*G2830</f>
        <v>-3822137.0100000063</v>
      </c>
      <c r="J2830" s="17">
        <v>0</v>
      </c>
      <c r="K2830" s="34">
        <v>4502462092</v>
      </c>
      <c r="L2830" s="19">
        <v>5084907526</v>
      </c>
      <c r="M2830" s="20">
        <v>5113786696</v>
      </c>
      <c r="N2830" s="23"/>
      <c r="O2830" s="9"/>
      <c r="P2830" s="23"/>
      <c r="Q2830" s="24" t="s">
        <v>31</v>
      </c>
      <c r="R2830" s="25">
        <v>44899</v>
      </c>
      <c r="S2830" s="28"/>
      <c r="T2830" s="35"/>
      <c r="U2830" s="35"/>
      <c r="V2830" s="29"/>
      <c r="W2830" s="35"/>
      <c r="X2830" s="29"/>
      <c r="Y2830" s="36"/>
      <c r="Z2830" s="29"/>
      <c r="AA2830" s="31">
        <f t="shared" si="1"/>
        <v>44899</v>
      </c>
      <c r="AB2830" s="32" t="str">
        <f t="shared" si="5"/>
        <v>diciembre</v>
      </c>
    </row>
    <row r="2831" spans="1:28" ht="12.75">
      <c r="A2831" s="9" t="s">
        <v>58</v>
      </c>
      <c r="B2831" s="10">
        <v>44903</v>
      </c>
      <c r="C2831" s="11">
        <v>44903</v>
      </c>
      <c r="D2831" s="53">
        <v>49</v>
      </c>
      <c r="E2831" s="13" t="s">
        <v>3237</v>
      </c>
      <c r="F2831" s="13">
        <v>3025459</v>
      </c>
      <c r="G2831" s="14">
        <v>14396</v>
      </c>
      <c r="H2831" s="33">
        <v>9200</v>
      </c>
      <c r="I2831" s="16">
        <f>H2831*G2831</f>
        <v>132443200</v>
      </c>
      <c r="J2831" s="17">
        <v>30</v>
      </c>
      <c r="K2831" s="34">
        <v>4502462093</v>
      </c>
      <c r="L2831" s="19">
        <v>5084907527</v>
      </c>
      <c r="M2831" s="20">
        <v>5113790054</v>
      </c>
      <c r="N2831" s="23"/>
      <c r="O2831" s="9" t="s">
        <v>37</v>
      </c>
      <c r="P2831" s="23"/>
      <c r="Q2831" s="24" t="s">
        <v>31</v>
      </c>
      <c r="R2831" s="25">
        <v>44899</v>
      </c>
      <c r="S2831" s="28"/>
      <c r="T2831" s="35"/>
      <c r="U2831" s="35"/>
      <c r="V2831" s="29"/>
      <c r="W2831" s="35"/>
      <c r="X2831" s="29"/>
      <c r="Y2831" s="36"/>
      <c r="Z2831" s="29"/>
      <c r="AA2831" s="31">
        <f t="shared" si="1"/>
        <v>44899</v>
      </c>
      <c r="AB2831" s="32" t="str">
        <f t="shared" si="5"/>
        <v>diciembre</v>
      </c>
    </row>
    <row r="2832" spans="1:28" ht="12.75">
      <c r="A2832" s="9" t="s">
        <v>58</v>
      </c>
      <c r="B2832" s="10">
        <v>44903</v>
      </c>
      <c r="C2832" s="11">
        <v>44903</v>
      </c>
      <c r="D2832" s="53">
        <v>49</v>
      </c>
      <c r="E2832" s="13" t="s">
        <v>3238</v>
      </c>
      <c r="F2832" s="13">
        <v>3025459</v>
      </c>
      <c r="G2832" s="14">
        <v>14396</v>
      </c>
      <c r="H2832" s="33">
        <f>9200-9050</f>
        <v>150</v>
      </c>
      <c r="I2832" s="16">
        <f>-H2832*G2832</f>
        <v>-2159400</v>
      </c>
      <c r="J2832" s="17">
        <v>0</v>
      </c>
      <c r="K2832" s="34">
        <v>4502462093</v>
      </c>
      <c r="L2832" s="19">
        <v>5084907527</v>
      </c>
      <c r="M2832" s="20">
        <v>5113790055</v>
      </c>
      <c r="N2832" s="23"/>
      <c r="O2832" s="9"/>
      <c r="P2832" s="23"/>
      <c r="Q2832" s="24" t="s">
        <v>31</v>
      </c>
      <c r="R2832" s="25">
        <v>44899</v>
      </c>
      <c r="S2832" s="28"/>
      <c r="T2832" s="35"/>
      <c r="U2832" s="35"/>
      <c r="V2832" s="29"/>
      <c r="W2832" s="35"/>
      <c r="X2832" s="29"/>
      <c r="Y2832" s="36"/>
      <c r="Z2832" s="29"/>
      <c r="AA2832" s="31">
        <f t="shared" si="1"/>
        <v>44899</v>
      </c>
      <c r="AB2832" s="32" t="str">
        <f t="shared" si="5"/>
        <v>diciembre</v>
      </c>
    </row>
    <row r="2833" spans="1:28" ht="12.75">
      <c r="A2833" s="9" t="s">
        <v>58</v>
      </c>
      <c r="B2833" s="10">
        <v>44903</v>
      </c>
      <c r="C2833" s="11">
        <v>44903</v>
      </c>
      <c r="D2833" s="53">
        <v>49</v>
      </c>
      <c r="E2833" s="13" t="s">
        <v>3239</v>
      </c>
      <c r="F2833" s="13">
        <v>3025459</v>
      </c>
      <c r="G2833" s="14">
        <v>7488</v>
      </c>
      <c r="H2833" s="33">
        <v>9200</v>
      </c>
      <c r="I2833" s="16">
        <f t="shared" ref="I2833:I2842" si="410">H2833*G2833</f>
        <v>68889600</v>
      </c>
      <c r="J2833" s="17">
        <v>15</v>
      </c>
      <c r="K2833" s="34">
        <v>4502462093</v>
      </c>
      <c r="L2833" s="19">
        <v>5084907527</v>
      </c>
      <c r="M2833" s="20">
        <v>5113790107</v>
      </c>
      <c r="N2833" s="23"/>
      <c r="O2833" s="9" t="s">
        <v>37</v>
      </c>
      <c r="P2833" s="23"/>
      <c r="Q2833" s="24" t="s">
        <v>31</v>
      </c>
      <c r="R2833" s="25">
        <v>44899</v>
      </c>
      <c r="S2833" s="28"/>
      <c r="T2833" s="35"/>
      <c r="U2833" s="35"/>
      <c r="V2833" s="29"/>
      <c r="W2833" s="35"/>
      <c r="X2833" s="29"/>
      <c r="Y2833" s="36"/>
      <c r="Z2833" s="29"/>
      <c r="AA2833" s="31">
        <f t="shared" si="1"/>
        <v>44899</v>
      </c>
      <c r="AB2833" s="32" t="str">
        <f t="shared" si="5"/>
        <v>diciembre</v>
      </c>
    </row>
    <row r="2834" spans="1:28" ht="12.75">
      <c r="A2834" s="9" t="s">
        <v>819</v>
      </c>
      <c r="B2834" s="10">
        <v>44899</v>
      </c>
      <c r="C2834" s="11"/>
      <c r="D2834" s="53">
        <v>49</v>
      </c>
      <c r="E2834" s="13">
        <v>6193</v>
      </c>
      <c r="F2834" s="13">
        <v>3025461</v>
      </c>
      <c r="G2834" s="14">
        <v>32042</v>
      </c>
      <c r="H2834" s="33">
        <v>9038.4699999999993</v>
      </c>
      <c r="I2834" s="16">
        <f t="shared" si="410"/>
        <v>289610655.73999995</v>
      </c>
      <c r="J2834" s="17">
        <v>71</v>
      </c>
      <c r="K2834" s="34">
        <v>4502465284</v>
      </c>
      <c r="L2834" s="19">
        <v>5084926199</v>
      </c>
      <c r="M2834" s="20">
        <v>5113796965</v>
      </c>
      <c r="N2834" s="23"/>
      <c r="O2834" s="9" t="s">
        <v>37</v>
      </c>
      <c r="P2834" s="23"/>
      <c r="Q2834" s="24" t="s">
        <v>1605</v>
      </c>
      <c r="R2834" s="25">
        <v>44899</v>
      </c>
      <c r="S2834" s="28"/>
      <c r="T2834" s="35"/>
      <c r="U2834" s="35"/>
      <c r="V2834" s="29"/>
      <c r="W2834" s="35"/>
      <c r="X2834" s="29"/>
      <c r="Y2834" s="36"/>
      <c r="Z2834" s="29"/>
      <c r="AA2834" s="31">
        <f t="shared" si="1"/>
        <v>44899</v>
      </c>
      <c r="AB2834" s="32" t="str">
        <f t="shared" si="5"/>
        <v>diciembre</v>
      </c>
    </row>
    <row r="2835" spans="1:28" ht="12.75">
      <c r="A2835" s="9" t="s">
        <v>58</v>
      </c>
      <c r="B2835" s="10">
        <v>44903</v>
      </c>
      <c r="C2835" s="11">
        <v>44903</v>
      </c>
      <c r="D2835" s="53">
        <v>49</v>
      </c>
      <c r="E2835" s="13" t="s">
        <v>3240</v>
      </c>
      <c r="F2835" s="13">
        <v>3025461</v>
      </c>
      <c r="G2835" s="14">
        <v>45340</v>
      </c>
      <c r="H2835" s="33">
        <v>9199.15</v>
      </c>
      <c r="I2835" s="16">
        <f t="shared" si="410"/>
        <v>417089461</v>
      </c>
      <c r="J2835" s="17">
        <v>90</v>
      </c>
      <c r="K2835" s="34">
        <v>4502465287</v>
      </c>
      <c r="L2835" s="19">
        <v>5084926205</v>
      </c>
      <c r="M2835" s="20">
        <v>5113790108</v>
      </c>
      <c r="N2835" s="23"/>
      <c r="O2835" s="9" t="s">
        <v>37</v>
      </c>
      <c r="P2835" s="23"/>
      <c r="Q2835" s="24" t="s">
        <v>1605</v>
      </c>
      <c r="R2835" s="25">
        <v>44899</v>
      </c>
      <c r="S2835" s="28"/>
      <c r="T2835" s="35"/>
      <c r="U2835" s="35"/>
      <c r="V2835" s="29"/>
      <c r="W2835" s="35"/>
      <c r="X2835" s="29"/>
      <c r="Y2835" s="36"/>
      <c r="Z2835" s="29"/>
      <c r="AA2835" s="31">
        <f t="shared" si="1"/>
        <v>44899</v>
      </c>
      <c r="AB2835" s="32" t="str">
        <f t="shared" si="5"/>
        <v>diciembre</v>
      </c>
    </row>
    <row r="2836" spans="1:28" ht="12.75">
      <c r="A2836" s="9" t="s">
        <v>85</v>
      </c>
      <c r="B2836" s="10">
        <v>44898</v>
      </c>
      <c r="C2836" s="11">
        <v>44907</v>
      </c>
      <c r="D2836" s="53">
        <v>49</v>
      </c>
      <c r="E2836" s="13" t="s">
        <v>3241</v>
      </c>
      <c r="F2836" s="13">
        <v>3025460</v>
      </c>
      <c r="G2836" s="14">
        <v>24963</v>
      </c>
      <c r="H2836" s="33">
        <f>8774-8750</f>
        <v>24</v>
      </c>
      <c r="I2836" s="16">
        <f t="shared" si="410"/>
        <v>599112</v>
      </c>
      <c r="J2836" s="17">
        <v>0</v>
      </c>
      <c r="K2836" s="34">
        <v>4502465633</v>
      </c>
      <c r="L2836" s="19">
        <v>5084929861</v>
      </c>
      <c r="M2836" s="20">
        <v>5113783142</v>
      </c>
      <c r="N2836" s="23"/>
      <c r="O2836" s="9"/>
      <c r="P2836" s="23"/>
      <c r="Q2836" s="24" t="s">
        <v>82</v>
      </c>
      <c r="R2836" s="25">
        <v>44897</v>
      </c>
      <c r="S2836" s="28"/>
      <c r="T2836" s="35"/>
      <c r="U2836" s="35"/>
      <c r="V2836" s="29"/>
      <c r="W2836" s="35"/>
      <c r="X2836" s="29"/>
      <c r="Y2836" s="36"/>
      <c r="Z2836" s="29"/>
      <c r="AA2836" s="31">
        <f t="shared" si="1"/>
        <v>44897</v>
      </c>
      <c r="AB2836" s="32" t="str">
        <f t="shared" si="5"/>
        <v>diciembre</v>
      </c>
    </row>
    <row r="2837" spans="1:28" ht="12.75">
      <c r="A2837" s="9" t="s">
        <v>89</v>
      </c>
      <c r="B2837" s="10">
        <v>44899</v>
      </c>
      <c r="C2837" s="11"/>
      <c r="D2837" s="53">
        <v>49</v>
      </c>
      <c r="E2837" s="13" t="s">
        <v>3242</v>
      </c>
      <c r="F2837" s="13">
        <v>3025460</v>
      </c>
      <c r="G2837" s="14">
        <v>15596</v>
      </c>
      <c r="H2837" s="33">
        <v>8800</v>
      </c>
      <c r="I2837" s="16">
        <f t="shared" si="410"/>
        <v>137244800</v>
      </c>
      <c r="J2837" s="17">
        <v>28</v>
      </c>
      <c r="K2837" s="34">
        <v>4502465766</v>
      </c>
      <c r="L2837" s="19">
        <v>5084936181</v>
      </c>
      <c r="M2837" s="20">
        <v>5113796582</v>
      </c>
      <c r="N2837" s="23"/>
      <c r="O2837" s="9" t="s">
        <v>63</v>
      </c>
      <c r="P2837" s="23"/>
      <c r="Q2837" s="24" t="s">
        <v>82</v>
      </c>
      <c r="R2837" s="25">
        <v>44899</v>
      </c>
      <c r="S2837" s="28"/>
      <c r="T2837" s="35"/>
      <c r="U2837" s="35"/>
      <c r="V2837" s="29"/>
      <c r="W2837" s="35"/>
      <c r="X2837" s="29"/>
      <c r="Y2837" s="36"/>
      <c r="Z2837" s="29"/>
      <c r="AA2837" s="31">
        <f t="shared" si="1"/>
        <v>44899</v>
      </c>
      <c r="AB2837" s="32" t="str">
        <f t="shared" si="5"/>
        <v>diciembre</v>
      </c>
    </row>
    <row r="2838" spans="1:28" ht="12.75">
      <c r="A2838" s="22" t="s">
        <v>2675</v>
      </c>
      <c r="B2838" s="10">
        <v>44900</v>
      </c>
      <c r="C2838" s="11">
        <v>44902</v>
      </c>
      <c r="D2838" s="53">
        <v>49</v>
      </c>
      <c r="E2838" s="13" t="s">
        <v>3243</v>
      </c>
      <c r="F2838" s="13">
        <v>3025460</v>
      </c>
      <c r="G2838" s="14">
        <v>13089</v>
      </c>
      <c r="H2838" s="33">
        <v>8796.99</v>
      </c>
      <c r="I2838" s="16">
        <f t="shared" si="410"/>
        <v>115143802.11</v>
      </c>
      <c r="J2838" s="17">
        <v>28</v>
      </c>
      <c r="K2838" s="34">
        <v>4502465767</v>
      </c>
      <c r="L2838" s="19">
        <v>5084936186</v>
      </c>
      <c r="M2838" s="20">
        <v>5113786865</v>
      </c>
      <c r="N2838" s="23"/>
      <c r="O2838" s="9" t="s">
        <v>63</v>
      </c>
      <c r="P2838" s="23"/>
      <c r="Q2838" s="24" t="s">
        <v>82</v>
      </c>
      <c r="R2838" s="25">
        <v>44899</v>
      </c>
      <c r="S2838" s="28"/>
      <c r="T2838" s="35"/>
      <c r="U2838" s="35"/>
      <c r="V2838" s="29"/>
      <c r="W2838" s="35"/>
      <c r="X2838" s="29"/>
      <c r="Y2838" s="36"/>
      <c r="Z2838" s="29"/>
      <c r="AA2838" s="31">
        <f t="shared" si="1"/>
        <v>44899</v>
      </c>
      <c r="AB2838" s="32" t="str">
        <f t="shared" si="5"/>
        <v>diciembre</v>
      </c>
    </row>
    <row r="2839" spans="1:28" ht="12.75">
      <c r="A2839" s="9" t="s">
        <v>1726</v>
      </c>
      <c r="B2839" s="10">
        <v>44902</v>
      </c>
      <c r="C2839" s="11">
        <v>44902</v>
      </c>
      <c r="D2839" s="53">
        <v>49</v>
      </c>
      <c r="E2839" s="13" t="s">
        <v>3244</v>
      </c>
      <c r="F2839" s="13">
        <v>3025460</v>
      </c>
      <c r="G2839" s="14">
        <v>14230</v>
      </c>
      <c r="H2839" s="33">
        <v>8800</v>
      </c>
      <c r="I2839" s="16">
        <f t="shared" si="410"/>
        <v>125224000</v>
      </c>
      <c r="J2839" s="17">
        <v>28</v>
      </c>
      <c r="K2839" s="34">
        <v>4502465768</v>
      </c>
      <c r="L2839" s="19">
        <v>5084936213</v>
      </c>
      <c r="M2839" s="34">
        <v>5113786868</v>
      </c>
      <c r="N2839" s="23"/>
      <c r="O2839" s="9" t="s">
        <v>63</v>
      </c>
      <c r="P2839" s="23"/>
      <c r="Q2839" s="24" t="s">
        <v>82</v>
      </c>
      <c r="R2839" s="25">
        <v>44899</v>
      </c>
      <c r="S2839" s="28"/>
      <c r="T2839" s="35"/>
      <c r="U2839" s="35"/>
      <c r="V2839" s="29"/>
      <c r="W2839" s="35"/>
      <c r="X2839" s="29"/>
      <c r="Y2839" s="36"/>
      <c r="Z2839" s="29"/>
      <c r="AA2839" s="31">
        <f t="shared" si="1"/>
        <v>44899</v>
      </c>
      <c r="AB2839" s="32" t="str">
        <f t="shared" si="5"/>
        <v>diciembre</v>
      </c>
    </row>
    <row r="2840" spans="1:28" ht="12.75">
      <c r="A2840" s="9" t="s">
        <v>28</v>
      </c>
      <c r="B2840" s="10">
        <v>44902</v>
      </c>
      <c r="C2840" s="11">
        <v>44902</v>
      </c>
      <c r="D2840" s="53">
        <v>49</v>
      </c>
      <c r="E2840" s="13" t="s">
        <v>3245</v>
      </c>
      <c r="F2840" s="13">
        <v>3025457</v>
      </c>
      <c r="G2840" s="14">
        <v>61201</v>
      </c>
      <c r="H2840" s="33">
        <v>8598.07</v>
      </c>
      <c r="I2840" s="16">
        <f t="shared" si="410"/>
        <v>526210482.06999999</v>
      </c>
      <c r="J2840" s="17">
        <v>126</v>
      </c>
      <c r="K2840" s="34">
        <v>4502465644</v>
      </c>
      <c r="L2840" s="19">
        <v>5084929865</v>
      </c>
      <c r="M2840" s="20">
        <v>5113786930</v>
      </c>
      <c r="N2840" s="23" t="s">
        <v>37</v>
      </c>
      <c r="O2840" s="9"/>
      <c r="P2840" s="23"/>
      <c r="Q2840" s="24" t="s">
        <v>671</v>
      </c>
      <c r="R2840" s="25">
        <v>44899</v>
      </c>
      <c r="S2840" s="28"/>
      <c r="T2840" s="35"/>
      <c r="U2840" s="35"/>
      <c r="V2840" s="29"/>
      <c r="W2840" s="35"/>
      <c r="X2840" s="29"/>
      <c r="Y2840" s="36"/>
      <c r="Z2840" s="29"/>
      <c r="AA2840" s="31">
        <f t="shared" si="1"/>
        <v>44899</v>
      </c>
      <c r="AB2840" s="32" t="str">
        <f t="shared" si="5"/>
        <v>diciembre</v>
      </c>
    </row>
    <row r="2841" spans="1:28" ht="12.75">
      <c r="A2841" s="9" t="s">
        <v>1429</v>
      </c>
      <c r="B2841" s="10">
        <v>44903</v>
      </c>
      <c r="C2841" s="11"/>
      <c r="D2841" s="53">
        <v>49</v>
      </c>
      <c r="E2841" s="13" t="s">
        <v>3246</v>
      </c>
      <c r="F2841" s="13">
        <v>3025457</v>
      </c>
      <c r="G2841" s="14">
        <v>6608</v>
      </c>
      <c r="H2841" s="33">
        <v>8538.36</v>
      </c>
      <c r="I2841" s="16">
        <f t="shared" si="410"/>
        <v>56421482.880000003</v>
      </c>
      <c r="J2841" s="17">
        <v>15</v>
      </c>
      <c r="K2841" s="34">
        <v>4502465646</v>
      </c>
      <c r="L2841" s="19">
        <v>5084930138</v>
      </c>
      <c r="M2841" s="20">
        <v>5113800815</v>
      </c>
      <c r="N2841" s="124"/>
      <c r="O2841" s="9"/>
      <c r="P2841" s="23" t="s">
        <v>313</v>
      </c>
      <c r="Q2841" s="24" t="s">
        <v>671</v>
      </c>
      <c r="R2841" s="25">
        <v>44899</v>
      </c>
      <c r="S2841" s="28"/>
      <c r="T2841" s="35"/>
      <c r="U2841" s="35"/>
      <c r="V2841" s="29"/>
      <c r="W2841" s="35"/>
      <c r="X2841" s="29"/>
      <c r="Y2841" s="36"/>
      <c r="Z2841" s="29"/>
      <c r="AA2841" s="31">
        <f t="shared" si="1"/>
        <v>44899</v>
      </c>
      <c r="AB2841" s="32" t="str">
        <f t="shared" si="5"/>
        <v>diciembre</v>
      </c>
    </row>
    <row r="2842" spans="1:28" ht="12.75">
      <c r="A2842" s="9" t="s">
        <v>704</v>
      </c>
      <c r="B2842" s="10">
        <v>44904</v>
      </c>
      <c r="C2842" s="11">
        <v>44904</v>
      </c>
      <c r="D2842" s="53">
        <v>49</v>
      </c>
      <c r="E2842" s="13" t="s">
        <v>3247</v>
      </c>
      <c r="F2842" s="13">
        <v>3025457</v>
      </c>
      <c r="G2842" s="14">
        <v>7274.5</v>
      </c>
      <c r="H2842" s="33">
        <v>8750</v>
      </c>
      <c r="I2842" s="16">
        <f t="shared" si="410"/>
        <v>63651875</v>
      </c>
      <c r="J2842" s="17">
        <v>14</v>
      </c>
      <c r="K2842" s="34">
        <v>4502462094</v>
      </c>
      <c r="L2842" s="19">
        <v>5084921291</v>
      </c>
      <c r="M2842" s="20">
        <v>5113803035</v>
      </c>
      <c r="N2842" s="23"/>
      <c r="O2842" s="9" t="s">
        <v>37</v>
      </c>
      <c r="P2842" s="23" t="s">
        <v>3232</v>
      </c>
      <c r="Q2842" s="24" t="s">
        <v>31</v>
      </c>
      <c r="R2842" s="25">
        <v>44900</v>
      </c>
      <c r="S2842" s="28"/>
      <c r="T2842" s="35"/>
      <c r="U2842" s="35"/>
      <c r="V2842" s="29"/>
      <c r="W2842" s="35"/>
      <c r="X2842" s="29"/>
      <c r="Y2842" s="36"/>
      <c r="Z2842" s="29"/>
      <c r="AA2842" s="31">
        <f t="shared" si="1"/>
        <v>44900</v>
      </c>
      <c r="AB2842" s="32" t="str">
        <f t="shared" si="5"/>
        <v>diciembre</v>
      </c>
    </row>
    <row r="2843" spans="1:28" ht="12.75">
      <c r="A2843" s="9" t="s">
        <v>704</v>
      </c>
      <c r="B2843" s="10">
        <v>44904</v>
      </c>
      <c r="C2843" s="11">
        <v>44904</v>
      </c>
      <c r="D2843" s="53">
        <v>49</v>
      </c>
      <c r="E2843" s="13" t="s">
        <v>188</v>
      </c>
      <c r="F2843" s="13">
        <v>3025457</v>
      </c>
      <c r="G2843" s="14">
        <v>7274.5</v>
      </c>
      <c r="H2843" s="33">
        <f>8750-8624.32</f>
        <v>125.68000000000029</v>
      </c>
      <c r="I2843" s="16">
        <f>-H2843*G2843</f>
        <v>-914259.16000000213</v>
      </c>
      <c r="J2843" s="17">
        <v>0</v>
      </c>
      <c r="K2843" s="34">
        <v>4502462094</v>
      </c>
      <c r="L2843" s="19">
        <v>5084921291</v>
      </c>
      <c r="M2843" s="20">
        <v>5113803049</v>
      </c>
      <c r="N2843" s="23"/>
      <c r="O2843" s="9" t="s">
        <v>3248</v>
      </c>
      <c r="P2843" s="23" t="s">
        <v>3232</v>
      </c>
      <c r="Q2843" s="24" t="s">
        <v>31</v>
      </c>
      <c r="R2843" s="25">
        <v>44900</v>
      </c>
      <c r="S2843" s="28"/>
      <c r="T2843" s="35"/>
      <c r="U2843" s="35"/>
      <c r="V2843" s="29"/>
      <c r="W2843" s="35"/>
      <c r="X2843" s="29"/>
      <c r="Y2843" s="36"/>
      <c r="Z2843" s="29"/>
      <c r="AA2843" s="31">
        <f t="shared" si="1"/>
        <v>44900</v>
      </c>
      <c r="AB2843" s="32" t="str">
        <f t="shared" si="5"/>
        <v>diciembre</v>
      </c>
    </row>
    <row r="2844" spans="1:28" ht="12.75">
      <c r="A2844" s="9" t="s">
        <v>99</v>
      </c>
      <c r="B2844" s="10">
        <v>44902</v>
      </c>
      <c r="C2844" s="11">
        <v>44905</v>
      </c>
      <c r="D2844" s="53">
        <v>49</v>
      </c>
      <c r="E2844" s="13" t="s">
        <v>3249</v>
      </c>
      <c r="F2844" s="13">
        <v>3025457</v>
      </c>
      <c r="G2844" s="14">
        <v>18791</v>
      </c>
      <c r="H2844" s="33">
        <v>8800</v>
      </c>
      <c r="I2844" s="16">
        <f>H2844*G2844</f>
        <v>165360800</v>
      </c>
      <c r="J2844" s="17">
        <v>45</v>
      </c>
      <c r="K2844" s="34">
        <v>4502462095</v>
      </c>
      <c r="L2844" s="19">
        <v>5084921523</v>
      </c>
      <c r="M2844" s="20">
        <v>5113797396</v>
      </c>
      <c r="N2844" s="23"/>
      <c r="O2844" s="9" t="s">
        <v>37</v>
      </c>
      <c r="P2844" s="23"/>
      <c r="Q2844" s="24" t="s">
        <v>31</v>
      </c>
      <c r="R2844" s="25">
        <v>44900</v>
      </c>
      <c r="S2844" s="28"/>
      <c r="T2844" s="35"/>
      <c r="U2844" s="35"/>
      <c r="V2844" s="29"/>
      <c r="W2844" s="35"/>
      <c r="X2844" s="29"/>
      <c r="Y2844" s="36"/>
      <c r="Z2844" s="29"/>
      <c r="AA2844" s="31">
        <f t="shared" si="1"/>
        <v>44900</v>
      </c>
      <c r="AB2844" s="32" t="str">
        <f t="shared" si="5"/>
        <v>diciembre</v>
      </c>
    </row>
    <row r="2845" spans="1:28" ht="12.75">
      <c r="A2845" s="9" t="s">
        <v>99</v>
      </c>
      <c r="B2845" s="10">
        <v>44905</v>
      </c>
      <c r="C2845" s="11">
        <v>44905</v>
      </c>
      <c r="D2845" s="53">
        <v>49</v>
      </c>
      <c r="E2845" s="13" t="s">
        <v>3250</v>
      </c>
      <c r="F2845" s="13">
        <v>3025457</v>
      </c>
      <c r="G2845" s="14">
        <v>18791</v>
      </c>
      <c r="H2845" s="33">
        <f>8800-8677.76</f>
        <v>122.23999999999978</v>
      </c>
      <c r="I2845" s="16">
        <f>-H2845*G2845</f>
        <v>-2297011.8399999961</v>
      </c>
      <c r="J2845" s="17">
        <v>0</v>
      </c>
      <c r="K2845" s="34">
        <v>4502462095</v>
      </c>
      <c r="L2845" s="19">
        <v>5084921523</v>
      </c>
      <c r="M2845" s="20">
        <v>5113797410</v>
      </c>
      <c r="N2845" s="23"/>
      <c r="O2845" s="9"/>
      <c r="P2845" s="23"/>
      <c r="Q2845" s="24" t="s">
        <v>31</v>
      </c>
      <c r="R2845" s="25">
        <v>44900</v>
      </c>
      <c r="S2845" s="28"/>
      <c r="T2845" s="35"/>
      <c r="U2845" s="35"/>
      <c r="V2845" s="29"/>
      <c r="W2845" s="35"/>
      <c r="X2845" s="29"/>
      <c r="Y2845" s="36"/>
      <c r="Z2845" s="29"/>
      <c r="AA2845" s="31">
        <f t="shared" si="1"/>
        <v>44900</v>
      </c>
      <c r="AB2845" s="32" t="str">
        <f t="shared" si="5"/>
        <v>diciembre</v>
      </c>
    </row>
    <row r="2846" spans="1:28" ht="12.75">
      <c r="A2846" s="9" t="s">
        <v>301</v>
      </c>
      <c r="B2846" s="10">
        <v>44917</v>
      </c>
      <c r="C2846" s="11"/>
      <c r="D2846" s="53">
        <v>49</v>
      </c>
      <c r="E2846" s="13" t="s">
        <v>3251</v>
      </c>
      <c r="F2846" s="13">
        <v>3025457</v>
      </c>
      <c r="G2846" s="14">
        <v>13580</v>
      </c>
      <c r="H2846" s="33">
        <v>8800</v>
      </c>
      <c r="I2846" s="16">
        <f>H2846*G2846</f>
        <v>119504000</v>
      </c>
      <c r="J2846" s="17">
        <v>30</v>
      </c>
      <c r="K2846" s="34">
        <v>4502462096</v>
      </c>
      <c r="L2846" s="19">
        <v>5084921292</v>
      </c>
      <c r="M2846" s="20">
        <v>5113829137</v>
      </c>
      <c r="N2846" s="124"/>
      <c r="O2846" s="9" t="s">
        <v>63</v>
      </c>
      <c r="P2846" s="23"/>
      <c r="Q2846" s="24" t="s">
        <v>31</v>
      </c>
      <c r="R2846" s="25">
        <v>44900</v>
      </c>
      <c r="S2846" s="28"/>
      <c r="T2846" s="35"/>
      <c r="U2846" s="35"/>
      <c r="V2846" s="29"/>
      <c r="W2846" s="35"/>
      <c r="X2846" s="29"/>
      <c r="Y2846" s="36"/>
      <c r="Z2846" s="29"/>
      <c r="AA2846" s="31">
        <f t="shared" si="1"/>
        <v>44900</v>
      </c>
      <c r="AB2846" s="32" t="str">
        <f t="shared" si="5"/>
        <v>diciembre</v>
      </c>
    </row>
    <row r="2847" spans="1:28" ht="12.75">
      <c r="A2847" s="9" t="s">
        <v>301</v>
      </c>
      <c r="B2847" s="10">
        <v>44917</v>
      </c>
      <c r="C2847" s="11"/>
      <c r="D2847" s="53">
        <v>49</v>
      </c>
      <c r="E2847" s="13" t="s">
        <v>3252</v>
      </c>
      <c r="F2847" s="13">
        <v>3025457</v>
      </c>
      <c r="G2847" s="14">
        <v>13580</v>
      </c>
      <c r="H2847" s="33">
        <f>8800-8750</f>
        <v>50</v>
      </c>
      <c r="I2847" s="16">
        <f>-H2847*G2847</f>
        <v>-679000</v>
      </c>
      <c r="J2847" s="17">
        <v>0</v>
      </c>
      <c r="K2847" s="34">
        <v>4502462096</v>
      </c>
      <c r="L2847" s="19">
        <v>5084921292</v>
      </c>
      <c r="M2847" s="20">
        <v>5113829139</v>
      </c>
      <c r="N2847" s="23"/>
      <c r="O2847" s="9"/>
      <c r="P2847" s="23"/>
      <c r="Q2847" s="24" t="s">
        <v>31</v>
      </c>
      <c r="R2847" s="25">
        <v>44900</v>
      </c>
      <c r="S2847" s="28"/>
      <c r="T2847" s="35"/>
      <c r="U2847" s="35"/>
      <c r="V2847" s="29"/>
      <c r="W2847" s="35"/>
      <c r="X2847" s="29"/>
      <c r="Y2847" s="36"/>
      <c r="Z2847" s="29"/>
      <c r="AA2847" s="31">
        <f t="shared" si="1"/>
        <v>44900</v>
      </c>
      <c r="AB2847" s="32" t="str">
        <f t="shared" si="5"/>
        <v>diciembre</v>
      </c>
    </row>
    <row r="2848" spans="1:28" ht="12.75">
      <c r="A2848" s="9" t="s">
        <v>58</v>
      </c>
      <c r="B2848" s="10">
        <v>44903</v>
      </c>
      <c r="C2848" s="11">
        <v>44903</v>
      </c>
      <c r="D2848" s="53">
        <v>49</v>
      </c>
      <c r="E2848" s="13" t="s">
        <v>3253</v>
      </c>
      <c r="F2848" s="13">
        <v>3025461</v>
      </c>
      <c r="G2848" s="14">
        <v>37418</v>
      </c>
      <c r="H2848" s="33">
        <v>9198.9500000000007</v>
      </c>
      <c r="I2848" s="16">
        <f t="shared" ref="I2848:I2851" si="411">H2848*G2848</f>
        <v>344206311.10000002</v>
      </c>
      <c r="J2848" s="17">
        <v>75</v>
      </c>
      <c r="K2848" s="34">
        <v>4502467077</v>
      </c>
      <c r="L2848" s="19">
        <v>5084959487</v>
      </c>
      <c r="M2848" s="20">
        <v>5113790113</v>
      </c>
      <c r="N2848" s="23"/>
      <c r="O2848" s="9" t="s">
        <v>37</v>
      </c>
      <c r="P2848" s="23"/>
      <c r="Q2848" s="24" t="s">
        <v>1605</v>
      </c>
      <c r="R2848" s="25">
        <v>44900</v>
      </c>
      <c r="S2848" s="28"/>
      <c r="T2848" s="35"/>
      <c r="U2848" s="35"/>
      <c r="V2848" s="29"/>
      <c r="W2848" s="35"/>
      <c r="X2848" s="29"/>
      <c r="Y2848" s="36"/>
      <c r="Z2848" s="29"/>
      <c r="AA2848" s="31">
        <f t="shared" si="1"/>
        <v>44900</v>
      </c>
      <c r="AB2848" s="32" t="str">
        <f t="shared" si="5"/>
        <v>diciembre</v>
      </c>
    </row>
    <row r="2849" spans="1:28" ht="12.75">
      <c r="A2849" s="9" t="s">
        <v>1606</v>
      </c>
      <c r="B2849" s="10">
        <v>44901</v>
      </c>
      <c r="C2849" s="11"/>
      <c r="D2849" s="53">
        <v>49</v>
      </c>
      <c r="E2849" s="13" t="s">
        <v>3254</v>
      </c>
      <c r="F2849" s="13">
        <v>3025461</v>
      </c>
      <c r="G2849" s="14">
        <v>15152</v>
      </c>
      <c r="H2849" s="33">
        <v>8991.9500000000007</v>
      </c>
      <c r="I2849" s="16">
        <f t="shared" si="411"/>
        <v>136246026.40000001</v>
      </c>
      <c r="J2849" s="17">
        <v>28</v>
      </c>
      <c r="K2849" s="34">
        <v>4502467078</v>
      </c>
      <c r="L2849" s="19">
        <v>5084959582</v>
      </c>
      <c r="M2849" s="20">
        <v>5113796670</v>
      </c>
      <c r="N2849" s="23"/>
      <c r="O2849" s="9" t="s">
        <v>63</v>
      </c>
      <c r="P2849" s="124"/>
      <c r="Q2849" s="24" t="s">
        <v>1605</v>
      </c>
      <c r="R2849" s="25">
        <v>44900</v>
      </c>
      <c r="S2849" s="28"/>
      <c r="T2849" s="35"/>
      <c r="U2849" s="35"/>
      <c r="V2849" s="29"/>
      <c r="W2849" s="35"/>
      <c r="X2849" s="29"/>
      <c r="Y2849" s="36"/>
      <c r="Z2849" s="29"/>
      <c r="AA2849" s="31">
        <f t="shared" si="1"/>
        <v>44900</v>
      </c>
      <c r="AB2849" s="32" t="str">
        <f t="shared" si="5"/>
        <v>diciembre</v>
      </c>
    </row>
    <row r="2850" spans="1:28" ht="12.75">
      <c r="A2850" s="9" t="s">
        <v>168</v>
      </c>
      <c r="B2850" s="10">
        <v>44902</v>
      </c>
      <c r="C2850" s="11">
        <v>44902</v>
      </c>
      <c r="D2850" s="53">
        <v>49</v>
      </c>
      <c r="E2850" s="13" t="s">
        <v>3255</v>
      </c>
      <c r="F2850" s="13">
        <v>3025461</v>
      </c>
      <c r="G2850" s="14">
        <v>13692</v>
      </c>
      <c r="H2850" s="33">
        <v>9050</v>
      </c>
      <c r="I2850" s="16">
        <f t="shared" si="411"/>
        <v>123912600</v>
      </c>
      <c r="J2850" s="17">
        <v>28</v>
      </c>
      <c r="K2850" s="34">
        <v>4502467079</v>
      </c>
      <c r="L2850" s="19">
        <v>5084959708</v>
      </c>
      <c r="M2850" s="20">
        <v>5113786927</v>
      </c>
      <c r="N2850" s="23"/>
      <c r="O2850" s="9" t="s">
        <v>63</v>
      </c>
      <c r="P2850" s="23"/>
      <c r="Q2850" s="24" t="s">
        <v>1605</v>
      </c>
      <c r="R2850" s="25">
        <v>44900</v>
      </c>
      <c r="S2850" s="28"/>
      <c r="T2850" s="35"/>
      <c r="U2850" s="35"/>
      <c r="V2850" s="29"/>
      <c r="W2850" s="35"/>
      <c r="X2850" s="29"/>
      <c r="Y2850" s="36"/>
      <c r="Z2850" s="29"/>
      <c r="AA2850" s="31">
        <f t="shared" si="1"/>
        <v>44900</v>
      </c>
      <c r="AB2850" s="32" t="str">
        <f t="shared" si="5"/>
        <v>diciembre</v>
      </c>
    </row>
    <row r="2851" spans="1:28" ht="12.75">
      <c r="A2851" s="22" t="s">
        <v>404</v>
      </c>
      <c r="B2851" s="10">
        <v>44904</v>
      </c>
      <c r="C2851" s="11"/>
      <c r="D2851" s="53">
        <v>49</v>
      </c>
      <c r="E2851" s="13" t="s">
        <v>3256</v>
      </c>
      <c r="F2851" s="13">
        <v>3025457</v>
      </c>
      <c r="G2851" s="14">
        <v>7789.5</v>
      </c>
      <c r="H2851" s="33">
        <v>9100</v>
      </c>
      <c r="I2851" s="16">
        <f t="shared" si="411"/>
        <v>70884450</v>
      </c>
      <c r="J2851" s="17">
        <v>15</v>
      </c>
      <c r="K2851" s="34">
        <v>4502462098</v>
      </c>
      <c r="L2851" s="19">
        <v>5084940111</v>
      </c>
      <c r="M2851" s="20">
        <v>5113792217</v>
      </c>
      <c r="N2851" s="23"/>
      <c r="O2851" s="88" t="s">
        <v>37</v>
      </c>
      <c r="P2851" s="124"/>
      <c r="Q2851" s="24" t="s">
        <v>31</v>
      </c>
      <c r="R2851" s="25">
        <v>44901</v>
      </c>
      <c r="S2851" s="28"/>
      <c r="T2851" s="35"/>
      <c r="U2851" s="35"/>
      <c r="V2851" s="29"/>
      <c r="W2851" s="35"/>
      <c r="X2851" s="29"/>
      <c r="Y2851" s="36"/>
      <c r="Z2851" s="29"/>
      <c r="AA2851" s="31">
        <f t="shared" si="1"/>
        <v>44901</v>
      </c>
      <c r="AB2851" s="32" t="str">
        <f t="shared" si="5"/>
        <v>diciembre</v>
      </c>
    </row>
    <row r="2852" spans="1:28" ht="12.75">
      <c r="A2852" s="22" t="s">
        <v>404</v>
      </c>
      <c r="B2852" s="10">
        <v>44904</v>
      </c>
      <c r="C2852" s="11"/>
      <c r="D2852" s="53">
        <v>49</v>
      </c>
      <c r="E2852" s="13" t="s">
        <v>3257</v>
      </c>
      <c r="F2852" s="13">
        <v>3025457</v>
      </c>
      <c r="G2852" s="14">
        <v>7789.5</v>
      </c>
      <c r="H2852" s="33">
        <f>9100-8962.41</f>
        <v>137.59000000000015</v>
      </c>
      <c r="I2852" s="16">
        <f>-H2852*G2852</f>
        <v>-1071757.3050000011</v>
      </c>
      <c r="J2852" s="17">
        <v>0</v>
      </c>
      <c r="K2852" s="34">
        <v>4502462098</v>
      </c>
      <c r="L2852" s="19">
        <v>5084940111</v>
      </c>
      <c r="M2852" s="20">
        <v>5113792218</v>
      </c>
      <c r="N2852" s="23"/>
      <c r="O2852" s="9"/>
      <c r="P2852" s="23"/>
      <c r="Q2852" s="24" t="s">
        <v>31</v>
      </c>
      <c r="R2852" s="25">
        <v>44901</v>
      </c>
      <c r="S2852" s="28"/>
      <c r="T2852" s="35"/>
      <c r="U2852" s="35"/>
      <c r="V2852" s="29"/>
      <c r="W2852" s="35"/>
      <c r="X2852" s="29"/>
      <c r="Y2852" s="36"/>
      <c r="Z2852" s="29"/>
      <c r="AA2852" s="31">
        <f t="shared" si="1"/>
        <v>44901</v>
      </c>
      <c r="AB2852" s="32" t="str">
        <f t="shared" si="5"/>
        <v>diciembre</v>
      </c>
    </row>
    <row r="2853" spans="1:28" ht="12.75">
      <c r="A2853" s="9" t="s">
        <v>39</v>
      </c>
      <c r="B2853" s="10">
        <v>44904</v>
      </c>
      <c r="C2853" s="11">
        <v>44907</v>
      </c>
      <c r="D2853" s="53">
        <v>49</v>
      </c>
      <c r="E2853" s="13" t="s">
        <v>3258</v>
      </c>
      <c r="F2853" s="13">
        <v>3025457</v>
      </c>
      <c r="G2853" s="14">
        <v>13966</v>
      </c>
      <c r="H2853" s="33">
        <v>9100</v>
      </c>
      <c r="I2853" s="16">
        <f>H2853*G2853</f>
        <v>127090600</v>
      </c>
      <c r="J2853" s="17">
        <v>30</v>
      </c>
      <c r="K2853" s="34">
        <v>4502462099</v>
      </c>
      <c r="L2853" s="19">
        <v>5084940114</v>
      </c>
      <c r="M2853" s="20">
        <v>5113791919</v>
      </c>
      <c r="N2853" s="23"/>
      <c r="O2853" s="9" t="s">
        <v>63</v>
      </c>
      <c r="P2853" s="23"/>
      <c r="Q2853" s="24" t="s">
        <v>31</v>
      </c>
      <c r="R2853" s="25">
        <v>44901</v>
      </c>
      <c r="S2853" s="28"/>
      <c r="T2853" s="35"/>
      <c r="U2853" s="35"/>
      <c r="V2853" s="29"/>
      <c r="W2853" s="35"/>
      <c r="X2853" s="29"/>
      <c r="Y2853" s="36"/>
      <c r="Z2853" s="29"/>
      <c r="AA2853" s="31">
        <f t="shared" si="1"/>
        <v>44901</v>
      </c>
      <c r="AB2853" s="32" t="str">
        <f t="shared" si="5"/>
        <v>diciembre</v>
      </c>
    </row>
    <row r="2854" spans="1:28" ht="12.75">
      <c r="A2854" s="9" t="s">
        <v>39</v>
      </c>
      <c r="B2854" s="10">
        <v>44904</v>
      </c>
      <c r="C2854" s="11">
        <v>44907</v>
      </c>
      <c r="D2854" s="53">
        <v>49</v>
      </c>
      <c r="E2854" s="13" t="s">
        <v>827</v>
      </c>
      <c r="F2854" s="13">
        <v>3025457</v>
      </c>
      <c r="G2854" s="14">
        <v>13966</v>
      </c>
      <c r="H2854" s="33">
        <f>9100-8869.24</f>
        <v>230.76000000000022</v>
      </c>
      <c r="I2854" s="16">
        <f>-H2854*G2854</f>
        <v>-3222794.1600000029</v>
      </c>
      <c r="J2854" s="17">
        <v>0</v>
      </c>
      <c r="K2854" s="34">
        <v>4502462099</v>
      </c>
      <c r="L2854" s="19">
        <v>5084940114</v>
      </c>
      <c r="M2854" s="20">
        <v>5113791921</v>
      </c>
      <c r="N2854" s="23"/>
      <c r="O2854" s="9"/>
      <c r="P2854" s="23"/>
      <c r="Q2854" s="24" t="s">
        <v>31</v>
      </c>
      <c r="R2854" s="25">
        <v>44901</v>
      </c>
      <c r="S2854" s="28"/>
      <c r="T2854" s="35"/>
      <c r="U2854" s="35"/>
      <c r="V2854" s="29"/>
      <c r="W2854" s="35"/>
      <c r="X2854" s="29"/>
      <c r="Y2854" s="36"/>
      <c r="Z2854" s="29"/>
      <c r="AA2854" s="31">
        <f t="shared" si="1"/>
        <v>44901</v>
      </c>
      <c r="AB2854" s="32" t="str">
        <f t="shared" si="5"/>
        <v>diciembre</v>
      </c>
    </row>
    <row r="2855" spans="1:28" ht="12.75">
      <c r="A2855" s="9" t="s">
        <v>99</v>
      </c>
      <c r="B2855" s="10">
        <v>44905</v>
      </c>
      <c r="C2855" s="11">
        <v>44905</v>
      </c>
      <c r="D2855" s="53">
        <v>49</v>
      </c>
      <c r="E2855" s="13" t="s">
        <v>3259</v>
      </c>
      <c r="F2855" s="13">
        <v>3025457</v>
      </c>
      <c r="G2855" s="14">
        <v>12900.5</v>
      </c>
      <c r="H2855" s="33">
        <v>8800</v>
      </c>
      <c r="I2855" s="16">
        <f>H2855*G2855</f>
        <v>113524400</v>
      </c>
      <c r="J2855" s="17">
        <v>30</v>
      </c>
      <c r="K2855" s="34">
        <v>4502462100</v>
      </c>
      <c r="L2855" s="19">
        <v>5084941378</v>
      </c>
      <c r="M2855" s="20">
        <v>5113797416</v>
      </c>
      <c r="N2855" s="23"/>
      <c r="O2855" s="9" t="s">
        <v>37</v>
      </c>
      <c r="P2855" s="23"/>
      <c r="Q2855" s="24" t="s">
        <v>31</v>
      </c>
      <c r="R2855" s="25">
        <v>44901</v>
      </c>
      <c r="S2855" s="28"/>
      <c r="T2855" s="35"/>
      <c r="U2855" s="35"/>
      <c r="V2855" s="29"/>
      <c r="W2855" s="35"/>
      <c r="X2855" s="29"/>
      <c r="Y2855" s="36"/>
      <c r="Z2855" s="29"/>
      <c r="AA2855" s="31">
        <f t="shared" si="1"/>
        <v>44901</v>
      </c>
      <c r="AB2855" s="32" t="str">
        <f t="shared" si="5"/>
        <v>diciembre</v>
      </c>
    </row>
    <row r="2856" spans="1:28" ht="12.75">
      <c r="A2856" s="9" t="s">
        <v>99</v>
      </c>
      <c r="B2856" s="10">
        <v>44905</v>
      </c>
      <c r="C2856" s="11">
        <v>44905</v>
      </c>
      <c r="D2856" s="53">
        <v>49</v>
      </c>
      <c r="E2856" s="13" t="s">
        <v>3260</v>
      </c>
      <c r="F2856" s="13">
        <v>3025457</v>
      </c>
      <c r="G2856" s="14">
        <v>12900.5</v>
      </c>
      <c r="H2856" s="33">
        <f>8800-8635.42</f>
        <v>164.57999999999993</v>
      </c>
      <c r="I2856" s="16">
        <f>-H2856*G2856</f>
        <v>-2123164.2899999991</v>
      </c>
      <c r="J2856" s="17">
        <v>0</v>
      </c>
      <c r="K2856" s="34">
        <v>4502462100</v>
      </c>
      <c r="L2856" s="19">
        <v>5084941378</v>
      </c>
      <c r="M2856" s="20">
        <v>5113797438</v>
      </c>
      <c r="N2856" s="23"/>
      <c r="O2856" s="9"/>
      <c r="P2856" s="23"/>
      <c r="Q2856" s="24" t="s">
        <v>31</v>
      </c>
      <c r="R2856" s="25">
        <v>44901</v>
      </c>
      <c r="S2856" s="28"/>
      <c r="T2856" s="35"/>
      <c r="U2856" s="35"/>
      <c r="V2856" s="29"/>
      <c r="W2856" s="35"/>
      <c r="X2856" s="29"/>
      <c r="Y2856" s="36"/>
      <c r="Z2856" s="29"/>
      <c r="AA2856" s="31">
        <f t="shared" si="1"/>
        <v>44901</v>
      </c>
      <c r="AB2856" s="32" t="str">
        <f t="shared" si="5"/>
        <v>diciembre</v>
      </c>
    </row>
    <row r="2857" spans="1:28" ht="12.75">
      <c r="A2857" s="9" t="s">
        <v>642</v>
      </c>
      <c r="B2857" s="10">
        <v>44901</v>
      </c>
      <c r="C2857" s="11"/>
      <c r="D2857" s="53">
        <v>49</v>
      </c>
      <c r="E2857" s="13" t="s">
        <v>2296</v>
      </c>
      <c r="F2857" s="13">
        <v>3025457</v>
      </c>
      <c r="G2857" s="14">
        <v>7111.5</v>
      </c>
      <c r="H2857" s="33">
        <v>8750</v>
      </c>
      <c r="I2857" s="16">
        <f t="shared" ref="I2857:I2863" si="412">H2857*G2857</f>
        <v>62225625</v>
      </c>
      <c r="J2857" s="17">
        <v>15</v>
      </c>
      <c r="K2857" s="34">
        <v>4502463260</v>
      </c>
      <c r="L2857" s="19">
        <v>5084940116</v>
      </c>
      <c r="M2857" s="20">
        <v>5113797441</v>
      </c>
      <c r="N2857" s="23"/>
      <c r="O2857" s="9" t="s">
        <v>37</v>
      </c>
      <c r="P2857" s="23"/>
      <c r="Q2857" s="24" t="s">
        <v>31</v>
      </c>
      <c r="R2857" s="25">
        <v>44901</v>
      </c>
      <c r="S2857" s="28"/>
      <c r="T2857" s="35"/>
      <c r="U2857" s="35"/>
      <c r="V2857" s="29"/>
      <c r="W2857" s="35"/>
      <c r="X2857" s="29"/>
      <c r="Y2857" s="36"/>
      <c r="Z2857" s="29"/>
      <c r="AA2857" s="31">
        <f t="shared" si="1"/>
        <v>44901</v>
      </c>
      <c r="AB2857" s="32" t="str">
        <f t="shared" si="5"/>
        <v>diciembre</v>
      </c>
    </row>
    <row r="2858" spans="1:28" ht="12.75">
      <c r="A2858" s="9" t="s">
        <v>80</v>
      </c>
      <c r="B2858" s="10">
        <v>44901</v>
      </c>
      <c r="C2858" s="11">
        <v>44908</v>
      </c>
      <c r="D2858" s="53">
        <v>49</v>
      </c>
      <c r="E2858" s="13" t="s">
        <v>3261</v>
      </c>
      <c r="F2858" s="13">
        <v>3025460</v>
      </c>
      <c r="G2858" s="14">
        <v>39069</v>
      </c>
      <c r="H2858" s="33">
        <v>8750</v>
      </c>
      <c r="I2858" s="16">
        <f t="shared" si="412"/>
        <v>341853750</v>
      </c>
      <c r="J2858" s="17">
        <v>84</v>
      </c>
      <c r="K2858" s="34">
        <v>4502467716</v>
      </c>
      <c r="L2858" s="19">
        <v>5084969394</v>
      </c>
      <c r="M2858" s="20">
        <v>5113800850</v>
      </c>
      <c r="N2858" s="23"/>
      <c r="O2858" s="9" t="s">
        <v>382</v>
      </c>
      <c r="P2858" s="23" t="s">
        <v>3232</v>
      </c>
      <c r="Q2858" s="24" t="s">
        <v>82</v>
      </c>
      <c r="R2858" s="25">
        <v>44901</v>
      </c>
      <c r="S2858" s="28"/>
      <c r="T2858" s="35"/>
      <c r="U2858" s="35"/>
      <c r="V2858" s="29"/>
      <c r="W2858" s="35"/>
      <c r="X2858" s="29"/>
      <c r="Y2858" s="36"/>
      <c r="Z2858" s="29"/>
      <c r="AA2858" s="31">
        <f t="shared" si="1"/>
        <v>44901</v>
      </c>
      <c r="AB2858" s="32" t="str">
        <f t="shared" si="5"/>
        <v>diciembre</v>
      </c>
    </row>
    <row r="2859" spans="1:28" ht="12.75">
      <c r="A2859" s="9" t="s">
        <v>80</v>
      </c>
      <c r="B2859" s="10">
        <v>44901</v>
      </c>
      <c r="C2859" s="11">
        <v>44909</v>
      </c>
      <c r="D2859" s="53">
        <v>49</v>
      </c>
      <c r="E2859" s="13">
        <v>13</v>
      </c>
      <c r="F2859" s="13">
        <v>3025460</v>
      </c>
      <c r="G2859" s="14">
        <v>39069</v>
      </c>
      <c r="H2859" s="33">
        <f>8774-8750</f>
        <v>24</v>
      </c>
      <c r="I2859" s="16">
        <f t="shared" si="412"/>
        <v>937656</v>
      </c>
      <c r="J2859" s="17">
        <v>0</v>
      </c>
      <c r="K2859" s="34">
        <v>4502467716</v>
      </c>
      <c r="L2859" s="19">
        <v>5084969394</v>
      </c>
      <c r="M2859" s="20">
        <v>5113810414</v>
      </c>
      <c r="N2859" s="23"/>
      <c r="O2859" s="9"/>
      <c r="P2859" s="23"/>
      <c r="Q2859" s="24" t="s">
        <v>82</v>
      </c>
      <c r="R2859" s="25">
        <v>44901</v>
      </c>
      <c r="S2859" s="28"/>
      <c r="T2859" s="35"/>
      <c r="U2859" s="35"/>
      <c r="V2859" s="29"/>
      <c r="W2859" s="35"/>
      <c r="X2859" s="29"/>
      <c r="Y2859" s="36"/>
      <c r="Z2859" s="29"/>
      <c r="AA2859" s="31">
        <f t="shared" si="1"/>
        <v>44901</v>
      </c>
      <c r="AB2859" s="32" t="str">
        <f t="shared" si="5"/>
        <v>diciembre</v>
      </c>
    </row>
    <row r="2860" spans="1:28" ht="12.75">
      <c r="A2860" s="9" t="s">
        <v>443</v>
      </c>
      <c r="B2860" s="10">
        <v>44901</v>
      </c>
      <c r="C2860" s="11"/>
      <c r="D2860" s="53">
        <v>49</v>
      </c>
      <c r="E2860" s="13" t="s">
        <v>3262</v>
      </c>
      <c r="F2860" s="13">
        <v>3025460</v>
      </c>
      <c r="G2860" s="14">
        <v>33684</v>
      </c>
      <c r="H2860" s="33">
        <v>8750</v>
      </c>
      <c r="I2860" s="16">
        <f t="shared" si="412"/>
        <v>294735000</v>
      </c>
      <c r="J2860" s="17">
        <v>65</v>
      </c>
      <c r="K2860" s="34">
        <v>4502467726</v>
      </c>
      <c r="L2860" s="19">
        <v>5084969466</v>
      </c>
      <c r="M2860" s="20">
        <v>5113796871</v>
      </c>
      <c r="N2860" s="23"/>
      <c r="O2860" s="9" t="s">
        <v>63</v>
      </c>
      <c r="P2860" s="23"/>
      <c r="Q2860" s="24" t="s">
        <v>82</v>
      </c>
      <c r="R2860" s="25">
        <v>44901</v>
      </c>
      <c r="S2860" s="28"/>
      <c r="T2860" s="35"/>
      <c r="U2860" s="35"/>
      <c r="V2860" s="29"/>
      <c r="W2860" s="35"/>
      <c r="X2860" s="29"/>
      <c r="Y2860" s="36"/>
      <c r="Z2860" s="29"/>
      <c r="AA2860" s="31">
        <f t="shared" si="1"/>
        <v>44901</v>
      </c>
      <c r="AB2860" s="32" t="str">
        <f t="shared" si="5"/>
        <v>diciembre</v>
      </c>
    </row>
    <row r="2861" spans="1:28" ht="12.75">
      <c r="A2861" s="9" t="s">
        <v>3263</v>
      </c>
      <c r="B2861" s="10">
        <v>44907</v>
      </c>
      <c r="C2861" s="11">
        <v>44907</v>
      </c>
      <c r="D2861" s="53">
        <v>49</v>
      </c>
      <c r="E2861" s="13" t="s">
        <v>3264</v>
      </c>
      <c r="F2861" s="13">
        <v>3025460</v>
      </c>
      <c r="G2861" s="14">
        <v>13553</v>
      </c>
      <c r="H2861" s="33">
        <v>8800</v>
      </c>
      <c r="I2861" s="16">
        <f t="shared" si="412"/>
        <v>119266400</v>
      </c>
      <c r="J2861" s="17">
        <v>27</v>
      </c>
      <c r="K2861" s="34">
        <v>4502467733</v>
      </c>
      <c r="L2861" s="19">
        <v>5084969577</v>
      </c>
      <c r="M2861" s="20">
        <v>5113795476</v>
      </c>
      <c r="N2861" s="23"/>
      <c r="O2861" s="9"/>
      <c r="P2861" s="23" t="s">
        <v>382</v>
      </c>
      <c r="Q2861" s="24" t="s">
        <v>82</v>
      </c>
      <c r="R2861" s="25">
        <v>44901</v>
      </c>
      <c r="S2861" s="28"/>
      <c r="T2861" s="35"/>
      <c r="U2861" s="35"/>
      <c r="V2861" s="29"/>
      <c r="W2861" s="35"/>
      <c r="X2861" s="29"/>
      <c r="Y2861" s="36"/>
      <c r="Z2861" s="29"/>
      <c r="AA2861" s="31">
        <f t="shared" si="1"/>
        <v>44901</v>
      </c>
      <c r="AB2861" s="32" t="str">
        <f t="shared" si="5"/>
        <v>diciembre</v>
      </c>
    </row>
    <row r="2862" spans="1:28" ht="12.75">
      <c r="A2862" s="9" t="s">
        <v>58</v>
      </c>
      <c r="B2862" s="10">
        <v>44904</v>
      </c>
      <c r="C2862" s="11">
        <v>44904</v>
      </c>
      <c r="D2862" s="53">
        <v>49</v>
      </c>
      <c r="E2862" s="13" t="s">
        <v>3265</v>
      </c>
      <c r="F2862" s="13">
        <v>3025462</v>
      </c>
      <c r="G2862" s="14">
        <v>7155</v>
      </c>
      <c r="H2862" s="33">
        <v>7800</v>
      </c>
      <c r="I2862" s="16">
        <f t="shared" si="412"/>
        <v>55809000</v>
      </c>
      <c r="J2862" s="17">
        <v>32</v>
      </c>
      <c r="K2862" s="34">
        <v>4502467455</v>
      </c>
      <c r="L2862" s="19">
        <v>5084966061</v>
      </c>
      <c r="M2862" s="20">
        <v>5113793004</v>
      </c>
      <c r="N2862" s="23"/>
      <c r="O2862" s="9" t="s">
        <v>37</v>
      </c>
      <c r="P2862" s="23"/>
      <c r="Q2862" s="24" t="s">
        <v>357</v>
      </c>
      <c r="R2862" s="25">
        <v>44902</v>
      </c>
      <c r="S2862" s="28"/>
      <c r="T2862" s="35"/>
      <c r="U2862" s="35"/>
      <c r="V2862" s="29"/>
      <c r="W2862" s="35"/>
      <c r="X2862" s="29"/>
      <c r="Y2862" s="36"/>
      <c r="Z2862" s="29"/>
      <c r="AA2862" s="31">
        <f t="shared" si="1"/>
        <v>44902</v>
      </c>
      <c r="AB2862" s="32" t="str">
        <f t="shared" si="5"/>
        <v>diciembre</v>
      </c>
    </row>
    <row r="2863" spans="1:28" ht="17.25" customHeight="1">
      <c r="A2863" s="9" t="s">
        <v>39</v>
      </c>
      <c r="B2863" s="10">
        <v>44903</v>
      </c>
      <c r="C2863" s="11">
        <v>44907</v>
      </c>
      <c r="D2863" s="42">
        <v>50</v>
      </c>
      <c r="E2863" s="13" t="s">
        <v>3266</v>
      </c>
      <c r="F2863" s="13">
        <v>3025457</v>
      </c>
      <c r="G2863" s="14">
        <v>13169</v>
      </c>
      <c r="H2863" s="33">
        <v>9100</v>
      </c>
      <c r="I2863" s="16">
        <f t="shared" si="412"/>
        <v>119837900</v>
      </c>
      <c r="J2863" s="17">
        <v>27</v>
      </c>
      <c r="K2863" s="34">
        <v>4502466505</v>
      </c>
      <c r="L2863" s="126">
        <v>5084969139</v>
      </c>
      <c r="M2863" s="20">
        <v>5113795340</v>
      </c>
      <c r="N2863" s="128"/>
      <c r="O2863" s="9" t="s">
        <v>63</v>
      </c>
      <c r="P2863" s="23"/>
      <c r="Q2863" s="24" t="s">
        <v>31</v>
      </c>
      <c r="R2863" s="25">
        <v>44903</v>
      </c>
      <c r="S2863" s="28"/>
      <c r="T2863" s="35"/>
      <c r="U2863" s="35"/>
      <c r="V2863" s="29"/>
      <c r="W2863" s="35"/>
      <c r="X2863" s="29"/>
      <c r="Y2863" s="36"/>
      <c r="Z2863" s="29"/>
      <c r="AA2863" s="31">
        <f t="shared" si="1"/>
        <v>44903</v>
      </c>
      <c r="AB2863" s="32" t="str">
        <f t="shared" si="5"/>
        <v>diciembre</v>
      </c>
    </row>
    <row r="2864" spans="1:28" ht="17.25" customHeight="1">
      <c r="A2864" s="9" t="s">
        <v>39</v>
      </c>
      <c r="B2864" s="10">
        <v>44903</v>
      </c>
      <c r="C2864" s="11">
        <v>44907</v>
      </c>
      <c r="D2864" s="42">
        <v>50</v>
      </c>
      <c r="E2864" s="13" t="s">
        <v>848</v>
      </c>
      <c r="F2864" s="13">
        <v>3025457</v>
      </c>
      <c r="G2864" s="14">
        <v>13169</v>
      </c>
      <c r="H2864" s="33">
        <f>9100-8854.29</f>
        <v>245.70999999999913</v>
      </c>
      <c r="I2864" s="16">
        <f>-H2864*G2864</f>
        <v>-3235754.9899999886</v>
      </c>
      <c r="J2864" s="17">
        <v>0</v>
      </c>
      <c r="K2864" s="34">
        <v>4502466505</v>
      </c>
      <c r="L2864" s="126">
        <v>5084969139</v>
      </c>
      <c r="M2864" s="20">
        <v>5113795341</v>
      </c>
      <c r="N2864" s="128"/>
      <c r="O2864" s="9"/>
      <c r="P2864" s="23"/>
      <c r="Q2864" s="24" t="s">
        <v>31</v>
      </c>
      <c r="R2864" s="25">
        <v>44903</v>
      </c>
      <c r="S2864" s="28"/>
      <c r="T2864" s="35"/>
      <c r="U2864" s="35"/>
      <c r="V2864" s="29"/>
      <c r="W2864" s="35"/>
      <c r="X2864" s="29"/>
      <c r="Y2864" s="36"/>
      <c r="Z2864" s="29"/>
      <c r="AA2864" s="31">
        <f t="shared" si="1"/>
        <v>44903</v>
      </c>
      <c r="AB2864" s="32" t="str">
        <f t="shared" si="5"/>
        <v>diciembre</v>
      </c>
    </row>
    <row r="2865" spans="1:28" ht="12.75">
      <c r="A2865" s="9" t="s">
        <v>276</v>
      </c>
      <c r="B2865" s="10">
        <v>44907</v>
      </c>
      <c r="C2865" s="11"/>
      <c r="D2865" s="42">
        <v>50</v>
      </c>
      <c r="E2865" s="13" t="s">
        <v>323</v>
      </c>
      <c r="F2865" s="13">
        <v>3025459</v>
      </c>
      <c r="G2865" s="14">
        <v>13206</v>
      </c>
      <c r="H2865" s="33">
        <v>8700</v>
      </c>
      <c r="I2865" s="16">
        <f t="shared" ref="I2865:I2868" si="413">H2865*G2865</f>
        <v>114892200</v>
      </c>
      <c r="J2865" s="17">
        <v>28</v>
      </c>
      <c r="K2865" s="34">
        <v>4502466506</v>
      </c>
      <c r="L2865" s="126">
        <v>5084969140</v>
      </c>
      <c r="M2865" s="20">
        <v>5113793005</v>
      </c>
      <c r="N2865" s="128"/>
      <c r="O2865" s="9" t="s">
        <v>63</v>
      </c>
      <c r="P2865" s="23"/>
      <c r="Q2865" s="24" t="s">
        <v>31</v>
      </c>
      <c r="R2865" s="25">
        <v>44903</v>
      </c>
      <c r="S2865" s="28"/>
      <c r="T2865" s="35"/>
      <c r="U2865" s="35"/>
      <c r="V2865" s="29"/>
      <c r="W2865" s="35"/>
      <c r="X2865" s="29"/>
      <c r="Y2865" s="36"/>
      <c r="Z2865" s="29"/>
      <c r="AA2865" s="31">
        <f t="shared" si="1"/>
        <v>44903</v>
      </c>
      <c r="AB2865" s="32" t="str">
        <f t="shared" si="5"/>
        <v>diciembre</v>
      </c>
    </row>
    <row r="2866" spans="1:28" ht="12.75">
      <c r="A2866" s="9" t="s">
        <v>43</v>
      </c>
      <c r="B2866" s="10">
        <v>44903</v>
      </c>
      <c r="C2866" s="11"/>
      <c r="D2866" s="42">
        <v>50</v>
      </c>
      <c r="E2866" s="13" t="s">
        <v>3267</v>
      </c>
      <c r="F2866" s="13">
        <v>3025459</v>
      </c>
      <c r="G2866" s="14">
        <v>14683</v>
      </c>
      <c r="H2866" s="15">
        <v>8650</v>
      </c>
      <c r="I2866" s="16">
        <f t="shared" si="413"/>
        <v>127007950</v>
      </c>
      <c r="J2866" s="17">
        <v>28</v>
      </c>
      <c r="K2866" s="34">
        <v>4502467543</v>
      </c>
      <c r="L2866" s="126">
        <v>5084967279</v>
      </c>
      <c r="M2866" s="20">
        <v>5113795472</v>
      </c>
      <c r="N2866" s="128"/>
      <c r="O2866" s="9" t="s">
        <v>3268</v>
      </c>
      <c r="P2866" s="23" t="s">
        <v>382</v>
      </c>
      <c r="Q2866" s="24" t="s">
        <v>31</v>
      </c>
      <c r="R2866" s="25">
        <v>44903</v>
      </c>
      <c r="S2866" s="28">
        <v>4902404094</v>
      </c>
      <c r="T2866" s="99">
        <v>1019200</v>
      </c>
      <c r="U2866" s="28" t="s">
        <v>3269</v>
      </c>
      <c r="V2866" s="29">
        <v>5113794367</v>
      </c>
      <c r="W2866" s="35"/>
      <c r="X2866" s="29"/>
      <c r="Y2866" s="36"/>
      <c r="Z2866" s="29"/>
      <c r="AA2866" s="31">
        <f t="shared" si="1"/>
        <v>44903</v>
      </c>
      <c r="AB2866" s="32" t="str">
        <f t="shared" si="5"/>
        <v>diciembre</v>
      </c>
    </row>
    <row r="2867" spans="1:28" ht="12.75">
      <c r="A2867" s="154" t="s">
        <v>43</v>
      </c>
      <c r="B2867" s="10">
        <v>44903</v>
      </c>
      <c r="C2867" s="11">
        <v>44911</v>
      </c>
      <c r="D2867" s="42">
        <v>50</v>
      </c>
      <c r="E2867" s="13" t="s">
        <v>3270</v>
      </c>
      <c r="F2867" s="13">
        <v>3025459</v>
      </c>
      <c r="G2867" s="14">
        <v>14683</v>
      </c>
      <c r="H2867" s="15">
        <v>24</v>
      </c>
      <c r="I2867" s="166">
        <f t="shared" si="413"/>
        <v>352392</v>
      </c>
      <c r="J2867" s="17">
        <v>0</v>
      </c>
      <c r="K2867" s="34">
        <v>4502467543</v>
      </c>
      <c r="L2867" s="126">
        <v>5084967279</v>
      </c>
      <c r="M2867" s="20">
        <v>5113810413</v>
      </c>
      <c r="N2867" s="128"/>
      <c r="O2867" s="9"/>
      <c r="P2867" s="23" t="s">
        <v>382</v>
      </c>
      <c r="Q2867" s="24" t="s">
        <v>31</v>
      </c>
      <c r="R2867" s="25">
        <v>44903</v>
      </c>
      <c r="S2867" s="28"/>
      <c r="T2867" s="99"/>
      <c r="U2867" s="28"/>
      <c r="V2867" s="29"/>
      <c r="W2867" s="35"/>
      <c r="X2867" s="29"/>
      <c r="Y2867" s="36"/>
      <c r="Z2867" s="29"/>
      <c r="AA2867" s="31">
        <f t="shared" si="1"/>
        <v>44903</v>
      </c>
      <c r="AB2867" s="32" t="str">
        <f t="shared" si="5"/>
        <v>diciembre</v>
      </c>
    </row>
    <row r="2868" spans="1:28" ht="12.75">
      <c r="A2868" s="9" t="s">
        <v>338</v>
      </c>
      <c r="B2868" s="10">
        <v>44907</v>
      </c>
      <c r="C2868" s="11"/>
      <c r="D2868" s="42">
        <v>50</v>
      </c>
      <c r="E2868" s="13" t="s">
        <v>3271</v>
      </c>
      <c r="F2868" s="13">
        <v>3025459</v>
      </c>
      <c r="G2868" s="14">
        <v>6486.5</v>
      </c>
      <c r="H2868" s="33">
        <v>8850</v>
      </c>
      <c r="I2868" s="16">
        <f t="shared" si="413"/>
        <v>57405525</v>
      </c>
      <c r="J2868" s="17">
        <v>14</v>
      </c>
      <c r="K2868" s="34">
        <v>4502466507</v>
      </c>
      <c r="L2868" s="126">
        <v>5084969141</v>
      </c>
      <c r="M2868" s="20">
        <v>5113793006</v>
      </c>
      <c r="N2868" s="128"/>
      <c r="O2868" s="9" t="s">
        <v>63</v>
      </c>
      <c r="P2868" s="23"/>
      <c r="Q2868" s="24" t="s">
        <v>31</v>
      </c>
      <c r="R2868" s="25">
        <v>44903</v>
      </c>
      <c r="S2868" s="28"/>
      <c r="T2868" s="35"/>
      <c r="U2868" s="35"/>
      <c r="V2868" s="29"/>
      <c r="W2868" s="35"/>
      <c r="X2868" s="29"/>
      <c r="Y2868" s="36"/>
      <c r="Z2868" s="29"/>
      <c r="AA2868" s="31">
        <f t="shared" si="1"/>
        <v>44903</v>
      </c>
      <c r="AB2868" s="32" t="str">
        <f t="shared" si="5"/>
        <v>diciembre</v>
      </c>
    </row>
    <row r="2869" spans="1:28" ht="12.75">
      <c r="A2869" s="9" t="s">
        <v>338</v>
      </c>
      <c r="B2869" s="10">
        <v>44907</v>
      </c>
      <c r="C2869" s="11"/>
      <c r="D2869" s="42">
        <v>50</v>
      </c>
      <c r="E2869" s="13" t="s">
        <v>149</v>
      </c>
      <c r="F2869" s="13">
        <v>3025459</v>
      </c>
      <c r="G2869" s="14">
        <v>6486.5</v>
      </c>
      <c r="H2869" s="33">
        <f>8850-8800</f>
        <v>50</v>
      </c>
      <c r="I2869" s="16">
        <f>-H2869*G2869</f>
        <v>-324325</v>
      </c>
      <c r="J2869" s="17">
        <v>0</v>
      </c>
      <c r="K2869" s="34">
        <v>4502466507</v>
      </c>
      <c r="L2869" s="126">
        <v>5084969141</v>
      </c>
      <c r="M2869" s="20">
        <v>5113793377</v>
      </c>
      <c r="N2869" s="128"/>
      <c r="O2869" s="9"/>
      <c r="P2869" s="23"/>
      <c r="Q2869" s="24" t="s">
        <v>31</v>
      </c>
      <c r="R2869" s="25">
        <v>44903</v>
      </c>
      <c r="S2869" s="28"/>
      <c r="T2869" s="35"/>
      <c r="U2869" s="35"/>
      <c r="V2869" s="29"/>
      <c r="W2869" s="35"/>
      <c r="X2869" s="29"/>
      <c r="Y2869" s="36"/>
      <c r="Z2869" s="29"/>
      <c r="AA2869" s="31">
        <f t="shared" si="1"/>
        <v>44903</v>
      </c>
      <c r="AB2869" s="32" t="str">
        <f t="shared" si="5"/>
        <v>diciembre</v>
      </c>
    </row>
    <row r="2870" spans="1:28" ht="12.75">
      <c r="A2870" s="9" t="s">
        <v>266</v>
      </c>
      <c r="B2870" s="10">
        <v>44903</v>
      </c>
      <c r="C2870" s="11">
        <v>44909</v>
      </c>
      <c r="D2870" s="42">
        <v>50</v>
      </c>
      <c r="E2870" s="13" t="s">
        <v>3272</v>
      </c>
      <c r="F2870" s="13">
        <v>3025460</v>
      </c>
      <c r="G2870" s="14">
        <v>13896</v>
      </c>
      <c r="H2870" s="33">
        <v>8750</v>
      </c>
      <c r="I2870" s="16">
        <f t="shared" ref="I2870:I2872" si="414">H2870*G2870</f>
        <v>121590000</v>
      </c>
      <c r="J2870" s="17">
        <v>28</v>
      </c>
      <c r="K2870" s="34">
        <v>4502466508</v>
      </c>
      <c r="L2870" s="126">
        <v>5084969142</v>
      </c>
      <c r="M2870" s="20">
        <v>5113797545</v>
      </c>
      <c r="N2870" s="128"/>
      <c r="O2870" s="9" t="s">
        <v>382</v>
      </c>
      <c r="P2870" s="23"/>
      <c r="Q2870" s="24" t="s">
        <v>31</v>
      </c>
      <c r="R2870" s="25">
        <v>44903</v>
      </c>
      <c r="S2870" s="28"/>
      <c r="T2870" s="35"/>
      <c r="U2870" s="35"/>
      <c r="V2870" s="29"/>
      <c r="W2870" s="35"/>
      <c r="X2870" s="29"/>
      <c r="Y2870" s="36"/>
      <c r="Z2870" s="29"/>
      <c r="AA2870" s="31">
        <f t="shared" si="1"/>
        <v>44903</v>
      </c>
      <c r="AB2870" s="32" t="str">
        <f t="shared" si="5"/>
        <v>diciembre</v>
      </c>
    </row>
    <row r="2871" spans="1:28" ht="12.75">
      <c r="A2871" s="9" t="s">
        <v>266</v>
      </c>
      <c r="B2871" s="10">
        <v>44903</v>
      </c>
      <c r="C2871" s="11">
        <v>44909</v>
      </c>
      <c r="D2871" s="42">
        <v>50</v>
      </c>
      <c r="E2871" s="13" t="s">
        <v>163</v>
      </c>
      <c r="F2871" s="9">
        <v>3025460</v>
      </c>
      <c r="G2871" s="14">
        <v>13896</v>
      </c>
      <c r="H2871" s="33">
        <f>8792.66-8750</f>
        <v>42.659999999999854</v>
      </c>
      <c r="I2871" s="16">
        <f t="shared" si="414"/>
        <v>592803.35999999801</v>
      </c>
      <c r="J2871" s="17">
        <v>0</v>
      </c>
      <c r="K2871" s="34">
        <v>4502466508</v>
      </c>
      <c r="L2871" s="126">
        <v>5084969142</v>
      </c>
      <c r="M2871" s="20">
        <v>5113797578</v>
      </c>
      <c r="N2871" s="128"/>
      <c r="O2871" s="9"/>
      <c r="P2871" s="23"/>
      <c r="Q2871" s="24" t="s">
        <v>31</v>
      </c>
      <c r="R2871" s="25">
        <v>44903</v>
      </c>
      <c r="S2871" s="28"/>
      <c r="T2871" s="35"/>
      <c r="U2871" s="35"/>
      <c r="V2871" s="29"/>
      <c r="W2871" s="35"/>
      <c r="X2871" s="29"/>
      <c r="Y2871" s="36"/>
      <c r="Z2871" s="29"/>
      <c r="AA2871" s="31">
        <f t="shared" si="1"/>
        <v>44903</v>
      </c>
      <c r="AB2871" s="32" t="str">
        <f t="shared" si="5"/>
        <v>diciembre</v>
      </c>
    </row>
    <row r="2872" spans="1:28" ht="12.75">
      <c r="A2872" s="22" t="s">
        <v>719</v>
      </c>
      <c r="B2872" s="10">
        <v>44903</v>
      </c>
      <c r="C2872" s="11"/>
      <c r="D2872" s="42">
        <v>50</v>
      </c>
      <c r="E2872" s="13" t="s">
        <v>1951</v>
      </c>
      <c r="F2872" s="13">
        <v>3025460</v>
      </c>
      <c r="G2872" s="14">
        <v>6605.5</v>
      </c>
      <c r="H2872" s="33">
        <v>8850</v>
      </c>
      <c r="I2872" s="16">
        <f t="shared" si="414"/>
        <v>58458675</v>
      </c>
      <c r="J2872" s="17">
        <v>15</v>
      </c>
      <c r="K2872" s="34">
        <v>4502466509</v>
      </c>
      <c r="L2872" s="126">
        <v>5084969236</v>
      </c>
      <c r="M2872" s="20">
        <v>5113797502</v>
      </c>
      <c r="N2872" s="128"/>
      <c r="O2872" s="88" t="s">
        <v>37</v>
      </c>
      <c r="P2872" s="23"/>
      <c r="Q2872" s="24" t="s">
        <v>31</v>
      </c>
      <c r="R2872" s="25">
        <v>44903</v>
      </c>
      <c r="S2872" s="28"/>
      <c r="T2872" s="35"/>
      <c r="U2872" s="35"/>
      <c r="V2872" s="29"/>
      <c r="W2872" s="35"/>
      <c r="X2872" s="29"/>
      <c r="Y2872" s="36"/>
      <c r="Z2872" s="29"/>
      <c r="AA2872" s="31">
        <f t="shared" si="1"/>
        <v>44903</v>
      </c>
      <c r="AB2872" s="32" t="str">
        <f t="shared" si="5"/>
        <v>diciembre</v>
      </c>
    </row>
    <row r="2873" spans="1:28" ht="12.75">
      <c r="A2873" s="22" t="s">
        <v>719</v>
      </c>
      <c r="B2873" s="10">
        <v>44903</v>
      </c>
      <c r="C2873" s="11"/>
      <c r="D2873" s="42">
        <v>50</v>
      </c>
      <c r="E2873" s="13" t="s">
        <v>575</v>
      </c>
      <c r="F2873" s="13">
        <v>3025460</v>
      </c>
      <c r="G2873" s="14">
        <v>6605.5</v>
      </c>
      <c r="H2873" s="33">
        <f>8850-8800</f>
        <v>50</v>
      </c>
      <c r="I2873" s="16">
        <f>-H2873*G2873</f>
        <v>-330275</v>
      </c>
      <c r="J2873" s="17">
        <v>0</v>
      </c>
      <c r="K2873" s="34">
        <v>4502466509</v>
      </c>
      <c r="L2873" s="126">
        <v>5084969236</v>
      </c>
      <c r="M2873" s="20">
        <v>5113797506</v>
      </c>
      <c r="N2873" s="128"/>
      <c r="O2873" s="9"/>
      <c r="P2873" s="23"/>
      <c r="Q2873" s="24" t="s">
        <v>31</v>
      </c>
      <c r="R2873" s="25">
        <v>44903</v>
      </c>
      <c r="S2873" s="28"/>
      <c r="T2873" s="35"/>
      <c r="U2873" s="35"/>
      <c r="V2873" s="29"/>
      <c r="W2873" s="35"/>
      <c r="X2873" s="29"/>
      <c r="Y2873" s="36"/>
      <c r="Z2873" s="29"/>
      <c r="AA2873" s="31">
        <f t="shared" si="1"/>
        <v>44903</v>
      </c>
      <c r="AB2873" s="32" t="str">
        <f t="shared" si="5"/>
        <v>diciembre</v>
      </c>
    </row>
    <row r="2874" spans="1:28" ht="12.75">
      <c r="A2874" s="9" t="s">
        <v>289</v>
      </c>
      <c r="B2874" s="10">
        <v>44903</v>
      </c>
      <c r="C2874" s="11"/>
      <c r="D2874" s="42">
        <v>50</v>
      </c>
      <c r="E2874" s="13" t="s">
        <v>3273</v>
      </c>
      <c r="F2874" s="13">
        <v>3025460</v>
      </c>
      <c r="G2874" s="14">
        <v>7815</v>
      </c>
      <c r="H2874" s="33">
        <v>9100</v>
      </c>
      <c r="I2874" s="16">
        <f>H2874*G2874</f>
        <v>71116500</v>
      </c>
      <c r="J2874" s="17">
        <v>15</v>
      </c>
      <c r="K2874" s="34">
        <v>4502466510</v>
      </c>
      <c r="L2874" s="126">
        <v>5084969143</v>
      </c>
      <c r="M2874" s="20">
        <v>5113797479</v>
      </c>
      <c r="N2874" s="128"/>
      <c r="O2874" s="23" t="s">
        <v>37</v>
      </c>
      <c r="P2874" s="23"/>
      <c r="Q2874" s="24" t="s">
        <v>31</v>
      </c>
      <c r="R2874" s="25">
        <v>44903</v>
      </c>
      <c r="S2874" s="28"/>
      <c r="T2874" s="35"/>
      <c r="U2874" s="35"/>
      <c r="V2874" s="29"/>
      <c r="W2874" s="35"/>
      <c r="X2874" s="29"/>
      <c r="Y2874" s="36"/>
      <c r="Z2874" s="29"/>
      <c r="AA2874" s="31">
        <f t="shared" si="1"/>
        <v>44903</v>
      </c>
      <c r="AB2874" s="32" t="str">
        <f t="shared" si="5"/>
        <v>diciembre</v>
      </c>
    </row>
    <row r="2875" spans="1:28" ht="12.75">
      <c r="A2875" s="9" t="s">
        <v>289</v>
      </c>
      <c r="B2875" s="10">
        <v>44903</v>
      </c>
      <c r="C2875" s="11"/>
      <c r="D2875" s="42">
        <v>50</v>
      </c>
      <c r="E2875" s="13" t="s">
        <v>3047</v>
      </c>
      <c r="F2875" s="13">
        <v>3025460</v>
      </c>
      <c r="G2875" s="14">
        <v>7815</v>
      </c>
      <c r="H2875" s="33">
        <f>9100-9000</f>
        <v>100</v>
      </c>
      <c r="I2875" s="16">
        <f>-H2875*G2875</f>
        <v>-781500</v>
      </c>
      <c r="J2875" s="17">
        <v>0</v>
      </c>
      <c r="K2875" s="34">
        <v>4502466510</v>
      </c>
      <c r="L2875" s="126">
        <v>5084969143</v>
      </c>
      <c r="M2875" s="20">
        <v>5113797484</v>
      </c>
      <c r="N2875" s="128"/>
      <c r="O2875" s="9"/>
      <c r="P2875" s="23"/>
      <c r="Q2875" s="24" t="s">
        <v>31</v>
      </c>
      <c r="R2875" s="25">
        <v>44903</v>
      </c>
      <c r="S2875" s="28"/>
      <c r="T2875" s="35"/>
      <c r="U2875" s="35"/>
      <c r="V2875" s="29"/>
      <c r="W2875" s="35"/>
      <c r="X2875" s="29"/>
      <c r="Y2875" s="36"/>
      <c r="Z2875" s="29"/>
      <c r="AA2875" s="31">
        <f t="shared" si="1"/>
        <v>44903</v>
      </c>
      <c r="AB2875" s="32" t="str">
        <f t="shared" si="5"/>
        <v>diciembre</v>
      </c>
    </row>
    <row r="2876" spans="1:28" ht="12.75">
      <c r="A2876" s="9" t="s">
        <v>819</v>
      </c>
      <c r="B2876" s="10">
        <v>44903</v>
      </c>
      <c r="C2876" s="11"/>
      <c r="D2876" s="42">
        <v>50</v>
      </c>
      <c r="E2876" s="13">
        <v>6198</v>
      </c>
      <c r="F2876" s="13">
        <v>3025460</v>
      </c>
      <c r="G2876" s="14">
        <v>24576</v>
      </c>
      <c r="H2876" s="33">
        <v>9100</v>
      </c>
      <c r="I2876" s="16">
        <f>H2876*G2876</f>
        <v>223641600</v>
      </c>
      <c r="J2876" s="17">
        <v>56</v>
      </c>
      <c r="K2876" s="34">
        <v>4502466511</v>
      </c>
      <c r="L2876" s="126">
        <v>5084969144</v>
      </c>
      <c r="M2876" s="20">
        <v>5113797007</v>
      </c>
      <c r="N2876" s="128"/>
      <c r="O2876" s="88" t="s">
        <v>37</v>
      </c>
      <c r="P2876" s="23"/>
      <c r="Q2876" s="24" t="s">
        <v>31</v>
      </c>
      <c r="R2876" s="25">
        <v>44903</v>
      </c>
      <c r="S2876" s="28"/>
      <c r="T2876" s="35"/>
      <c r="U2876" s="35"/>
      <c r="V2876" s="29"/>
      <c r="W2876" s="35"/>
      <c r="X2876" s="29"/>
      <c r="Y2876" s="36"/>
      <c r="Z2876" s="29"/>
      <c r="AA2876" s="31">
        <f t="shared" si="1"/>
        <v>44903</v>
      </c>
      <c r="AB2876" s="32" t="str">
        <f t="shared" si="5"/>
        <v>diciembre</v>
      </c>
    </row>
    <row r="2877" spans="1:28" ht="12.75">
      <c r="A2877" s="9" t="s">
        <v>819</v>
      </c>
      <c r="B2877" s="10">
        <v>44903</v>
      </c>
      <c r="C2877" s="11"/>
      <c r="D2877" s="42">
        <v>50</v>
      </c>
      <c r="E2877" s="13" t="s">
        <v>3274</v>
      </c>
      <c r="F2877" s="13">
        <v>3025460</v>
      </c>
      <c r="G2877" s="14">
        <v>24576</v>
      </c>
      <c r="H2877" s="33">
        <f>9100-9043.64</f>
        <v>56.360000000000582</v>
      </c>
      <c r="I2877" s="16">
        <f>-H2877*G2877</f>
        <v>-1385103.3600000143</v>
      </c>
      <c r="J2877" s="17">
        <v>0</v>
      </c>
      <c r="K2877" s="34">
        <v>4502466511</v>
      </c>
      <c r="L2877" s="126">
        <v>5084969144</v>
      </c>
      <c r="M2877" s="20">
        <v>5113797009</v>
      </c>
      <c r="N2877" s="128"/>
      <c r="O2877" s="9"/>
      <c r="P2877" s="23"/>
      <c r="Q2877" s="24" t="s">
        <v>31</v>
      </c>
      <c r="R2877" s="25">
        <v>44903</v>
      </c>
      <c r="S2877" s="28"/>
      <c r="T2877" s="35"/>
      <c r="U2877" s="35"/>
      <c r="V2877" s="29"/>
      <c r="W2877" s="35"/>
      <c r="X2877" s="29"/>
      <c r="Y2877" s="36"/>
      <c r="Z2877" s="29"/>
      <c r="AA2877" s="31">
        <f t="shared" si="1"/>
        <v>44903</v>
      </c>
      <c r="AB2877" s="32" t="str">
        <f t="shared" si="5"/>
        <v>diciembre</v>
      </c>
    </row>
    <row r="2878" spans="1:28" ht="12.75">
      <c r="A2878" s="9" t="s">
        <v>469</v>
      </c>
      <c r="B2878" s="10">
        <v>44908</v>
      </c>
      <c r="C2878" s="11"/>
      <c r="D2878" s="42">
        <v>50</v>
      </c>
      <c r="E2878" s="13" t="s">
        <v>3275</v>
      </c>
      <c r="F2878" s="13">
        <v>3025460</v>
      </c>
      <c r="G2878" s="14">
        <v>6172</v>
      </c>
      <c r="H2878" s="33">
        <v>8750</v>
      </c>
      <c r="I2878" s="16">
        <f>H2878*G2878</f>
        <v>54005000</v>
      </c>
      <c r="J2878" s="17">
        <v>14</v>
      </c>
      <c r="K2878" s="34">
        <v>4502466512</v>
      </c>
      <c r="L2878" s="126">
        <v>5084969145</v>
      </c>
      <c r="M2878" s="20">
        <v>5113796801</v>
      </c>
      <c r="N2878" s="128"/>
      <c r="O2878" s="9" t="s">
        <v>63</v>
      </c>
      <c r="P2878" s="23"/>
      <c r="Q2878" s="24" t="s">
        <v>31</v>
      </c>
      <c r="R2878" s="25">
        <v>44903</v>
      </c>
      <c r="S2878" s="28"/>
      <c r="T2878" s="35"/>
      <c r="U2878" s="35"/>
      <c r="V2878" s="29"/>
      <c r="W2878" s="35"/>
      <c r="X2878" s="29"/>
      <c r="Y2878" s="36"/>
      <c r="Z2878" s="29"/>
      <c r="AA2878" s="31">
        <f t="shared" si="1"/>
        <v>44903</v>
      </c>
      <c r="AB2878" s="32" t="str">
        <f t="shared" si="5"/>
        <v>diciembre</v>
      </c>
    </row>
    <row r="2879" spans="1:28" ht="12.75">
      <c r="A2879" s="9" t="s">
        <v>469</v>
      </c>
      <c r="B2879" s="10">
        <v>44908</v>
      </c>
      <c r="C2879" s="11"/>
      <c r="D2879" s="42">
        <v>50</v>
      </c>
      <c r="E2879" s="13" t="s">
        <v>3276</v>
      </c>
      <c r="F2879" s="13">
        <v>3025460</v>
      </c>
      <c r="G2879" s="14">
        <v>6172</v>
      </c>
      <c r="H2879" s="33">
        <f>8750-8700</f>
        <v>50</v>
      </c>
      <c r="I2879" s="16">
        <f>-H2879*G2879</f>
        <v>-308600</v>
      </c>
      <c r="J2879" s="17">
        <v>0</v>
      </c>
      <c r="K2879" s="34">
        <v>4502466512</v>
      </c>
      <c r="L2879" s="126">
        <v>5084969145</v>
      </c>
      <c r="M2879" s="20">
        <v>5113796817</v>
      </c>
      <c r="N2879" s="128"/>
      <c r="O2879" s="9"/>
      <c r="P2879" s="23"/>
      <c r="Q2879" s="24" t="s">
        <v>31</v>
      </c>
      <c r="R2879" s="25">
        <v>44903</v>
      </c>
      <c r="S2879" s="28"/>
      <c r="T2879" s="35"/>
      <c r="U2879" s="35"/>
      <c r="V2879" s="29"/>
      <c r="W2879" s="35"/>
      <c r="X2879" s="29"/>
      <c r="Y2879" s="36"/>
      <c r="Z2879" s="29"/>
      <c r="AA2879" s="31">
        <f t="shared" si="1"/>
        <v>44903</v>
      </c>
      <c r="AB2879" s="32" t="str">
        <f t="shared" si="5"/>
        <v>diciembre</v>
      </c>
    </row>
    <row r="2880" spans="1:28" ht="12.75">
      <c r="A2880" s="9" t="s">
        <v>58</v>
      </c>
      <c r="B2880" s="10">
        <v>44908</v>
      </c>
      <c r="C2880" s="11">
        <v>44908</v>
      </c>
      <c r="D2880" s="42">
        <v>50</v>
      </c>
      <c r="E2880" s="13" t="s">
        <v>3277</v>
      </c>
      <c r="F2880" s="13">
        <v>3025461</v>
      </c>
      <c r="G2880" s="14">
        <v>44511</v>
      </c>
      <c r="H2880" s="33">
        <v>9195.9599999999991</v>
      </c>
      <c r="I2880" s="16">
        <f t="shared" ref="I2880:I2882" si="415">H2880*G2880</f>
        <v>409321375.55999994</v>
      </c>
      <c r="J2880" s="17">
        <v>90</v>
      </c>
      <c r="K2880" s="34">
        <v>4502468630</v>
      </c>
      <c r="L2880" s="126">
        <v>5084998469</v>
      </c>
      <c r="M2880" s="20">
        <v>5113797013</v>
      </c>
      <c r="N2880" s="128"/>
      <c r="O2880" s="9" t="s">
        <v>37</v>
      </c>
      <c r="P2880" s="23"/>
      <c r="Q2880" s="24" t="s">
        <v>1605</v>
      </c>
      <c r="R2880" s="25">
        <v>44903</v>
      </c>
      <c r="S2880" s="28"/>
      <c r="T2880" s="35"/>
      <c r="U2880" s="35"/>
      <c r="V2880" s="29"/>
      <c r="W2880" s="35"/>
      <c r="X2880" s="29"/>
      <c r="Y2880" s="36"/>
      <c r="Z2880" s="29"/>
      <c r="AA2880" s="31">
        <f t="shared" si="1"/>
        <v>44903</v>
      </c>
      <c r="AB2880" s="32" t="str">
        <f t="shared" si="5"/>
        <v>diciembre</v>
      </c>
    </row>
    <row r="2881" spans="1:28" ht="12.75">
      <c r="A2881" s="9" t="s">
        <v>28</v>
      </c>
      <c r="B2881" s="10">
        <v>44907</v>
      </c>
      <c r="C2881" s="11">
        <v>44907</v>
      </c>
      <c r="D2881" s="42">
        <v>50</v>
      </c>
      <c r="E2881" s="13" t="s">
        <v>3278</v>
      </c>
      <c r="F2881" s="13">
        <v>3025461</v>
      </c>
      <c r="G2881" s="14">
        <v>39971</v>
      </c>
      <c r="H2881" s="15">
        <v>8250</v>
      </c>
      <c r="I2881" s="16">
        <f t="shared" si="415"/>
        <v>329760750</v>
      </c>
      <c r="J2881" s="17">
        <v>84</v>
      </c>
      <c r="K2881" s="34">
        <v>4502468642</v>
      </c>
      <c r="L2881" s="126">
        <v>5084998586</v>
      </c>
      <c r="M2881" s="20">
        <v>5113796566</v>
      </c>
      <c r="N2881" s="147"/>
      <c r="O2881" s="9" t="s">
        <v>3279</v>
      </c>
      <c r="P2881" s="128" t="s">
        <v>63</v>
      </c>
      <c r="Q2881" s="24" t="s">
        <v>1605</v>
      </c>
      <c r="R2881" s="25">
        <v>44903</v>
      </c>
      <c r="S2881" s="28">
        <v>4502468642</v>
      </c>
      <c r="T2881" s="35">
        <f>7923600+3741600+9798000</f>
        <v>21463200</v>
      </c>
      <c r="U2881" s="28" t="s">
        <v>3280</v>
      </c>
      <c r="V2881" s="29">
        <v>5113793477</v>
      </c>
      <c r="W2881" s="28" t="s">
        <v>3281</v>
      </c>
      <c r="X2881" s="29">
        <v>5113793545</v>
      </c>
      <c r="Y2881" s="30" t="s">
        <v>3282</v>
      </c>
      <c r="Z2881" s="29">
        <v>5113793546</v>
      </c>
      <c r="AA2881" s="31">
        <f t="shared" si="1"/>
        <v>44903</v>
      </c>
      <c r="AB2881" s="32" t="str">
        <f t="shared" si="5"/>
        <v>diciembre</v>
      </c>
    </row>
    <row r="2882" spans="1:28" ht="12.75">
      <c r="A2882" s="9" t="s">
        <v>949</v>
      </c>
      <c r="B2882" s="10">
        <v>44909</v>
      </c>
      <c r="C2882" s="11"/>
      <c r="D2882" s="42">
        <v>50</v>
      </c>
      <c r="E2882" s="13" t="s">
        <v>3283</v>
      </c>
      <c r="F2882" s="13">
        <v>3025459</v>
      </c>
      <c r="G2882" s="14">
        <v>6858</v>
      </c>
      <c r="H2882" s="33">
        <v>8750</v>
      </c>
      <c r="I2882" s="16">
        <f t="shared" si="415"/>
        <v>60007500</v>
      </c>
      <c r="J2882" s="17">
        <v>14</v>
      </c>
      <c r="K2882" s="34">
        <v>4502466513</v>
      </c>
      <c r="L2882" s="126">
        <v>5084996197</v>
      </c>
      <c r="M2882" s="20">
        <v>5113802960</v>
      </c>
      <c r="N2882" s="128"/>
      <c r="O2882" s="9" t="s">
        <v>37</v>
      </c>
      <c r="P2882" s="23"/>
      <c r="Q2882" s="24" t="s">
        <v>31</v>
      </c>
      <c r="R2882" s="25">
        <v>44904</v>
      </c>
      <c r="S2882" s="28"/>
      <c r="T2882" s="35"/>
      <c r="U2882" s="35"/>
      <c r="V2882" s="29"/>
      <c r="W2882" s="35"/>
      <c r="X2882" s="29"/>
      <c r="Y2882" s="36"/>
      <c r="Z2882" s="29"/>
      <c r="AA2882" s="31">
        <f t="shared" si="1"/>
        <v>44904</v>
      </c>
      <c r="AB2882" s="32" t="str">
        <f t="shared" si="5"/>
        <v>diciembre</v>
      </c>
    </row>
    <row r="2883" spans="1:28" ht="12.75">
      <c r="A2883" s="9" t="s">
        <v>949</v>
      </c>
      <c r="B2883" s="10">
        <v>44909</v>
      </c>
      <c r="C2883" s="11"/>
      <c r="D2883" s="42">
        <v>50</v>
      </c>
      <c r="E2883" s="13" t="s">
        <v>188</v>
      </c>
      <c r="F2883" s="13">
        <v>3025459</v>
      </c>
      <c r="G2883" s="14">
        <v>6858</v>
      </c>
      <c r="H2883" s="33">
        <f>8750-8740.84</f>
        <v>9.1599999999998545</v>
      </c>
      <c r="I2883" s="16">
        <f>-H2883*G2883</f>
        <v>-62819.279999999002</v>
      </c>
      <c r="J2883" s="17">
        <v>0</v>
      </c>
      <c r="K2883" s="34">
        <v>4502466513</v>
      </c>
      <c r="L2883" s="126">
        <v>5084996197</v>
      </c>
      <c r="M2883" s="20">
        <v>5113803031</v>
      </c>
      <c r="N2883" s="128"/>
      <c r="O2883" s="9"/>
      <c r="P2883" s="23"/>
      <c r="Q2883" s="24" t="s">
        <v>31</v>
      </c>
      <c r="R2883" s="25">
        <v>44904</v>
      </c>
      <c r="S2883" s="28"/>
      <c r="T2883" s="35"/>
      <c r="U2883" s="35"/>
      <c r="V2883" s="29"/>
      <c r="W2883" s="35"/>
      <c r="X2883" s="29"/>
      <c r="Y2883" s="36"/>
      <c r="Z2883" s="29"/>
      <c r="AA2883" s="31">
        <f t="shared" si="1"/>
        <v>44904</v>
      </c>
      <c r="AB2883" s="32" t="str">
        <f t="shared" si="5"/>
        <v>diciembre</v>
      </c>
    </row>
    <row r="2884" spans="1:28" ht="12.75">
      <c r="A2884" s="9" t="s">
        <v>58</v>
      </c>
      <c r="B2884" s="10">
        <v>44908</v>
      </c>
      <c r="C2884" s="11">
        <v>44908</v>
      </c>
      <c r="D2884" s="42">
        <v>50</v>
      </c>
      <c r="E2884" s="13" t="s">
        <v>3284</v>
      </c>
      <c r="F2884" s="13">
        <v>3025459</v>
      </c>
      <c r="G2884" s="14">
        <v>6532.5</v>
      </c>
      <c r="H2884" s="33">
        <v>9200</v>
      </c>
      <c r="I2884" s="16">
        <f>H2884*G2884</f>
        <v>60099000</v>
      </c>
      <c r="J2884" s="17">
        <v>15</v>
      </c>
      <c r="K2884" s="34">
        <v>4502466514</v>
      </c>
      <c r="L2884" s="126">
        <v>5084996066</v>
      </c>
      <c r="M2884" s="20">
        <v>5113797060</v>
      </c>
      <c r="N2884" s="128"/>
      <c r="O2884" s="9" t="s">
        <v>37</v>
      </c>
      <c r="P2884" s="23"/>
      <c r="Q2884" s="24" t="s">
        <v>31</v>
      </c>
      <c r="R2884" s="25">
        <v>44904</v>
      </c>
      <c r="S2884" s="28"/>
      <c r="T2884" s="35"/>
      <c r="U2884" s="35"/>
      <c r="V2884" s="29"/>
      <c r="W2884" s="35"/>
      <c r="X2884" s="29"/>
      <c r="Y2884" s="36"/>
      <c r="Z2884" s="29"/>
      <c r="AA2884" s="31">
        <f t="shared" si="1"/>
        <v>44904</v>
      </c>
      <c r="AB2884" s="32" t="str">
        <f t="shared" si="5"/>
        <v>diciembre</v>
      </c>
    </row>
    <row r="2885" spans="1:28" ht="12.75">
      <c r="A2885" s="9" t="s">
        <v>58</v>
      </c>
      <c r="B2885" s="10">
        <v>44908</v>
      </c>
      <c r="C2885" s="11">
        <v>44908</v>
      </c>
      <c r="D2885" s="42">
        <v>50</v>
      </c>
      <c r="E2885" s="13" t="s">
        <v>3285</v>
      </c>
      <c r="F2885" s="13">
        <v>3025459</v>
      </c>
      <c r="G2885" s="14">
        <v>6532.5</v>
      </c>
      <c r="H2885" s="33">
        <f>9200-9027.15</f>
        <v>172.85000000000036</v>
      </c>
      <c r="I2885" s="16">
        <f>-H2885*G2885</f>
        <v>-1129142.6250000023</v>
      </c>
      <c r="J2885" s="17">
        <v>0</v>
      </c>
      <c r="K2885" s="34">
        <v>4502466514</v>
      </c>
      <c r="L2885" s="126">
        <v>5084996066</v>
      </c>
      <c r="M2885" s="20">
        <v>5113797062</v>
      </c>
      <c r="N2885" s="128"/>
      <c r="O2885" s="9"/>
      <c r="P2885" s="23"/>
      <c r="Q2885" s="24" t="s">
        <v>31</v>
      </c>
      <c r="R2885" s="25">
        <v>44904</v>
      </c>
      <c r="S2885" s="28"/>
      <c r="T2885" s="35"/>
      <c r="U2885" s="35"/>
      <c r="V2885" s="29"/>
      <c r="W2885" s="35"/>
      <c r="X2885" s="29"/>
      <c r="Y2885" s="36"/>
      <c r="Z2885" s="29"/>
      <c r="AA2885" s="31">
        <f t="shared" si="1"/>
        <v>44904</v>
      </c>
      <c r="AB2885" s="32" t="str">
        <f t="shared" si="5"/>
        <v>diciembre</v>
      </c>
    </row>
    <row r="2886" spans="1:28" ht="12.75">
      <c r="A2886" s="9" t="s">
        <v>58</v>
      </c>
      <c r="B2886" s="10">
        <v>44908</v>
      </c>
      <c r="C2886" s="11">
        <v>44908</v>
      </c>
      <c r="D2886" s="42">
        <v>50</v>
      </c>
      <c r="E2886" s="13" t="s">
        <v>3286</v>
      </c>
      <c r="F2886" s="13">
        <v>3025459</v>
      </c>
      <c r="G2886" s="14">
        <v>27414</v>
      </c>
      <c r="H2886" s="33">
        <v>9200</v>
      </c>
      <c r="I2886" s="16">
        <f>H2886*G2886</f>
        <v>252208800</v>
      </c>
      <c r="J2886" s="17">
        <v>60</v>
      </c>
      <c r="K2886" s="34">
        <v>4502466514</v>
      </c>
      <c r="L2886" s="126">
        <v>5084996066</v>
      </c>
      <c r="M2886" s="20">
        <v>5113797063</v>
      </c>
      <c r="N2886" s="128"/>
      <c r="O2886" s="9" t="s">
        <v>37</v>
      </c>
      <c r="P2886" s="23"/>
      <c r="Q2886" s="24" t="s">
        <v>31</v>
      </c>
      <c r="R2886" s="25">
        <v>44904</v>
      </c>
      <c r="S2886" s="28"/>
      <c r="T2886" s="35"/>
      <c r="U2886" s="35"/>
      <c r="V2886" s="29"/>
      <c r="W2886" s="35"/>
      <c r="X2886" s="29"/>
      <c r="Y2886" s="36"/>
      <c r="Z2886" s="29"/>
      <c r="AA2886" s="31">
        <f t="shared" si="1"/>
        <v>44904</v>
      </c>
      <c r="AB2886" s="32" t="str">
        <f t="shared" si="5"/>
        <v>diciembre</v>
      </c>
    </row>
    <row r="2887" spans="1:28" ht="12.75">
      <c r="A2887" s="9" t="s">
        <v>58</v>
      </c>
      <c r="B2887" s="10">
        <v>44908</v>
      </c>
      <c r="C2887" s="11">
        <v>44908</v>
      </c>
      <c r="D2887" s="42">
        <v>50</v>
      </c>
      <c r="E2887" s="13" t="s">
        <v>2750</v>
      </c>
      <c r="F2887" s="13">
        <v>3025459</v>
      </c>
      <c r="G2887" s="14">
        <v>27414</v>
      </c>
      <c r="H2887" s="33">
        <f>9200-9190.35</f>
        <v>9.6499999999996362</v>
      </c>
      <c r="I2887" s="16">
        <f>-H2887*G2887</f>
        <v>-264545.09999999002</v>
      </c>
      <c r="J2887" s="17">
        <v>0</v>
      </c>
      <c r="K2887" s="34">
        <v>4502466514</v>
      </c>
      <c r="L2887" s="126">
        <v>5084996066</v>
      </c>
      <c r="M2887" s="20">
        <v>5113797117</v>
      </c>
      <c r="N2887" s="128"/>
      <c r="O2887" s="9"/>
      <c r="P2887" s="23"/>
      <c r="Q2887" s="24" t="s">
        <v>31</v>
      </c>
      <c r="R2887" s="25">
        <v>44904</v>
      </c>
      <c r="S2887" s="28"/>
      <c r="T2887" s="35"/>
      <c r="U2887" s="35"/>
      <c r="V2887" s="29"/>
      <c r="W2887" s="35"/>
      <c r="X2887" s="29"/>
      <c r="Y2887" s="36"/>
      <c r="Z2887" s="29"/>
      <c r="AA2887" s="31">
        <f t="shared" si="1"/>
        <v>44904</v>
      </c>
      <c r="AB2887" s="32" t="str">
        <f t="shared" si="5"/>
        <v>diciembre</v>
      </c>
    </row>
    <row r="2888" spans="1:28" ht="12.75">
      <c r="A2888" s="9" t="s">
        <v>61</v>
      </c>
      <c r="B2888" s="10">
        <v>44908</v>
      </c>
      <c r="C2888" s="11"/>
      <c r="D2888" s="42">
        <v>50</v>
      </c>
      <c r="E2888" s="13" t="s">
        <v>1851</v>
      </c>
      <c r="F2888" s="13">
        <v>3025460</v>
      </c>
      <c r="G2888" s="14">
        <v>6457</v>
      </c>
      <c r="H2888" s="33">
        <v>8700</v>
      </c>
      <c r="I2888" s="16">
        <f>H2888*G2888</f>
        <v>56175900</v>
      </c>
      <c r="J2888" s="17">
        <v>15</v>
      </c>
      <c r="K2888" s="34">
        <v>4502466515</v>
      </c>
      <c r="L2888" s="126">
        <v>5084996192</v>
      </c>
      <c r="M2888" s="20">
        <v>5113796876</v>
      </c>
      <c r="N2888" s="128"/>
      <c r="O2888" s="9" t="s">
        <v>63</v>
      </c>
      <c r="P2888" s="23"/>
      <c r="Q2888" s="24" t="s">
        <v>31</v>
      </c>
      <c r="R2888" s="25">
        <v>44904</v>
      </c>
      <c r="S2888" s="28"/>
      <c r="T2888" s="35"/>
      <c r="U2888" s="35"/>
      <c r="V2888" s="29"/>
      <c r="W2888" s="35"/>
      <c r="X2888" s="29"/>
      <c r="Y2888" s="36"/>
      <c r="Z2888" s="29"/>
      <c r="AA2888" s="31">
        <f t="shared" si="1"/>
        <v>44904</v>
      </c>
      <c r="AB2888" s="32" t="str">
        <f t="shared" si="5"/>
        <v>diciembre</v>
      </c>
    </row>
    <row r="2889" spans="1:28" ht="12.75">
      <c r="A2889" s="9" t="s">
        <v>61</v>
      </c>
      <c r="B2889" s="10">
        <v>44908</v>
      </c>
      <c r="C2889" s="11"/>
      <c r="D2889" s="42">
        <v>50</v>
      </c>
      <c r="E2889" s="13" t="s">
        <v>2752</v>
      </c>
      <c r="F2889" s="13">
        <v>3025460</v>
      </c>
      <c r="G2889" s="14">
        <v>6457</v>
      </c>
      <c r="H2889" s="33">
        <f>8700-8600</f>
        <v>100</v>
      </c>
      <c r="I2889" s="16">
        <f>-H2889*G2889</f>
        <v>-645700</v>
      </c>
      <c r="J2889" s="17">
        <v>0</v>
      </c>
      <c r="K2889" s="34">
        <v>4502466515</v>
      </c>
      <c r="L2889" s="126">
        <v>5084996192</v>
      </c>
      <c r="M2889" s="20">
        <v>5113796957</v>
      </c>
      <c r="N2889" s="128"/>
      <c r="O2889" s="9"/>
      <c r="P2889" s="23"/>
      <c r="Q2889" s="24" t="s">
        <v>31</v>
      </c>
      <c r="R2889" s="25">
        <v>44904</v>
      </c>
      <c r="S2889" s="28"/>
      <c r="T2889" s="35"/>
      <c r="U2889" s="35"/>
      <c r="V2889" s="29"/>
      <c r="W2889" s="35"/>
      <c r="X2889" s="29"/>
      <c r="Y2889" s="36"/>
      <c r="Z2889" s="29"/>
      <c r="AA2889" s="31">
        <f t="shared" si="1"/>
        <v>44904</v>
      </c>
      <c r="AB2889" s="32" t="str">
        <f t="shared" si="5"/>
        <v>diciembre</v>
      </c>
    </row>
    <row r="2890" spans="1:28" ht="12.75">
      <c r="A2890" s="22" t="s">
        <v>2360</v>
      </c>
      <c r="B2890" s="10">
        <v>44908</v>
      </c>
      <c r="C2890" s="11"/>
      <c r="D2890" s="42">
        <v>50</v>
      </c>
      <c r="E2890" s="13" t="s">
        <v>3287</v>
      </c>
      <c r="F2890" s="13">
        <v>3025460</v>
      </c>
      <c r="G2890" s="14">
        <v>6435.5</v>
      </c>
      <c r="H2890" s="33">
        <v>8750</v>
      </c>
      <c r="I2890" s="16">
        <f>H2890*G2890</f>
        <v>56310625</v>
      </c>
      <c r="J2890" s="17">
        <v>14</v>
      </c>
      <c r="K2890" s="34">
        <v>4502466516</v>
      </c>
      <c r="L2890" s="126">
        <v>5084996067</v>
      </c>
      <c r="M2890" s="20">
        <v>5113795538</v>
      </c>
      <c r="N2890" s="128"/>
      <c r="O2890" s="9" t="s">
        <v>63</v>
      </c>
      <c r="P2890" s="23"/>
      <c r="Q2890" s="24" t="s">
        <v>31</v>
      </c>
      <c r="R2890" s="25">
        <v>44904</v>
      </c>
      <c r="S2890" s="28"/>
      <c r="T2890" s="35"/>
      <c r="U2890" s="35"/>
      <c r="V2890" s="29"/>
      <c r="W2890" s="35"/>
      <c r="X2890" s="29"/>
      <c r="Y2890" s="36"/>
      <c r="Z2890" s="29"/>
      <c r="AA2890" s="31">
        <f t="shared" si="1"/>
        <v>44904</v>
      </c>
      <c r="AB2890" s="32" t="str">
        <f t="shared" si="5"/>
        <v>diciembre</v>
      </c>
    </row>
    <row r="2891" spans="1:28" ht="12.75">
      <c r="A2891" s="22" t="s">
        <v>2360</v>
      </c>
      <c r="B2891" s="10">
        <v>44908</v>
      </c>
      <c r="C2891" s="11"/>
      <c r="D2891" s="42">
        <v>50</v>
      </c>
      <c r="E2891" s="13" t="s">
        <v>64</v>
      </c>
      <c r="F2891" s="13">
        <v>3025460</v>
      </c>
      <c r="G2891" s="14">
        <v>6435.5</v>
      </c>
      <c r="H2891" s="33">
        <f>8750-8700</f>
        <v>50</v>
      </c>
      <c r="I2891" s="16">
        <f>-H2891*G2891</f>
        <v>-321775</v>
      </c>
      <c r="J2891" s="17">
        <v>0</v>
      </c>
      <c r="K2891" s="34">
        <v>4502466516</v>
      </c>
      <c r="L2891" s="126">
        <v>5084996067</v>
      </c>
      <c r="M2891" s="20">
        <v>5113795540</v>
      </c>
      <c r="N2891" s="128"/>
      <c r="O2891" s="9"/>
      <c r="P2891" s="23"/>
      <c r="Q2891" s="24" t="s">
        <v>31</v>
      </c>
      <c r="R2891" s="25">
        <v>44904</v>
      </c>
      <c r="S2891" s="28"/>
      <c r="T2891" s="35"/>
      <c r="U2891" s="35"/>
      <c r="V2891" s="29"/>
      <c r="W2891" s="35"/>
      <c r="X2891" s="29"/>
      <c r="Y2891" s="36"/>
      <c r="Z2891" s="29"/>
      <c r="AA2891" s="31">
        <f t="shared" si="1"/>
        <v>44904</v>
      </c>
      <c r="AB2891" s="32" t="str">
        <f t="shared" si="5"/>
        <v>diciembre</v>
      </c>
    </row>
    <row r="2892" spans="1:28" ht="12.75">
      <c r="A2892" s="9" t="s">
        <v>633</v>
      </c>
      <c r="B2892" s="10">
        <v>44908</v>
      </c>
      <c r="C2892" s="11">
        <v>44908</v>
      </c>
      <c r="D2892" s="42">
        <v>50</v>
      </c>
      <c r="E2892" s="13" t="s">
        <v>3288</v>
      </c>
      <c r="F2892" s="13">
        <v>3025460</v>
      </c>
      <c r="G2892" s="14">
        <v>7010</v>
      </c>
      <c r="H2892" s="33">
        <v>8750</v>
      </c>
      <c r="I2892" s="16">
        <f t="shared" ref="I2892:I2897" si="416">H2892*G2892</f>
        <v>61337500</v>
      </c>
      <c r="J2892" s="17">
        <v>14</v>
      </c>
      <c r="K2892" s="34">
        <v>4502466517</v>
      </c>
      <c r="L2892" s="126">
        <v>5084996108</v>
      </c>
      <c r="M2892" s="20">
        <v>5113797580</v>
      </c>
      <c r="N2892" s="128"/>
      <c r="O2892" s="88" t="s">
        <v>37</v>
      </c>
      <c r="P2892" s="23"/>
      <c r="Q2892" s="24" t="s">
        <v>31</v>
      </c>
      <c r="R2892" s="25">
        <v>44904</v>
      </c>
      <c r="S2892" s="28"/>
      <c r="T2892" s="35"/>
      <c r="U2892" s="35"/>
      <c r="V2892" s="29"/>
      <c r="W2892" s="35"/>
      <c r="X2892" s="29"/>
      <c r="Y2892" s="36"/>
      <c r="Z2892" s="29"/>
      <c r="AA2892" s="31">
        <f t="shared" si="1"/>
        <v>44904</v>
      </c>
      <c r="AB2892" s="32" t="str">
        <f t="shared" si="5"/>
        <v>diciembre</v>
      </c>
    </row>
    <row r="2893" spans="1:28" ht="12.75">
      <c r="A2893" s="9" t="s">
        <v>2973</v>
      </c>
      <c r="B2893" s="10">
        <v>44904</v>
      </c>
      <c r="C2893" s="11"/>
      <c r="D2893" s="42">
        <v>50</v>
      </c>
      <c r="E2893" s="13" t="s">
        <v>3289</v>
      </c>
      <c r="F2893" s="13">
        <v>3025460</v>
      </c>
      <c r="G2893" s="14">
        <v>6163</v>
      </c>
      <c r="H2893" s="33">
        <v>8750</v>
      </c>
      <c r="I2893" s="16">
        <f t="shared" si="416"/>
        <v>53926250</v>
      </c>
      <c r="J2893" s="17">
        <v>14</v>
      </c>
      <c r="K2893" s="34">
        <v>4502466518</v>
      </c>
      <c r="L2893" s="126">
        <v>5084996109</v>
      </c>
      <c r="M2893" s="20">
        <v>5113796758</v>
      </c>
      <c r="N2893" s="128"/>
      <c r="O2893" s="9" t="s">
        <v>63</v>
      </c>
      <c r="P2893" s="23"/>
      <c r="Q2893" s="24" t="s">
        <v>31</v>
      </c>
      <c r="R2893" s="25">
        <v>44904</v>
      </c>
      <c r="S2893" s="28"/>
      <c r="T2893" s="35"/>
      <c r="U2893" s="35"/>
      <c r="V2893" s="29"/>
      <c r="W2893" s="35"/>
      <c r="X2893" s="29"/>
      <c r="Y2893" s="36"/>
      <c r="Z2893" s="29"/>
      <c r="AA2893" s="31">
        <f t="shared" si="1"/>
        <v>44904</v>
      </c>
      <c r="AB2893" s="32" t="str">
        <f t="shared" si="5"/>
        <v>diciembre</v>
      </c>
    </row>
    <row r="2894" spans="1:28" ht="12.75">
      <c r="A2894" s="9" t="s">
        <v>492</v>
      </c>
      <c r="B2894" s="10">
        <v>44908</v>
      </c>
      <c r="C2894" s="11"/>
      <c r="D2894" s="42">
        <v>50</v>
      </c>
      <c r="E2894" s="13" t="s">
        <v>3290</v>
      </c>
      <c r="F2894" s="13">
        <v>3025461</v>
      </c>
      <c r="G2894" s="14">
        <v>61116.55</v>
      </c>
      <c r="H2894" s="15">
        <v>8650</v>
      </c>
      <c r="I2894" s="16">
        <f t="shared" si="416"/>
        <v>528658157.5</v>
      </c>
      <c r="J2894" s="17">
        <v>126</v>
      </c>
      <c r="K2894" s="34">
        <v>4502468380</v>
      </c>
      <c r="L2894" s="126">
        <v>5084994917</v>
      </c>
      <c r="M2894" s="20">
        <v>5113796824</v>
      </c>
      <c r="N2894" s="128"/>
      <c r="O2894" s="9" t="s">
        <v>3291</v>
      </c>
      <c r="P2894" s="23" t="s">
        <v>3292</v>
      </c>
      <c r="Q2894" s="24" t="s">
        <v>1605</v>
      </c>
      <c r="R2894" s="25">
        <v>44904</v>
      </c>
      <c r="S2894" s="28">
        <v>4502468380</v>
      </c>
      <c r="T2894" s="35">
        <v>6577200</v>
      </c>
      <c r="U2894" s="28" t="s">
        <v>3293</v>
      </c>
      <c r="V2894" s="29">
        <v>5113793613</v>
      </c>
      <c r="W2894" s="35"/>
      <c r="X2894" s="29"/>
      <c r="Y2894" s="36"/>
      <c r="Z2894" s="29"/>
      <c r="AA2894" s="31">
        <f t="shared" si="1"/>
        <v>44904</v>
      </c>
      <c r="AB2894" s="32" t="str">
        <f t="shared" si="5"/>
        <v>diciembre</v>
      </c>
    </row>
    <row r="2895" spans="1:28" ht="12.75">
      <c r="A2895" s="9" t="s">
        <v>819</v>
      </c>
      <c r="B2895" s="10">
        <v>44904</v>
      </c>
      <c r="C2895" s="11"/>
      <c r="D2895" s="42">
        <v>50</v>
      </c>
      <c r="E2895" s="13">
        <v>6197</v>
      </c>
      <c r="F2895" s="13">
        <v>3025461</v>
      </c>
      <c r="G2895" s="14">
        <v>19702</v>
      </c>
      <c r="H2895" s="33">
        <v>8992.24</v>
      </c>
      <c r="I2895" s="16">
        <f t="shared" si="416"/>
        <v>177165112.47999999</v>
      </c>
      <c r="J2895" s="17">
        <v>43</v>
      </c>
      <c r="K2895" s="34">
        <v>4502468926</v>
      </c>
      <c r="L2895" s="126">
        <v>5085002920</v>
      </c>
      <c r="M2895" s="20">
        <v>5113797010</v>
      </c>
      <c r="N2895" s="128"/>
      <c r="O2895" s="9" t="s">
        <v>37</v>
      </c>
      <c r="P2895" s="23"/>
      <c r="Q2895" s="24" t="s">
        <v>1605</v>
      </c>
      <c r="R2895" s="25">
        <v>44904</v>
      </c>
      <c r="S2895" s="28"/>
      <c r="T2895" s="35"/>
      <c r="U2895" s="35"/>
      <c r="V2895" s="29"/>
      <c r="W2895" s="35"/>
      <c r="X2895" s="29"/>
      <c r="Y2895" s="36"/>
      <c r="Z2895" s="29"/>
      <c r="AA2895" s="31">
        <f t="shared" si="1"/>
        <v>44904</v>
      </c>
      <c r="AB2895" s="32" t="str">
        <f t="shared" si="5"/>
        <v>diciembre</v>
      </c>
    </row>
    <row r="2896" spans="1:28" ht="12.75">
      <c r="A2896" s="9" t="s">
        <v>58</v>
      </c>
      <c r="B2896" s="10">
        <v>44908</v>
      </c>
      <c r="C2896" s="11">
        <v>44908</v>
      </c>
      <c r="D2896" s="42">
        <v>50</v>
      </c>
      <c r="E2896" s="13" t="s">
        <v>3294</v>
      </c>
      <c r="F2896" s="13">
        <v>3025457</v>
      </c>
      <c r="G2896" s="14">
        <v>15552</v>
      </c>
      <c r="H2896" s="33">
        <v>9200</v>
      </c>
      <c r="I2896" s="16">
        <f t="shared" si="416"/>
        <v>143078400</v>
      </c>
      <c r="J2896" s="17">
        <v>30</v>
      </c>
      <c r="K2896" s="34">
        <v>4502466519</v>
      </c>
      <c r="L2896" s="126">
        <v>5084996111</v>
      </c>
      <c r="M2896" s="20">
        <v>5113797135</v>
      </c>
      <c r="N2896" s="128"/>
      <c r="O2896" s="9" t="s">
        <v>37</v>
      </c>
      <c r="P2896" s="23"/>
      <c r="Q2896" s="24" t="s">
        <v>31</v>
      </c>
      <c r="R2896" s="25">
        <v>44905</v>
      </c>
      <c r="S2896" s="28"/>
      <c r="T2896" s="35"/>
      <c r="U2896" s="35"/>
      <c r="V2896" s="29"/>
      <c r="W2896" s="35"/>
      <c r="X2896" s="29"/>
      <c r="Y2896" s="36"/>
      <c r="Z2896" s="29"/>
      <c r="AA2896" s="31">
        <f t="shared" si="1"/>
        <v>44905</v>
      </c>
      <c r="AB2896" s="32" t="str">
        <f t="shared" si="5"/>
        <v>diciembre</v>
      </c>
    </row>
    <row r="2897" spans="1:28" ht="12.75">
      <c r="A2897" s="9" t="s">
        <v>58</v>
      </c>
      <c r="B2897" s="10">
        <v>44908</v>
      </c>
      <c r="C2897" s="11">
        <v>44908</v>
      </c>
      <c r="D2897" s="42">
        <v>50</v>
      </c>
      <c r="E2897" s="13" t="s">
        <v>3295</v>
      </c>
      <c r="F2897" s="13">
        <v>3025457</v>
      </c>
      <c r="G2897" s="14">
        <v>13176</v>
      </c>
      <c r="H2897" s="33">
        <v>9200</v>
      </c>
      <c r="I2897" s="16">
        <f t="shared" si="416"/>
        <v>121219200</v>
      </c>
      <c r="J2897" s="17">
        <v>29</v>
      </c>
      <c r="K2897" s="34">
        <v>4502466519</v>
      </c>
      <c r="L2897" s="126">
        <v>5084996111</v>
      </c>
      <c r="M2897" s="20">
        <v>5113797190</v>
      </c>
      <c r="N2897" s="128"/>
      <c r="O2897" s="9" t="s">
        <v>37</v>
      </c>
      <c r="P2897" s="23"/>
      <c r="Q2897" s="24" t="s">
        <v>31</v>
      </c>
      <c r="R2897" s="25">
        <v>44905</v>
      </c>
      <c r="S2897" s="28"/>
      <c r="T2897" s="35"/>
      <c r="U2897" s="35"/>
      <c r="V2897" s="29"/>
      <c r="W2897" s="35"/>
      <c r="X2897" s="29"/>
      <c r="Y2897" s="36"/>
      <c r="Z2897" s="29"/>
      <c r="AA2897" s="31">
        <f t="shared" si="1"/>
        <v>44905</v>
      </c>
      <c r="AB2897" s="32" t="str">
        <f t="shared" si="5"/>
        <v>diciembre</v>
      </c>
    </row>
    <row r="2898" spans="1:28" ht="12.75">
      <c r="A2898" s="9" t="s">
        <v>58</v>
      </c>
      <c r="B2898" s="10">
        <v>44908</v>
      </c>
      <c r="C2898" s="11">
        <v>44908</v>
      </c>
      <c r="D2898" s="42">
        <v>50</v>
      </c>
      <c r="E2898" s="13" t="s">
        <v>2942</v>
      </c>
      <c r="F2898" s="13">
        <v>3025457</v>
      </c>
      <c r="G2898" s="14">
        <v>13176</v>
      </c>
      <c r="H2898" s="33">
        <f>9200-9030.53</f>
        <v>169.46999999999935</v>
      </c>
      <c r="I2898" s="16">
        <f>-H2898*G2898</f>
        <v>-2232936.7199999914</v>
      </c>
      <c r="J2898" s="17">
        <v>0</v>
      </c>
      <c r="K2898" s="34">
        <v>4502466519</v>
      </c>
      <c r="L2898" s="126">
        <v>5084996111</v>
      </c>
      <c r="M2898" s="20">
        <v>5113797191</v>
      </c>
      <c r="N2898" s="128"/>
      <c r="O2898" s="9"/>
      <c r="P2898" s="23"/>
      <c r="Q2898" s="24" t="s">
        <v>31</v>
      </c>
      <c r="R2898" s="25">
        <v>44905</v>
      </c>
      <c r="S2898" s="28"/>
      <c r="T2898" s="35"/>
      <c r="U2898" s="35"/>
      <c r="V2898" s="29"/>
      <c r="W2898" s="35"/>
      <c r="X2898" s="29"/>
      <c r="Y2898" s="36"/>
      <c r="Z2898" s="29"/>
      <c r="AA2898" s="31">
        <f t="shared" si="1"/>
        <v>44905</v>
      </c>
      <c r="AB2898" s="32" t="str">
        <f t="shared" si="5"/>
        <v>diciembre</v>
      </c>
    </row>
    <row r="2899" spans="1:28" ht="12.75">
      <c r="A2899" s="22" t="s">
        <v>404</v>
      </c>
      <c r="B2899" s="10">
        <v>44908</v>
      </c>
      <c r="C2899" s="11"/>
      <c r="D2899" s="42">
        <v>50</v>
      </c>
      <c r="E2899" s="13" t="s">
        <v>3296</v>
      </c>
      <c r="F2899" s="13">
        <v>3025459</v>
      </c>
      <c r="G2899" s="14">
        <v>6902</v>
      </c>
      <c r="H2899" s="33">
        <v>9100</v>
      </c>
      <c r="I2899" s="16">
        <f>H2899*G2899</f>
        <v>62808200</v>
      </c>
      <c r="J2899" s="17">
        <v>16</v>
      </c>
      <c r="K2899" s="34">
        <v>4502466520</v>
      </c>
      <c r="L2899" s="126">
        <v>5085000695</v>
      </c>
      <c r="M2899" s="20">
        <v>5113796557</v>
      </c>
      <c r="N2899" s="128"/>
      <c r="O2899" s="88" t="s">
        <v>37</v>
      </c>
      <c r="P2899" s="23"/>
      <c r="Q2899" s="24" t="s">
        <v>31</v>
      </c>
      <c r="R2899" s="25">
        <v>44905</v>
      </c>
      <c r="S2899" s="28"/>
      <c r="T2899" s="35"/>
      <c r="U2899" s="35"/>
      <c r="V2899" s="29"/>
      <c r="W2899" s="35"/>
      <c r="X2899" s="29"/>
      <c r="Y2899" s="36"/>
      <c r="Z2899" s="29"/>
      <c r="AA2899" s="31">
        <f t="shared" si="1"/>
        <v>44905</v>
      </c>
      <c r="AB2899" s="32" t="str">
        <f t="shared" si="5"/>
        <v>diciembre</v>
      </c>
    </row>
    <row r="2900" spans="1:28" ht="12.75">
      <c r="A2900" s="22" t="s">
        <v>404</v>
      </c>
      <c r="B2900" s="10">
        <v>44908</v>
      </c>
      <c r="C2900" s="11"/>
      <c r="D2900" s="42">
        <v>50</v>
      </c>
      <c r="E2900" s="13" t="s">
        <v>907</v>
      </c>
      <c r="F2900" s="13">
        <v>3025459</v>
      </c>
      <c r="G2900" s="14">
        <v>6902</v>
      </c>
      <c r="H2900" s="33">
        <f>9100-8862.86</f>
        <v>237.13999999999942</v>
      </c>
      <c r="I2900" s="16">
        <f>-H2900*G2900</f>
        <v>-1636740.2799999961</v>
      </c>
      <c r="J2900" s="17">
        <v>0</v>
      </c>
      <c r="K2900" s="34">
        <v>4502466520</v>
      </c>
      <c r="L2900" s="126">
        <v>5085000695</v>
      </c>
      <c r="M2900" s="167">
        <v>5113796560</v>
      </c>
      <c r="N2900" s="128"/>
      <c r="O2900" s="9"/>
      <c r="P2900" s="23"/>
      <c r="Q2900" s="24" t="s">
        <v>31</v>
      </c>
      <c r="R2900" s="25">
        <v>44905</v>
      </c>
      <c r="S2900" s="28"/>
      <c r="T2900" s="35"/>
      <c r="U2900" s="35"/>
      <c r="V2900" s="29"/>
      <c r="W2900" s="35"/>
      <c r="X2900" s="29"/>
      <c r="Y2900" s="36"/>
      <c r="Z2900" s="29"/>
      <c r="AA2900" s="31">
        <f t="shared" si="1"/>
        <v>44905</v>
      </c>
      <c r="AB2900" s="32" t="str">
        <f t="shared" si="5"/>
        <v>diciembre</v>
      </c>
    </row>
    <row r="2901" spans="1:28" ht="12.75">
      <c r="A2901" s="22" t="s">
        <v>404</v>
      </c>
      <c r="B2901" s="10">
        <v>44908</v>
      </c>
      <c r="C2901" s="11"/>
      <c r="D2901" s="42">
        <v>50</v>
      </c>
      <c r="E2901" s="13" t="s">
        <v>3297</v>
      </c>
      <c r="F2901" s="13">
        <v>3025459</v>
      </c>
      <c r="G2901" s="14">
        <v>7271</v>
      </c>
      <c r="H2901" s="33">
        <v>9100</v>
      </c>
      <c r="I2901" s="16">
        <f>H2901*G2901</f>
        <v>66166100</v>
      </c>
      <c r="J2901" s="17">
        <v>16</v>
      </c>
      <c r="K2901" s="34">
        <v>4502466520</v>
      </c>
      <c r="L2901" s="126">
        <v>5085000695</v>
      </c>
      <c r="M2901" s="20">
        <v>5113796561</v>
      </c>
      <c r="N2901" s="128"/>
      <c r="O2901" s="88" t="s">
        <v>37</v>
      </c>
      <c r="P2901" s="23"/>
      <c r="Q2901" s="24" t="s">
        <v>31</v>
      </c>
      <c r="R2901" s="25">
        <v>44905</v>
      </c>
      <c r="S2901" s="28"/>
      <c r="T2901" s="35"/>
      <c r="U2901" s="35"/>
      <c r="V2901" s="29"/>
      <c r="W2901" s="35"/>
      <c r="X2901" s="29"/>
      <c r="Y2901" s="36"/>
      <c r="Z2901" s="29"/>
      <c r="AA2901" s="31">
        <f t="shared" si="1"/>
        <v>44905</v>
      </c>
      <c r="AB2901" s="32" t="str">
        <f t="shared" si="5"/>
        <v>diciembre</v>
      </c>
    </row>
    <row r="2902" spans="1:28" ht="12.75">
      <c r="A2902" s="22" t="s">
        <v>404</v>
      </c>
      <c r="B2902" s="10">
        <v>44908</v>
      </c>
      <c r="C2902" s="11"/>
      <c r="D2902" s="42">
        <v>50</v>
      </c>
      <c r="E2902" s="13" t="s">
        <v>932</v>
      </c>
      <c r="F2902" s="13">
        <v>3025459</v>
      </c>
      <c r="G2902" s="14">
        <v>7271</v>
      </c>
      <c r="H2902" s="33">
        <f>9100-8841.06</f>
        <v>258.94000000000051</v>
      </c>
      <c r="I2902" s="16">
        <f>-H2902*G2902</f>
        <v>-1882752.7400000037</v>
      </c>
      <c r="J2902" s="17">
        <v>0</v>
      </c>
      <c r="K2902" s="34">
        <v>4502466520</v>
      </c>
      <c r="L2902" s="126">
        <v>5085000695</v>
      </c>
      <c r="M2902" s="20">
        <v>5113796562</v>
      </c>
      <c r="N2902" s="128"/>
      <c r="O2902" s="9"/>
      <c r="P2902" s="23"/>
      <c r="Q2902" s="24" t="s">
        <v>31</v>
      </c>
      <c r="R2902" s="25">
        <v>44905</v>
      </c>
      <c r="S2902" s="28"/>
      <c r="T2902" s="35"/>
      <c r="U2902" s="35"/>
      <c r="V2902" s="29"/>
      <c r="W2902" s="35"/>
      <c r="X2902" s="29"/>
      <c r="Y2902" s="36"/>
      <c r="Z2902" s="29"/>
      <c r="AA2902" s="31">
        <f t="shared" si="1"/>
        <v>44905</v>
      </c>
      <c r="AB2902" s="32" t="str">
        <f t="shared" si="5"/>
        <v>diciembre</v>
      </c>
    </row>
    <row r="2903" spans="1:28" ht="12.75">
      <c r="A2903" s="22" t="s">
        <v>404</v>
      </c>
      <c r="B2903" s="10">
        <v>44908</v>
      </c>
      <c r="C2903" s="11"/>
      <c r="D2903" s="42">
        <v>50</v>
      </c>
      <c r="E2903" s="13" t="s">
        <v>3298</v>
      </c>
      <c r="F2903" s="13">
        <v>3025459</v>
      </c>
      <c r="G2903" s="14">
        <v>7868</v>
      </c>
      <c r="H2903" s="33">
        <v>9100</v>
      </c>
      <c r="I2903" s="16">
        <f>H2903*G2903</f>
        <v>71598800</v>
      </c>
      <c r="J2903" s="17">
        <v>15</v>
      </c>
      <c r="K2903" s="34">
        <v>4502466520</v>
      </c>
      <c r="L2903" s="126">
        <v>5085000695</v>
      </c>
      <c r="M2903" s="20">
        <v>5113796563</v>
      </c>
      <c r="N2903" s="128"/>
      <c r="O2903" s="88" t="s">
        <v>37</v>
      </c>
      <c r="P2903" s="23"/>
      <c r="Q2903" s="24" t="s">
        <v>31</v>
      </c>
      <c r="R2903" s="25">
        <v>44905</v>
      </c>
      <c r="S2903" s="28"/>
      <c r="T2903" s="35"/>
      <c r="U2903" s="35"/>
      <c r="V2903" s="29"/>
      <c r="W2903" s="35"/>
      <c r="X2903" s="29"/>
      <c r="Y2903" s="36"/>
      <c r="Z2903" s="29"/>
      <c r="AA2903" s="31">
        <f t="shared" si="1"/>
        <v>44905</v>
      </c>
      <c r="AB2903" s="32" t="str">
        <f t="shared" si="5"/>
        <v>diciembre</v>
      </c>
    </row>
    <row r="2904" spans="1:28" ht="12.75">
      <c r="A2904" s="22" t="s">
        <v>404</v>
      </c>
      <c r="B2904" s="10">
        <v>44908</v>
      </c>
      <c r="C2904" s="11"/>
      <c r="D2904" s="42">
        <v>50</v>
      </c>
      <c r="E2904" s="13" t="s">
        <v>2086</v>
      </c>
      <c r="F2904" s="13">
        <v>3025459</v>
      </c>
      <c r="G2904" s="14">
        <v>7868</v>
      </c>
      <c r="H2904" s="33">
        <f>9100-8907.49</f>
        <v>192.51000000000022</v>
      </c>
      <c r="I2904" s="16">
        <f>-H2904*G2904</f>
        <v>-1514668.6800000018</v>
      </c>
      <c r="J2904" s="17">
        <v>0</v>
      </c>
      <c r="K2904" s="34">
        <v>4502466520</v>
      </c>
      <c r="L2904" s="126">
        <v>5085000695</v>
      </c>
      <c r="M2904" s="20">
        <v>5113796565</v>
      </c>
      <c r="N2904" s="128"/>
      <c r="O2904" s="9"/>
      <c r="P2904" s="23"/>
      <c r="Q2904" s="24" t="s">
        <v>31</v>
      </c>
      <c r="R2904" s="25">
        <v>44905</v>
      </c>
      <c r="S2904" s="28"/>
      <c r="T2904" s="35"/>
      <c r="U2904" s="35"/>
      <c r="V2904" s="29"/>
      <c r="W2904" s="35"/>
      <c r="X2904" s="29"/>
      <c r="Y2904" s="36"/>
      <c r="Z2904" s="29"/>
      <c r="AA2904" s="31">
        <f t="shared" si="1"/>
        <v>44905</v>
      </c>
      <c r="AB2904" s="32" t="str">
        <f t="shared" si="5"/>
        <v>diciembre</v>
      </c>
    </row>
    <row r="2905" spans="1:28" ht="12.75">
      <c r="A2905" s="9" t="s">
        <v>1521</v>
      </c>
      <c r="B2905" s="10">
        <v>44908</v>
      </c>
      <c r="C2905" s="11"/>
      <c r="D2905" s="42">
        <v>50</v>
      </c>
      <c r="E2905" s="13" t="s">
        <v>3299</v>
      </c>
      <c r="F2905" s="13">
        <v>3025457</v>
      </c>
      <c r="G2905" s="14">
        <v>14083</v>
      </c>
      <c r="H2905" s="15">
        <v>8400</v>
      </c>
      <c r="I2905" s="16">
        <f t="shared" ref="I2905:I2907" si="417">H2905*G2905</f>
        <v>118297200</v>
      </c>
      <c r="J2905" s="17">
        <v>28</v>
      </c>
      <c r="K2905" s="34">
        <v>4502467558</v>
      </c>
      <c r="L2905" s="126">
        <v>5084999493</v>
      </c>
      <c r="M2905" s="20">
        <v>5113798116</v>
      </c>
      <c r="N2905" s="128"/>
      <c r="O2905" s="88" t="s">
        <v>3300</v>
      </c>
      <c r="P2905" s="23" t="s">
        <v>313</v>
      </c>
      <c r="Q2905" s="24" t="s">
        <v>31</v>
      </c>
      <c r="R2905" s="25">
        <v>44906</v>
      </c>
      <c r="S2905" s="28">
        <v>4502467558</v>
      </c>
      <c r="T2905" s="35">
        <f>2792400*2</f>
        <v>5584800</v>
      </c>
      <c r="U2905" s="28">
        <v>5113820011</v>
      </c>
      <c r="V2905" s="29"/>
      <c r="W2905" s="35"/>
      <c r="X2905" s="29"/>
      <c r="Y2905" s="36"/>
      <c r="Z2905" s="29"/>
      <c r="AA2905" s="31">
        <f t="shared" si="1"/>
        <v>44906</v>
      </c>
      <c r="AB2905" s="32" t="str">
        <f t="shared" si="5"/>
        <v>diciembre</v>
      </c>
    </row>
    <row r="2906" spans="1:28" ht="12.75">
      <c r="A2906" s="9" t="s">
        <v>492</v>
      </c>
      <c r="B2906" s="10">
        <v>44908</v>
      </c>
      <c r="C2906" s="11"/>
      <c r="D2906" s="42">
        <v>50</v>
      </c>
      <c r="E2906" s="13" t="s">
        <v>3290</v>
      </c>
      <c r="F2906" s="13">
        <v>3025457</v>
      </c>
      <c r="G2906" s="14">
        <v>13581.455</v>
      </c>
      <c r="H2906" s="15">
        <v>8650</v>
      </c>
      <c r="I2906" s="16">
        <f t="shared" si="417"/>
        <v>117479585.75</v>
      </c>
      <c r="J2906" s="17">
        <v>28</v>
      </c>
      <c r="K2906" s="34">
        <v>4502468545</v>
      </c>
      <c r="L2906" s="126">
        <v>5084994917</v>
      </c>
      <c r="M2906" s="20">
        <v>5113796824</v>
      </c>
      <c r="N2906" s="128"/>
      <c r="O2906" s="88" t="s">
        <v>3301</v>
      </c>
      <c r="P2906" s="23"/>
      <c r="Q2906" s="24" t="s">
        <v>31</v>
      </c>
      <c r="R2906" s="25">
        <v>44906</v>
      </c>
      <c r="S2906" s="28">
        <v>4902404096</v>
      </c>
      <c r="T2906" s="35">
        <f>2651200</f>
        <v>2651200</v>
      </c>
      <c r="U2906" s="28" t="s">
        <v>3302</v>
      </c>
      <c r="V2906" s="29">
        <v>5113816627</v>
      </c>
      <c r="W2906" s="35"/>
      <c r="X2906" s="29"/>
      <c r="Y2906" s="36"/>
      <c r="Z2906" s="29"/>
      <c r="AA2906" s="31">
        <f t="shared" si="1"/>
        <v>44906</v>
      </c>
      <c r="AB2906" s="32" t="str">
        <f t="shared" si="5"/>
        <v>diciembre</v>
      </c>
    </row>
    <row r="2907" spans="1:28" ht="12.75">
      <c r="A2907" s="9" t="s">
        <v>58</v>
      </c>
      <c r="B2907" s="10">
        <v>44908</v>
      </c>
      <c r="C2907" s="11">
        <v>44908</v>
      </c>
      <c r="D2907" s="42">
        <v>50</v>
      </c>
      <c r="E2907" s="13" t="s">
        <v>3303</v>
      </c>
      <c r="F2907" s="13">
        <v>3025459</v>
      </c>
      <c r="G2907" s="14">
        <v>21683</v>
      </c>
      <c r="H2907" s="33">
        <v>9200</v>
      </c>
      <c r="I2907" s="16">
        <f t="shared" si="417"/>
        <v>199483600</v>
      </c>
      <c r="J2907" s="17">
        <v>43</v>
      </c>
      <c r="K2907" s="34">
        <v>4502466521</v>
      </c>
      <c r="L2907" s="126">
        <v>5085000688</v>
      </c>
      <c r="M2907" s="20">
        <v>5113797193</v>
      </c>
      <c r="N2907" s="128"/>
      <c r="O2907" s="9" t="s">
        <v>37</v>
      </c>
      <c r="P2907" s="23"/>
      <c r="Q2907" s="24" t="s">
        <v>31</v>
      </c>
      <c r="R2907" s="25">
        <v>44906</v>
      </c>
      <c r="S2907" s="28"/>
      <c r="T2907" s="35"/>
      <c r="U2907" s="35"/>
      <c r="V2907" s="29"/>
      <c r="W2907" s="35"/>
      <c r="X2907" s="29"/>
      <c r="Y2907" s="36"/>
      <c r="Z2907" s="29"/>
      <c r="AA2907" s="31">
        <f t="shared" si="1"/>
        <v>44906</v>
      </c>
      <c r="AB2907" s="32" t="str">
        <f t="shared" si="5"/>
        <v>diciembre</v>
      </c>
    </row>
    <row r="2908" spans="1:28" ht="12.75">
      <c r="A2908" s="9" t="s">
        <v>58</v>
      </c>
      <c r="B2908" s="10">
        <v>44908</v>
      </c>
      <c r="C2908" s="11">
        <v>44908</v>
      </c>
      <c r="D2908" s="42">
        <v>50</v>
      </c>
      <c r="E2908" s="13" t="s">
        <v>3055</v>
      </c>
      <c r="F2908" s="13">
        <v>3025459</v>
      </c>
      <c r="G2908" s="14">
        <v>21683</v>
      </c>
      <c r="H2908" s="33">
        <f>9200-9168.41</f>
        <v>31.590000000000146</v>
      </c>
      <c r="I2908" s="16">
        <f>-H2908*G2908</f>
        <v>-684965.97000000312</v>
      </c>
      <c r="J2908" s="17">
        <v>0</v>
      </c>
      <c r="K2908" s="34">
        <v>4502466521</v>
      </c>
      <c r="L2908" s="126">
        <v>5085000688</v>
      </c>
      <c r="M2908" s="20">
        <v>5113797311</v>
      </c>
      <c r="N2908" s="128"/>
      <c r="O2908" s="9"/>
      <c r="P2908" s="23"/>
      <c r="Q2908" s="24" t="s">
        <v>31</v>
      </c>
      <c r="R2908" s="25">
        <v>44906</v>
      </c>
      <c r="S2908" s="28"/>
      <c r="T2908" s="35"/>
      <c r="U2908" s="35"/>
      <c r="V2908" s="29"/>
      <c r="W2908" s="35"/>
      <c r="X2908" s="29"/>
      <c r="Y2908" s="36"/>
      <c r="Z2908" s="29"/>
      <c r="AA2908" s="31">
        <f t="shared" si="1"/>
        <v>44906</v>
      </c>
      <c r="AB2908" s="32" t="str">
        <f t="shared" si="5"/>
        <v>diciembre</v>
      </c>
    </row>
    <row r="2909" spans="1:28" ht="12.75">
      <c r="A2909" s="9" t="s">
        <v>819</v>
      </c>
      <c r="B2909" s="10">
        <v>44906</v>
      </c>
      <c r="C2909" s="11">
        <v>44908</v>
      </c>
      <c r="D2909" s="42">
        <v>50</v>
      </c>
      <c r="E2909" s="13">
        <v>6201</v>
      </c>
      <c r="F2909" s="13">
        <v>3025461</v>
      </c>
      <c r="G2909" s="14">
        <v>19970</v>
      </c>
      <c r="H2909" s="33">
        <v>8998</v>
      </c>
      <c r="I2909" s="16">
        <f t="shared" ref="I2909:I2921" si="418">H2909*G2909</f>
        <v>179690060</v>
      </c>
      <c r="J2909" s="17">
        <v>41</v>
      </c>
      <c r="K2909" s="34">
        <v>4502469656</v>
      </c>
      <c r="L2909" s="126">
        <v>5085019982</v>
      </c>
      <c r="M2909" s="20">
        <v>5113804933</v>
      </c>
      <c r="N2909" s="128"/>
      <c r="O2909" s="9" t="s">
        <v>37</v>
      </c>
      <c r="P2909" s="168" t="s">
        <v>3304</v>
      </c>
      <c r="Q2909" s="24" t="s">
        <v>1605</v>
      </c>
      <c r="R2909" s="25">
        <v>44906</v>
      </c>
      <c r="S2909" s="28"/>
      <c r="T2909" s="35"/>
      <c r="U2909" s="35"/>
      <c r="V2909" s="29"/>
      <c r="W2909" s="35"/>
      <c r="X2909" s="29"/>
      <c r="Y2909" s="36"/>
      <c r="Z2909" s="29"/>
      <c r="AA2909" s="31">
        <f t="shared" si="1"/>
        <v>44906</v>
      </c>
      <c r="AB2909" s="32" t="str">
        <f t="shared" si="5"/>
        <v>diciembre</v>
      </c>
    </row>
    <row r="2910" spans="1:28" ht="12.75">
      <c r="A2910" s="9" t="s">
        <v>58</v>
      </c>
      <c r="B2910" s="10">
        <v>44908</v>
      </c>
      <c r="C2910" s="11">
        <v>44908</v>
      </c>
      <c r="D2910" s="42">
        <v>50</v>
      </c>
      <c r="E2910" s="13" t="s">
        <v>3305</v>
      </c>
      <c r="F2910" s="13">
        <v>3025461</v>
      </c>
      <c r="G2910" s="14">
        <v>43208</v>
      </c>
      <c r="H2910" s="33">
        <v>9195.56</v>
      </c>
      <c r="I2910" s="16">
        <f t="shared" si="418"/>
        <v>397321756.47999996</v>
      </c>
      <c r="J2910" s="17">
        <v>90</v>
      </c>
      <c r="K2910" s="34">
        <v>4502469666</v>
      </c>
      <c r="L2910" s="126">
        <v>5085020056</v>
      </c>
      <c r="M2910" s="20">
        <v>5113797387</v>
      </c>
      <c r="N2910" s="128"/>
      <c r="O2910" s="9" t="s">
        <v>37</v>
      </c>
      <c r="P2910" s="23"/>
      <c r="Q2910" s="24" t="s">
        <v>1605</v>
      </c>
      <c r="R2910" s="25">
        <v>44906</v>
      </c>
      <c r="S2910" s="28"/>
      <c r="T2910" s="35"/>
      <c r="U2910" s="35"/>
      <c r="V2910" s="29"/>
      <c r="W2910" s="35"/>
      <c r="X2910" s="29"/>
      <c r="Y2910" s="36"/>
      <c r="Z2910" s="29"/>
      <c r="AA2910" s="31">
        <f t="shared" si="1"/>
        <v>44906</v>
      </c>
      <c r="AB2910" s="32" t="str">
        <f t="shared" si="5"/>
        <v>diciembre</v>
      </c>
    </row>
    <row r="2911" spans="1:28" ht="12.75">
      <c r="A2911" s="22" t="s">
        <v>2589</v>
      </c>
      <c r="B2911" s="10">
        <v>44906</v>
      </c>
      <c r="C2911" s="11"/>
      <c r="D2911" s="42">
        <v>50</v>
      </c>
      <c r="E2911" s="13" t="s">
        <v>3306</v>
      </c>
      <c r="F2911" s="13">
        <v>3025460</v>
      </c>
      <c r="G2911" s="14">
        <v>7711</v>
      </c>
      <c r="H2911" s="33">
        <v>8708.4599999999991</v>
      </c>
      <c r="I2911" s="16">
        <f t="shared" si="418"/>
        <v>67150935.059999987</v>
      </c>
      <c r="J2911" s="17">
        <v>14</v>
      </c>
      <c r="K2911" s="34">
        <v>4502469668</v>
      </c>
      <c r="L2911" s="126">
        <v>5085020187</v>
      </c>
      <c r="M2911" s="20">
        <v>5113833237</v>
      </c>
      <c r="N2911" s="128"/>
      <c r="O2911" s="9" t="s">
        <v>63</v>
      </c>
      <c r="P2911" s="23" t="s">
        <v>3307</v>
      </c>
      <c r="Q2911" s="24" t="s">
        <v>82</v>
      </c>
      <c r="R2911" s="25">
        <v>44906</v>
      </c>
      <c r="S2911" s="28"/>
      <c r="T2911" s="35"/>
      <c r="U2911" s="35"/>
      <c r="V2911" s="29"/>
      <c r="W2911" s="35"/>
      <c r="X2911" s="29"/>
      <c r="Y2911" s="36"/>
      <c r="Z2911" s="29"/>
      <c r="AA2911" s="31">
        <f t="shared" si="1"/>
        <v>44906</v>
      </c>
      <c r="AB2911" s="32" t="str">
        <f t="shared" si="5"/>
        <v>diciembre</v>
      </c>
    </row>
    <row r="2912" spans="1:28" ht="12.75">
      <c r="A2912" s="9" t="s">
        <v>80</v>
      </c>
      <c r="B2912" s="10">
        <v>44906</v>
      </c>
      <c r="C2912" s="11"/>
      <c r="D2912" s="42">
        <v>50</v>
      </c>
      <c r="E2912" s="13" t="s">
        <v>3308</v>
      </c>
      <c r="F2912" s="13">
        <v>3025460</v>
      </c>
      <c r="G2912" s="14">
        <v>38786</v>
      </c>
      <c r="H2912" s="33">
        <v>8750</v>
      </c>
      <c r="I2912" s="16">
        <f t="shared" si="418"/>
        <v>339377500</v>
      </c>
      <c r="J2912" s="17">
        <v>84</v>
      </c>
      <c r="K2912" s="34">
        <v>4502469671</v>
      </c>
      <c r="L2912" s="126">
        <v>5085020284</v>
      </c>
      <c r="M2912" s="20">
        <v>5113797461</v>
      </c>
      <c r="N2912" s="128"/>
      <c r="O2912" s="88" t="s">
        <v>37</v>
      </c>
      <c r="P2912" s="23"/>
      <c r="Q2912" s="24" t="s">
        <v>82</v>
      </c>
      <c r="R2912" s="25">
        <v>44906</v>
      </c>
      <c r="S2912" s="28"/>
      <c r="T2912" s="35"/>
      <c r="U2912" s="35"/>
      <c r="V2912" s="29"/>
      <c r="W2912" s="35"/>
      <c r="X2912" s="29"/>
      <c r="Y2912" s="36"/>
      <c r="Z2912" s="29"/>
      <c r="AA2912" s="31">
        <f t="shared" si="1"/>
        <v>44906</v>
      </c>
      <c r="AB2912" s="32" t="str">
        <f t="shared" si="5"/>
        <v>diciembre</v>
      </c>
    </row>
    <row r="2913" spans="1:28" ht="12.75">
      <c r="A2913" s="9" t="s">
        <v>80</v>
      </c>
      <c r="B2913" s="10">
        <v>44906</v>
      </c>
      <c r="C2913" s="11"/>
      <c r="D2913" s="42">
        <v>50</v>
      </c>
      <c r="E2913" s="13">
        <v>14</v>
      </c>
      <c r="F2913" s="13">
        <v>3025460</v>
      </c>
      <c r="G2913" s="14">
        <v>38786</v>
      </c>
      <c r="H2913" s="33">
        <f>8774-8750</f>
        <v>24</v>
      </c>
      <c r="I2913" s="16">
        <f t="shared" si="418"/>
        <v>930864</v>
      </c>
      <c r="J2913" s="17">
        <v>0</v>
      </c>
      <c r="K2913" s="34">
        <v>4502469671</v>
      </c>
      <c r="L2913" s="126">
        <v>5085020284</v>
      </c>
      <c r="M2913" s="20">
        <v>5113797463</v>
      </c>
      <c r="N2913" s="128"/>
      <c r="O2913" s="9"/>
      <c r="P2913" s="23"/>
      <c r="Q2913" s="24" t="s">
        <v>82</v>
      </c>
      <c r="R2913" s="25">
        <v>44906</v>
      </c>
      <c r="S2913" s="28"/>
      <c r="T2913" s="35"/>
      <c r="U2913" s="35"/>
      <c r="V2913" s="29"/>
      <c r="W2913" s="35"/>
      <c r="X2913" s="29"/>
      <c r="Y2913" s="36"/>
      <c r="Z2913" s="29"/>
      <c r="AA2913" s="31">
        <f t="shared" si="1"/>
        <v>44906</v>
      </c>
      <c r="AB2913" s="32" t="str">
        <f t="shared" si="5"/>
        <v>diciembre</v>
      </c>
    </row>
    <row r="2914" spans="1:28" ht="12.75">
      <c r="A2914" s="9" t="s">
        <v>1120</v>
      </c>
      <c r="B2914" s="10">
        <v>44908</v>
      </c>
      <c r="C2914" s="11"/>
      <c r="D2914" s="42">
        <v>50</v>
      </c>
      <c r="E2914" s="13" t="s">
        <v>3309</v>
      </c>
      <c r="F2914" s="13">
        <v>3025460</v>
      </c>
      <c r="G2914" s="14">
        <v>19806</v>
      </c>
      <c r="H2914" s="33">
        <v>8800</v>
      </c>
      <c r="I2914" s="16">
        <f t="shared" si="418"/>
        <v>174292800</v>
      </c>
      <c r="J2914" s="17">
        <v>42</v>
      </c>
      <c r="K2914" s="34">
        <v>4502469691</v>
      </c>
      <c r="L2914" s="126">
        <v>5085020570</v>
      </c>
      <c r="M2914" s="20">
        <v>5113799036</v>
      </c>
      <c r="N2914" s="128"/>
      <c r="O2914" s="9" t="s">
        <v>63</v>
      </c>
      <c r="P2914" s="23"/>
      <c r="Q2914" s="24" t="s">
        <v>82</v>
      </c>
      <c r="R2914" s="25">
        <v>44906</v>
      </c>
      <c r="S2914" s="28"/>
      <c r="T2914" s="35"/>
      <c r="U2914" s="35"/>
      <c r="V2914" s="29"/>
      <c r="W2914" s="35"/>
      <c r="X2914" s="29"/>
      <c r="Y2914" s="36"/>
      <c r="Z2914" s="29"/>
      <c r="AA2914" s="31">
        <f t="shared" si="1"/>
        <v>44906</v>
      </c>
      <c r="AB2914" s="32" t="str">
        <f t="shared" si="5"/>
        <v>diciembre</v>
      </c>
    </row>
    <row r="2915" spans="1:28" ht="12.75">
      <c r="A2915" s="9" t="s">
        <v>1120</v>
      </c>
      <c r="B2915" s="10"/>
      <c r="C2915" s="11"/>
      <c r="D2915" s="42">
        <v>50</v>
      </c>
      <c r="E2915" s="13" t="s">
        <v>163</v>
      </c>
      <c r="F2915" s="13">
        <v>3025460</v>
      </c>
      <c r="G2915" s="14">
        <v>19806</v>
      </c>
      <c r="H2915" s="33">
        <f>8824-8800</f>
        <v>24</v>
      </c>
      <c r="I2915" s="16">
        <f t="shared" si="418"/>
        <v>475344</v>
      </c>
      <c r="J2915" s="17">
        <v>0</v>
      </c>
      <c r="K2915" s="34">
        <v>4502469691</v>
      </c>
      <c r="L2915" s="126">
        <v>5085020570</v>
      </c>
      <c r="M2915" s="20">
        <v>5113800853</v>
      </c>
      <c r="N2915" s="128"/>
      <c r="O2915" s="9"/>
      <c r="P2915" s="23"/>
      <c r="Q2915" s="24" t="s">
        <v>82</v>
      </c>
      <c r="R2915" s="25">
        <v>44906</v>
      </c>
      <c r="S2915" s="28"/>
      <c r="T2915" s="35"/>
      <c r="U2915" s="35"/>
      <c r="V2915" s="29"/>
      <c r="W2915" s="35"/>
      <c r="X2915" s="29"/>
      <c r="Y2915" s="36"/>
      <c r="Z2915" s="29"/>
      <c r="AA2915" s="31">
        <f t="shared" si="1"/>
        <v>44906</v>
      </c>
      <c r="AB2915" s="32" t="str">
        <f t="shared" si="5"/>
        <v>diciembre</v>
      </c>
    </row>
    <row r="2916" spans="1:28" ht="12.75">
      <c r="A2916" s="22" t="s">
        <v>199</v>
      </c>
      <c r="B2916" s="10">
        <v>44906</v>
      </c>
      <c r="C2916" s="11"/>
      <c r="D2916" s="42">
        <v>50</v>
      </c>
      <c r="E2916" s="13" t="s">
        <v>3310</v>
      </c>
      <c r="F2916" s="13">
        <v>3025460</v>
      </c>
      <c r="G2916" s="14">
        <v>14821</v>
      </c>
      <c r="H2916" s="33">
        <v>8800</v>
      </c>
      <c r="I2916" s="16">
        <f t="shared" si="418"/>
        <v>130424800</v>
      </c>
      <c r="J2916" s="17">
        <v>28</v>
      </c>
      <c r="K2916" s="34">
        <v>4502469698</v>
      </c>
      <c r="L2916" s="126">
        <v>5085020575</v>
      </c>
      <c r="M2916" s="20">
        <v>5113796762</v>
      </c>
      <c r="N2916" s="128"/>
      <c r="O2916" s="23" t="s">
        <v>63</v>
      </c>
      <c r="P2916" s="23"/>
      <c r="Q2916" s="24" t="s">
        <v>82</v>
      </c>
      <c r="R2916" s="25">
        <v>44906</v>
      </c>
      <c r="S2916" s="28"/>
      <c r="T2916" s="35"/>
      <c r="U2916" s="35"/>
      <c r="V2916" s="29"/>
      <c r="W2916" s="35"/>
      <c r="X2916" s="29"/>
      <c r="Y2916" s="36"/>
      <c r="Z2916" s="29"/>
      <c r="AA2916" s="31">
        <f t="shared" si="1"/>
        <v>44906</v>
      </c>
      <c r="AB2916" s="32" t="str">
        <f t="shared" si="5"/>
        <v>diciembre</v>
      </c>
    </row>
    <row r="2917" spans="1:28" ht="12.75">
      <c r="A2917" s="9" t="s">
        <v>314</v>
      </c>
      <c r="B2917" s="10">
        <v>44906</v>
      </c>
      <c r="C2917" s="11">
        <v>44908</v>
      </c>
      <c r="D2917" s="42">
        <v>50</v>
      </c>
      <c r="E2917" s="13" t="s">
        <v>1489</v>
      </c>
      <c r="F2917" s="13">
        <v>3025460</v>
      </c>
      <c r="G2917" s="14">
        <v>6689</v>
      </c>
      <c r="H2917" s="33">
        <v>8700</v>
      </c>
      <c r="I2917" s="16">
        <f t="shared" si="418"/>
        <v>58194300</v>
      </c>
      <c r="J2917" s="17">
        <v>14</v>
      </c>
      <c r="K2917" s="34">
        <v>4502469705</v>
      </c>
      <c r="L2917" s="126">
        <v>5085020696</v>
      </c>
      <c r="M2917" s="20">
        <v>5113796960</v>
      </c>
      <c r="N2917" s="128"/>
      <c r="O2917" s="9" t="s">
        <v>63</v>
      </c>
      <c r="P2917" s="23"/>
      <c r="Q2917" s="24" t="s">
        <v>82</v>
      </c>
      <c r="R2917" s="25">
        <v>44906</v>
      </c>
      <c r="S2917" s="28"/>
      <c r="T2917" s="35"/>
      <c r="U2917" s="35"/>
      <c r="V2917" s="29"/>
      <c r="W2917" s="35"/>
      <c r="X2917" s="29"/>
      <c r="Y2917" s="36"/>
      <c r="Z2917" s="29"/>
      <c r="AA2917" s="31">
        <f t="shared" si="1"/>
        <v>44906</v>
      </c>
      <c r="AB2917" s="32" t="str">
        <f t="shared" si="5"/>
        <v>diciembre</v>
      </c>
    </row>
    <row r="2918" spans="1:28" ht="12.75">
      <c r="A2918" s="9" t="s">
        <v>314</v>
      </c>
      <c r="B2918" s="10">
        <v>44906</v>
      </c>
      <c r="C2918" s="11">
        <v>44908</v>
      </c>
      <c r="D2918" s="42">
        <v>50</v>
      </c>
      <c r="E2918" s="13" t="s">
        <v>1547</v>
      </c>
      <c r="F2918" s="13">
        <v>3025460</v>
      </c>
      <c r="G2918" s="14">
        <v>6689</v>
      </c>
      <c r="H2918" s="33">
        <f>8724-8700</f>
        <v>24</v>
      </c>
      <c r="I2918" s="16">
        <f t="shared" si="418"/>
        <v>160536</v>
      </c>
      <c r="J2918" s="17">
        <v>0</v>
      </c>
      <c r="K2918" s="34">
        <v>4502469705</v>
      </c>
      <c r="L2918" s="126">
        <v>5085020696</v>
      </c>
      <c r="M2918" s="20">
        <v>5113796961</v>
      </c>
      <c r="N2918" s="128"/>
      <c r="O2918" s="9"/>
      <c r="P2918" s="23"/>
      <c r="Q2918" s="24" t="s">
        <v>82</v>
      </c>
      <c r="R2918" s="25">
        <v>44906</v>
      </c>
      <c r="S2918" s="28"/>
      <c r="T2918" s="35"/>
      <c r="U2918" s="35"/>
      <c r="V2918" s="29"/>
      <c r="W2918" s="35"/>
      <c r="X2918" s="29"/>
      <c r="Y2918" s="36"/>
      <c r="Z2918" s="29"/>
      <c r="AA2918" s="31">
        <f t="shared" si="1"/>
        <v>44906</v>
      </c>
      <c r="AB2918" s="32" t="str">
        <f t="shared" si="5"/>
        <v>diciembre</v>
      </c>
    </row>
    <row r="2919" spans="1:28" ht="12.75">
      <c r="A2919" s="22" t="s">
        <v>3311</v>
      </c>
      <c r="B2919" s="10">
        <v>44908</v>
      </c>
      <c r="C2919" s="11">
        <v>44908</v>
      </c>
      <c r="D2919" s="42">
        <v>50</v>
      </c>
      <c r="E2919" s="13" t="s">
        <v>3312</v>
      </c>
      <c r="F2919" s="13">
        <v>3025460</v>
      </c>
      <c r="G2919" s="14">
        <v>14602</v>
      </c>
      <c r="H2919" s="15">
        <v>8500</v>
      </c>
      <c r="I2919" s="16">
        <f t="shared" si="418"/>
        <v>124117000</v>
      </c>
      <c r="J2919" s="17">
        <v>28</v>
      </c>
      <c r="K2919" s="34">
        <v>4502470303</v>
      </c>
      <c r="L2919" s="126">
        <v>5085035792</v>
      </c>
      <c r="M2919" s="20">
        <v>5113797913</v>
      </c>
      <c r="N2919" s="88" t="s">
        <v>37</v>
      </c>
      <c r="O2919" s="9" t="s">
        <v>3313</v>
      </c>
      <c r="P2919" s="23"/>
      <c r="Q2919" s="24" t="s">
        <v>82</v>
      </c>
      <c r="R2919" s="25">
        <v>44906</v>
      </c>
      <c r="S2919" s="28"/>
      <c r="T2919" s="28">
        <v>780600</v>
      </c>
      <c r="U2919" s="28" t="s">
        <v>3314</v>
      </c>
      <c r="V2919" s="29">
        <v>5113814535</v>
      </c>
      <c r="W2919" s="35"/>
      <c r="X2919" s="29"/>
      <c r="Y2919" s="36"/>
      <c r="Z2919" s="29"/>
      <c r="AA2919" s="31">
        <f t="shared" si="1"/>
        <v>44906</v>
      </c>
      <c r="AB2919" s="32" t="str">
        <f t="shared" si="5"/>
        <v>diciembre</v>
      </c>
    </row>
    <row r="2920" spans="1:28" ht="12.75">
      <c r="A2920" s="22" t="s">
        <v>3311</v>
      </c>
      <c r="B2920" s="10">
        <v>44908</v>
      </c>
      <c r="C2920" s="11">
        <v>44908</v>
      </c>
      <c r="D2920" s="42">
        <v>50</v>
      </c>
      <c r="E2920" s="13" t="s">
        <v>3315</v>
      </c>
      <c r="F2920" s="13">
        <v>3025460</v>
      </c>
      <c r="G2920" s="14">
        <v>7034</v>
      </c>
      <c r="H2920" s="15">
        <v>8560</v>
      </c>
      <c r="I2920" s="16">
        <f t="shared" si="418"/>
        <v>60211040</v>
      </c>
      <c r="J2920" s="17">
        <v>14</v>
      </c>
      <c r="K2920" s="34">
        <v>4502470303</v>
      </c>
      <c r="L2920" s="126">
        <v>5085035792</v>
      </c>
      <c r="M2920" s="20">
        <v>5113797956</v>
      </c>
      <c r="N2920" s="88" t="s">
        <v>37</v>
      </c>
      <c r="O2920" s="9" t="s">
        <v>3316</v>
      </c>
      <c r="P2920" s="23"/>
      <c r="Q2920" s="24" t="s">
        <v>82</v>
      </c>
      <c r="R2920" s="25">
        <v>44906</v>
      </c>
      <c r="S2920" s="28"/>
      <c r="T2920" s="28">
        <f>780600*2</f>
        <v>1561200</v>
      </c>
      <c r="U2920" s="28" t="s">
        <v>3314</v>
      </c>
      <c r="V2920" s="29">
        <v>5113814535</v>
      </c>
      <c r="W2920" s="35"/>
      <c r="X2920" s="29"/>
      <c r="Y2920" s="36"/>
      <c r="Z2920" s="29"/>
      <c r="AA2920" s="31">
        <f t="shared" si="1"/>
        <v>44906</v>
      </c>
      <c r="AB2920" s="32" t="str">
        <f t="shared" si="5"/>
        <v>diciembre</v>
      </c>
    </row>
    <row r="2921" spans="1:28" ht="12.75">
      <c r="A2921" s="22" t="s">
        <v>404</v>
      </c>
      <c r="B2921" s="10">
        <v>44908</v>
      </c>
      <c r="C2921" s="11">
        <v>44908</v>
      </c>
      <c r="D2921" s="42">
        <v>50</v>
      </c>
      <c r="E2921" s="13" t="s">
        <v>3317</v>
      </c>
      <c r="F2921" s="13">
        <v>3025459</v>
      </c>
      <c r="G2921" s="14">
        <v>35883</v>
      </c>
      <c r="H2921" s="33">
        <v>9100</v>
      </c>
      <c r="I2921" s="16">
        <f t="shared" si="418"/>
        <v>326535300</v>
      </c>
      <c r="J2921" s="17">
        <v>77</v>
      </c>
      <c r="K2921" s="34">
        <v>4502466523</v>
      </c>
      <c r="L2921" s="126">
        <v>5085016869</v>
      </c>
      <c r="M2921" s="20">
        <v>5113797978</v>
      </c>
      <c r="N2921" s="128"/>
      <c r="O2921" s="88" t="s">
        <v>37</v>
      </c>
      <c r="P2921" s="23"/>
      <c r="Q2921" s="24" t="s">
        <v>31</v>
      </c>
      <c r="R2921" s="25">
        <v>44907</v>
      </c>
      <c r="S2921" s="28"/>
      <c r="T2921" s="35"/>
      <c r="U2921" s="35"/>
      <c r="V2921" s="29"/>
      <c r="W2921" s="35"/>
      <c r="X2921" s="29"/>
      <c r="Y2921" s="36"/>
      <c r="Z2921" s="29"/>
      <c r="AA2921" s="31">
        <f t="shared" si="1"/>
        <v>44907</v>
      </c>
      <c r="AB2921" s="32" t="str">
        <f t="shared" si="5"/>
        <v>diciembre</v>
      </c>
    </row>
    <row r="2922" spans="1:28" ht="12.75">
      <c r="A2922" s="22" t="s">
        <v>404</v>
      </c>
      <c r="B2922" s="10">
        <v>44908</v>
      </c>
      <c r="C2922" s="11">
        <v>44908</v>
      </c>
      <c r="D2922" s="42">
        <v>50</v>
      </c>
      <c r="E2922" s="13" t="s">
        <v>944</v>
      </c>
      <c r="F2922" s="13">
        <v>3025459</v>
      </c>
      <c r="G2922" s="14">
        <v>35883</v>
      </c>
      <c r="H2922" s="33">
        <f>9100-8941.97</f>
        <v>158.03000000000065</v>
      </c>
      <c r="I2922" s="16">
        <f>-H2922*G2922</f>
        <v>-5670590.4900000235</v>
      </c>
      <c r="J2922" s="17">
        <v>0</v>
      </c>
      <c r="K2922" s="34">
        <v>4502466523</v>
      </c>
      <c r="L2922" s="126">
        <v>5085016869</v>
      </c>
      <c r="M2922" s="20">
        <v>5113797979</v>
      </c>
      <c r="N2922" s="128"/>
      <c r="O2922" s="9"/>
      <c r="P2922" s="23"/>
      <c r="Q2922" s="24" t="s">
        <v>31</v>
      </c>
      <c r="R2922" s="25">
        <v>44907</v>
      </c>
      <c r="S2922" s="28"/>
      <c r="T2922" s="35"/>
      <c r="U2922" s="35"/>
      <c r="V2922" s="29"/>
      <c r="W2922" s="35"/>
      <c r="X2922" s="29"/>
      <c r="Y2922" s="36"/>
      <c r="Z2922" s="29"/>
      <c r="AA2922" s="31">
        <f t="shared" si="1"/>
        <v>44907</v>
      </c>
      <c r="AB2922" s="32" t="str">
        <f t="shared" si="5"/>
        <v>diciembre</v>
      </c>
    </row>
    <row r="2923" spans="1:28" ht="12.75">
      <c r="A2923" s="9" t="s">
        <v>28</v>
      </c>
      <c r="B2923" s="10">
        <v>44908</v>
      </c>
      <c r="C2923" s="11">
        <v>44908</v>
      </c>
      <c r="D2923" s="42">
        <v>50</v>
      </c>
      <c r="E2923" s="13" t="s">
        <v>3318</v>
      </c>
      <c r="F2923" s="13">
        <v>3025461</v>
      </c>
      <c r="G2923" s="14">
        <v>42065</v>
      </c>
      <c r="H2923" s="15">
        <v>8250</v>
      </c>
      <c r="I2923" s="16">
        <f t="shared" ref="I2923:I2929" si="419">H2923*G2923</f>
        <v>347036250</v>
      </c>
      <c r="J2923" s="17">
        <v>84</v>
      </c>
      <c r="K2923" s="34">
        <v>4502470090</v>
      </c>
      <c r="L2923" s="126">
        <v>5085031714</v>
      </c>
      <c r="M2923" s="20">
        <v>5113798111</v>
      </c>
      <c r="N2923" s="128"/>
      <c r="O2923" s="9" t="s">
        <v>3319</v>
      </c>
      <c r="P2923" s="128" t="s">
        <v>63</v>
      </c>
      <c r="Q2923" s="24" t="s">
        <v>1605</v>
      </c>
      <c r="R2923" s="25">
        <v>44907</v>
      </c>
      <c r="S2923" s="28">
        <v>4502470090</v>
      </c>
      <c r="T2923" s="99">
        <v>11224800</v>
      </c>
      <c r="U2923" s="28" t="s">
        <v>3320</v>
      </c>
      <c r="V2923" s="29"/>
      <c r="W2923" s="35"/>
      <c r="X2923" s="29"/>
      <c r="Y2923" s="36"/>
      <c r="Z2923" s="29"/>
      <c r="AA2923" s="31">
        <f t="shared" si="1"/>
        <v>44907</v>
      </c>
      <c r="AB2923" s="32" t="str">
        <f t="shared" si="5"/>
        <v>diciembre</v>
      </c>
    </row>
    <row r="2924" spans="1:28" ht="12.75">
      <c r="A2924" s="9" t="s">
        <v>83</v>
      </c>
      <c r="B2924" s="10">
        <v>44908</v>
      </c>
      <c r="C2924" s="11">
        <v>44908</v>
      </c>
      <c r="D2924" s="42">
        <v>50</v>
      </c>
      <c r="E2924" s="13" t="s">
        <v>3321</v>
      </c>
      <c r="F2924" s="13">
        <v>3025460</v>
      </c>
      <c r="G2924" s="14">
        <v>25909</v>
      </c>
      <c r="H2924" s="33">
        <v>8800</v>
      </c>
      <c r="I2924" s="16">
        <f t="shared" si="419"/>
        <v>227999200</v>
      </c>
      <c r="J2924" s="17">
        <v>56</v>
      </c>
      <c r="K2924" s="34">
        <v>4502470089</v>
      </c>
      <c r="L2924" s="126">
        <v>5085031709</v>
      </c>
      <c r="M2924" s="20">
        <v>5113802957</v>
      </c>
      <c r="N2924" s="128"/>
      <c r="O2924" s="22" t="s">
        <v>37</v>
      </c>
      <c r="P2924" s="168" t="s">
        <v>3322</v>
      </c>
      <c r="Q2924" s="24" t="s">
        <v>82</v>
      </c>
      <c r="R2924" s="25">
        <v>44908</v>
      </c>
      <c r="S2924" s="28"/>
      <c r="T2924" s="35"/>
      <c r="U2924" s="35"/>
      <c r="V2924" s="29"/>
      <c r="W2924" s="35"/>
      <c r="X2924" s="29"/>
      <c r="Y2924" s="36"/>
      <c r="Z2924" s="29"/>
      <c r="AA2924" s="31">
        <f t="shared" si="1"/>
        <v>44908</v>
      </c>
      <c r="AB2924" s="32" t="str">
        <f t="shared" si="5"/>
        <v>diciembre</v>
      </c>
    </row>
    <row r="2925" spans="1:28" ht="12.75">
      <c r="A2925" s="9" t="s">
        <v>196</v>
      </c>
      <c r="B2925" s="10">
        <v>44908</v>
      </c>
      <c r="C2925" s="11"/>
      <c r="D2925" s="42">
        <v>50</v>
      </c>
      <c r="E2925" s="13" t="s">
        <v>3323</v>
      </c>
      <c r="F2925" s="13">
        <v>3025460</v>
      </c>
      <c r="G2925" s="14">
        <v>28305</v>
      </c>
      <c r="H2925" s="33">
        <v>8800</v>
      </c>
      <c r="I2925" s="16">
        <f t="shared" si="419"/>
        <v>249084000</v>
      </c>
      <c r="J2925" s="17">
        <v>56</v>
      </c>
      <c r="K2925" s="34">
        <v>4502470088</v>
      </c>
      <c r="L2925" s="126">
        <v>5085031516</v>
      </c>
      <c r="M2925" s="20">
        <v>5113800855</v>
      </c>
      <c r="N2925" s="128"/>
      <c r="O2925" s="23" t="s">
        <v>63</v>
      </c>
      <c r="P2925" s="23"/>
      <c r="Q2925" s="24" t="s">
        <v>82</v>
      </c>
      <c r="R2925" s="25">
        <v>44908</v>
      </c>
      <c r="S2925" s="28"/>
      <c r="T2925" s="35"/>
      <c r="U2925" s="35"/>
      <c r="V2925" s="29"/>
      <c r="W2925" s="35"/>
      <c r="X2925" s="29"/>
      <c r="Y2925" s="36"/>
      <c r="Z2925" s="29"/>
      <c r="AA2925" s="31">
        <f t="shared" si="1"/>
        <v>44908</v>
      </c>
      <c r="AB2925" s="32" t="str">
        <f t="shared" si="5"/>
        <v>diciembre</v>
      </c>
    </row>
    <row r="2926" spans="1:28" ht="12.75">
      <c r="A2926" s="9" t="s">
        <v>85</v>
      </c>
      <c r="B2926" s="10">
        <v>44908</v>
      </c>
      <c r="C2926" s="11">
        <v>44909</v>
      </c>
      <c r="D2926" s="42">
        <v>50</v>
      </c>
      <c r="E2926" s="13" t="s">
        <v>3324</v>
      </c>
      <c r="F2926" s="13">
        <v>3025460</v>
      </c>
      <c r="G2926" s="14">
        <v>26059</v>
      </c>
      <c r="H2926" s="33">
        <v>8800</v>
      </c>
      <c r="I2926" s="16">
        <f t="shared" si="419"/>
        <v>229319200</v>
      </c>
      <c r="J2926" s="17">
        <v>56</v>
      </c>
      <c r="K2926" s="34">
        <v>4502470087</v>
      </c>
      <c r="L2926" s="126">
        <v>5085031515</v>
      </c>
      <c r="M2926" s="20">
        <v>5113800856</v>
      </c>
      <c r="N2926" s="128"/>
      <c r="O2926" s="23" t="s">
        <v>63</v>
      </c>
      <c r="P2926" s="23"/>
      <c r="Q2926" s="24" t="s">
        <v>82</v>
      </c>
      <c r="R2926" s="25">
        <v>44908</v>
      </c>
      <c r="S2926" s="28"/>
      <c r="T2926" s="35"/>
      <c r="U2926" s="35"/>
      <c r="V2926" s="29"/>
      <c r="W2926" s="35"/>
      <c r="X2926" s="29"/>
      <c r="Y2926" s="36"/>
      <c r="Z2926" s="29"/>
      <c r="AA2926" s="31">
        <f t="shared" si="1"/>
        <v>44908</v>
      </c>
      <c r="AB2926" s="32" t="str">
        <f t="shared" si="5"/>
        <v>diciembre</v>
      </c>
    </row>
    <row r="2927" spans="1:28" ht="12.75">
      <c r="A2927" s="9" t="s">
        <v>85</v>
      </c>
      <c r="B2927" s="10">
        <v>44908</v>
      </c>
      <c r="C2927" s="11">
        <v>44909</v>
      </c>
      <c r="D2927" s="42">
        <v>50</v>
      </c>
      <c r="E2927" s="13" t="s">
        <v>3325</v>
      </c>
      <c r="F2927" s="13">
        <v>3025460</v>
      </c>
      <c r="G2927" s="14">
        <v>26059</v>
      </c>
      <c r="H2927" s="33">
        <f>8824-8800</f>
        <v>24</v>
      </c>
      <c r="I2927" s="16">
        <f t="shared" si="419"/>
        <v>625416</v>
      </c>
      <c r="J2927" s="17">
        <v>0</v>
      </c>
      <c r="K2927" s="34">
        <v>4502470087</v>
      </c>
      <c r="L2927" s="126">
        <v>5085031515</v>
      </c>
      <c r="M2927" s="20">
        <v>5113800938</v>
      </c>
      <c r="N2927" s="128"/>
      <c r="O2927" s="9"/>
      <c r="P2927" s="23"/>
      <c r="Q2927" s="24" t="s">
        <v>82</v>
      </c>
      <c r="R2927" s="25">
        <v>44908</v>
      </c>
      <c r="S2927" s="28"/>
      <c r="T2927" s="35"/>
      <c r="U2927" s="35"/>
      <c r="V2927" s="29"/>
      <c r="W2927" s="35"/>
      <c r="X2927" s="29"/>
      <c r="Y2927" s="36"/>
      <c r="Z2927" s="29"/>
      <c r="AA2927" s="31">
        <f t="shared" si="1"/>
        <v>44908</v>
      </c>
      <c r="AB2927" s="32" t="str">
        <f t="shared" si="5"/>
        <v>diciembre</v>
      </c>
    </row>
    <row r="2928" spans="1:28" ht="12.75">
      <c r="A2928" s="9" t="s">
        <v>58</v>
      </c>
      <c r="B2928" s="10">
        <v>44910</v>
      </c>
      <c r="C2928" s="11">
        <v>44910</v>
      </c>
      <c r="D2928" s="42">
        <v>50</v>
      </c>
      <c r="E2928" s="13" t="s">
        <v>3326</v>
      </c>
      <c r="F2928" s="13">
        <v>3025462</v>
      </c>
      <c r="G2928" s="14">
        <v>8892</v>
      </c>
      <c r="H2928" s="33">
        <v>7800</v>
      </c>
      <c r="I2928" s="16">
        <f t="shared" si="419"/>
        <v>69357600</v>
      </c>
      <c r="J2928" s="17">
        <v>33</v>
      </c>
      <c r="K2928" s="34">
        <v>4502471665</v>
      </c>
      <c r="L2928" s="126">
        <v>5085061930</v>
      </c>
      <c r="M2928" s="20">
        <v>5113810525</v>
      </c>
      <c r="N2928" s="128"/>
      <c r="O2928" s="9" t="s">
        <v>37</v>
      </c>
      <c r="P2928" s="23"/>
      <c r="Q2928" s="24" t="s">
        <v>357</v>
      </c>
      <c r="R2928" s="25">
        <v>44909</v>
      </c>
      <c r="S2928" s="28"/>
      <c r="T2928" s="35"/>
      <c r="U2928" s="35"/>
      <c r="V2928" s="29"/>
      <c r="W2928" s="35"/>
      <c r="X2928" s="29"/>
      <c r="Y2928" s="36"/>
      <c r="Z2928" s="29"/>
      <c r="AA2928" s="31">
        <f t="shared" si="1"/>
        <v>44909</v>
      </c>
      <c r="AB2928" s="32" t="str">
        <f t="shared" si="5"/>
        <v>diciembre</v>
      </c>
    </row>
    <row r="2929" spans="1:28" ht="12.75">
      <c r="A2929" s="9" t="s">
        <v>2135</v>
      </c>
      <c r="B2929" s="10">
        <v>44914</v>
      </c>
      <c r="C2929" s="11"/>
      <c r="D2929" s="49">
        <v>51</v>
      </c>
      <c r="E2929" s="13" t="s">
        <v>1139</v>
      </c>
      <c r="F2929" s="13">
        <v>3025457</v>
      </c>
      <c r="G2929" s="14">
        <v>5651</v>
      </c>
      <c r="H2929" s="33">
        <v>8700</v>
      </c>
      <c r="I2929" s="16">
        <f t="shared" si="419"/>
        <v>49163700</v>
      </c>
      <c r="J2929" s="17">
        <v>15</v>
      </c>
      <c r="K2929" s="34">
        <v>4502470549</v>
      </c>
      <c r="L2929" s="126">
        <v>5085077145</v>
      </c>
      <c r="M2929" s="20">
        <v>5113815740</v>
      </c>
      <c r="N2929" s="128"/>
      <c r="O2929" s="88" t="s">
        <v>63</v>
      </c>
      <c r="P2929" s="23"/>
      <c r="Q2929" s="24" t="s">
        <v>31</v>
      </c>
      <c r="R2929" s="25">
        <v>44910</v>
      </c>
      <c r="S2929" s="28"/>
      <c r="T2929" s="35"/>
      <c r="U2929" s="35"/>
      <c r="V2929" s="29"/>
      <c r="W2929" s="35"/>
      <c r="X2929" s="29"/>
      <c r="Y2929" s="36"/>
      <c r="Z2929" s="29"/>
      <c r="AA2929" s="31">
        <f t="shared" si="1"/>
        <v>44910</v>
      </c>
      <c r="AB2929" s="32" t="str">
        <f t="shared" si="5"/>
        <v>diciembre</v>
      </c>
    </row>
    <row r="2930" spans="1:28" ht="12.75">
      <c r="A2930" s="9" t="s">
        <v>2135</v>
      </c>
      <c r="B2930" s="10">
        <v>44914</v>
      </c>
      <c r="C2930" s="11"/>
      <c r="D2930" s="49">
        <v>51</v>
      </c>
      <c r="E2930" s="13" t="s">
        <v>3327</v>
      </c>
      <c r="F2930" s="13">
        <v>3025457</v>
      </c>
      <c r="G2930" s="14">
        <v>5651</v>
      </c>
      <c r="H2930" s="33">
        <f>8700-8510.1</f>
        <v>189.89999999999964</v>
      </c>
      <c r="I2930" s="16">
        <f>-H2930*G2930</f>
        <v>-1073124.899999998</v>
      </c>
      <c r="J2930" s="17">
        <v>0</v>
      </c>
      <c r="K2930" s="34">
        <v>4502470549</v>
      </c>
      <c r="L2930" s="126">
        <v>5085077145</v>
      </c>
      <c r="M2930" s="20">
        <v>5113815745</v>
      </c>
      <c r="N2930" s="128"/>
      <c r="O2930" s="23"/>
      <c r="P2930" s="23"/>
      <c r="Q2930" s="24" t="s">
        <v>31</v>
      </c>
      <c r="R2930" s="25">
        <v>44910</v>
      </c>
      <c r="S2930" s="28"/>
      <c r="T2930" s="35"/>
      <c r="U2930" s="35"/>
      <c r="V2930" s="29"/>
      <c r="W2930" s="35"/>
      <c r="X2930" s="29"/>
      <c r="Y2930" s="36"/>
      <c r="Z2930" s="29"/>
      <c r="AA2930" s="31">
        <f t="shared" si="1"/>
        <v>44910</v>
      </c>
      <c r="AB2930" s="32" t="str">
        <f t="shared" si="5"/>
        <v>diciembre</v>
      </c>
    </row>
    <row r="2931" spans="1:28" ht="12.75">
      <c r="A2931" s="9" t="s">
        <v>2311</v>
      </c>
      <c r="B2931" s="10">
        <v>44910</v>
      </c>
      <c r="C2931" s="11">
        <v>44917</v>
      </c>
      <c r="D2931" s="49">
        <v>51</v>
      </c>
      <c r="E2931" s="13" t="s">
        <v>3328</v>
      </c>
      <c r="F2931" s="13">
        <v>3025457</v>
      </c>
      <c r="G2931" s="14">
        <v>7090.5</v>
      </c>
      <c r="H2931" s="33">
        <v>9100</v>
      </c>
      <c r="I2931" s="16">
        <f t="shared" ref="I2931:I2934" si="420">H2931*G2931</f>
        <v>64523550</v>
      </c>
      <c r="J2931" s="17">
        <v>14</v>
      </c>
      <c r="K2931" s="34">
        <v>4502470551</v>
      </c>
      <c r="L2931" s="126">
        <v>5085077146</v>
      </c>
      <c r="M2931" s="20">
        <v>5113829086</v>
      </c>
      <c r="N2931" s="128"/>
      <c r="O2931" s="88" t="s">
        <v>37</v>
      </c>
      <c r="P2931" s="23"/>
      <c r="Q2931" s="24" t="s">
        <v>31</v>
      </c>
      <c r="R2931" s="25">
        <v>44910</v>
      </c>
      <c r="S2931" s="28"/>
      <c r="T2931" s="35"/>
      <c r="U2931" s="35"/>
      <c r="V2931" s="29"/>
      <c r="W2931" s="35"/>
      <c r="X2931" s="29"/>
      <c r="Y2931" s="36"/>
      <c r="Z2931" s="29"/>
      <c r="AA2931" s="31">
        <f t="shared" si="1"/>
        <v>44910</v>
      </c>
      <c r="AB2931" s="32" t="str">
        <f t="shared" si="5"/>
        <v>diciembre</v>
      </c>
    </row>
    <row r="2932" spans="1:28" ht="12.75">
      <c r="A2932" s="9" t="s">
        <v>416</v>
      </c>
      <c r="B2932" s="10">
        <v>44910</v>
      </c>
      <c r="C2932" s="11">
        <v>44915</v>
      </c>
      <c r="D2932" s="49">
        <v>51</v>
      </c>
      <c r="E2932" s="13" t="s">
        <v>3329</v>
      </c>
      <c r="F2932" s="13">
        <v>3025457</v>
      </c>
      <c r="G2932" s="14">
        <v>6014.5</v>
      </c>
      <c r="H2932" s="33">
        <v>9100</v>
      </c>
      <c r="I2932" s="16">
        <f t="shared" si="420"/>
        <v>54731950</v>
      </c>
      <c r="J2932" s="17">
        <v>14</v>
      </c>
      <c r="K2932" s="34">
        <v>4502470552</v>
      </c>
      <c r="L2932" s="126">
        <v>5085077147</v>
      </c>
      <c r="M2932" s="20">
        <v>5113815095</v>
      </c>
      <c r="N2932" s="128"/>
      <c r="O2932" s="23" t="s">
        <v>37</v>
      </c>
      <c r="P2932" s="23"/>
      <c r="Q2932" s="24" t="s">
        <v>31</v>
      </c>
      <c r="R2932" s="25">
        <v>44910</v>
      </c>
      <c r="S2932" s="28"/>
      <c r="T2932" s="35"/>
      <c r="U2932" s="35"/>
      <c r="V2932" s="29"/>
      <c r="W2932" s="35"/>
      <c r="X2932" s="29"/>
      <c r="Y2932" s="36"/>
      <c r="Z2932" s="29"/>
      <c r="AA2932" s="31">
        <f t="shared" si="1"/>
        <v>44910</v>
      </c>
      <c r="AB2932" s="32" t="str">
        <f t="shared" si="5"/>
        <v>diciembre</v>
      </c>
    </row>
    <row r="2933" spans="1:28" ht="12.75">
      <c r="A2933" s="9" t="s">
        <v>416</v>
      </c>
      <c r="B2933" s="10">
        <v>44910</v>
      </c>
      <c r="C2933" s="11">
        <v>44915</v>
      </c>
      <c r="D2933" s="49">
        <v>51</v>
      </c>
      <c r="E2933" s="13" t="s">
        <v>3330</v>
      </c>
      <c r="F2933" s="13">
        <v>3025457</v>
      </c>
      <c r="G2933" s="14">
        <v>6014.5</v>
      </c>
      <c r="H2933" s="33">
        <f>9125.65-9100</f>
        <v>25.649999999999636</v>
      </c>
      <c r="I2933" s="16">
        <f t="shared" si="420"/>
        <v>154271.92499999781</v>
      </c>
      <c r="J2933" s="17">
        <v>0</v>
      </c>
      <c r="K2933" s="34">
        <v>4502470552</v>
      </c>
      <c r="L2933" s="126">
        <v>5085077147</v>
      </c>
      <c r="M2933" s="20">
        <v>5113815138</v>
      </c>
      <c r="N2933" s="128"/>
      <c r="O2933" s="23"/>
      <c r="P2933" s="23"/>
      <c r="Q2933" s="24" t="s">
        <v>31</v>
      </c>
      <c r="R2933" s="25">
        <v>44910</v>
      </c>
      <c r="S2933" s="28"/>
      <c r="T2933" s="35"/>
      <c r="U2933" s="35"/>
      <c r="V2933" s="29"/>
      <c r="W2933" s="35"/>
      <c r="X2933" s="29"/>
      <c r="Y2933" s="36"/>
      <c r="Z2933" s="29"/>
      <c r="AA2933" s="31">
        <f t="shared" si="1"/>
        <v>44910</v>
      </c>
      <c r="AB2933" s="32" t="str">
        <f t="shared" si="5"/>
        <v>diciembre</v>
      </c>
    </row>
    <row r="2934" spans="1:28" ht="12.75">
      <c r="A2934" s="9" t="s">
        <v>58</v>
      </c>
      <c r="B2934" s="10">
        <v>44914</v>
      </c>
      <c r="C2934" s="11">
        <v>44914</v>
      </c>
      <c r="D2934" s="49">
        <v>51</v>
      </c>
      <c r="E2934" s="13" t="s">
        <v>3331</v>
      </c>
      <c r="F2934" s="13">
        <v>3025457</v>
      </c>
      <c r="G2934" s="14">
        <v>32731.5</v>
      </c>
      <c r="H2934" s="33">
        <v>9200</v>
      </c>
      <c r="I2934" s="16">
        <f t="shared" si="420"/>
        <v>301129800</v>
      </c>
      <c r="J2934" s="17">
        <v>75</v>
      </c>
      <c r="K2934" s="34">
        <v>4502470553</v>
      </c>
      <c r="L2934" s="126">
        <v>5085077178</v>
      </c>
      <c r="M2934" s="20">
        <v>5113815632</v>
      </c>
      <c r="N2934" s="128"/>
      <c r="O2934" s="9" t="s">
        <v>37</v>
      </c>
      <c r="P2934" s="23"/>
      <c r="Q2934" s="24" t="s">
        <v>31</v>
      </c>
      <c r="R2934" s="25">
        <v>44910</v>
      </c>
      <c r="S2934" s="28"/>
      <c r="T2934" s="35"/>
      <c r="U2934" s="35"/>
      <c r="V2934" s="29"/>
      <c r="W2934" s="35"/>
      <c r="X2934" s="29"/>
      <c r="Y2934" s="36"/>
      <c r="Z2934" s="29"/>
      <c r="AA2934" s="31">
        <f t="shared" si="1"/>
        <v>44910</v>
      </c>
      <c r="AB2934" s="32" t="str">
        <f t="shared" si="5"/>
        <v>diciembre</v>
      </c>
    </row>
    <row r="2935" spans="1:28" ht="12.75">
      <c r="A2935" s="9" t="s">
        <v>58</v>
      </c>
      <c r="B2935" s="10">
        <v>44914</v>
      </c>
      <c r="C2935" s="11">
        <v>44914</v>
      </c>
      <c r="D2935" s="49">
        <v>51</v>
      </c>
      <c r="E2935" s="13" t="s">
        <v>3332</v>
      </c>
      <c r="F2935" s="13">
        <v>3025457</v>
      </c>
      <c r="G2935" s="14">
        <v>32731.5</v>
      </c>
      <c r="H2935" s="33">
        <f>9200-9182.69</f>
        <v>17.309999999999491</v>
      </c>
      <c r="I2935" s="16">
        <f>-H2935*G2935</f>
        <v>-566582.26499998337</v>
      </c>
      <c r="J2935" s="17">
        <v>0</v>
      </c>
      <c r="K2935" s="34">
        <v>4502470553</v>
      </c>
      <c r="L2935" s="126">
        <v>5085077178</v>
      </c>
      <c r="M2935" s="20">
        <v>5113815633</v>
      </c>
      <c r="N2935" s="128"/>
      <c r="O2935" s="23"/>
      <c r="P2935" s="23"/>
      <c r="Q2935" s="24" t="s">
        <v>31</v>
      </c>
      <c r="R2935" s="25">
        <v>44910</v>
      </c>
      <c r="S2935" s="28"/>
      <c r="T2935" s="35"/>
      <c r="U2935" s="35"/>
      <c r="V2935" s="29"/>
      <c r="W2935" s="35"/>
      <c r="X2935" s="29"/>
      <c r="Y2935" s="36"/>
      <c r="Z2935" s="29"/>
      <c r="AA2935" s="31">
        <f t="shared" si="1"/>
        <v>44910</v>
      </c>
      <c r="AB2935" s="32" t="str">
        <f t="shared" si="5"/>
        <v>diciembre</v>
      </c>
    </row>
    <row r="2936" spans="1:28" ht="12.75">
      <c r="A2936" s="9" t="s">
        <v>58</v>
      </c>
      <c r="B2936" s="10">
        <v>44914</v>
      </c>
      <c r="C2936" s="11">
        <v>44914</v>
      </c>
      <c r="D2936" s="49">
        <v>51</v>
      </c>
      <c r="E2936" s="13" t="s">
        <v>3333</v>
      </c>
      <c r="F2936" s="13">
        <v>3025457</v>
      </c>
      <c r="G2936" s="14">
        <v>7172.5</v>
      </c>
      <c r="H2936" s="33">
        <v>9200</v>
      </c>
      <c r="I2936" s="16">
        <f>H2936*G2936</f>
        <v>65987000</v>
      </c>
      <c r="J2936" s="17">
        <v>15</v>
      </c>
      <c r="K2936" s="34">
        <v>4502470553</v>
      </c>
      <c r="L2936" s="126">
        <v>5085077178</v>
      </c>
      <c r="M2936" s="20">
        <v>5113815635</v>
      </c>
      <c r="N2936" s="128"/>
      <c r="O2936" s="9" t="s">
        <v>37</v>
      </c>
      <c r="P2936" s="23"/>
      <c r="Q2936" s="24" t="s">
        <v>31</v>
      </c>
      <c r="R2936" s="25">
        <v>44910</v>
      </c>
      <c r="S2936" s="28"/>
      <c r="T2936" s="35"/>
      <c r="U2936" s="35"/>
      <c r="V2936" s="29"/>
      <c r="W2936" s="35"/>
      <c r="X2936" s="29"/>
      <c r="Y2936" s="36"/>
      <c r="Z2936" s="29"/>
      <c r="AA2936" s="31">
        <f t="shared" si="1"/>
        <v>44910</v>
      </c>
      <c r="AB2936" s="32" t="str">
        <f t="shared" si="5"/>
        <v>diciembre</v>
      </c>
    </row>
    <row r="2937" spans="1:28" ht="12.75">
      <c r="A2937" s="9" t="s">
        <v>58</v>
      </c>
      <c r="B2937" s="10">
        <v>44914</v>
      </c>
      <c r="C2937" s="11">
        <v>44914</v>
      </c>
      <c r="D2937" s="49">
        <v>51</v>
      </c>
      <c r="E2937" s="13" t="s">
        <v>3334</v>
      </c>
      <c r="F2937" s="13">
        <v>3025457</v>
      </c>
      <c r="G2937" s="14">
        <v>7172.5</v>
      </c>
      <c r="H2937" s="33">
        <f>9200-9050</f>
        <v>150</v>
      </c>
      <c r="I2937" s="16">
        <f>-H2937*G2937</f>
        <v>-1075875</v>
      </c>
      <c r="J2937" s="17">
        <v>0</v>
      </c>
      <c r="K2937" s="34">
        <v>4502470553</v>
      </c>
      <c r="L2937" s="126">
        <v>5085077178</v>
      </c>
      <c r="M2937" s="20">
        <v>5113815707</v>
      </c>
      <c r="N2937" s="128"/>
      <c r="O2937" s="9"/>
      <c r="P2937" s="23"/>
      <c r="Q2937" s="24" t="s">
        <v>31</v>
      </c>
      <c r="R2937" s="25">
        <v>44910</v>
      </c>
      <c r="S2937" s="28"/>
      <c r="T2937" s="35"/>
      <c r="U2937" s="35"/>
      <c r="V2937" s="29"/>
      <c r="W2937" s="35"/>
      <c r="X2937" s="29"/>
      <c r="Y2937" s="36"/>
      <c r="Z2937" s="29"/>
      <c r="AA2937" s="31">
        <f t="shared" si="1"/>
        <v>44910</v>
      </c>
      <c r="AB2937" s="32" t="str">
        <f t="shared" si="5"/>
        <v>diciembre</v>
      </c>
    </row>
    <row r="2938" spans="1:28" ht="12.75">
      <c r="A2938" s="22" t="s">
        <v>404</v>
      </c>
      <c r="B2938" s="10">
        <v>44910</v>
      </c>
      <c r="C2938" s="11">
        <v>44914</v>
      </c>
      <c r="D2938" s="49">
        <v>51</v>
      </c>
      <c r="E2938" s="13" t="s">
        <v>3335</v>
      </c>
      <c r="F2938" s="13">
        <v>3025457</v>
      </c>
      <c r="G2938" s="14">
        <v>14206.5</v>
      </c>
      <c r="H2938" s="33">
        <v>9100</v>
      </c>
      <c r="I2938" s="16">
        <f>H2938*G2938</f>
        <v>129279150</v>
      </c>
      <c r="J2938" s="17">
        <v>29</v>
      </c>
      <c r="K2938" s="34">
        <v>4502470554</v>
      </c>
      <c r="L2938" s="126">
        <v>5085077179</v>
      </c>
      <c r="M2938" s="20">
        <v>5113819744</v>
      </c>
      <c r="N2938" s="128"/>
      <c r="O2938" s="88" t="s">
        <v>37</v>
      </c>
      <c r="P2938" s="23"/>
      <c r="Q2938" s="24" t="s">
        <v>31</v>
      </c>
      <c r="R2938" s="25">
        <v>44910</v>
      </c>
      <c r="S2938" s="28"/>
      <c r="T2938" s="35"/>
      <c r="U2938" s="35"/>
      <c r="V2938" s="29"/>
      <c r="W2938" s="35"/>
      <c r="X2938" s="29"/>
      <c r="Y2938" s="36"/>
      <c r="Z2938" s="29"/>
      <c r="AA2938" s="31">
        <f t="shared" si="1"/>
        <v>44910</v>
      </c>
      <c r="AB2938" s="32" t="str">
        <f t="shared" si="5"/>
        <v>diciembre</v>
      </c>
    </row>
    <row r="2939" spans="1:28" ht="12.75">
      <c r="A2939" s="22" t="s">
        <v>404</v>
      </c>
      <c r="B2939" s="10">
        <v>44914</v>
      </c>
      <c r="C2939" s="11">
        <v>44914</v>
      </c>
      <c r="D2939" s="49">
        <v>51</v>
      </c>
      <c r="E2939" s="13" t="s">
        <v>954</v>
      </c>
      <c r="F2939" s="13">
        <v>3025457</v>
      </c>
      <c r="G2939" s="14">
        <v>14206.5</v>
      </c>
      <c r="H2939" s="33">
        <f>9100-8950</f>
        <v>150</v>
      </c>
      <c r="I2939" s="16">
        <f>-H2939*G2939</f>
        <v>-2130975</v>
      </c>
      <c r="J2939" s="17">
        <v>0</v>
      </c>
      <c r="K2939" s="34">
        <v>4502470554</v>
      </c>
      <c r="L2939" s="126">
        <v>5085077179</v>
      </c>
      <c r="M2939" s="20">
        <v>5113819748</v>
      </c>
      <c r="N2939" s="128"/>
      <c r="O2939" s="23"/>
      <c r="P2939" s="23"/>
      <c r="Q2939" s="24" t="s">
        <v>31</v>
      </c>
      <c r="R2939" s="25">
        <v>44910</v>
      </c>
      <c r="S2939" s="28"/>
      <c r="T2939" s="35"/>
      <c r="U2939" s="35"/>
      <c r="V2939" s="29"/>
      <c r="W2939" s="35"/>
      <c r="X2939" s="29"/>
      <c r="Y2939" s="36"/>
      <c r="Z2939" s="29"/>
      <c r="AA2939" s="31">
        <f t="shared" si="1"/>
        <v>44910</v>
      </c>
      <c r="AB2939" s="32" t="str">
        <f t="shared" si="5"/>
        <v>diciembre</v>
      </c>
    </row>
    <row r="2940" spans="1:28" ht="12.75">
      <c r="A2940" s="9" t="s">
        <v>85</v>
      </c>
      <c r="B2940" s="10">
        <v>44911</v>
      </c>
      <c r="C2940" s="11">
        <v>44915</v>
      </c>
      <c r="D2940" s="49">
        <v>51</v>
      </c>
      <c r="E2940" s="13" t="s">
        <v>3336</v>
      </c>
      <c r="F2940" s="13">
        <v>3025459</v>
      </c>
      <c r="G2940" s="14">
        <v>32967</v>
      </c>
      <c r="H2940" s="15">
        <v>8500</v>
      </c>
      <c r="I2940" s="16">
        <f t="shared" ref="I2940:I2944" si="421">H2940*G2940</f>
        <v>280219500</v>
      </c>
      <c r="J2940" s="17">
        <v>70</v>
      </c>
      <c r="K2940" s="34">
        <v>4502473255</v>
      </c>
      <c r="L2940" s="126">
        <v>5085118181</v>
      </c>
      <c r="M2940" s="20">
        <v>5113819756</v>
      </c>
      <c r="N2940" s="128"/>
      <c r="O2940" s="23" t="s">
        <v>3337</v>
      </c>
      <c r="P2940" s="23" t="s">
        <v>63</v>
      </c>
      <c r="Q2940" s="24" t="s">
        <v>31</v>
      </c>
      <c r="R2940" s="25">
        <v>44910</v>
      </c>
      <c r="S2940" s="28">
        <v>4902408524</v>
      </c>
      <c r="T2940" s="35">
        <f>1793900*5</f>
        <v>8969500</v>
      </c>
      <c r="U2940" s="28" t="s">
        <v>3338</v>
      </c>
      <c r="V2940" s="29">
        <v>5113814405</v>
      </c>
      <c r="W2940" s="35"/>
      <c r="X2940" s="29"/>
      <c r="Y2940" s="36"/>
      <c r="Z2940" s="29"/>
      <c r="AA2940" s="31">
        <f t="shared" si="1"/>
        <v>44910</v>
      </c>
      <c r="AB2940" s="32" t="str">
        <f t="shared" si="5"/>
        <v>diciembre</v>
      </c>
    </row>
    <row r="2941" spans="1:28" ht="12.75">
      <c r="A2941" s="9" t="s">
        <v>85</v>
      </c>
      <c r="B2941" s="10">
        <v>44911</v>
      </c>
      <c r="C2941" s="11">
        <v>44915</v>
      </c>
      <c r="D2941" s="49">
        <v>51</v>
      </c>
      <c r="E2941" s="13" t="s">
        <v>3339</v>
      </c>
      <c r="F2941" s="13">
        <v>3025459</v>
      </c>
      <c r="G2941" s="14">
        <v>32967</v>
      </c>
      <c r="H2941" s="15">
        <f>8524-8500</f>
        <v>24</v>
      </c>
      <c r="I2941" s="16">
        <f t="shared" si="421"/>
        <v>791208</v>
      </c>
      <c r="J2941" s="17">
        <v>0</v>
      </c>
      <c r="K2941" s="34">
        <v>4502473255</v>
      </c>
      <c r="L2941" s="126">
        <v>5085118181</v>
      </c>
      <c r="M2941" s="20">
        <v>5113819799</v>
      </c>
      <c r="N2941" s="128"/>
      <c r="O2941" s="23"/>
      <c r="P2941" s="23"/>
      <c r="Q2941" s="24" t="s">
        <v>31</v>
      </c>
      <c r="R2941" s="25">
        <v>44910</v>
      </c>
      <c r="S2941" s="28"/>
      <c r="T2941" s="35"/>
      <c r="U2941" s="35"/>
      <c r="V2941" s="29"/>
      <c r="W2941" s="35"/>
      <c r="X2941" s="29"/>
      <c r="Y2941" s="36"/>
      <c r="Z2941" s="29"/>
      <c r="AA2941" s="31">
        <f t="shared" si="1"/>
        <v>44910</v>
      </c>
      <c r="AB2941" s="32" t="str">
        <f t="shared" si="5"/>
        <v>diciembre</v>
      </c>
    </row>
    <row r="2942" spans="1:28" ht="12.75">
      <c r="A2942" s="9" t="s">
        <v>80</v>
      </c>
      <c r="B2942" s="10">
        <v>44910</v>
      </c>
      <c r="C2942" s="11">
        <v>44914</v>
      </c>
      <c r="D2942" s="49">
        <v>51</v>
      </c>
      <c r="E2942" s="13" t="s">
        <v>3340</v>
      </c>
      <c r="F2942" s="13">
        <v>3025459</v>
      </c>
      <c r="G2942" s="14">
        <v>19945</v>
      </c>
      <c r="H2942" s="15">
        <v>8500</v>
      </c>
      <c r="I2942" s="16">
        <f t="shared" si="421"/>
        <v>169532500</v>
      </c>
      <c r="J2942" s="17">
        <v>42</v>
      </c>
      <c r="K2942" s="34">
        <v>4502473259</v>
      </c>
      <c r="L2942" s="126">
        <v>5085118271</v>
      </c>
      <c r="M2942" s="20">
        <v>5113824920</v>
      </c>
      <c r="N2942" s="128" t="s">
        <v>37</v>
      </c>
      <c r="O2942" s="124" t="s">
        <v>3341</v>
      </c>
      <c r="P2942" s="23"/>
      <c r="Q2942" s="24" t="s">
        <v>31</v>
      </c>
      <c r="R2942" s="25">
        <v>44910</v>
      </c>
      <c r="S2942" s="28">
        <v>4902408527</v>
      </c>
      <c r="T2942" s="27">
        <v>4792500</v>
      </c>
      <c r="U2942" s="28" t="s">
        <v>3342</v>
      </c>
      <c r="V2942" s="29"/>
      <c r="W2942" s="35"/>
      <c r="X2942" s="29"/>
      <c r="Y2942" s="36"/>
      <c r="Z2942" s="29"/>
      <c r="AA2942" s="31">
        <f t="shared" si="1"/>
        <v>44910</v>
      </c>
      <c r="AB2942" s="32" t="str">
        <f t="shared" si="5"/>
        <v>diciembre</v>
      </c>
    </row>
    <row r="2943" spans="1:28" ht="12.75">
      <c r="A2943" s="9" t="s">
        <v>80</v>
      </c>
      <c r="B2943" s="10">
        <v>44910</v>
      </c>
      <c r="C2943" s="11">
        <v>44914</v>
      </c>
      <c r="D2943" s="49">
        <v>51</v>
      </c>
      <c r="E2943" s="13">
        <v>15</v>
      </c>
      <c r="F2943" s="13">
        <v>3025459</v>
      </c>
      <c r="G2943" s="14">
        <v>19945</v>
      </c>
      <c r="H2943" s="15">
        <f>8524-8500</f>
        <v>24</v>
      </c>
      <c r="I2943" s="16">
        <f t="shared" si="421"/>
        <v>478680</v>
      </c>
      <c r="J2943" s="17">
        <v>0</v>
      </c>
      <c r="K2943" s="34">
        <v>4502473259</v>
      </c>
      <c r="L2943" s="126">
        <v>5085118271</v>
      </c>
      <c r="M2943" s="20">
        <v>5113824987</v>
      </c>
      <c r="N2943" s="128"/>
      <c r="O2943" s="23"/>
      <c r="P2943" s="23"/>
      <c r="Q2943" s="24" t="s">
        <v>31</v>
      </c>
      <c r="R2943" s="25">
        <v>44910</v>
      </c>
      <c r="S2943" s="28"/>
      <c r="T2943" s="35"/>
      <c r="U2943" s="35"/>
      <c r="V2943" s="29"/>
      <c r="W2943" s="35"/>
      <c r="X2943" s="29"/>
      <c r="Y2943" s="36"/>
      <c r="Z2943" s="29"/>
      <c r="AA2943" s="31">
        <f t="shared" si="1"/>
        <v>44910</v>
      </c>
      <c r="AB2943" s="32" t="str">
        <f t="shared" si="5"/>
        <v>diciembre</v>
      </c>
    </row>
    <row r="2944" spans="1:28" ht="12.75">
      <c r="A2944" s="22" t="s">
        <v>719</v>
      </c>
      <c r="B2944" s="10">
        <v>44911</v>
      </c>
      <c r="C2944" s="11">
        <v>44916</v>
      </c>
      <c r="D2944" s="49">
        <v>51</v>
      </c>
      <c r="E2944" s="13" t="s">
        <v>3343</v>
      </c>
      <c r="F2944" s="13">
        <v>3025457</v>
      </c>
      <c r="G2944" s="14">
        <v>18519.5</v>
      </c>
      <c r="H2944" s="33">
        <v>8750</v>
      </c>
      <c r="I2944" s="16">
        <f t="shared" si="421"/>
        <v>162045625</v>
      </c>
      <c r="J2944" s="17">
        <v>42</v>
      </c>
      <c r="K2944" s="34">
        <v>4502470555</v>
      </c>
      <c r="L2944" s="126">
        <v>5085105184</v>
      </c>
      <c r="M2944" s="20">
        <v>5113819947</v>
      </c>
      <c r="N2944" s="128"/>
      <c r="O2944" s="88" t="s">
        <v>37</v>
      </c>
      <c r="P2944" s="23"/>
      <c r="Q2944" s="24" t="s">
        <v>31</v>
      </c>
      <c r="R2944" s="25">
        <v>44911</v>
      </c>
      <c r="S2944" s="28"/>
      <c r="T2944" s="35"/>
      <c r="U2944" s="35"/>
      <c r="V2944" s="29"/>
      <c r="W2944" s="35"/>
      <c r="X2944" s="29"/>
      <c r="Y2944" s="36"/>
      <c r="Z2944" s="29"/>
      <c r="AA2944" s="31">
        <f t="shared" si="1"/>
        <v>44911</v>
      </c>
      <c r="AB2944" s="32" t="str">
        <f t="shared" si="5"/>
        <v>diciembre</v>
      </c>
    </row>
    <row r="2945" spans="1:28" ht="12.75">
      <c r="A2945" s="22" t="s">
        <v>719</v>
      </c>
      <c r="B2945" s="10">
        <v>44911</v>
      </c>
      <c r="C2945" s="11">
        <v>44916</v>
      </c>
      <c r="D2945" s="49">
        <v>51</v>
      </c>
      <c r="E2945" s="13" t="s">
        <v>134</v>
      </c>
      <c r="F2945" s="13">
        <v>3025457</v>
      </c>
      <c r="G2945" s="14">
        <v>18519.5</v>
      </c>
      <c r="H2945" s="33">
        <f>8750-8743.64</f>
        <v>6.3600000000005821</v>
      </c>
      <c r="I2945" s="16">
        <f>-H2945*G2945</f>
        <v>-117784.02000001079</v>
      </c>
      <c r="J2945" s="17">
        <v>0</v>
      </c>
      <c r="K2945" s="34">
        <v>4502470555</v>
      </c>
      <c r="L2945" s="126">
        <v>5085105184</v>
      </c>
      <c r="M2945" s="20">
        <v>5113819948</v>
      </c>
      <c r="N2945" s="128"/>
      <c r="O2945" s="169" t="s">
        <v>3216</v>
      </c>
      <c r="P2945" s="23"/>
      <c r="Q2945" s="24" t="s">
        <v>31</v>
      </c>
      <c r="R2945" s="25">
        <v>44911</v>
      </c>
      <c r="S2945" s="28"/>
      <c r="T2945" s="35"/>
      <c r="U2945" s="35"/>
      <c r="V2945" s="29"/>
      <c r="W2945" s="35"/>
      <c r="X2945" s="29"/>
      <c r="Y2945" s="36"/>
      <c r="Z2945" s="29"/>
      <c r="AA2945" s="31">
        <f t="shared" si="1"/>
        <v>44911</v>
      </c>
      <c r="AB2945" s="32" t="str">
        <f t="shared" si="5"/>
        <v>diciembre</v>
      </c>
    </row>
    <row r="2946" spans="1:28" ht="12.75">
      <c r="A2946" s="9" t="s">
        <v>58</v>
      </c>
      <c r="B2946" s="10">
        <v>44914</v>
      </c>
      <c r="C2946" s="11">
        <v>44914</v>
      </c>
      <c r="D2946" s="49">
        <v>51</v>
      </c>
      <c r="E2946" s="13" t="s">
        <v>3344</v>
      </c>
      <c r="F2946" s="13">
        <v>3025457</v>
      </c>
      <c r="G2946" s="14">
        <v>38867</v>
      </c>
      <c r="H2946" s="33">
        <v>9200</v>
      </c>
      <c r="I2946" s="16">
        <f>H2946*G2946</f>
        <v>357576400</v>
      </c>
      <c r="J2946" s="17">
        <v>91</v>
      </c>
      <c r="K2946" s="34">
        <v>4502470556</v>
      </c>
      <c r="L2946" s="126">
        <v>5085105348</v>
      </c>
      <c r="M2946" s="20">
        <v>5113815710</v>
      </c>
      <c r="N2946" s="128"/>
      <c r="O2946" s="9" t="s">
        <v>37</v>
      </c>
      <c r="P2946" s="23"/>
      <c r="Q2946" s="24" t="s">
        <v>31</v>
      </c>
      <c r="R2946" s="25">
        <v>44911</v>
      </c>
      <c r="S2946" s="28"/>
      <c r="T2946" s="35"/>
      <c r="U2946" s="35"/>
      <c r="V2946" s="29"/>
      <c r="W2946" s="35"/>
      <c r="X2946" s="29"/>
      <c r="Y2946" s="36"/>
      <c r="Z2946" s="29"/>
      <c r="AA2946" s="31">
        <f t="shared" si="1"/>
        <v>44911</v>
      </c>
      <c r="AB2946" s="32" t="str">
        <f t="shared" si="5"/>
        <v>diciembre</v>
      </c>
    </row>
    <row r="2947" spans="1:28" ht="12.75">
      <c r="A2947" s="9" t="s">
        <v>58</v>
      </c>
      <c r="B2947" s="10">
        <v>44914</v>
      </c>
      <c r="C2947" s="11">
        <v>44914</v>
      </c>
      <c r="D2947" s="49">
        <v>51</v>
      </c>
      <c r="E2947" s="13" t="s">
        <v>3276</v>
      </c>
      <c r="F2947" s="13">
        <v>3025457</v>
      </c>
      <c r="G2947" s="14">
        <v>38867</v>
      </c>
      <c r="H2947" s="33">
        <f>9200-9179.84</f>
        <v>20.159999999999854</v>
      </c>
      <c r="I2947" s="16">
        <f>-H2947*G2947</f>
        <v>-783558.71999999438</v>
      </c>
      <c r="J2947" s="17">
        <v>0</v>
      </c>
      <c r="K2947" s="34">
        <v>4502470556</v>
      </c>
      <c r="L2947" s="126">
        <v>5085105348</v>
      </c>
      <c r="M2947" s="20">
        <v>5113815711</v>
      </c>
      <c r="N2947" s="128"/>
      <c r="O2947" s="23"/>
      <c r="P2947" s="23"/>
      <c r="Q2947" s="24" t="s">
        <v>31</v>
      </c>
      <c r="R2947" s="25">
        <v>44911</v>
      </c>
      <c r="S2947" s="28"/>
      <c r="T2947" s="35"/>
      <c r="U2947" s="35"/>
      <c r="V2947" s="29"/>
      <c r="W2947" s="35"/>
      <c r="X2947" s="29"/>
      <c r="Y2947" s="36"/>
      <c r="Z2947" s="29"/>
      <c r="AA2947" s="31">
        <f t="shared" si="1"/>
        <v>44911</v>
      </c>
      <c r="AB2947" s="32" t="str">
        <f t="shared" si="5"/>
        <v>diciembre</v>
      </c>
    </row>
    <row r="2948" spans="1:28" ht="12.75">
      <c r="A2948" s="9" t="s">
        <v>58</v>
      </c>
      <c r="B2948" s="10">
        <v>44914</v>
      </c>
      <c r="C2948" s="11">
        <v>44914</v>
      </c>
      <c r="D2948" s="49">
        <v>51</v>
      </c>
      <c r="E2948" s="13" t="s">
        <v>3345</v>
      </c>
      <c r="F2948" s="13">
        <v>3025457</v>
      </c>
      <c r="G2948" s="14">
        <v>6737</v>
      </c>
      <c r="H2948" s="33">
        <v>9200</v>
      </c>
      <c r="I2948" s="16">
        <f t="shared" ref="I2948:I2950" si="422">H2948*G2948</f>
        <v>61980400</v>
      </c>
      <c r="J2948" s="17">
        <v>15</v>
      </c>
      <c r="K2948" s="34">
        <v>4502470556</v>
      </c>
      <c r="L2948" s="126">
        <v>5085105348</v>
      </c>
      <c r="M2948" s="20">
        <v>5113815714</v>
      </c>
      <c r="N2948" s="128"/>
      <c r="O2948" s="9" t="s">
        <v>37</v>
      </c>
      <c r="P2948" s="23"/>
      <c r="Q2948" s="24" t="s">
        <v>31</v>
      </c>
      <c r="R2948" s="25">
        <v>44911</v>
      </c>
      <c r="S2948" s="28"/>
      <c r="T2948" s="35"/>
      <c r="U2948" s="35"/>
      <c r="V2948" s="29"/>
      <c r="W2948" s="35"/>
      <c r="X2948" s="29"/>
      <c r="Y2948" s="36"/>
      <c r="Z2948" s="29"/>
      <c r="AA2948" s="31">
        <f t="shared" si="1"/>
        <v>44911</v>
      </c>
      <c r="AB2948" s="32" t="str">
        <f t="shared" si="5"/>
        <v>diciembre</v>
      </c>
    </row>
    <row r="2949" spans="1:28" ht="12.75">
      <c r="A2949" s="9" t="s">
        <v>209</v>
      </c>
      <c r="B2949" s="10">
        <v>44915</v>
      </c>
      <c r="C2949" s="11">
        <v>44915</v>
      </c>
      <c r="D2949" s="49">
        <v>51</v>
      </c>
      <c r="E2949" s="13" t="s">
        <v>3346</v>
      </c>
      <c r="F2949" s="13">
        <v>3025457</v>
      </c>
      <c r="G2949" s="14">
        <v>13818.5</v>
      </c>
      <c r="H2949" s="33">
        <v>8750</v>
      </c>
      <c r="I2949" s="16">
        <f t="shared" si="422"/>
        <v>120911875</v>
      </c>
      <c r="J2949" s="17">
        <v>30</v>
      </c>
      <c r="K2949" s="34">
        <v>4502470557</v>
      </c>
      <c r="L2949" s="126">
        <v>5085105185</v>
      </c>
      <c r="M2949" s="20">
        <v>5113815738</v>
      </c>
      <c r="N2949" s="128"/>
      <c r="O2949" s="23" t="s">
        <v>313</v>
      </c>
      <c r="P2949" s="23"/>
      <c r="Q2949" s="24" t="s">
        <v>31</v>
      </c>
      <c r="R2949" s="25">
        <v>44911</v>
      </c>
      <c r="S2949" s="28"/>
      <c r="T2949" s="35"/>
      <c r="U2949" s="35"/>
      <c r="V2949" s="29"/>
      <c r="W2949" s="35"/>
      <c r="X2949" s="29"/>
      <c r="Y2949" s="36"/>
      <c r="Z2949" s="29"/>
      <c r="AA2949" s="31">
        <f t="shared" si="1"/>
        <v>44911</v>
      </c>
      <c r="AB2949" s="32" t="str">
        <f t="shared" si="5"/>
        <v>diciembre</v>
      </c>
    </row>
    <row r="2950" spans="1:28" ht="12.75">
      <c r="A2950" s="22" t="s">
        <v>404</v>
      </c>
      <c r="B2950" s="10">
        <v>44911</v>
      </c>
      <c r="C2950" s="11">
        <v>44914</v>
      </c>
      <c r="D2950" s="49">
        <v>51</v>
      </c>
      <c r="E2950" s="13" t="s">
        <v>3347</v>
      </c>
      <c r="F2950" s="13">
        <v>3025457</v>
      </c>
      <c r="G2950" s="14">
        <v>13536</v>
      </c>
      <c r="H2950" s="33">
        <v>9100</v>
      </c>
      <c r="I2950" s="16">
        <f t="shared" si="422"/>
        <v>123177600</v>
      </c>
      <c r="J2950" s="17">
        <v>30</v>
      </c>
      <c r="K2950" s="34">
        <v>4502470558</v>
      </c>
      <c r="L2950" s="126">
        <v>5085105186</v>
      </c>
      <c r="M2950" s="20">
        <v>5113819802</v>
      </c>
      <c r="N2950" s="128"/>
      <c r="O2950" s="88" t="s">
        <v>37</v>
      </c>
      <c r="P2950" s="23"/>
      <c r="Q2950" s="24" t="s">
        <v>31</v>
      </c>
      <c r="R2950" s="25">
        <v>44911</v>
      </c>
      <c r="S2950" s="28"/>
      <c r="T2950" s="35"/>
      <c r="U2950" s="35"/>
      <c r="V2950" s="29"/>
      <c r="W2950" s="35"/>
      <c r="X2950" s="29"/>
      <c r="Y2950" s="36"/>
      <c r="Z2950" s="29"/>
      <c r="AA2950" s="31">
        <f t="shared" si="1"/>
        <v>44911</v>
      </c>
      <c r="AB2950" s="32" t="str">
        <f t="shared" si="5"/>
        <v>diciembre</v>
      </c>
    </row>
    <row r="2951" spans="1:28" ht="12.75">
      <c r="A2951" s="22" t="s">
        <v>404</v>
      </c>
      <c r="B2951" s="10">
        <v>44914</v>
      </c>
      <c r="C2951" s="11">
        <v>44914</v>
      </c>
      <c r="D2951" s="49">
        <v>51</v>
      </c>
      <c r="E2951" s="13" t="s">
        <v>956</v>
      </c>
      <c r="F2951" s="13">
        <v>3025457</v>
      </c>
      <c r="G2951" s="14">
        <v>13536</v>
      </c>
      <c r="H2951" s="33">
        <f>9100-9000</f>
        <v>100</v>
      </c>
      <c r="I2951" s="16">
        <f>-H2951*G2951</f>
        <v>-1353600</v>
      </c>
      <c r="J2951" s="17">
        <v>0</v>
      </c>
      <c r="K2951" s="34">
        <v>4502470558</v>
      </c>
      <c r="L2951" s="126">
        <v>5085105186</v>
      </c>
      <c r="M2951" s="20">
        <v>5113819804</v>
      </c>
      <c r="N2951" s="128"/>
      <c r="O2951" s="23"/>
      <c r="P2951" s="23"/>
      <c r="Q2951" s="24" t="s">
        <v>31</v>
      </c>
      <c r="R2951" s="25">
        <v>44911</v>
      </c>
      <c r="S2951" s="28"/>
      <c r="T2951" s="35"/>
      <c r="U2951" s="35"/>
      <c r="V2951" s="29"/>
      <c r="W2951" s="35"/>
      <c r="X2951" s="29"/>
      <c r="Y2951" s="36"/>
      <c r="Z2951" s="29"/>
      <c r="AA2951" s="31">
        <f t="shared" si="1"/>
        <v>44911</v>
      </c>
      <c r="AB2951" s="32" t="str">
        <f t="shared" si="5"/>
        <v>diciembre</v>
      </c>
    </row>
    <row r="2952" spans="1:28" ht="12.75">
      <c r="A2952" s="9" t="s">
        <v>276</v>
      </c>
      <c r="B2952" s="10">
        <v>44915</v>
      </c>
      <c r="C2952" s="11"/>
      <c r="D2952" s="49">
        <v>51</v>
      </c>
      <c r="E2952" s="13" t="s">
        <v>1626</v>
      </c>
      <c r="F2952" s="13">
        <v>3025459</v>
      </c>
      <c r="G2952" s="14">
        <v>13064</v>
      </c>
      <c r="H2952" s="33">
        <v>8700</v>
      </c>
      <c r="I2952" s="16">
        <f t="shared" ref="I2952:I2957" si="423">H2952*G2952</f>
        <v>113656800</v>
      </c>
      <c r="J2952" s="17">
        <v>28</v>
      </c>
      <c r="K2952" s="34">
        <v>4502470559</v>
      </c>
      <c r="L2952" s="126">
        <v>5085105187</v>
      </c>
      <c r="M2952" s="20">
        <v>5113815851</v>
      </c>
      <c r="N2952" s="128"/>
      <c r="O2952" s="9" t="s">
        <v>63</v>
      </c>
      <c r="P2952" s="124"/>
      <c r="Q2952" s="24" t="s">
        <v>31</v>
      </c>
      <c r="R2952" s="25">
        <v>44911</v>
      </c>
      <c r="S2952" s="28"/>
      <c r="T2952" s="35"/>
      <c r="U2952" s="35"/>
      <c r="V2952" s="29"/>
      <c r="W2952" s="35"/>
      <c r="X2952" s="29"/>
      <c r="Y2952" s="36"/>
      <c r="Z2952" s="29"/>
      <c r="AA2952" s="31">
        <f t="shared" si="1"/>
        <v>44911</v>
      </c>
      <c r="AB2952" s="32" t="str">
        <f t="shared" si="5"/>
        <v>diciembre</v>
      </c>
    </row>
    <row r="2953" spans="1:28" ht="12.75">
      <c r="A2953" s="9" t="s">
        <v>1120</v>
      </c>
      <c r="B2953" s="10">
        <v>44907</v>
      </c>
      <c r="C2953" s="11">
        <v>44917</v>
      </c>
      <c r="D2953" s="49">
        <v>51</v>
      </c>
      <c r="E2953" s="13" t="s">
        <v>3348</v>
      </c>
      <c r="F2953" s="13">
        <v>3025460</v>
      </c>
      <c r="G2953" s="14">
        <v>13642</v>
      </c>
      <c r="H2953" s="57">
        <v>8750</v>
      </c>
      <c r="I2953" s="16">
        <f t="shared" si="423"/>
        <v>119367500</v>
      </c>
      <c r="J2953" s="17">
        <v>28</v>
      </c>
      <c r="K2953" s="34">
        <v>4502473615</v>
      </c>
      <c r="L2953" s="126">
        <v>5085129519</v>
      </c>
      <c r="M2953" s="20">
        <v>5113839352</v>
      </c>
      <c r="N2953" s="128"/>
      <c r="O2953" s="9" t="s">
        <v>63</v>
      </c>
      <c r="P2953" s="23"/>
      <c r="Q2953" s="24" t="s">
        <v>82</v>
      </c>
      <c r="R2953" s="25">
        <v>44911</v>
      </c>
      <c r="S2953" s="28"/>
      <c r="T2953" s="35"/>
      <c r="U2953" s="35"/>
      <c r="V2953" s="29"/>
      <c r="W2953" s="35"/>
      <c r="X2953" s="29"/>
      <c r="Y2953" s="36"/>
      <c r="Z2953" s="29"/>
      <c r="AA2953" s="31">
        <f t="shared" si="1"/>
        <v>44911</v>
      </c>
      <c r="AB2953" s="32" t="str">
        <f t="shared" si="5"/>
        <v>diciembre</v>
      </c>
    </row>
    <row r="2954" spans="1:28" ht="12.75">
      <c r="A2954" s="9" t="s">
        <v>1120</v>
      </c>
      <c r="B2954" s="10"/>
      <c r="C2954" s="11"/>
      <c r="D2954" s="49">
        <v>51</v>
      </c>
      <c r="E2954" s="13">
        <v>1041204</v>
      </c>
      <c r="F2954" s="13">
        <v>3025460</v>
      </c>
      <c r="G2954" s="14">
        <v>13642</v>
      </c>
      <c r="H2954" s="57">
        <f>8774-8750</f>
        <v>24</v>
      </c>
      <c r="I2954" s="16">
        <f t="shared" si="423"/>
        <v>327408</v>
      </c>
      <c r="J2954" s="17">
        <v>0</v>
      </c>
      <c r="K2954" s="34">
        <v>4502473615</v>
      </c>
      <c r="L2954" s="126">
        <v>5085129519</v>
      </c>
      <c r="M2954" s="20">
        <v>5113871536</v>
      </c>
      <c r="N2954" s="128"/>
      <c r="O2954" s="23"/>
      <c r="P2954" s="23"/>
      <c r="Q2954" s="24" t="s">
        <v>82</v>
      </c>
      <c r="R2954" s="25">
        <v>44911</v>
      </c>
      <c r="S2954" s="28"/>
      <c r="T2954" s="35"/>
      <c r="U2954" s="35"/>
      <c r="V2954" s="29"/>
      <c r="W2954" s="35"/>
      <c r="X2954" s="29"/>
      <c r="Y2954" s="36"/>
      <c r="Z2954" s="29"/>
      <c r="AA2954" s="31">
        <f t="shared" si="1"/>
        <v>44911</v>
      </c>
      <c r="AB2954" s="32" t="str">
        <f t="shared" si="5"/>
        <v>diciembre</v>
      </c>
    </row>
    <row r="2955" spans="1:28" ht="12.75">
      <c r="A2955" s="9" t="s">
        <v>83</v>
      </c>
      <c r="B2955" s="10">
        <v>44911</v>
      </c>
      <c r="C2955" s="11">
        <v>44915</v>
      </c>
      <c r="D2955" s="49">
        <v>51</v>
      </c>
      <c r="E2955" s="13" t="s">
        <v>3349</v>
      </c>
      <c r="F2955" s="13">
        <v>3025460</v>
      </c>
      <c r="G2955" s="14">
        <v>25300</v>
      </c>
      <c r="H2955" s="57">
        <v>8800</v>
      </c>
      <c r="I2955" s="16">
        <f t="shared" si="423"/>
        <v>222640000</v>
      </c>
      <c r="J2955" s="17">
        <v>56</v>
      </c>
      <c r="K2955" s="34">
        <v>4502473650</v>
      </c>
      <c r="L2955" s="126">
        <v>5085129852</v>
      </c>
      <c r="M2955" s="20">
        <v>5113817909</v>
      </c>
      <c r="N2955" s="128"/>
      <c r="O2955" s="22" t="s">
        <v>37</v>
      </c>
      <c r="P2955" s="23"/>
      <c r="Q2955" s="24" t="s">
        <v>82</v>
      </c>
      <c r="R2955" s="25">
        <v>44911</v>
      </c>
      <c r="S2955" s="28"/>
      <c r="T2955" s="35"/>
      <c r="U2955" s="35"/>
      <c r="V2955" s="29"/>
      <c r="W2955" s="35"/>
      <c r="X2955" s="29"/>
      <c r="Y2955" s="36"/>
      <c r="Z2955" s="29"/>
      <c r="AA2955" s="31">
        <f t="shared" si="1"/>
        <v>44911</v>
      </c>
      <c r="AB2955" s="32" t="str">
        <f t="shared" si="5"/>
        <v>diciembre</v>
      </c>
    </row>
    <row r="2956" spans="1:28" ht="12.75">
      <c r="A2956" s="22" t="s">
        <v>199</v>
      </c>
      <c r="B2956" s="10">
        <v>44881</v>
      </c>
      <c r="C2956" s="11">
        <v>44915</v>
      </c>
      <c r="D2956" s="49">
        <v>51</v>
      </c>
      <c r="E2956" s="13" t="s">
        <v>3350</v>
      </c>
      <c r="F2956" s="13">
        <v>3025460</v>
      </c>
      <c r="G2956" s="14">
        <v>14297</v>
      </c>
      <c r="H2956" s="57">
        <v>8800</v>
      </c>
      <c r="I2956" s="16">
        <f t="shared" si="423"/>
        <v>125813600</v>
      </c>
      <c r="J2956" s="17">
        <v>28</v>
      </c>
      <c r="K2956" s="34">
        <v>4502473660</v>
      </c>
      <c r="L2956" s="126">
        <v>5085130003</v>
      </c>
      <c r="M2956" s="20">
        <v>5113815847</v>
      </c>
      <c r="N2956" s="128"/>
      <c r="O2956" s="23" t="s">
        <v>63</v>
      </c>
      <c r="P2956" s="23"/>
      <c r="Q2956" s="24" t="s">
        <v>82</v>
      </c>
      <c r="R2956" s="25">
        <v>44911</v>
      </c>
      <c r="S2956" s="28"/>
      <c r="T2956" s="35"/>
      <c r="U2956" s="35"/>
      <c r="V2956" s="29"/>
      <c r="W2956" s="35"/>
      <c r="X2956" s="29"/>
      <c r="Y2956" s="36"/>
      <c r="Z2956" s="29"/>
      <c r="AA2956" s="31">
        <f t="shared" si="1"/>
        <v>44911</v>
      </c>
      <c r="AB2956" s="32" t="str">
        <f t="shared" si="5"/>
        <v>diciembre</v>
      </c>
    </row>
    <row r="2957" spans="1:28" ht="12.75">
      <c r="A2957" s="9" t="s">
        <v>213</v>
      </c>
      <c r="B2957" s="10">
        <v>44915</v>
      </c>
      <c r="C2957" s="11"/>
      <c r="D2957" s="49">
        <v>51</v>
      </c>
      <c r="E2957" s="13" t="s">
        <v>3351</v>
      </c>
      <c r="F2957" s="13">
        <v>3025457</v>
      </c>
      <c r="G2957" s="14">
        <v>19462.5</v>
      </c>
      <c r="H2957" s="33">
        <v>8750</v>
      </c>
      <c r="I2957" s="16">
        <f t="shared" si="423"/>
        <v>170296875</v>
      </c>
      <c r="J2957" s="17">
        <v>42</v>
      </c>
      <c r="K2957" s="34">
        <v>4502470560</v>
      </c>
      <c r="L2957" s="126">
        <v>5085105310</v>
      </c>
      <c r="M2957" s="20">
        <v>5113819846</v>
      </c>
      <c r="N2957" s="128"/>
      <c r="O2957" s="9" t="s">
        <v>37</v>
      </c>
      <c r="P2957" s="23"/>
      <c r="Q2957" s="24" t="s">
        <v>31</v>
      </c>
      <c r="R2957" s="25">
        <v>44912</v>
      </c>
      <c r="S2957" s="28"/>
      <c r="T2957" s="35"/>
      <c r="U2957" s="35"/>
      <c r="V2957" s="29"/>
      <c r="W2957" s="35"/>
      <c r="X2957" s="29"/>
      <c r="Y2957" s="36"/>
      <c r="Z2957" s="29"/>
      <c r="AA2957" s="31">
        <f t="shared" si="1"/>
        <v>44912</v>
      </c>
      <c r="AB2957" s="32" t="str">
        <f t="shared" si="5"/>
        <v>diciembre</v>
      </c>
    </row>
    <row r="2958" spans="1:28" ht="12.75">
      <c r="A2958" s="9" t="s">
        <v>213</v>
      </c>
      <c r="B2958" s="10">
        <v>44915</v>
      </c>
      <c r="C2958" s="11"/>
      <c r="D2958" s="49">
        <v>51</v>
      </c>
      <c r="E2958" s="13" t="s">
        <v>60</v>
      </c>
      <c r="F2958" s="13">
        <v>3025457</v>
      </c>
      <c r="G2958" s="14">
        <v>19462.5</v>
      </c>
      <c r="H2958" s="33">
        <f>8750-8748.24</f>
        <v>1.7600000000002183</v>
      </c>
      <c r="I2958" s="16">
        <f>-H2958*G2958</f>
        <v>-34254.000000004249</v>
      </c>
      <c r="J2958" s="17">
        <v>0</v>
      </c>
      <c r="K2958" s="34">
        <v>4502470560</v>
      </c>
      <c r="L2958" s="126">
        <v>5085105310</v>
      </c>
      <c r="M2958" s="20">
        <v>5113819887</v>
      </c>
      <c r="N2958" s="128"/>
      <c r="P2958" s="23"/>
      <c r="Q2958" s="24" t="s">
        <v>31</v>
      </c>
      <c r="R2958" s="25">
        <v>44912</v>
      </c>
      <c r="S2958" s="28"/>
      <c r="T2958" s="35"/>
      <c r="U2958" s="35"/>
      <c r="V2958" s="29"/>
      <c r="W2958" s="35"/>
      <c r="X2958" s="29"/>
      <c r="Y2958" s="36"/>
      <c r="Z2958" s="29"/>
      <c r="AA2958" s="31">
        <f t="shared" si="1"/>
        <v>44912</v>
      </c>
      <c r="AB2958" s="32" t="str">
        <f t="shared" si="5"/>
        <v>diciembre</v>
      </c>
    </row>
    <row r="2959" spans="1:28" ht="12.75">
      <c r="A2959" s="22" t="s">
        <v>404</v>
      </c>
      <c r="B2959" s="10">
        <v>44912</v>
      </c>
      <c r="C2959" s="11">
        <v>44914</v>
      </c>
      <c r="D2959" s="49">
        <v>51</v>
      </c>
      <c r="E2959" s="13" t="s">
        <v>3352</v>
      </c>
      <c r="F2959" s="13">
        <v>3025457</v>
      </c>
      <c r="G2959" s="14">
        <v>13580</v>
      </c>
      <c r="H2959" s="33">
        <v>9100</v>
      </c>
      <c r="I2959" s="16">
        <f>H2959*G2959</f>
        <v>123578000</v>
      </c>
      <c r="J2959" s="17">
        <v>28</v>
      </c>
      <c r="K2959" s="34">
        <v>4502470561</v>
      </c>
      <c r="L2959" s="126">
        <v>5085105311</v>
      </c>
      <c r="M2959" s="20">
        <v>5113819805</v>
      </c>
      <c r="N2959" s="128"/>
      <c r="O2959" s="88" t="s">
        <v>37</v>
      </c>
      <c r="P2959" s="23"/>
      <c r="Q2959" s="24" t="s">
        <v>31</v>
      </c>
      <c r="R2959" s="25">
        <v>44912</v>
      </c>
      <c r="S2959" s="28"/>
      <c r="T2959" s="35"/>
      <c r="U2959" s="35"/>
      <c r="V2959" s="29"/>
      <c r="W2959" s="35"/>
      <c r="X2959" s="29"/>
      <c r="Y2959" s="36"/>
      <c r="Z2959" s="29"/>
      <c r="AA2959" s="31">
        <f t="shared" si="1"/>
        <v>44912</v>
      </c>
      <c r="AB2959" s="32" t="str">
        <f t="shared" si="5"/>
        <v>diciembre</v>
      </c>
    </row>
    <row r="2960" spans="1:28" ht="12.75">
      <c r="A2960" s="22" t="s">
        <v>404</v>
      </c>
      <c r="B2960" s="10">
        <v>44914</v>
      </c>
      <c r="C2960" s="11">
        <v>44914</v>
      </c>
      <c r="D2960" s="49">
        <v>51</v>
      </c>
      <c r="E2960" s="13" t="s">
        <v>970</v>
      </c>
      <c r="F2960" s="13">
        <v>3025457</v>
      </c>
      <c r="G2960" s="14">
        <v>13580</v>
      </c>
      <c r="H2960" s="33">
        <f>9100-8860.81</f>
        <v>239.19000000000051</v>
      </c>
      <c r="I2960" s="16">
        <f>-H2960*G2960</f>
        <v>-3248200.2000000067</v>
      </c>
      <c r="J2960" s="17">
        <v>0</v>
      </c>
      <c r="K2960" s="34">
        <v>4502470561</v>
      </c>
      <c r="L2960" s="126">
        <v>5085105311</v>
      </c>
      <c r="M2960" s="20">
        <v>5113819837</v>
      </c>
      <c r="N2960" s="128"/>
      <c r="O2960" s="23"/>
      <c r="P2960" s="23"/>
      <c r="Q2960" s="24" t="s">
        <v>31</v>
      </c>
      <c r="R2960" s="25">
        <v>44912</v>
      </c>
      <c r="S2960" s="28"/>
      <c r="T2960" s="35"/>
      <c r="U2960" s="35"/>
      <c r="V2960" s="29"/>
      <c r="W2960" s="35"/>
      <c r="X2960" s="29"/>
      <c r="Y2960" s="36"/>
      <c r="Z2960" s="29"/>
      <c r="AA2960" s="31">
        <f t="shared" si="1"/>
        <v>44912</v>
      </c>
      <c r="AB2960" s="32" t="str">
        <f t="shared" si="5"/>
        <v>diciembre</v>
      </c>
    </row>
    <row r="2961" spans="1:28" ht="12.75">
      <c r="A2961" s="9" t="s">
        <v>28</v>
      </c>
      <c r="B2961" s="10">
        <v>44914</v>
      </c>
      <c r="C2961" s="11">
        <v>44914</v>
      </c>
      <c r="D2961" s="49">
        <v>51</v>
      </c>
      <c r="E2961" s="13" t="s">
        <v>3353</v>
      </c>
      <c r="F2961" s="13">
        <v>3025457</v>
      </c>
      <c r="G2961" s="14">
        <v>69722</v>
      </c>
      <c r="H2961" s="15">
        <v>8300</v>
      </c>
      <c r="I2961" s="16">
        <f t="shared" ref="I2961:I2962" si="424">H2961*G2961</f>
        <v>578692600</v>
      </c>
      <c r="J2961" s="17">
        <v>140</v>
      </c>
      <c r="K2961" s="34">
        <v>4502473262</v>
      </c>
      <c r="L2961" s="126">
        <v>5085118273</v>
      </c>
      <c r="M2961" s="20">
        <v>5113819841</v>
      </c>
      <c r="N2961" s="23" t="s">
        <v>37</v>
      </c>
      <c r="O2961" s="170" t="s">
        <v>3354</v>
      </c>
      <c r="P2961" s="23"/>
      <c r="Q2961" s="24" t="s">
        <v>31</v>
      </c>
      <c r="R2961" s="25">
        <v>44912</v>
      </c>
      <c r="S2961" s="28">
        <v>4902408528</v>
      </c>
      <c r="T2961" s="35">
        <f>2982600*10</f>
        <v>29826000</v>
      </c>
      <c r="U2961" s="28" t="s">
        <v>3355</v>
      </c>
      <c r="V2961" s="29">
        <v>5113814812</v>
      </c>
      <c r="W2961" s="35"/>
      <c r="X2961" s="29"/>
      <c r="Y2961" s="36"/>
      <c r="Z2961" s="29"/>
      <c r="AA2961" s="31">
        <f t="shared" si="1"/>
        <v>44912</v>
      </c>
      <c r="AB2961" s="32" t="str">
        <f t="shared" si="5"/>
        <v>diciembre</v>
      </c>
    </row>
    <row r="2962" spans="1:28" ht="12.75">
      <c r="A2962" s="9" t="s">
        <v>58</v>
      </c>
      <c r="B2962" s="10">
        <v>44914</v>
      </c>
      <c r="C2962" s="11">
        <v>44914</v>
      </c>
      <c r="D2962" s="49">
        <v>51</v>
      </c>
      <c r="E2962" s="13" t="s">
        <v>3356</v>
      </c>
      <c r="F2962" s="13">
        <v>3025457</v>
      </c>
      <c r="G2962" s="14">
        <v>20541.5</v>
      </c>
      <c r="H2962" s="33">
        <v>9200</v>
      </c>
      <c r="I2962" s="16">
        <f t="shared" si="424"/>
        <v>188981800</v>
      </c>
      <c r="J2962" s="17">
        <v>45</v>
      </c>
      <c r="K2962" s="34">
        <v>4502470562</v>
      </c>
      <c r="L2962" s="126">
        <v>5085105312</v>
      </c>
      <c r="M2962" s="20">
        <v>5113826056</v>
      </c>
      <c r="N2962" s="128"/>
      <c r="O2962" s="9" t="s">
        <v>37</v>
      </c>
      <c r="P2962" s="23"/>
      <c r="Q2962" s="24" t="s">
        <v>31</v>
      </c>
      <c r="R2962" s="25">
        <v>44912</v>
      </c>
      <c r="S2962" s="28"/>
      <c r="T2962" s="35"/>
      <c r="U2962" s="35"/>
      <c r="V2962" s="29"/>
      <c r="W2962" s="35"/>
      <c r="X2962" s="29"/>
      <c r="Y2962" s="36"/>
      <c r="Z2962" s="29"/>
      <c r="AA2962" s="31">
        <f t="shared" si="1"/>
        <v>44912</v>
      </c>
      <c r="AB2962" s="32" t="str">
        <f t="shared" si="5"/>
        <v>diciembre</v>
      </c>
    </row>
    <row r="2963" spans="1:28" ht="12.75">
      <c r="A2963" s="9" t="s">
        <v>58</v>
      </c>
      <c r="B2963" s="10">
        <v>44914</v>
      </c>
      <c r="C2963" s="11">
        <v>44914</v>
      </c>
      <c r="D2963" s="49">
        <v>51</v>
      </c>
      <c r="E2963" s="13" t="s">
        <v>3357</v>
      </c>
      <c r="F2963" s="13">
        <v>3025457</v>
      </c>
      <c r="G2963" s="14">
        <v>20541.5</v>
      </c>
      <c r="H2963" s="33">
        <f>9200-9183.38</f>
        <v>16.6200000000008</v>
      </c>
      <c r="I2963" s="16">
        <f>-H2963*G2963</f>
        <v>-341399.73000001645</v>
      </c>
      <c r="J2963" s="17">
        <v>0</v>
      </c>
      <c r="K2963" s="34">
        <v>4502470562</v>
      </c>
      <c r="L2963" s="126">
        <v>5085105312</v>
      </c>
      <c r="M2963" s="20">
        <v>5113826139</v>
      </c>
      <c r="N2963" s="128"/>
      <c r="O2963" s="23"/>
      <c r="P2963" s="23"/>
      <c r="Q2963" s="24" t="s">
        <v>31</v>
      </c>
      <c r="R2963" s="25">
        <v>44912</v>
      </c>
      <c r="S2963" s="28"/>
      <c r="T2963" s="35"/>
      <c r="U2963" s="35"/>
      <c r="V2963" s="29"/>
      <c r="W2963" s="35"/>
      <c r="X2963" s="29"/>
      <c r="Y2963" s="36"/>
      <c r="Z2963" s="29"/>
      <c r="AA2963" s="31">
        <f t="shared" si="1"/>
        <v>44912</v>
      </c>
      <c r="AB2963" s="32" t="str">
        <f t="shared" si="5"/>
        <v>diciembre</v>
      </c>
    </row>
    <row r="2964" spans="1:28" ht="12.75">
      <c r="A2964" s="9" t="s">
        <v>58</v>
      </c>
      <c r="B2964" s="10">
        <v>44916</v>
      </c>
      <c r="C2964" s="11">
        <v>44916</v>
      </c>
      <c r="D2964" s="49">
        <v>51</v>
      </c>
      <c r="E2964" s="13" t="s">
        <v>3358</v>
      </c>
      <c r="F2964" s="13">
        <v>3025457</v>
      </c>
      <c r="G2964" s="14">
        <v>13857</v>
      </c>
      <c r="H2964" s="33">
        <v>9200</v>
      </c>
      <c r="I2964" s="16">
        <f t="shared" ref="I2964:I2965" si="425">H2964*G2964</f>
        <v>127484400</v>
      </c>
      <c r="J2964" s="17">
        <v>32</v>
      </c>
      <c r="K2964" s="34">
        <v>4502470563</v>
      </c>
      <c r="L2964" s="126">
        <v>5085118453</v>
      </c>
      <c r="M2964" s="20">
        <v>5113821850</v>
      </c>
      <c r="N2964" s="128"/>
      <c r="O2964" s="9" t="s">
        <v>37</v>
      </c>
      <c r="P2964" s="23"/>
      <c r="Q2964" s="24" t="s">
        <v>31</v>
      </c>
      <c r="R2964" s="25">
        <v>44913</v>
      </c>
      <c r="S2964" s="28"/>
      <c r="T2964" s="35"/>
      <c r="U2964" s="35"/>
      <c r="V2964" s="29"/>
      <c r="W2964" s="35"/>
      <c r="X2964" s="29"/>
      <c r="Y2964" s="36"/>
      <c r="Z2964" s="29"/>
      <c r="AA2964" s="31">
        <f t="shared" si="1"/>
        <v>44913</v>
      </c>
      <c r="AB2964" s="32" t="str">
        <f t="shared" si="5"/>
        <v>diciembre</v>
      </c>
    </row>
    <row r="2965" spans="1:28" ht="12.75">
      <c r="A2965" s="9" t="s">
        <v>58</v>
      </c>
      <c r="B2965" s="10">
        <v>44916</v>
      </c>
      <c r="C2965" s="11">
        <v>44916</v>
      </c>
      <c r="D2965" s="60">
        <v>51</v>
      </c>
      <c r="E2965" s="61" t="s">
        <v>3359</v>
      </c>
      <c r="F2965" s="63">
        <v>3025457</v>
      </c>
      <c r="G2965" s="14">
        <v>20814</v>
      </c>
      <c r="H2965" s="63">
        <v>9200</v>
      </c>
      <c r="I2965" s="16">
        <f t="shared" si="425"/>
        <v>191488800</v>
      </c>
      <c r="J2965" s="73">
        <v>45</v>
      </c>
      <c r="K2965" s="135">
        <v>4502470563</v>
      </c>
      <c r="L2965" s="126">
        <v>5085118453</v>
      </c>
      <c r="M2965" s="20">
        <v>5113821851</v>
      </c>
      <c r="N2965" s="128"/>
      <c r="O2965" s="9" t="s">
        <v>37</v>
      </c>
      <c r="P2965" s="68"/>
      <c r="Q2965" s="129" t="s">
        <v>31</v>
      </c>
      <c r="R2965" s="74">
        <v>44913</v>
      </c>
      <c r="S2965" s="75"/>
      <c r="T2965" s="69"/>
      <c r="U2965" s="70"/>
      <c r="V2965" s="68"/>
      <c r="W2965" s="70"/>
      <c r="X2965" s="68"/>
      <c r="Y2965" s="71"/>
      <c r="Z2965" s="68"/>
      <c r="AA2965" s="130">
        <f t="shared" si="1"/>
        <v>44913</v>
      </c>
      <c r="AB2965" s="131" t="str">
        <f t="shared" si="5"/>
        <v>diciembre</v>
      </c>
    </row>
    <row r="2966" spans="1:28" ht="12.75">
      <c r="A2966" s="9" t="s">
        <v>58</v>
      </c>
      <c r="B2966" s="10">
        <v>44916</v>
      </c>
      <c r="C2966" s="11">
        <v>44916</v>
      </c>
      <c r="D2966" s="49">
        <v>51</v>
      </c>
      <c r="E2966" s="13" t="s">
        <v>3360</v>
      </c>
      <c r="F2966" s="13">
        <v>3025457</v>
      </c>
      <c r="G2966" s="14">
        <v>20814</v>
      </c>
      <c r="H2966" s="33">
        <f>9200-9143.21</f>
        <v>56.790000000000873</v>
      </c>
      <c r="I2966" s="16">
        <f>-H2966*G2966</f>
        <v>-1182027.0600000182</v>
      </c>
      <c r="J2966" s="17">
        <v>0</v>
      </c>
      <c r="K2966" s="34">
        <v>4502470563</v>
      </c>
      <c r="L2966" s="126">
        <v>5085118453</v>
      </c>
      <c r="M2966" s="20">
        <v>5113821855</v>
      </c>
      <c r="N2966" s="128"/>
      <c r="O2966" s="23"/>
      <c r="P2966" s="23"/>
      <c r="Q2966" s="24" t="s">
        <v>31</v>
      </c>
      <c r="R2966" s="25">
        <v>44913</v>
      </c>
      <c r="S2966" s="28"/>
      <c r="T2966" s="35"/>
      <c r="U2966" s="35"/>
      <c r="V2966" s="29"/>
      <c r="W2966" s="35"/>
      <c r="X2966" s="29"/>
      <c r="Y2966" s="36"/>
      <c r="Z2966" s="29"/>
      <c r="AA2966" s="31">
        <f t="shared" si="1"/>
        <v>44913</v>
      </c>
      <c r="AB2966" s="32" t="str">
        <f t="shared" si="5"/>
        <v>diciembre</v>
      </c>
    </row>
    <row r="2967" spans="1:28" ht="12.75">
      <c r="A2967" s="9" t="s">
        <v>80</v>
      </c>
      <c r="B2967" s="10">
        <v>44913</v>
      </c>
      <c r="C2967" s="11">
        <v>44915</v>
      </c>
      <c r="D2967" s="49">
        <v>51</v>
      </c>
      <c r="E2967" s="13" t="s">
        <v>3361</v>
      </c>
      <c r="F2967" s="13">
        <v>3025459</v>
      </c>
      <c r="G2967" s="14">
        <v>19390</v>
      </c>
      <c r="H2967" s="15">
        <v>8500</v>
      </c>
      <c r="I2967" s="16">
        <f t="shared" ref="I2967:I2969" si="426">H2967*G2967</f>
        <v>164815000</v>
      </c>
      <c r="J2967" s="17">
        <v>42</v>
      </c>
      <c r="K2967" s="34">
        <v>4502473264</v>
      </c>
      <c r="L2967" s="126">
        <v>5085118274</v>
      </c>
      <c r="M2967" s="20">
        <v>5113828237</v>
      </c>
      <c r="N2967" s="128" t="s">
        <v>37</v>
      </c>
      <c r="O2967" s="171" t="s">
        <v>272</v>
      </c>
      <c r="P2967" s="23"/>
      <c r="Q2967" s="24" t="s">
        <v>31</v>
      </c>
      <c r="R2967" s="25">
        <v>44913</v>
      </c>
      <c r="S2967" s="28">
        <v>4902408530</v>
      </c>
      <c r="T2967" s="35">
        <f>1793900*3</f>
        <v>5381700</v>
      </c>
      <c r="U2967" s="28" t="s">
        <v>3362</v>
      </c>
      <c r="V2967" s="29">
        <v>5113816817</v>
      </c>
      <c r="W2967" s="35"/>
      <c r="X2967" s="29"/>
      <c r="Y2967" s="36"/>
      <c r="Z2967" s="29"/>
      <c r="AA2967" s="31">
        <f t="shared" si="1"/>
        <v>44913</v>
      </c>
      <c r="AB2967" s="32" t="str">
        <f t="shared" si="5"/>
        <v>diciembre</v>
      </c>
    </row>
    <row r="2968" spans="1:28" ht="12.75">
      <c r="A2968" s="9" t="s">
        <v>80</v>
      </c>
      <c r="B2968" s="10">
        <v>44913</v>
      </c>
      <c r="C2968" s="11">
        <v>44915</v>
      </c>
      <c r="D2968" s="49">
        <v>51</v>
      </c>
      <c r="E2968" s="13">
        <v>16</v>
      </c>
      <c r="F2968" s="13">
        <v>3025459</v>
      </c>
      <c r="G2968" s="14">
        <v>19390</v>
      </c>
      <c r="H2968" s="15">
        <v>24</v>
      </c>
      <c r="I2968" s="16">
        <f t="shared" si="426"/>
        <v>465360</v>
      </c>
      <c r="J2968" s="17">
        <v>0</v>
      </c>
      <c r="K2968" s="34">
        <v>4502473264</v>
      </c>
      <c r="L2968" s="126">
        <v>5085118274</v>
      </c>
      <c r="M2968" s="20">
        <v>5113828241</v>
      </c>
      <c r="N2968" s="128"/>
      <c r="O2968" s="23"/>
      <c r="P2968" s="23"/>
      <c r="Q2968" s="24" t="s">
        <v>31</v>
      </c>
      <c r="R2968" s="25">
        <v>44913</v>
      </c>
      <c r="S2968" s="28"/>
      <c r="T2968" s="35"/>
      <c r="U2968" s="35"/>
      <c r="V2968" s="29"/>
      <c r="W2968" s="35"/>
      <c r="X2968" s="29"/>
      <c r="Y2968" s="36"/>
      <c r="Z2968" s="29"/>
      <c r="AA2968" s="31">
        <f t="shared" si="1"/>
        <v>44913</v>
      </c>
      <c r="AB2968" s="32" t="str">
        <f t="shared" si="5"/>
        <v>diciembre</v>
      </c>
    </row>
    <row r="2969" spans="1:28" ht="12.75">
      <c r="A2969" s="22" t="s">
        <v>404</v>
      </c>
      <c r="B2969" s="10">
        <v>44912</v>
      </c>
      <c r="C2969" s="11">
        <v>44915</v>
      </c>
      <c r="D2969" s="49">
        <v>51</v>
      </c>
      <c r="E2969" s="13" t="s">
        <v>3363</v>
      </c>
      <c r="F2969" s="13">
        <v>3025459</v>
      </c>
      <c r="G2969" s="14">
        <v>14736</v>
      </c>
      <c r="H2969" s="33">
        <v>9100</v>
      </c>
      <c r="I2969" s="16">
        <f t="shared" si="426"/>
        <v>134097600</v>
      </c>
      <c r="J2969" s="17">
        <v>30</v>
      </c>
      <c r="K2969" s="34">
        <v>4502470564</v>
      </c>
      <c r="L2969" s="126">
        <v>5085116445</v>
      </c>
      <c r="M2969" s="20">
        <v>5113821923</v>
      </c>
      <c r="N2969" s="128"/>
      <c r="O2969" s="88" t="s">
        <v>37</v>
      </c>
      <c r="P2969" s="23"/>
      <c r="Q2969" s="24" t="s">
        <v>31</v>
      </c>
      <c r="R2969" s="25">
        <v>44913</v>
      </c>
      <c r="S2969" s="28"/>
      <c r="T2969" s="35"/>
      <c r="U2969" s="35"/>
      <c r="V2969" s="29"/>
      <c r="W2969" s="35"/>
      <c r="X2969" s="29"/>
      <c r="Y2969" s="36"/>
      <c r="Z2969" s="29"/>
      <c r="AA2969" s="31">
        <f t="shared" si="1"/>
        <v>44913</v>
      </c>
      <c r="AB2969" s="32" t="str">
        <f t="shared" si="5"/>
        <v>diciembre</v>
      </c>
    </row>
    <row r="2970" spans="1:28" ht="12.75">
      <c r="A2970" s="22" t="s">
        <v>404</v>
      </c>
      <c r="B2970" s="10">
        <v>44915</v>
      </c>
      <c r="C2970" s="11">
        <v>44915</v>
      </c>
      <c r="D2970" s="49">
        <v>51</v>
      </c>
      <c r="E2970" s="13" t="s">
        <v>967</v>
      </c>
      <c r="F2970" s="13">
        <v>3025459</v>
      </c>
      <c r="G2970" s="14">
        <v>14736</v>
      </c>
      <c r="H2970" s="33">
        <v>150</v>
      </c>
      <c r="I2970" s="16">
        <f>-H2970*G2970</f>
        <v>-2210400</v>
      </c>
      <c r="J2970" s="17">
        <v>0</v>
      </c>
      <c r="K2970" s="34">
        <v>4502470564</v>
      </c>
      <c r="L2970" s="126">
        <v>5085116445</v>
      </c>
      <c r="M2970" s="20">
        <v>5113821924</v>
      </c>
      <c r="N2970" s="128"/>
      <c r="O2970" s="23"/>
      <c r="P2970" s="23"/>
      <c r="Q2970" s="24" t="s">
        <v>31</v>
      </c>
      <c r="R2970" s="25">
        <v>44913</v>
      </c>
      <c r="S2970" s="28"/>
      <c r="T2970" s="35"/>
      <c r="U2970" s="35"/>
      <c r="V2970" s="29"/>
      <c r="W2970" s="35"/>
      <c r="X2970" s="29"/>
      <c r="Y2970" s="36"/>
      <c r="Z2970" s="29"/>
      <c r="AA2970" s="31">
        <f t="shared" si="1"/>
        <v>44913</v>
      </c>
      <c r="AB2970" s="32" t="str">
        <f t="shared" si="5"/>
        <v>diciembre</v>
      </c>
    </row>
    <row r="2971" spans="1:28" ht="12.75">
      <c r="A2971" s="22" t="s">
        <v>2675</v>
      </c>
      <c r="B2971" s="10">
        <v>44913</v>
      </c>
      <c r="C2971" s="11">
        <v>44916</v>
      </c>
      <c r="D2971" s="49">
        <v>51</v>
      </c>
      <c r="E2971" s="13" t="s">
        <v>3364</v>
      </c>
      <c r="F2971" s="13">
        <v>3025460</v>
      </c>
      <c r="G2971" s="14">
        <v>6439</v>
      </c>
      <c r="H2971" s="57">
        <v>8800</v>
      </c>
      <c r="I2971" s="16">
        <f t="shared" ref="I2971:I2976" si="427">H2971*G2971</f>
        <v>56663200</v>
      </c>
      <c r="J2971" s="17">
        <v>14</v>
      </c>
      <c r="K2971" s="34">
        <v>4502474582</v>
      </c>
      <c r="L2971" s="126">
        <v>5085148689</v>
      </c>
      <c r="M2971" s="20">
        <v>5113819889</v>
      </c>
      <c r="N2971" s="128"/>
      <c r="O2971" s="9" t="s">
        <v>63</v>
      </c>
      <c r="P2971" s="23"/>
      <c r="Q2971" s="24" t="s">
        <v>82</v>
      </c>
      <c r="R2971" s="25">
        <v>44913</v>
      </c>
      <c r="S2971" s="28"/>
      <c r="T2971" s="35"/>
      <c r="U2971" s="35"/>
      <c r="V2971" s="29"/>
      <c r="W2971" s="35"/>
      <c r="X2971" s="29"/>
      <c r="Y2971" s="36"/>
      <c r="Z2971" s="29"/>
      <c r="AA2971" s="31">
        <f t="shared" si="1"/>
        <v>44913</v>
      </c>
      <c r="AB2971" s="32" t="str">
        <f t="shared" si="5"/>
        <v>diciembre</v>
      </c>
    </row>
    <row r="2972" spans="1:28" ht="12.75">
      <c r="A2972" s="9" t="s">
        <v>443</v>
      </c>
      <c r="B2972" s="10">
        <v>44913</v>
      </c>
      <c r="C2972" s="11"/>
      <c r="D2972" s="49">
        <v>51</v>
      </c>
      <c r="E2972" s="13" t="s">
        <v>3365</v>
      </c>
      <c r="F2972" s="13">
        <v>3025460</v>
      </c>
      <c r="G2972" s="14">
        <v>14751</v>
      </c>
      <c r="H2972" s="57">
        <v>8750</v>
      </c>
      <c r="I2972" s="16">
        <f t="shared" si="427"/>
        <v>129071250</v>
      </c>
      <c r="J2972" s="17">
        <v>28</v>
      </c>
      <c r="K2972" s="34">
        <v>4502474585</v>
      </c>
      <c r="L2972" s="126">
        <v>5085148694</v>
      </c>
      <c r="M2972" s="20">
        <v>5113828263</v>
      </c>
      <c r="N2972" s="128"/>
      <c r="O2972" s="9" t="s">
        <v>63</v>
      </c>
      <c r="P2972" s="23"/>
      <c r="Q2972" s="24" t="s">
        <v>82</v>
      </c>
      <c r="R2972" s="25">
        <v>44913</v>
      </c>
      <c r="S2972" s="28"/>
      <c r="T2972" s="35"/>
      <c r="U2972" s="35"/>
      <c r="V2972" s="29"/>
      <c r="W2972" s="35"/>
      <c r="X2972" s="29"/>
      <c r="Y2972" s="36"/>
      <c r="Z2972" s="29"/>
      <c r="AA2972" s="31">
        <f t="shared" si="1"/>
        <v>44913</v>
      </c>
      <c r="AB2972" s="32" t="str">
        <f t="shared" si="5"/>
        <v>diciembre</v>
      </c>
    </row>
    <row r="2973" spans="1:28" ht="12.75">
      <c r="A2973" s="9" t="s">
        <v>94</v>
      </c>
      <c r="B2973" s="10">
        <v>44917</v>
      </c>
      <c r="C2973" s="11"/>
      <c r="D2973" s="49">
        <v>51</v>
      </c>
      <c r="E2973" s="13" t="s">
        <v>3366</v>
      </c>
      <c r="F2973" s="13">
        <v>3025460</v>
      </c>
      <c r="G2973" s="14">
        <v>12525</v>
      </c>
      <c r="H2973" s="57">
        <v>8643.7000000000007</v>
      </c>
      <c r="I2973" s="16">
        <f t="shared" si="427"/>
        <v>108262342.50000001</v>
      </c>
      <c r="J2973" s="17">
        <v>30</v>
      </c>
      <c r="K2973" s="34">
        <v>4502474587</v>
      </c>
      <c r="L2973" s="126">
        <v>5085148781</v>
      </c>
      <c r="M2973" s="20">
        <v>5113824110</v>
      </c>
      <c r="N2973" s="128"/>
      <c r="O2973" s="9" t="s">
        <v>63</v>
      </c>
      <c r="P2973" s="23"/>
      <c r="Q2973" s="24" t="s">
        <v>82</v>
      </c>
      <c r="R2973" s="25">
        <v>44913</v>
      </c>
      <c r="S2973" s="28"/>
      <c r="T2973" s="35"/>
      <c r="U2973" s="35"/>
      <c r="V2973" s="29"/>
      <c r="W2973" s="35"/>
      <c r="X2973" s="29"/>
      <c r="Y2973" s="36"/>
      <c r="Z2973" s="29"/>
      <c r="AA2973" s="31">
        <f t="shared" si="1"/>
        <v>44913</v>
      </c>
      <c r="AB2973" s="32" t="str">
        <f t="shared" si="5"/>
        <v>diciembre</v>
      </c>
    </row>
    <row r="2974" spans="1:28" ht="12.75">
      <c r="A2974" s="9" t="s">
        <v>94</v>
      </c>
      <c r="B2974" s="10">
        <v>44917</v>
      </c>
      <c r="C2974" s="11"/>
      <c r="D2974" s="49">
        <v>51</v>
      </c>
      <c r="E2974" s="13" t="s">
        <v>3367</v>
      </c>
      <c r="F2974" s="13">
        <v>3025460</v>
      </c>
      <c r="G2974" s="14">
        <v>12525</v>
      </c>
      <c r="H2974" s="57">
        <v>24</v>
      </c>
      <c r="I2974" s="16">
        <f t="shared" si="427"/>
        <v>300600</v>
      </c>
      <c r="J2974" s="17">
        <v>0</v>
      </c>
      <c r="K2974" s="34">
        <v>4502474587</v>
      </c>
      <c r="L2974" s="126">
        <v>5085148781</v>
      </c>
      <c r="M2974" s="20">
        <v>5113824112</v>
      </c>
      <c r="N2974" s="128"/>
      <c r="O2974" s="23"/>
      <c r="P2974" s="23"/>
      <c r="Q2974" s="24" t="s">
        <v>82</v>
      </c>
      <c r="R2974" s="25">
        <v>44913</v>
      </c>
      <c r="S2974" s="28"/>
      <c r="T2974" s="35"/>
      <c r="U2974" s="35"/>
      <c r="V2974" s="29"/>
      <c r="W2974" s="35"/>
      <c r="X2974" s="29"/>
      <c r="Y2974" s="36"/>
      <c r="Z2974" s="29"/>
      <c r="AA2974" s="31">
        <f t="shared" si="1"/>
        <v>44913</v>
      </c>
      <c r="AB2974" s="32" t="str">
        <f t="shared" si="5"/>
        <v>diciembre</v>
      </c>
    </row>
    <row r="2975" spans="1:28" ht="12.75">
      <c r="A2975" s="9" t="s">
        <v>2434</v>
      </c>
      <c r="B2975" s="10">
        <v>44913</v>
      </c>
      <c r="C2975" s="11">
        <v>44917</v>
      </c>
      <c r="D2975" s="49">
        <v>51</v>
      </c>
      <c r="E2975" s="13" t="s">
        <v>3368</v>
      </c>
      <c r="F2975" s="13">
        <v>3025460</v>
      </c>
      <c r="G2975" s="14">
        <v>6837</v>
      </c>
      <c r="H2975" s="57">
        <v>8750</v>
      </c>
      <c r="I2975" s="16">
        <f t="shared" si="427"/>
        <v>59823750</v>
      </c>
      <c r="J2975" s="17">
        <v>14</v>
      </c>
      <c r="K2975" s="34">
        <v>4502474588</v>
      </c>
      <c r="L2975" s="126">
        <v>5085148786</v>
      </c>
      <c r="M2975" s="20">
        <v>5113825068</v>
      </c>
      <c r="N2975" s="128"/>
      <c r="O2975" s="23" t="s">
        <v>63</v>
      </c>
      <c r="P2975" s="23"/>
      <c r="Q2975" s="24" t="s">
        <v>82</v>
      </c>
      <c r="R2975" s="25">
        <v>44913</v>
      </c>
      <c r="S2975" s="28"/>
      <c r="T2975" s="35"/>
      <c r="U2975" s="35"/>
      <c r="V2975" s="29"/>
      <c r="W2975" s="35"/>
      <c r="X2975" s="29"/>
      <c r="Y2975" s="36"/>
      <c r="Z2975" s="29"/>
      <c r="AA2975" s="31">
        <f t="shared" si="1"/>
        <v>44913</v>
      </c>
      <c r="AB2975" s="32" t="str">
        <f t="shared" si="5"/>
        <v>diciembre</v>
      </c>
    </row>
    <row r="2976" spans="1:28" ht="12.75">
      <c r="A2976" s="22" t="s">
        <v>404</v>
      </c>
      <c r="B2976" s="10">
        <v>44913</v>
      </c>
      <c r="C2976" s="11">
        <v>44916</v>
      </c>
      <c r="D2976" s="49">
        <v>51</v>
      </c>
      <c r="E2976" s="13" t="s">
        <v>3369</v>
      </c>
      <c r="F2976" s="13">
        <v>3025457</v>
      </c>
      <c r="G2976" s="37">
        <v>12692.5</v>
      </c>
      <c r="H2976" s="33">
        <v>9100</v>
      </c>
      <c r="I2976" s="16">
        <f t="shared" si="427"/>
        <v>115501750</v>
      </c>
      <c r="J2976" s="17">
        <v>29</v>
      </c>
      <c r="K2976" s="128">
        <v>4502474463</v>
      </c>
      <c r="L2976" s="126">
        <v>5085140604</v>
      </c>
      <c r="M2976" s="20">
        <v>5113824248</v>
      </c>
      <c r="N2976" s="128"/>
      <c r="O2976" s="88" t="s">
        <v>37</v>
      </c>
      <c r="P2976" s="23"/>
      <c r="Q2976" s="24" t="s">
        <v>31</v>
      </c>
      <c r="R2976" s="25">
        <v>44914</v>
      </c>
      <c r="S2976" s="28"/>
      <c r="T2976" s="35"/>
      <c r="U2976" s="35"/>
      <c r="V2976" s="29"/>
      <c r="W2976" s="35"/>
      <c r="X2976" s="29"/>
      <c r="Y2976" s="36"/>
      <c r="Z2976" s="29"/>
      <c r="AA2976" s="31">
        <f t="shared" si="1"/>
        <v>44914</v>
      </c>
      <c r="AB2976" s="32" t="str">
        <f t="shared" si="5"/>
        <v>diciembre</v>
      </c>
    </row>
    <row r="2977" spans="1:28" ht="12.75">
      <c r="A2977" s="22" t="s">
        <v>404</v>
      </c>
      <c r="B2977" s="10">
        <v>44916</v>
      </c>
      <c r="C2977" s="11">
        <v>44916</v>
      </c>
      <c r="D2977" s="49">
        <v>51</v>
      </c>
      <c r="E2977" s="13" t="s">
        <v>961</v>
      </c>
      <c r="F2977" s="13">
        <v>3025457</v>
      </c>
      <c r="G2977" s="37">
        <v>12692.5</v>
      </c>
      <c r="H2977" s="33">
        <f>9100-8978.81</f>
        <v>121.19000000000051</v>
      </c>
      <c r="I2977" s="16">
        <f>-H2977*G2977</f>
        <v>-1538204.0750000065</v>
      </c>
      <c r="J2977" s="17">
        <v>0</v>
      </c>
      <c r="K2977" s="128">
        <v>4502474463</v>
      </c>
      <c r="L2977" s="126">
        <v>5085140604</v>
      </c>
      <c r="M2977" s="20">
        <v>5113824249</v>
      </c>
      <c r="N2977" s="128"/>
      <c r="O2977" s="23"/>
      <c r="P2977" s="23"/>
      <c r="Q2977" s="24" t="s">
        <v>31</v>
      </c>
      <c r="R2977" s="25">
        <v>44914</v>
      </c>
      <c r="S2977" s="28"/>
      <c r="T2977" s="35"/>
      <c r="U2977" s="35"/>
      <c r="V2977" s="29"/>
      <c r="W2977" s="35"/>
      <c r="X2977" s="29"/>
      <c r="Y2977" s="36"/>
      <c r="Z2977" s="29"/>
      <c r="AA2977" s="31">
        <f t="shared" si="1"/>
        <v>44914</v>
      </c>
      <c r="AB2977" s="32" t="str">
        <f t="shared" si="5"/>
        <v>diciembre</v>
      </c>
    </row>
    <row r="2978" spans="1:28" ht="12.75">
      <c r="A2978" s="9" t="s">
        <v>58</v>
      </c>
      <c r="B2978" s="10">
        <v>44916</v>
      </c>
      <c r="C2978" s="11">
        <v>44916</v>
      </c>
      <c r="D2978" s="49">
        <v>51</v>
      </c>
      <c r="E2978" s="13" t="s">
        <v>3370</v>
      </c>
      <c r="F2978" s="13">
        <v>3025457</v>
      </c>
      <c r="G2978" s="37">
        <v>19256.5</v>
      </c>
      <c r="H2978" s="33">
        <v>9200</v>
      </c>
      <c r="I2978" s="16">
        <f>H2978*G2978</f>
        <v>177159800</v>
      </c>
      <c r="J2978" s="17">
        <v>45</v>
      </c>
      <c r="K2978" s="34">
        <v>4502470566</v>
      </c>
      <c r="L2978" s="126">
        <v>5085131431</v>
      </c>
      <c r="M2978" s="20">
        <v>5113821917</v>
      </c>
      <c r="N2978" s="128"/>
      <c r="O2978" s="9" t="s">
        <v>37</v>
      </c>
      <c r="P2978" s="23"/>
      <c r="Q2978" s="24" t="s">
        <v>31</v>
      </c>
      <c r="R2978" s="25">
        <v>44914</v>
      </c>
      <c r="S2978" s="28"/>
      <c r="T2978" s="35"/>
      <c r="U2978" s="35"/>
      <c r="V2978" s="29"/>
      <c r="W2978" s="35"/>
      <c r="X2978" s="29"/>
      <c r="Y2978" s="36"/>
      <c r="Z2978" s="29"/>
      <c r="AA2978" s="31">
        <f t="shared" si="1"/>
        <v>44914</v>
      </c>
      <c r="AB2978" s="32" t="str">
        <f t="shared" si="5"/>
        <v>diciembre</v>
      </c>
    </row>
    <row r="2979" spans="1:28" ht="12.75">
      <c r="A2979" s="9" t="s">
        <v>58</v>
      </c>
      <c r="B2979" s="10">
        <v>44916</v>
      </c>
      <c r="C2979" s="11">
        <v>44916</v>
      </c>
      <c r="D2979" s="49">
        <v>51</v>
      </c>
      <c r="E2979" s="13" t="s">
        <v>3371</v>
      </c>
      <c r="F2979" s="13">
        <v>3025457</v>
      </c>
      <c r="G2979" s="37">
        <v>19256.5</v>
      </c>
      <c r="H2979" s="33">
        <f>9200-9169.96</f>
        <v>30.040000000000873</v>
      </c>
      <c r="I2979" s="16">
        <f>-H2979*G2979</f>
        <v>-578465.26000001677</v>
      </c>
      <c r="J2979" s="17">
        <v>0</v>
      </c>
      <c r="K2979" s="34">
        <v>4502470566</v>
      </c>
      <c r="L2979" s="126">
        <v>5085131431</v>
      </c>
      <c r="M2979" s="20">
        <v>5113821918</v>
      </c>
      <c r="N2979" s="128"/>
      <c r="O2979" s="23"/>
      <c r="P2979" s="23"/>
      <c r="Q2979" s="24" t="s">
        <v>31</v>
      </c>
      <c r="R2979" s="25">
        <v>44914</v>
      </c>
      <c r="S2979" s="28"/>
      <c r="T2979" s="35"/>
      <c r="U2979" s="35"/>
      <c r="V2979" s="29"/>
      <c r="W2979" s="35"/>
      <c r="X2979" s="29"/>
      <c r="Y2979" s="36"/>
      <c r="Z2979" s="29"/>
      <c r="AA2979" s="31">
        <f t="shared" si="1"/>
        <v>44914</v>
      </c>
      <c r="AB2979" s="32" t="str">
        <f t="shared" si="5"/>
        <v>diciembre</v>
      </c>
    </row>
    <row r="2980" spans="1:28" ht="12.75">
      <c r="A2980" s="9" t="s">
        <v>73</v>
      </c>
      <c r="B2980" s="10">
        <v>44914</v>
      </c>
      <c r="C2980" s="11">
        <v>44916</v>
      </c>
      <c r="D2980" s="49">
        <v>51</v>
      </c>
      <c r="E2980" s="13" t="s">
        <v>106</v>
      </c>
      <c r="F2980" s="13">
        <v>3025460</v>
      </c>
      <c r="G2980" s="14">
        <v>12717</v>
      </c>
      <c r="H2980" s="33">
        <v>9100</v>
      </c>
      <c r="I2980" s="16">
        <f t="shared" ref="I2980:I2986" si="428">H2980*G2980</f>
        <v>115724700</v>
      </c>
      <c r="J2980" s="17">
        <v>28</v>
      </c>
      <c r="K2980" s="34">
        <v>4502470567</v>
      </c>
      <c r="L2980" s="126">
        <v>5085131433</v>
      </c>
      <c r="M2980" s="20">
        <v>5113821023</v>
      </c>
      <c r="N2980" s="128"/>
      <c r="O2980" s="128" t="s">
        <v>63</v>
      </c>
      <c r="P2980" s="23"/>
      <c r="Q2980" s="24" t="s">
        <v>31</v>
      </c>
      <c r="R2980" s="25">
        <v>44914</v>
      </c>
      <c r="S2980" s="28"/>
      <c r="T2980" s="35"/>
      <c r="U2980" s="35"/>
      <c r="V2980" s="29"/>
      <c r="W2980" s="35"/>
      <c r="X2980" s="29"/>
      <c r="Y2980" s="36"/>
      <c r="Z2980" s="29"/>
      <c r="AA2980" s="31">
        <f t="shared" si="1"/>
        <v>44914</v>
      </c>
      <c r="AB2980" s="32" t="str">
        <f t="shared" si="5"/>
        <v>diciembre</v>
      </c>
    </row>
    <row r="2981" spans="1:28" ht="12.75">
      <c r="A2981" s="9" t="s">
        <v>73</v>
      </c>
      <c r="B2981" s="10">
        <v>44914</v>
      </c>
      <c r="C2981" s="11">
        <v>44916</v>
      </c>
      <c r="D2981" s="49">
        <v>51</v>
      </c>
      <c r="E2981" s="13" t="s">
        <v>3372</v>
      </c>
      <c r="F2981" s="13">
        <v>3025460</v>
      </c>
      <c r="G2981" s="14">
        <v>12717</v>
      </c>
      <c r="H2981" s="33">
        <v>24</v>
      </c>
      <c r="I2981" s="16">
        <f t="shared" si="428"/>
        <v>305208</v>
      </c>
      <c r="J2981" s="17">
        <v>0</v>
      </c>
      <c r="K2981" s="34">
        <v>4502470567</v>
      </c>
      <c r="L2981" s="126">
        <v>5085131433</v>
      </c>
      <c r="M2981" s="20">
        <v>5113821057</v>
      </c>
      <c r="N2981" s="128"/>
      <c r="O2981" s="23"/>
      <c r="P2981" s="23"/>
      <c r="Q2981" s="24" t="s">
        <v>31</v>
      </c>
      <c r="R2981" s="25">
        <v>44914</v>
      </c>
      <c r="S2981" s="28"/>
      <c r="T2981" s="35"/>
      <c r="U2981" s="35"/>
      <c r="V2981" s="29"/>
      <c r="W2981" s="35"/>
      <c r="X2981" s="29"/>
      <c r="Y2981" s="36"/>
      <c r="Z2981" s="29"/>
      <c r="AA2981" s="31">
        <f t="shared" si="1"/>
        <v>44914</v>
      </c>
      <c r="AB2981" s="32" t="str">
        <f t="shared" si="5"/>
        <v>diciembre</v>
      </c>
    </row>
    <row r="2982" spans="1:28" ht="12.75">
      <c r="A2982" s="9" t="s">
        <v>338</v>
      </c>
      <c r="B2982" s="10">
        <v>44917</v>
      </c>
      <c r="C2982" s="11"/>
      <c r="D2982" s="49">
        <v>51</v>
      </c>
      <c r="E2982" s="13" t="s">
        <v>3373</v>
      </c>
      <c r="F2982" s="13">
        <v>3025457</v>
      </c>
      <c r="G2982" s="14">
        <v>6361.5</v>
      </c>
      <c r="H2982" s="33">
        <v>8850</v>
      </c>
      <c r="I2982" s="16">
        <f t="shared" si="428"/>
        <v>56299275</v>
      </c>
      <c r="J2982" s="17">
        <v>14</v>
      </c>
      <c r="K2982" s="34">
        <v>4502470568</v>
      </c>
      <c r="L2982" s="126">
        <v>5085153630</v>
      </c>
      <c r="M2982" s="20">
        <v>5113826053</v>
      </c>
      <c r="N2982" s="128"/>
      <c r="O2982" s="9" t="s">
        <v>63</v>
      </c>
      <c r="P2982" s="23"/>
      <c r="Q2982" s="24" t="s">
        <v>31</v>
      </c>
      <c r="R2982" s="25">
        <v>44915</v>
      </c>
      <c r="S2982" s="28"/>
      <c r="T2982" s="35"/>
      <c r="U2982" s="35"/>
      <c r="V2982" s="29"/>
      <c r="W2982" s="35"/>
      <c r="X2982" s="29"/>
      <c r="Y2982" s="36"/>
      <c r="Z2982" s="29"/>
      <c r="AA2982" s="31">
        <f t="shared" si="1"/>
        <v>44915</v>
      </c>
      <c r="AB2982" s="32" t="str">
        <f t="shared" si="5"/>
        <v>diciembre</v>
      </c>
    </row>
    <row r="2983" spans="1:28" ht="12.75">
      <c r="A2983" s="9" t="s">
        <v>338</v>
      </c>
      <c r="B2983" s="10">
        <v>44917</v>
      </c>
      <c r="C2983" s="11"/>
      <c r="D2983" s="49">
        <v>51</v>
      </c>
      <c r="E2983" s="13" t="s">
        <v>3374</v>
      </c>
      <c r="F2983" s="13">
        <v>3025457</v>
      </c>
      <c r="G2983" s="14">
        <v>6361.5</v>
      </c>
      <c r="H2983" s="33">
        <v>50</v>
      </c>
      <c r="I2983" s="16">
        <f t="shared" si="428"/>
        <v>318075</v>
      </c>
      <c r="J2983" s="17">
        <v>0</v>
      </c>
      <c r="K2983" s="34">
        <v>4502470568</v>
      </c>
      <c r="L2983" s="126">
        <v>5085153630</v>
      </c>
      <c r="M2983" s="20">
        <v>5113826055</v>
      </c>
      <c r="N2983" s="128"/>
      <c r="O2983" s="23"/>
      <c r="P2983" s="23"/>
      <c r="Q2983" s="24" t="s">
        <v>31</v>
      </c>
      <c r="R2983" s="25">
        <v>44915</v>
      </c>
      <c r="S2983" s="28"/>
      <c r="T2983" s="35"/>
      <c r="U2983" s="35"/>
      <c r="V2983" s="29"/>
      <c r="W2983" s="35"/>
      <c r="X2983" s="29"/>
      <c r="Y2983" s="36"/>
      <c r="Z2983" s="29"/>
      <c r="AA2983" s="31">
        <f t="shared" si="1"/>
        <v>44915</v>
      </c>
      <c r="AB2983" s="32" t="str">
        <f t="shared" si="5"/>
        <v>diciembre</v>
      </c>
    </row>
    <row r="2984" spans="1:28" ht="12.75">
      <c r="A2984" s="9" t="s">
        <v>168</v>
      </c>
      <c r="B2984" s="10">
        <v>44917</v>
      </c>
      <c r="C2984" s="11">
        <v>44917</v>
      </c>
      <c r="D2984" s="49">
        <v>51</v>
      </c>
      <c r="E2984" s="13" t="s">
        <v>3375</v>
      </c>
      <c r="F2984" s="13">
        <v>3025457</v>
      </c>
      <c r="G2984" s="14">
        <v>26654.5</v>
      </c>
      <c r="H2984" s="33">
        <v>9100</v>
      </c>
      <c r="I2984" s="16">
        <f t="shared" si="428"/>
        <v>242555950</v>
      </c>
      <c r="J2984" s="17">
        <v>56</v>
      </c>
      <c r="K2984" s="34">
        <v>4502470569</v>
      </c>
      <c r="L2984" s="126">
        <v>5085153631</v>
      </c>
      <c r="M2984" s="20">
        <v>5113825955</v>
      </c>
      <c r="N2984" s="128"/>
      <c r="O2984" s="9" t="s">
        <v>63</v>
      </c>
      <c r="P2984" s="23"/>
      <c r="Q2984" s="24" t="s">
        <v>31</v>
      </c>
      <c r="R2984" s="25">
        <v>44915</v>
      </c>
      <c r="S2984" s="28"/>
      <c r="T2984" s="35"/>
      <c r="U2984" s="35"/>
      <c r="V2984" s="29"/>
      <c r="W2984" s="35"/>
      <c r="X2984" s="29"/>
      <c r="Y2984" s="36"/>
      <c r="Z2984" s="29"/>
      <c r="AA2984" s="31">
        <f t="shared" si="1"/>
        <v>44915</v>
      </c>
      <c r="AB2984" s="32" t="str">
        <f t="shared" si="5"/>
        <v>diciembre</v>
      </c>
    </row>
    <row r="2985" spans="1:28" ht="12.75">
      <c r="A2985" s="9" t="s">
        <v>168</v>
      </c>
      <c r="B2985" s="10">
        <v>44917</v>
      </c>
      <c r="C2985" s="11">
        <v>44917</v>
      </c>
      <c r="D2985" s="49">
        <v>51</v>
      </c>
      <c r="E2985" s="13" t="s">
        <v>422</v>
      </c>
      <c r="F2985" s="13">
        <v>3025457</v>
      </c>
      <c r="G2985" s="14">
        <v>26654.5</v>
      </c>
      <c r="H2985" s="33">
        <v>50</v>
      </c>
      <c r="I2985" s="16">
        <f t="shared" si="428"/>
        <v>1332725</v>
      </c>
      <c r="J2985" s="17">
        <v>0</v>
      </c>
      <c r="K2985" s="34">
        <v>4502470569</v>
      </c>
      <c r="L2985" s="126">
        <v>5085153631</v>
      </c>
      <c r="M2985" s="20">
        <v>5113826047</v>
      </c>
      <c r="N2985" s="128"/>
      <c r="O2985" s="23"/>
      <c r="P2985" s="23"/>
      <c r="Q2985" s="24" t="s">
        <v>31</v>
      </c>
      <c r="R2985" s="25">
        <v>44915</v>
      </c>
      <c r="S2985" s="28"/>
      <c r="T2985" s="35"/>
      <c r="U2985" s="35"/>
      <c r="V2985" s="29"/>
      <c r="W2985" s="35"/>
      <c r="X2985" s="29"/>
      <c r="Y2985" s="36"/>
      <c r="Z2985" s="29"/>
      <c r="AA2985" s="31">
        <f t="shared" si="1"/>
        <v>44915</v>
      </c>
      <c r="AB2985" s="32" t="str">
        <f t="shared" si="5"/>
        <v>diciembre</v>
      </c>
    </row>
    <row r="2986" spans="1:28" ht="12.75">
      <c r="A2986" s="9" t="s">
        <v>296</v>
      </c>
      <c r="B2986" s="10">
        <v>44915</v>
      </c>
      <c r="C2986" s="11"/>
      <c r="D2986" s="49">
        <v>51</v>
      </c>
      <c r="E2986" s="13" t="s">
        <v>3376</v>
      </c>
      <c r="F2986" s="13">
        <v>3025457</v>
      </c>
      <c r="G2986" s="14">
        <v>13590.5</v>
      </c>
      <c r="H2986" s="33">
        <v>9100</v>
      </c>
      <c r="I2986" s="16">
        <f t="shared" si="428"/>
        <v>123673550</v>
      </c>
      <c r="J2986" s="17">
        <v>28</v>
      </c>
      <c r="K2986" s="34">
        <v>4502470570</v>
      </c>
      <c r="L2986" s="126">
        <v>5085153632</v>
      </c>
      <c r="M2986" s="20">
        <v>5113830269</v>
      </c>
      <c r="N2986" s="128"/>
      <c r="O2986" s="23" t="s">
        <v>63</v>
      </c>
      <c r="P2986" s="23"/>
      <c r="Q2986" s="24" t="s">
        <v>31</v>
      </c>
      <c r="R2986" s="25">
        <v>44915</v>
      </c>
      <c r="S2986" s="28"/>
      <c r="T2986" s="35"/>
      <c r="U2986" s="35"/>
      <c r="V2986" s="29"/>
      <c r="W2986" s="35"/>
      <c r="X2986" s="29"/>
      <c r="Y2986" s="36"/>
      <c r="Z2986" s="29"/>
      <c r="AA2986" s="31">
        <f t="shared" si="1"/>
        <v>44915</v>
      </c>
      <c r="AB2986" s="32" t="str">
        <f t="shared" si="5"/>
        <v>diciembre</v>
      </c>
    </row>
    <row r="2987" spans="1:28" ht="12.75">
      <c r="A2987" s="9" t="s">
        <v>296</v>
      </c>
      <c r="B2987" s="10">
        <v>44915</v>
      </c>
      <c r="C2987" s="11"/>
      <c r="D2987" s="49">
        <v>51</v>
      </c>
      <c r="E2987" s="13" t="s">
        <v>295</v>
      </c>
      <c r="F2987" s="13">
        <v>3025457</v>
      </c>
      <c r="G2987" s="14">
        <v>13590.5</v>
      </c>
      <c r="H2987" s="33">
        <v>50</v>
      </c>
      <c r="I2987" s="16">
        <f>-H2987*G2987</f>
        <v>-679525</v>
      </c>
      <c r="J2987" s="17">
        <v>0</v>
      </c>
      <c r="K2987" s="34">
        <v>4502470570</v>
      </c>
      <c r="L2987" s="126">
        <v>5085153632</v>
      </c>
      <c r="M2987" s="20">
        <v>5113830270</v>
      </c>
      <c r="N2987" s="128"/>
      <c r="O2987" s="23"/>
      <c r="P2987" s="23"/>
      <c r="Q2987" s="24" t="s">
        <v>31</v>
      </c>
      <c r="R2987" s="25">
        <v>44915</v>
      </c>
      <c r="S2987" s="28"/>
      <c r="T2987" s="35"/>
      <c r="U2987" s="35"/>
      <c r="V2987" s="29"/>
      <c r="W2987" s="35"/>
      <c r="X2987" s="29"/>
      <c r="Y2987" s="36"/>
      <c r="Z2987" s="29"/>
      <c r="AA2987" s="31">
        <f t="shared" si="1"/>
        <v>44915</v>
      </c>
      <c r="AB2987" s="32" t="str">
        <f t="shared" si="5"/>
        <v>diciembre</v>
      </c>
    </row>
    <row r="2988" spans="1:28" ht="12.75">
      <c r="A2988" s="9" t="s">
        <v>61</v>
      </c>
      <c r="B2988" s="10">
        <v>44918</v>
      </c>
      <c r="C2988" s="11"/>
      <c r="D2988" s="49">
        <v>51</v>
      </c>
      <c r="E2988" s="13" t="s">
        <v>1916</v>
      </c>
      <c r="F2988" s="13">
        <v>3025457</v>
      </c>
      <c r="G2988" s="14">
        <v>6654</v>
      </c>
      <c r="H2988" s="33">
        <v>8700</v>
      </c>
      <c r="I2988" s="16">
        <f>H2988*G2988</f>
        <v>57889800</v>
      </c>
      <c r="J2988" s="17">
        <v>15</v>
      </c>
      <c r="K2988" s="34">
        <v>4502470571</v>
      </c>
      <c r="L2988" s="126">
        <v>5085153633</v>
      </c>
      <c r="M2988" s="20">
        <v>5113829318</v>
      </c>
      <c r="N2988" s="128"/>
      <c r="O2988" s="9" t="s">
        <v>63</v>
      </c>
      <c r="P2988" s="23"/>
      <c r="Q2988" s="24" t="s">
        <v>31</v>
      </c>
      <c r="R2988" s="25">
        <v>44915</v>
      </c>
      <c r="S2988" s="28"/>
      <c r="T2988" s="35"/>
      <c r="U2988" s="35"/>
      <c r="V2988" s="29"/>
      <c r="W2988" s="35"/>
      <c r="X2988" s="29"/>
      <c r="Y2988" s="36"/>
      <c r="Z2988" s="29"/>
      <c r="AA2988" s="31">
        <f t="shared" si="1"/>
        <v>44915</v>
      </c>
      <c r="AB2988" s="32" t="str">
        <f t="shared" si="5"/>
        <v>diciembre</v>
      </c>
    </row>
    <row r="2989" spans="1:28" ht="12.75">
      <c r="A2989" s="9" t="s">
        <v>61</v>
      </c>
      <c r="B2989" s="10">
        <v>44918</v>
      </c>
      <c r="C2989" s="11"/>
      <c r="D2989" s="49">
        <v>51</v>
      </c>
      <c r="E2989" s="13" t="s">
        <v>1499</v>
      </c>
      <c r="F2989" s="13">
        <v>3025457</v>
      </c>
      <c r="G2989" s="14">
        <v>6654</v>
      </c>
      <c r="H2989" s="33">
        <v>50</v>
      </c>
      <c r="I2989" s="16">
        <f>-H2989*G2989</f>
        <v>-332700</v>
      </c>
      <c r="J2989" s="17">
        <v>0</v>
      </c>
      <c r="K2989" s="34">
        <v>4502470571</v>
      </c>
      <c r="L2989" s="126">
        <v>5085153633</v>
      </c>
      <c r="M2989" s="20">
        <v>5113829319</v>
      </c>
      <c r="N2989" s="128"/>
      <c r="O2989" s="23"/>
      <c r="P2989" s="23"/>
      <c r="Q2989" s="24" t="s">
        <v>31</v>
      </c>
      <c r="R2989" s="25">
        <v>44915</v>
      </c>
      <c r="S2989" s="28"/>
      <c r="T2989" s="35"/>
      <c r="U2989" s="35"/>
      <c r="V2989" s="29"/>
      <c r="W2989" s="35"/>
      <c r="X2989" s="29"/>
      <c r="Y2989" s="36"/>
      <c r="Z2989" s="29"/>
      <c r="AA2989" s="31">
        <f t="shared" si="1"/>
        <v>44915</v>
      </c>
      <c r="AB2989" s="32" t="str">
        <f t="shared" si="5"/>
        <v>diciembre</v>
      </c>
    </row>
    <row r="2990" spans="1:28" ht="12.75">
      <c r="A2990" s="9" t="s">
        <v>1248</v>
      </c>
      <c r="B2990" s="10">
        <v>44917</v>
      </c>
      <c r="C2990" s="11">
        <v>44917</v>
      </c>
      <c r="D2990" s="49">
        <v>51</v>
      </c>
      <c r="E2990" s="13" t="s">
        <v>3377</v>
      </c>
      <c r="F2990" s="13">
        <v>3025457</v>
      </c>
      <c r="G2990" s="37">
        <v>5907.5</v>
      </c>
      <c r="H2990" s="33">
        <v>8750</v>
      </c>
      <c r="I2990" s="16">
        <f>H2990*G2990</f>
        <v>51690625</v>
      </c>
      <c r="J2990" s="17">
        <v>14</v>
      </c>
      <c r="K2990" s="34">
        <v>4502470572</v>
      </c>
      <c r="L2990" s="126">
        <v>5085153634</v>
      </c>
      <c r="M2990" s="20">
        <v>5113829216</v>
      </c>
      <c r="N2990" s="128" t="s">
        <v>37</v>
      </c>
      <c r="O2990" s="23"/>
      <c r="P2990" s="23"/>
      <c r="Q2990" s="24" t="s">
        <v>31</v>
      </c>
      <c r="R2990" s="25">
        <v>44915</v>
      </c>
      <c r="S2990" s="28"/>
      <c r="T2990" s="35"/>
      <c r="U2990" s="35"/>
      <c r="V2990" s="29"/>
      <c r="W2990" s="35"/>
      <c r="X2990" s="29"/>
      <c r="Y2990" s="36"/>
      <c r="Z2990" s="29"/>
      <c r="AA2990" s="31">
        <f t="shared" si="1"/>
        <v>44915</v>
      </c>
      <c r="AB2990" s="32" t="str">
        <f t="shared" si="5"/>
        <v>diciembre</v>
      </c>
    </row>
    <row r="2991" spans="1:28" ht="12.75">
      <c r="A2991" s="9" t="s">
        <v>1248</v>
      </c>
      <c r="B2991" s="10">
        <v>44917</v>
      </c>
      <c r="C2991" s="11">
        <v>44917</v>
      </c>
      <c r="D2991" s="49">
        <v>51</v>
      </c>
      <c r="E2991" s="13" t="s">
        <v>188</v>
      </c>
      <c r="F2991" s="13">
        <v>3025457</v>
      </c>
      <c r="G2991" s="37">
        <v>5907.5</v>
      </c>
      <c r="H2991" s="33">
        <f>8750-8593.29</f>
        <v>156.70999999999913</v>
      </c>
      <c r="I2991" s="16">
        <f>-H2991*G2991</f>
        <v>-925764.32499999483</v>
      </c>
      <c r="J2991" s="17">
        <v>0</v>
      </c>
      <c r="K2991" s="34">
        <v>4502470572</v>
      </c>
      <c r="L2991" s="126">
        <v>5085153634</v>
      </c>
      <c r="M2991" s="20">
        <v>5113829317</v>
      </c>
      <c r="N2991" s="128"/>
      <c r="O2991" s="23"/>
      <c r="P2991" s="23"/>
      <c r="Q2991" s="24" t="s">
        <v>31</v>
      </c>
      <c r="R2991" s="25">
        <v>44915</v>
      </c>
      <c r="S2991" s="28"/>
      <c r="T2991" s="35"/>
      <c r="U2991" s="35"/>
      <c r="V2991" s="29"/>
      <c r="W2991" s="35"/>
      <c r="X2991" s="29"/>
      <c r="Y2991" s="36"/>
      <c r="Z2991" s="29"/>
      <c r="AA2991" s="31">
        <f t="shared" si="1"/>
        <v>44915</v>
      </c>
      <c r="AB2991" s="32" t="str">
        <f t="shared" si="5"/>
        <v>diciembre</v>
      </c>
    </row>
    <row r="2992" spans="1:28" ht="12.75">
      <c r="A2992" s="9" t="s">
        <v>2072</v>
      </c>
      <c r="B2992" s="10">
        <v>44915</v>
      </c>
      <c r="C2992" s="11"/>
      <c r="D2992" s="49">
        <v>51</v>
      </c>
      <c r="E2992" s="13" t="s">
        <v>3116</v>
      </c>
      <c r="F2992" s="13">
        <v>3025459</v>
      </c>
      <c r="G2992" s="14">
        <v>21314</v>
      </c>
      <c r="H2992" s="15">
        <v>8650</v>
      </c>
      <c r="I2992" s="16">
        <f t="shared" ref="I2992:I2996" si="429">H2992*G2992</f>
        <v>184366100</v>
      </c>
      <c r="J2992" s="17">
        <v>42</v>
      </c>
      <c r="K2992" s="34">
        <v>4502473269</v>
      </c>
      <c r="L2992" s="126">
        <v>5085153408</v>
      </c>
      <c r="M2992" s="20">
        <v>5113829141</v>
      </c>
      <c r="N2992" s="128" t="s">
        <v>37</v>
      </c>
      <c r="O2992" s="124" t="s">
        <v>3378</v>
      </c>
      <c r="P2992" s="23"/>
      <c r="Q2992" s="24" t="s">
        <v>31</v>
      </c>
      <c r="R2992" s="25">
        <v>44915</v>
      </c>
      <c r="S2992" s="28">
        <v>4902408533</v>
      </c>
      <c r="T2992" s="35">
        <f>499560*3</f>
        <v>1498680</v>
      </c>
      <c r="U2992" s="28" t="s">
        <v>3379</v>
      </c>
      <c r="V2992" s="29">
        <v>5113821551</v>
      </c>
      <c r="W2992" s="35"/>
      <c r="X2992" s="29"/>
      <c r="Y2992" s="36"/>
      <c r="Z2992" s="29"/>
      <c r="AA2992" s="31">
        <f t="shared" si="1"/>
        <v>44915</v>
      </c>
      <c r="AB2992" s="32" t="str">
        <f t="shared" si="5"/>
        <v>diciembre</v>
      </c>
    </row>
    <row r="2993" spans="1:28" ht="12.75">
      <c r="A2993" s="9" t="s">
        <v>2072</v>
      </c>
      <c r="B2993" s="10">
        <v>44915</v>
      </c>
      <c r="C2993" s="11"/>
      <c r="D2993" s="49">
        <v>51</v>
      </c>
      <c r="E2993" s="13" t="s">
        <v>505</v>
      </c>
      <c r="F2993" s="13">
        <v>3025459</v>
      </c>
      <c r="G2993" s="14">
        <v>21314</v>
      </c>
      <c r="H2993" s="15">
        <v>24</v>
      </c>
      <c r="I2993" s="16">
        <f t="shared" si="429"/>
        <v>511536</v>
      </c>
      <c r="J2993" s="17">
        <v>0</v>
      </c>
      <c r="K2993" s="34">
        <v>4502473269</v>
      </c>
      <c r="L2993" s="126">
        <v>5085153408</v>
      </c>
      <c r="M2993" s="20">
        <v>5113838905</v>
      </c>
      <c r="N2993" s="128"/>
      <c r="O2993" s="124"/>
      <c r="P2993" s="23"/>
      <c r="Q2993" s="24" t="s">
        <v>31</v>
      </c>
      <c r="R2993" s="25">
        <v>44915</v>
      </c>
      <c r="S2993" s="28"/>
      <c r="T2993" s="35"/>
      <c r="U2993" s="28"/>
      <c r="V2993" s="29"/>
      <c r="W2993" s="35"/>
      <c r="X2993" s="29"/>
      <c r="Y2993" s="36"/>
      <c r="Z2993" s="29"/>
      <c r="AA2993" s="31">
        <f t="shared" si="1"/>
        <v>44915</v>
      </c>
      <c r="AB2993" s="32" t="str">
        <f t="shared" si="5"/>
        <v>diciembre</v>
      </c>
    </row>
    <row r="2994" spans="1:28" ht="12.75">
      <c r="A2994" s="9" t="s">
        <v>49</v>
      </c>
      <c r="B2994" s="10">
        <v>44915</v>
      </c>
      <c r="C2994" s="11">
        <v>44917</v>
      </c>
      <c r="D2994" s="49">
        <v>51</v>
      </c>
      <c r="E2994" s="13" t="s">
        <v>3380</v>
      </c>
      <c r="F2994" s="13">
        <v>3025459</v>
      </c>
      <c r="G2994" s="14">
        <v>20831</v>
      </c>
      <c r="H2994" s="15">
        <v>8300</v>
      </c>
      <c r="I2994" s="16">
        <f t="shared" si="429"/>
        <v>172897300</v>
      </c>
      <c r="J2994" s="17">
        <v>42</v>
      </c>
      <c r="K2994" s="34">
        <v>4502473272</v>
      </c>
      <c r="L2994" s="126">
        <v>5085156167</v>
      </c>
      <c r="M2994" s="20">
        <v>5113828246</v>
      </c>
      <c r="N2994" s="9" t="s">
        <v>63</v>
      </c>
      <c r="O2994" s="124" t="s">
        <v>3381</v>
      </c>
      <c r="P2994" s="23"/>
      <c r="Q2994" s="24" t="s">
        <v>31</v>
      </c>
      <c r="R2994" s="25">
        <v>44915</v>
      </c>
      <c r="S2994" s="28">
        <v>4902408535</v>
      </c>
      <c r="T2994" s="35">
        <f>2982600*3</f>
        <v>8947800</v>
      </c>
      <c r="U2994" s="28" t="s">
        <v>3382</v>
      </c>
      <c r="V2994" s="29">
        <v>5113828216</v>
      </c>
      <c r="W2994" s="35"/>
      <c r="X2994" s="29"/>
      <c r="Y2994" s="36"/>
      <c r="Z2994" s="29"/>
      <c r="AA2994" s="31">
        <f t="shared" si="1"/>
        <v>44915</v>
      </c>
      <c r="AB2994" s="32" t="str">
        <f t="shared" si="5"/>
        <v>diciembre</v>
      </c>
    </row>
    <row r="2995" spans="1:28" ht="12.75">
      <c r="A2995" s="9" t="s">
        <v>58</v>
      </c>
      <c r="B2995" s="10">
        <v>44917</v>
      </c>
      <c r="C2995" s="11">
        <v>44917</v>
      </c>
      <c r="D2995" s="49">
        <v>51</v>
      </c>
      <c r="E2995" s="13" t="s">
        <v>3383</v>
      </c>
      <c r="F2995" s="13">
        <v>3025462</v>
      </c>
      <c r="G2995" s="14">
        <v>8536</v>
      </c>
      <c r="H2995" s="33">
        <v>7800</v>
      </c>
      <c r="I2995" s="16">
        <f t="shared" si="429"/>
        <v>66580800</v>
      </c>
      <c r="J2995" s="17">
        <v>33</v>
      </c>
      <c r="K2995" s="34">
        <v>4502475539</v>
      </c>
      <c r="L2995" s="126">
        <v>5085174955</v>
      </c>
      <c r="M2995" s="20">
        <v>5113828269</v>
      </c>
      <c r="N2995" s="128"/>
      <c r="O2995" s="9" t="s">
        <v>37</v>
      </c>
      <c r="P2995" s="23"/>
      <c r="Q2995" s="24" t="s">
        <v>357</v>
      </c>
      <c r="R2995" s="25">
        <v>44916</v>
      </c>
      <c r="S2995" s="28"/>
      <c r="T2995" s="35"/>
      <c r="U2995" s="35"/>
      <c r="V2995" s="29"/>
      <c r="W2995" s="35"/>
      <c r="X2995" s="29"/>
      <c r="Y2995" s="36"/>
      <c r="Z2995" s="29"/>
      <c r="AA2995" s="31">
        <f t="shared" si="1"/>
        <v>44916</v>
      </c>
      <c r="AB2995" s="32" t="str">
        <f t="shared" si="5"/>
        <v>diciembre</v>
      </c>
    </row>
    <row r="2996" spans="1:28" ht="12.75">
      <c r="A2996" s="9" t="s">
        <v>266</v>
      </c>
      <c r="B2996" s="10">
        <v>44917</v>
      </c>
      <c r="C2996" s="11">
        <v>44923</v>
      </c>
      <c r="D2996" s="53">
        <v>52</v>
      </c>
      <c r="E2996" s="13" t="s">
        <v>3376</v>
      </c>
      <c r="F2996" s="13">
        <v>3025457</v>
      </c>
      <c r="G2996" s="37">
        <v>12865.5</v>
      </c>
      <c r="H2996" s="33">
        <v>8750</v>
      </c>
      <c r="I2996" s="16">
        <f t="shared" si="429"/>
        <v>112573125</v>
      </c>
      <c r="J2996" s="17">
        <v>28</v>
      </c>
      <c r="K2996" s="34">
        <v>4502475034</v>
      </c>
      <c r="L2996" s="19">
        <v>5085195972</v>
      </c>
      <c r="M2996" s="20">
        <v>5113845125</v>
      </c>
      <c r="N2996" s="23"/>
      <c r="O2996" s="9" t="s">
        <v>382</v>
      </c>
      <c r="P2996" s="23"/>
      <c r="Q2996" s="24" t="s">
        <v>31</v>
      </c>
      <c r="R2996" s="25">
        <v>44917</v>
      </c>
      <c r="S2996" s="28"/>
      <c r="T2996" s="35"/>
      <c r="U2996" s="35"/>
      <c r="V2996" s="29"/>
      <c r="W2996" s="35"/>
      <c r="X2996" s="29"/>
      <c r="Y2996" s="36"/>
      <c r="Z2996" s="29"/>
      <c r="AA2996" s="31">
        <f t="shared" si="1"/>
        <v>44917</v>
      </c>
      <c r="AB2996" s="32" t="str">
        <f t="shared" si="5"/>
        <v>diciembre</v>
      </c>
    </row>
    <row r="2997" spans="1:28" ht="12.75">
      <c r="A2997" s="9" t="s">
        <v>266</v>
      </c>
      <c r="B2997" s="10">
        <v>44917</v>
      </c>
      <c r="C2997" s="11">
        <v>44923</v>
      </c>
      <c r="D2997" s="53">
        <v>52</v>
      </c>
      <c r="E2997" s="13" t="s">
        <v>1031</v>
      </c>
      <c r="F2997" s="13">
        <v>3025457</v>
      </c>
      <c r="G2997" s="37">
        <v>12865.5</v>
      </c>
      <c r="H2997" s="33">
        <f>8750-8685.12</f>
        <v>64.8799999999992</v>
      </c>
      <c r="I2997" s="16">
        <f>-H2997*G2997</f>
        <v>-834713.63999998965</v>
      </c>
      <c r="J2997" s="17">
        <v>0</v>
      </c>
      <c r="K2997" s="34">
        <v>4502475034</v>
      </c>
      <c r="L2997" s="19">
        <v>5085195972</v>
      </c>
      <c r="M2997" s="20">
        <v>5113845188</v>
      </c>
      <c r="N2997" s="23"/>
      <c r="O2997" s="9"/>
      <c r="P2997" s="23"/>
      <c r="Q2997" s="24" t="s">
        <v>31</v>
      </c>
      <c r="R2997" s="25">
        <v>44917</v>
      </c>
      <c r="S2997" s="28"/>
      <c r="T2997" s="35"/>
      <c r="U2997" s="35"/>
      <c r="V2997" s="29"/>
      <c r="W2997" s="35"/>
      <c r="X2997" s="29"/>
      <c r="Y2997" s="36"/>
      <c r="Z2997" s="29"/>
      <c r="AA2997" s="31">
        <f t="shared" si="1"/>
        <v>44917</v>
      </c>
      <c r="AB2997" s="32" t="str">
        <f t="shared" si="5"/>
        <v>diciembre</v>
      </c>
    </row>
    <row r="2998" spans="1:28" ht="12.75">
      <c r="A2998" s="9" t="s">
        <v>2135</v>
      </c>
      <c r="B2998" s="10">
        <v>44918</v>
      </c>
      <c r="C2998" s="11"/>
      <c r="D2998" s="53">
        <v>52</v>
      </c>
      <c r="E2998" s="13" t="s">
        <v>2215</v>
      </c>
      <c r="F2998" s="13">
        <v>3025457</v>
      </c>
      <c r="G2998" s="37">
        <v>5273.5</v>
      </c>
      <c r="H2998" s="33">
        <v>8700</v>
      </c>
      <c r="I2998" s="16">
        <f>H2998*G2998</f>
        <v>45879450</v>
      </c>
      <c r="J2998" s="17">
        <v>15</v>
      </c>
      <c r="K2998" s="34">
        <v>4502475035</v>
      </c>
      <c r="L2998" s="19">
        <v>5085195973</v>
      </c>
      <c r="M2998" s="20">
        <v>5113845845</v>
      </c>
      <c r="N2998" s="23"/>
      <c r="O2998" s="88" t="s">
        <v>63</v>
      </c>
      <c r="P2998" s="23"/>
      <c r="Q2998" s="24" t="s">
        <v>31</v>
      </c>
      <c r="R2998" s="25">
        <v>44917</v>
      </c>
      <c r="S2998" s="28"/>
      <c r="T2998" s="35"/>
      <c r="U2998" s="35"/>
      <c r="V2998" s="29"/>
      <c r="W2998" s="35"/>
      <c r="X2998" s="29"/>
      <c r="Y2998" s="36"/>
      <c r="Z2998" s="29"/>
      <c r="AA2998" s="31">
        <f t="shared" si="1"/>
        <v>44917</v>
      </c>
      <c r="AB2998" s="32" t="str">
        <f t="shared" si="5"/>
        <v>diciembre</v>
      </c>
    </row>
    <row r="2999" spans="1:28" ht="12.75">
      <c r="A2999" s="9" t="s">
        <v>2135</v>
      </c>
      <c r="B2999" s="10">
        <v>44918</v>
      </c>
      <c r="C2999" s="11"/>
      <c r="D2999" s="53">
        <v>52</v>
      </c>
      <c r="E2999" s="13" t="s">
        <v>3384</v>
      </c>
      <c r="F2999" s="13">
        <v>3025457</v>
      </c>
      <c r="G2999" s="37">
        <v>5273.5</v>
      </c>
      <c r="H2999" s="33">
        <v>400</v>
      </c>
      <c r="I2999" s="16">
        <f>-H2999*G2999</f>
        <v>-2109400</v>
      </c>
      <c r="J2999" s="17">
        <v>0</v>
      </c>
      <c r="K2999" s="34">
        <v>4502475035</v>
      </c>
      <c r="L2999" s="19">
        <v>5085195973</v>
      </c>
      <c r="M2999" s="20">
        <v>5113845846</v>
      </c>
      <c r="N2999" s="23"/>
      <c r="O2999" s="9"/>
      <c r="P2999" s="23"/>
      <c r="Q2999" s="24" t="s">
        <v>31</v>
      </c>
      <c r="R2999" s="25">
        <v>44917</v>
      </c>
      <c r="S2999" s="28"/>
      <c r="T2999" s="35"/>
      <c r="U2999" s="35"/>
      <c r="V2999" s="29"/>
      <c r="W2999" s="35"/>
      <c r="X2999" s="29"/>
      <c r="Y2999" s="36"/>
      <c r="Z2999" s="29"/>
      <c r="AA2999" s="31">
        <f t="shared" si="1"/>
        <v>44917</v>
      </c>
      <c r="AB2999" s="32" t="str">
        <f t="shared" si="5"/>
        <v>diciembre</v>
      </c>
    </row>
    <row r="3000" spans="1:28" ht="12.75">
      <c r="A3000" s="22" t="s">
        <v>719</v>
      </c>
      <c r="B3000" s="10">
        <v>44917</v>
      </c>
      <c r="C3000" s="11">
        <v>44922</v>
      </c>
      <c r="D3000" s="53">
        <v>52</v>
      </c>
      <c r="E3000" s="13" t="s">
        <v>692</v>
      </c>
      <c r="F3000" s="13">
        <v>3025457</v>
      </c>
      <c r="G3000" s="14">
        <v>6679</v>
      </c>
      <c r="H3000" s="33">
        <v>8750</v>
      </c>
      <c r="I3000" s="16">
        <f>H3000*G3000</f>
        <v>58441250</v>
      </c>
      <c r="J3000" s="17">
        <v>15</v>
      </c>
      <c r="K3000" s="34">
        <v>4502475036</v>
      </c>
      <c r="L3000" s="19">
        <v>5085195974</v>
      </c>
      <c r="M3000" s="20">
        <v>5113840734</v>
      </c>
      <c r="N3000" s="23"/>
      <c r="O3000" s="88" t="s">
        <v>37</v>
      </c>
      <c r="P3000" s="23"/>
      <c r="Q3000" s="24" t="s">
        <v>31</v>
      </c>
      <c r="R3000" s="25">
        <v>44917</v>
      </c>
      <c r="S3000" s="28"/>
      <c r="T3000" s="35"/>
      <c r="U3000" s="35"/>
      <c r="V3000" s="29"/>
      <c r="W3000" s="35"/>
      <c r="X3000" s="29"/>
      <c r="Y3000" s="36"/>
      <c r="Z3000" s="29"/>
      <c r="AA3000" s="31">
        <f t="shared" si="1"/>
        <v>44917</v>
      </c>
      <c r="AB3000" s="32" t="str">
        <f t="shared" si="5"/>
        <v>diciembre</v>
      </c>
    </row>
    <row r="3001" spans="1:28" ht="12.75">
      <c r="A3001" s="22" t="s">
        <v>719</v>
      </c>
      <c r="B3001" s="10">
        <v>44917</v>
      </c>
      <c r="C3001" s="11">
        <v>44922</v>
      </c>
      <c r="D3001" s="53">
        <v>52</v>
      </c>
      <c r="E3001" s="13" t="s">
        <v>1031</v>
      </c>
      <c r="F3001" s="13">
        <v>3025457</v>
      </c>
      <c r="G3001" s="14">
        <v>6679</v>
      </c>
      <c r="H3001" s="33">
        <f>8750-8728.77</f>
        <v>21.229999999999563</v>
      </c>
      <c r="I3001" s="16">
        <f>-H3001*G3001</f>
        <v>-141795.16999999707</v>
      </c>
      <c r="J3001" s="17">
        <v>0</v>
      </c>
      <c r="K3001" s="34">
        <v>4502475036</v>
      </c>
      <c r="L3001" s="19">
        <v>5085195974</v>
      </c>
      <c r="M3001" s="20">
        <v>5113840735</v>
      </c>
      <c r="N3001" s="23"/>
      <c r="O3001" s="9"/>
      <c r="P3001" s="23"/>
      <c r="Q3001" s="24" t="s">
        <v>31</v>
      </c>
      <c r="R3001" s="25">
        <v>44917</v>
      </c>
      <c r="S3001" s="28"/>
      <c r="T3001" s="35"/>
      <c r="U3001" s="35"/>
      <c r="V3001" s="29"/>
      <c r="W3001" s="35"/>
      <c r="X3001" s="29"/>
      <c r="Y3001" s="36"/>
      <c r="Z3001" s="29"/>
      <c r="AA3001" s="31">
        <f t="shared" si="1"/>
        <v>44917</v>
      </c>
      <c r="AB3001" s="32" t="str">
        <f t="shared" si="5"/>
        <v>diciembre</v>
      </c>
    </row>
    <row r="3002" spans="1:28" ht="12.75">
      <c r="A3002" s="22" t="s">
        <v>428</v>
      </c>
      <c r="B3002" s="10">
        <v>44917</v>
      </c>
      <c r="C3002" s="11">
        <v>44921</v>
      </c>
      <c r="D3002" s="53">
        <v>52</v>
      </c>
      <c r="E3002" s="13" t="s">
        <v>3385</v>
      </c>
      <c r="F3002" s="13">
        <v>3025457</v>
      </c>
      <c r="G3002" s="14">
        <v>19806</v>
      </c>
      <c r="H3002" s="33">
        <v>8750</v>
      </c>
      <c r="I3002" s="16">
        <f>H3002*G3002</f>
        <v>173302500</v>
      </c>
      <c r="J3002" s="17">
        <v>44</v>
      </c>
      <c r="K3002" s="34">
        <v>4502475037</v>
      </c>
      <c r="L3002" s="19">
        <v>5085199558</v>
      </c>
      <c r="M3002" s="20">
        <v>5113836677</v>
      </c>
      <c r="N3002" s="23"/>
      <c r="O3002" s="9" t="s">
        <v>63</v>
      </c>
      <c r="P3002" s="23"/>
      <c r="Q3002" s="24" t="s">
        <v>31</v>
      </c>
      <c r="R3002" s="25">
        <v>44917</v>
      </c>
      <c r="S3002" s="28"/>
      <c r="T3002" s="35"/>
      <c r="U3002" s="35"/>
      <c r="V3002" s="29"/>
      <c r="W3002" s="35"/>
      <c r="X3002" s="29"/>
      <c r="Y3002" s="36"/>
      <c r="Z3002" s="29"/>
      <c r="AA3002" s="31">
        <f t="shared" si="1"/>
        <v>44917</v>
      </c>
      <c r="AB3002" s="32" t="str">
        <f t="shared" si="5"/>
        <v>diciembre</v>
      </c>
    </row>
    <row r="3003" spans="1:28" ht="12.75">
      <c r="A3003" s="22" t="s">
        <v>428</v>
      </c>
      <c r="B3003" s="10">
        <v>44917</v>
      </c>
      <c r="C3003" s="11">
        <v>44921</v>
      </c>
      <c r="D3003" s="53">
        <v>52</v>
      </c>
      <c r="E3003" s="13" t="s">
        <v>60</v>
      </c>
      <c r="F3003" s="13">
        <v>3025457</v>
      </c>
      <c r="G3003" s="14">
        <v>19806</v>
      </c>
      <c r="H3003" s="33">
        <v>50</v>
      </c>
      <c r="I3003" s="16">
        <f>-H3003*G3003</f>
        <v>-990300</v>
      </c>
      <c r="J3003" s="17">
        <v>0</v>
      </c>
      <c r="K3003" s="34">
        <v>4502475037</v>
      </c>
      <c r="L3003" s="19">
        <v>5085199558</v>
      </c>
      <c r="M3003" s="20">
        <v>5113836678</v>
      </c>
      <c r="N3003" s="23"/>
      <c r="O3003" s="9"/>
      <c r="P3003" s="23"/>
      <c r="Q3003" s="24" t="s">
        <v>31</v>
      </c>
      <c r="R3003" s="25">
        <v>44917</v>
      </c>
      <c r="S3003" s="28"/>
      <c r="T3003" s="35"/>
      <c r="U3003" s="35"/>
      <c r="V3003" s="29"/>
      <c r="W3003" s="35"/>
      <c r="X3003" s="29"/>
      <c r="Y3003" s="36"/>
      <c r="Z3003" s="29"/>
      <c r="AA3003" s="31">
        <f t="shared" si="1"/>
        <v>44917</v>
      </c>
      <c r="AB3003" s="32" t="str">
        <f t="shared" si="5"/>
        <v>diciembre</v>
      </c>
    </row>
    <row r="3004" spans="1:28" ht="12.75">
      <c r="A3004" s="9" t="s">
        <v>1521</v>
      </c>
      <c r="B3004" s="10">
        <v>44921</v>
      </c>
      <c r="C3004" s="11">
        <v>44921</v>
      </c>
      <c r="D3004" s="53">
        <v>52</v>
      </c>
      <c r="E3004" s="13" t="s">
        <v>3386</v>
      </c>
      <c r="F3004" s="13">
        <v>3025457</v>
      </c>
      <c r="G3004" s="14">
        <v>22591</v>
      </c>
      <c r="H3004" s="15">
        <v>8350</v>
      </c>
      <c r="I3004" s="16">
        <f t="shared" ref="I3004:I3005" si="430">H3004*G3004</f>
        <v>188634850</v>
      </c>
      <c r="J3004" s="17">
        <v>42</v>
      </c>
      <c r="K3004" s="34">
        <v>4502476745</v>
      </c>
      <c r="L3004" s="19">
        <v>5085218652</v>
      </c>
      <c r="M3004" s="20">
        <v>5113837105</v>
      </c>
      <c r="N3004" s="23"/>
      <c r="O3004" s="88" t="s">
        <v>1146</v>
      </c>
      <c r="P3004" s="23" t="s">
        <v>313</v>
      </c>
      <c r="Q3004" s="24" t="s">
        <v>31</v>
      </c>
      <c r="R3004" s="25">
        <v>44917</v>
      </c>
      <c r="S3004" s="28">
        <v>4902413309</v>
      </c>
      <c r="T3004" s="35">
        <f>2979200*3</f>
        <v>8937600</v>
      </c>
      <c r="U3004" s="28" t="s">
        <v>3387</v>
      </c>
      <c r="V3004" s="29">
        <v>5113833615</v>
      </c>
      <c r="W3004" s="35"/>
      <c r="X3004" s="29"/>
      <c r="Y3004" s="36"/>
      <c r="Z3004" s="29"/>
      <c r="AA3004" s="31">
        <f t="shared" si="1"/>
        <v>44917</v>
      </c>
      <c r="AB3004" s="32" t="str">
        <f t="shared" si="5"/>
        <v>diciembre</v>
      </c>
    </row>
    <row r="3005" spans="1:28" ht="12.75">
      <c r="A3005" s="9" t="s">
        <v>58</v>
      </c>
      <c r="B3005" s="10">
        <v>44923</v>
      </c>
      <c r="C3005" s="11">
        <v>44923</v>
      </c>
      <c r="D3005" s="53">
        <v>52</v>
      </c>
      <c r="E3005" s="13" t="s">
        <v>3388</v>
      </c>
      <c r="F3005" s="13">
        <v>3025457</v>
      </c>
      <c r="G3005" s="14">
        <v>42455</v>
      </c>
      <c r="H3005" s="33">
        <v>9200</v>
      </c>
      <c r="I3005" s="16">
        <f t="shared" si="430"/>
        <v>390586000</v>
      </c>
      <c r="J3005" s="17">
        <v>90</v>
      </c>
      <c r="K3005" s="34">
        <v>4502475038</v>
      </c>
      <c r="L3005" s="19">
        <v>5085195975</v>
      </c>
      <c r="M3005" s="20">
        <v>5113845249</v>
      </c>
      <c r="N3005" s="23"/>
      <c r="O3005" s="9" t="s">
        <v>37</v>
      </c>
      <c r="P3005" s="23"/>
      <c r="Q3005" s="24" t="s">
        <v>31</v>
      </c>
      <c r="R3005" s="25">
        <v>44917</v>
      </c>
      <c r="S3005" s="28"/>
      <c r="T3005" s="35"/>
      <c r="U3005" s="35"/>
      <c r="V3005" s="29"/>
      <c r="W3005" s="35"/>
      <c r="X3005" s="29"/>
      <c r="Y3005" s="36"/>
      <c r="Z3005" s="29"/>
      <c r="AA3005" s="31">
        <f t="shared" si="1"/>
        <v>44917</v>
      </c>
      <c r="AB3005" s="32" t="str">
        <f t="shared" si="5"/>
        <v>diciembre</v>
      </c>
    </row>
    <row r="3006" spans="1:28" ht="12.75">
      <c r="A3006" s="9" t="s">
        <v>58</v>
      </c>
      <c r="B3006" s="10">
        <v>44923</v>
      </c>
      <c r="C3006" s="11">
        <v>44923</v>
      </c>
      <c r="D3006" s="53">
        <v>52</v>
      </c>
      <c r="E3006" s="13" t="s">
        <v>3389</v>
      </c>
      <c r="F3006" s="13">
        <v>3025457</v>
      </c>
      <c r="G3006" s="14">
        <v>42455</v>
      </c>
      <c r="H3006" s="33">
        <f>9200-9189.31</f>
        <v>10.690000000000509</v>
      </c>
      <c r="I3006" s="16">
        <f>-H3006*G3006</f>
        <v>-453843.95000002161</v>
      </c>
      <c r="J3006" s="17">
        <v>0</v>
      </c>
      <c r="K3006" s="34">
        <v>4502475038</v>
      </c>
      <c r="L3006" s="19">
        <v>5085195975</v>
      </c>
      <c r="M3006" s="20">
        <v>5113845250</v>
      </c>
      <c r="N3006" s="23"/>
      <c r="O3006" s="9"/>
      <c r="P3006" s="23"/>
      <c r="Q3006" s="24" t="s">
        <v>31</v>
      </c>
      <c r="R3006" s="25">
        <v>44917</v>
      </c>
      <c r="S3006" s="28"/>
      <c r="T3006" s="35"/>
      <c r="U3006" s="35"/>
      <c r="V3006" s="29"/>
      <c r="W3006" s="35"/>
      <c r="X3006" s="29"/>
      <c r="Y3006" s="36"/>
      <c r="Z3006" s="29"/>
      <c r="AA3006" s="31">
        <f t="shared" si="1"/>
        <v>44917</v>
      </c>
      <c r="AB3006" s="32" t="str">
        <f t="shared" si="5"/>
        <v>diciembre</v>
      </c>
    </row>
    <row r="3007" spans="1:28" ht="12.75">
      <c r="A3007" s="9" t="s">
        <v>896</v>
      </c>
      <c r="B3007" s="10"/>
      <c r="C3007" s="11"/>
      <c r="D3007" s="53">
        <v>52</v>
      </c>
      <c r="E3007" s="13" t="s">
        <v>3390</v>
      </c>
      <c r="F3007" s="13">
        <v>3025457</v>
      </c>
      <c r="G3007" s="14">
        <v>19844</v>
      </c>
      <c r="H3007" s="33">
        <v>8750</v>
      </c>
      <c r="I3007" s="16">
        <f t="shared" ref="I3007:I3008" si="431">H3007*G3007</f>
        <v>173635000</v>
      </c>
      <c r="J3007" s="17">
        <v>42</v>
      </c>
      <c r="K3007" s="34">
        <v>4502475039</v>
      </c>
      <c r="L3007" s="19">
        <v>5085195976</v>
      </c>
      <c r="M3007" s="20">
        <v>5113845195</v>
      </c>
      <c r="N3007" s="23"/>
      <c r="O3007" s="9" t="s">
        <v>37</v>
      </c>
      <c r="P3007" s="23"/>
      <c r="Q3007" s="24" t="s">
        <v>31</v>
      </c>
      <c r="R3007" s="25">
        <v>44917</v>
      </c>
      <c r="S3007" s="28"/>
      <c r="T3007" s="35"/>
      <c r="U3007" s="35"/>
      <c r="V3007" s="29"/>
      <c r="W3007" s="35"/>
      <c r="X3007" s="29"/>
      <c r="Y3007" s="36"/>
      <c r="Z3007" s="29"/>
      <c r="AA3007" s="31">
        <f t="shared" si="1"/>
        <v>44917</v>
      </c>
      <c r="AB3007" s="32" t="str">
        <f t="shared" si="5"/>
        <v>diciembre</v>
      </c>
    </row>
    <row r="3008" spans="1:28" ht="12.75">
      <c r="A3008" s="9" t="s">
        <v>704</v>
      </c>
      <c r="B3008" s="10">
        <v>44922</v>
      </c>
      <c r="C3008" s="11">
        <v>44922</v>
      </c>
      <c r="D3008" s="53">
        <v>52</v>
      </c>
      <c r="E3008" s="13" t="s">
        <v>3391</v>
      </c>
      <c r="F3008" s="13">
        <v>3025457</v>
      </c>
      <c r="G3008" s="14">
        <v>7905</v>
      </c>
      <c r="H3008" s="33">
        <v>8750</v>
      </c>
      <c r="I3008" s="16">
        <f t="shared" si="431"/>
        <v>69168750</v>
      </c>
      <c r="J3008" s="17">
        <v>18</v>
      </c>
      <c r="K3008" s="34">
        <v>4502475040</v>
      </c>
      <c r="L3008" s="19">
        <v>5085199559</v>
      </c>
      <c r="M3008" s="20">
        <v>5113840561</v>
      </c>
      <c r="N3008" s="23"/>
      <c r="O3008" s="9" t="s">
        <v>37</v>
      </c>
      <c r="P3008" s="23"/>
      <c r="Q3008" s="24" t="s">
        <v>31</v>
      </c>
      <c r="R3008" s="25">
        <v>44917</v>
      </c>
      <c r="S3008" s="28"/>
      <c r="T3008" s="35"/>
      <c r="U3008" s="35"/>
      <c r="V3008" s="29"/>
      <c r="W3008" s="35"/>
      <c r="X3008" s="29"/>
      <c r="Y3008" s="36"/>
      <c r="Z3008" s="29"/>
      <c r="AA3008" s="31">
        <f t="shared" si="1"/>
        <v>44917</v>
      </c>
      <c r="AB3008" s="32" t="str">
        <f t="shared" si="5"/>
        <v>diciembre</v>
      </c>
    </row>
    <row r="3009" spans="1:28" ht="12.75">
      <c r="A3009" s="9" t="s">
        <v>704</v>
      </c>
      <c r="B3009" s="10">
        <v>44922</v>
      </c>
      <c r="C3009" s="11">
        <v>44922</v>
      </c>
      <c r="D3009" s="53">
        <v>52</v>
      </c>
      <c r="E3009" s="13" t="s">
        <v>3392</v>
      </c>
      <c r="F3009" s="13">
        <v>3025457</v>
      </c>
      <c r="G3009" s="14">
        <v>7905</v>
      </c>
      <c r="H3009" s="33">
        <f>8750-8635.75</f>
        <v>114.25</v>
      </c>
      <c r="I3009" s="16">
        <f>-H3009*G3009</f>
        <v>-903146.25</v>
      </c>
      <c r="J3009" s="17">
        <v>0</v>
      </c>
      <c r="K3009" s="34">
        <v>4502475040</v>
      </c>
      <c r="L3009" s="19">
        <v>5085199559</v>
      </c>
      <c r="M3009" s="20">
        <v>5113840563</v>
      </c>
      <c r="N3009" s="23"/>
      <c r="O3009" s="9"/>
      <c r="P3009" s="23"/>
      <c r="Q3009" s="24" t="s">
        <v>31</v>
      </c>
      <c r="R3009" s="25">
        <v>44917</v>
      </c>
      <c r="S3009" s="28"/>
      <c r="T3009" s="35"/>
      <c r="U3009" s="35"/>
      <c r="V3009" s="29"/>
      <c r="W3009" s="35"/>
      <c r="X3009" s="29"/>
      <c r="Y3009" s="36"/>
      <c r="Z3009" s="29"/>
      <c r="AA3009" s="31">
        <f t="shared" si="1"/>
        <v>44917</v>
      </c>
      <c r="AB3009" s="32" t="str">
        <f t="shared" si="5"/>
        <v>diciembre</v>
      </c>
    </row>
    <row r="3010" spans="1:28" ht="12.75">
      <c r="A3010" s="9" t="s">
        <v>80</v>
      </c>
      <c r="B3010" s="10">
        <v>44918</v>
      </c>
      <c r="C3010" s="11">
        <v>44922</v>
      </c>
      <c r="D3010" s="53">
        <v>52</v>
      </c>
      <c r="E3010" s="13" t="s">
        <v>3393</v>
      </c>
      <c r="F3010" s="13">
        <v>3025457</v>
      </c>
      <c r="G3010" s="14">
        <v>39728</v>
      </c>
      <c r="H3010" s="15">
        <v>8500</v>
      </c>
      <c r="I3010" s="16">
        <f t="shared" ref="I3010:I3013" si="432">H3010*G3010</f>
        <v>337688000</v>
      </c>
      <c r="J3010" s="17">
        <v>84</v>
      </c>
      <c r="K3010" s="34">
        <v>4502476751</v>
      </c>
      <c r="L3010" s="19">
        <v>5085218654</v>
      </c>
      <c r="M3010" s="20">
        <v>5113845252</v>
      </c>
      <c r="N3010" s="128" t="s">
        <v>37</v>
      </c>
      <c r="O3010" s="88" t="s">
        <v>3394</v>
      </c>
      <c r="P3010" s="23"/>
      <c r="Q3010" s="24" t="s">
        <v>31</v>
      </c>
      <c r="R3010" s="25">
        <v>44918</v>
      </c>
      <c r="S3010" s="28">
        <v>4902413312</v>
      </c>
      <c r="T3010" s="28" t="s">
        <v>3395</v>
      </c>
      <c r="U3010" s="28" t="s">
        <v>3396</v>
      </c>
      <c r="V3010" s="29">
        <v>5113833616</v>
      </c>
      <c r="W3010" s="28" t="s">
        <v>3397</v>
      </c>
      <c r="X3010" s="29">
        <v>5113833671</v>
      </c>
      <c r="Y3010" s="30" t="s">
        <v>3398</v>
      </c>
      <c r="Z3010" s="29">
        <v>5113835310</v>
      </c>
      <c r="AA3010" s="31">
        <f t="shared" si="1"/>
        <v>44918</v>
      </c>
      <c r="AB3010" s="32" t="str">
        <f t="shared" si="5"/>
        <v>diciembre</v>
      </c>
    </row>
    <row r="3011" spans="1:28" ht="12.75">
      <c r="A3011" s="9" t="s">
        <v>80</v>
      </c>
      <c r="B3011" s="10">
        <v>44918</v>
      </c>
      <c r="C3011" s="11">
        <v>44922</v>
      </c>
      <c r="D3011" s="53">
        <v>52</v>
      </c>
      <c r="E3011" s="13">
        <v>17</v>
      </c>
      <c r="F3011" s="13">
        <v>3025457</v>
      </c>
      <c r="G3011" s="14">
        <v>39728</v>
      </c>
      <c r="H3011" s="15">
        <v>24</v>
      </c>
      <c r="I3011" s="16">
        <f t="shared" si="432"/>
        <v>953472</v>
      </c>
      <c r="J3011" s="17">
        <v>0</v>
      </c>
      <c r="K3011" s="34">
        <v>4502476751</v>
      </c>
      <c r="L3011" s="19">
        <v>5085218654</v>
      </c>
      <c r="M3011" s="20">
        <v>5113845253</v>
      </c>
      <c r="N3011" s="23"/>
      <c r="O3011" s="88"/>
      <c r="P3011" s="23"/>
      <c r="Q3011" s="24" t="s">
        <v>31</v>
      </c>
      <c r="R3011" s="25">
        <v>44918</v>
      </c>
      <c r="S3011" s="28"/>
      <c r="T3011" s="28"/>
      <c r="U3011" s="28"/>
      <c r="V3011" s="29"/>
      <c r="W3011" s="28"/>
      <c r="X3011" s="29"/>
      <c r="Y3011" s="30"/>
      <c r="Z3011" s="29"/>
      <c r="AA3011" s="31">
        <f t="shared" si="1"/>
        <v>44918</v>
      </c>
      <c r="AB3011" s="32" t="str">
        <f t="shared" si="5"/>
        <v>diciembre</v>
      </c>
    </row>
    <row r="3012" spans="1:28" ht="12.75">
      <c r="A3012" s="9" t="s">
        <v>28</v>
      </c>
      <c r="B3012" s="10">
        <v>44921</v>
      </c>
      <c r="C3012" s="11">
        <v>44921</v>
      </c>
      <c r="D3012" s="53">
        <v>52</v>
      </c>
      <c r="E3012" s="13" t="s">
        <v>3399</v>
      </c>
      <c r="F3012" s="13">
        <v>3025457</v>
      </c>
      <c r="G3012" s="14">
        <v>71826</v>
      </c>
      <c r="H3012" s="15">
        <v>8300</v>
      </c>
      <c r="I3012" s="16">
        <f t="shared" si="432"/>
        <v>596155800</v>
      </c>
      <c r="J3012" s="17">
        <v>140</v>
      </c>
      <c r="K3012" s="34">
        <v>4502476754</v>
      </c>
      <c r="L3012" s="19">
        <v>5085218655</v>
      </c>
      <c r="M3012" s="20">
        <v>5113836905</v>
      </c>
      <c r="N3012" s="23" t="s">
        <v>37</v>
      </c>
      <c r="O3012" s="88" t="s">
        <v>3400</v>
      </c>
      <c r="P3012" s="23"/>
      <c r="Q3012" s="24" t="s">
        <v>31</v>
      </c>
      <c r="R3012" s="25">
        <v>44918</v>
      </c>
      <c r="S3012" s="28">
        <v>4902413314</v>
      </c>
      <c r="T3012" s="35">
        <f>2979200*10</f>
        <v>29792000</v>
      </c>
      <c r="U3012" s="28" t="s">
        <v>3401</v>
      </c>
      <c r="V3012" s="29">
        <v>5113833674</v>
      </c>
      <c r="W3012" s="35"/>
      <c r="X3012" s="29"/>
      <c r="Y3012" s="36"/>
      <c r="Z3012" s="29"/>
      <c r="AA3012" s="31">
        <f t="shared" si="1"/>
        <v>44918</v>
      </c>
      <c r="AB3012" s="32" t="str">
        <f t="shared" si="5"/>
        <v>diciembre</v>
      </c>
    </row>
    <row r="3013" spans="1:28" ht="12.75">
      <c r="A3013" s="9" t="s">
        <v>331</v>
      </c>
      <c r="B3013" s="10">
        <v>44921</v>
      </c>
      <c r="C3013" s="11">
        <v>44921</v>
      </c>
      <c r="D3013" s="53">
        <v>52</v>
      </c>
      <c r="E3013" s="13" t="s">
        <v>3402</v>
      </c>
      <c r="F3013" s="13">
        <v>3025457</v>
      </c>
      <c r="G3013" s="14">
        <v>6511</v>
      </c>
      <c r="H3013" s="33">
        <v>8700</v>
      </c>
      <c r="I3013" s="16">
        <f t="shared" si="432"/>
        <v>56645700</v>
      </c>
      <c r="J3013" s="17">
        <v>15</v>
      </c>
      <c r="K3013" s="34">
        <v>4502475041</v>
      </c>
      <c r="L3013" s="19">
        <v>5085218865</v>
      </c>
      <c r="M3013" s="20">
        <v>5113836376</v>
      </c>
      <c r="N3013" s="23"/>
      <c r="O3013" s="9" t="s">
        <v>63</v>
      </c>
      <c r="P3013" s="23"/>
      <c r="Q3013" s="24" t="s">
        <v>31</v>
      </c>
      <c r="R3013" s="25">
        <v>44918</v>
      </c>
      <c r="S3013" s="28"/>
      <c r="T3013" s="35"/>
      <c r="U3013" s="35"/>
      <c r="V3013" s="29"/>
      <c r="W3013" s="35"/>
      <c r="X3013" s="29"/>
      <c r="Y3013" s="36"/>
      <c r="Z3013" s="29"/>
      <c r="AA3013" s="31">
        <f t="shared" si="1"/>
        <v>44918</v>
      </c>
      <c r="AB3013" s="32" t="str">
        <f t="shared" si="5"/>
        <v>diciembre</v>
      </c>
    </row>
    <row r="3014" spans="1:28" ht="12.75">
      <c r="A3014" s="9" t="s">
        <v>331</v>
      </c>
      <c r="B3014" s="10">
        <v>44921</v>
      </c>
      <c r="C3014" s="11">
        <v>44921</v>
      </c>
      <c r="D3014" s="53">
        <v>52</v>
      </c>
      <c r="E3014" s="13" t="s">
        <v>2532</v>
      </c>
      <c r="F3014" s="13">
        <v>3025457</v>
      </c>
      <c r="G3014" s="14">
        <v>6511</v>
      </c>
      <c r="H3014" s="33">
        <v>50</v>
      </c>
      <c r="I3014" s="16">
        <f>-H3014*G3014</f>
        <v>-325550</v>
      </c>
      <c r="J3014" s="17">
        <v>0</v>
      </c>
      <c r="K3014" s="34">
        <v>4502475041</v>
      </c>
      <c r="L3014" s="19">
        <v>5085218865</v>
      </c>
      <c r="M3014" s="20">
        <v>5113836388</v>
      </c>
      <c r="N3014" s="23"/>
      <c r="O3014" s="9"/>
      <c r="P3014" s="23"/>
      <c r="Q3014" s="24" t="s">
        <v>31</v>
      </c>
      <c r="R3014" s="25">
        <v>44918</v>
      </c>
      <c r="S3014" s="28"/>
      <c r="T3014" s="35"/>
      <c r="U3014" s="35"/>
      <c r="V3014" s="29"/>
      <c r="W3014" s="35"/>
      <c r="X3014" s="29"/>
      <c r="Y3014" s="36"/>
      <c r="Z3014" s="29"/>
      <c r="AA3014" s="31">
        <f t="shared" si="1"/>
        <v>44918</v>
      </c>
      <c r="AB3014" s="32" t="str">
        <f t="shared" si="5"/>
        <v>diciembre</v>
      </c>
    </row>
    <row r="3015" spans="1:28" ht="12.75">
      <c r="A3015" s="9" t="s">
        <v>633</v>
      </c>
      <c r="B3015" s="10">
        <v>44922</v>
      </c>
      <c r="C3015" s="11">
        <v>44924</v>
      </c>
      <c r="D3015" s="53">
        <v>52</v>
      </c>
      <c r="E3015" s="13" t="s">
        <v>3403</v>
      </c>
      <c r="F3015" s="13">
        <v>3025457</v>
      </c>
      <c r="G3015" s="14">
        <v>6528</v>
      </c>
      <c r="H3015" s="33">
        <v>8750</v>
      </c>
      <c r="I3015" s="16">
        <f t="shared" ref="I3015:I3020" si="433">H3015*G3015</f>
        <v>57120000</v>
      </c>
      <c r="J3015" s="17">
        <v>14</v>
      </c>
      <c r="K3015" s="34">
        <v>4502475042</v>
      </c>
      <c r="L3015" s="19">
        <v>5085218866</v>
      </c>
      <c r="M3015" s="20">
        <v>5113846610</v>
      </c>
      <c r="N3015" s="23"/>
      <c r="O3015" s="9" t="s">
        <v>37</v>
      </c>
      <c r="P3015" s="23"/>
      <c r="Q3015" s="24" t="s">
        <v>31</v>
      </c>
      <c r="R3015" s="25">
        <v>44918</v>
      </c>
      <c r="S3015" s="28"/>
      <c r="T3015" s="35"/>
      <c r="U3015" s="35"/>
      <c r="V3015" s="29"/>
      <c r="W3015" s="35"/>
      <c r="X3015" s="29"/>
      <c r="Y3015" s="36"/>
      <c r="Z3015" s="29"/>
      <c r="AA3015" s="31">
        <f t="shared" si="1"/>
        <v>44918</v>
      </c>
      <c r="AB3015" s="32" t="str">
        <f t="shared" si="5"/>
        <v>diciembre</v>
      </c>
    </row>
    <row r="3016" spans="1:28" ht="12.75">
      <c r="A3016" s="9" t="s">
        <v>58</v>
      </c>
      <c r="B3016" s="10">
        <v>44923</v>
      </c>
      <c r="C3016" s="11">
        <v>44923</v>
      </c>
      <c r="D3016" s="53">
        <v>52</v>
      </c>
      <c r="E3016" s="13" t="s">
        <v>3404</v>
      </c>
      <c r="F3016" s="13">
        <v>3025457</v>
      </c>
      <c r="G3016" s="37">
        <v>20501.5</v>
      </c>
      <c r="H3016" s="33">
        <v>9200</v>
      </c>
      <c r="I3016" s="16">
        <f t="shared" si="433"/>
        <v>188613800</v>
      </c>
      <c r="J3016" s="17">
        <v>45</v>
      </c>
      <c r="K3016" s="34">
        <v>4502475043</v>
      </c>
      <c r="L3016" s="19">
        <v>5085218867</v>
      </c>
      <c r="M3016" s="20">
        <v>5113845193</v>
      </c>
      <c r="N3016" s="23"/>
      <c r="O3016" s="9" t="s">
        <v>37</v>
      </c>
      <c r="P3016" s="23"/>
      <c r="Q3016" s="24" t="s">
        <v>31</v>
      </c>
      <c r="R3016" s="25">
        <v>44918</v>
      </c>
      <c r="S3016" s="28"/>
      <c r="T3016" s="35"/>
      <c r="U3016" s="35"/>
      <c r="V3016" s="29"/>
      <c r="W3016" s="35"/>
      <c r="X3016" s="29"/>
      <c r="Y3016" s="36"/>
      <c r="Z3016" s="29"/>
      <c r="AA3016" s="31">
        <f t="shared" si="1"/>
        <v>44918</v>
      </c>
      <c r="AB3016" s="32" t="str">
        <f t="shared" si="5"/>
        <v>diciembre</v>
      </c>
    </row>
    <row r="3017" spans="1:28" ht="12.75">
      <c r="A3017" s="9" t="s">
        <v>58</v>
      </c>
      <c r="B3017" s="10">
        <v>44923</v>
      </c>
      <c r="C3017" s="11">
        <v>44923</v>
      </c>
      <c r="D3017" s="53">
        <v>52</v>
      </c>
      <c r="E3017" s="13" t="s">
        <v>3404</v>
      </c>
      <c r="F3017" s="13">
        <v>3025457</v>
      </c>
      <c r="G3017" s="14">
        <v>14445.5</v>
      </c>
      <c r="H3017" s="33">
        <v>9200</v>
      </c>
      <c r="I3017" s="16">
        <f t="shared" si="433"/>
        <v>132898600</v>
      </c>
      <c r="J3017" s="17">
        <v>30</v>
      </c>
      <c r="K3017" s="34">
        <v>4502475045</v>
      </c>
      <c r="L3017" s="19">
        <v>5085218867</v>
      </c>
      <c r="M3017" s="20">
        <v>5113845193</v>
      </c>
      <c r="N3017" s="23"/>
      <c r="O3017" s="9" t="s">
        <v>37</v>
      </c>
      <c r="P3017" s="23"/>
      <c r="Q3017" s="24" t="s">
        <v>31</v>
      </c>
      <c r="R3017" s="25">
        <v>44919</v>
      </c>
      <c r="S3017" s="28"/>
      <c r="T3017" s="35"/>
      <c r="U3017" s="35"/>
      <c r="V3017" s="29"/>
      <c r="W3017" s="35"/>
      <c r="X3017" s="29"/>
      <c r="Y3017" s="36"/>
      <c r="Z3017" s="29"/>
      <c r="AA3017" s="31">
        <f t="shared" si="1"/>
        <v>44919</v>
      </c>
      <c r="AB3017" s="32" t="str">
        <f t="shared" si="5"/>
        <v>diciembre</v>
      </c>
    </row>
    <row r="3018" spans="1:28" ht="12.75">
      <c r="A3018" s="9" t="s">
        <v>49</v>
      </c>
      <c r="B3018" s="10">
        <v>44918</v>
      </c>
      <c r="C3018" s="11">
        <v>44923</v>
      </c>
      <c r="D3018" s="53">
        <v>52</v>
      </c>
      <c r="E3018" s="13" t="s">
        <v>3405</v>
      </c>
      <c r="F3018" s="13">
        <v>3025457</v>
      </c>
      <c r="G3018" s="14">
        <v>20509</v>
      </c>
      <c r="H3018" s="15">
        <v>8300</v>
      </c>
      <c r="I3018" s="16">
        <f t="shared" si="433"/>
        <v>170224700</v>
      </c>
      <c r="J3018" s="17">
        <v>42</v>
      </c>
      <c r="K3018" s="34">
        <v>4502476756</v>
      </c>
      <c r="L3018" s="19">
        <v>5085218708</v>
      </c>
      <c r="M3018" s="20">
        <v>5113842275</v>
      </c>
      <c r="N3018" s="9" t="s">
        <v>63</v>
      </c>
      <c r="O3018" s="88" t="s">
        <v>2238</v>
      </c>
      <c r="P3018" s="23"/>
      <c r="Q3018" s="24" t="s">
        <v>31</v>
      </c>
      <c r="R3018" s="25">
        <v>44918</v>
      </c>
      <c r="S3018" s="28">
        <v>4902413315</v>
      </c>
      <c r="T3018" s="35">
        <f>2982600*3</f>
        <v>8947800</v>
      </c>
      <c r="U3018" s="28" t="s">
        <v>3406</v>
      </c>
      <c r="V3018" s="29">
        <v>5113833698</v>
      </c>
      <c r="W3018" s="35"/>
      <c r="X3018" s="29"/>
      <c r="Y3018" s="36"/>
      <c r="Z3018" s="29"/>
      <c r="AA3018" s="31">
        <f t="shared" si="1"/>
        <v>44918</v>
      </c>
      <c r="AB3018" s="32" t="str">
        <f t="shared" si="5"/>
        <v>diciembre</v>
      </c>
    </row>
    <row r="3019" spans="1:28" ht="12.75">
      <c r="A3019" s="9" t="s">
        <v>819</v>
      </c>
      <c r="B3019" s="10">
        <v>44918</v>
      </c>
      <c r="C3019" s="11">
        <v>44922</v>
      </c>
      <c r="D3019" s="53">
        <v>52</v>
      </c>
      <c r="E3019" s="13">
        <v>6218</v>
      </c>
      <c r="F3019" s="13">
        <v>3025457</v>
      </c>
      <c r="G3019" s="14">
        <v>13422</v>
      </c>
      <c r="H3019" s="57">
        <v>9200</v>
      </c>
      <c r="I3019" s="16">
        <f t="shared" si="433"/>
        <v>123482400</v>
      </c>
      <c r="J3019" s="17">
        <v>28</v>
      </c>
      <c r="K3019" s="34">
        <v>4502476781</v>
      </c>
      <c r="L3019" s="19">
        <v>5085218787</v>
      </c>
      <c r="M3019" s="20">
        <v>5113845687</v>
      </c>
      <c r="N3019" s="23"/>
      <c r="O3019" s="9" t="s">
        <v>37</v>
      </c>
      <c r="P3019" s="23"/>
      <c r="Q3019" s="24" t="s">
        <v>357</v>
      </c>
      <c r="R3019" s="25">
        <v>44918</v>
      </c>
      <c r="S3019" s="28"/>
      <c r="T3019" s="35"/>
      <c r="U3019" s="35"/>
      <c r="V3019" s="29"/>
      <c r="W3019" s="35"/>
      <c r="X3019" s="29"/>
      <c r="Y3019" s="36"/>
      <c r="Z3019" s="29"/>
      <c r="AA3019" s="31">
        <f t="shared" si="1"/>
        <v>44918</v>
      </c>
      <c r="AB3019" s="32" t="str">
        <f t="shared" si="5"/>
        <v>diciembre</v>
      </c>
    </row>
    <row r="3020" spans="1:28" ht="12.75">
      <c r="A3020" s="9" t="s">
        <v>213</v>
      </c>
      <c r="B3020" s="10">
        <v>44919</v>
      </c>
      <c r="C3020" s="11"/>
      <c r="D3020" s="53">
        <v>52</v>
      </c>
      <c r="E3020" s="13" t="s">
        <v>3407</v>
      </c>
      <c r="F3020" s="13">
        <v>3025457</v>
      </c>
      <c r="G3020" s="14">
        <v>6374</v>
      </c>
      <c r="H3020" s="33">
        <v>8750</v>
      </c>
      <c r="I3020" s="16">
        <f t="shared" si="433"/>
        <v>55772500</v>
      </c>
      <c r="J3020" s="17">
        <v>15</v>
      </c>
      <c r="K3020" s="34">
        <v>4502475044</v>
      </c>
      <c r="L3020" s="19">
        <v>5085219346</v>
      </c>
      <c r="M3020" s="20">
        <v>5113842456</v>
      </c>
      <c r="N3020" s="128"/>
      <c r="O3020" s="9" t="s">
        <v>37</v>
      </c>
      <c r="P3020" s="23"/>
      <c r="Q3020" s="24" t="s">
        <v>31</v>
      </c>
      <c r="R3020" s="25">
        <v>44919</v>
      </c>
      <c r="S3020" s="28"/>
      <c r="T3020" s="35"/>
      <c r="U3020" s="35"/>
      <c r="V3020" s="29"/>
      <c r="W3020" s="35"/>
      <c r="X3020" s="29"/>
      <c r="Y3020" s="36"/>
      <c r="Z3020" s="29"/>
      <c r="AA3020" s="31">
        <f t="shared" si="1"/>
        <v>44919</v>
      </c>
      <c r="AB3020" s="32" t="str">
        <f t="shared" si="5"/>
        <v>diciembre</v>
      </c>
    </row>
    <row r="3021" spans="1:28" ht="12.75">
      <c r="A3021" s="9" t="s">
        <v>213</v>
      </c>
      <c r="B3021" s="10">
        <v>44919</v>
      </c>
      <c r="C3021" s="11"/>
      <c r="D3021" s="53">
        <v>52</v>
      </c>
      <c r="E3021" s="13" t="s">
        <v>202</v>
      </c>
      <c r="F3021" s="13">
        <v>3025457</v>
      </c>
      <c r="G3021" s="14">
        <v>6374</v>
      </c>
      <c r="H3021" s="33">
        <f>8750-8739.23</f>
        <v>10.770000000000437</v>
      </c>
      <c r="I3021" s="16">
        <f>-H3021*G3021</f>
        <v>-68647.980000002775</v>
      </c>
      <c r="J3021" s="17">
        <v>0</v>
      </c>
      <c r="K3021" s="34">
        <v>4502475044</v>
      </c>
      <c r="L3021" s="19">
        <v>5085219346</v>
      </c>
      <c r="M3021" s="20">
        <v>5113842477</v>
      </c>
      <c r="N3021" s="23"/>
      <c r="O3021" s="9"/>
      <c r="P3021" s="23"/>
      <c r="Q3021" s="24" t="s">
        <v>31</v>
      </c>
      <c r="R3021" s="25">
        <v>44919</v>
      </c>
      <c r="S3021" s="28"/>
      <c r="T3021" s="35"/>
      <c r="U3021" s="35"/>
      <c r="V3021" s="29"/>
      <c r="W3021" s="35"/>
      <c r="X3021" s="29"/>
      <c r="Y3021" s="36"/>
      <c r="Z3021" s="29"/>
      <c r="AA3021" s="31">
        <f t="shared" si="1"/>
        <v>44919</v>
      </c>
      <c r="AB3021" s="32" t="str">
        <f t="shared" si="5"/>
        <v>diciembre</v>
      </c>
    </row>
    <row r="3022" spans="1:28" ht="12.75">
      <c r="A3022" s="22" t="s">
        <v>404</v>
      </c>
      <c r="B3022" s="10">
        <v>44920</v>
      </c>
      <c r="C3022" s="11">
        <v>44924</v>
      </c>
      <c r="D3022" s="53">
        <v>52</v>
      </c>
      <c r="E3022" s="13" t="s">
        <v>3408</v>
      </c>
      <c r="F3022" s="13">
        <v>3025457</v>
      </c>
      <c r="G3022" s="14">
        <v>7268</v>
      </c>
      <c r="H3022" s="33">
        <v>9100</v>
      </c>
      <c r="I3022" s="16">
        <f>H3022*G3022</f>
        <v>66138800</v>
      </c>
      <c r="J3022" s="17">
        <v>14</v>
      </c>
      <c r="K3022" s="34">
        <v>4502475047</v>
      </c>
      <c r="L3022" s="19">
        <v>5085238458</v>
      </c>
      <c r="M3022" s="20">
        <v>5113845254</v>
      </c>
      <c r="N3022" s="23"/>
      <c r="O3022" s="88" t="s">
        <v>37</v>
      </c>
      <c r="P3022" s="23"/>
      <c r="Q3022" s="24" t="s">
        <v>31</v>
      </c>
      <c r="R3022" s="25">
        <v>44921</v>
      </c>
      <c r="S3022" s="28"/>
      <c r="T3022" s="35"/>
      <c r="U3022" s="35"/>
      <c r="V3022" s="29"/>
      <c r="W3022" s="35"/>
      <c r="X3022" s="29"/>
      <c r="Y3022" s="36"/>
      <c r="Z3022" s="29"/>
      <c r="AA3022" s="31">
        <f t="shared" si="1"/>
        <v>44921</v>
      </c>
      <c r="AB3022" s="32" t="str">
        <f t="shared" si="5"/>
        <v>diciembre</v>
      </c>
    </row>
    <row r="3023" spans="1:28" ht="12.75">
      <c r="A3023" s="22" t="s">
        <v>404</v>
      </c>
      <c r="B3023" s="10">
        <v>44923</v>
      </c>
      <c r="C3023" s="11">
        <v>44923</v>
      </c>
      <c r="D3023" s="53">
        <v>52</v>
      </c>
      <c r="E3023" s="13" t="s">
        <v>1025</v>
      </c>
      <c r="F3023" s="13">
        <v>3025457</v>
      </c>
      <c r="G3023" s="14">
        <v>7268</v>
      </c>
      <c r="H3023" s="33">
        <f>9100-9041.27</f>
        <v>58.729999999999563</v>
      </c>
      <c r="I3023" s="16">
        <f>-H3023*G3023</f>
        <v>-426849.63999999681</v>
      </c>
      <c r="J3023" s="17">
        <v>0</v>
      </c>
      <c r="K3023" s="34">
        <v>4502475047</v>
      </c>
      <c r="L3023" s="19">
        <v>5085238458</v>
      </c>
      <c r="M3023" s="20">
        <v>5113845256</v>
      </c>
      <c r="N3023" s="23"/>
      <c r="O3023" s="9"/>
      <c r="P3023" s="23"/>
      <c r="Q3023" s="24" t="s">
        <v>31</v>
      </c>
      <c r="R3023" s="25">
        <v>44921</v>
      </c>
      <c r="S3023" s="28"/>
      <c r="T3023" s="35"/>
      <c r="U3023" s="35"/>
      <c r="V3023" s="29"/>
      <c r="W3023" s="35"/>
      <c r="X3023" s="29"/>
      <c r="Y3023" s="36"/>
      <c r="Z3023" s="29"/>
      <c r="AA3023" s="31">
        <f t="shared" si="1"/>
        <v>44921</v>
      </c>
      <c r="AB3023" s="32" t="str">
        <f t="shared" si="5"/>
        <v>diciembre</v>
      </c>
    </row>
    <row r="3024" spans="1:28" ht="12.75">
      <c r="A3024" s="9" t="s">
        <v>58</v>
      </c>
      <c r="B3024" s="10">
        <v>44925</v>
      </c>
      <c r="C3024" s="11">
        <v>44925</v>
      </c>
      <c r="D3024" s="53">
        <v>52</v>
      </c>
      <c r="E3024" s="13" t="s">
        <v>3409</v>
      </c>
      <c r="F3024" s="13">
        <v>3025457</v>
      </c>
      <c r="G3024" s="37">
        <v>63586.5</v>
      </c>
      <c r="H3024" s="33">
        <v>9200</v>
      </c>
      <c r="I3024" s="16">
        <f t="shared" ref="I3024:I3025" si="434">H3024*G3024</f>
        <v>584995800</v>
      </c>
      <c r="J3024" s="17">
        <v>135</v>
      </c>
      <c r="K3024" s="34">
        <v>4502475048</v>
      </c>
      <c r="L3024" s="19">
        <v>5085238460</v>
      </c>
      <c r="M3024" s="20">
        <v>5113849071</v>
      </c>
      <c r="N3024" s="23" t="s">
        <v>37</v>
      </c>
      <c r="O3024" s="9"/>
      <c r="P3024" s="23"/>
      <c r="Q3024" s="24" t="s">
        <v>31</v>
      </c>
      <c r="R3024" s="25">
        <v>44921</v>
      </c>
      <c r="S3024" s="28"/>
      <c r="T3024" s="35"/>
      <c r="U3024" s="35"/>
      <c r="V3024" s="29"/>
      <c r="W3024" s="35"/>
      <c r="X3024" s="29"/>
      <c r="Y3024" s="36"/>
      <c r="Z3024" s="29"/>
      <c r="AA3024" s="31">
        <f t="shared" si="1"/>
        <v>44921</v>
      </c>
      <c r="AB3024" s="32" t="str">
        <f t="shared" si="5"/>
        <v>diciembre</v>
      </c>
    </row>
    <row r="3025" spans="1:28" ht="12.75">
      <c r="A3025" s="9" t="s">
        <v>58</v>
      </c>
      <c r="B3025" s="10">
        <v>44925</v>
      </c>
      <c r="C3025" s="11">
        <v>44925</v>
      </c>
      <c r="D3025" s="53">
        <v>52</v>
      </c>
      <c r="E3025" s="13" t="s">
        <v>3409</v>
      </c>
      <c r="F3025" s="13">
        <v>3025459</v>
      </c>
      <c r="G3025" s="14">
        <v>9305</v>
      </c>
      <c r="H3025" s="33">
        <v>9200</v>
      </c>
      <c r="I3025" s="16">
        <f t="shared" si="434"/>
        <v>85606000</v>
      </c>
      <c r="J3025" s="17">
        <v>15</v>
      </c>
      <c r="K3025" s="34">
        <v>4502475049</v>
      </c>
      <c r="L3025" s="19">
        <v>5085238460</v>
      </c>
      <c r="M3025" s="20">
        <v>5113849071</v>
      </c>
      <c r="N3025" s="23" t="s">
        <v>37</v>
      </c>
      <c r="O3025" s="9"/>
      <c r="P3025" s="23"/>
      <c r="Q3025" s="24" t="s">
        <v>31</v>
      </c>
      <c r="R3025" s="25">
        <v>44921</v>
      </c>
      <c r="S3025" s="28"/>
      <c r="T3025" s="35"/>
      <c r="U3025" s="35"/>
      <c r="V3025" s="29"/>
      <c r="W3025" s="35"/>
      <c r="X3025" s="29"/>
      <c r="Y3025" s="36"/>
      <c r="Z3025" s="29"/>
      <c r="AA3025" s="31">
        <f t="shared" si="1"/>
        <v>44921</v>
      </c>
      <c r="AB3025" s="32" t="str">
        <f t="shared" si="5"/>
        <v>diciembre</v>
      </c>
    </row>
    <row r="3026" spans="1:28" ht="12.75">
      <c r="A3026" s="9" t="s">
        <v>58</v>
      </c>
      <c r="B3026" s="10">
        <v>44925</v>
      </c>
      <c r="C3026" s="11">
        <v>44925</v>
      </c>
      <c r="D3026" s="53">
        <v>52</v>
      </c>
      <c r="E3026" s="13" t="s">
        <v>3410</v>
      </c>
      <c r="F3026" s="13">
        <v>3025457</v>
      </c>
      <c r="G3026" s="37">
        <v>72891.5</v>
      </c>
      <c r="H3026" s="33">
        <f>9200-9140.5</f>
        <v>59.5</v>
      </c>
      <c r="I3026" s="16">
        <f>-H3026*G3026</f>
        <v>-4337044.25</v>
      </c>
      <c r="J3026" s="17">
        <v>0</v>
      </c>
      <c r="K3026" s="34">
        <v>4502475048</v>
      </c>
      <c r="L3026" s="19">
        <v>5085238460</v>
      </c>
      <c r="M3026" s="20">
        <v>5113849076</v>
      </c>
      <c r="N3026" s="23"/>
      <c r="O3026" s="9"/>
      <c r="P3026" s="23"/>
      <c r="Q3026" s="24" t="s">
        <v>31</v>
      </c>
      <c r="R3026" s="25">
        <v>44921</v>
      </c>
      <c r="S3026" s="28"/>
      <c r="T3026" s="35"/>
      <c r="U3026" s="35"/>
      <c r="V3026" s="29"/>
      <c r="W3026" s="35"/>
      <c r="X3026" s="29"/>
      <c r="Y3026" s="36"/>
      <c r="Z3026" s="29"/>
      <c r="AA3026" s="31">
        <f t="shared" si="1"/>
        <v>44921</v>
      </c>
      <c r="AB3026" s="32" t="str">
        <f t="shared" si="5"/>
        <v>diciembre</v>
      </c>
    </row>
    <row r="3027" spans="1:28" ht="12.75">
      <c r="A3027" s="9" t="s">
        <v>58</v>
      </c>
      <c r="B3027" s="10">
        <v>44925</v>
      </c>
      <c r="C3027" s="11">
        <v>44925</v>
      </c>
      <c r="D3027" s="53">
        <v>52</v>
      </c>
      <c r="E3027" s="13" t="s">
        <v>3411</v>
      </c>
      <c r="F3027" s="13">
        <v>3025459</v>
      </c>
      <c r="G3027" s="37">
        <v>28307.5</v>
      </c>
      <c r="H3027" s="33">
        <v>9200</v>
      </c>
      <c r="I3027" s="16">
        <f>H3027*G3027</f>
        <v>260429000</v>
      </c>
      <c r="J3027" s="17">
        <v>60</v>
      </c>
      <c r="K3027" s="34">
        <v>4502475049</v>
      </c>
      <c r="L3027" s="19">
        <v>5085238463</v>
      </c>
      <c r="M3027" s="20">
        <v>5113849067</v>
      </c>
      <c r="N3027" s="23" t="s">
        <v>37</v>
      </c>
      <c r="O3027" s="9"/>
      <c r="P3027" s="23"/>
      <c r="Q3027" s="24" t="s">
        <v>31</v>
      </c>
      <c r="R3027" s="25">
        <v>44921</v>
      </c>
      <c r="S3027" s="28"/>
      <c r="T3027" s="35"/>
      <c r="U3027" s="35"/>
      <c r="V3027" s="29"/>
      <c r="W3027" s="35"/>
      <c r="X3027" s="29"/>
      <c r="Y3027" s="36"/>
      <c r="Z3027" s="29"/>
      <c r="AA3027" s="31">
        <f t="shared" si="1"/>
        <v>44921</v>
      </c>
      <c r="AB3027" s="32" t="str">
        <f t="shared" si="5"/>
        <v>diciembre</v>
      </c>
    </row>
    <row r="3028" spans="1:28" ht="12.75">
      <c r="A3028" s="9" t="s">
        <v>58</v>
      </c>
      <c r="B3028" s="10">
        <v>44925</v>
      </c>
      <c r="C3028" s="11">
        <v>44925</v>
      </c>
      <c r="D3028" s="53">
        <v>52</v>
      </c>
      <c r="E3028" s="13" t="s">
        <v>3412</v>
      </c>
      <c r="F3028" s="13">
        <v>3025459</v>
      </c>
      <c r="G3028" s="37">
        <v>28307.5</v>
      </c>
      <c r="H3028" s="33">
        <f>9200-9198.67</f>
        <v>1.3299999999999272</v>
      </c>
      <c r="I3028" s="16">
        <f>-H3028*G3028</f>
        <v>-37648.974999997939</v>
      </c>
      <c r="J3028" s="17">
        <v>0</v>
      </c>
      <c r="K3028" s="34">
        <v>4502475049</v>
      </c>
      <c r="L3028" s="19">
        <v>5085238463</v>
      </c>
      <c r="M3028" s="20">
        <v>5113849068</v>
      </c>
      <c r="N3028" s="23"/>
      <c r="O3028" s="9"/>
      <c r="P3028" s="23"/>
      <c r="Q3028" s="24" t="s">
        <v>31</v>
      </c>
      <c r="R3028" s="25">
        <v>44921</v>
      </c>
      <c r="S3028" s="28"/>
      <c r="T3028" s="35"/>
      <c r="U3028" s="35"/>
      <c r="V3028" s="29"/>
      <c r="W3028" s="35"/>
      <c r="X3028" s="29"/>
      <c r="Y3028" s="36"/>
      <c r="Z3028" s="29"/>
      <c r="AA3028" s="31">
        <f t="shared" si="1"/>
        <v>44921</v>
      </c>
      <c r="AB3028" s="32" t="str">
        <f t="shared" si="5"/>
        <v>diciembre</v>
      </c>
    </row>
    <row r="3029" spans="1:28" ht="12.75">
      <c r="A3029" s="9" t="s">
        <v>58</v>
      </c>
      <c r="B3029" s="10">
        <v>44923</v>
      </c>
      <c r="C3029" s="11">
        <v>44923</v>
      </c>
      <c r="D3029" s="53">
        <v>52</v>
      </c>
      <c r="E3029" s="13" t="s">
        <v>3413</v>
      </c>
      <c r="F3029" s="13">
        <v>3025462</v>
      </c>
      <c r="G3029" s="14">
        <v>14162</v>
      </c>
      <c r="H3029" s="57">
        <v>7800</v>
      </c>
      <c r="I3029" s="16">
        <f>H3029*G3029</f>
        <v>110463600</v>
      </c>
      <c r="J3029" s="17">
        <v>62</v>
      </c>
      <c r="K3029" s="34">
        <v>4502478777</v>
      </c>
      <c r="L3029" s="19">
        <v>5085275913</v>
      </c>
      <c r="M3029" s="20">
        <v>5113845194</v>
      </c>
      <c r="N3029" s="23"/>
      <c r="O3029" s="9" t="s">
        <v>37</v>
      </c>
      <c r="P3029" s="23"/>
      <c r="Q3029" s="24" t="s">
        <v>357</v>
      </c>
      <c r="R3029" s="25">
        <v>44922</v>
      </c>
      <c r="S3029" s="28"/>
      <c r="T3029" s="35"/>
      <c r="U3029" s="35"/>
      <c r="V3029" s="29"/>
      <c r="W3029" s="35"/>
      <c r="X3029" s="29"/>
      <c r="Y3029" s="36"/>
      <c r="Z3029" s="29"/>
      <c r="AA3029" s="31">
        <f t="shared" si="1"/>
        <v>44922</v>
      </c>
      <c r="AB3029" s="32" t="str">
        <f t="shared" si="5"/>
        <v>diciembre</v>
      </c>
    </row>
    <row r="3030" spans="1:28" ht="12.75">
      <c r="A3030" s="9"/>
      <c r="B3030" s="10"/>
      <c r="C3030" s="11"/>
      <c r="D3030" s="53"/>
      <c r="E3030" s="13"/>
      <c r="F3030" s="13"/>
      <c r="G3030" s="14"/>
      <c r="H3030" s="33"/>
      <c r="I3030" s="16"/>
      <c r="J3030" s="17"/>
      <c r="K3030" s="34" t="s">
        <v>3414</v>
      </c>
      <c r="L3030" s="19"/>
      <c r="M3030" s="20"/>
      <c r="N3030" s="23"/>
      <c r="O3030" s="9"/>
      <c r="P3030" s="23"/>
      <c r="Q3030" s="24"/>
      <c r="R3030" s="25"/>
      <c r="S3030" s="28"/>
      <c r="T3030" s="35"/>
      <c r="U3030" s="35"/>
      <c r="V3030" s="29"/>
      <c r="W3030" s="35"/>
      <c r="X3030" s="29"/>
      <c r="Y3030" s="36"/>
      <c r="Z3030" s="29"/>
      <c r="AA3030" s="31"/>
      <c r="AB3030" s="32"/>
    </row>
    <row r="3031" spans="1:28" ht="12.75">
      <c r="A3031" s="9"/>
      <c r="B3031" s="10"/>
      <c r="C3031" s="11"/>
      <c r="D3031" s="53"/>
      <c r="E3031" s="13"/>
      <c r="F3031" s="13"/>
      <c r="G3031" s="14"/>
      <c r="H3031" s="33"/>
      <c r="I3031" s="16"/>
      <c r="J3031" s="17"/>
      <c r="K3031" s="34" t="s">
        <v>3414</v>
      </c>
      <c r="L3031" s="19"/>
      <c r="M3031" s="20"/>
      <c r="N3031" s="23"/>
      <c r="O3031" s="9"/>
      <c r="P3031" s="23"/>
      <c r="Q3031" s="24"/>
      <c r="R3031" s="25"/>
      <c r="S3031" s="28"/>
      <c r="T3031" s="35"/>
      <c r="U3031" s="35"/>
      <c r="V3031" s="29"/>
      <c r="W3031" s="35"/>
      <c r="X3031" s="29"/>
      <c r="Y3031" s="36"/>
      <c r="Z3031" s="29"/>
      <c r="AA3031" s="31"/>
      <c r="AB3031" s="32"/>
    </row>
    <row r="3032" spans="1:28" ht="12.75">
      <c r="A3032" s="9"/>
      <c r="B3032" s="10"/>
      <c r="C3032" s="11"/>
      <c r="D3032" s="53"/>
      <c r="E3032" s="13"/>
      <c r="F3032" s="13"/>
      <c r="G3032" s="14"/>
      <c r="H3032" s="33"/>
      <c r="I3032" s="16"/>
      <c r="J3032" s="17"/>
      <c r="K3032" s="34" t="s">
        <v>3414</v>
      </c>
      <c r="L3032" s="19"/>
      <c r="M3032" s="20"/>
      <c r="N3032" s="23"/>
      <c r="O3032" s="9"/>
      <c r="P3032" s="23"/>
      <c r="Q3032" s="24"/>
      <c r="R3032" s="25"/>
      <c r="S3032" s="28"/>
      <c r="T3032" s="35"/>
      <c r="U3032" s="35"/>
      <c r="V3032" s="29"/>
      <c r="W3032" s="35"/>
      <c r="X3032" s="29"/>
      <c r="Y3032" s="36"/>
      <c r="Z3032" s="29"/>
      <c r="AA3032" s="31"/>
      <c r="AB3032" s="32"/>
    </row>
    <row r="3033" spans="1:28" ht="12.75">
      <c r="A3033" s="9"/>
      <c r="B3033" s="10"/>
      <c r="C3033" s="11"/>
      <c r="D3033" s="53"/>
      <c r="E3033" s="13"/>
      <c r="F3033" s="13"/>
      <c r="G3033" s="14"/>
      <c r="H3033" s="33"/>
      <c r="I3033" s="16"/>
      <c r="J3033" s="17"/>
      <c r="K3033" s="34"/>
      <c r="L3033" s="19"/>
      <c r="M3033" s="20"/>
      <c r="N3033" s="23"/>
      <c r="O3033" s="9"/>
      <c r="P3033" s="23"/>
      <c r="Q3033" s="24"/>
      <c r="R3033" s="25"/>
      <c r="S3033" s="28"/>
      <c r="T3033" s="35"/>
      <c r="U3033" s="35"/>
      <c r="V3033" s="29"/>
      <c r="W3033" s="35"/>
      <c r="X3033" s="29"/>
      <c r="Y3033" s="36"/>
      <c r="Z3033" s="29"/>
      <c r="AA3033" s="31"/>
      <c r="AB3033" s="32"/>
    </row>
    <row r="3034" spans="1:28" ht="12.75">
      <c r="M3034" s="172"/>
    </row>
    <row r="3035" spans="1:28" ht="12.75">
      <c r="M3035" s="172"/>
    </row>
    <row r="3036" spans="1:28" ht="12.75">
      <c r="M3036" s="172"/>
    </row>
    <row r="3037" spans="1:28" ht="12.75">
      <c r="M3037" s="172"/>
    </row>
    <row r="3038" spans="1:28" ht="12.75">
      <c r="M3038" s="172"/>
    </row>
    <row r="3039" spans="1:28" ht="12.75">
      <c r="M3039" s="172"/>
    </row>
    <row r="3040" spans="1:28" ht="12.75">
      <c r="M3040" s="172"/>
    </row>
    <row r="3041" spans="13:13" ht="12.75">
      <c r="M3041" s="172"/>
    </row>
    <row r="3042" spans="13:13" ht="12.75">
      <c r="M3042" s="172"/>
    </row>
    <row r="3043" spans="13:13" ht="12.75">
      <c r="M3043" s="172"/>
    </row>
    <row r="3044" spans="13:13" ht="12.75">
      <c r="M3044" s="172"/>
    </row>
    <row r="3045" spans="13:13" ht="12.75">
      <c r="M3045" s="172"/>
    </row>
    <row r="3046" spans="13:13" ht="12.75">
      <c r="M3046" s="172"/>
    </row>
    <row r="3047" spans="13:13" ht="12.75">
      <c r="M3047" s="172"/>
    </row>
    <row r="3048" spans="13:13" ht="12.75">
      <c r="M3048" s="172"/>
    </row>
    <row r="3049" spans="13:13" ht="12.75">
      <c r="M3049" s="172"/>
    </row>
    <row r="3050" spans="13:13" ht="12.75">
      <c r="M3050" s="172"/>
    </row>
    <row r="3051" spans="13:13" ht="12.75">
      <c r="M3051" s="172"/>
    </row>
    <row r="3052" spans="13:13" ht="12.75">
      <c r="M3052" s="172"/>
    </row>
    <row r="3053" spans="13:13" ht="12.75">
      <c r="M3053" s="172"/>
    </row>
    <row r="3054" spans="13:13" ht="12.75">
      <c r="M3054" s="172"/>
    </row>
    <row r="3055" spans="13:13" ht="12.75">
      <c r="M3055" s="172"/>
    </row>
    <row r="3056" spans="13:13" ht="12.75">
      <c r="M3056" s="172"/>
    </row>
    <row r="3057" spans="13:13" ht="12.75">
      <c r="M3057" s="172"/>
    </row>
    <row r="3058" spans="13:13" ht="12.75">
      <c r="M3058" s="172"/>
    </row>
    <row r="3059" spans="13:13" ht="12.75">
      <c r="M3059" s="172"/>
    </row>
    <row r="3060" spans="13:13" ht="12.75">
      <c r="M3060" s="172"/>
    </row>
    <row r="3061" spans="13:13" ht="12.75">
      <c r="M3061" s="172"/>
    </row>
    <row r="3062" spans="13:13" ht="12.75">
      <c r="M3062" s="172"/>
    </row>
    <row r="3063" spans="13:13" ht="12.75">
      <c r="M3063" s="172"/>
    </row>
    <row r="3064" spans="13:13" ht="12.75">
      <c r="M3064" s="172"/>
    </row>
    <row r="3065" spans="13:13" ht="12.75">
      <c r="M3065" s="172"/>
    </row>
    <row r="3066" spans="13:13" ht="12.75">
      <c r="M3066" s="172"/>
    </row>
    <row r="3067" spans="13:13" ht="12.75">
      <c r="M3067" s="172"/>
    </row>
    <row r="3068" spans="13:13" ht="12.75">
      <c r="M3068" s="172"/>
    </row>
    <row r="3069" spans="13:13" ht="12.75">
      <c r="M3069" s="172"/>
    </row>
    <row r="3070" spans="13:13" ht="12.75">
      <c r="M3070" s="172"/>
    </row>
    <row r="3071" spans="13:13" ht="12.75">
      <c r="M3071" s="172"/>
    </row>
    <row r="3072" spans="13:13" ht="12.75">
      <c r="M3072" s="172"/>
    </row>
    <row r="3073" spans="13:13" ht="12.75">
      <c r="M3073" s="172"/>
    </row>
    <row r="3074" spans="13:13" ht="12.75">
      <c r="M3074" s="172"/>
    </row>
    <row r="3075" spans="13:13" ht="12.75">
      <c r="M3075" s="172"/>
    </row>
    <row r="3076" spans="13:13" ht="12.75">
      <c r="M3076" s="172"/>
    </row>
    <row r="3077" spans="13:13" ht="12.75">
      <c r="M3077" s="172"/>
    </row>
    <row r="3078" spans="13:13" ht="12.75">
      <c r="M3078" s="172"/>
    </row>
    <row r="3079" spans="13:13" ht="12.75">
      <c r="M3079" s="172"/>
    </row>
    <row r="3080" spans="13:13" ht="12.75">
      <c r="M3080" s="172"/>
    </row>
    <row r="3081" spans="13:13" ht="12.75">
      <c r="M3081" s="172"/>
    </row>
    <row r="3082" spans="13:13" ht="12.75">
      <c r="M3082" s="172"/>
    </row>
    <row r="3083" spans="13:13" ht="12.75">
      <c r="M3083" s="172"/>
    </row>
    <row r="3084" spans="13:13" ht="12.75">
      <c r="M3084" s="172"/>
    </row>
    <row r="3085" spans="13:13" ht="12.75">
      <c r="M3085" s="172"/>
    </row>
    <row r="3086" spans="13:13" ht="12.75">
      <c r="M3086" s="172"/>
    </row>
    <row r="3087" spans="13:13" ht="12.75">
      <c r="M3087" s="172"/>
    </row>
    <row r="3088" spans="13:13" ht="12.75">
      <c r="M3088" s="172"/>
    </row>
    <row r="3089" spans="13:13" ht="12.75">
      <c r="M3089" s="172"/>
    </row>
    <row r="3090" spans="13:13" ht="12.75">
      <c r="M3090" s="172"/>
    </row>
    <row r="3091" spans="13:13" ht="12.75">
      <c r="M3091" s="172"/>
    </row>
    <row r="3092" spans="13:13" ht="12.75">
      <c r="M3092" s="172"/>
    </row>
    <row r="3093" spans="13:13" ht="12.75">
      <c r="M3093" s="172"/>
    </row>
    <row r="3094" spans="13:13" ht="12.75">
      <c r="M3094" s="172"/>
    </row>
    <row r="3095" spans="13:13" ht="12.75">
      <c r="M3095" s="172"/>
    </row>
    <row r="3096" spans="13:13" ht="12.75">
      <c r="M3096" s="172"/>
    </row>
    <row r="3097" spans="13:13" ht="12.75">
      <c r="M3097" s="172"/>
    </row>
    <row r="3098" spans="13:13" ht="12.75">
      <c r="M3098" s="172"/>
    </row>
    <row r="3099" spans="13:13" ht="12.75">
      <c r="M3099" s="172"/>
    </row>
    <row r="3100" spans="13:13" ht="12.75">
      <c r="M3100" s="172"/>
    </row>
    <row r="3101" spans="13:13" ht="12.75">
      <c r="M3101" s="172"/>
    </row>
    <row r="3102" spans="13:13" ht="12.75">
      <c r="M3102" s="172"/>
    </row>
    <row r="3103" spans="13:13" ht="12.75">
      <c r="M3103" s="172"/>
    </row>
    <row r="3104" spans="13:13" ht="12.75">
      <c r="M3104" s="172"/>
    </row>
    <row r="3105" spans="13:13" ht="12.75">
      <c r="M3105" s="172"/>
    </row>
    <row r="3106" spans="13:13" ht="12.75">
      <c r="M3106" s="172"/>
    </row>
    <row r="3107" spans="13:13" ht="12.75">
      <c r="M3107" s="172"/>
    </row>
    <row r="3108" spans="13:13" ht="12.75">
      <c r="M3108" s="172"/>
    </row>
    <row r="3109" spans="13:13" ht="12.75">
      <c r="M3109" s="172"/>
    </row>
    <row r="3110" spans="13:13" ht="12.75">
      <c r="M3110" s="172"/>
    </row>
    <row r="3111" spans="13:13" ht="12.75">
      <c r="M3111" s="172"/>
    </row>
    <row r="3112" spans="13:13" ht="12.75">
      <c r="M3112" s="172"/>
    </row>
    <row r="3113" spans="13:13" ht="12.75">
      <c r="M3113" s="172"/>
    </row>
    <row r="3114" spans="13:13" ht="12.75">
      <c r="M3114" s="172"/>
    </row>
    <row r="3115" spans="13:13" ht="12.75">
      <c r="M3115" s="172"/>
    </row>
    <row r="3116" spans="13:13" ht="12.75">
      <c r="M3116" s="172"/>
    </row>
    <row r="3117" spans="13:13" ht="12.75">
      <c r="M3117" s="172"/>
    </row>
    <row r="3118" spans="13:13" ht="12.75">
      <c r="M3118" s="172"/>
    </row>
    <row r="3119" spans="13:13" ht="12.75">
      <c r="M3119" s="172"/>
    </row>
    <row r="3120" spans="13:13" ht="12.75">
      <c r="M3120" s="172"/>
    </row>
    <row r="3121" spans="13:13" ht="12.75">
      <c r="M3121" s="172"/>
    </row>
    <row r="3122" spans="13:13" ht="12.75">
      <c r="M3122" s="172"/>
    </row>
    <row r="3123" spans="13:13" ht="12.75">
      <c r="M3123" s="172"/>
    </row>
    <row r="3124" spans="13:13" ht="12.75">
      <c r="M3124" s="172"/>
    </row>
    <row r="3125" spans="13:13" ht="12.75">
      <c r="M3125" s="172"/>
    </row>
    <row r="3126" spans="13:13" ht="12.75">
      <c r="M3126" s="172"/>
    </row>
    <row r="3127" spans="13:13" ht="12.75">
      <c r="M3127" s="172"/>
    </row>
    <row r="3128" spans="13:13" ht="12.75">
      <c r="M3128" s="172"/>
    </row>
    <row r="3129" spans="13:13" ht="12.75">
      <c r="M3129" s="172"/>
    </row>
    <row r="3130" spans="13:13" ht="12.75">
      <c r="M3130" s="172"/>
    </row>
    <row r="3131" spans="13:13" ht="12.75">
      <c r="M3131" s="172"/>
    </row>
    <row r="3132" spans="13:13" ht="12.75">
      <c r="M3132" s="172"/>
    </row>
    <row r="3133" spans="13:13" ht="12.75">
      <c r="M3133" s="172"/>
    </row>
    <row r="3134" spans="13:13" ht="12.75">
      <c r="M3134" s="172"/>
    </row>
    <row r="3135" spans="13:13" ht="12.75">
      <c r="M3135" s="172"/>
    </row>
    <row r="3136" spans="13:13" ht="12.75">
      <c r="M3136" s="172"/>
    </row>
    <row r="3137" spans="1:28" ht="12.75">
      <c r="A3137" s="22"/>
      <c r="B3137" s="10"/>
      <c r="C3137" s="11"/>
      <c r="D3137" s="42"/>
      <c r="E3137" s="13"/>
      <c r="F3137" s="13"/>
      <c r="G3137" s="14"/>
      <c r="H3137" s="33"/>
      <c r="I3137" s="16"/>
      <c r="J3137" s="17"/>
      <c r="K3137" s="34" t="s">
        <v>3414</v>
      </c>
      <c r="L3137" s="126"/>
      <c r="M3137" s="20"/>
      <c r="N3137" s="128"/>
      <c r="O3137" s="9"/>
      <c r="P3137" s="23"/>
      <c r="Q3137" s="24"/>
      <c r="R3137" s="25"/>
      <c r="S3137" s="28"/>
      <c r="T3137" s="35"/>
      <c r="U3137" s="35"/>
      <c r="V3137" s="29"/>
      <c r="W3137" s="35"/>
      <c r="X3137" s="29"/>
      <c r="Y3137" s="36"/>
      <c r="Z3137" s="29"/>
      <c r="AA3137" s="31"/>
      <c r="AB3137" s="32" t="str">
        <f t="shared" ref="AB3137:AB3173" si="435">CONCATENATE(TEXT(AA3137,"MMMM"))</f>
        <v>enero</v>
      </c>
    </row>
    <row r="3138" spans="1:28" ht="12.75">
      <c r="A3138" s="22"/>
      <c r="B3138" s="10"/>
      <c r="C3138" s="11"/>
      <c r="D3138" s="42"/>
      <c r="E3138" s="13"/>
      <c r="F3138" s="13"/>
      <c r="G3138" s="14"/>
      <c r="H3138" s="33"/>
      <c r="I3138" s="16"/>
      <c r="J3138" s="17"/>
      <c r="K3138" s="34" t="s">
        <v>3414</v>
      </c>
      <c r="L3138" s="126"/>
      <c r="M3138" s="20"/>
      <c r="N3138" s="128"/>
      <c r="O3138" s="9"/>
      <c r="P3138" s="23"/>
      <c r="Q3138" s="24"/>
      <c r="R3138" s="25"/>
      <c r="S3138" s="28"/>
      <c r="T3138" s="35"/>
      <c r="U3138" s="35"/>
      <c r="V3138" s="29"/>
      <c r="W3138" s="35"/>
      <c r="X3138" s="29"/>
      <c r="Y3138" s="36"/>
      <c r="Z3138" s="29"/>
      <c r="AA3138" s="31"/>
      <c r="AB3138" s="32" t="str">
        <f t="shared" si="435"/>
        <v>enero</v>
      </c>
    </row>
    <row r="3139" spans="1:28" ht="12.75">
      <c r="A3139" s="173"/>
      <c r="B3139" s="174"/>
      <c r="C3139" s="11"/>
      <c r="D3139" s="175"/>
      <c r="E3139" s="176"/>
      <c r="F3139" s="177"/>
      <c r="G3139" s="178"/>
      <c r="H3139" s="177"/>
      <c r="I3139" s="177"/>
      <c r="J3139" s="179"/>
      <c r="K3139" s="34" t="s">
        <v>3414</v>
      </c>
      <c r="L3139" s="176"/>
      <c r="M3139" s="177"/>
      <c r="N3139" s="21"/>
      <c r="O3139" s="45"/>
      <c r="P3139" s="24"/>
      <c r="Q3139" s="24"/>
      <c r="R3139" s="180"/>
      <c r="S3139" s="181"/>
      <c r="T3139" s="35"/>
      <c r="U3139" s="35"/>
      <c r="V3139" s="35"/>
      <c r="W3139" s="35"/>
      <c r="X3139" s="35"/>
      <c r="Y3139" s="182"/>
      <c r="Z3139" s="175"/>
      <c r="AA3139" s="182"/>
      <c r="AB3139" s="32" t="str">
        <f t="shared" si="435"/>
        <v>enero</v>
      </c>
    </row>
    <row r="3140" spans="1:28" ht="12.75">
      <c r="A3140" s="173"/>
      <c r="B3140" s="174"/>
      <c r="C3140" s="11"/>
      <c r="D3140" s="175"/>
      <c r="E3140" s="176"/>
      <c r="F3140" s="177"/>
      <c r="G3140" s="178"/>
      <c r="H3140" s="177"/>
      <c r="I3140" s="177"/>
      <c r="J3140" s="179"/>
      <c r="K3140" s="34" t="s">
        <v>3414</v>
      </c>
      <c r="L3140" s="176"/>
      <c r="M3140" s="177"/>
      <c r="N3140" s="21"/>
      <c r="O3140" s="45"/>
      <c r="P3140" s="24"/>
      <c r="Q3140" s="24"/>
      <c r="R3140" s="180"/>
      <c r="S3140" s="181"/>
      <c r="T3140" s="35"/>
      <c r="U3140" s="35"/>
      <c r="V3140" s="35"/>
      <c r="W3140" s="35"/>
      <c r="X3140" s="35"/>
      <c r="Y3140" s="182"/>
      <c r="Z3140" s="175"/>
      <c r="AA3140" s="182"/>
      <c r="AB3140" s="32" t="str">
        <f t="shared" si="435"/>
        <v>enero</v>
      </c>
    </row>
    <row r="3141" spans="1:28" ht="12.75">
      <c r="A3141" s="173"/>
      <c r="B3141" s="174"/>
      <c r="C3141" s="11"/>
      <c r="D3141" s="175"/>
      <c r="E3141" s="176"/>
      <c r="F3141" s="177"/>
      <c r="G3141" s="178"/>
      <c r="H3141" s="177"/>
      <c r="I3141" s="177"/>
      <c r="J3141" s="179"/>
      <c r="K3141" s="34" t="s">
        <v>3414</v>
      </c>
      <c r="L3141" s="176"/>
      <c r="M3141" s="177"/>
      <c r="N3141" s="21"/>
      <c r="O3141" s="45"/>
      <c r="P3141" s="24"/>
      <c r="Q3141" s="24"/>
      <c r="R3141" s="180"/>
      <c r="S3141" s="181"/>
      <c r="T3141" s="35"/>
      <c r="U3141" s="35"/>
      <c r="V3141" s="35"/>
      <c r="W3141" s="35"/>
      <c r="X3141" s="35"/>
      <c r="Y3141" s="182"/>
      <c r="Z3141" s="175"/>
      <c r="AA3141" s="182"/>
      <c r="AB3141" s="32" t="str">
        <f t="shared" si="435"/>
        <v>enero</v>
      </c>
    </row>
    <row r="3142" spans="1:28" ht="12.75">
      <c r="A3142" s="173"/>
      <c r="B3142" s="174"/>
      <c r="C3142" s="11"/>
      <c r="D3142" s="175"/>
      <c r="E3142" s="176"/>
      <c r="F3142" s="177"/>
      <c r="G3142" s="178"/>
      <c r="H3142" s="177"/>
      <c r="I3142" s="177"/>
      <c r="J3142" s="179"/>
      <c r="K3142" s="34" t="s">
        <v>3414</v>
      </c>
      <c r="L3142" s="176"/>
      <c r="M3142" s="177"/>
      <c r="N3142" s="21"/>
      <c r="O3142" s="45"/>
      <c r="P3142" s="24"/>
      <c r="Q3142" s="24"/>
      <c r="R3142" s="180"/>
      <c r="S3142" s="181"/>
      <c r="T3142" s="35"/>
      <c r="U3142" s="35"/>
      <c r="V3142" s="35"/>
      <c r="W3142" s="35"/>
      <c r="X3142" s="35"/>
      <c r="Y3142" s="182"/>
      <c r="Z3142" s="175"/>
      <c r="AA3142" s="182"/>
      <c r="AB3142" s="32" t="str">
        <f t="shared" si="435"/>
        <v>enero</v>
      </c>
    </row>
    <row r="3143" spans="1:28" ht="12.75">
      <c r="A3143" s="173"/>
      <c r="B3143" s="174"/>
      <c r="C3143" s="11"/>
      <c r="D3143" s="175"/>
      <c r="E3143" s="176"/>
      <c r="F3143" s="177"/>
      <c r="G3143" s="178"/>
      <c r="H3143" s="177"/>
      <c r="I3143" s="177"/>
      <c r="J3143" s="179"/>
      <c r="K3143" s="34" t="s">
        <v>3414</v>
      </c>
      <c r="L3143" s="176"/>
      <c r="M3143" s="177"/>
      <c r="N3143" s="21"/>
      <c r="O3143" s="45"/>
      <c r="P3143" s="24"/>
      <c r="Q3143" s="24"/>
      <c r="R3143" s="180"/>
      <c r="S3143" s="181"/>
      <c r="T3143" s="35"/>
      <c r="U3143" s="35"/>
      <c r="V3143" s="35"/>
      <c r="W3143" s="35"/>
      <c r="X3143" s="35"/>
      <c r="Y3143" s="182"/>
      <c r="Z3143" s="175"/>
      <c r="AA3143" s="182"/>
      <c r="AB3143" s="32" t="str">
        <f t="shared" si="435"/>
        <v>enero</v>
      </c>
    </row>
    <row r="3144" spans="1:28" ht="12.75">
      <c r="A3144" s="173"/>
      <c r="B3144" s="174"/>
      <c r="C3144" s="11"/>
      <c r="D3144" s="175"/>
      <c r="E3144" s="176"/>
      <c r="F3144" s="177"/>
      <c r="G3144" s="178"/>
      <c r="H3144" s="177"/>
      <c r="I3144" s="177"/>
      <c r="J3144" s="179"/>
      <c r="K3144" s="34" t="s">
        <v>3414</v>
      </c>
      <c r="L3144" s="176"/>
      <c r="M3144" s="177"/>
      <c r="N3144" s="21"/>
      <c r="O3144" s="45"/>
      <c r="P3144" s="24"/>
      <c r="Q3144" s="24"/>
      <c r="R3144" s="180"/>
      <c r="S3144" s="181"/>
      <c r="T3144" s="35"/>
      <c r="U3144" s="35"/>
      <c r="V3144" s="35"/>
      <c r="W3144" s="35"/>
      <c r="X3144" s="35"/>
      <c r="Y3144" s="182"/>
      <c r="Z3144" s="175"/>
      <c r="AA3144" s="182"/>
      <c r="AB3144" s="32" t="str">
        <f t="shared" si="435"/>
        <v>enero</v>
      </c>
    </row>
    <row r="3145" spans="1:28" ht="12.75">
      <c r="A3145" s="173"/>
      <c r="B3145" s="174"/>
      <c r="C3145" s="11"/>
      <c r="D3145" s="175"/>
      <c r="E3145" s="176"/>
      <c r="F3145" s="177"/>
      <c r="G3145" s="178"/>
      <c r="H3145" s="177"/>
      <c r="I3145" s="177"/>
      <c r="J3145" s="179"/>
      <c r="K3145" s="34" t="s">
        <v>3414</v>
      </c>
      <c r="L3145" s="176"/>
      <c r="M3145" s="177"/>
      <c r="N3145" s="21"/>
      <c r="O3145" s="45"/>
      <c r="P3145" s="24"/>
      <c r="Q3145" s="24"/>
      <c r="R3145" s="180"/>
      <c r="S3145" s="181"/>
      <c r="T3145" s="35"/>
      <c r="U3145" s="35"/>
      <c r="V3145" s="35"/>
      <c r="W3145" s="35"/>
      <c r="X3145" s="35"/>
      <c r="Y3145" s="182"/>
      <c r="Z3145" s="175"/>
      <c r="AA3145" s="182"/>
      <c r="AB3145" s="32" t="str">
        <f t="shared" si="435"/>
        <v>enero</v>
      </c>
    </row>
    <row r="3146" spans="1:28" ht="12.75">
      <c r="A3146" s="173"/>
      <c r="B3146" s="174"/>
      <c r="C3146" s="11"/>
      <c r="D3146" s="175"/>
      <c r="E3146" s="176"/>
      <c r="F3146" s="177"/>
      <c r="G3146" s="178"/>
      <c r="H3146" s="177"/>
      <c r="I3146" s="177"/>
      <c r="J3146" s="179"/>
      <c r="K3146" s="34" t="s">
        <v>3414</v>
      </c>
      <c r="L3146" s="176"/>
      <c r="M3146" s="177"/>
      <c r="N3146" s="21"/>
      <c r="O3146" s="45"/>
      <c r="P3146" s="24"/>
      <c r="Q3146" s="24"/>
      <c r="R3146" s="180"/>
      <c r="S3146" s="181"/>
      <c r="T3146" s="35"/>
      <c r="U3146" s="35"/>
      <c r="V3146" s="35"/>
      <c r="W3146" s="35"/>
      <c r="X3146" s="35"/>
      <c r="Y3146" s="182"/>
      <c r="Z3146" s="175"/>
      <c r="AA3146" s="182"/>
      <c r="AB3146" s="32" t="str">
        <f t="shared" si="435"/>
        <v>enero</v>
      </c>
    </row>
    <row r="3147" spans="1:28" ht="12.75">
      <c r="A3147" s="173"/>
      <c r="B3147" s="174"/>
      <c r="C3147" s="11"/>
      <c r="D3147" s="175"/>
      <c r="E3147" s="176"/>
      <c r="F3147" s="177"/>
      <c r="G3147" s="178"/>
      <c r="H3147" s="177"/>
      <c r="I3147" s="177"/>
      <c r="J3147" s="179"/>
      <c r="K3147" s="34" t="s">
        <v>3414</v>
      </c>
      <c r="L3147" s="176"/>
      <c r="M3147" s="177"/>
      <c r="N3147" s="21"/>
      <c r="O3147" s="45"/>
      <c r="P3147" s="24"/>
      <c r="Q3147" s="24"/>
      <c r="R3147" s="180"/>
      <c r="S3147" s="181"/>
      <c r="T3147" s="35"/>
      <c r="U3147" s="35"/>
      <c r="V3147" s="35"/>
      <c r="W3147" s="35"/>
      <c r="X3147" s="35"/>
      <c r="Y3147" s="182"/>
      <c r="Z3147" s="175"/>
      <c r="AA3147" s="182"/>
      <c r="AB3147" s="32" t="str">
        <f t="shared" si="435"/>
        <v>enero</v>
      </c>
    </row>
    <row r="3148" spans="1:28" ht="12.75">
      <c r="A3148" s="173"/>
      <c r="B3148" s="174"/>
      <c r="C3148" s="11"/>
      <c r="D3148" s="175"/>
      <c r="E3148" s="176"/>
      <c r="F3148" s="177"/>
      <c r="G3148" s="178"/>
      <c r="H3148" s="177"/>
      <c r="I3148" s="177"/>
      <c r="J3148" s="179"/>
      <c r="K3148" s="34" t="s">
        <v>3414</v>
      </c>
      <c r="L3148" s="176"/>
      <c r="M3148" s="177"/>
      <c r="N3148" s="21"/>
      <c r="O3148" s="45"/>
      <c r="P3148" s="24"/>
      <c r="Q3148" s="24"/>
      <c r="R3148" s="180"/>
      <c r="S3148" s="181"/>
      <c r="T3148" s="35"/>
      <c r="U3148" s="35"/>
      <c r="V3148" s="35"/>
      <c r="W3148" s="35"/>
      <c r="X3148" s="35"/>
      <c r="Y3148" s="182"/>
      <c r="Z3148" s="175"/>
      <c r="AA3148" s="182"/>
      <c r="AB3148" s="32" t="str">
        <f t="shared" si="435"/>
        <v>enero</v>
      </c>
    </row>
    <row r="3149" spans="1:28" ht="12.75">
      <c r="A3149" s="173"/>
      <c r="B3149" s="174"/>
      <c r="C3149" s="11"/>
      <c r="D3149" s="175"/>
      <c r="E3149" s="176"/>
      <c r="F3149" s="177"/>
      <c r="G3149" s="178"/>
      <c r="H3149" s="177"/>
      <c r="I3149" s="177"/>
      <c r="J3149" s="179"/>
      <c r="K3149" s="34" t="s">
        <v>3414</v>
      </c>
      <c r="L3149" s="176"/>
      <c r="M3149" s="177"/>
      <c r="N3149" s="21"/>
      <c r="O3149" s="45"/>
      <c r="P3149" s="24"/>
      <c r="Q3149" s="24"/>
      <c r="R3149" s="180"/>
      <c r="S3149" s="181"/>
      <c r="T3149" s="35"/>
      <c r="U3149" s="35"/>
      <c r="V3149" s="35"/>
      <c r="W3149" s="35"/>
      <c r="X3149" s="35"/>
      <c r="Y3149" s="182"/>
      <c r="Z3149" s="175"/>
      <c r="AA3149" s="182"/>
      <c r="AB3149" s="32" t="str">
        <f t="shared" si="435"/>
        <v>enero</v>
      </c>
    </row>
    <row r="3150" spans="1:28" ht="12.75">
      <c r="A3150" s="173"/>
      <c r="B3150" s="174"/>
      <c r="C3150" s="11"/>
      <c r="D3150" s="175"/>
      <c r="E3150" s="176"/>
      <c r="F3150" s="177"/>
      <c r="G3150" s="178"/>
      <c r="H3150" s="177"/>
      <c r="I3150" s="177"/>
      <c r="J3150" s="179"/>
      <c r="K3150" s="34" t="s">
        <v>3414</v>
      </c>
      <c r="L3150" s="176"/>
      <c r="M3150" s="177"/>
      <c r="N3150" s="21"/>
      <c r="O3150" s="45"/>
      <c r="P3150" s="24"/>
      <c r="Q3150" s="24"/>
      <c r="R3150" s="180"/>
      <c r="S3150" s="181"/>
      <c r="T3150" s="35"/>
      <c r="U3150" s="35"/>
      <c r="V3150" s="35"/>
      <c r="W3150" s="35"/>
      <c r="X3150" s="35"/>
      <c r="Y3150" s="182"/>
      <c r="Z3150" s="175"/>
      <c r="AA3150" s="182"/>
      <c r="AB3150" s="32" t="str">
        <f t="shared" si="435"/>
        <v>enero</v>
      </c>
    </row>
    <row r="3151" spans="1:28" ht="12.75">
      <c r="A3151" s="173"/>
      <c r="B3151" s="174"/>
      <c r="C3151" s="11"/>
      <c r="D3151" s="175"/>
      <c r="E3151" s="176"/>
      <c r="F3151" s="177"/>
      <c r="G3151" s="178"/>
      <c r="H3151" s="177"/>
      <c r="I3151" s="177"/>
      <c r="J3151" s="179"/>
      <c r="K3151" s="34" t="s">
        <v>3414</v>
      </c>
      <c r="L3151" s="176"/>
      <c r="M3151" s="177"/>
      <c r="N3151" s="21"/>
      <c r="O3151" s="45"/>
      <c r="P3151" s="24"/>
      <c r="Q3151" s="24"/>
      <c r="R3151" s="180"/>
      <c r="S3151" s="181"/>
      <c r="T3151" s="35"/>
      <c r="U3151" s="35"/>
      <c r="V3151" s="35"/>
      <c r="W3151" s="35"/>
      <c r="X3151" s="35"/>
      <c r="Y3151" s="182"/>
      <c r="Z3151" s="175"/>
      <c r="AA3151" s="182"/>
      <c r="AB3151" s="32" t="str">
        <f t="shared" si="435"/>
        <v>enero</v>
      </c>
    </row>
    <row r="3152" spans="1:28" ht="12.75">
      <c r="A3152" s="173"/>
      <c r="B3152" s="174"/>
      <c r="C3152" s="11"/>
      <c r="D3152" s="175"/>
      <c r="E3152" s="176"/>
      <c r="F3152" s="177"/>
      <c r="G3152" s="178"/>
      <c r="H3152" s="177"/>
      <c r="I3152" s="177"/>
      <c r="J3152" s="179"/>
      <c r="K3152" s="34" t="s">
        <v>3414</v>
      </c>
      <c r="L3152" s="176"/>
      <c r="M3152" s="177"/>
      <c r="N3152" s="21"/>
      <c r="O3152" s="45"/>
      <c r="P3152" s="24"/>
      <c r="Q3152" s="24"/>
      <c r="R3152" s="180"/>
      <c r="S3152" s="181"/>
      <c r="T3152" s="35"/>
      <c r="U3152" s="35"/>
      <c r="V3152" s="35"/>
      <c r="W3152" s="35"/>
      <c r="X3152" s="35"/>
      <c r="Y3152" s="182"/>
      <c r="Z3152" s="175"/>
      <c r="AA3152" s="182"/>
      <c r="AB3152" s="32" t="str">
        <f t="shared" si="435"/>
        <v>enero</v>
      </c>
    </row>
    <row r="3153" spans="1:28" ht="12.75">
      <c r="A3153" s="173"/>
      <c r="B3153" s="174"/>
      <c r="C3153" s="11"/>
      <c r="D3153" s="175"/>
      <c r="E3153" s="176"/>
      <c r="F3153" s="177"/>
      <c r="G3153" s="178"/>
      <c r="H3153" s="177"/>
      <c r="I3153" s="177"/>
      <c r="J3153" s="179"/>
      <c r="K3153" s="34" t="s">
        <v>3414</v>
      </c>
      <c r="L3153" s="176"/>
      <c r="M3153" s="177"/>
      <c r="N3153" s="21"/>
      <c r="O3153" s="45"/>
      <c r="P3153" s="24"/>
      <c r="Q3153" s="24"/>
      <c r="R3153" s="180"/>
      <c r="S3153" s="181"/>
      <c r="T3153" s="35"/>
      <c r="U3153" s="35"/>
      <c r="V3153" s="35"/>
      <c r="W3153" s="35"/>
      <c r="X3153" s="35"/>
      <c r="Y3153" s="182"/>
      <c r="Z3153" s="175"/>
      <c r="AA3153" s="182"/>
      <c r="AB3153" s="32" t="str">
        <f t="shared" si="435"/>
        <v>enero</v>
      </c>
    </row>
    <row r="3154" spans="1:28" ht="12.75">
      <c r="A3154" s="173"/>
      <c r="B3154" s="174"/>
      <c r="C3154" s="11"/>
      <c r="D3154" s="175"/>
      <c r="E3154" s="176"/>
      <c r="F3154" s="177"/>
      <c r="G3154" s="178"/>
      <c r="H3154" s="177"/>
      <c r="I3154" s="177"/>
      <c r="J3154" s="179"/>
      <c r="K3154" s="34" t="s">
        <v>3414</v>
      </c>
      <c r="L3154" s="176"/>
      <c r="M3154" s="177"/>
      <c r="N3154" s="21"/>
      <c r="O3154" s="45"/>
      <c r="P3154" s="24"/>
      <c r="Q3154" s="24"/>
      <c r="R3154" s="180"/>
      <c r="S3154" s="181"/>
      <c r="T3154" s="35"/>
      <c r="U3154" s="35"/>
      <c r="V3154" s="35"/>
      <c r="W3154" s="35"/>
      <c r="X3154" s="35"/>
      <c r="Y3154" s="182"/>
      <c r="Z3154" s="175"/>
      <c r="AA3154" s="182"/>
      <c r="AB3154" s="32" t="str">
        <f t="shared" si="435"/>
        <v>enero</v>
      </c>
    </row>
    <row r="3155" spans="1:28" ht="12.75">
      <c r="A3155" s="173"/>
      <c r="B3155" s="174"/>
      <c r="C3155" s="11"/>
      <c r="D3155" s="175"/>
      <c r="E3155" s="176"/>
      <c r="F3155" s="177"/>
      <c r="G3155" s="178"/>
      <c r="H3155" s="177"/>
      <c r="I3155" s="177"/>
      <c r="J3155" s="179"/>
      <c r="K3155" s="34" t="s">
        <v>3414</v>
      </c>
      <c r="L3155" s="176"/>
      <c r="M3155" s="177"/>
      <c r="N3155" s="21"/>
      <c r="O3155" s="45"/>
      <c r="P3155" s="24"/>
      <c r="Q3155" s="24"/>
      <c r="R3155" s="180"/>
      <c r="S3155" s="181"/>
      <c r="T3155" s="35"/>
      <c r="U3155" s="35"/>
      <c r="V3155" s="35"/>
      <c r="W3155" s="35"/>
      <c r="X3155" s="35"/>
      <c r="Y3155" s="182"/>
      <c r="Z3155" s="175"/>
      <c r="AA3155" s="182"/>
      <c r="AB3155" s="32" t="str">
        <f t="shared" si="435"/>
        <v>enero</v>
      </c>
    </row>
    <row r="3156" spans="1:28" ht="12.75">
      <c r="A3156" s="173"/>
      <c r="B3156" s="174"/>
      <c r="C3156" s="11"/>
      <c r="D3156" s="175"/>
      <c r="E3156" s="176"/>
      <c r="F3156" s="177"/>
      <c r="G3156" s="178"/>
      <c r="H3156" s="177"/>
      <c r="I3156" s="177"/>
      <c r="J3156" s="179"/>
      <c r="K3156" s="34" t="s">
        <v>3414</v>
      </c>
      <c r="L3156" s="176"/>
      <c r="M3156" s="177"/>
      <c r="N3156" s="21"/>
      <c r="O3156" s="45"/>
      <c r="P3156" s="24"/>
      <c r="Q3156" s="24"/>
      <c r="R3156" s="180"/>
      <c r="S3156" s="181"/>
      <c r="T3156" s="35"/>
      <c r="U3156" s="35"/>
      <c r="V3156" s="35"/>
      <c r="W3156" s="35"/>
      <c r="X3156" s="35"/>
      <c r="Y3156" s="182"/>
      <c r="Z3156" s="175"/>
      <c r="AA3156" s="182"/>
      <c r="AB3156" s="32" t="str">
        <f t="shared" si="435"/>
        <v>enero</v>
      </c>
    </row>
    <row r="3157" spans="1:28" ht="12.75">
      <c r="A3157" s="173"/>
      <c r="B3157" s="174"/>
      <c r="C3157" s="11"/>
      <c r="D3157" s="175"/>
      <c r="E3157" s="176"/>
      <c r="F3157" s="177"/>
      <c r="G3157" s="178"/>
      <c r="H3157" s="177"/>
      <c r="I3157" s="177"/>
      <c r="J3157" s="179"/>
      <c r="K3157" s="34" t="s">
        <v>3414</v>
      </c>
      <c r="L3157" s="176"/>
      <c r="M3157" s="177"/>
      <c r="N3157" s="21"/>
      <c r="O3157" s="45"/>
      <c r="P3157" s="24"/>
      <c r="Q3157" s="24"/>
      <c r="R3157" s="180"/>
      <c r="S3157" s="181"/>
      <c r="T3157" s="35"/>
      <c r="U3157" s="35"/>
      <c r="V3157" s="35"/>
      <c r="W3157" s="35"/>
      <c r="X3157" s="35"/>
      <c r="Y3157" s="182"/>
      <c r="Z3157" s="175"/>
      <c r="AA3157" s="182"/>
      <c r="AB3157" s="32" t="str">
        <f t="shared" si="435"/>
        <v>enero</v>
      </c>
    </row>
    <row r="3158" spans="1:28" ht="12.75">
      <c r="A3158" s="173"/>
      <c r="B3158" s="174"/>
      <c r="C3158" s="11"/>
      <c r="D3158" s="175"/>
      <c r="E3158" s="176"/>
      <c r="F3158" s="177">
        <f>105/15</f>
        <v>7</v>
      </c>
      <c r="G3158" s="178"/>
      <c r="H3158" s="177"/>
      <c r="I3158" s="177"/>
      <c r="J3158" s="179"/>
      <c r="K3158" s="34" t="s">
        <v>3414</v>
      </c>
      <c r="L3158" s="176"/>
      <c r="M3158" s="177"/>
      <c r="N3158" s="21"/>
      <c r="O3158" s="45"/>
      <c r="P3158" s="24"/>
      <c r="Q3158" s="24"/>
      <c r="R3158" s="180"/>
      <c r="S3158" s="181"/>
      <c r="T3158" s="35"/>
      <c r="U3158" s="35"/>
      <c r="V3158" s="35"/>
      <c r="W3158" s="35"/>
      <c r="X3158" s="35"/>
      <c r="Y3158" s="182"/>
      <c r="Z3158" s="175"/>
      <c r="AA3158" s="182"/>
      <c r="AB3158" s="32" t="str">
        <f t="shared" si="435"/>
        <v>enero</v>
      </c>
    </row>
    <row r="3159" spans="1:28" ht="12.75">
      <c r="A3159" s="173"/>
      <c r="B3159" s="174"/>
      <c r="C3159" s="11"/>
      <c r="D3159" s="175"/>
      <c r="E3159" s="176"/>
      <c r="F3159" s="177">
        <f>105/14</f>
        <v>7.5</v>
      </c>
      <c r="G3159" s="178"/>
      <c r="H3159" s="177"/>
      <c r="I3159" s="177"/>
      <c r="J3159" s="179"/>
      <c r="K3159" s="34" t="s">
        <v>3414</v>
      </c>
      <c r="L3159" s="176"/>
      <c r="M3159" s="177"/>
      <c r="N3159" s="21"/>
      <c r="O3159" s="45"/>
      <c r="P3159" s="24"/>
      <c r="Q3159" s="24"/>
      <c r="R3159" s="180"/>
      <c r="S3159" s="181"/>
      <c r="T3159" s="35"/>
      <c r="U3159" s="35"/>
      <c r="V3159" s="35"/>
      <c r="W3159" s="35"/>
      <c r="X3159" s="35"/>
      <c r="Y3159" s="182"/>
      <c r="Z3159" s="175"/>
      <c r="AA3159" s="182"/>
      <c r="AB3159" s="32" t="str">
        <f t="shared" si="435"/>
        <v>enero</v>
      </c>
    </row>
    <row r="3160" spans="1:28" ht="12.75">
      <c r="A3160" s="173"/>
      <c r="B3160" s="174"/>
      <c r="C3160" s="11"/>
      <c r="D3160" s="175"/>
      <c r="E3160" s="176"/>
      <c r="F3160" s="177"/>
      <c r="G3160" s="178"/>
      <c r="H3160" s="177"/>
      <c r="I3160" s="177"/>
      <c r="J3160" s="179"/>
      <c r="K3160" s="34" t="s">
        <v>3414</v>
      </c>
      <c r="L3160" s="176"/>
      <c r="M3160" s="177"/>
      <c r="N3160" s="21"/>
      <c r="O3160" s="45"/>
      <c r="P3160" s="24"/>
      <c r="Q3160" s="24"/>
      <c r="R3160" s="180"/>
      <c r="S3160" s="181"/>
      <c r="T3160" s="35"/>
      <c r="U3160" s="35"/>
      <c r="V3160" s="35"/>
      <c r="W3160" s="35"/>
      <c r="X3160" s="35"/>
      <c r="Y3160" s="182"/>
      <c r="Z3160" s="175"/>
      <c r="AA3160" s="182"/>
      <c r="AB3160" s="32" t="str">
        <f t="shared" si="435"/>
        <v>enero</v>
      </c>
    </row>
    <row r="3161" spans="1:28" ht="12.75">
      <c r="A3161" s="173"/>
      <c r="B3161" s="174"/>
      <c r="C3161" s="11"/>
      <c r="D3161" s="175"/>
      <c r="E3161" s="176"/>
      <c r="F3161" s="177"/>
      <c r="G3161" s="178"/>
      <c r="H3161" s="177"/>
      <c r="I3161" s="177"/>
      <c r="J3161" s="179"/>
      <c r="K3161" s="34" t="s">
        <v>3414</v>
      </c>
      <c r="L3161" s="176"/>
      <c r="M3161" s="177"/>
      <c r="N3161" s="21"/>
      <c r="O3161" s="45"/>
      <c r="P3161" s="24"/>
      <c r="Q3161" s="24"/>
      <c r="R3161" s="180"/>
      <c r="S3161" s="181"/>
      <c r="T3161" s="35"/>
      <c r="U3161" s="35"/>
      <c r="V3161" s="35"/>
      <c r="W3161" s="35"/>
      <c r="X3161" s="35"/>
      <c r="Y3161" s="182"/>
      <c r="Z3161" s="175"/>
      <c r="AA3161" s="182"/>
      <c r="AB3161" s="32" t="str">
        <f t="shared" si="435"/>
        <v>enero</v>
      </c>
    </row>
    <row r="3162" spans="1:28" ht="12.75">
      <c r="A3162" s="173"/>
      <c r="B3162" s="174"/>
      <c r="C3162" s="11"/>
      <c r="D3162" s="175"/>
      <c r="E3162" s="176"/>
      <c r="F3162" s="177"/>
      <c r="G3162" s="178"/>
      <c r="H3162" s="177"/>
      <c r="I3162" s="177"/>
      <c r="J3162" s="179"/>
      <c r="K3162" s="34" t="s">
        <v>3414</v>
      </c>
      <c r="L3162" s="176"/>
      <c r="M3162" s="177"/>
      <c r="N3162" s="21"/>
      <c r="O3162" s="45"/>
      <c r="P3162" s="24"/>
      <c r="Q3162" s="24"/>
      <c r="R3162" s="180"/>
      <c r="S3162" s="181"/>
      <c r="T3162" s="35"/>
      <c r="U3162" s="35"/>
      <c r="V3162" s="35"/>
      <c r="W3162" s="35"/>
      <c r="X3162" s="35"/>
      <c r="Y3162" s="182"/>
      <c r="Z3162" s="175"/>
      <c r="AA3162" s="182"/>
      <c r="AB3162" s="32" t="str">
        <f t="shared" si="435"/>
        <v>enero</v>
      </c>
    </row>
    <row r="3163" spans="1:28" ht="12.75">
      <c r="A3163" s="173"/>
      <c r="B3163" s="174"/>
      <c r="C3163" s="11"/>
      <c r="D3163" s="175"/>
      <c r="E3163" s="176"/>
      <c r="F3163" s="177"/>
      <c r="G3163" s="178"/>
      <c r="H3163" s="177"/>
      <c r="I3163" s="177"/>
      <c r="J3163" s="179"/>
      <c r="K3163" s="34" t="s">
        <v>3414</v>
      </c>
      <c r="L3163" s="176"/>
      <c r="M3163" s="177"/>
      <c r="N3163" s="21"/>
      <c r="O3163" s="45"/>
      <c r="P3163" s="24"/>
      <c r="Q3163" s="24"/>
      <c r="R3163" s="180"/>
      <c r="S3163" s="181"/>
      <c r="T3163" s="35"/>
      <c r="U3163" s="35"/>
      <c r="V3163" s="35"/>
      <c r="W3163" s="35"/>
      <c r="X3163" s="35"/>
      <c r="Y3163" s="182"/>
      <c r="Z3163" s="175"/>
      <c r="AA3163" s="182"/>
      <c r="AB3163" s="32" t="str">
        <f t="shared" si="435"/>
        <v>enero</v>
      </c>
    </row>
    <row r="3164" spans="1:28" ht="12.75">
      <c r="A3164" s="173"/>
      <c r="B3164" s="174"/>
      <c r="C3164" s="11"/>
      <c r="D3164" s="175"/>
      <c r="E3164" s="176"/>
      <c r="F3164" s="177"/>
      <c r="G3164" s="178"/>
      <c r="H3164" s="177"/>
      <c r="I3164" s="177"/>
      <c r="J3164" s="179"/>
      <c r="K3164" s="34" t="s">
        <v>3414</v>
      </c>
      <c r="L3164" s="176"/>
      <c r="M3164" s="177"/>
      <c r="N3164" s="21"/>
      <c r="O3164" s="45"/>
      <c r="P3164" s="24"/>
      <c r="Q3164" s="24"/>
      <c r="R3164" s="180"/>
      <c r="S3164" s="181"/>
      <c r="T3164" s="35"/>
      <c r="U3164" s="35"/>
      <c r="V3164" s="35"/>
      <c r="W3164" s="35"/>
      <c r="X3164" s="35"/>
      <c r="Y3164" s="182"/>
      <c r="Z3164" s="175"/>
      <c r="AA3164" s="182"/>
      <c r="AB3164" s="32" t="str">
        <f t="shared" si="435"/>
        <v>enero</v>
      </c>
    </row>
    <row r="3165" spans="1:28" ht="12.75">
      <c r="A3165" s="173"/>
      <c r="B3165" s="174"/>
      <c r="C3165" s="11"/>
      <c r="D3165" s="175"/>
      <c r="E3165" s="176"/>
      <c r="F3165" s="177"/>
      <c r="G3165" s="178"/>
      <c r="H3165" s="177"/>
      <c r="I3165" s="177"/>
      <c r="J3165" s="179"/>
      <c r="K3165" s="183"/>
      <c r="L3165" s="176"/>
      <c r="M3165" s="177"/>
      <c r="N3165" s="21"/>
      <c r="O3165" s="45"/>
      <c r="P3165" s="24"/>
      <c r="Q3165" s="24"/>
      <c r="R3165" s="180"/>
      <c r="S3165" s="181"/>
      <c r="T3165" s="35"/>
      <c r="U3165" s="35"/>
      <c r="V3165" s="35"/>
      <c r="W3165" s="35"/>
      <c r="X3165" s="35"/>
      <c r="Y3165" s="182"/>
      <c r="Z3165" s="175"/>
      <c r="AA3165" s="182"/>
      <c r="AB3165" s="32" t="str">
        <f t="shared" si="435"/>
        <v>enero</v>
      </c>
    </row>
    <row r="3166" spans="1:28" ht="12.75">
      <c r="A3166" s="173"/>
      <c r="B3166" s="174"/>
      <c r="C3166" s="11"/>
      <c r="D3166" s="175"/>
      <c r="E3166" s="176"/>
      <c r="F3166" s="177"/>
      <c r="G3166" s="178"/>
      <c r="H3166" s="177"/>
      <c r="I3166" s="177"/>
      <c r="J3166" s="179"/>
      <c r="K3166" s="183"/>
      <c r="L3166" s="176"/>
      <c r="M3166" s="177"/>
      <c r="N3166" s="21"/>
      <c r="O3166" s="45"/>
      <c r="P3166" s="24"/>
      <c r="Q3166" s="24"/>
      <c r="R3166" s="180"/>
      <c r="S3166" s="181"/>
      <c r="T3166" s="35"/>
      <c r="U3166" s="35"/>
      <c r="V3166" s="35"/>
      <c r="W3166" s="35"/>
      <c r="X3166" s="35"/>
      <c r="Y3166" s="182"/>
      <c r="Z3166" s="175"/>
      <c r="AA3166" s="182"/>
      <c r="AB3166" s="32" t="str">
        <f t="shared" si="435"/>
        <v>enero</v>
      </c>
    </row>
    <row r="3167" spans="1:28" ht="12.75">
      <c r="A3167" s="173"/>
      <c r="B3167" s="174"/>
      <c r="C3167" s="11"/>
      <c r="D3167" s="175"/>
      <c r="E3167" s="176"/>
      <c r="F3167" s="177"/>
      <c r="G3167" s="178"/>
      <c r="H3167" s="177"/>
      <c r="I3167" s="177"/>
      <c r="J3167" s="179"/>
      <c r="K3167" s="183"/>
      <c r="L3167" s="176"/>
      <c r="M3167" s="177"/>
      <c r="N3167" s="21"/>
      <c r="O3167" s="45"/>
      <c r="P3167" s="24"/>
      <c r="Q3167" s="24"/>
      <c r="R3167" s="180"/>
      <c r="S3167" s="181"/>
      <c r="T3167" s="35"/>
      <c r="U3167" s="35"/>
      <c r="V3167" s="35"/>
      <c r="W3167" s="35"/>
      <c r="X3167" s="35"/>
      <c r="Y3167" s="182"/>
      <c r="Z3167" s="175"/>
      <c r="AA3167" s="182"/>
      <c r="AB3167" s="32" t="str">
        <f t="shared" si="435"/>
        <v>enero</v>
      </c>
    </row>
    <row r="3168" spans="1:28" ht="12.75">
      <c r="A3168" s="173"/>
      <c r="B3168" s="174"/>
      <c r="C3168" s="11"/>
      <c r="D3168" s="175"/>
      <c r="E3168" s="176"/>
      <c r="F3168" s="177"/>
      <c r="G3168" s="178"/>
      <c r="H3168" s="177"/>
      <c r="I3168" s="177"/>
      <c r="J3168" s="179"/>
      <c r="K3168" s="183"/>
      <c r="L3168" s="176"/>
      <c r="M3168" s="177"/>
      <c r="N3168" s="21"/>
      <c r="O3168" s="45"/>
      <c r="P3168" s="24"/>
      <c r="Q3168" s="24"/>
      <c r="R3168" s="180"/>
      <c r="S3168" s="181"/>
      <c r="T3168" s="35"/>
      <c r="U3168" s="35"/>
      <c r="V3168" s="35"/>
      <c r="W3168" s="35"/>
      <c r="X3168" s="35"/>
      <c r="Y3168" s="182"/>
      <c r="Z3168" s="175"/>
      <c r="AA3168" s="182"/>
      <c r="AB3168" s="32" t="str">
        <f t="shared" si="435"/>
        <v>enero</v>
      </c>
    </row>
    <row r="3169" spans="1:28" ht="12.75">
      <c r="A3169" s="173"/>
      <c r="B3169" s="174"/>
      <c r="C3169" s="11"/>
      <c r="D3169" s="175"/>
      <c r="E3169" s="176"/>
      <c r="F3169" s="177"/>
      <c r="G3169" s="178"/>
      <c r="H3169" s="177"/>
      <c r="I3169" s="177"/>
      <c r="J3169" s="179"/>
      <c r="K3169" s="183"/>
      <c r="L3169" s="176"/>
      <c r="M3169" s="177"/>
      <c r="N3169" s="21"/>
      <c r="O3169" s="45"/>
      <c r="P3169" s="24"/>
      <c r="Q3169" s="24"/>
      <c r="R3169" s="180"/>
      <c r="S3169" s="181"/>
      <c r="T3169" s="35"/>
      <c r="U3169" s="35"/>
      <c r="V3169" s="35"/>
      <c r="W3169" s="35"/>
      <c r="X3169" s="35"/>
      <c r="Y3169" s="182"/>
      <c r="Z3169" s="175"/>
      <c r="AA3169" s="182"/>
      <c r="AB3169" s="32" t="str">
        <f t="shared" si="435"/>
        <v>enero</v>
      </c>
    </row>
    <row r="3170" spans="1:28" ht="12.75">
      <c r="A3170" s="173"/>
      <c r="B3170" s="174"/>
      <c r="C3170" s="11"/>
      <c r="D3170" s="175"/>
      <c r="E3170" s="176"/>
      <c r="F3170" s="177"/>
      <c r="G3170" s="178"/>
      <c r="H3170" s="177"/>
      <c r="I3170" s="177"/>
      <c r="J3170" s="179"/>
      <c r="K3170" s="183"/>
      <c r="L3170" s="176"/>
      <c r="M3170" s="177"/>
      <c r="N3170" s="21"/>
      <c r="O3170" s="45"/>
      <c r="P3170" s="24"/>
      <c r="Q3170" s="24"/>
      <c r="R3170" s="180"/>
      <c r="S3170" s="181"/>
      <c r="T3170" s="35"/>
      <c r="U3170" s="35"/>
      <c r="V3170" s="35"/>
      <c r="W3170" s="35"/>
      <c r="X3170" s="35"/>
      <c r="Y3170" s="182"/>
      <c r="Z3170" s="175"/>
      <c r="AA3170" s="182"/>
      <c r="AB3170" s="32" t="str">
        <f t="shared" si="435"/>
        <v>enero</v>
      </c>
    </row>
    <row r="3171" spans="1:28" ht="12.75">
      <c r="A3171" s="173"/>
      <c r="B3171" s="174"/>
      <c r="C3171" s="11"/>
      <c r="D3171" s="175"/>
      <c r="E3171" s="176"/>
      <c r="F3171" s="177"/>
      <c r="G3171" s="178"/>
      <c r="H3171" s="177"/>
      <c r="I3171" s="177"/>
      <c r="J3171" s="179"/>
      <c r="K3171" s="183"/>
      <c r="L3171" s="176"/>
      <c r="M3171" s="177"/>
      <c r="N3171" s="21"/>
      <c r="O3171" s="45"/>
      <c r="P3171" s="24"/>
      <c r="Q3171" s="24"/>
      <c r="R3171" s="180"/>
      <c r="S3171" s="181"/>
      <c r="T3171" s="35"/>
      <c r="U3171" s="35"/>
      <c r="V3171" s="35"/>
      <c r="W3171" s="35"/>
      <c r="X3171" s="35"/>
      <c r="Y3171" s="182"/>
      <c r="Z3171" s="175"/>
      <c r="AA3171" s="182"/>
      <c r="AB3171" s="32" t="str">
        <f t="shared" si="435"/>
        <v>enero</v>
      </c>
    </row>
    <row r="3172" spans="1:28" ht="12.75">
      <c r="A3172" s="173"/>
      <c r="B3172" s="174"/>
      <c r="C3172" s="11"/>
      <c r="D3172" s="175"/>
      <c r="E3172" s="176"/>
      <c r="F3172" s="177"/>
      <c r="G3172" s="178"/>
      <c r="H3172" s="177"/>
      <c r="I3172" s="177"/>
      <c r="J3172" s="179"/>
      <c r="K3172" s="183"/>
      <c r="L3172" s="176"/>
      <c r="M3172" s="177"/>
      <c r="N3172" s="21"/>
      <c r="O3172" s="45"/>
      <c r="P3172" s="24"/>
      <c r="Q3172" s="24"/>
      <c r="R3172" s="180"/>
      <c r="S3172" s="181"/>
      <c r="T3172" s="35"/>
      <c r="U3172" s="35"/>
      <c r="V3172" s="35"/>
      <c r="W3172" s="35"/>
      <c r="X3172" s="35"/>
      <c r="Y3172" s="182"/>
      <c r="Z3172" s="175"/>
      <c r="AA3172" s="182"/>
      <c r="AB3172" s="32" t="str">
        <f t="shared" si="435"/>
        <v>enero</v>
      </c>
    </row>
    <row r="3173" spans="1:28" ht="12.75">
      <c r="A3173" s="173"/>
      <c r="B3173" s="174"/>
      <c r="C3173" s="11"/>
      <c r="D3173" s="175"/>
      <c r="E3173" s="176"/>
      <c r="F3173" s="177"/>
      <c r="G3173" s="178"/>
      <c r="H3173" s="177"/>
      <c r="I3173" s="177"/>
      <c r="J3173" s="179"/>
      <c r="K3173" s="183"/>
      <c r="L3173" s="176"/>
      <c r="M3173" s="177"/>
      <c r="N3173" s="21"/>
      <c r="O3173" s="45"/>
      <c r="P3173" s="24"/>
      <c r="Q3173" s="24"/>
      <c r="R3173" s="180"/>
      <c r="S3173" s="181"/>
      <c r="T3173" s="35"/>
      <c r="U3173" s="35"/>
      <c r="V3173" s="35"/>
      <c r="W3173" s="35"/>
      <c r="X3173" s="35"/>
      <c r="Y3173" s="182"/>
      <c r="Z3173" s="175"/>
      <c r="AA3173" s="182"/>
      <c r="AB3173" s="32" t="str">
        <f t="shared" si="435"/>
        <v>enero</v>
      </c>
    </row>
    <row r="3174" spans="1:28" ht="12.75">
      <c r="A3174" s="173"/>
      <c r="B3174" s="174"/>
      <c r="C3174" s="11"/>
      <c r="D3174" s="175"/>
      <c r="E3174" s="176"/>
      <c r="F3174" s="177"/>
      <c r="G3174" s="178"/>
      <c r="H3174" s="177"/>
      <c r="I3174" s="177"/>
      <c r="J3174" s="179"/>
      <c r="K3174" s="183"/>
      <c r="L3174" s="176"/>
      <c r="M3174" s="177"/>
      <c r="N3174" s="21"/>
      <c r="O3174" s="45"/>
      <c r="P3174" s="24"/>
      <c r="Q3174" s="24"/>
      <c r="R3174" s="180"/>
      <c r="S3174" s="181"/>
      <c r="T3174" s="35"/>
      <c r="U3174" s="35"/>
      <c r="V3174" s="35"/>
      <c r="W3174" s="35"/>
      <c r="X3174" s="35"/>
      <c r="Y3174" s="182"/>
      <c r="Z3174" s="175"/>
      <c r="AA3174" s="182"/>
      <c r="AB3174" s="184"/>
    </row>
    <row r="3175" spans="1:28" ht="12.75">
      <c r="A3175" s="173"/>
      <c r="B3175" s="174"/>
      <c r="C3175" s="11"/>
      <c r="D3175" s="175"/>
      <c r="E3175" s="176"/>
      <c r="F3175" s="177"/>
      <c r="G3175" s="178"/>
      <c r="H3175" s="177"/>
      <c r="I3175" s="177"/>
      <c r="J3175" s="179"/>
      <c r="K3175" s="183"/>
      <c r="L3175" s="176"/>
      <c r="M3175" s="177"/>
      <c r="N3175" s="21"/>
      <c r="O3175" s="45"/>
      <c r="P3175" s="24"/>
      <c r="Q3175" s="24"/>
      <c r="R3175" s="180"/>
      <c r="S3175" s="181"/>
      <c r="T3175" s="35"/>
      <c r="U3175" s="35"/>
      <c r="V3175" s="35"/>
      <c r="W3175" s="35"/>
      <c r="X3175" s="35"/>
      <c r="Y3175" s="182"/>
      <c r="Z3175" s="175"/>
      <c r="AA3175" s="182"/>
      <c r="AB3175" s="184"/>
    </row>
    <row r="3176" spans="1:28" ht="12.75">
      <c r="A3176" s="173"/>
      <c r="B3176" s="174"/>
      <c r="C3176" s="11"/>
      <c r="D3176" s="175"/>
      <c r="E3176" s="176"/>
      <c r="F3176" s="177"/>
      <c r="G3176" s="178"/>
      <c r="H3176" s="177"/>
      <c r="I3176" s="177"/>
      <c r="J3176" s="179"/>
      <c r="K3176" s="183"/>
      <c r="L3176" s="176"/>
      <c r="M3176" s="177"/>
      <c r="N3176" s="21"/>
      <c r="O3176" s="45"/>
      <c r="P3176" s="24"/>
      <c r="Q3176" s="24"/>
      <c r="R3176" s="180"/>
      <c r="S3176" s="181"/>
      <c r="T3176" s="35"/>
      <c r="U3176" s="35"/>
      <c r="V3176" s="35"/>
      <c r="W3176" s="35"/>
      <c r="X3176" s="35"/>
      <c r="Y3176" s="182"/>
      <c r="Z3176" s="175"/>
      <c r="AA3176" s="182"/>
      <c r="AB3176" s="184"/>
    </row>
    <row r="3177" spans="1:28" ht="12.75">
      <c r="A3177" s="173"/>
      <c r="B3177" s="174"/>
      <c r="C3177" s="11"/>
      <c r="D3177" s="175"/>
      <c r="E3177" s="176"/>
      <c r="F3177" s="177"/>
      <c r="G3177" s="178"/>
      <c r="H3177" s="177"/>
      <c r="I3177" s="177"/>
      <c r="J3177" s="179"/>
      <c r="K3177" s="183"/>
      <c r="L3177" s="176"/>
      <c r="M3177" s="177"/>
      <c r="N3177" s="21"/>
      <c r="O3177" s="45"/>
      <c r="P3177" s="24"/>
      <c r="Q3177" s="24"/>
      <c r="R3177" s="180"/>
      <c r="S3177" s="181"/>
      <c r="T3177" s="35"/>
      <c r="U3177" s="35"/>
      <c r="V3177" s="35"/>
      <c r="W3177" s="35"/>
      <c r="X3177" s="35"/>
      <c r="Y3177" s="182"/>
      <c r="Z3177" s="175"/>
      <c r="AA3177" s="182"/>
      <c r="AB3177" s="184"/>
    </row>
    <row r="3178" spans="1:28" ht="12.75">
      <c r="A3178" s="173"/>
      <c r="B3178" s="174"/>
      <c r="C3178" s="11"/>
      <c r="D3178" s="175"/>
      <c r="E3178" s="176"/>
      <c r="F3178" s="177"/>
      <c r="G3178" s="178"/>
      <c r="H3178" s="177"/>
      <c r="I3178" s="177"/>
      <c r="J3178" s="179"/>
      <c r="K3178" s="183"/>
      <c r="L3178" s="176"/>
      <c r="M3178" s="177"/>
      <c r="N3178" s="21"/>
      <c r="O3178" s="45"/>
      <c r="P3178" s="24"/>
      <c r="Q3178" s="24"/>
      <c r="R3178" s="180"/>
      <c r="S3178" s="181"/>
      <c r="T3178" s="35"/>
      <c r="U3178" s="35"/>
      <c r="V3178" s="35"/>
      <c r="W3178" s="35"/>
      <c r="X3178" s="35"/>
      <c r="Y3178" s="182"/>
      <c r="Z3178" s="175"/>
      <c r="AA3178" s="182"/>
      <c r="AB3178" s="184"/>
    </row>
    <row r="3179" spans="1:28" ht="12.75">
      <c r="A3179" s="173"/>
      <c r="B3179" s="174"/>
      <c r="C3179" s="11"/>
      <c r="D3179" s="175"/>
      <c r="E3179" s="176"/>
      <c r="F3179" s="177"/>
      <c r="G3179" s="178"/>
      <c r="H3179" s="177"/>
      <c r="I3179" s="177"/>
      <c r="J3179" s="179"/>
      <c r="K3179" s="183"/>
      <c r="L3179" s="176"/>
      <c r="M3179" s="177"/>
      <c r="N3179" s="21"/>
      <c r="O3179" s="45"/>
      <c r="P3179" s="24"/>
      <c r="Q3179" s="24"/>
      <c r="R3179" s="180"/>
      <c r="S3179" s="181"/>
      <c r="T3179" s="35"/>
      <c r="U3179" s="35"/>
      <c r="V3179" s="35"/>
      <c r="W3179" s="35"/>
      <c r="X3179" s="35"/>
      <c r="Y3179" s="182"/>
      <c r="Z3179" s="175"/>
      <c r="AA3179" s="182"/>
      <c r="AB3179" s="184"/>
    </row>
    <row r="3180" spans="1:28" ht="12.75">
      <c r="A3180" s="173"/>
      <c r="B3180" s="174"/>
      <c r="C3180" s="11"/>
      <c r="D3180" s="175"/>
      <c r="E3180" s="176"/>
      <c r="F3180" s="177"/>
      <c r="G3180" s="178"/>
      <c r="H3180" s="177"/>
      <c r="I3180" s="177"/>
      <c r="J3180" s="179"/>
      <c r="K3180" s="183"/>
      <c r="L3180" s="176"/>
      <c r="M3180" s="177"/>
      <c r="N3180" s="21"/>
      <c r="O3180" s="45"/>
      <c r="P3180" s="24"/>
      <c r="Q3180" s="24"/>
      <c r="R3180" s="180"/>
      <c r="S3180" s="181"/>
      <c r="T3180" s="35"/>
      <c r="U3180" s="35"/>
      <c r="V3180" s="35"/>
      <c r="W3180" s="35"/>
      <c r="X3180" s="35"/>
      <c r="Y3180" s="182"/>
      <c r="Z3180" s="175"/>
      <c r="AA3180" s="182"/>
      <c r="AB3180" s="184"/>
    </row>
    <row r="3181" spans="1:28" ht="12.75">
      <c r="A3181" s="173"/>
      <c r="B3181" s="174"/>
      <c r="C3181" s="11"/>
      <c r="D3181" s="175"/>
      <c r="E3181" s="176"/>
      <c r="F3181" s="177"/>
      <c r="G3181" s="178"/>
      <c r="H3181" s="177"/>
      <c r="I3181" s="177"/>
      <c r="J3181" s="179"/>
      <c r="K3181" s="183"/>
      <c r="L3181" s="176"/>
      <c r="M3181" s="177"/>
      <c r="N3181" s="21"/>
      <c r="O3181" s="45"/>
      <c r="P3181" s="24"/>
      <c r="Q3181" s="24"/>
      <c r="R3181" s="180"/>
      <c r="S3181" s="181"/>
      <c r="T3181" s="35"/>
      <c r="U3181" s="35"/>
      <c r="V3181" s="35"/>
      <c r="W3181" s="35"/>
      <c r="X3181" s="35"/>
      <c r="Y3181" s="182"/>
      <c r="Z3181" s="175"/>
      <c r="AA3181" s="182"/>
      <c r="AB3181" s="184"/>
    </row>
    <row r="3182" spans="1:28" ht="12.75">
      <c r="A3182" s="173"/>
      <c r="B3182" s="174"/>
      <c r="C3182" s="11"/>
      <c r="D3182" s="175"/>
      <c r="E3182" s="176"/>
      <c r="F3182" s="177"/>
      <c r="G3182" s="178"/>
      <c r="H3182" s="177"/>
      <c r="I3182" s="177"/>
      <c r="J3182" s="179"/>
      <c r="K3182" s="183"/>
      <c r="L3182" s="176"/>
      <c r="M3182" s="177"/>
      <c r="N3182" s="21"/>
      <c r="O3182" s="45"/>
      <c r="P3182" s="24"/>
      <c r="Q3182" s="24"/>
      <c r="R3182" s="180"/>
      <c r="S3182" s="181"/>
      <c r="T3182" s="35"/>
      <c r="U3182" s="35"/>
      <c r="V3182" s="35"/>
      <c r="W3182" s="35"/>
      <c r="X3182" s="35"/>
      <c r="Y3182" s="182"/>
      <c r="Z3182" s="175"/>
      <c r="AA3182" s="182"/>
      <c r="AB3182" s="184"/>
    </row>
    <row r="3183" spans="1:28" ht="12.75">
      <c r="A3183" s="173"/>
      <c r="B3183" s="174"/>
      <c r="C3183" s="11"/>
      <c r="D3183" s="175"/>
      <c r="E3183" s="176"/>
      <c r="F3183" s="177"/>
      <c r="G3183" s="178"/>
      <c r="H3183" s="177"/>
      <c r="I3183" s="177"/>
      <c r="J3183" s="179"/>
      <c r="K3183" s="183"/>
      <c r="L3183" s="176"/>
      <c r="M3183" s="177"/>
      <c r="N3183" s="21"/>
      <c r="O3183" s="45"/>
      <c r="P3183" s="24"/>
      <c r="Q3183" s="24"/>
      <c r="R3183" s="180"/>
      <c r="S3183" s="181"/>
      <c r="T3183" s="35"/>
      <c r="U3183" s="35"/>
      <c r="V3183" s="35"/>
      <c r="W3183" s="35"/>
      <c r="X3183" s="35"/>
      <c r="Y3183" s="182"/>
      <c r="Z3183" s="175"/>
      <c r="AA3183" s="182"/>
      <c r="AB3183" s="184"/>
    </row>
    <row r="3184" spans="1:28" ht="12.75">
      <c r="A3184" s="173"/>
      <c r="B3184" s="174"/>
      <c r="C3184" s="11"/>
      <c r="D3184" s="175"/>
      <c r="E3184" s="176"/>
      <c r="F3184" s="177"/>
      <c r="G3184" s="178"/>
      <c r="H3184" s="177"/>
      <c r="I3184" s="177"/>
      <c r="J3184" s="179"/>
      <c r="K3184" s="183"/>
      <c r="L3184" s="176"/>
      <c r="M3184" s="177"/>
      <c r="N3184" s="21"/>
      <c r="O3184" s="45"/>
      <c r="P3184" s="24"/>
      <c r="Q3184" s="24"/>
      <c r="R3184" s="180"/>
      <c r="S3184" s="181"/>
      <c r="T3184" s="35"/>
      <c r="U3184" s="35"/>
      <c r="V3184" s="35"/>
      <c r="W3184" s="35"/>
      <c r="X3184" s="35"/>
      <c r="Y3184" s="182"/>
      <c r="Z3184" s="175"/>
      <c r="AA3184" s="182"/>
      <c r="AB3184" s="184"/>
    </row>
    <row r="3185" spans="1:28" ht="12.75">
      <c r="A3185" s="173"/>
      <c r="B3185" s="174"/>
      <c r="C3185" s="11"/>
      <c r="D3185" s="175"/>
      <c r="E3185" s="176"/>
      <c r="F3185" s="177"/>
      <c r="G3185" s="178"/>
      <c r="H3185" s="177"/>
      <c r="I3185" s="177"/>
      <c r="J3185" s="179"/>
      <c r="K3185" s="183"/>
      <c r="L3185" s="176"/>
      <c r="M3185" s="177"/>
      <c r="N3185" s="21"/>
      <c r="O3185" s="45"/>
      <c r="P3185" s="24"/>
      <c r="Q3185" s="24"/>
      <c r="R3185" s="180"/>
      <c r="S3185" s="181"/>
      <c r="T3185" s="35"/>
      <c r="U3185" s="35"/>
      <c r="V3185" s="35"/>
      <c r="W3185" s="35"/>
      <c r="X3185" s="35"/>
      <c r="Y3185" s="182"/>
      <c r="Z3185" s="175"/>
      <c r="AA3185" s="182"/>
      <c r="AB3185" s="184"/>
    </row>
    <row r="3186" spans="1:28" ht="12.75">
      <c r="A3186" s="173"/>
      <c r="B3186" s="174"/>
      <c r="C3186" s="11"/>
      <c r="D3186" s="175"/>
      <c r="E3186" s="176"/>
      <c r="F3186" s="177"/>
      <c r="G3186" s="178"/>
      <c r="H3186" s="177"/>
      <c r="I3186" s="177"/>
      <c r="J3186" s="179"/>
      <c r="K3186" s="183"/>
      <c r="L3186" s="176"/>
      <c r="M3186" s="177"/>
      <c r="N3186" s="21"/>
      <c r="O3186" s="45"/>
      <c r="P3186" s="24"/>
      <c r="Q3186" s="24"/>
      <c r="R3186" s="180"/>
      <c r="S3186" s="181"/>
      <c r="T3186" s="35"/>
      <c r="U3186" s="35"/>
      <c r="V3186" s="35"/>
      <c r="W3186" s="35"/>
      <c r="X3186" s="35"/>
      <c r="Y3186" s="182"/>
      <c r="Z3186" s="175"/>
      <c r="AA3186" s="182"/>
      <c r="AB3186" s="184"/>
    </row>
    <row r="3187" spans="1:28" ht="12.75">
      <c r="A3187" s="173"/>
      <c r="B3187" s="174"/>
      <c r="C3187" s="11"/>
      <c r="D3187" s="175"/>
      <c r="E3187" s="176"/>
      <c r="F3187" s="177"/>
      <c r="G3187" s="178"/>
      <c r="H3187" s="177"/>
      <c r="I3187" s="177"/>
      <c r="J3187" s="179"/>
      <c r="K3187" s="183"/>
      <c r="L3187" s="176"/>
      <c r="M3187" s="177"/>
      <c r="N3187" s="21"/>
      <c r="O3187" s="45"/>
      <c r="P3187" s="24"/>
      <c r="Q3187" s="24"/>
      <c r="R3187" s="180"/>
      <c r="S3187" s="181"/>
      <c r="T3187" s="35"/>
      <c r="U3187" s="35"/>
      <c r="V3187" s="35"/>
      <c r="W3187" s="35"/>
      <c r="X3187" s="35"/>
      <c r="Y3187" s="182"/>
      <c r="Z3187" s="175"/>
      <c r="AA3187" s="182"/>
      <c r="AB3187" s="184"/>
    </row>
    <row r="3188" spans="1:28" ht="12.75">
      <c r="A3188" s="173"/>
      <c r="B3188" s="174"/>
      <c r="C3188" s="11"/>
      <c r="D3188" s="175"/>
      <c r="E3188" s="176"/>
      <c r="F3188" s="177"/>
      <c r="G3188" s="178"/>
      <c r="H3188" s="177"/>
      <c r="I3188" s="177"/>
      <c r="J3188" s="179"/>
      <c r="K3188" s="183"/>
      <c r="L3188" s="176"/>
      <c r="M3188" s="177"/>
      <c r="N3188" s="21"/>
      <c r="O3188" s="45"/>
      <c r="P3188" s="24"/>
      <c r="Q3188" s="24"/>
      <c r="R3188" s="180"/>
      <c r="S3188" s="181"/>
      <c r="T3188" s="35"/>
      <c r="U3188" s="35"/>
      <c r="V3188" s="35"/>
      <c r="W3188" s="35"/>
      <c r="X3188" s="35"/>
      <c r="Y3188" s="182"/>
      <c r="Z3188" s="175"/>
      <c r="AA3188" s="182"/>
      <c r="AB3188" s="184"/>
    </row>
    <row r="3189" spans="1:28" ht="12.75">
      <c r="A3189" s="173"/>
      <c r="B3189" s="174"/>
      <c r="C3189" s="11"/>
      <c r="D3189" s="175"/>
      <c r="E3189" s="176"/>
      <c r="F3189" s="177"/>
      <c r="G3189" s="178"/>
      <c r="H3189" s="177"/>
      <c r="I3189" s="177"/>
      <c r="J3189" s="179"/>
      <c r="K3189" s="183"/>
      <c r="L3189" s="176"/>
      <c r="M3189" s="177"/>
      <c r="N3189" s="21"/>
      <c r="O3189" s="45"/>
      <c r="P3189" s="24"/>
      <c r="Q3189" s="24"/>
      <c r="R3189" s="180"/>
      <c r="S3189" s="181"/>
      <c r="T3189" s="35"/>
      <c r="U3189" s="35"/>
      <c r="V3189" s="35"/>
      <c r="W3189" s="35"/>
      <c r="X3189" s="35"/>
      <c r="Y3189" s="182"/>
      <c r="Z3189" s="175"/>
      <c r="AA3189" s="182"/>
      <c r="AB3189" s="184"/>
    </row>
    <row r="3190" spans="1:28" ht="12.75">
      <c r="A3190" s="173"/>
      <c r="B3190" s="174"/>
      <c r="C3190" s="11"/>
      <c r="D3190" s="175"/>
      <c r="E3190" s="176"/>
      <c r="F3190" s="177"/>
      <c r="G3190" s="178"/>
      <c r="H3190" s="177"/>
      <c r="I3190" s="177"/>
      <c r="J3190" s="179"/>
      <c r="K3190" s="183"/>
      <c r="L3190" s="176"/>
      <c r="M3190" s="177"/>
      <c r="N3190" s="21"/>
      <c r="O3190" s="45"/>
      <c r="P3190" s="24"/>
      <c r="Q3190" s="24"/>
      <c r="R3190" s="180"/>
      <c r="S3190" s="181"/>
      <c r="T3190" s="35"/>
      <c r="U3190" s="35"/>
      <c r="V3190" s="35"/>
      <c r="W3190" s="35"/>
      <c r="X3190" s="35"/>
      <c r="Y3190" s="182"/>
      <c r="Z3190" s="175"/>
      <c r="AA3190" s="182"/>
      <c r="AB3190" s="184"/>
    </row>
    <row r="3191" spans="1:28" ht="12.75">
      <c r="A3191" s="173"/>
      <c r="B3191" s="174"/>
      <c r="C3191" s="11"/>
      <c r="D3191" s="175"/>
      <c r="E3191" s="176"/>
      <c r="F3191" s="177"/>
      <c r="G3191" s="178"/>
      <c r="H3191" s="177"/>
      <c r="I3191" s="177"/>
      <c r="J3191" s="179"/>
      <c r="K3191" s="183"/>
      <c r="L3191" s="176"/>
      <c r="M3191" s="177"/>
      <c r="N3191" s="21"/>
      <c r="O3191" s="45"/>
      <c r="P3191" s="24"/>
      <c r="Q3191" s="24"/>
      <c r="R3191" s="180"/>
      <c r="S3191" s="181"/>
      <c r="T3191" s="35"/>
      <c r="U3191" s="35"/>
      <c r="V3191" s="35"/>
      <c r="W3191" s="35"/>
      <c r="X3191" s="35"/>
      <c r="Y3191" s="182"/>
      <c r="Z3191" s="175"/>
      <c r="AA3191" s="182"/>
      <c r="AB3191" s="184"/>
    </row>
    <row r="3192" spans="1:28" ht="12.75">
      <c r="A3192" s="173"/>
      <c r="B3192" s="174"/>
      <c r="C3192" s="11"/>
      <c r="D3192" s="175"/>
      <c r="E3192" s="176"/>
      <c r="F3192" s="177"/>
      <c r="G3192" s="178"/>
      <c r="H3192" s="177"/>
      <c r="I3192" s="177"/>
      <c r="J3192" s="179"/>
      <c r="K3192" s="183"/>
      <c r="L3192" s="176"/>
      <c r="M3192" s="177"/>
      <c r="N3192" s="21"/>
      <c r="O3192" s="45"/>
      <c r="P3192" s="24"/>
      <c r="Q3192" s="24"/>
      <c r="R3192" s="180"/>
      <c r="S3192" s="181"/>
      <c r="T3192" s="35"/>
      <c r="U3192" s="35"/>
      <c r="V3192" s="35"/>
      <c r="W3192" s="35"/>
      <c r="X3192" s="35"/>
      <c r="Y3192" s="182"/>
      <c r="Z3192" s="175"/>
      <c r="AA3192" s="182"/>
      <c r="AB3192" s="184"/>
    </row>
    <row r="3193" spans="1:28" ht="12.75">
      <c r="A3193" s="173"/>
      <c r="B3193" s="174"/>
      <c r="C3193" s="11"/>
      <c r="D3193" s="175"/>
      <c r="E3193" s="176"/>
      <c r="F3193" s="177"/>
      <c r="G3193" s="178"/>
      <c r="H3193" s="177"/>
      <c r="I3193" s="177"/>
      <c r="J3193" s="179"/>
      <c r="K3193" s="183"/>
      <c r="L3193" s="176"/>
      <c r="M3193" s="177"/>
      <c r="N3193" s="21"/>
      <c r="O3193" s="45"/>
      <c r="P3193" s="24"/>
      <c r="Q3193" s="24"/>
      <c r="R3193" s="180"/>
      <c r="S3193" s="181"/>
      <c r="T3193" s="35"/>
      <c r="U3193" s="35"/>
      <c r="V3193" s="35"/>
      <c r="W3193" s="35"/>
      <c r="X3193" s="35"/>
      <c r="Y3193" s="182"/>
      <c r="Z3193" s="175"/>
      <c r="AA3193" s="182"/>
      <c r="AB3193" s="184"/>
    </row>
    <row r="3194" spans="1:28" ht="12.75">
      <c r="A3194" s="173"/>
      <c r="B3194" s="174"/>
      <c r="C3194" s="11"/>
      <c r="D3194" s="175"/>
      <c r="E3194" s="176"/>
      <c r="F3194" s="177"/>
      <c r="G3194" s="178"/>
      <c r="H3194" s="177"/>
      <c r="I3194" s="177"/>
      <c r="J3194" s="179"/>
      <c r="K3194" s="183"/>
      <c r="L3194" s="176"/>
      <c r="M3194" s="177"/>
      <c r="N3194" s="21"/>
      <c r="O3194" s="45"/>
      <c r="P3194" s="24"/>
      <c r="Q3194" s="24"/>
      <c r="R3194" s="180"/>
      <c r="S3194" s="181"/>
      <c r="T3194" s="35"/>
      <c r="U3194" s="35"/>
      <c r="V3194" s="35"/>
      <c r="W3194" s="35"/>
      <c r="X3194" s="35"/>
      <c r="Y3194" s="182"/>
      <c r="Z3194" s="175"/>
      <c r="AA3194" s="182"/>
      <c r="AB3194" s="184"/>
    </row>
    <row r="3195" spans="1:28" ht="12.75">
      <c r="A3195" s="173"/>
      <c r="B3195" s="174"/>
      <c r="C3195" s="11"/>
      <c r="D3195" s="175"/>
      <c r="E3195" s="176"/>
      <c r="F3195" s="177"/>
      <c r="G3195" s="178"/>
      <c r="H3195" s="177"/>
      <c r="I3195" s="177"/>
      <c r="J3195" s="179"/>
      <c r="K3195" s="183"/>
      <c r="L3195" s="176"/>
      <c r="M3195" s="177"/>
      <c r="N3195" s="21"/>
      <c r="O3195" s="45"/>
      <c r="P3195" s="24"/>
      <c r="Q3195" s="24"/>
      <c r="R3195" s="180"/>
      <c r="S3195" s="181"/>
      <c r="T3195" s="35"/>
      <c r="U3195" s="35"/>
      <c r="V3195" s="35"/>
      <c r="W3195" s="35"/>
      <c r="X3195" s="35"/>
      <c r="Y3195" s="182"/>
      <c r="Z3195" s="175"/>
      <c r="AA3195" s="182"/>
      <c r="AB3195" s="184"/>
    </row>
    <row r="3196" spans="1:28" ht="12.75">
      <c r="A3196" s="173"/>
      <c r="B3196" s="174"/>
      <c r="C3196" s="11"/>
      <c r="D3196" s="175"/>
      <c r="E3196" s="176"/>
      <c r="F3196" s="177"/>
      <c r="G3196" s="178"/>
      <c r="H3196" s="177"/>
      <c r="I3196" s="177"/>
      <c r="J3196" s="179"/>
      <c r="K3196" s="183"/>
      <c r="L3196" s="176"/>
      <c r="M3196" s="177"/>
      <c r="N3196" s="21"/>
      <c r="O3196" s="45"/>
      <c r="P3196" s="24"/>
      <c r="Q3196" s="24"/>
      <c r="R3196" s="180"/>
      <c r="S3196" s="181"/>
      <c r="T3196" s="35"/>
      <c r="U3196" s="35"/>
      <c r="V3196" s="35"/>
      <c r="W3196" s="35"/>
      <c r="X3196" s="35"/>
      <c r="Y3196" s="182"/>
      <c r="Z3196" s="175"/>
      <c r="AA3196" s="182"/>
      <c r="AB3196" s="184"/>
    </row>
    <row r="3197" spans="1:28" ht="12.75">
      <c r="A3197" s="173"/>
      <c r="B3197" s="174"/>
      <c r="C3197" s="11"/>
      <c r="D3197" s="175"/>
      <c r="E3197" s="176"/>
      <c r="F3197" s="177"/>
      <c r="G3197" s="178"/>
      <c r="H3197" s="177"/>
      <c r="I3197" s="177"/>
      <c r="J3197" s="179"/>
      <c r="K3197" s="183"/>
      <c r="L3197" s="176"/>
      <c r="M3197" s="177"/>
      <c r="N3197" s="21"/>
      <c r="O3197" s="45"/>
      <c r="P3197" s="24"/>
      <c r="Q3197" s="24"/>
      <c r="R3197" s="180"/>
      <c r="S3197" s="181"/>
      <c r="T3197" s="35"/>
      <c r="U3197" s="35"/>
      <c r="V3197" s="35"/>
      <c r="W3197" s="35"/>
      <c r="X3197" s="35"/>
      <c r="Y3197" s="182"/>
      <c r="Z3197" s="175"/>
      <c r="AA3197" s="182"/>
      <c r="AB3197" s="184"/>
    </row>
    <row r="3198" spans="1:28" ht="12.75">
      <c r="A3198" s="173"/>
      <c r="B3198" s="174"/>
      <c r="C3198" s="11"/>
      <c r="D3198" s="175"/>
      <c r="E3198" s="176"/>
      <c r="F3198" s="177"/>
      <c r="G3198" s="178"/>
      <c r="H3198" s="177"/>
      <c r="I3198" s="177"/>
      <c r="J3198" s="179"/>
      <c r="K3198" s="183"/>
      <c r="L3198" s="176"/>
      <c r="M3198" s="177"/>
      <c r="N3198" s="21"/>
      <c r="O3198" s="45"/>
      <c r="P3198" s="24"/>
      <c r="Q3198" s="24"/>
      <c r="R3198" s="180"/>
      <c r="S3198" s="181"/>
      <c r="T3198" s="35"/>
      <c r="U3198" s="35"/>
      <c r="V3198" s="35"/>
      <c r="W3198" s="35"/>
      <c r="X3198" s="35"/>
      <c r="Y3198" s="182"/>
      <c r="Z3198" s="175"/>
      <c r="AA3198" s="182"/>
      <c r="AB3198" s="184"/>
    </row>
    <row r="3199" spans="1:28" ht="12.75">
      <c r="A3199" s="173"/>
      <c r="B3199" s="174"/>
      <c r="C3199" s="11"/>
      <c r="D3199" s="175"/>
      <c r="E3199" s="176"/>
      <c r="F3199" s="177"/>
      <c r="G3199" s="178"/>
      <c r="H3199" s="177"/>
      <c r="I3199" s="177"/>
      <c r="J3199" s="179"/>
      <c r="K3199" s="183"/>
      <c r="L3199" s="176"/>
      <c r="M3199" s="177"/>
      <c r="N3199" s="21"/>
      <c r="O3199" s="45"/>
      <c r="P3199" s="24"/>
      <c r="Q3199" s="24"/>
      <c r="R3199" s="180"/>
      <c r="S3199" s="181"/>
      <c r="T3199" s="35"/>
      <c r="U3199" s="35"/>
      <c r="V3199" s="35"/>
      <c r="W3199" s="35"/>
      <c r="X3199" s="35"/>
      <c r="Y3199" s="182"/>
      <c r="Z3199" s="175"/>
      <c r="AA3199" s="182"/>
      <c r="AB3199" s="184"/>
    </row>
    <row r="3200" spans="1:28" ht="12.75">
      <c r="A3200" s="173"/>
      <c r="B3200" s="174"/>
      <c r="C3200" s="11"/>
      <c r="D3200" s="175"/>
      <c r="E3200" s="176"/>
      <c r="F3200" s="177"/>
      <c r="G3200" s="178"/>
      <c r="H3200" s="177"/>
      <c r="I3200" s="177"/>
      <c r="J3200" s="179"/>
      <c r="K3200" s="183"/>
      <c r="L3200" s="176"/>
      <c r="M3200" s="177"/>
      <c r="N3200" s="21"/>
      <c r="O3200" s="45"/>
      <c r="P3200" s="24"/>
      <c r="Q3200" s="24"/>
      <c r="R3200" s="180"/>
      <c r="S3200" s="181"/>
      <c r="T3200" s="35"/>
      <c r="U3200" s="35"/>
      <c r="V3200" s="35"/>
      <c r="W3200" s="35"/>
      <c r="X3200" s="35"/>
      <c r="Y3200" s="182"/>
      <c r="Z3200" s="175"/>
      <c r="AA3200" s="182"/>
      <c r="AB3200" s="184"/>
    </row>
    <row r="3201" spans="1:28" ht="12.75">
      <c r="A3201" s="173"/>
      <c r="B3201" s="174"/>
      <c r="C3201" s="11"/>
      <c r="D3201" s="175"/>
      <c r="E3201" s="176"/>
      <c r="F3201" s="177"/>
      <c r="G3201" s="178"/>
      <c r="H3201" s="177"/>
      <c r="I3201" s="177"/>
      <c r="J3201" s="179"/>
      <c r="K3201" s="183"/>
      <c r="L3201" s="176"/>
      <c r="M3201" s="177"/>
      <c r="N3201" s="21"/>
      <c r="O3201" s="45"/>
      <c r="P3201" s="24"/>
      <c r="Q3201" s="24"/>
      <c r="R3201" s="180"/>
      <c r="S3201" s="181"/>
      <c r="T3201" s="35"/>
      <c r="U3201" s="35"/>
      <c r="V3201" s="35"/>
      <c r="W3201" s="35"/>
      <c r="X3201" s="35"/>
      <c r="Y3201" s="182"/>
      <c r="Z3201" s="175"/>
      <c r="AA3201" s="182"/>
      <c r="AB3201" s="184"/>
    </row>
    <row r="3202" spans="1:28" ht="12.75">
      <c r="A3202" s="173"/>
      <c r="B3202" s="174"/>
      <c r="C3202" s="11"/>
      <c r="D3202" s="175"/>
      <c r="E3202" s="176"/>
      <c r="F3202" s="177"/>
      <c r="G3202" s="178"/>
      <c r="H3202" s="177"/>
      <c r="I3202" s="177"/>
      <c r="J3202" s="179"/>
      <c r="K3202" s="183"/>
      <c r="L3202" s="176"/>
      <c r="M3202" s="177"/>
      <c r="N3202" s="21"/>
      <c r="O3202" s="45"/>
      <c r="P3202" s="24"/>
      <c r="Q3202" s="24"/>
      <c r="R3202" s="180"/>
      <c r="S3202" s="181"/>
      <c r="T3202" s="35"/>
      <c r="U3202" s="35"/>
      <c r="V3202" s="35"/>
      <c r="W3202" s="35"/>
      <c r="X3202" s="35"/>
      <c r="Y3202" s="182"/>
      <c r="Z3202" s="175"/>
      <c r="AA3202" s="182"/>
      <c r="AB3202" s="184"/>
    </row>
    <row r="3203" spans="1:28" ht="12.75">
      <c r="A3203" s="173"/>
      <c r="B3203" s="174"/>
      <c r="C3203" s="11"/>
      <c r="D3203" s="175"/>
      <c r="E3203" s="176"/>
      <c r="F3203" s="177"/>
      <c r="G3203" s="178"/>
      <c r="H3203" s="177"/>
      <c r="I3203" s="177"/>
      <c r="J3203" s="179"/>
      <c r="K3203" s="183"/>
      <c r="L3203" s="176"/>
      <c r="M3203" s="177"/>
      <c r="N3203" s="21"/>
      <c r="O3203" s="45"/>
      <c r="P3203" s="24"/>
      <c r="Q3203" s="24"/>
      <c r="R3203" s="180"/>
      <c r="S3203" s="181"/>
      <c r="T3203" s="35"/>
      <c r="U3203" s="35"/>
      <c r="V3203" s="35"/>
      <c r="W3203" s="35"/>
      <c r="X3203" s="35"/>
      <c r="Y3203" s="182"/>
      <c r="Z3203" s="175"/>
      <c r="AA3203" s="182"/>
      <c r="AB3203" s="184"/>
    </row>
    <row r="3204" spans="1:28" ht="12.75">
      <c r="A3204" s="173"/>
      <c r="B3204" s="174"/>
      <c r="C3204" s="11"/>
      <c r="D3204" s="175"/>
      <c r="E3204" s="176"/>
      <c r="F3204" s="177"/>
      <c r="G3204" s="178"/>
      <c r="H3204" s="177"/>
      <c r="I3204" s="177"/>
      <c r="J3204" s="179"/>
      <c r="K3204" s="183"/>
      <c r="L3204" s="176"/>
      <c r="M3204" s="177"/>
      <c r="N3204" s="21"/>
      <c r="O3204" s="45"/>
      <c r="P3204" s="24"/>
      <c r="Q3204" s="24"/>
      <c r="R3204" s="180"/>
      <c r="S3204" s="181"/>
      <c r="T3204" s="35"/>
      <c r="U3204" s="35"/>
      <c r="V3204" s="35"/>
      <c r="W3204" s="35"/>
      <c r="X3204" s="35"/>
      <c r="Y3204" s="182"/>
      <c r="Z3204" s="175"/>
      <c r="AA3204" s="182"/>
      <c r="AB3204" s="184"/>
    </row>
    <row r="3205" spans="1:28" ht="12.75">
      <c r="A3205" s="173"/>
      <c r="B3205" s="174"/>
      <c r="C3205" s="11"/>
      <c r="D3205" s="175"/>
      <c r="E3205" s="176"/>
      <c r="F3205" s="177"/>
      <c r="G3205" s="178"/>
      <c r="H3205" s="177"/>
      <c r="I3205" s="177"/>
      <c r="J3205" s="179"/>
      <c r="K3205" s="183"/>
      <c r="L3205" s="176"/>
      <c r="M3205" s="177"/>
      <c r="N3205" s="21"/>
      <c r="O3205" s="45"/>
      <c r="P3205" s="24"/>
      <c r="Q3205" s="24"/>
      <c r="R3205" s="180"/>
      <c r="S3205" s="181"/>
      <c r="T3205" s="35"/>
      <c r="U3205" s="35"/>
      <c r="V3205" s="35"/>
      <c r="W3205" s="35"/>
      <c r="X3205" s="35"/>
      <c r="Y3205" s="182"/>
      <c r="Z3205" s="175"/>
      <c r="AA3205" s="182"/>
      <c r="AB3205" s="184"/>
    </row>
    <row r="3206" spans="1:28" ht="12.75">
      <c r="A3206" s="173"/>
      <c r="B3206" s="174"/>
      <c r="C3206" s="11"/>
      <c r="D3206" s="175"/>
      <c r="E3206" s="176"/>
      <c r="F3206" s="177"/>
      <c r="G3206" s="178"/>
      <c r="H3206" s="177"/>
      <c r="I3206" s="177"/>
      <c r="J3206" s="179"/>
      <c r="K3206" s="183"/>
      <c r="L3206" s="176"/>
      <c r="M3206" s="177"/>
      <c r="N3206" s="21"/>
      <c r="O3206" s="45"/>
      <c r="P3206" s="24"/>
      <c r="Q3206" s="24"/>
      <c r="R3206" s="180"/>
      <c r="S3206" s="181"/>
      <c r="T3206" s="35"/>
      <c r="U3206" s="35"/>
      <c r="V3206" s="35"/>
      <c r="W3206" s="35"/>
      <c r="X3206" s="35"/>
      <c r="Y3206" s="182"/>
      <c r="Z3206" s="175"/>
      <c r="AA3206" s="182"/>
      <c r="AB3206" s="184"/>
    </row>
    <row r="3207" spans="1:28" ht="12.75">
      <c r="A3207" s="173"/>
      <c r="B3207" s="174"/>
      <c r="C3207" s="11"/>
      <c r="D3207" s="175"/>
      <c r="E3207" s="176"/>
      <c r="F3207" s="177"/>
      <c r="G3207" s="178"/>
      <c r="H3207" s="177"/>
      <c r="I3207" s="177"/>
      <c r="J3207" s="179"/>
      <c r="K3207" s="183"/>
      <c r="L3207" s="176"/>
      <c r="M3207" s="177"/>
      <c r="N3207" s="21"/>
      <c r="O3207" s="45"/>
      <c r="P3207" s="24"/>
      <c r="Q3207" s="24"/>
      <c r="R3207" s="180"/>
      <c r="S3207" s="181"/>
      <c r="T3207" s="35"/>
      <c r="U3207" s="35"/>
      <c r="V3207" s="35"/>
      <c r="W3207" s="35"/>
      <c r="X3207" s="35"/>
      <c r="Y3207" s="182"/>
      <c r="Z3207" s="175"/>
      <c r="AA3207" s="182"/>
      <c r="AB3207" s="184"/>
    </row>
    <row r="3208" spans="1:28" ht="12.75">
      <c r="A3208" s="173"/>
      <c r="B3208" s="174"/>
      <c r="C3208" s="11"/>
      <c r="D3208" s="175"/>
      <c r="E3208" s="176"/>
      <c r="F3208" s="177"/>
      <c r="G3208" s="178"/>
      <c r="H3208" s="177"/>
      <c r="I3208" s="177"/>
      <c r="J3208" s="179"/>
      <c r="K3208" s="183"/>
      <c r="L3208" s="176"/>
      <c r="M3208" s="177"/>
      <c r="N3208" s="21"/>
      <c r="O3208" s="45"/>
      <c r="P3208" s="24"/>
      <c r="Q3208" s="24"/>
      <c r="R3208" s="180"/>
      <c r="S3208" s="181"/>
      <c r="T3208" s="35"/>
      <c r="U3208" s="35"/>
      <c r="V3208" s="35"/>
      <c r="W3208" s="35"/>
      <c r="X3208" s="35"/>
      <c r="Y3208" s="182"/>
      <c r="Z3208" s="175"/>
      <c r="AA3208" s="182"/>
      <c r="AB3208" s="184"/>
    </row>
    <row r="3209" spans="1:28" ht="12.75">
      <c r="A3209" s="173"/>
      <c r="B3209" s="174"/>
      <c r="C3209" s="11"/>
      <c r="D3209" s="175"/>
      <c r="E3209" s="176"/>
      <c r="F3209" s="177"/>
      <c r="G3209" s="178"/>
      <c r="H3209" s="177"/>
      <c r="I3209" s="177"/>
      <c r="J3209" s="179"/>
      <c r="K3209" s="183"/>
      <c r="L3209" s="176"/>
      <c r="M3209" s="177"/>
      <c r="N3209" s="21"/>
      <c r="O3209" s="45"/>
      <c r="P3209" s="24"/>
      <c r="Q3209" s="24"/>
      <c r="R3209" s="180"/>
      <c r="S3209" s="181"/>
      <c r="T3209" s="35"/>
      <c r="U3209" s="35"/>
      <c r="V3209" s="35"/>
      <c r="W3209" s="35"/>
      <c r="X3209" s="35"/>
      <c r="Y3209" s="182"/>
      <c r="Z3209" s="175"/>
      <c r="AA3209" s="182"/>
      <c r="AB3209" s="184"/>
    </row>
    <row r="3210" spans="1:28" ht="12.75">
      <c r="A3210" s="173"/>
      <c r="B3210" s="174"/>
      <c r="C3210" s="11"/>
      <c r="D3210" s="175"/>
      <c r="E3210" s="176"/>
      <c r="F3210" s="177"/>
      <c r="G3210" s="178"/>
      <c r="H3210" s="177"/>
      <c r="I3210" s="177"/>
      <c r="J3210" s="179"/>
      <c r="K3210" s="183"/>
      <c r="L3210" s="176"/>
      <c r="M3210" s="177"/>
      <c r="N3210" s="21"/>
      <c r="O3210" s="45"/>
      <c r="P3210" s="24"/>
      <c r="Q3210" s="24"/>
      <c r="R3210" s="180"/>
      <c r="S3210" s="181"/>
      <c r="T3210" s="35"/>
      <c r="U3210" s="35"/>
      <c r="V3210" s="35"/>
      <c r="W3210" s="35"/>
      <c r="X3210" s="35"/>
      <c r="Y3210" s="182"/>
      <c r="Z3210" s="175"/>
      <c r="AA3210" s="182"/>
      <c r="AB3210" s="184"/>
    </row>
    <row r="3211" spans="1:28" ht="12.75">
      <c r="A3211" s="173"/>
      <c r="B3211" s="174"/>
      <c r="C3211" s="11"/>
      <c r="D3211" s="175"/>
      <c r="E3211" s="176"/>
      <c r="F3211" s="177"/>
      <c r="G3211" s="178"/>
      <c r="H3211" s="177"/>
      <c r="I3211" s="177"/>
      <c r="J3211" s="179"/>
      <c r="K3211" s="183"/>
      <c r="L3211" s="176"/>
      <c r="M3211" s="177"/>
      <c r="N3211" s="21"/>
      <c r="O3211" s="45"/>
      <c r="P3211" s="24"/>
      <c r="Q3211" s="24"/>
      <c r="R3211" s="180"/>
      <c r="S3211" s="181"/>
      <c r="T3211" s="35"/>
      <c r="U3211" s="35"/>
      <c r="V3211" s="35"/>
      <c r="W3211" s="35"/>
      <c r="X3211" s="35"/>
      <c r="Y3211" s="182"/>
      <c r="Z3211" s="175"/>
      <c r="AA3211" s="182"/>
      <c r="AB3211" s="184"/>
    </row>
    <row r="3212" spans="1:28" ht="12.75">
      <c r="A3212" s="173"/>
      <c r="B3212" s="174"/>
      <c r="C3212" s="11"/>
      <c r="D3212" s="175"/>
      <c r="E3212" s="176"/>
      <c r="F3212" s="177"/>
      <c r="G3212" s="178"/>
      <c r="H3212" s="177"/>
      <c r="I3212" s="177"/>
      <c r="J3212" s="179"/>
      <c r="K3212" s="183"/>
      <c r="L3212" s="176"/>
      <c r="M3212" s="177"/>
      <c r="N3212" s="21"/>
      <c r="O3212" s="45"/>
      <c r="P3212" s="24"/>
      <c r="Q3212" s="24"/>
      <c r="R3212" s="180"/>
      <c r="S3212" s="181"/>
      <c r="T3212" s="35"/>
      <c r="U3212" s="35"/>
      <c r="V3212" s="35"/>
      <c r="W3212" s="35"/>
      <c r="X3212" s="35"/>
      <c r="Y3212" s="182"/>
      <c r="Z3212" s="175"/>
      <c r="AA3212" s="182"/>
      <c r="AB3212" s="184"/>
    </row>
    <row r="3213" spans="1:28" ht="12.75">
      <c r="A3213" s="173"/>
      <c r="B3213" s="174"/>
      <c r="C3213" s="11"/>
      <c r="D3213" s="175"/>
      <c r="E3213" s="176"/>
      <c r="F3213" s="177"/>
      <c r="G3213" s="178"/>
      <c r="H3213" s="177"/>
      <c r="I3213" s="177"/>
      <c r="J3213" s="179"/>
      <c r="K3213" s="183"/>
      <c r="L3213" s="176"/>
      <c r="M3213" s="177"/>
      <c r="N3213" s="21"/>
      <c r="O3213" s="45"/>
      <c r="P3213" s="24"/>
      <c r="Q3213" s="24"/>
      <c r="R3213" s="180"/>
      <c r="S3213" s="181"/>
      <c r="T3213" s="35"/>
      <c r="U3213" s="35"/>
      <c r="V3213" s="35"/>
      <c r="W3213" s="35"/>
      <c r="X3213" s="35"/>
      <c r="Y3213" s="182"/>
      <c r="Z3213" s="175"/>
      <c r="AA3213" s="182"/>
      <c r="AB3213" s="184"/>
    </row>
    <row r="3214" spans="1:28" ht="12.75">
      <c r="A3214" s="173"/>
      <c r="B3214" s="174"/>
      <c r="C3214" s="11"/>
      <c r="D3214" s="175"/>
      <c r="E3214" s="176"/>
      <c r="F3214" s="177"/>
      <c r="G3214" s="178"/>
      <c r="H3214" s="177"/>
      <c r="I3214" s="177"/>
      <c r="J3214" s="179"/>
      <c r="K3214" s="183"/>
      <c r="L3214" s="176"/>
      <c r="M3214" s="177"/>
      <c r="N3214" s="21"/>
      <c r="O3214" s="45"/>
      <c r="P3214" s="24"/>
      <c r="Q3214" s="24"/>
      <c r="R3214" s="180"/>
      <c r="S3214" s="181"/>
      <c r="T3214" s="35"/>
      <c r="U3214" s="35"/>
      <c r="V3214" s="35"/>
      <c r="W3214" s="35"/>
      <c r="X3214" s="35"/>
      <c r="Y3214" s="182"/>
      <c r="Z3214" s="175"/>
      <c r="AA3214" s="182"/>
      <c r="AB3214" s="184"/>
    </row>
    <row r="3215" spans="1:28" ht="12.75">
      <c r="A3215" s="173"/>
      <c r="B3215" s="174"/>
      <c r="C3215" s="11"/>
      <c r="D3215" s="175"/>
      <c r="E3215" s="176"/>
      <c r="F3215" s="177"/>
      <c r="G3215" s="178"/>
      <c r="H3215" s="177"/>
      <c r="I3215" s="177"/>
      <c r="J3215" s="179"/>
      <c r="K3215" s="183"/>
      <c r="L3215" s="176"/>
      <c r="M3215" s="177"/>
      <c r="N3215" s="21"/>
      <c r="O3215" s="45"/>
      <c r="P3215" s="24"/>
      <c r="Q3215" s="24"/>
      <c r="R3215" s="180"/>
      <c r="S3215" s="181"/>
      <c r="T3215" s="35"/>
      <c r="U3215" s="35"/>
      <c r="V3215" s="35"/>
      <c r="W3215" s="35"/>
      <c r="X3215" s="35"/>
      <c r="Y3215" s="182"/>
      <c r="Z3215" s="175"/>
      <c r="AA3215" s="182"/>
      <c r="AB3215" s="184"/>
    </row>
    <row r="3216" spans="1:28" ht="12.75">
      <c r="A3216" s="173"/>
      <c r="B3216" s="174"/>
      <c r="C3216" s="11"/>
      <c r="D3216" s="175"/>
      <c r="E3216" s="176"/>
      <c r="F3216" s="177"/>
      <c r="G3216" s="178"/>
      <c r="H3216" s="177"/>
      <c r="I3216" s="177"/>
      <c r="J3216" s="179"/>
      <c r="K3216" s="183"/>
      <c r="L3216" s="176"/>
      <c r="M3216" s="177"/>
      <c r="N3216" s="21"/>
      <c r="O3216" s="45"/>
      <c r="P3216" s="24"/>
      <c r="Q3216" s="24"/>
      <c r="R3216" s="180"/>
      <c r="S3216" s="181"/>
      <c r="T3216" s="35"/>
      <c r="U3216" s="35"/>
      <c r="V3216" s="35"/>
      <c r="W3216" s="35"/>
      <c r="X3216" s="35"/>
      <c r="Y3216" s="182"/>
      <c r="Z3216" s="175"/>
      <c r="AA3216" s="182"/>
      <c r="AB3216" s="184"/>
    </row>
    <row r="3217" spans="1:28" ht="12.75">
      <c r="A3217" s="173"/>
      <c r="B3217" s="174"/>
      <c r="C3217" s="11"/>
      <c r="D3217" s="175"/>
      <c r="E3217" s="176"/>
      <c r="F3217" s="177"/>
      <c r="G3217" s="178"/>
      <c r="H3217" s="177"/>
      <c r="I3217" s="177"/>
      <c r="J3217" s="179"/>
      <c r="K3217" s="183"/>
      <c r="L3217" s="176"/>
      <c r="M3217" s="177"/>
      <c r="N3217" s="21"/>
      <c r="O3217" s="45"/>
      <c r="P3217" s="24"/>
      <c r="Q3217" s="24"/>
      <c r="R3217" s="180"/>
      <c r="S3217" s="181"/>
      <c r="T3217" s="35"/>
      <c r="U3217" s="35"/>
      <c r="V3217" s="35"/>
      <c r="W3217" s="35"/>
      <c r="X3217" s="35"/>
      <c r="Y3217" s="182"/>
      <c r="Z3217" s="175"/>
      <c r="AA3217" s="182"/>
      <c r="AB3217" s="184"/>
    </row>
    <row r="3218" spans="1:28" ht="12.75">
      <c r="A3218" s="173"/>
      <c r="B3218" s="174"/>
      <c r="C3218" s="11"/>
      <c r="D3218" s="175"/>
      <c r="E3218" s="176"/>
      <c r="F3218" s="177"/>
      <c r="G3218" s="178"/>
      <c r="H3218" s="177"/>
      <c r="I3218" s="177"/>
      <c r="J3218" s="179"/>
      <c r="K3218" s="183"/>
      <c r="L3218" s="176"/>
      <c r="M3218" s="177"/>
      <c r="N3218" s="21"/>
      <c r="O3218" s="45"/>
      <c r="P3218" s="24"/>
      <c r="Q3218" s="24"/>
      <c r="R3218" s="180"/>
      <c r="S3218" s="181"/>
      <c r="T3218" s="35"/>
      <c r="U3218" s="35"/>
      <c r="V3218" s="35"/>
      <c r="W3218" s="35"/>
      <c r="X3218" s="35"/>
      <c r="Y3218" s="182"/>
      <c r="Z3218" s="175"/>
      <c r="AA3218" s="182"/>
      <c r="AB3218" s="184"/>
    </row>
    <row r="3219" spans="1:28" ht="12.75">
      <c r="A3219" s="173"/>
      <c r="B3219" s="174"/>
      <c r="C3219" s="11"/>
      <c r="D3219" s="175"/>
      <c r="E3219" s="176"/>
      <c r="F3219" s="177"/>
      <c r="G3219" s="178"/>
      <c r="H3219" s="177"/>
      <c r="I3219" s="177"/>
      <c r="J3219" s="179"/>
      <c r="K3219" s="183"/>
      <c r="L3219" s="176"/>
      <c r="M3219" s="177"/>
      <c r="N3219" s="21"/>
      <c r="O3219" s="45"/>
      <c r="P3219" s="24"/>
      <c r="Q3219" s="24"/>
      <c r="R3219" s="180"/>
      <c r="S3219" s="181"/>
      <c r="T3219" s="35"/>
      <c r="U3219" s="35"/>
      <c r="V3219" s="35"/>
      <c r="W3219" s="35"/>
      <c r="X3219" s="35"/>
      <c r="Y3219" s="182"/>
      <c r="Z3219" s="175"/>
      <c r="AA3219" s="182"/>
      <c r="AB3219" s="184"/>
    </row>
    <row r="3220" spans="1:28" ht="12.75">
      <c r="A3220" s="173"/>
      <c r="B3220" s="174"/>
      <c r="C3220" s="11"/>
      <c r="D3220" s="175"/>
      <c r="E3220" s="176"/>
      <c r="F3220" s="177"/>
      <c r="G3220" s="178"/>
      <c r="H3220" s="177"/>
      <c r="I3220" s="177"/>
      <c r="J3220" s="179"/>
      <c r="K3220" s="183"/>
      <c r="L3220" s="176"/>
      <c r="M3220" s="177"/>
      <c r="N3220" s="21"/>
      <c r="O3220" s="45"/>
      <c r="P3220" s="24"/>
      <c r="Q3220" s="24"/>
      <c r="R3220" s="180"/>
      <c r="S3220" s="181"/>
      <c r="T3220" s="35"/>
      <c r="U3220" s="35"/>
      <c r="V3220" s="35"/>
      <c r="W3220" s="35"/>
      <c r="X3220" s="35"/>
      <c r="Y3220" s="182"/>
      <c r="Z3220" s="175"/>
      <c r="AA3220" s="182"/>
      <c r="AB3220" s="184"/>
    </row>
    <row r="3221" spans="1:28" ht="12.75">
      <c r="A3221" s="173"/>
      <c r="B3221" s="174"/>
      <c r="C3221" s="11"/>
      <c r="D3221" s="175"/>
      <c r="E3221" s="176"/>
      <c r="F3221" s="177"/>
      <c r="G3221" s="178"/>
      <c r="H3221" s="177"/>
      <c r="I3221" s="177"/>
      <c r="J3221" s="179"/>
      <c r="K3221" s="183"/>
      <c r="L3221" s="176"/>
      <c r="M3221" s="177"/>
      <c r="N3221" s="21"/>
      <c r="O3221" s="45"/>
      <c r="P3221" s="24"/>
      <c r="Q3221" s="24"/>
      <c r="R3221" s="180"/>
      <c r="S3221" s="181"/>
      <c r="T3221" s="35"/>
      <c r="U3221" s="35"/>
      <c r="V3221" s="35"/>
      <c r="W3221" s="35"/>
      <c r="X3221" s="35"/>
      <c r="Y3221" s="182"/>
      <c r="Z3221" s="175"/>
      <c r="AA3221" s="182"/>
      <c r="AB3221" s="184"/>
    </row>
    <row r="3222" spans="1:28" ht="12.75">
      <c r="A3222" s="173"/>
      <c r="B3222" s="174"/>
      <c r="C3222" s="11"/>
      <c r="D3222" s="175"/>
      <c r="E3222" s="176"/>
      <c r="F3222" s="177"/>
      <c r="G3222" s="178"/>
      <c r="H3222" s="177"/>
      <c r="I3222" s="177"/>
      <c r="J3222" s="179"/>
      <c r="K3222" s="183"/>
      <c r="L3222" s="176"/>
      <c r="M3222" s="177"/>
      <c r="N3222" s="21"/>
      <c r="O3222" s="45"/>
      <c r="P3222" s="24"/>
      <c r="Q3222" s="24"/>
      <c r="R3222" s="180"/>
      <c r="S3222" s="181"/>
      <c r="T3222" s="35"/>
      <c r="U3222" s="35"/>
      <c r="V3222" s="35"/>
      <c r="W3222" s="35"/>
      <c r="X3222" s="35"/>
      <c r="Y3222" s="182"/>
      <c r="Z3222" s="175"/>
      <c r="AA3222" s="182"/>
      <c r="AB3222" s="184"/>
    </row>
    <row r="3223" spans="1:28" ht="12.75">
      <c r="A3223" s="173"/>
      <c r="B3223" s="174"/>
      <c r="C3223" s="11"/>
      <c r="D3223" s="175"/>
      <c r="E3223" s="176"/>
      <c r="F3223" s="177"/>
      <c r="G3223" s="178"/>
      <c r="H3223" s="177"/>
      <c r="I3223" s="177"/>
      <c r="J3223" s="179"/>
      <c r="K3223" s="183"/>
      <c r="L3223" s="176"/>
      <c r="M3223" s="177"/>
      <c r="N3223" s="21"/>
      <c r="O3223" s="45"/>
      <c r="P3223" s="24"/>
      <c r="Q3223" s="24"/>
      <c r="R3223" s="180"/>
      <c r="S3223" s="181"/>
      <c r="T3223" s="35"/>
      <c r="U3223" s="35"/>
      <c r="V3223" s="35"/>
      <c r="W3223" s="35"/>
      <c r="X3223" s="35"/>
      <c r="Y3223" s="182"/>
      <c r="Z3223" s="175"/>
      <c r="AA3223" s="182"/>
      <c r="AB3223" s="184"/>
    </row>
    <row r="3224" spans="1:28" ht="12.75">
      <c r="A3224" s="173"/>
      <c r="B3224" s="174"/>
      <c r="C3224" s="11"/>
      <c r="D3224" s="175"/>
      <c r="E3224" s="176"/>
      <c r="F3224" s="177"/>
      <c r="G3224" s="178"/>
      <c r="H3224" s="177"/>
      <c r="I3224" s="177"/>
      <c r="J3224" s="179"/>
      <c r="K3224" s="183"/>
      <c r="L3224" s="176"/>
      <c r="M3224" s="177"/>
      <c r="N3224" s="21"/>
      <c r="O3224" s="45"/>
      <c r="P3224" s="24"/>
      <c r="Q3224" s="24"/>
      <c r="R3224" s="180"/>
      <c r="S3224" s="181"/>
      <c r="T3224" s="35"/>
      <c r="U3224" s="35"/>
      <c r="V3224" s="35"/>
      <c r="W3224" s="35"/>
      <c r="X3224" s="35"/>
      <c r="Y3224" s="182"/>
      <c r="Z3224" s="175"/>
      <c r="AA3224" s="182"/>
      <c r="AB3224" s="184"/>
    </row>
    <row r="3225" spans="1:28" ht="12.75">
      <c r="A3225" s="173"/>
      <c r="B3225" s="174"/>
      <c r="C3225" s="11"/>
      <c r="D3225" s="175"/>
      <c r="E3225" s="176"/>
      <c r="F3225" s="177"/>
      <c r="G3225" s="178"/>
      <c r="H3225" s="177"/>
      <c r="I3225" s="177"/>
      <c r="J3225" s="179"/>
      <c r="K3225" s="183"/>
      <c r="L3225" s="176"/>
      <c r="M3225" s="177"/>
      <c r="N3225" s="21"/>
      <c r="O3225" s="45"/>
      <c r="P3225" s="24"/>
      <c r="Q3225" s="24"/>
      <c r="R3225" s="180"/>
      <c r="S3225" s="181"/>
      <c r="T3225" s="35"/>
      <c r="U3225" s="35"/>
      <c r="V3225" s="35"/>
      <c r="W3225" s="35"/>
      <c r="X3225" s="35"/>
      <c r="Y3225" s="182"/>
      <c r="Z3225" s="175"/>
      <c r="AA3225" s="182"/>
      <c r="AB3225" s="184"/>
    </row>
    <row r="3226" spans="1:28" ht="12.75">
      <c r="A3226" s="173"/>
      <c r="B3226" s="174"/>
      <c r="C3226" s="11"/>
      <c r="D3226" s="175"/>
      <c r="E3226" s="176"/>
      <c r="F3226" s="177"/>
      <c r="G3226" s="178"/>
      <c r="H3226" s="177"/>
      <c r="I3226" s="177"/>
      <c r="J3226" s="179"/>
      <c r="K3226" s="183"/>
      <c r="L3226" s="176"/>
      <c r="M3226" s="177"/>
      <c r="N3226" s="21"/>
      <c r="O3226" s="45"/>
      <c r="P3226" s="24"/>
      <c r="Q3226" s="24"/>
      <c r="R3226" s="180"/>
      <c r="S3226" s="181"/>
      <c r="T3226" s="35"/>
      <c r="U3226" s="35"/>
      <c r="V3226" s="35"/>
      <c r="W3226" s="35"/>
      <c r="X3226" s="35"/>
      <c r="Y3226" s="182"/>
      <c r="Z3226" s="175"/>
      <c r="AA3226" s="182"/>
      <c r="AB3226" s="184"/>
    </row>
    <row r="3227" spans="1:28" ht="12.75">
      <c r="A3227" s="173"/>
      <c r="B3227" s="174"/>
      <c r="C3227" s="11"/>
      <c r="D3227" s="175"/>
      <c r="E3227" s="176"/>
      <c r="F3227" s="177"/>
      <c r="G3227" s="178"/>
      <c r="H3227" s="177"/>
      <c r="I3227" s="177"/>
      <c r="J3227" s="179"/>
      <c r="K3227" s="183"/>
      <c r="L3227" s="176"/>
      <c r="M3227" s="177"/>
      <c r="N3227" s="21"/>
      <c r="O3227" s="45"/>
      <c r="P3227" s="24"/>
      <c r="Q3227" s="24"/>
      <c r="R3227" s="180"/>
      <c r="S3227" s="181"/>
      <c r="T3227" s="35"/>
      <c r="U3227" s="35"/>
      <c r="V3227" s="35"/>
      <c r="W3227" s="35"/>
      <c r="X3227" s="35"/>
      <c r="Y3227" s="182"/>
      <c r="Z3227" s="175"/>
      <c r="AA3227" s="182"/>
      <c r="AB3227" s="184"/>
    </row>
    <row r="3228" spans="1:28" ht="12.75">
      <c r="A3228" s="173"/>
      <c r="B3228" s="174"/>
      <c r="C3228" s="11"/>
      <c r="D3228" s="175"/>
      <c r="E3228" s="176"/>
      <c r="F3228" s="177"/>
      <c r="G3228" s="178"/>
      <c r="H3228" s="177"/>
      <c r="I3228" s="177"/>
      <c r="J3228" s="179"/>
      <c r="K3228" s="183"/>
      <c r="L3228" s="176"/>
      <c r="M3228" s="177"/>
      <c r="N3228" s="21"/>
      <c r="O3228" s="45"/>
      <c r="P3228" s="24"/>
      <c r="Q3228" s="24"/>
      <c r="R3228" s="180"/>
      <c r="S3228" s="181"/>
      <c r="T3228" s="35"/>
      <c r="U3228" s="35"/>
      <c r="V3228" s="35"/>
      <c r="W3228" s="35"/>
      <c r="X3228" s="35"/>
      <c r="Y3228" s="182"/>
      <c r="Z3228" s="175"/>
      <c r="AA3228" s="182"/>
      <c r="AB3228" s="184"/>
    </row>
    <row r="3229" spans="1:28" ht="12.75">
      <c r="A3229" s="173"/>
      <c r="B3229" s="174"/>
      <c r="C3229" s="11"/>
      <c r="D3229" s="175"/>
      <c r="E3229" s="176"/>
      <c r="F3229" s="177"/>
      <c r="G3229" s="178"/>
      <c r="H3229" s="177"/>
      <c r="I3229" s="177"/>
      <c r="J3229" s="179"/>
      <c r="K3229" s="183"/>
      <c r="L3229" s="176"/>
      <c r="M3229" s="177"/>
      <c r="N3229" s="21"/>
      <c r="O3229" s="45"/>
      <c r="P3229" s="24"/>
      <c r="Q3229" s="24"/>
      <c r="R3229" s="180"/>
      <c r="S3229" s="181"/>
      <c r="T3229" s="35"/>
      <c r="U3229" s="35"/>
      <c r="V3229" s="35"/>
      <c r="W3229" s="35"/>
      <c r="X3229" s="35"/>
      <c r="Y3229" s="182"/>
      <c r="Z3229" s="175"/>
      <c r="AA3229" s="182"/>
      <c r="AB3229" s="184"/>
    </row>
    <row r="3230" spans="1:28" ht="12.75">
      <c r="A3230" s="173"/>
      <c r="B3230" s="174"/>
      <c r="C3230" s="11"/>
      <c r="D3230" s="175"/>
      <c r="E3230" s="176"/>
      <c r="F3230" s="177"/>
      <c r="G3230" s="178"/>
      <c r="H3230" s="177"/>
      <c r="I3230" s="177"/>
      <c r="J3230" s="179"/>
      <c r="K3230" s="183"/>
      <c r="L3230" s="176"/>
      <c r="M3230" s="177"/>
      <c r="N3230" s="21"/>
      <c r="O3230" s="45"/>
      <c r="P3230" s="24"/>
      <c r="Q3230" s="24"/>
      <c r="R3230" s="180"/>
      <c r="S3230" s="181"/>
      <c r="T3230" s="35"/>
      <c r="U3230" s="35"/>
      <c r="V3230" s="35"/>
      <c r="W3230" s="35"/>
      <c r="X3230" s="35"/>
      <c r="Y3230" s="182"/>
      <c r="Z3230" s="175"/>
      <c r="AA3230" s="182"/>
      <c r="AB3230" s="184"/>
    </row>
    <row r="3231" spans="1:28" ht="12.75">
      <c r="A3231" s="173"/>
      <c r="B3231" s="174"/>
      <c r="C3231" s="11"/>
      <c r="D3231" s="175"/>
      <c r="E3231" s="176"/>
      <c r="F3231" s="177"/>
      <c r="G3231" s="178"/>
      <c r="H3231" s="177"/>
      <c r="I3231" s="177"/>
      <c r="J3231" s="179"/>
      <c r="K3231" s="183"/>
      <c r="L3231" s="176"/>
      <c r="M3231" s="177"/>
      <c r="N3231" s="21"/>
      <c r="O3231" s="45"/>
      <c r="P3231" s="24"/>
      <c r="Q3231" s="24"/>
      <c r="R3231" s="180"/>
      <c r="S3231" s="181"/>
      <c r="T3231" s="35"/>
      <c r="U3231" s="35"/>
      <c r="V3231" s="35"/>
      <c r="W3231" s="35"/>
      <c r="X3231" s="35"/>
      <c r="Y3231" s="182"/>
      <c r="Z3231" s="175"/>
      <c r="AA3231" s="182"/>
      <c r="AB3231" s="184"/>
    </row>
    <row r="3232" spans="1:28" ht="12.75">
      <c r="A3232" s="173"/>
      <c r="B3232" s="174"/>
      <c r="C3232" s="11"/>
      <c r="D3232" s="175"/>
      <c r="E3232" s="176"/>
      <c r="F3232" s="177"/>
      <c r="G3232" s="178"/>
      <c r="H3232" s="177"/>
      <c r="I3232" s="177"/>
      <c r="J3232" s="179"/>
      <c r="K3232" s="183"/>
      <c r="L3232" s="176"/>
      <c r="M3232" s="177"/>
      <c r="N3232" s="21"/>
      <c r="O3232" s="45"/>
      <c r="P3232" s="24"/>
      <c r="Q3232" s="24"/>
      <c r="R3232" s="180"/>
      <c r="S3232" s="181"/>
      <c r="T3232" s="35"/>
      <c r="U3232" s="35"/>
      <c r="V3232" s="35"/>
      <c r="W3232" s="35"/>
      <c r="X3232" s="35"/>
      <c r="Y3232" s="182"/>
      <c r="Z3232" s="175"/>
      <c r="AA3232" s="182"/>
      <c r="AB3232" s="184"/>
    </row>
    <row r="3233" spans="1:28" ht="12.75">
      <c r="A3233" s="173"/>
      <c r="B3233" s="174"/>
      <c r="C3233" s="11"/>
      <c r="D3233" s="175"/>
      <c r="E3233" s="176"/>
      <c r="F3233" s="177"/>
      <c r="G3233" s="178"/>
      <c r="H3233" s="177"/>
      <c r="I3233" s="177"/>
      <c r="J3233" s="179"/>
      <c r="K3233" s="183"/>
      <c r="L3233" s="176"/>
      <c r="M3233" s="177"/>
      <c r="N3233" s="21"/>
      <c r="O3233" s="45"/>
      <c r="P3233" s="24"/>
      <c r="Q3233" s="24"/>
      <c r="R3233" s="180"/>
      <c r="S3233" s="181"/>
      <c r="T3233" s="35"/>
      <c r="U3233" s="35"/>
      <c r="V3233" s="35"/>
      <c r="W3233" s="35"/>
      <c r="X3233" s="35"/>
      <c r="Y3233" s="182"/>
      <c r="Z3233" s="175"/>
      <c r="AA3233" s="182"/>
      <c r="AB3233" s="184"/>
    </row>
    <row r="3234" spans="1:28" ht="12.75">
      <c r="A3234" s="173"/>
      <c r="B3234" s="174"/>
      <c r="C3234" s="11"/>
      <c r="D3234" s="175"/>
      <c r="E3234" s="176"/>
      <c r="F3234" s="177"/>
      <c r="G3234" s="178"/>
      <c r="H3234" s="177"/>
      <c r="I3234" s="177"/>
      <c r="J3234" s="179"/>
      <c r="K3234" s="183"/>
      <c r="L3234" s="176"/>
      <c r="M3234" s="177"/>
      <c r="N3234" s="21"/>
      <c r="O3234" s="45"/>
      <c r="P3234" s="24"/>
      <c r="Q3234" s="24"/>
      <c r="R3234" s="180"/>
      <c r="S3234" s="181"/>
      <c r="T3234" s="35"/>
      <c r="U3234" s="35"/>
      <c r="V3234" s="35"/>
      <c r="W3234" s="35"/>
      <c r="X3234" s="35"/>
      <c r="Y3234" s="182"/>
      <c r="Z3234" s="175"/>
      <c r="AA3234" s="182"/>
      <c r="AB3234" s="184"/>
    </row>
    <row r="3235" spans="1:28" ht="12.75">
      <c r="A3235" s="173"/>
      <c r="B3235" s="174"/>
      <c r="C3235" s="11"/>
      <c r="D3235" s="175"/>
      <c r="E3235" s="176"/>
      <c r="F3235" s="177"/>
      <c r="G3235" s="178"/>
      <c r="H3235" s="177"/>
      <c r="I3235" s="177"/>
      <c r="J3235" s="179"/>
      <c r="K3235" s="183"/>
      <c r="L3235" s="176"/>
      <c r="M3235" s="177"/>
      <c r="N3235" s="21"/>
      <c r="O3235" s="45"/>
      <c r="P3235" s="24"/>
      <c r="Q3235" s="24"/>
      <c r="R3235" s="180"/>
      <c r="S3235" s="181"/>
      <c r="T3235" s="35"/>
      <c r="U3235" s="35"/>
      <c r="V3235" s="35"/>
      <c r="W3235" s="35"/>
      <c r="X3235" s="35"/>
      <c r="Y3235" s="182"/>
      <c r="Z3235" s="175"/>
      <c r="AA3235" s="182"/>
      <c r="AB3235" s="184"/>
    </row>
    <row r="3236" spans="1:28" ht="12.75">
      <c r="A3236" s="173"/>
      <c r="B3236" s="174"/>
      <c r="C3236" s="11"/>
      <c r="D3236" s="175"/>
      <c r="E3236" s="176"/>
      <c r="F3236" s="177"/>
      <c r="G3236" s="178"/>
      <c r="H3236" s="177"/>
      <c r="I3236" s="177"/>
      <c r="J3236" s="179"/>
      <c r="K3236" s="183"/>
      <c r="L3236" s="176"/>
      <c r="M3236" s="177"/>
      <c r="N3236" s="21"/>
      <c r="O3236" s="45"/>
      <c r="P3236" s="24"/>
      <c r="Q3236" s="24"/>
      <c r="R3236" s="180"/>
      <c r="S3236" s="181"/>
      <c r="T3236" s="35"/>
      <c r="U3236" s="35"/>
      <c r="V3236" s="35"/>
      <c r="W3236" s="35"/>
      <c r="X3236" s="35"/>
      <c r="Y3236" s="182"/>
      <c r="Z3236" s="175"/>
      <c r="AA3236" s="182"/>
      <c r="AB3236" s="184"/>
    </row>
    <row r="3237" spans="1:28" ht="12.75">
      <c r="A3237" s="173"/>
      <c r="B3237" s="174"/>
      <c r="C3237" s="11"/>
      <c r="D3237" s="175"/>
      <c r="E3237" s="176"/>
      <c r="F3237" s="177"/>
      <c r="G3237" s="178"/>
      <c r="H3237" s="177"/>
      <c r="I3237" s="177"/>
      <c r="J3237" s="179"/>
      <c r="K3237" s="183"/>
      <c r="L3237" s="176"/>
      <c r="M3237" s="177"/>
      <c r="N3237" s="21"/>
      <c r="O3237" s="45"/>
      <c r="P3237" s="24"/>
      <c r="Q3237" s="24"/>
      <c r="R3237" s="180"/>
      <c r="S3237" s="181"/>
      <c r="T3237" s="35"/>
      <c r="U3237" s="35"/>
      <c r="V3237" s="35"/>
      <c r="W3237" s="35"/>
      <c r="X3237" s="35"/>
      <c r="Y3237" s="182"/>
      <c r="Z3237" s="175"/>
      <c r="AA3237" s="182"/>
      <c r="AB3237" s="184"/>
    </row>
    <row r="3238" spans="1:28" ht="12.75">
      <c r="A3238" s="173"/>
      <c r="B3238" s="174"/>
      <c r="C3238" s="11"/>
      <c r="D3238" s="175"/>
      <c r="E3238" s="176"/>
      <c r="F3238" s="177"/>
      <c r="G3238" s="178"/>
      <c r="H3238" s="177"/>
      <c r="I3238" s="177"/>
      <c r="J3238" s="179"/>
      <c r="K3238" s="183"/>
      <c r="L3238" s="176"/>
      <c r="M3238" s="177"/>
      <c r="N3238" s="21"/>
      <c r="O3238" s="45"/>
      <c r="P3238" s="24"/>
      <c r="Q3238" s="24"/>
      <c r="R3238" s="180"/>
      <c r="S3238" s="181"/>
      <c r="T3238" s="35"/>
      <c r="U3238" s="35"/>
      <c r="V3238" s="35"/>
      <c r="W3238" s="35"/>
      <c r="X3238" s="35"/>
      <c r="Y3238" s="182"/>
      <c r="Z3238" s="175"/>
      <c r="AA3238" s="182"/>
      <c r="AB3238" s="184"/>
    </row>
    <row r="3239" spans="1:28" ht="12.75">
      <c r="A3239" s="173"/>
      <c r="B3239" s="174"/>
      <c r="C3239" s="11"/>
      <c r="D3239" s="175"/>
      <c r="E3239" s="176"/>
      <c r="F3239" s="177"/>
      <c r="G3239" s="178"/>
      <c r="H3239" s="177"/>
      <c r="I3239" s="177"/>
      <c r="J3239" s="179"/>
      <c r="K3239" s="183"/>
      <c r="L3239" s="176"/>
      <c r="M3239" s="177"/>
      <c r="N3239" s="21"/>
      <c r="O3239" s="45"/>
      <c r="P3239" s="24"/>
      <c r="Q3239" s="24"/>
      <c r="R3239" s="180"/>
      <c r="S3239" s="181"/>
      <c r="T3239" s="35"/>
      <c r="U3239" s="35"/>
      <c r="V3239" s="35"/>
      <c r="W3239" s="35"/>
      <c r="X3239" s="35"/>
      <c r="Y3239" s="182"/>
      <c r="Z3239" s="175"/>
      <c r="AA3239" s="182"/>
      <c r="AB3239" s="184"/>
    </row>
    <row r="3240" spans="1:28" ht="12.75">
      <c r="A3240" s="173"/>
      <c r="B3240" s="174"/>
      <c r="C3240" s="11"/>
      <c r="D3240" s="175"/>
      <c r="E3240" s="176"/>
      <c r="F3240" s="177"/>
      <c r="G3240" s="178"/>
      <c r="H3240" s="177"/>
      <c r="I3240" s="177"/>
      <c r="J3240" s="179"/>
      <c r="K3240" s="183"/>
      <c r="L3240" s="176"/>
      <c r="M3240" s="177"/>
      <c r="N3240" s="21"/>
      <c r="O3240" s="45"/>
      <c r="P3240" s="24"/>
      <c r="Q3240" s="24"/>
      <c r="R3240" s="180"/>
      <c r="S3240" s="181"/>
      <c r="T3240" s="35"/>
      <c r="U3240" s="35"/>
      <c r="V3240" s="35"/>
      <c r="W3240" s="35"/>
      <c r="X3240" s="35"/>
      <c r="Y3240" s="182"/>
      <c r="Z3240" s="175"/>
      <c r="AA3240" s="182"/>
      <c r="AB3240" s="184"/>
    </row>
    <row r="3241" spans="1:28" ht="12.75">
      <c r="A3241" s="173"/>
      <c r="B3241" s="174"/>
      <c r="C3241" s="11"/>
      <c r="D3241" s="175"/>
      <c r="E3241" s="176"/>
      <c r="F3241" s="177"/>
      <c r="G3241" s="178"/>
      <c r="H3241" s="177"/>
      <c r="I3241" s="177"/>
      <c r="J3241" s="179"/>
      <c r="K3241" s="183"/>
      <c r="L3241" s="176"/>
      <c r="M3241" s="177"/>
      <c r="N3241" s="21"/>
      <c r="O3241" s="45"/>
      <c r="P3241" s="24"/>
      <c r="Q3241" s="24"/>
      <c r="R3241" s="180"/>
      <c r="S3241" s="181"/>
      <c r="T3241" s="35"/>
      <c r="U3241" s="35"/>
      <c r="V3241" s="35"/>
      <c r="W3241" s="35"/>
      <c r="X3241" s="35"/>
      <c r="Y3241" s="182"/>
      <c r="Z3241" s="175"/>
      <c r="AA3241" s="182"/>
      <c r="AB3241" s="184"/>
    </row>
    <row r="3242" spans="1:28" ht="12.75">
      <c r="A3242" s="173"/>
      <c r="B3242" s="174"/>
      <c r="C3242" s="11"/>
      <c r="D3242" s="175"/>
      <c r="E3242" s="176"/>
      <c r="F3242" s="177"/>
      <c r="G3242" s="178"/>
      <c r="H3242" s="177"/>
      <c r="I3242" s="177"/>
      <c r="J3242" s="179"/>
      <c r="K3242" s="183"/>
      <c r="L3242" s="176"/>
      <c r="M3242" s="177"/>
      <c r="N3242" s="21"/>
      <c r="O3242" s="45"/>
      <c r="P3242" s="24"/>
      <c r="Q3242" s="24"/>
      <c r="R3242" s="180"/>
      <c r="S3242" s="181"/>
      <c r="T3242" s="35"/>
      <c r="U3242" s="35"/>
      <c r="V3242" s="35"/>
      <c r="W3242" s="35"/>
      <c r="X3242" s="35"/>
      <c r="Y3242" s="182"/>
      <c r="Z3242" s="175"/>
      <c r="AA3242" s="182"/>
      <c r="AB3242" s="184"/>
    </row>
    <row r="3243" spans="1:28" ht="12.75">
      <c r="A3243" s="173"/>
      <c r="B3243" s="174"/>
      <c r="C3243" s="11"/>
      <c r="D3243" s="175"/>
      <c r="E3243" s="176"/>
      <c r="F3243" s="177"/>
      <c r="G3243" s="178"/>
      <c r="H3243" s="177"/>
      <c r="I3243" s="177"/>
      <c r="J3243" s="179"/>
      <c r="K3243" s="183"/>
      <c r="L3243" s="176"/>
      <c r="M3243" s="177"/>
      <c r="N3243" s="21"/>
      <c r="O3243" s="45"/>
      <c r="P3243" s="24"/>
      <c r="Q3243" s="24"/>
      <c r="R3243" s="180"/>
      <c r="S3243" s="181"/>
      <c r="T3243" s="35"/>
      <c r="U3243" s="35"/>
      <c r="V3243" s="35"/>
      <c r="W3243" s="35"/>
      <c r="X3243" s="35"/>
      <c r="Y3243" s="182"/>
      <c r="Z3243" s="175"/>
      <c r="AA3243" s="182"/>
      <c r="AB3243" s="184"/>
    </row>
    <row r="3244" spans="1:28" ht="12.75">
      <c r="A3244" s="173"/>
      <c r="B3244" s="174"/>
      <c r="C3244" s="11"/>
      <c r="D3244" s="175"/>
      <c r="E3244" s="176"/>
      <c r="F3244" s="177"/>
      <c r="G3244" s="178"/>
      <c r="H3244" s="177"/>
      <c r="I3244" s="177"/>
      <c r="J3244" s="179"/>
      <c r="K3244" s="183"/>
      <c r="L3244" s="176"/>
      <c r="M3244" s="177"/>
      <c r="N3244" s="21"/>
      <c r="O3244" s="45"/>
      <c r="P3244" s="24"/>
      <c r="Q3244" s="24"/>
      <c r="R3244" s="180"/>
      <c r="S3244" s="181"/>
      <c r="T3244" s="35"/>
      <c r="U3244" s="35"/>
      <c r="V3244" s="35"/>
      <c r="W3244" s="35"/>
      <c r="X3244" s="35"/>
      <c r="Y3244" s="182"/>
      <c r="Z3244" s="175"/>
      <c r="AA3244" s="182"/>
      <c r="AB3244" s="184"/>
    </row>
    <row r="3245" spans="1:28" ht="12.75">
      <c r="A3245" s="173"/>
      <c r="B3245" s="174"/>
      <c r="C3245" s="11"/>
      <c r="D3245" s="175"/>
      <c r="E3245" s="176"/>
      <c r="F3245" s="177"/>
      <c r="G3245" s="178"/>
      <c r="H3245" s="177"/>
      <c r="I3245" s="177"/>
      <c r="J3245" s="179"/>
      <c r="K3245" s="183"/>
      <c r="L3245" s="176"/>
      <c r="M3245" s="177"/>
      <c r="N3245" s="21"/>
      <c r="O3245" s="45"/>
      <c r="P3245" s="24"/>
      <c r="Q3245" s="24"/>
      <c r="R3245" s="180"/>
      <c r="S3245" s="181"/>
      <c r="T3245" s="35"/>
      <c r="U3245" s="35"/>
      <c r="V3245" s="35"/>
      <c r="W3245" s="35"/>
      <c r="X3245" s="35"/>
      <c r="Y3245" s="182"/>
      <c r="Z3245" s="175"/>
      <c r="AA3245" s="182"/>
      <c r="AB3245" s="184"/>
    </row>
    <row r="3246" spans="1:28" ht="12.75">
      <c r="A3246" s="173"/>
      <c r="B3246" s="174"/>
      <c r="C3246" s="11"/>
      <c r="D3246" s="175"/>
      <c r="E3246" s="176"/>
      <c r="F3246" s="177"/>
      <c r="G3246" s="178"/>
      <c r="H3246" s="177"/>
      <c r="I3246" s="177"/>
      <c r="J3246" s="179"/>
      <c r="K3246" s="183"/>
      <c r="L3246" s="176"/>
      <c r="M3246" s="177"/>
      <c r="N3246" s="21"/>
      <c r="O3246" s="45"/>
      <c r="P3246" s="24"/>
      <c r="Q3246" s="24"/>
      <c r="R3246" s="180"/>
      <c r="S3246" s="181"/>
      <c r="T3246" s="35"/>
      <c r="U3246" s="35"/>
      <c r="V3246" s="35"/>
      <c r="W3246" s="35"/>
      <c r="X3246" s="35"/>
      <c r="Y3246" s="182"/>
      <c r="Z3246" s="175"/>
      <c r="AA3246" s="182"/>
      <c r="AB3246" s="184"/>
    </row>
    <row r="3247" spans="1:28" ht="12.75">
      <c r="A3247" s="173"/>
      <c r="B3247" s="174"/>
      <c r="C3247" s="11"/>
      <c r="D3247" s="175"/>
      <c r="E3247" s="176"/>
      <c r="F3247" s="177"/>
      <c r="G3247" s="178"/>
      <c r="H3247" s="177"/>
      <c r="I3247" s="177"/>
      <c r="J3247" s="179"/>
      <c r="K3247" s="183"/>
      <c r="L3247" s="176"/>
      <c r="M3247" s="177"/>
      <c r="N3247" s="21"/>
      <c r="O3247" s="45"/>
      <c r="P3247" s="24"/>
      <c r="Q3247" s="24"/>
      <c r="R3247" s="180"/>
      <c r="S3247" s="181"/>
      <c r="T3247" s="35"/>
      <c r="U3247" s="35"/>
      <c r="V3247" s="35"/>
      <c r="W3247" s="35"/>
      <c r="X3247" s="35"/>
      <c r="Y3247" s="182"/>
      <c r="Z3247" s="175"/>
      <c r="AA3247" s="182"/>
      <c r="AB3247" s="184"/>
    </row>
    <row r="3248" spans="1:28" ht="12.75">
      <c r="A3248" s="173"/>
      <c r="B3248" s="174"/>
      <c r="C3248" s="11"/>
      <c r="D3248" s="175"/>
      <c r="E3248" s="176"/>
      <c r="F3248" s="177"/>
      <c r="G3248" s="178"/>
      <c r="H3248" s="177"/>
      <c r="I3248" s="177"/>
      <c r="J3248" s="179"/>
      <c r="K3248" s="183"/>
      <c r="L3248" s="176"/>
      <c r="M3248" s="177"/>
      <c r="N3248" s="21"/>
      <c r="O3248" s="45"/>
      <c r="P3248" s="24"/>
      <c r="Q3248" s="24"/>
      <c r="R3248" s="180"/>
      <c r="S3248" s="181"/>
      <c r="T3248" s="35"/>
      <c r="U3248" s="35"/>
      <c r="V3248" s="35"/>
      <c r="W3248" s="35"/>
      <c r="X3248" s="35"/>
      <c r="Y3248" s="182"/>
      <c r="Z3248" s="175"/>
      <c r="AA3248" s="182"/>
      <c r="AB3248" s="184"/>
    </row>
    <row r="3249" spans="1:28" ht="12.75">
      <c r="A3249" s="173"/>
      <c r="B3249" s="174"/>
      <c r="C3249" s="11"/>
      <c r="D3249" s="175"/>
      <c r="E3249" s="176"/>
      <c r="F3249" s="177"/>
      <c r="G3249" s="178"/>
      <c r="H3249" s="177"/>
      <c r="I3249" s="177"/>
      <c r="J3249" s="179"/>
      <c r="K3249" s="183"/>
      <c r="L3249" s="176"/>
      <c r="M3249" s="177"/>
      <c r="N3249" s="21"/>
      <c r="O3249" s="45"/>
      <c r="P3249" s="24"/>
      <c r="Q3249" s="24"/>
      <c r="R3249" s="180"/>
      <c r="S3249" s="181"/>
      <c r="T3249" s="35"/>
      <c r="U3249" s="35"/>
      <c r="V3249" s="35"/>
      <c r="W3249" s="35"/>
      <c r="X3249" s="35"/>
      <c r="Y3249" s="182"/>
      <c r="Z3249" s="175"/>
      <c r="AA3249" s="182"/>
      <c r="AB3249" s="184"/>
    </row>
    <row r="3250" spans="1:28" ht="12.75">
      <c r="A3250" s="173"/>
      <c r="B3250" s="174"/>
      <c r="C3250" s="11"/>
      <c r="D3250" s="175"/>
      <c r="E3250" s="176"/>
      <c r="F3250" s="177"/>
      <c r="G3250" s="178"/>
      <c r="H3250" s="177"/>
      <c r="I3250" s="177"/>
      <c r="J3250" s="179"/>
      <c r="K3250" s="183"/>
      <c r="L3250" s="176"/>
      <c r="M3250" s="177"/>
      <c r="N3250" s="21"/>
      <c r="O3250" s="45"/>
      <c r="P3250" s="24"/>
      <c r="Q3250" s="24"/>
      <c r="R3250" s="180"/>
      <c r="S3250" s="181"/>
      <c r="T3250" s="35"/>
      <c r="U3250" s="35"/>
      <c r="V3250" s="35"/>
      <c r="W3250" s="35"/>
      <c r="X3250" s="35"/>
      <c r="Y3250" s="182"/>
      <c r="Z3250" s="175"/>
      <c r="AA3250" s="182"/>
      <c r="AB3250" s="184"/>
    </row>
    <row r="3251" spans="1:28" ht="12.75">
      <c r="A3251" s="173"/>
      <c r="B3251" s="174"/>
      <c r="C3251" s="11"/>
      <c r="D3251" s="175"/>
      <c r="E3251" s="176"/>
      <c r="F3251" s="177"/>
      <c r="G3251" s="178"/>
      <c r="H3251" s="177"/>
      <c r="I3251" s="177"/>
      <c r="J3251" s="179"/>
      <c r="K3251" s="183"/>
      <c r="L3251" s="176"/>
      <c r="M3251" s="177"/>
      <c r="N3251" s="21"/>
      <c r="O3251" s="45"/>
      <c r="P3251" s="24"/>
      <c r="Q3251" s="24"/>
      <c r="R3251" s="180"/>
      <c r="S3251" s="181"/>
      <c r="T3251" s="35"/>
      <c r="U3251" s="35"/>
      <c r="V3251" s="35"/>
      <c r="W3251" s="35"/>
      <c r="X3251" s="35"/>
      <c r="Y3251" s="182"/>
      <c r="Z3251" s="175"/>
      <c r="AA3251" s="182"/>
      <c r="AB3251" s="184"/>
    </row>
    <row r="3252" spans="1:28" ht="12.75">
      <c r="A3252" s="173"/>
      <c r="B3252" s="174"/>
      <c r="C3252" s="11"/>
      <c r="D3252" s="175"/>
      <c r="E3252" s="176"/>
      <c r="F3252" s="177"/>
      <c r="G3252" s="178"/>
      <c r="H3252" s="177"/>
      <c r="I3252" s="177"/>
      <c r="J3252" s="179"/>
      <c r="K3252" s="183"/>
      <c r="L3252" s="176"/>
      <c r="M3252" s="177"/>
      <c r="N3252" s="21"/>
      <c r="O3252" s="45"/>
      <c r="P3252" s="24"/>
      <c r="Q3252" s="24"/>
      <c r="R3252" s="180"/>
      <c r="S3252" s="181"/>
      <c r="T3252" s="35"/>
      <c r="U3252" s="35"/>
      <c r="V3252" s="35"/>
      <c r="W3252" s="35"/>
      <c r="X3252" s="35"/>
      <c r="Y3252" s="182"/>
      <c r="Z3252" s="175"/>
      <c r="AA3252" s="182"/>
      <c r="AB3252" s="184"/>
    </row>
    <row r="3253" spans="1:28" ht="12.75">
      <c r="A3253" s="173"/>
      <c r="B3253" s="174"/>
      <c r="C3253" s="11"/>
      <c r="D3253" s="175"/>
      <c r="E3253" s="176"/>
      <c r="F3253" s="177"/>
      <c r="G3253" s="178"/>
      <c r="H3253" s="177"/>
      <c r="I3253" s="177"/>
      <c r="J3253" s="179"/>
      <c r="K3253" s="183"/>
      <c r="L3253" s="176"/>
      <c r="M3253" s="177"/>
      <c r="N3253" s="21"/>
      <c r="O3253" s="45"/>
      <c r="P3253" s="24"/>
      <c r="Q3253" s="24"/>
      <c r="R3253" s="180"/>
      <c r="S3253" s="181"/>
      <c r="T3253" s="35"/>
      <c r="U3253" s="35"/>
      <c r="V3253" s="35"/>
      <c r="W3253" s="35"/>
      <c r="X3253" s="35"/>
      <c r="Y3253" s="182"/>
      <c r="Z3253" s="175"/>
      <c r="AA3253" s="182"/>
      <c r="AB3253" s="184"/>
    </row>
    <row r="3254" spans="1:28" ht="12.75">
      <c r="A3254" s="173"/>
      <c r="B3254" s="174"/>
      <c r="C3254" s="11"/>
      <c r="D3254" s="175"/>
      <c r="E3254" s="176"/>
      <c r="F3254" s="177"/>
      <c r="G3254" s="178"/>
      <c r="H3254" s="177"/>
      <c r="I3254" s="177"/>
      <c r="J3254" s="179"/>
      <c r="K3254" s="183"/>
      <c r="L3254" s="176"/>
      <c r="M3254" s="177"/>
      <c r="N3254" s="21"/>
      <c r="O3254" s="45"/>
      <c r="P3254" s="24"/>
      <c r="Q3254" s="24"/>
      <c r="R3254" s="180"/>
      <c r="S3254" s="181"/>
      <c r="T3254" s="35"/>
      <c r="U3254" s="35"/>
      <c r="V3254" s="35"/>
      <c r="W3254" s="35"/>
      <c r="X3254" s="35"/>
      <c r="Y3254" s="182"/>
      <c r="Z3254" s="175"/>
      <c r="AA3254" s="182"/>
      <c r="AB3254" s="184"/>
    </row>
    <row r="3255" spans="1:28" ht="12.75">
      <c r="A3255" s="173"/>
      <c r="B3255" s="174"/>
      <c r="C3255" s="11"/>
      <c r="D3255" s="175"/>
      <c r="E3255" s="176"/>
      <c r="F3255" s="177"/>
      <c r="G3255" s="178"/>
      <c r="H3255" s="177"/>
      <c r="I3255" s="177"/>
      <c r="J3255" s="179"/>
      <c r="K3255" s="183"/>
      <c r="L3255" s="176"/>
      <c r="M3255" s="177"/>
      <c r="N3255" s="21"/>
      <c r="O3255" s="45"/>
      <c r="P3255" s="24"/>
      <c r="Q3255" s="24"/>
      <c r="R3255" s="180"/>
      <c r="S3255" s="181"/>
      <c r="T3255" s="35"/>
      <c r="U3255" s="35"/>
      <c r="V3255" s="35"/>
      <c r="W3255" s="35"/>
      <c r="X3255" s="35"/>
      <c r="Y3255" s="182"/>
      <c r="Z3255" s="175"/>
      <c r="AA3255" s="182"/>
      <c r="AB3255" s="184"/>
    </row>
    <row r="3256" spans="1:28" ht="12.75">
      <c r="A3256" s="173"/>
      <c r="B3256" s="174"/>
      <c r="C3256" s="11"/>
      <c r="D3256" s="175"/>
      <c r="E3256" s="176"/>
      <c r="F3256" s="177"/>
      <c r="G3256" s="178"/>
      <c r="H3256" s="177"/>
      <c r="I3256" s="177"/>
      <c r="J3256" s="179"/>
      <c r="K3256" s="183"/>
      <c r="L3256" s="176"/>
      <c r="M3256" s="177"/>
      <c r="N3256" s="21"/>
      <c r="O3256" s="45"/>
      <c r="P3256" s="24"/>
      <c r="Q3256" s="24"/>
      <c r="R3256" s="180"/>
      <c r="S3256" s="181"/>
      <c r="T3256" s="35"/>
      <c r="U3256" s="35"/>
      <c r="V3256" s="35"/>
      <c r="W3256" s="35"/>
      <c r="X3256" s="35"/>
      <c r="Y3256" s="182"/>
      <c r="Z3256" s="175"/>
      <c r="AA3256" s="182"/>
      <c r="AB3256" s="184"/>
    </row>
    <row r="3257" spans="1:28" ht="12.75">
      <c r="A3257" s="173"/>
      <c r="B3257" s="174"/>
      <c r="C3257" s="11"/>
      <c r="D3257" s="175"/>
      <c r="E3257" s="176"/>
      <c r="F3257" s="177"/>
      <c r="G3257" s="178"/>
      <c r="H3257" s="177"/>
      <c r="I3257" s="177"/>
      <c r="J3257" s="179"/>
      <c r="K3257" s="183"/>
      <c r="L3257" s="176"/>
      <c r="M3257" s="177"/>
      <c r="N3257" s="21"/>
      <c r="O3257" s="45"/>
      <c r="P3257" s="24"/>
      <c r="Q3257" s="24"/>
      <c r="R3257" s="180"/>
      <c r="S3257" s="181"/>
      <c r="T3257" s="35"/>
      <c r="U3257" s="35"/>
      <c r="V3257" s="35"/>
      <c r="W3257" s="35"/>
      <c r="X3257" s="35"/>
      <c r="Y3257" s="182"/>
      <c r="Z3257" s="175"/>
      <c r="AA3257" s="182"/>
      <c r="AB3257" s="184"/>
    </row>
    <row r="3258" spans="1:28" ht="12.75">
      <c r="A3258" s="173"/>
      <c r="B3258" s="174"/>
      <c r="C3258" s="11"/>
      <c r="D3258" s="175"/>
      <c r="E3258" s="176"/>
      <c r="F3258" s="177"/>
      <c r="G3258" s="178"/>
      <c r="H3258" s="177"/>
      <c r="I3258" s="177"/>
      <c r="J3258" s="179"/>
      <c r="K3258" s="183"/>
      <c r="L3258" s="176"/>
      <c r="M3258" s="177"/>
      <c r="N3258" s="21"/>
      <c r="O3258" s="45"/>
      <c r="P3258" s="24"/>
      <c r="Q3258" s="24"/>
      <c r="R3258" s="180"/>
      <c r="S3258" s="181"/>
      <c r="T3258" s="35"/>
      <c r="U3258" s="35"/>
      <c r="V3258" s="35"/>
      <c r="W3258" s="35"/>
      <c r="X3258" s="35"/>
      <c r="Y3258" s="182"/>
      <c r="Z3258" s="175"/>
      <c r="AA3258" s="182"/>
      <c r="AB3258" s="184"/>
    </row>
    <row r="3259" spans="1:28" ht="12.75">
      <c r="A3259" s="173"/>
      <c r="B3259" s="174"/>
      <c r="C3259" s="11"/>
      <c r="D3259" s="175"/>
      <c r="E3259" s="176"/>
      <c r="F3259" s="177"/>
      <c r="G3259" s="178"/>
      <c r="H3259" s="177"/>
      <c r="I3259" s="177"/>
      <c r="J3259" s="179"/>
      <c r="K3259" s="183"/>
      <c r="L3259" s="176"/>
      <c r="M3259" s="177"/>
      <c r="N3259" s="21"/>
      <c r="O3259" s="45"/>
      <c r="P3259" s="24"/>
      <c r="Q3259" s="24"/>
      <c r="R3259" s="180"/>
      <c r="S3259" s="181"/>
      <c r="T3259" s="35"/>
      <c r="U3259" s="35"/>
      <c r="V3259" s="35"/>
      <c r="W3259" s="35"/>
      <c r="X3259" s="35"/>
      <c r="Y3259" s="182"/>
      <c r="Z3259" s="175"/>
      <c r="AA3259" s="182"/>
      <c r="AB3259" s="184"/>
    </row>
    <row r="3260" spans="1:28" ht="12.75">
      <c r="A3260" s="173"/>
      <c r="B3260" s="174"/>
      <c r="C3260" s="11"/>
      <c r="D3260" s="175"/>
      <c r="E3260" s="176"/>
      <c r="F3260" s="177"/>
      <c r="G3260" s="178"/>
      <c r="H3260" s="177"/>
      <c r="I3260" s="177"/>
      <c r="J3260" s="179"/>
      <c r="K3260" s="183"/>
      <c r="L3260" s="176"/>
      <c r="M3260" s="177"/>
      <c r="N3260" s="21"/>
      <c r="O3260" s="45"/>
      <c r="P3260" s="24"/>
      <c r="Q3260" s="24"/>
      <c r="R3260" s="180"/>
      <c r="S3260" s="181"/>
      <c r="T3260" s="35"/>
      <c r="U3260" s="35"/>
      <c r="V3260" s="35"/>
      <c r="W3260" s="35"/>
      <c r="X3260" s="35"/>
      <c r="Y3260" s="182"/>
      <c r="Z3260" s="175"/>
      <c r="AA3260" s="182"/>
      <c r="AB3260" s="184"/>
    </row>
    <row r="3261" spans="1:28" ht="12.75">
      <c r="A3261" s="173"/>
      <c r="B3261" s="174"/>
      <c r="C3261" s="11"/>
      <c r="D3261" s="175"/>
      <c r="E3261" s="176"/>
      <c r="F3261" s="177"/>
      <c r="G3261" s="178"/>
      <c r="H3261" s="177"/>
      <c r="I3261" s="177"/>
      <c r="J3261" s="179"/>
      <c r="K3261" s="183"/>
      <c r="L3261" s="176"/>
      <c r="M3261" s="177"/>
      <c r="N3261" s="21"/>
      <c r="O3261" s="45"/>
      <c r="P3261" s="24"/>
      <c r="Q3261" s="24"/>
      <c r="R3261" s="180"/>
      <c r="S3261" s="181"/>
      <c r="T3261" s="35"/>
      <c r="U3261" s="35"/>
      <c r="V3261" s="35"/>
      <c r="W3261" s="35"/>
      <c r="X3261" s="35"/>
      <c r="Y3261" s="182"/>
      <c r="Z3261" s="175"/>
      <c r="AA3261" s="182"/>
      <c r="AB3261" s="184"/>
    </row>
    <row r="3262" spans="1:28" ht="12.75">
      <c r="A3262" s="173"/>
      <c r="B3262" s="174"/>
      <c r="C3262" s="11"/>
      <c r="D3262" s="175"/>
      <c r="E3262" s="176"/>
      <c r="F3262" s="177"/>
      <c r="G3262" s="178"/>
      <c r="H3262" s="177"/>
      <c r="I3262" s="177"/>
      <c r="J3262" s="179"/>
      <c r="K3262" s="183"/>
      <c r="L3262" s="176"/>
      <c r="M3262" s="177"/>
      <c r="N3262" s="21"/>
      <c r="O3262" s="45"/>
      <c r="P3262" s="24"/>
      <c r="Q3262" s="24"/>
      <c r="R3262" s="180"/>
      <c r="S3262" s="181"/>
      <c r="T3262" s="35"/>
      <c r="U3262" s="35"/>
      <c r="V3262" s="35"/>
      <c r="W3262" s="35"/>
      <c r="X3262" s="35"/>
      <c r="Y3262" s="182"/>
      <c r="Z3262" s="175"/>
      <c r="AA3262" s="182"/>
      <c r="AB3262" s="184"/>
    </row>
    <row r="3263" spans="1:28" ht="12.75">
      <c r="A3263" s="173"/>
      <c r="B3263" s="174"/>
      <c r="C3263" s="11"/>
      <c r="D3263" s="175"/>
      <c r="E3263" s="176"/>
      <c r="F3263" s="177"/>
      <c r="G3263" s="178"/>
      <c r="H3263" s="177"/>
      <c r="I3263" s="177"/>
      <c r="J3263" s="179"/>
      <c r="K3263" s="183"/>
      <c r="L3263" s="176"/>
      <c r="M3263" s="177"/>
      <c r="N3263" s="21"/>
      <c r="O3263" s="45"/>
      <c r="P3263" s="24"/>
      <c r="Q3263" s="24"/>
      <c r="R3263" s="180"/>
      <c r="S3263" s="181"/>
      <c r="T3263" s="35"/>
      <c r="U3263" s="35"/>
      <c r="V3263" s="35"/>
      <c r="W3263" s="35"/>
      <c r="X3263" s="35"/>
      <c r="Y3263" s="182"/>
      <c r="Z3263" s="175"/>
      <c r="AA3263" s="182"/>
      <c r="AB3263" s="184"/>
    </row>
    <row r="3264" spans="1:28" ht="12.75">
      <c r="A3264" s="173"/>
      <c r="B3264" s="174"/>
      <c r="C3264" s="11"/>
      <c r="D3264" s="175"/>
      <c r="E3264" s="176"/>
      <c r="F3264" s="177"/>
      <c r="G3264" s="178"/>
      <c r="H3264" s="177"/>
      <c r="I3264" s="177"/>
      <c r="J3264" s="179"/>
      <c r="K3264" s="183"/>
      <c r="L3264" s="176"/>
      <c r="M3264" s="177"/>
      <c r="N3264" s="21"/>
      <c r="O3264" s="45"/>
      <c r="P3264" s="24"/>
      <c r="Q3264" s="24"/>
      <c r="R3264" s="180"/>
      <c r="S3264" s="181"/>
      <c r="T3264" s="35"/>
      <c r="U3264" s="35"/>
      <c r="V3264" s="35"/>
      <c r="W3264" s="35"/>
      <c r="X3264" s="35"/>
      <c r="Y3264" s="182"/>
      <c r="Z3264" s="175"/>
      <c r="AA3264" s="182"/>
      <c r="AB3264" s="184"/>
    </row>
    <row r="3265" spans="1:28" ht="12.75">
      <c r="A3265" s="173"/>
      <c r="B3265" s="174"/>
      <c r="C3265" s="11"/>
      <c r="D3265" s="175"/>
      <c r="E3265" s="176"/>
      <c r="F3265" s="177"/>
      <c r="G3265" s="178"/>
      <c r="H3265" s="177"/>
      <c r="I3265" s="177"/>
      <c r="J3265" s="179"/>
      <c r="K3265" s="183"/>
      <c r="L3265" s="176"/>
      <c r="M3265" s="177"/>
      <c r="N3265" s="21"/>
      <c r="O3265" s="45"/>
      <c r="P3265" s="24"/>
      <c r="Q3265" s="24"/>
      <c r="R3265" s="180"/>
      <c r="S3265" s="181"/>
      <c r="T3265" s="35"/>
      <c r="U3265" s="35"/>
      <c r="V3265" s="35"/>
      <c r="W3265" s="35"/>
      <c r="X3265" s="35"/>
      <c r="Y3265" s="182"/>
      <c r="Z3265" s="175"/>
      <c r="AA3265" s="182"/>
      <c r="AB3265" s="184"/>
    </row>
    <row r="3266" spans="1:28" ht="12.75">
      <c r="A3266" s="173"/>
      <c r="B3266" s="174"/>
      <c r="C3266" s="11"/>
      <c r="D3266" s="175"/>
      <c r="E3266" s="176"/>
      <c r="F3266" s="177"/>
      <c r="G3266" s="178"/>
      <c r="H3266" s="177"/>
      <c r="I3266" s="177"/>
      <c r="J3266" s="179"/>
      <c r="K3266" s="183"/>
      <c r="L3266" s="176"/>
      <c r="M3266" s="177"/>
      <c r="N3266" s="21"/>
      <c r="O3266" s="45"/>
      <c r="P3266" s="24"/>
      <c r="Q3266" s="24"/>
      <c r="R3266" s="180"/>
      <c r="S3266" s="181"/>
      <c r="T3266" s="35"/>
      <c r="U3266" s="35"/>
      <c r="V3266" s="35"/>
      <c r="W3266" s="35"/>
      <c r="X3266" s="35"/>
      <c r="Y3266" s="182"/>
      <c r="Z3266" s="175"/>
      <c r="AA3266" s="182"/>
      <c r="AB3266" s="184"/>
    </row>
    <row r="3267" spans="1:28" ht="12.75">
      <c r="A3267" s="173"/>
      <c r="B3267" s="174"/>
      <c r="C3267" s="11"/>
      <c r="D3267" s="175"/>
      <c r="E3267" s="176"/>
      <c r="F3267" s="177"/>
      <c r="G3267" s="178"/>
      <c r="H3267" s="177"/>
      <c r="I3267" s="177"/>
      <c r="J3267" s="179"/>
      <c r="K3267" s="183"/>
      <c r="L3267" s="176"/>
      <c r="M3267" s="177"/>
      <c r="N3267" s="21"/>
      <c r="O3267" s="45"/>
      <c r="P3267" s="24"/>
      <c r="Q3267" s="24"/>
      <c r="R3267" s="180"/>
      <c r="S3267" s="181"/>
      <c r="T3267" s="35"/>
      <c r="U3267" s="35"/>
      <c r="V3267" s="35"/>
      <c r="W3267" s="35"/>
      <c r="X3267" s="35"/>
      <c r="Y3267" s="182"/>
      <c r="Z3267" s="175"/>
      <c r="AA3267" s="182"/>
      <c r="AB3267" s="184"/>
    </row>
    <row r="3268" spans="1:28" ht="12.75">
      <c r="A3268" s="173"/>
      <c r="B3268" s="174"/>
      <c r="C3268" s="11"/>
      <c r="D3268" s="175"/>
      <c r="E3268" s="176"/>
      <c r="F3268" s="177"/>
      <c r="G3268" s="178"/>
      <c r="H3268" s="177"/>
      <c r="I3268" s="177"/>
      <c r="J3268" s="179"/>
      <c r="K3268" s="183"/>
      <c r="L3268" s="176"/>
      <c r="M3268" s="177"/>
      <c r="N3268" s="21"/>
      <c r="O3268" s="45"/>
      <c r="P3268" s="24"/>
      <c r="Q3268" s="24"/>
      <c r="R3268" s="180"/>
      <c r="S3268" s="181"/>
      <c r="T3268" s="35"/>
      <c r="U3268" s="35"/>
      <c r="V3268" s="35"/>
      <c r="W3268" s="35"/>
      <c r="X3268" s="35"/>
      <c r="Y3268" s="182"/>
      <c r="Z3268" s="175"/>
      <c r="AA3268" s="182"/>
      <c r="AB3268" s="184"/>
    </row>
    <row r="3269" spans="1:28" ht="12.75">
      <c r="A3269" s="173"/>
      <c r="B3269" s="174"/>
      <c r="C3269" s="11"/>
      <c r="D3269" s="175"/>
      <c r="E3269" s="176"/>
      <c r="F3269" s="177"/>
      <c r="G3269" s="178"/>
      <c r="H3269" s="177"/>
      <c r="I3269" s="177"/>
      <c r="J3269" s="179"/>
      <c r="K3269" s="183"/>
      <c r="L3269" s="176"/>
      <c r="M3269" s="177"/>
      <c r="N3269" s="21"/>
      <c r="O3269" s="45"/>
      <c r="P3269" s="24"/>
      <c r="Q3269" s="24"/>
      <c r="R3269" s="180"/>
      <c r="S3269" s="181"/>
      <c r="T3269" s="35"/>
      <c r="U3269" s="35"/>
      <c r="V3269" s="35"/>
      <c r="W3269" s="35"/>
      <c r="X3269" s="35"/>
      <c r="Y3269" s="182"/>
      <c r="Z3269" s="175"/>
      <c r="AA3269" s="182"/>
      <c r="AB3269" s="184"/>
    </row>
    <row r="3270" spans="1:28" ht="12.75">
      <c r="A3270" s="173"/>
      <c r="B3270" s="174"/>
      <c r="C3270" s="11"/>
      <c r="D3270" s="175"/>
      <c r="E3270" s="176"/>
      <c r="F3270" s="177"/>
      <c r="G3270" s="178"/>
      <c r="H3270" s="177"/>
      <c r="I3270" s="177"/>
      <c r="J3270" s="179"/>
      <c r="K3270" s="183"/>
      <c r="L3270" s="176"/>
      <c r="M3270" s="177"/>
      <c r="N3270" s="21"/>
      <c r="O3270" s="45"/>
      <c r="P3270" s="24"/>
      <c r="Q3270" s="24"/>
      <c r="R3270" s="180"/>
      <c r="S3270" s="181"/>
      <c r="T3270" s="35"/>
      <c r="U3270" s="35"/>
      <c r="V3270" s="35"/>
      <c r="W3270" s="35"/>
      <c r="X3270" s="35"/>
      <c r="Y3270" s="182"/>
      <c r="Z3270" s="175"/>
      <c r="AA3270" s="182"/>
      <c r="AB3270" s="184"/>
    </row>
    <row r="3271" spans="1:28" ht="12.75">
      <c r="A3271" s="173"/>
      <c r="B3271" s="174"/>
      <c r="C3271" s="11"/>
      <c r="D3271" s="175"/>
      <c r="E3271" s="176"/>
      <c r="F3271" s="177"/>
      <c r="G3271" s="178"/>
      <c r="H3271" s="177"/>
      <c r="I3271" s="177"/>
      <c r="J3271" s="179"/>
      <c r="K3271" s="183"/>
      <c r="L3271" s="176"/>
      <c r="M3271" s="177"/>
      <c r="N3271" s="21"/>
      <c r="O3271" s="45"/>
      <c r="P3271" s="24"/>
      <c r="Q3271" s="24"/>
      <c r="R3271" s="180"/>
      <c r="S3271" s="181"/>
      <c r="T3271" s="35"/>
      <c r="U3271" s="35"/>
      <c r="V3271" s="35"/>
      <c r="W3271" s="35"/>
      <c r="X3271" s="35"/>
      <c r="Y3271" s="182"/>
      <c r="Z3271" s="175"/>
      <c r="AA3271" s="182"/>
      <c r="AB3271" s="184"/>
    </row>
    <row r="3272" spans="1:28" ht="12.75">
      <c r="A3272" s="173"/>
      <c r="B3272" s="174"/>
      <c r="C3272" s="11"/>
      <c r="D3272" s="175"/>
      <c r="E3272" s="176"/>
      <c r="F3272" s="177"/>
      <c r="G3272" s="178"/>
      <c r="H3272" s="177"/>
      <c r="I3272" s="177"/>
      <c r="J3272" s="179"/>
      <c r="K3272" s="183"/>
      <c r="L3272" s="176"/>
      <c r="M3272" s="177"/>
      <c r="N3272" s="21"/>
      <c r="O3272" s="45"/>
      <c r="P3272" s="24"/>
      <c r="Q3272" s="24"/>
      <c r="R3272" s="180"/>
      <c r="S3272" s="181"/>
      <c r="T3272" s="35"/>
      <c r="U3272" s="35"/>
      <c r="V3272" s="35"/>
      <c r="W3272" s="35"/>
      <c r="X3272" s="35"/>
      <c r="Y3272" s="182"/>
      <c r="Z3272" s="175"/>
      <c r="AA3272" s="182"/>
      <c r="AB3272" s="184"/>
    </row>
    <row r="3273" spans="1:28" ht="12.75">
      <c r="A3273" s="173"/>
      <c r="B3273" s="174"/>
      <c r="C3273" s="11"/>
      <c r="D3273" s="175"/>
      <c r="E3273" s="176"/>
      <c r="F3273" s="177"/>
      <c r="G3273" s="178"/>
      <c r="H3273" s="177"/>
      <c r="I3273" s="177"/>
      <c r="J3273" s="179"/>
      <c r="K3273" s="183"/>
      <c r="L3273" s="176"/>
      <c r="M3273" s="177"/>
      <c r="N3273" s="21"/>
      <c r="O3273" s="45"/>
      <c r="P3273" s="24"/>
      <c r="Q3273" s="24"/>
      <c r="R3273" s="180"/>
      <c r="S3273" s="181"/>
      <c r="T3273" s="35"/>
      <c r="U3273" s="35"/>
      <c r="V3273" s="35"/>
      <c r="W3273" s="35"/>
      <c r="X3273" s="35"/>
      <c r="Y3273" s="182"/>
      <c r="Z3273" s="175"/>
      <c r="AA3273" s="182"/>
      <c r="AB3273" s="184"/>
    </row>
    <row r="3274" spans="1:28" ht="12.75">
      <c r="A3274" s="173"/>
      <c r="B3274" s="174"/>
      <c r="C3274" s="11"/>
      <c r="D3274" s="175"/>
      <c r="E3274" s="176"/>
      <c r="F3274" s="177"/>
      <c r="G3274" s="178"/>
      <c r="H3274" s="177"/>
      <c r="I3274" s="177"/>
      <c r="J3274" s="179"/>
      <c r="K3274" s="183"/>
      <c r="L3274" s="176"/>
      <c r="M3274" s="177"/>
      <c r="N3274" s="21"/>
      <c r="O3274" s="45"/>
      <c r="P3274" s="24"/>
      <c r="Q3274" s="24"/>
      <c r="R3274" s="180"/>
      <c r="S3274" s="181"/>
      <c r="T3274" s="35"/>
      <c r="U3274" s="35"/>
      <c r="V3274" s="35"/>
      <c r="W3274" s="35"/>
      <c r="X3274" s="35"/>
      <c r="Y3274" s="182"/>
      <c r="Z3274" s="175"/>
      <c r="AA3274" s="182"/>
      <c r="AB3274" s="184"/>
    </row>
    <row r="3275" spans="1:28" ht="12.75">
      <c r="A3275" s="173"/>
      <c r="B3275" s="174"/>
      <c r="C3275" s="11"/>
      <c r="D3275" s="175"/>
      <c r="E3275" s="176"/>
      <c r="F3275" s="177"/>
      <c r="G3275" s="178"/>
      <c r="H3275" s="177"/>
      <c r="I3275" s="177"/>
      <c r="J3275" s="179"/>
      <c r="K3275" s="183"/>
      <c r="L3275" s="176"/>
      <c r="M3275" s="177"/>
      <c r="N3275" s="21"/>
      <c r="O3275" s="45"/>
      <c r="P3275" s="24"/>
      <c r="Q3275" s="24"/>
      <c r="R3275" s="180"/>
      <c r="S3275" s="181"/>
      <c r="T3275" s="35"/>
      <c r="U3275" s="35"/>
      <c r="V3275" s="35"/>
      <c r="W3275" s="35"/>
      <c r="X3275" s="35"/>
      <c r="Y3275" s="182"/>
      <c r="Z3275" s="175"/>
      <c r="AA3275" s="182"/>
      <c r="AB3275" s="184"/>
    </row>
    <row r="3276" spans="1:28" ht="12.75">
      <c r="A3276" s="173"/>
      <c r="B3276" s="174"/>
      <c r="C3276" s="11"/>
      <c r="D3276" s="175"/>
      <c r="E3276" s="176"/>
      <c r="F3276" s="177"/>
      <c r="G3276" s="178"/>
      <c r="H3276" s="177"/>
      <c r="I3276" s="177"/>
      <c r="J3276" s="179"/>
      <c r="K3276" s="183"/>
      <c r="L3276" s="176"/>
      <c r="M3276" s="177"/>
      <c r="N3276" s="21"/>
      <c r="O3276" s="45"/>
      <c r="P3276" s="24"/>
      <c r="Q3276" s="24"/>
      <c r="R3276" s="180"/>
      <c r="S3276" s="181"/>
      <c r="T3276" s="35"/>
      <c r="U3276" s="35"/>
      <c r="V3276" s="35"/>
      <c r="W3276" s="35"/>
      <c r="X3276" s="35"/>
      <c r="Y3276" s="182"/>
      <c r="Z3276" s="175"/>
      <c r="AA3276" s="182"/>
      <c r="AB3276" s="184"/>
    </row>
    <row r="3277" spans="1:28" ht="12.75">
      <c r="A3277" s="173"/>
      <c r="B3277" s="174"/>
      <c r="C3277" s="11"/>
      <c r="D3277" s="175"/>
      <c r="E3277" s="176"/>
      <c r="F3277" s="177"/>
      <c r="G3277" s="178"/>
      <c r="H3277" s="177"/>
      <c r="I3277" s="177"/>
      <c r="J3277" s="179"/>
      <c r="K3277" s="183"/>
      <c r="L3277" s="176"/>
      <c r="M3277" s="177"/>
      <c r="N3277" s="21"/>
      <c r="O3277" s="45"/>
      <c r="P3277" s="24"/>
      <c r="Q3277" s="24"/>
      <c r="R3277" s="180"/>
      <c r="S3277" s="181"/>
      <c r="T3277" s="35"/>
      <c r="U3277" s="35"/>
      <c r="V3277" s="35"/>
      <c r="W3277" s="35"/>
      <c r="X3277" s="35"/>
      <c r="Y3277" s="182"/>
      <c r="Z3277" s="175"/>
      <c r="AA3277" s="182"/>
      <c r="AB3277" s="184"/>
    </row>
    <row r="3278" spans="1:28" ht="12.75">
      <c r="A3278" s="173"/>
      <c r="B3278" s="174"/>
      <c r="C3278" s="11"/>
      <c r="D3278" s="175"/>
      <c r="E3278" s="176"/>
      <c r="F3278" s="177"/>
      <c r="G3278" s="178"/>
      <c r="H3278" s="177"/>
      <c r="I3278" s="177"/>
      <c r="J3278" s="179"/>
      <c r="K3278" s="183"/>
      <c r="L3278" s="176"/>
      <c r="M3278" s="177"/>
      <c r="N3278" s="21"/>
      <c r="O3278" s="45"/>
      <c r="P3278" s="24"/>
      <c r="Q3278" s="24"/>
      <c r="R3278" s="180"/>
      <c r="S3278" s="181"/>
      <c r="T3278" s="35"/>
      <c r="U3278" s="35"/>
      <c r="V3278" s="35"/>
      <c r="W3278" s="35"/>
      <c r="X3278" s="35"/>
      <c r="Y3278" s="182"/>
      <c r="Z3278" s="175"/>
      <c r="AA3278" s="182"/>
      <c r="AB3278" s="184"/>
    </row>
    <row r="3279" spans="1:28" ht="12.75">
      <c r="A3279" s="173"/>
      <c r="B3279" s="174"/>
      <c r="C3279" s="11"/>
      <c r="D3279" s="175"/>
      <c r="E3279" s="176"/>
      <c r="F3279" s="177"/>
      <c r="G3279" s="178"/>
      <c r="H3279" s="177"/>
      <c r="I3279" s="177"/>
      <c r="J3279" s="179"/>
      <c r="K3279" s="183"/>
      <c r="L3279" s="176"/>
      <c r="M3279" s="177"/>
      <c r="N3279" s="21"/>
      <c r="O3279" s="45"/>
      <c r="P3279" s="24"/>
      <c r="Q3279" s="24"/>
      <c r="R3279" s="180"/>
      <c r="S3279" s="181"/>
      <c r="T3279" s="35"/>
      <c r="U3279" s="35"/>
      <c r="V3279" s="35"/>
      <c r="W3279" s="35"/>
      <c r="X3279" s="35"/>
      <c r="Y3279" s="182"/>
      <c r="Z3279" s="175"/>
      <c r="AA3279" s="182"/>
      <c r="AB3279" s="184"/>
    </row>
    <row r="3280" spans="1:28" ht="12.75">
      <c r="A3280" s="173"/>
      <c r="B3280" s="174"/>
      <c r="C3280" s="11"/>
      <c r="D3280" s="175"/>
      <c r="E3280" s="176"/>
      <c r="F3280" s="177"/>
      <c r="G3280" s="178"/>
      <c r="H3280" s="177"/>
      <c r="I3280" s="177"/>
      <c r="J3280" s="179"/>
      <c r="K3280" s="183"/>
      <c r="L3280" s="176"/>
      <c r="M3280" s="177"/>
      <c r="N3280" s="21"/>
      <c r="O3280" s="45"/>
      <c r="P3280" s="24"/>
      <c r="Q3280" s="24"/>
      <c r="R3280" s="180"/>
      <c r="S3280" s="181"/>
      <c r="T3280" s="35"/>
      <c r="U3280" s="35"/>
      <c r="V3280" s="35"/>
      <c r="W3280" s="35"/>
      <c r="X3280" s="35"/>
      <c r="Y3280" s="182"/>
      <c r="Z3280" s="175"/>
      <c r="AA3280" s="182"/>
      <c r="AB3280" s="184"/>
    </row>
    <row r="3281" spans="1:28" ht="12.75">
      <c r="A3281" s="173"/>
      <c r="B3281" s="174"/>
      <c r="C3281" s="11"/>
      <c r="D3281" s="175"/>
      <c r="E3281" s="176"/>
      <c r="F3281" s="177"/>
      <c r="G3281" s="178"/>
      <c r="H3281" s="177"/>
      <c r="I3281" s="177"/>
      <c r="J3281" s="179"/>
      <c r="K3281" s="183"/>
      <c r="L3281" s="176"/>
      <c r="M3281" s="177"/>
      <c r="N3281" s="21"/>
      <c r="O3281" s="45"/>
      <c r="P3281" s="24"/>
      <c r="Q3281" s="24"/>
      <c r="R3281" s="180"/>
      <c r="S3281" s="181"/>
      <c r="T3281" s="35"/>
      <c r="U3281" s="35"/>
      <c r="V3281" s="35"/>
      <c r="W3281" s="35"/>
      <c r="X3281" s="35"/>
      <c r="Y3281" s="182"/>
      <c r="Z3281" s="175"/>
      <c r="AA3281" s="182"/>
      <c r="AB3281" s="184"/>
    </row>
    <row r="3282" spans="1:28" ht="12.75">
      <c r="A3282" s="173"/>
      <c r="B3282" s="174"/>
      <c r="C3282" s="11"/>
      <c r="D3282" s="175"/>
      <c r="E3282" s="176"/>
      <c r="F3282" s="177"/>
      <c r="G3282" s="178"/>
      <c r="H3282" s="177"/>
      <c r="I3282" s="177"/>
      <c r="J3282" s="179"/>
      <c r="K3282" s="183"/>
      <c r="L3282" s="176"/>
      <c r="M3282" s="177"/>
      <c r="N3282" s="21"/>
      <c r="O3282" s="45"/>
      <c r="P3282" s="24"/>
      <c r="Q3282" s="24"/>
      <c r="R3282" s="180"/>
      <c r="S3282" s="181"/>
      <c r="T3282" s="35"/>
      <c r="U3282" s="35"/>
      <c r="V3282" s="35"/>
      <c r="W3282" s="35"/>
      <c r="X3282" s="35"/>
      <c r="Y3282" s="182"/>
      <c r="Z3282" s="175"/>
      <c r="AA3282" s="182"/>
      <c r="AB3282" s="184"/>
    </row>
    <row r="3283" spans="1:28" ht="12.75">
      <c r="A3283" s="173"/>
      <c r="B3283" s="174"/>
      <c r="C3283" s="11"/>
      <c r="D3283" s="175"/>
      <c r="E3283" s="176"/>
      <c r="F3283" s="177"/>
      <c r="G3283" s="178"/>
      <c r="H3283" s="177"/>
      <c r="I3283" s="177"/>
      <c r="J3283" s="179"/>
      <c r="K3283" s="183"/>
      <c r="L3283" s="176"/>
      <c r="M3283" s="177"/>
      <c r="N3283" s="21"/>
      <c r="O3283" s="45"/>
      <c r="P3283" s="24"/>
      <c r="Q3283" s="24"/>
      <c r="R3283" s="180"/>
      <c r="S3283" s="181"/>
      <c r="T3283" s="35"/>
      <c r="U3283" s="35"/>
      <c r="V3283" s="35"/>
      <c r="W3283" s="35"/>
      <c r="X3283" s="35"/>
      <c r="Y3283" s="182"/>
      <c r="Z3283" s="175"/>
      <c r="AA3283" s="182"/>
      <c r="AB3283" s="184"/>
    </row>
    <row r="3284" spans="1:28" ht="12.75">
      <c r="A3284" s="173"/>
      <c r="B3284" s="174"/>
      <c r="C3284" s="11"/>
      <c r="D3284" s="175"/>
      <c r="E3284" s="176"/>
      <c r="F3284" s="177"/>
      <c r="G3284" s="178"/>
      <c r="H3284" s="177"/>
      <c r="I3284" s="177"/>
      <c r="J3284" s="179"/>
      <c r="K3284" s="183"/>
      <c r="L3284" s="176"/>
      <c r="M3284" s="177"/>
      <c r="N3284" s="21"/>
      <c r="O3284" s="45"/>
      <c r="P3284" s="24"/>
      <c r="Q3284" s="24"/>
      <c r="R3284" s="180"/>
      <c r="S3284" s="181"/>
      <c r="T3284" s="35"/>
      <c r="U3284" s="35"/>
      <c r="V3284" s="35"/>
      <c r="W3284" s="35"/>
      <c r="X3284" s="35"/>
      <c r="Y3284" s="182"/>
      <c r="Z3284" s="175"/>
      <c r="AA3284" s="182"/>
      <c r="AB3284" s="184"/>
    </row>
    <row r="3285" spans="1:28" ht="12.75">
      <c r="A3285" s="173"/>
      <c r="B3285" s="174"/>
      <c r="C3285" s="11"/>
      <c r="D3285" s="175"/>
      <c r="E3285" s="176"/>
      <c r="F3285" s="177"/>
      <c r="G3285" s="178"/>
      <c r="H3285" s="177"/>
      <c r="I3285" s="177"/>
      <c r="J3285" s="179"/>
      <c r="K3285" s="183"/>
      <c r="L3285" s="176"/>
      <c r="M3285" s="177"/>
      <c r="N3285" s="21"/>
      <c r="O3285" s="45"/>
      <c r="P3285" s="24"/>
      <c r="Q3285" s="24"/>
      <c r="R3285" s="180"/>
      <c r="S3285" s="181"/>
      <c r="T3285" s="35"/>
      <c r="U3285" s="35"/>
      <c r="V3285" s="35"/>
      <c r="W3285" s="35"/>
      <c r="X3285" s="35"/>
      <c r="Y3285" s="182"/>
      <c r="Z3285" s="175"/>
      <c r="AA3285" s="182"/>
      <c r="AB3285" s="184"/>
    </row>
    <row r="3286" spans="1:28" ht="12.75">
      <c r="A3286" s="173"/>
      <c r="B3286" s="174"/>
      <c r="C3286" s="11"/>
      <c r="D3286" s="175"/>
      <c r="E3286" s="176"/>
      <c r="F3286" s="177"/>
      <c r="G3286" s="178"/>
      <c r="H3286" s="177"/>
      <c r="I3286" s="177"/>
      <c r="J3286" s="179"/>
      <c r="K3286" s="183"/>
      <c r="L3286" s="176"/>
      <c r="M3286" s="177"/>
      <c r="N3286" s="21"/>
      <c r="O3286" s="45"/>
      <c r="P3286" s="24"/>
      <c r="Q3286" s="24"/>
      <c r="R3286" s="180"/>
      <c r="S3286" s="181"/>
      <c r="T3286" s="35"/>
      <c r="U3286" s="35"/>
      <c r="V3286" s="35"/>
      <c r="W3286" s="35"/>
      <c r="X3286" s="35"/>
      <c r="Y3286" s="182"/>
      <c r="Z3286" s="175"/>
      <c r="AA3286" s="182"/>
      <c r="AB3286" s="184"/>
    </row>
    <row r="3287" spans="1:28" ht="12.75">
      <c r="A3287" s="173"/>
      <c r="B3287" s="174"/>
      <c r="C3287" s="11"/>
      <c r="D3287" s="175"/>
      <c r="E3287" s="176"/>
      <c r="F3287" s="177"/>
      <c r="G3287" s="178"/>
      <c r="H3287" s="177"/>
      <c r="I3287" s="177"/>
      <c r="J3287" s="179"/>
      <c r="K3287" s="183"/>
      <c r="L3287" s="176"/>
      <c r="M3287" s="177"/>
      <c r="N3287" s="21"/>
      <c r="O3287" s="45"/>
      <c r="P3287" s="24"/>
      <c r="Q3287" s="24"/>
      <c r="R3287" s="180"/>
      <c r="S3287" s="181"/>
      <c r="T3287" s="35"/>
      <c r="U3287" s="35"/>
      <c r="V3287" s="35"/>
      <c r="W3287" s="35"/>
      <c r="X3287" s="35"/>
      <c r="Y3287" s="182"/>
      <c r="Z3287" s="175"/>
      <c r="AA3287" s="182"/>
      <c r="AB3287" s="184"/>
    </row>
    <row r="3288" spans="1:28" ht="12.75">
      <c r="A3288" s="173"/>
      <c r="B3288" s="174"/>
      <c r="C3288" s="11"/>
      <c r="D3288" s="175"/>
      <c r="E3288" s="176"/>
      <c r="F3288" s="177"/>
      <c r="G3288" s="178"/>
      <c r="H3288" s="177"/>
      <c r="I3288" s="177"/>
      <c r="J3288" s="179"/>
      <c r="K3288" s="183"/>
      <c r="L3288" s="176"/>
      <c r="M3288" s="177"/>
      <c r="N3288" s="21"/>
      <c r="O3288" s="45"/>
      <c r="P3288" s="24"/>
      <c r="Q3288" s="24"/>
      <c r="R3288" s="180"/>
      <c r="S3288" s="181"/>
      <c r="T3288" s="35"/>
      <c r="U3288" s="35"/>
      <c r="V3288" s="35"/>
      <c r="W3288" s="35"/>
      <c r="X3288" s="35"/>
      <c r="Y3288" s="182"/>
      <c r="Z3288" s="175"/>
      <c r="AA3288" s="182"/>
      <c r="AB3288" s="184"/>
    </row>
    <row r="3289" spans="1:28" ht="12.75">
      <c r="A3289" s="173"/>
      <c r="B3289" s="174"/>
      <c r="C3289" s="11"/>
      <c r="D3289" s="175"/>
      <c r="E3289" s="176"/>
      <c r="F3289" s="177"/>
      <c r="G3289" s="178"/>
      <c r="H3289" s="177"/>
      <c r="I3289" s="177"/>
      <c r="J3289" s="179"/>
      <c r="K3289" s="183"/>
      <c r="L3289" s="176"/>
      <c r="M3289" s="177"/>
      <c r="N3289" s="21"/>
      <c r="O3289" s="45"/>
      <c r="P3289" s="24"/>
      <c r="Q3289" s="24"/>
      <c r="R3289" s="180"/>
      <c r="S3289" s="181"/>
      <c r="T3289" s="35"/>
      <c r="U3289" s="35"/>
      <c r="V3289" s="35"/>
      <c r="W3289" s="35"/>
      <c r="X3289" s="35"/>
      <c r="Y3289" s="182"/>
      <c r="Z3289" s="175"/>
      <c r="AA3289" s="182"/>
      <c r="AB3289" s="184"/>
    </row>
    <row r="3290" spans="1:28" ht="12.75">
      <c r="A3290" s="173"/>
      <c r="B3290" s="174"/>
      <c r="C3290" s="11"/>
      <c r="D3290" s="175"/>
      <c r="E3290" s="176"/>
      <c r="F3290" s="177"/>
      <c r="G3290" s="178"/>
      <c r="H3290" s="177"/>
      <c r="I3290" s="177"/>
      <c r="J3290" s="179"/>
      <c r="K3290" s="183"/>
      <c r="L3290" s="176"/>
      <c r="M3290" s="177"/>
      <c r="N3290" s="21"/>
      <c r="O3290" s="45"/>
      <c r="P3290" s="24"/>
      <c r="Q3290" s="24"/>
      <c r="R3290" s="180"/>
      <c r="S3290" s="181"/>
      <c r="T3290" s="35"/>
      <c r="U3290" s="35"/>
      <c r="V3290" s="35"/>
      <c r="W3290" s="35"/>
      <c r="X3290" s="35"/>
      <c r="Y3290" s="182"/>
      <c r="Z3290" s="175"/>
      <c r="AA3290" s="182"/>
      <c r="AB3290" s="184"/>
    </row>
    <row r="3291" spans="1:28" ht="12.75">
      <c r="A3291" s="173"/>
      <c r="B3291" s="174"/>
      <c r="C3291" s="11"/>
      <c r="D3291" s="175"/>
      <c r="E3291" s="176"/>
      <c r="F3291" s="177"/>
      <c r="G3291" s="178"/>
      <c r="H3291" s="177"/>
      <c r="I3291" s="177"/>
      <c r="J3291" s="179"/>
      <c r="K3291" s="183"/>
      <c r="L3291" s="176"/>
      <c r="M3291" s="177"/>
      <c r="N3291" s="21"/>
      <c r="O3291" s="45"/>
      <c r="P3291" s="24"/>
      <c r="Q3291" s="24"/>
      <c r="R3291" s="180"/>
      <c r="S3291" s="181"/>
      <c r="T3291" s="35"/>
      <c r="U3291" s="35"/>
      <c r="V3291" s="35"/>
      <c r="W3291" s="35"/>
      <c r="X3291" s="35"/>
      <c r="Y3291" s="182"/>
      <c r="Z3291" s="175"/>
      <c r="AA3291" s="182"/>
      <c r="AB3291" s="184"/>
    </row>
    <row r="3292" spans="1:28" ht="12.75">
      <c r="A3292" s="173"/>
      <c r="B3292" s="174"/>
      <c r="C3292" s="11"/>
      <c r="D3292" s="175"/>
      <c r="E3292" s="176"/>
      <c r="F3292" s="177"/>
      <c r="G3292" s="178"/>
      <c r="H3292" s="177"/>
      <c r="I3292" s="177"/>
      <c r="J3292" s="179"/>
      <c r="K3292" s="183"/>
      <c r="L3292" s="176"/>
      <c r="M3292" s="177"/>
      <c r="N3292" s="21"/>
      <c r="O3292" s="45"/>
      <c r="P3292" s="24"/>
      <c r="Q3292" s="24"/>
      <c r="R3292" s="180"/>
      <c r="S3292" s="181"/>
      <c r="T3292" s="35"/>
      <c r="U3292" s="35"/>
      <c r="V3292" s="35"/>
      <c r="W3292" s="35"/>
      <c r="X3292" s="35"/>
      <c r="Y3292" s="182"/>
      <c r="Z3292" s="175"/>
      <c r="AA3292" s="182"/>
      <c r="AB3292" s="184"/>
    </row>
    <row r="3293" spans="1:28" ht="12.75">
      <c r="A3293" s="173"/>
      <c r="B3293" s="174"/>
      <c r="C3293" s="11"/>
      <c r="D3293" s="175"/>
      <c r="E3293" s="176"/>
      <c r="F3293" s="177"/>
      <c r="G3293" s="178"/>
      <c r="H3293" s="177"/>
      <c r="I3293" s="177"/>
      <c r="J3293" s="179"/>
      <c r="K3293" s="183"/>
      <c r="L3293" s="176"/>
      <c r="M3293" s="177"/>
      <c r="N3293" s="21"/>
      <c r="O3293" s="45"/>
      <c r="P3293" s="24"/>
      <c r="Q3293" s="24"/>
      <c r="R3293" s="180"/>
      <c r="S3293" s="181"/>
      <c r="T3293" s="35"/>
      <c r="U3293" s="35"/>
      <c r="V3293" s="35"/>
      <c r="W3293" s="35"/>
      <c r="X3293" s="35"/>
      <c r="Y3293" s="182"/>
      <c r="Z3293" s="175"/>
      <c r="AA3293" s="182"/>
      <c r="AB3293" s="184"/>
    </row>
    <row r="3294" spans="1:28" ht="12.75">
      <c r="A3294" s="173"/>
      <c r="B3294" s="174"/>
      <c r="C3294" s="11"/>
      <c r="D3294" s="175"/>
      <c r="E3294" s="176"/>
      <c r="F3294" s="177"/>
      <c r="G3294" s="178"/>
      <c r="H3294" s="177"/>
      <c r="I3294" s="177"/>
      <c r="J3294" s="179"/>
      <c r="K3294" s="183"/>
      <c r="L3294" s="176"/>
      <c r="M3294" s="177"/>
      <c r="N3294" s="21"/>
      <c r="O3294" s="45"/>
      <c r="P3294" s="24"/>
      <c r="Q3294" s="24"/>
      <c r="R3294" s="180"/>
      <c r="S3294" s="181"/>
      <c r="T3294" s="35"/>
      <c r="U3294" s="35"/>
      <c r="V3294" s="35"/>
      <c r="W3294" s="35"/>
      <c r="X3294" s="35"/>
      <c r="Y3294" s="182"/>
      <c r="Z3294" s="175"/>
      <c r="AA3294" s="182"/>
      <c r="AB3294" s="184"/>
    </row>
    <row r="3295" spans="1:28" ht="12.75">
      <c r="A3295" s="173"/>
      <c r="B3295" s="174"/>
      <c r="C3295" s="11"/>
      <c r="D3295" s="175"/>
      <c r="E3295" s="176"/>
      <c r="F3295" s="177"/>
      <c r="G3295" s="178"/>
      <c r="H3295" s="177"/>
      <c r="I3295" s="177"/>
      <c r="J3295" s="179"/>
      <c r="K3295" s="183"/>
      <c r="L3295" s="176"/>
      <c r="M3295" s="177"/>
      <c r="N3295" s="21"/>
      <c r="O3295" s="45"/>
      <c r="P3295" s="24"/>
      <c r="Q3295" s="24"/>
      <c r="R3295" s="180"/>
      <c r="S3295" s="181"/>
      <c r="T3295" s="35"/>
      <c r="U3295" s="35"/>
      <c r="V3295" s="35"/>
      <c r="W3295" s="35"/>
      <c r="X3295" s="35"/>
      <c r="Y3295" s="182"/>
      <c r="Z3295" s="175"/>
      <c r="AA3295" s="182"/>
      <c r="AB3295" s="184"/>
    </row>
    <row r="3296" spans="1:28" ht="12.75">
      <c r="A3296" s="173"/>
      <c r="B3296" s="174"/>
      <c r="C3296" s="11"/>
      <c r="D3296" s="175"/>
      <c r="E3296" s="176"/>
      <c r="F3296" s="177"/>
      <c r="G3296" s="178"/>
      <c r="H3296" s="177"/>
      <c r="I3296" s="177"/>
      <c r="J3296" s="179"/>
      <c r="K3296" s="183"/>
      <c r="L3296" s="176"/>
      <c r="M3296" s="177"/>
      <c r="N3296" s="21"/>
      <c r="O3296" s="45"/>
      <c r="P3296" s="24"/>
      <c r="Q3296" s="24"/>
      <c r="R3296" s="180"/>
      <c r="S3296" s="181"/>
      <c r="T3296" s="35"/>
      <c r="U3296" s="35"/>
      <c r="V3296" s="35"/>
      <c r="W3296" s="35"/>
      <c r="X3296" s="35"/>
      <c r="Y3296" s="182"/>
      <c r="Z3296" s="175"/>
      <c r="AA3296" s="182"/>
      <c r="AB3296" s="184"/>
    </row>
    <row r="3297" spans="1:28" ht="12.75">
      <c r="A3297" s="173"/>
      <c r="B3297" s="174"/>
      <c r="C3297" s="11"/>
      <c r="D3297" s="175"/>
      <c r="E3297" s="176"/>
      <c r="F3297" s="177"/>
      <c r="G3297" s="178"/>
      <c r="H3297" s="177"/>
      <c r="I3297" s="177"/>
      <c r="J3297" s="179"/>
      <c r="K3297" s="183"/>
      <c r="L3297" s="176"/>
      <c r="M3297" s="177"/>
      <c r="N3297" s="21"/>
      <c r="O3297" s="45"/>
      <c r="P3297" s="24"/>
      <c r="Q3297" s="24"/>
      <c r="R3297" s="180"/>
      <c r="S3297" s="181"/>
      <c r="T3297" s="35"/>
      <c r="U3297" s="35"/>
      <c r="V3297" s="35"/>
      <c r="W3297" s="35"/>
      <c r="X3297" s="35"/>
      <c r="Y3297" s="182"/>
      <c r="Z3297" s="175"/>
      <c r="AA3297" s="182"/>
      <c r="AB3297" s="184"/>
    </row>
    <row r="3298" spans="1:28" ht="12.75">
      <c r="A3298" s="173"/>
      <c r="B3298" s="174"/>
      <c r="C3298" s="11"/>
      <c r="D3298" s="175"/>
      <c r="E3298" s="176"/>
      <c r="F3298" s="177"/>
      <c r="G3298" s="178"/>
      <c r="H3298" s="177"/>
      <c r="I3298" s="177"/>
      <c r="J3298" s="179"/>
      <c r="K3298" s="183"/>
      <c r="L3298" s="176"/>
      <c r="M3298" s="177"/>
      <c r="N3298" s="21"/>
      <c r="O3298" s="45"/>
      <c r="P3298" s="24"/>
      <c r="Q3298" s="24"/>
      <c r="R3298" s="180"/>
      <c r="S3298" s="181"/>
      <c r="T3298" s="35"/>
      <c r="U3298" s="35"/>
      <c r="V3298" s="35"/>
      <c r="W3298" s="35"/>
      <c r="X3298" s="35"/>
      <c r="Y3298" s="182"/>
      <c r="Z3298" s="175"/>
      <c r="AA3298" s="182"/>
      <c r="AB3298" s="184"/>
    </row>
    <row r="3299" spans="1:28" ht="12.75">
      <c r="A3299" s="173"/>
      <c r="B3299" s="174"/>
      <c r="C3299" s="11"/>
      <c r="D3299" s="175"/>
      <c r="E3299" s="176"/>
      <c r="F3299" s="177"/>
      <c r="G3299" s="178"/>
      <c r="H3299" s="177"/>
      <c r="I3299" s="177"/>
      <c r="J3299" s="179"/>
      <c r="K3299" s="183"/>
      <c r="L3299" s="176"/>
      <c r="M3299" s="177"/>
      <c r="N3299" s="21"/>
      <c r="O3299" s="45"/>
      <c r="P3299" s="24"/>
      <c r="Q3299" s="24"/>
      <c r="R3299" s="180"/>
      <c r="S3299" s="181"/>
      <c r="T3299" s="35"/>
      <c r="U3299" s="35"/>
      <c r="V3299" s="35"/>
      <c r="W3299" s="35"/>
      <c r="X3299" s="35"/>
      <c r="Y3299" s="182"/>
      <c r="Z3299" s="175"/>
      <c r="AA3299" s="182"/>
      <c r="AB3299" s="184"/>
    </row>
    <row r="3300" spans="1:28" ht="12.75">
      <c r="A3300" s="173"/>
      <c r="B3300" s="174"/>
      <c r="C3300" s="11"/>
      <c r="D3300" s="175"/>
      <c r="E3300" s="176"/>
      <c r="F3300" s="177"/>
      <c r="G3300" s="178"/>
      <c r="H3300" s="177"/>
      <c r="I3300" s="177"/>
      <c r="J3300" s="179"/>
      <c r="K3300" s="183"/>
      <c r="L3300" s="176"/>
      <c r="M3300" s="177"/>
      <c r="N3300" s="21"/>
      <c r="O3300" s="45"/>
      <c r="P3300" s="24"/>
      <c r="Q3300" s="24"/>
      <c r="R3300" s="180"/>
      <c r="S3300" s="181"/>
      <c r="T3300" s="35"/>
      <c r="U3300" s="35"/>
      <c r="V3300" s="35"/>
      <c r="W3300" s="35"/>
      <c r="X3300" s="35"/>
      <c r="Y3300" s="182"/>
      <c r="Z3300" s="175"/>
      <c r="AA3300" s="182"/>
      <c r="AB3300" s="184"/>
    </row>
    <row r="3301" spans="1:28" ht="12.75">
      <c r="A3301" s="173"/>
      <c r="B3301" s="174"/>
      <c r="C3301" s="11"/>
      <c r="D3301" s="175"/>
      <c r="E3301" s="176"/>
      <c r="F3301" s="177"/>
      <c r="G3301" s="178"/>
      <c r="H3301" s="177"/>
      <c r="I3301" s="177"/>
      <c r="J3301" s="179"/>
      <c r="K3301" s="183"/>
      <c r="L3301" s="176"/>
      <c r="M3301" s="177"/>
      <c r="N3301" s="21"/>
      <c r="O3301" s="45"/>
      <c r="P3301" s="24"/>
      <c r="Q3301" s="24"/>
      <c r="R3301" s="180"/>
      <c r="S3301" s="181"/>
      <c r="T3301" s="35"/>
      <c r="U3301" s="35"/>
      <c r="V3301" s="35"/>
      <c r="W3301" s="35"/>
      <c r="X3301" s="35"/>
      <c r="Y3301" s="182"/>
      <c r="Z3301" s="175"/>
      <c r="AA3301" s="182"/>
      <c r="AB3301" s="184"/>
    </row>
    <row r="3302" spans="1:28" ht="12.75">
      <c r="A3302" s="173"/>
      <c r="B3302" s="174"/>
      <c r="C3302" s="11"/>
      <c r="D3302" s="175"/>
      <c r="E3302" s="176"/>
      <c r="F3302" s="177"/>
      <c r="G3302" s="178"/>
      <c r="H3302" s="177"/>
      <c r="I3302" s="177"/>
      <c r="J3302" s="179"/>
      <c r="K3302" s="183"/>
      <c r="L3302" s="176"/>
      <c r="M3302" s="177"/>
      <c r="N3302" s="21"/>
      <c r="O3302" s="45"/>
      <c r="P3302" s="24"/>
      <c r="Q3302" s="24"/>
      <c r="R3302" s="180"/>
      <c r="S3302" s="181"/>
      <c r="T3302" s="35"/>
      <c r="U3302" s="35"/>
      <c r="V3302" s="35"/>
      <c r="W3302" s="35"/>
      <c r="X3302" s="35"/>
      <c r="Y3302" s="182"/>
      <c r="Z3302" s="175"/>
      <c r="AA3302" s="182"/>
      <c r="AB3302" s="184"/>
    </row>
    <row r="3303" spans="1:28" ht="12.75">
      <c r="A3303" s="173"/>
      <c r="B3303" s="174"/>
      <c r="C3303" s="11"/>
      <c r="D3303" s="175"/>
      <c r="E3303" s="176"/>
      <c r="F3303" s="177"/>
      <c r="G3303" s="178"/>
      <c r="H3303" s="177"/>
      <c r="I3303" s="177"/>
      <c r="J3303" s="179"/>
      <c r="K3303" s="183"/>
      <c r="L3303" s="176"/>
      <c r="M3303" s="177"/>
      <c r="N3303" s="21"/>
      <c r="O3303" s="45"/>
      <c r="P3303" s="24"/>
      <c r="Q3303" s="24"/>
      <c r="R3303" s="180"/>
      <c r="S3303" s="181"/>
      <c r="T3303" s="35"/>
      <c r="U3303" s="35"/>
      <c r="V3303" s="35"/>
      <c r="W3303" s="35"/>
      <c r="X3303" s="35"/>
      <c r="Y3303" s="182"/>
      <c r="Z3303" s="175"/>
      <c r="AA3303" s="182"/>
      <c r="AB3303" s="184"/>
    </row>
    <row r="3304" spans="1:28" ht="12.75">
      <c r="A3304" s="173"/>
      <c r="B3304" s="174"/>
      <c r="C3304" s="11"/>
      <c r="D3304" s="175"/>
      <c r="E3304" s="176"/>
      <c r="F3304" s="177"/>
      <c r="G3304" s="178"/>
      <c r="H3304" s="177"/>
      <c r="I3304" s="177"/>
      <c r="J3304" s="179"/>
      <c r="K3304" s="183"/>
      <c r="L3304" s="176"/>
      <c r="M3304" s="177"/>
      <c r="N3304" s="21"/>
      <c r="O3304" s="45"/>
      <c r="P3304" s="24"/>
      <c r="Q3304" s="24"/>
      <c r="R3304" s="180"/>
      <c r="S3304" s="181"/>
      <c r="T3304" s="35"/>
      <c r="U3304" s="35"/>
      <c r="V3304" s="35"/>
      <c r="W3304" s="35"/>
      <c r="X3304" s="35"/>
      <c r="Y3304" s="182"/>
      <c r="Z3304" s="175"/>
      <c r="AA3304" s="182"/>
      <c r="AB3304" s="184"/>
    </row>
    <row r="3305" spans="1:28" ht="12.75">
      <c r="A3305" s="173"/>
      <c r="B3305" s="174"/>
      <c r="C3305" s="11"/>
      <c r="D3305" s="175"/>
      <c r="E3305" s="176"/>
      <c r="F3305" s="177"/>
      <c r="G3305" s="178"/>
      <c r="H3305" s="177"/>
      <c r="I3305" s="177"/>
      <c r="J3305" s="179"/>
      <c r="K3305" s="183"/>
      <c r="L3305" s="176"/>
      <c r="M3305" s="177"/>
      <c r="N3305" s="21"/>
      <c r="O3305" s="45"/>
      <c r="P3305" s="24"/>
      <c r="Q3305" s="24"/>
      <c r="R3305" s="180"/>
      <c r="S3305" s="181"/>
      <c r="T3305" s="35"/>
      <c r="U3305" s="35"/>
      <c r="V3305" s="35"/>
      <c r="W3305" s="35"/>
      <c r="X3305" s="35"/>
      <c r="Y3305" s="182"/>
      <c r="Z3305" s="175"/>
      <c r="AA3305" s="182"/>
      <c r="AB3305" s="184"/>
    </row>
    <row r="3306" spans="1:28" ht="12.75">
      <c r="A3306" s="173"/>
      <c r="B3306" s="174"/>
      <c r="C3306" s="11"/>
      <c r="D3306" s="175"/>
      <c r="E3306" s="176"/>
      <c r="F3306" s="177"/>
      <c r="G3306" s="178"/>
      <c r="H3306" s="177"/>
      <c r="I3306" s="177"/>
      <c r="J3306" s="179"/>
      <c r="K3306" s="183"/>
      <c r="L3306" s="176"/>
      <c r="M3306" s="177"/>
      <c r="N3306" s="21"/>
      <c r="O3306" s="45"/>
      <c r="P3306" s="24"/>
      <c r="Q3306" s="24"/>
      <c r="R3306" s="180"/>
      <c r="S3306" s="181"/>
      <c r="T3306" s="35"/>
      <c r="U3306" s="35"/>
      <c r="V3306" s="35"/>
      <c r="W3306" s="35"/>
      <c r="X3306" s="35"/>
      <c r="Y3306" s="182"/>
      <c r="Z3306" s="175"/>
      <c r="AA3306" s="182"/>
      <c r="AB3306" s="184"/>
    </row>
    <row r="3307" spans="1:28" ht="12.75">
      <c r="A3307" s="173"/>
      <c r="B3307" s="174"/>
      <c r="C3307" s="11"/>
      <c r="D3307" s="175"/>
      <c r="E3307" s="176"/>
      <c r="F3307" s="177"/>
      <c r="G3307" s="178"/>
      <c r="H3307" s="177"/>
      <c r="I3307" s="177"/>
      <c r="J3307" s="179"/>
      <c r="K3307" s="183"/>
      <c r="L3307" s="176"/>
      <c r="M3307" s="177"/>
      <c r="N3307" s="21"/>
      <c r="O3307" s="45"/>
      <c r="P3307" s="24"/>
      <c r="Q3307" s="24"/>
      <c r="R3307" s="180"/>
      <c r="S3307" s="181"/>
      <c r="T3307" s="35"/>
      <c r="U3307" s="35"/>
      <c r="V3307" s="35"/>
      <c r="W3307" s="35"/>
      <c r="X3307" s="35"/>
      <c r="Y3307" s="182"/>
      <c r="Z3307" s="175"/>
      <c r="AA3307" s="182"/>
      <c r="AB3307" s="184"/>
    </row>
    <row r="3308" spans="1:28" ht="12.75">
      <c r="A3308" s="173"/>
      <c r="B3308" s="174"/>
      <c r="C3308" s="11"/>
      <c r="D3308" s="175"/>
      <c r="E3308" s="176"/>
      <c r="F3308" s="177"/>
      <c r="G3308" s="178"/>
      <c r="H3308" s="177"/>
      <c r="I3308" s="177"/>
      <c r="J3308" s="179"/>
      <c r="K3308" s="183"/>
      <c r="L3308" s="176"/>
      <c r="M3308" s="177"/>
      <c r="N3308" s="21"/>
      <c r="O3308" s="45"/>
      <c r="P3308" s="24"/>
      <c r="Q3308" s="24"/>
      <c r="R3308" s="180"/>
      <c r="S3308" s="181"/>
      <c r="T3308" s="35"/>
      <c r="U3308" s="35"/>
      <c r="V3308" s="35"/>
      <c r="W3308" s="35"/>
      <c r="X3308" s="35"/>
      <c r="Y3308" s="182"/>
      <c r="Z3308" s="175"/>
      <c r="AA3308" s="182"/>
      <c r="AB3308" s="184"/>
    </row>
    <row r="3309" spans="1:28" ht="12.75">
      <c r="A3309" s="173"/>
      <c r="B3309" s="174"/>
      <c r="C3309" s="11"/>
      <c r="D3309" s="175"/>
      <c r="E3309" s="176"/>
      <c r="F3309" s="177"/>
      <c r="G3309" s="178"/>
      <c r="H3309" s="177"/>
      <c r="I3309" s="177"/>
      <c r="J3309" s="179"/>
      <c r="K3309" s="183"/>
      <c r="L3309" s="176"/>
      <c r="M3309" s="177"/>
      <c r="N3309" s="21"/>
      <c r="O3309" s="45"/>
      <c r="P3309" s="24"/>
      <c r="Q3309" s="24"/>
      <c r="R3309" s="180"/>
      <c r="S3309" s="181"/>
      <c r="T3309" s="35"/>
      <c r="U3309" s="35"/>
      <c r="V3309" s="35"/>
      <c r="W3309" s="35"/>
      <c r="X3309" s="35"/>
      <c r="Y3309" s="182"/>
      <c r="Z3309" s="175"/>
      <c r="AA3309" s="182"/>
      <c r="AB3309" s="184"/>
    </row>
    <row r="3310" spans="1:28" ht="12.75">
      <c r="A3310" s="173"/>
      <c r="B3310" s="174"/>
      <c r="C3310" s="11"/>
      <c r="D3310" s="175"/>
      <c r="E3310" s="176"/>
      <c r="F3310" s="177"/>
      <c r="G3310" s="178"/>
      <c r="H3310" s="177"/>
      <c r="I3310" s="177"/>
      <c r="J3310" s="179"/>
      <c r="K3310" s="183"/>
      <c r="L3310" s="176"/>
      <c r="M3310" s="177"/>
      <c r="N3310" s="21"/>
      <c r="O3310" s="45"/>
      <c r="P3310" s="24"/>
      <c r="Q3310" s="24"/>
      <c r="R3310" s="180"/>
      <c r="S3310" s="181"/>
      <c r="T3310" s="35"/>
      <c r="U3310" s="35"/>
      <c r="V3310" s="35"/>
      <c r="W3310" s="35"/>
      <c r="X3310" s="35"/>
      <c r="Y3310" s="182"/>
      <c r="Z3310" s="175"/>
      <c r="AA3310" s="182"/>
      <c r="AB3310" s="184"/>
    </row>
    <row r="3311" spans="1:28" ht="12.75">
      <c r="A3311" s="173"/>
      <c r="B3311" s="174"/>
      <c r="C3311" s="11"/>
      <c r="D3311" s="175"/>
      <c r="E3311" s="176"/>
      <c r="F3311" s="177"/>
      <c r="G3311" s="178"/>
      <c r="H3311" s="177"/>
      <c r="I3311" s="177"/>
      <c r="J3311" s="179"/>
      <c r="K3311" s="183"/>
      <c r="L3311" s="176"/>
      <c r="M3311" s="177"/>
      <c r="N3311" s="21"/>
      <c r="O3311" s="45"/>
      <c r="P3311" s="24"/>
      <c r="Q3311" s="24"/>
      <c r="R3311" s="180"/>
      <c r="S3311" s="181"/>
      <c r="T3311" s="35"/>
      <c r="U3311" s="35"/>
      <c r="V3311" s="35"/>
      <c r="W3311" s="35"/>
      <c r="X3311" s="35"/>
      <c r="Y3311" s="182"/>
      <c r="Z3311" s="175"/>
      <c r="AA3311" s="182"/>
      <c r="AB3311" s="184"/>
    </row>
    <row r="3312" spans="1:28" ht="12.75">
      <c r="A3312" s="173"/>
      <c r="B3312" s="174"/>
      <c r="C3312" s="11"/>
      <c r="D3312" s="175"/>
      <c r="E3312" s="176"/>
      <c r="F3312" s="177"/>
      <c r="G3312" s="178"/>
      <c r="H3312" s="177"/>
      <c r="I3312" s="177"/>
      <c r="J3312" s="179"/>
      <c r="K3312" s="183"/>
      <c r="L3312" s="176"/>
      <c r="M3312" s="177"/>
      <c r="N3312" s="21"/>
      <c r="O3312" s="45"/>
      <c r="P3312" s="24"/>
      <c r="Q3312" s="24"/>
      <c r="R3312" s="180"/>
      <c r="S3312" s="181"/>
      <c r="T3312" s="35"/>
      <c r="U3312" s="35"/>
      <c r="V3312" s="35"/>
      <c r="W3312" s="35"/>
      <c r="X3312" s="35"/>
      <c r="Y3312" s="182"/>
      <c r="Z3312" s="175"/>
      <c r="AA3312" s="182"/>
      <c r="AB3312" s="184"/>
    </row>
    <row r="3313" spans="1:28" ht="12.75">
      <c r="A3313" s="173"/>
      <c r="B3313" s="174"/>
      <c r="C3313" s="11"/>
      <c r="D3313" s="175"/>
      <c r="E3313" s="176"/>
      <c r="F3313" s="177"/>
      <c r="G3313" s="178"/>
      <c r="H3313" s="177"/>
      <c r="I3313" s="177"/>
      <c r="J3313" s="179"/>
      <c r="K3313" s="183"/>
      <c r="L3313" s="176"/>
      <c r="M3313" s="177"/>
      <c r="N3313" s="21"/>
      <c r="O3313" s="45"/>
      <c r="P3313" s="24"/>
      <c r="Q3313" s="24"/>
      <c r="R3313" s="180"/>
      <c r="S3313" s="181"/>
      <c r="T3313" s="35"/>
      <c r="U3313" s="35"/>
      <c r="V3313" s="35"/>
      <c r="W3313" s="35"/>
      <c r="X3313" s="35"/>
      <c r="Y3313" s="182"/>
      <c r="Z3313" s="175"/>
      <c r="AA3313" s="182"/>
      <c r="AB3313" s="184"/>
    </row>
    <row r="3314" spans="1:28" ht="12.75">
      <c r="A3314" s="173"/>
      <c r="B3314" s="174"/>
      <c r="C3314" s="11"/>
      <c r="D3314" s="175"/>
      <c r="E3314" s="176"/>
      <c r="F3314" s="177"/>
      <c r="G3314" s="178"/>
      <c r="H3314" s="177"/>
      <c r="I3314" s="177"/>
      <c r="J3314" s="179"/>
      <c r="K3314" s="183"/>
      <c r="L3314" s="176"/>
      <c r="M3314" s="177"/>
      <c r="N3314" s="21"/>
      <c r="O3314" s="45"/>
      <c r="P3314" s="24"/>
      <c r="Q3314" s="24"/>
      <c r="R3314" s="180"/>
      <c r="S3314" s="181"/>
      <c r="T3314" s="35"/>
      <c r="U3314" s="35"/>
      <c r="V3314" s="35"/>
      <c r="W3314" s="35"/>
      <c r="X3314" s="35"/>
      <c r="Y3314" s="182"/>
      <c r="Z3314" s="175"/>
      <c r="AA3314" s="182"/>
      <c r="AB3314" s="184"/>
    </row>
    <row r="3315" spans="1:28" ht="12.75">
      <c r="A3315" s="173"/>
      <c r="B3315" s="174"/>
      <c r="C3315" s="11"/>
      <c r="D3315" s="175"/>
      <c r="E3315" s="176"/>
      <c r="F3315" s="177"/>
      <c r="G3315" s="178"/>
      <c r="H3315" s="177"/>
      <c r="I3315" s="177"/>
      <c r="J3315" s="179"/>
      <c r="K3315" s="183"/>
      <c r="L3315" s="176"/>
      <c r="M3315" s="177"/>
      <c r="N3315" s="21"/>
      <c r="O3315" s="45"/>
      <c r="P3315" s="24"/>
      <c r="Q3315" s="24"/>
      <c r="R3315" s="180"/>
      <c r="S3315" s="181"/>
      <c r="T3315" s="35"/>
      <c r="U3315" s="35"/>
      <c r="V3315" s="35"/>
      <c r="W3315" s="35"/>
      <c r="X3315" s="35"/>
      <c r="Y3315" s="182"/>
      <c r="Z3315" s="175"/>
      <c r="AA3315" s="182"/>
      <c r="AB3315" s="184"/>
    </row>
    <row r="3316" spans="1:28" ht="12.75">
      <c r="A3316" s="173"/>
      <c r="B3316" s="174"/>
      <c r="C3316" s="11"/>
      <c r="D3316" s="175"/>
      <c r="E3316" s="176"/>
      <c r="F3316" s="177"/>
      <c r="G3316" s="178"/>
      <c r="H3316" s="177"/>
      <c r="I3316" s="177"/>
      <c r="J3316" s="179"/>
      <c r="K3316" s="183"/>
      <c r="L3316" s="176"/>
      <c r="M3316" s="177"/>
      <c r="N3316" s="21"/>
      <c r="O3316" s="45"/>
      <c r="P3316" s="24"/>
      <c r="Q3316" s="24"/>
      <c r="R3316" s="180"/>
      <c r="S3316" s="181"/>
      <c r="T3316" s="35"/>
      <c r="U3316" s="35"/>
      <c r="V3316" s="35"/>
      <c r="W3316" s="35"/>
      <c r="X3316" s="35"/>
      <c r="Y3316" s="182"/>
      <c r="Z3316" s="175"/>
      <c r="AA3316" s="182"/>
      <c r="AB3316" s="184"/>
    </row>
    <row r="3317" spans="1:28" ht="12.75">
      <c r="A3317" s="173"/>
      <c r="B3317" s="174"/>
      <c r="C3317" s="11"/>
      <c r="D3317" s="175"/>
      <c r="E3317" s="176"/>
      <c r="F3317" s="177"/>
      <c r="G3317" s="178"/>
      <c r="H3317" s="177"/>
      <c r="I3317" s="177"/>
      <c r="J3317" s="179"/>
      <c r="K3317" s="183"/>
      <c r="L3317" s="176"/>
      <c r="M3317" s="177"/>
      <c r="N3317" s="21"/>
      <c r="O3317" s="45"/>
      <c r="P3317" s="24"/>
      <c r="Q3317" s="24"/>
      <c r="R3317" s="180"/>
      <c r="S3317" s="181"/>
      <c r="T3317" s="35"/>
      <c r="U3317" s="35"/>
      <c r="V3317" s="35"/>
      <c r="W3317" s="35"/>
      <c r="X3317" s="35"/>
      <c r="Y3317" s="182"/>
      <c r="Z3317" s="175"/>
      <c r="AA3317" s="182"/>
      <c r="AB3317" s="184"/>
    </row>
    <row r="3318" spans="1:28" ht="12.75">
      <c r="A3318" s="173"/>
      <c r="B3318" s="174"/>
      <c r="C3318" s="11"/>
      <c r="D3318" s="175"/>
      <c r="E3318" s="176"/>
      <c r="F3318" s="177"/>
      <c r="G3318" s="178"/>
      <c r="H3318" s="177"/>
      <c r="I3318" s="177"/>
      <c r="J3318" s="179"/>
      <c r="K3318" s="183"/>
      <c r="L3318" s="176"/>
      <c r="M3318" s="177"/>
      <c r="N3318" s="21"/>
      <c r="O3318" s="45"/>
      <c r="P3318" s="24"/>
      <c r="Q3318" s="24"/>
      <c r="R3318" s="180"/>
      <c r="S3318" s="181"/>
      <c r="T3318" s="35"/>
      <c r="U3318" s="35"/>
      <c r="V3318" s="35"/>
      <c r="W3318" s="35"/>
      <c r="X3318" s="35"/>
      <c r="Y3318" s="182"/>
      <c r="Z3318" s="175"/>
      <c r="AA3318" s="182"/>
      <c r="AB3318" s="184"/>
    </row>
    <row r="3319" spans="1:28" ht="12.75">
      <c r="A3319" s="173"/>
      <c r="B3319" s="174"/>
      <c r="C3319" s="11"/>
      <c r="D3319" s="175"/>
      <c r="E3319" s="176"/>
      <c r="F3319" s="177"/>
      <c r="G3319" s="178"/>
      <c r="H3319" s="177"/>
      <c r="I3319" s="177"/>
      <c r="J3319" s="179"/>
      <c r="K3319" s="183"/>
      <c r="L3319" s="176"/>
      <c r="M3319" s="177"/>
      <c r="N3319" s="21"/>
      <c r="O3319" s="45"/>
      <c r="P3319" s="24"/>
      <c r="Q3319" s="24"/>
      <c r="R3319" s="180"/>
      <c r="S3319" s="181"/>
      <c r="T3319" s="35"/>
      <c r="U3319" s="35"/>
      <c r="V3319" s="35"/>
      <c r="W3319" s="35"/>
      <c r="X3319" s="35"/>
      <c r="Y3319" s="182"/>
      <c r="Z3319" s="175"/>
      <c r="AA3319" s="182"/>
      <c r="AB3319" s="184"/>
    </row>
    <row r="3320" spans="1:28" ht="12.75">
      <c r="A3320" s="173"/>
      <c r="B3320" s="174"/>
      <c r="C3320" s="11"/>
      <c r="D3320" s="175"/>
      <c r="E3320" s="176"/>
      <c r="F3320" s="177"/>
      <c r="G3320" s="178"/>
      <c r="H3320" s="177"/>
      <c r="I3320" s="177"/>
      <c r="J3320" s="179"/>
      <c r="K3320" s="183"/>
      <c r="L3320" s="176"/>
      <c r="M3320" s="177"/>
      <c r="N3320" s="21"/>
      <c r="O3320" s="45"/>
      <c r="P3320" s="24"/>
      <c r="Q3320" s="24"/>
      <c r="R3320" s="180"/>
      <c r="S3320" s="181"/>
      <c r="T3320" s="35"/>
      <c r="U3320" s="35"/>
      <c r="V3320" s="35"/>
      <c r="W3320" s="35"/>
      <c r="X3320" s="35"/>
      <c r="Y3320" s="182"/>
      <c r="Z3320" s="175"/>
      <c r="AA3320" s="182"/>
      <c r="AB3320" s="184"/>
    </row>
    <row r="3321" spans="1:28" ht="12.75">
      <c r="A3321" s="173"/>
      <c r="B3321" s="174"/>
      <c r="C3321" s="11"/>
      <c r="D3321" s="175"/>
      <c r="E3321" s="176"/>
      <c r="F3321" s="177"/>
      <c r="G3321" s="178"/>
      <c r="H3321" s="177"/>
      <c r="I3321" s="177"/>
      <c r="J3321" s="179"/>
      <c r="K3321" s="183"/>
      <c r="L3321" s="176"/>
      <c r="M3321" s="177"/>
      <c r="N3321" s="21"/>
      <c r="O3321" s="45"/>
      <c r="P3321" s="24"/>
      <c r="Q3321" s="24"/>
      <c r="R3321" s="180"/>
      <c r="S3321" s="181"/>
      <c r="T3321" s="35"/>
      <c r="U3321" s="35"/>
      <c r="V3321" s="35"/>
      <c r="W3321" s="35"/>
      <c r="X3321" s="35"/>
      <c r="Y3321" s="182"/>
      <c r="Z3321" s="175"/>
      <c r="AA3321" s="182"/>
      <c r="AB3321" s="184"/>
    </row>
    <row r="3322" spans="1:28" ht="12.75">
      <c r="A3322" s="173"/>
      <c r="B3322" s="174"/>
      <c r="C3322" s="11"/>
      <c r="D3322" s="175"/>
      <c r="E3322" s="176"/>
      <c r="F3322" s="177"/>
      <c r="G3322" s="178"/>
      <c r="H3322" s="177"/>
      <c r="I3322" s="177"/>
      <c r="J3322" s="179"/>
      <c r="K3322" s="183"/>
      <c r="L3322" s="176"/>
      <c r="M3322" s="177"/>
      <c r="N3322" s="21"/>
      <c r="O3322" s="45"/>
      <c r="P3322" s="24"/>
      <c r="Q3322" s="24"/>
      <c r="R3322" s="180"/>
      <c r="S3322" s="181"/>
      <c r="T3322" s="35"/>
      <c r="U3322" s="35"/>
      <c r="V3322" s="35"/>
      <c r="W3322" s="35"/>
      <c r="X3322" s="35"/>
      <c r="Y3322" s="182"/>
      <c r="Z3322" s="175"/>
      <c r="AA3322" s="182"/>
      <c r="AB3322" s="184"/>
    </row>
    <row r="3323" spans="1:28" ht="12.75">
      <c r="A3323" s="173"/>
      <c r="B3323" s="174"/>
      <c r="C3323" s="11"/>
      <c r="D3323" s="175"/>
      <c r="E3323" s="176"/>
      <c r="F3323" s="177"/>
      <c r="G3323" s="178"/>
      <c r="H3323" s="177"/>
      <c r="I3323" s="177"/>
      <c r="J3323" s="179"/>
      <c r="K3323" s="183"/>
      <c r="L3323" s="176"/>
      <c r="M3323" s="177"/>
      <c r="N3323" s="21"/>
      <c r="O3323" s="45"/>
      <c r="P3323" s="24"/>
      <c r="Q3323" s="24"/>
      <c r="R3323" s="180"/>
      <c r="S3323" s="181"/>
      <c r="T3323" s="35"/>
      <c r="U3323" s="35"/>
      <c r="V3323" s="35"/>
      <c r="W3323" s="35"/>
      <c r="X3323" s="35"/>
      <c r="Y3323" s="182"/>
      <c r="Z3323" s="175"/>
      <c r="AA3323" s="182"/>
      <c r="AB3323" s="184"/>
    </row>
    <row r="3324" spans="1:28" ht="12.75">
      <c r="A3324" s="173"/>
      <c r="B3324" s="174"/>
      <c r="C3324" s="11"/>
      <c r="D3324" s="175"/>
      <c r="E3324" s="176"/>
      <c r="F3324" s="177"/>
      <c r="G3324" s="178"/>
      <c r="H3324" s="177"/>
      <c r="I3324" s="177"/>
      <c r="J3324" s="179"/>
      <c r="K3324" s="183"/>
      <c r="L3324" s="176"/>
      <c r="M3324" s="177"/>
      <c r="N3324" s="21"/>
      <c r="O3324" s="45"/>
      <c r="P3324" s="24"/>
      <c r="Q3324" s="24"/>
      <c r="R3324" s="180"/>
      <c r="S3324" s="181"/>
      <c r="T3324" s="35"/>
      <c r="U3324" s="35"/>
      <c r="V3324" s="35"/>
      <c r="W3324" s="35"/>
      <c r="X3324" s="35"/>
      <c r="Y3324" s="182"/>
      <c r="Z3324" s="175"/>
      <c r="AA3324" s="182"/>
      <c r="AB3324" s="184"/>
    </row>
    <row r="3325" spans="1:28" ht="12.75">
      <c r="A3325" s="173"/>
      <c r="B3325" s="174"/>
      <c r="C3325" s="11"/>
      <c r="D3325" s="175"/>
      <c r="E3325" s="176"/>
      <c r="F3325" s="177"/>
      <c r="G3325" s="178"/>
      <c r="H3325" s="177"/>
      <c r="I3325" s="177"/>
      <c r="J3325" s="179"/>
      <c r="K3325" s="183"/>
      <c r="L3325" s="176"/>
      <c r="M3325" s="177"/>
      <c r="N3325" s="21"/>
      <c r="O3325" s="45"/>
      <c r="P3325" s="24"/>
      <c r="Q3325" s="24"/>
      <c r="R3325" s="180"/>
      <c r="S3325" s="181"/>
      <c r="T3325" s="35"/>
      <c r="U3325" s="35"/>
      <c r="V3325" s="35"/>
      <c r="W3325" s="35"/>
      <c r="X3325" s="35"/>
      <c r="Y3325" s="182"/>
      <c r="Z3325" s="175"/>
      <c r="AA3325" s="182"/>
      <c r="AB3325" s="184"/>
    </row>
    <row r="3326" spans="1:28" ht="12.75">
      <c r="A3326" s="173"/>
      <c r="B3326" s="174"/>
      <c r="C3326" s="11"/>
      <c r="D3326" s="175"/>
      <c r="E3326" s="176"/>
      <c r="F3326" s="177"/>
      <c r="G3326" s="178"/>
      <c r="H3326" s="177"/>
      <c r="I3326" s="177"/>
      <c r="J3326" s="179"/>
      <c r="K3326" s="183"/>
      <c r="L3326" s="176"/>
      <c r="M3326" s="177"/>
      <c r="N3326" s="21"/>
      <c r="O3326" s="45"/>
      <c r="P3326" s="24"/>
      <c r="Q3326" s="24"/>
      <c r="R3326" s="180"/>
      <c r="S3326" s="181"/>
      <c r="T3326" s="35"/>
      <c r="U3326" s="35"/>
      <c r="V3326" s="35"/>
      <c r="W3326" s="35"/>
      <c r="X3326" s="35"/>
      <c r="Y3326" s="182"/>
      <c r="Z3326" s="175"/>
      <c r="AA3326" s="182"/>
      <c r="AB3326" s="184"/>
    </row>
    <row r="3327" spans="1:28" ht="12.75">
      <c r="A3327" s="173"/>
      <c r="B3327" s="174"/>
      <c r="C3327" s="11"/>
      <c r="D3327" s="175"/>
      <c r="E3327" s="176"/>
      <c r="F3327" s="177"/>
      <c r="G3327" s="178"/>
      <c r="H3327" s="177"/>
      <c r="I3327" s="177"/>
      <c r="J3327" s="179"/>
      <c r="K3327" s="183"/>
      <c r="L3327" s="176"/>
      <c r="M3327" s="177"/>
      <c r="N3327" s="21"/>
      <c r="O3327" s="45"/>
      <c r="P3327" s="24"/>
      <c r="Q3327" s="24"/>
      <c r="R3327" s="180"/>
      <c r="S3327" s="181"/>
      <c r="T3327" s="35"/>
      <c r="U3327" s="35"/>
      <c r="V3327" s="35"/>
      <c r="W3327" s="35"/>
      <c r="X3327" s="35"/>
      <c r="Y3327" s="182"/>
      <c r="Z3327" s="175"/>
      <c r="AA3327" s="182"/>
      <c r="AB3327" s="184"/>
    </row>
    <row r="3328" spans="1:28" ht="12.75">
      <c r="A3328" s="173"/>
      <c r="B3328" s="174"/>
      <c r="C3328" s="11"/>
      <c r="D3328" s="175"/>
      <c r="E3328" s="176"/>
      <c r="F3328" s="177"/>
      <c r="G3328" s="178"/>
      <c r="H3328" s="177"/>
      <c r="I3328" s="177"/>
      <c r="J3328" s="179"/>
      <c r="K3328" s="183"/>
      <c r="L3328" s="176"/>
      <c r="M3328" s="177"/>
      <c r="N3328" s="21"/>
      <c r="O3328" s="45"/>
      <c r="P3328" s="24"/>
      <c r="Q3328" s="24"/>
      <c r="R3328" s="180"/>
      <c r="S3328" s="181"/>
      <c r="T3328" s="35"/>
      <c r="U3328" s="35"/>
      <c r="V3328" s="35"/>
      <c r="W3328" s="35"/>
      <c r="X3328" s="35"/>
      <c r="Y3328" s="182"/>
      <c r="Z3328" s="175"/>
      <c r="AA3328" s="182"/>
      <c r="AB3328" s="184"/>
    </row>
    <row r="3329" spans="1:28" ht="12.75">
      <c r="A3329" s="173"/>
      <c r="B3329" s="174"/>
      <c r="C3329" s="11"/>
      <c r="D3329" s="175"/>
      <c r="E3329" s="176"/>
      <c r="F3329" s="177"/>
      <c r="G3329" s="178"/>
      <c r="H3329" s="177"/>
      <c r="I3329" s="177"/>
      <c r="J3329" s="179"/>
      <c r="K3329" s="183"/>
      <c r="L3329" s="176"/>
      <c r="M3329" s="177"/>
      <c r="N3329" s="21"/>
      <c r="O3329" s="45"/>
      <c r="P3329" s="24"/>
      <c r="Q3329" s="24"/>
      <c r="R3329" s="180"/>
      <c r="S3329" s="181"/>
      <c r="T3329" s="35"/>
      <c r="U3329" s="35"/>
      <c r="V3329" s="35"/>
      <c r="W3329" s="35"/>
      <c r="X3329" s="35"/>
      <c r="Y3329" s="182"/>
      <c r="Z3329" s="175"/>
      <c r="AA3329" s="182"/>
      <c r="AB3329" s="184"/>
    </row>
    <row r="3330" spans="1:28" ht="12.75">
      <c r="A3330" s="173"/>
      <c r="B3330" s="174"/>
      <c r="C3330" s="11"/>
      <c r="D3330" s="175"/>
      <c r="E3330" s="176"/>
      <c r="F3330" s="177"/>
      <c r="G3330" s="178"/>
      <c r="H3330" s="177"/>
      <c r="I3330" s="177"/>
      <c r="J3330" s="179"/>
      <c r="K3330" s="183"/>
      <c r="L3330" s="176"/>
      <c r="M3330" s="177"/>
      <c r="N3330" s="21"/>
      <c r="O3330" s="45"/>
      <c r="P3330" s="24"/>
      <c r="Q3330" s="24"/>
      <c r="R3330" s="180"/>
      <c r="S3330" s="181"/>
      <c r="T3330" s="35"/>
      <c r="U3330" s="35"/>
      <c r="V3330" s="35"/>
      <c r="W3330" s="35"/>
      <c r="X3330" s="35"/>
      <c r="Y3330" s="182"/>
      <c r="Z3330" s="175"/>
      <c r="AA3330" s="182"/>
      <c r="AB3330" s="184"/>
    </row>
    <row r="3331" spans="1:28" ht="12.75">
      <c r="A3331" s="173"/>
      <c r="B3331" s="174"/>
      <c r="C3331" s="11"/>
      <c r="D3331" s="175"/>
      <c r="E3331" s="176"/>
      <c r="F3331" s="177"/>
      <c r="G3331" s="178"/>
      <c r="H3331" s="177"/>
      <c r="I3331" s="177"/>
      <c r="J3331" s="179"/>
      <c r="K3331" s="183"/>
      <c r="L3331" s="176"/>
      <c r="M3331" s="177"/>
      <c r="N3331" s="21"/>
      <c r="O3331" s="45"/>
      <c r="P3331" s="24"/>
      <c r="Q3331" s="24"/>
      <c r="R3331" s="180"/>
      <c r="S3331" s="181"/>
      <c r="T3331" s="35"/>
      <c r="U3331" s="35"/>
      <c r="V3331" s="35"/>
      <c r="W3331" s="35"/>
      <c r="X3331" s="35"/>
      <c r="Y3331" s="182"/>
      <c r="Z3331" s="175"/>
      <c r="AA3331" s="182"/>
      <c r="AB3331" s="184"/>
    </row>
    <row r="3332" spans="1:28" ht="12.75">
      <c r="A3332" s="173"/>
      <c r="B3332" s="174"/>
      <c r="C3332" s="11"/>
      <c r="D3332" s="175"/>
      <c r="E3332" s="176"/>
      <c r="F3332" s="177"/>
      <c r="G3332" s="178"/>
      <c r="H3332" s="177"/>
      <c r="I3332" s="177"/>
      <c r="J3332" s="179"/>
      <c r="K3332" s="183"/>
      <c r="L3332" s="176"/>
      <c r="M3332" s="177"/>
      <c r="N3332" s="21"/>
      <c r="O3332" s="45"/>
      <c r="P3332" s="24"/>
      <c r="Q3332" s="24"/>
      <c r="R3332" s="180"/>
      <c r="S3332" s="181"/>
      <c r="T3332" s="35"/>
      <c r="U3332" s="35"/>
      <c r="V3332" s="35"/>
      <c r="W3332" s="35"/>
      <c r="X3332" s="35"/>
      <c r="Y3332" s="182"/>
      <c r="Z3332" s="175"/>
      <c r="AA3332" s="182"/>
      <c r="AB3332" s="184"/>
    </row>
    <row r="3333" spans="1:28" ht="12.75">
      <c r="A3333" s="173"/>
      <c r="B3333" s="174"/>
      <c r="C3333" s="11"/>
      <c r="D3333" s="175"/>
      <c r="E3333" s="176"/>
      <c r="F3333" s="177"/>
      <c r="G3333" s="178"/>
      <c r="H3333" s="177"/>
      <c r="I3333" s="177"/>
      <c r="J3333" s="179"/>
      <c r="K3333" s="183"/>
      <c r="L3333" s="176"/>
      <c r="M3333" s="177"/>
      <c r="N3333" s="21"/>
      <c r="O3333" s="45"/>
      <c r="P3333" s="24"/>
      <c r="Q3333" s="24"/>
      <c r="R3333" s="180"/>
      <c r="S3333" s="181"/>
      <c r="T3333" s="35"/>
      <c r="U3333" s="35"/>
      <c r="V3333" s="35"/>
      <c r="W3333" s="35"/>
      <c r="X3333" s="35"/>
      <c r="Y3333" s="182"/>
      <c r="Z3333" s="175"/>
      <c r="AA3333" s="182"/>
      <c r="AB3333" s="184"/>
    </row>
    <row r="3334" spans="1:28" ht="12.75">
      <c r="A3334" s="173"/>
      <c r="B3334" s="174"/>
      <c r="C3334" s="11"/>
      <c r="D3334" s="175"/>
      <c r="E3334" s="176"/>
      <c r="F3334" s="177"/>
      <c r="G3334" s="178"/>
      <c r="H3334" s="177"/>
      <c r="I3334" s="177"/>
      <c r="J3334" s="179"/>
      <c r="K3334" s="183"/>
      <c r="L3334" s="176"/>
      <c r="M3334" s="177"/>
      <c r="N3334" s="21"/>
      <c r="O3334" s="45"/>
      <c r="P3334" s="24"/>
      <c r="Q3334" s="24"/>
      <c r="R3334" s="180"/>
      <c r="S3334" s="181"/>
      <c r="T3334" s="35"/>
      <c r="U3334" s="35"/>
      <c r="V3334" s="35"/>
      <c r="W3334" s="35"/>
      <c r="X3334" s="35"/>
      <c r="Y3334" s="182"/>
      <c r="Z3334" s="175"/>
      <c r="AA3334" s="182"/>
      <c r="AB3334" s="184"/>
    </row>
    <row r="3335" spans="1:28" ht="12.75">
      <c r="A3335" s="173"/>
      <c r="B3335" s="174"/>
      <c r="C3335" s="11"/>
      <c r="D3335" s="175"/>
      <c r="E3335" s="176"/>
      <c r="F3335" s="177"/>
      <c r="G3335" s="178"/>
      <c r="H3335" s="177"/>
      <c r="I3335" s="177"/>
      <c r="J3335" s="179"/>
      <c r="K3335" s="183"/>
      <c r="L3335" s="176"/>
      <c r="M3335" s="177"/>
      <c r="N3335" s="21"/>
      <c r="O3335" s="45"/>
      <c r="P3335" s="24"/>
      <c r="Q3335" s="24"/>
      <c r="R3335" s="180"/>
      <c r="S3335" s="181"/>
      <c r="T3335" s="35"/>
      <c r="U3335" s="35"/>
      <c r="V3335" s="35"/>
      <c r="W3335" s="35"/>
      <c r="X3335" s="35"/>
      <c r="Y3335" s="182"/>
      <c r="Z3335" s="175"/>
      <c r="AA3335" s="182"/>
      <c r="AB3335" s="184"/>
    </row>
    <row r="3336" spans="1:28" ht="12.75">
      <c r="A3336" s="173"/>
      <c r="B3336" s="174"/>
      <c r="C3336" s="11"/>
      <c r="D3336" s="175"/>
      <c r="E3336" s="176"/>
      <c r="F3336" s="177"/>
      <c r="G3336" s="178"/>
      <c r="H3336" s="177"/>
      <c r="I3336" s="177"/>
      <c r="J3336" s="179"/>
      <c r="K3336" s="183"/>
      <c r="L3336" s="176"/>
      <c r="M3336" s="177"/>
      <c r="N3336" s="21"/>
      <c r="O3336" s="45"/>
      <c r="P3336" s="24"/>
      <c r="Q3336" s="24"/>
      <c r="R3336" s="180"/>
      <c r="S3336" s="181"/>
      <c r="T3336" s="35"/>
      <c r="U3336" s="35"/>
      <c r="V3336" s="35"/>
      <c r="W3336" s="35"/>
      <c r="X3336" s="35"/>
      <c r="Y3336" s="182"/>
      <c r="Z3336" s="175"/>
      <c r="AA3336" s="182"/>
      <c r="AB3336" s="184"/>
    </row>
    <row r="3337" spans="1:28" ht="12.75">
      <c r="A3337" s="173"/>
      <c r="B3337" s="174"/>
      <c r="C3337" s="11"/>
      <c r="D3337" s="175"/>
      <c r="E3337" s="176"/>
      <c r="F3337" s="177"/>
      <c r="G3337" s="178"/>
      <c r="H3337" s="177"/>
      <c r="I3337" s="177"/>
      <c r="J3337" s="179"/>
      <c r="K3337" s="183"/>
      <c r="L3337" s="176"/>
      <c r="M3337" s="177"/>
      <c r="N3337" s="21"/>
      <c r="O3337" s="45"/>
      <c r="P3337" s="24"/>
      <c r="Q3337" s="24"/>
      <c r="R3337" s="180"/>
      <c r="S3337" s="181"/>
      <c r="T3337" s="35"/>
      <c r="U3337" s="35"/>
      <c r="V3337" s="35"/>
      <c r="W3337" s="35"/>
      <c r="X3337" s="35"/>
      <c r="Y3337" s="182"/>
      <c r="Z3337" s="175"/>
      <c r="AA3337" s="182"/>
      <c r="AB3337" s="184"/>
    </row>
    <row r="3338" spans="1:28" ht="12.75">
      <c r="A3338" s="173"/>
      <c r="B3338" s="174"/>
      <c r="C3338" s="11"/>
      <c r="D3338" s="175"/>
      <c r="E3338" s="176"/>
      <c r="F3338" s="177"/>
      <c r="G3338" s="178"/>
      <c r="H3338" s="177"/>
      <c r="I3338" s="177"/>
      <c r="J3338" s="179"/>
      <c r="K3338" s="183"/>
      <c r="L3338" s="176"/>
      <c r="M3338" s="177"/>
      <c r="N3338" s="21"/>
      <c r="O3338" s="45"/>
      <c r="P3338" s="24"/>
      <c r="Q3338" s="24"/>
      <c r="R3338" s="180"/>
      <c r="S3338" s="181"/>
      <c r="T3338" s="35"/>
      <c r="U3338" s="35"/>
      <c r="V3338" s="35"/>
      <c r="W3338" s="35"/>
      <c r="X3338" s="35"/>
      <c r="Y3338" s="182"/>
      <c r="Z3338" s="175"/>
      <c r="AA3338" s="182"/>
      <c r="AB3338" s="184"/>
    </row>
    <row r="3339" spans="1:28" ht="12.75">
      <c r="A3339" s="173"/>
      <c r="B3339" s="174"/>
      <c r="C3339" s="11"/>
      <c r="D3339" s="175"/>
      <c r="E3339" s="176"/>
      <c r="F3339" s="177"/>
      <c r="G3339" s="178"/>
      <c r="H3339" s="177"/>
      <c r="I3339" s="177"/>
      <c r="J3339" s="179"/>
      <c r="K3339" s="183"/>
      <c r="L3339" s="176"/>
      <c r="M3339" s="177"/>
      <c r="N3339" s="21"/>
      <c r="O3339" s="45"/>
      <c r="P3339" s="24"/>
      <c r="Q3339" s="24"/>
      <c r="R3339" s="180"/>
      <c r="S3339" s="181"/>
      <c r="T3339" s="35"/>
      <c r="U3339" s="35"/>
      <c r="V3339" s="35"/>
      <c r="W3339" s="35"/>
      <c r="X3339" s="35"/>
      <c r="Y3339" s="182"/>
      <c r="Z3339" s="175"/>
      <c r="AA3339" s="182"/>
      <c r="AB3339" s="184"/>
    </row>
    <row r="3340" spans="1:28" ht="12.75">
      <c r="A3340" s="173"/>
      <c r="B3340" s="174"/>
      <c r="C3340" s="11"/>
      <c r="D3340" s="175"/>
      <c r="E3340" s="176"/>
      <c r="F3340" s="177"/>
      <c r="G3340" s="178"/>
      <c r="H3340" s="177"/>
      <c r="I3340" s="177"/>
      <c r="J3340" s="179"/>
      <c r="K3340" s="183"/>
      <c r="L3340" s="176"/>
      <c r="M3340" s="177"/>
      <c r="N3340" s="21"/>
      <c r="O3340" s="45"/>
      <c r="P3340" s="24"/>
      <c r="Q3340" s="24"/>
      <c r="R3340" s="180"/>
      <c r="S3340" s="181"/>
      <c r="T3340" s="35"/>
      <c r="U3340" s="35"/>
      <c r="V3340" s="35"/>
      <c r="W3340" s="35"/>
      <c r="X3340" s="35"/>
      <c r="Y3340" s="182"/>
      <c r="Z3340" s="175"/>
      <c r="AA3340" s="182"/>
      <c r="AB3340" s="184"/>
    </row>
    <row r="3341" spans="1:28" ht="12.75">
      <c r="A3341" s="173"/>
      <c r="B3341" s="174"/>
      <c r="C3341" s="11"/>
      <c r="D3341" s="175"/>
      <c r="E3341" s="176"/>
      <c r="F3341" s="177"/>
      <c r="G3341" s="178"/>
      <c r="H3341" s="177"/>
      <c r="I3341" s="177"/>
      <c r="J3341" s="179"/>
      <c r="K3341" s="183"/>
      <c r="L3341" s="176"/>
      <c r="M3341" s="177"/>
      <c r="N3341" s="21"/>
      <c r="O3341" s="45"/>
      <c r="P3341" s="24"/>
      <c r="Q3341" s="24"/>
      <c r="R3341" s="180"/>
      <c r="S3341" s="181"/>
      <c r="T3341" s="35"/>
      <c r="U3341" s="35"/>
      <c r="V3341" s="35"/>
      <c r="W3341" s="35"/>
      <c r="X3341" s="35"/>
      <c r="Y3341" s="182"/>
      <c r="Z3341" s="175"/>
      <c r="AA3341" s="182"/>
      <c r="AB3341" s="184"/>
    </row>
    <row r="3342" spans="1:28" ht="12.75">
      <c r="A3342" s="173"/>
      <c r="B3342" s="174"/>
      <c r="C3342" s="11"/>
      <c r="D3342" s="175"/>
      <c r="E3342" s="176"/>
      <c r="F3342" s="177"/>
      <c r="G3342" s="178"/>
      <c r="H3342" s="177"/>
      <c r="I3342" s="177"/>
      <c r="J3342" s="179"/>
      <c r="K3342" s="183"/>
      <c r="L3342" s="176"/>
      <c r="M3342" s="177"/>
      <c r="N3342" s="21"/>
      <c r="O3342" s="45"/>
      <c r="P3342" s="24"/>
      <c r="Q3342" s="24"/>
      <c r="R3342" s="180"/>
      <c r="S3342" s="181"/>
      <c r="T3342" s="35"/>
      <c r="U3342" s="35"/>
      <c r="V3342" s="35"/>
      <c r="W3342" s="35"/>
      <c r="X3342" s="35"/>
      <c r="Y3342" s="182"/>
      <c r="Z3342" s="175"/>
      <c r="AA3342" s="182"/>
      <c r="AB3342" s="184"/>
    </row>
    <row r="3343" spans="1:28" ht="12.75">
      <c r="A3343" s="173"/>
      <c r="B3343" s="174"/>
      <c r="C3343" s="11"/>
      <c r="D3343" s="175"/>
      <c r="E3343" s="176"/>
      <c r="F3343" s="177"/>
      <c r="G3343" s="178"/>
      <c r="H3343" s="177"/>
      <c r="I3343" s="177"/>
      <c r="J3343" s="179"/>
      <c r="K3343" s="183"/>
      <c r="L3343" s="176"/>
      <c r="M3343" s="177"/>
      <c r="N3343" s="21"/>
      <c r="O3343" s="45"/>
      <c r="P3343" s="24"/>
      <c r="Q3343" s="24"/>
      <c r="R3343" s="180"/>
      <c r="S3343" s="181"/>
      <c r="T3343" s="35"/>
      <c r="U3343" s="35"/>
      <c r="V3343" s="35"/>
      <c r="W3343" s="35"/>
      <c r="X3343" s="35"/>
      <c r="Y3343" s="182"/>
      <c r="Z3343" s="175"/>
      <c r="AA3343" s="182"/>
      <c r="AB3343" s="184"/>
    </row>
    <row r="3344" spans="1:28" ht="12.75">
      <c r="A3344" s="173"/>
      <c r="B3344" s="174"/>
      <c r="C3344" s="11"/>
      <c r="D3344" s="175"/>
      <c r="E3344" s="176"/>
      <c r="F3344" s="177"/>
      <c r="G3344" s="178"/>
      <c r="H3344" s="177"/>
      <c r="I3344" s="177"/>
      <c r="J3344" s="179"/>
      <c r="K3344" s="183"/>
      <c r="L3344" s="176"/>
      <c r="M3344" s="177"/>
      <c r="N3344" s="21"/>
      <c r="O3344" s="45"/>
      <c r="P3344" s="24"/>
      <c r="Q3344" s="24"/>
      <c r="R3344" s="180"/>
      <c r="S3344" s="181"/>
      <c r="T3344" s="35"/>
      <c r="U3344" s="35"/>
      <c r="V3344" s="35"/>
      <c r="W3344" s="35"/>
      <c r="X3344" s="35"/>
      <c r="Y3344" s="182"/>
      <c r="Z3344" s="175"/>
      <c r="AA3344" s="182"/>
      <c r="AB3344" s="184"/>
    </row>
    <row r="3345" spans="1:28" ht="12.75">
      <c r="A3345" s="173"/>
      <c r="B3345" s="174"/>
      <c r="C3345" s="11"/>
      <c r="D3345" s="175"/>
      <c r="E3345" s="176"/>
      <c r="F3345" s="177"/>
      <c r="G3345" s="178"/>
      <c r="H3345" s="177"/>
      <c r="I3345" s="177"/>
      <c r="J3345" s="179"/>
      <c r="K3345" s="183"/>
      <c r="L3345" s="176"/>
      <c r="M3345" s="177"/>
      <c r="N3345" s="21"/>
      <c r="O3345" s="45"/>
      <c r="P3345" s="24"/>
      <c r="Q3345" s="24"/>
      <c r="R3345" s="180"/>
      <c r="S3345" s="181"/>
      <c r="T3345" s="35"/>
      <c r="U3345" s="35"/>
      <c r="V3345" s="35"/>
      <c r="W3345" s="35"/>
      <c r="X3345" s="35"/>
      <c r="Y3345" s="182"/>
      <c r="Z3345" s="175"/>
      <c r="AA3345" s="182"/>
      <c r="AB3345" s="184"/>
    </row>
    <row r="3346" spans="1:28" ht="12.75">
      <c r="A3346" s="173"/>
      <c r="B3346" s="174"/>
      <c r="C3346" s="11"/>
      <c r="D3346" s="175"/>
      <c r="E3346" s="176"/>
      <c r="F3346" s="177"/>
      <c r="G3346" s="178"/>
      <c r="H3346" s="177"/>
      <c r="I3346" s="177"/>
      <c r="J3346" s="179"/>
      <c r="K3346" s="183"/>
      <c r="L3346" s="176"/>
      <c r="M3346" s="177"/>
      <c r="N3346" s="21"/>
      <c r="O3346" s="45"/>
      <c r="P3346" s="24"/>
      <c r="Q3346" s="24"/>
      <c r="R3346" s="180"/>
      <c r="S3346" s="181"/>
      <c r="T3346" s="35"/>
      <c r="U3346" s="35"/>
      <c r="V3346" s="35"/>
      <c r="W3346" s="35"/>
      <c r="X3346" s="35"/>
      <c r="Y3346" s="182"/>
      <c r="Z3346" s="175"/>
      <c r="AA3346" s="182"/>
      <c r="AB3346" s="184"/>
    </row>
    <row r="3347" spans="1:28" ht="12.75">
      <c r="A3347" s="173"/>
      <c r="B3347" s="174"/>
      <c r="C3347" s="11"/>
      <c r="D3347" s="175"/>
      <c r="E3347" s="176"/>
      <c r="F3347" s="177"/>
      <c r="G3347" s="178"/>
      <c r="H3347" s="177"/>
      <c r="I3347" s="177"/>
      <c r="J3347" s="179"/>
      <c r="K3347" s="183"/>
      <c r="L3347" s="176"/>
      <c r="M3347" s="177"/>
      <c r="N3347" s="21"/>
      <c r="O3347" s="45"/>
      <c r="P3347" s="24"/>
      <c r="Q3347" s="24"/>
      <c r="R3347" s="180"/>
      <c r="S3347" s="181"/>
      <c r="T3347" s="35"/>
      <c r="U3347" s="35"/>
      <c r="V3347" s="35"/>
      <c r="W3347" s="35"/>
      <c r="X3347" s="35"/>
      <c r="Y3347" s="182"/>
      <c r="Z3347" s="175"/>
      <c r="AA3347" s="182"/>
      <c r="AB3347" s="184"/>
    </row>
    <row r="3348" spans="1:28" ht="12.75">
      <c r="A3348" s="173"/>
      <c r="B3348" s="174"/>
      <c r="C3348" s="11"/>
      <c r="D3348" s="175"/>
      <c r="E3348" s="176"/>
      <c r="F3348" s="177"/>
      <c r="G3348" s="178"/>
      <c r="H3348" s="177"/>
      <c r="I3348" s="177"/>
      <c r="J3348" s="179"/>
      <c r="K3348" s="183"/>
      <c r="L3348" s="176"/>
      <c r="M3348" s="177"/>
      <c r="N3348" s="21"/>
      <c r="O3348" s="45"/>
      <c r="P3348" s="24"/>
      <c r="Q3348" s="24"/>
      <c r="R3348" s="180"/>
      <c r="S3348" s="181"/>
      <c r="T3348" s="35"/>
      <c r="U3348" s="35"/>
      <c r="V3348" s="35"/>
      <c r="W3348" s="35"/>
      <c r="X3348" s="35"/>
      <c r="Y3348" s="182"/>
      <c r="Z3348" s="175"/>
      <c r="AA3348" s="182"/>
      <c r="AB3348" s="184"/>
    </row>
    <row r="3349" spans="1:28" ht="12.75">
      <c r="A3349" s="173"/>
      <c r="B3349" s="174"/>
      <c r="C3349" s="11"/>
      <c r="D3349" s="175"/>
      <c r="E3349" s="176"/>
      <c r="F3349" s="177"/>
      <c r="G3349" s="178"/>
      <c r="H3349" s="177"/>
      <c r="I3349" s="177"/>
      <c r="J3349" s="179"/>
      <c r="K3349" s="183"/>
      <c r="L3349" s="176"/>
      <c r="M3349" s="177"/>
      <c r="N3349" s="21"/>
      <c r="O3349" s="45"/>
      <c r="P3349" s="24"/>
      <c r="Q3349" s="24"/>
      <c r="R3349" s="180"/>
      <c r="S3349" s="181"/>
      <c r="T3349" s="35"/>
      <c r="U3349" s="35"/>
      <c r="V3349" s="35"/>
      <c r="W3349" s="35"/>
      <c r="X3349" s="35"/>
      <c r="Y3349" s="182"/>
      <c r="Z3349" s="175"/>
      <c r="AA3349" s="182"/>
      <c r="AB3349" s="184"/>
    </row>
    <row r="3350" spans="1:28" ht="12.75">
      <c r="A3350" s="173"/>
      <c r="B3350" s="174"/>
      <c r="C3350" s="11"/>
      <c r="D3350" s="175"/>
      <c r="E3350" s="176"/>
      <c r="F3350" s="177"/>
      <c r="G3350" s="178"/>
      <c r="H3350" s="177"/>
      <c r="I3350" s="177"/>
      <c r="J3350" s="179"/>
      <c r="K3350" s="183"/>
      <c r="L3350" s="176"/>
      <c r="M3350" s="177"/>
      <c r="N3350" s="21"/>
      <c r="O3350" s="45"/>
      <c r="P3350" s="24"/>
      <c r="Q3350" s="24"/>
      <c r="R3350" s="180"/>
      <c r="S3350" s="181"/>
      <c r="T3350" s="35"/>
      <c r="U3350" s="35"/>
      <c r="V3350" s="35"/>
      <c r="W3350" s="35"/>
      <c r="X3350" s="35"/>
      <c r="Y3350" s="182"/>
      <c r="Z3350" s="175"/>
      <c r="AA3350" s="182"/>
      <c r="AB3350" s="184"/>
    </row>
    <row r="3351" spans="1:28" ht="12.75">
      <c r="A3351" s="173"/>
      <c r="B3351" s="174"/>
      <c r="C3351" s="11"/>
      <c r="D3351" s="175"/>
      <c r="E3351" s="176"/>
      <c r="F3351" s="177"/>
      <c r="G3351" s="178"/>
      <c r="H3351" s="177"/>
      <c r="I3351" s="177"/>
      <c r="J3351" s="179"/>
      <c r="K3351" s="183"/>
      <c r="L3351" s="176"/>
      <c r="M3351" s="177"/>
      <c r="N3351" s="21"/>
      <c r="O3351" s="45"/>
      <c r="P3351" s="24"/>
      <c r="Q3351" s="24"/>
      <c r="R3351" s="180"/>
      <c r="S3351" s="181"/>
      <c r="T3351" s="35"/>
      <c r="U3351" s="35"/>
      <c r="V3351" s="35"/>
      <c r="W3351" s="35"/>
      <c r="X3351" s="35"/>
      <c r="Y3351" s="182"/>
      <c r="Z3351" s="175"/>
      <c r="AA3351" s="182"/>
      <c r="AB3351" s="184"/>
    </row>
    <row r="3352" spans="1:28" ht="12.75">
      <c r="A3352" s="173"/>
      <c r="B3352" s="174"/>
      <c r="C3352" s="11"/>
      <c r="D3352" s="175"/>
      <c r="E3352" s="176"/>
      <c r="F3352" s="177"/>
      <c r="G3352" s="178"/>
      <c r="H3352" s="177"/>
      <c r="I3352" s="177"/>
      <c r="J3352" s="179"/>
      <c r="K3352" s="183"/>
      <c r="L3352" s="176"/>
      <c r="M3352" s="177"/>
      <c r="N3352" s="21"/>
      <c r="O3352" s="45"/>
      <c r="P3352" s="24"/>
      <c r="Q3352" s="24"/>
      <c r="R3352" s="180"/>
      <c r="S3352" s="181"/>
      <c r="T3352" s="35"/>
      <c r="U3352" s="35"/>
      <c r="V3352" s="35"/>
      <c r="W3352" s="35"/>
      <c r="X3352" s="35"/>
      <c r="Y3352" s="182"/>
      <c r="Z3352" s="175"/>
      <c r="AA3352" s="182"/>
      <c r="AB3352" s="184"/>
    </row>
    <row r="3353" spans="1:28" ht="12.75">
      <c r="A3353" s="173"/>
      <c r="B3353" s="174"/>
      <c r="C3353" s="11"/>
      <c r="D3353" s="175"/>
      <c r="E3353" s="176"/>
      <c r="F3353" s="177"/>
      <c r="G3353" s="178"/>
      <c r="H3353" s="177"/>
      <c r="I3353" s="177"/>
      <c r="J3353" s="179"/>
      <c r="K3353" s="183"/>
      <c r="L3353" s="176"/>
      <c r="M3353" s="177"/>
      <c r="N3353" s="21"/>
      <c r="O3353" s="45"/>
      <c r="P3353" s="24"/>
      <c r="Q3353" s="24"/>
      <c r="R3353" s="180"/>
      <c r="S3353" s="181"/>
      <c r="T3353" s="35"/>
      <c r="U3353" s="35"/>
      <c r="V3353" s="35"/>
      <c r="W3353" s="35"/>
      <c r="X3353" s="35"/>
      <c r="Y3353" s="182"/>
      <c r="Z3353" s="175"/>
      <c r="AA3353" s="182"/>
      <c r="AB3353" s="184"/>
    </row>
    <row r="3354" spans="1:28" ht="12.75">
      <c r="A3354" s="173"/>
      <c r="B3354" s="174"/>
      <c r="C3354" s="11"/>
      <c r="D3354" s="175"/>
      <c r="E3354" s="176"/>
      <c r="F3354" s="177"/>
      <c r="G3354" s="178"/>
      <c r="H3354" s="177"/>
      <c r="I3354" s="177"/>
      <c r="J3354" s="179"/>
      <c r="K3354" s="183"/>
      <c r="L3354" s="176"/>
      <c r="M3354" s="177"/>
      <c r="N3354" s="21"/>
      <c r="O3354" s="45"/>
      <c r="P3354" s="24"/>
      <c r="Q3354" s="24"/>
      <c r="R3354" s="180"/>
      <c r="S3354" s="181"/>
      <c r="T3354" s="35"/>
      <c r="U3354" s="35"/>
      <c r="V3354" s="35"/>
      <c r="W3354" s="35"/>
      <c r="X3354" s="35"/>
      <c r="Y3354" s="182"/>
      <c r="Z3354" s="175"/>
      <c r="AA3354" s="182"/>
      <c r="AB3354" s="184"/>
    </row>
    <row r="3355" spans="1:28" ht="12.75">
      <c r="A3355" s="173"/>
      <c r="B3355" s="174"/>
      <c r="C3355" s="11"/>
      <c r="D3355" s="175"/>
      <c r="E3355" s="176"/>
      <c r="F3355" s="177"/>
      <c r="G3355" s="178"/>
      <c r="H3355" s="177"/>
      <c r="I3355" s="177"/>
      <c r="J3355" s="179"/>
      <c r="K3355" s="183"/>
      <c r="L3355" s="176"/>
      <c r="M3355" s="177"/>
      <c r="N3355" s="21"/>
      <c r="O3355" s="45"/>
      <c r="P3355" s="24"/>
      <c r="Q3355" s="24"/>
      <c r="R3355" s="180"/>
      <c r="S3355" s="181"/>
      <c r="T3355" s="35"/>
      <c r="U3355" s="35"/>
      <c r="V3355" s="35"/>
      <c r="W3355" s="35"/>
      <c r="X3355" s="35"/>
      <c r="Y3355" s="182"/>
      <c r="Z3355" s="175"/>
      <c r="AA3355" s="182"/>
      <c r="AB3355" s="184"/>
    </row>
    <row r="3356" spans="1:28" ht="12.75">
      <c r="A3356" s="173"/>
      <c r="B3356" s="174"/>
      <c r="C3356" s="11"/>
      <c r="D3356" s="175"/>
      <c r="E3356" s="176"/>
      <c r="F3356" s="177"/>
      <c r="G3356" s="178"/>
      <c r="H3356" s="177"/>
      <c r="I3356" s="177"/>
      <c r="J3356" s="179"/>
      <c r="K3356" s="183"/>
      <c r="L3356" s="176"/>
      <c r="M3356" s="177"/>
      <c r="N3356" s="21"/>
      <c r="O3356" s="45"/>
      <c r="P3356" s="24"/>
      <c r="Q3356" s="24"/>
      <c r="R3356" s="180"/>
      <c r="S3356" s="181"/>
      <c r="T3356" s="35"/>
      <c r="U3356" s="35"/>
      <c r="V3356" s="35"/>
      <c r="W3356" s="35"/>
      <c r="X3356" s="35"/>
      <c r="Y3356" s="182"/>
      <c r="Z3356" s="175"/>
      <c r="AA3356" s="182"/>
      <c r="AB3356" s="184"/>
    </row>
    <row r="3357" spans="1:28" ht="12.75">
      <c r="A3357" s="173"/>
      <c r="B3357" s="174"/>
      <c r="C3357" s="11"/>
      <c r="D3357" s="175"/>
      <c r="E3357" s="176"/>
      <c r="F3357" s="177"/>
      <c r="G3357" s="178"/>
      <c r="H3357" s="177"/>
      <c r="I3357" s="177"/>
      <c r="J3357" s="179"/>
      <c r="K3357" s="183"/>
      <c r="L3357" s="176"/>
      <c r="M3357" s="177"/>
      <c r="N3357" s="21"/>
      <c r="O3357" s="45"/>
      <c r="P3357" s="24"/>
      <c r="Q3357" s="24"/>
      <c r="R3357" s="180"/>
      <c r="S3357" s="181"/>
      <c r="T3357" s="35"/>
      <c r="U3357" s="35"/>
      <c r="V3357" s="35"/>
      <c r="W3357" s="35"/>
      <c r="X3357" s="35"/>
      <c r="Y3357" s="182"/>
      <c r="Z3357" s="175"/>
      <c r="AA3357" s="182"/>
      <c r="AB3357" s="184"/>
    </row>
    <row r="3358" spans="1:28" ht="12.75">
      <c r="A3358" s="173"/>
      <c r="B3358" s="174"/>
      <c r="C3358" s="11"/>
      <c r="D3358" s="175"/>
      <c r="E3358" s="176"/>
      <c r="F3358" s="177"/>
      <c r="G3358" s="178"/>
      <c r="H3358" s="177"/>
      <c r="I3358" s="177"/>
      <c r="J3358" s="179"/>
      <c r="K3358" s="183"/>
      <c r="L3358" s="176"/>
      <c r="M3358" s="177"/>
      <c r="N3358" s="21"/>
      <c r="O3358" s="45"/>
      <c r="P3358" s="24"/>
      <c r="Q3358" s="24"/>
      <c r="R3358" s="180"/>
      <c r="S3358" s="181"/>
      <c r="T3358" s="35"/>
      <c r="U3358" s="35"/>
      <c r="V3358" s="35"/>
      <c r="W3358" s="35"/>
      <c r="X3358" s="35"/>
      <c r="Y3358" s="182"/>
      <c r="Z3358" s="175"/>
      <c r="AA3358" s="182"/>
      <c r="AB3358" s="184"/>
    </row>
    <row r="3359" spans="1:28" ht="12.75">
      <c r="A3359" s="173"/>
      <c r="B3359" s="174"/>
      <c r="C3359" s="11"/>
      <c r="D3359" s="175"/>
      <c r="E3359" s="176"/>
      <c r="F3359" s="177"/>
      <c r="G3359" s="178"/>
      <c r="H3359" s="177"/>
      <c r="I3359" s="177"/>
      <c r="J3359" s="179"/>
      <c r="K3359" s="183"/>
      <c r="L3359" s="176"/>
      <c r="M3359" s="177"/>
      <c r="N3359" s="21"/>
      <c r="O3359" s="45"/>
      <c r="P3359" s="24"/>
      <c r="Q3359" s="24"/>
      <c r="R3359" s="180"/>
      <c r="S3359" s="181"/>
      <c r="T3359" s="35"/>
      <c r="U3359" s="35"/>
      <c r="V3359" s="35"/>
      <c r="W3359" s="35"/>
      <c r="X3359" s="35"/>
      <c r="Y3359" s="182"/>
      <c r="Z3359" s="175"/>
      <c r="AA3359" s="182"/>
      <c r="AB3359" s="184"/>
    </row>
    <row r="3360" spans="1:28" ht="12.75">
      <c r="A3360" s="173"/>
      <c r="B3360" s="174"/>
      <c r="C3360" s="11"/>
      <c r="D3360" s="175"/>
      <c r="E3360" s="176"/>
      <c r="F3360" s="177"/>
      <c r="G3360" s="178"/>
      <c r="H3360" s="177"/>
      <c r="I3360" s="177"/>
      <c r="J3360" s="179"/>
      <c r="K3360" s="183"/>
      <c r="L3360" s="176"/>
      <c r="M3360" s="177"/>
      <c r="N3360" s="21"/>
      <c r="O3360" s="45"/>
      <c r="P3360" s="24"/>
      <c r="Q3360" s="24"/>
      <c r="R3360" s="180"/>
      <c r="S3360" s="181"/>
      <c r="T3360" s="35"/>
      <c r="U3360" s="35"/>
      <c r="V3360" s="35"/>
      <c r="W3360" s="35"/>
      <c r="X3360" s="35"/>
      <c r="Y3360" s="182"/>
      <c r="Z3360" s="175"/>
      <c r="AA3360" s="182"/>
      <c r="AB3360" s="184"/>
    </row>
    <row r="3361" spans="1:28" ht="12.75">
      <c r="A3361" s="173"/>
      <c r="B3361" s="174"/>
      <c r="C3361" s="11"/>
      <c r="D3361" s="175"/>
      <c r="E3361" s="176"/>
      <c r="F3361" s="177"/>
      <c r="G3361" s="178"/>
      <c r="H3361" s="177"/>
      <c r="I3361" s="177"/>
      <c r="J3361" s="179"/>
      <c r="K3361" s="183"/>
      <c r="L3361" s="176"/>
      <c r="M3361" s="177"/>
      <c r="N3361" s="21"/>
      <c r="O3361" s="45"/>
      <c r="P3361" s="24"/>
      <c r="Q3361" s="24"/>
      <c r="R3361" s="180"/>
      <c r="S3361" s="181"/>
      <c r="T3361" s="35"/>
      <c r="U3361" s="35"/>
      <c r="V3361" s="35"/>
      <c r="W3361" s="35"/>
      <c r="X3361" s="35"/>
      <c r="Y3361" s="182"/>
      <c r="Z3361" s="175"/>
      <c r="AA3361" s="182"/>
      <c r="AB3361" s="184"/>
    </row>
    <row r="3362" spans="1:28" ht="12.75">
      <c r="A3362" s="173"/>
      <c r="B3362" s="174"/>
      <c r="C3362" s="11"/>
      <c r="D3362" s="175"/>
      <c r="E3362" s="176"/>
      <c r="F3362" s="177"/>
      <c r="G3362" s="178"/>
      <c r="H3362" s="177"/>
      <c r="I3362" s="177"/>
      <c r="J3362" s="179"/>
      <c r="K3362" s="183"/>
      <c r="L3362" s="176"/>
      <c r="M3362" s="177"/>
      <c r="N3362" s="21"/>
      <c r="O3362" s="45"/>
      <c r="P3362" s="24"/>
      <c r="Q3362" s="24"/>
      <c r="R3362" s="180"/>
      <c r="S3362" s="181"/>
      <c r="T3362" s="35"/>
      <c r="U3362" s="35"/>
      <c r="V3362" s="35"/>
      <c r="W3362" s="35"/>
      <c r="X3362" s="35"/>
      <c r="Y3362" s="182"/>
      <c r="Z3362" s="175"/>
      <c r="AA3362" s="182"/>
      <c r="AB3362" s="184"/>
    </row>
    <row r="3363" spans="1:28" ht="12.75">
      <c r="A3363" s="173"/>
      <c r="B3363" s="174"/>
      <c r="C3363" s="11"/>
      <c r="D3363" s="175"/>
      <c r="E3363" s="176"/>
      <c r="F3363" s="177"/>
      <c r="G3363" s="178"/>
      <c r="H3363" s="177"/>
      <c r="I3363" s="177"/>
      <c r="J3363" s="179"/>
      <c r="K3363" s="183"/>
      <c r="L3363" s="176"/>
      <c r="M3363" s="177"/>
      <c r="N3363" s="21"/>
      <c r="O3363" s="45"/>
      <c r="P3363" s="24"/>
      <c r="Q3363" s="24"/>
      <c r="R3363" s="180"/>
      <c r="S3363" s="181"/>
      <c r="T3363" s="35"/>
      <c r="U3363" s="35"/>
      <c r="V3363" s="35"/>
      <c r="W3363" s="35"/>
      <c r="X3363" s="35"/>
      <c r="Y3363" s="182"/>
      <c r="Z3363" s="175"/>
      <c r="AA3363" s="182"/>
      <c r="AB3363" s="184"/>
    </row>
    <row r="3364" spans="1:28" ht="12.75">
      <c r="A3364" s="173"/>
      <c r="B3364" s="174"/>
      <c r="C3364" s="11"/>
      <c r="D3364" s="175"/>
      <c r="E3364" s="176"/>
      <c r="F3364" s="177"/>
      <c r="G3364" s="178"/>
      <c r="H3364" s="177"/>
      <c r="I3364" s="177"/>
      <c r="J3364" s="179"/>
      <c r="K3364" s="183"/>
      <c r="L3364" s="176"/>
      <c r="M3364" s="177"/>
      <c r="N3364" s="21"/>
      <c r="O3364" s="45"/>
      <c r="P3364" s="24"/>
      <c r="Q3364" s="24"/>
      <c r="R3364" s="180"/>
      <c r="S3364" s="181"/>
      <c r="T3364" s="35"/>
      <c r="U3364" s="35"/>
      <c r="V3364" s="35"/>
      <c r="W3364" s="35"/>
      <c r="X3364" s="35"/>
      <c r="Y3364" s="182"/>
      <c r="Z3364" s="175"/>
      <c r="AA3364" s="182"/>
      <c r="AB3364" s="184"/>
    </row>
    <row r="3365" spans="1:28" ht="12.75">
      <c r="A3365" s="173"/>
      <c r="B3365" s="174"/>
      <c r="C3365" s="11"/>
      <c r="D3365" s="175"/>
      <c r="E3365" s="176"/>
      <c r="F3365" s="177"/>
      <c r="G3365" s="178"/>
      <c r="H3365" s="177"/>
      <c r="I3365" s="177"/>
      <c r="J3365" s="179"/>
      <c r="K3365" s="183"/>
      <c r="L3365" s="176"/>
      <c r="M3365" s="177"/>
      <c r="N3365" s="21"/>
      <c r="O3365" s="45"/>
      <c r="P3365" s="24"/>
      <c r="Q3365" s="24"/>
      <c r="R3365" s="180"/>
      <c r="S3365" s="181"/>
      <c r="T3365" s="35"/>
      <c r="U3365" s="35"/>
      <c r="V3365" s="35"/>
      <c r="W3365" s="35"/>
      <c r="X3365" s="35"/>
      <c r="Y3365" s="182"/>
      <c r="Z3365" s="175"/>
      <c r="AA3365" s="182"/>
      <c r="AB3365" s="184"/>
    </row>
    <row r="3366" spans="1:28" ht="12.75">
      <c r="A3366" s="173"/>
      <c r="B3366" s="174"/>
      <c r="C3366" s="11"/>
      <c r="D3366" s="175"/>
      <c r="E3366" s="176"/>
      <c r="F3366" s="177"/>
      <c r="G3366" s="178"/>
      <c r="H3366" s="177"/>
      <c r="I3366" s="177"/>
      <c r="J3366" s="179"/>
      <c r="K3366" s="183"/>
      <c r="L3366" s="176"/>
      <c r="M3366" s="177"/>
      <c r="N3366" s="21"/>
      <c r="O3366" s="45"/>
      <c r="P3366" s="24"/>
      <c r="Q3366" s="24"/>
      <c r="R3366" s="180"/>
      <c r="S3366" s="181"/>
      <c r="T3366" s="35"/>
      <c r="U3366" s="35"/>
      <c r="V3366" s="35"/>
      <c r="W3366" s="35"/>
      <c r="X3366" s="35"/>
      <c r="Y3366" s="182"/>
      <c r="Z3366" s="175"/>
      <c r="AA3366" s="182"/>
      <c r="AB3366" s="184"/>
    </row>
    <row r="3367" spans="1:28" ht="12.75">
      <c r="A3367" s="173"/>
      <c r="B3367" s="174"/>
      <c r="C3367" s="11"/>
      <c r="D3367" s="175"/>
      <c r="E3367" s="176"/>
      <c r="F3367" s="177"/>
      <c r="G3367" s="178"/>
      <c r="H3367" s="177"/>
      <c r="I3367" s="177"/>
      <c r="J3367" s="179"/>
      <c r="K3367" s="183"/>
      <c r="L3367" s="176"/>
      <c r="M3367" s="177"/>
      <c r="N3367" s="21"/>
      <c r="O3367" s="45"/>
      <c r="P3367" s="24"/>
      <c r="Q3367" s="24"/>
      <c r="R3367" s="180"/>
      <c r="S3367" s="181"/>
      <c r="T3367" s="35"/>
      <c r="U3367" s="35"/>
      <c r="V3367" s="35"/>
      <c r="W3367" s="35"/>
      <c r="X3367" s="35"/>
      <c r="Y3367" s="182"/>
      <c r="Z3367" s="175"/>
      <c r="AA3367" s="182"/>
      <c r="AB3367" s="184"/>
    </row>
    <row r="3368" spans="1:28" ht="12.75">
      <c r="A3368" s="173"/>
      <c r="B3368" s="174"/>
      <c r="C3368" s="11"/>
      <c r="D3368" s="175"/>
      <c r="E3368" s="176"/>
      <c r="F3368" s="177"/>
      <c r="G3368" s="178"/>
      <c r="H3368" s="177"/>
      <c r="I3368" s="177"/>
      <c r="J3368" s="179"/>
      <c r="K3368" s="183"/>
      <c r="L3368" s="176"/>
      <c r="M3368" s="177"/>
      <c r="N3368" s="21"/>
      <c r="O3368" s="45"/>
      <c r="P3368" s="24"/>
      <c r="Q3368" s="24"/>
      <c r="R3368" s="180"/>
      <c r="S3368" s="181"/>
      <c r="T3368" s="35"/>
      <c r="U3368" s="35"/>
      <c r="V3368" s="35"/>
      <c r="W3368" s="35"/>
      <c r="X3368" s="35"/>
      <c r="Y3368" s="182"/>
      <c r="Z3368" s="175"/>
      <c r="AA3368" s="182"/>
      <c r="AB3368" s="184"/>
    </row>
    <row r="3369" spans="1:28" ht="12.75">
      <c r="A3369" s="173"/>
      <c r="B3369" s="174"/>
      <c r="C3369" s="11"/>
      <c r="D3369" s="175"/>
      <c r="E3369" s="176"/>
      <c r="F3369" s="177"/>
      <c r="G3369" s="178"/>
      <c r="H3369" s="177"/>
      <c r="I3369" s="177"/>
      <c r="J3369" s="179"/>
      <c r="K3369" s="183"/>
      <c r="L3369" s="176"/>
      <c r="M3369" s="177"/>
      <c r="N3369" s="21"/>
      <c r="O3369" s="45"/>
      <c r="P3369" s="24"/>
      <c r="Q3369" s="24"/>
      <c r="R3369" s="180"/>
      <c r="S3369" s="181"/>
      <c r="T3369" s="35"/>
      <c r="U3369" s="35"/>
      <c r="V3369" s="35"/>
      <c r="W3369" s="35"/>
      <c r="X3369" s="35"/>
      <c r="Y3369" s="182"/>
      <c r="Z3369" s="175"/>
      <c r="AA3369" s="182"/>
      <c r="AB3369" s="184"/>
    </row>
    <row r="3370" spans="1:28" ht="12.75">
      <c r="A3370" s="173"/>
      <c r="B3370" s="174"/>
      <c r="C3370" s="11"/>
      <c r="D3370" s="175"/>
      <c r="E3370" s="176"/>
      <c r="F3370" s="177"/>
      <c r="G3370" s="178"/>
      <c r="H3370" s="177"/>
      <c r="I3370" s="177"/>
      <c r="J3370" s="179"/>
      <c r="K3370" s="183"/>
      <c r="L3370" s="176"/>
      <c r="M3370" s="177"/>
      <c r="N3370" s="21"/>
      <c r="O3370" s="45"/>
      <c r="P3370" s="24"/>
      <c r="Q3370" s="24"/>
      <c r="R3370" s="180"/>
      <c r="S3370" s="181"/>
      <c r="T3370" s="35"/>
      <c r="U3370" s="35"/>
      <c r="V3370" s="35"/>
      <c r="W3370" s="35"/>
      <c r="X3370" s="35"/>
      <c r="Y3370" s="182"/>
      <c r="Z3370" s="175"/>
      <c r="AA3370" s="182"/>
      <c r="AB3370" s="184"/>
    </row>
    <row r="3371" spans="1:28" ht="12.75">
      <c r="A3371" s="173"/>
      <c r="B3371" s="174"/>
      <c r="C3371" s="11"/>
      <c r="D3371" s="175"/>
      <c r="E3371" s="176"/>
      <c r="F3371" s="177"/>
      <c r="G3371" s="178"/>
      <c r="H3371" s="177"/>
      <c r="I3371" s="177"/>
      <c r="J3371" s="179"/>
      <c r="K3371" s="183"/>
      <c r="L3371" s="176"/>
      <c r="M3371" s="177"/>
      <c r="N3371" s="21"/>
      <c r="O3371" s="45"/>
      <c r="P3371" s="24"/>
      <c r="Q3371" s="24"/>
      <c r="R3371" s="180"/>
      <c r="S3371" s="181"/>
      <c r="T3371" s="35"/>
      <c r="U3371" s="35"/>
      <c r="V3371" s="35"/>
      <c r="W3371" s="35"/>
      <c r="X3371" s="35"/>
      <c r="Y3371" s="182"/>
      <c r="Z3371" s="175"/>
      <c r="AA3371" s="182"/>
      <c r="AB3371" s="184"/>
    </row>
    <row r="3372" spans="1:28" ht="12.75">
      <c r="A3372" s="173"/>
      <c r="B3372" s="174"/>
      <c r="C3372" s="11"/>
      <c r="D3372" s="175"/>
      <c r="E3372" s="176"/>
      <c r="F3372" s="177"/>
      <c r="G3372" s="178"/>
      <c r="H3372" s="177"/>
      <c r="I3372" s="177"/>
      <c r="J3372" s="179"/>
      <c r="K3372" s="183"/>
      <c r="L3372" s="176"/>
      <c r="M3372" s="177"/>
      <c r="N3372" s="21"/>
      <c r="O3372" s="45"/>
      <c r="P3372" s="24"/>
      <c r="Q3372" s="24"/>
      <c r="R3372" s="180"/>
      <c r="S3372" s="181"/>
      <c r="T3372" s="35"/>
      <c r="U3372" s="35"/>
      <c r="V3372" s="35"/>
      <c r="W3372" s="35"/>
      <c r="X3372" s="35"/>
      <c r="Y3372" s="182"/>
      <c r="Z3372" s="175"/>
      <c r="AA3372" s="182"/>
      <c r="AB3372" s="184"/>
    </row>
    <row r="3373" spans="1:28" ht="12.75">
      <c r="A3373" s="173"/>
      <c r="B3373" s="174"/>
      <c r="C3373" s="11"/>
      <c r="D3373" s="175"/>
      <c r="E3373" s="176"/>
      <c r="F3373" s="177"/>
      <c r="G3373" s="178"/>
      <c r="H3373" s="177"/>
      <c r="I3373" s="177"/>
      <c r="J3373" s="179"/>
      <c r="K3373" s="183"/>
      <c r="L3373" s="176"/>
      <c r="M3373" s="177"/>
      <c r="N3373" s="21"/>
      <c r="O3373" s="45"/>
      <c r="P3373" s="24"/>
      <c r="Q3373" s="24"/>
      <c r="R3373" s="180"/>
      <c r="S3373" s="181"/>
      <c r="T3373" s="35"/>
      <c r="U3373" s="35"/>
      <c r="V3373" s="35"/>
      <c r="W3373" s="35"/>
      <c r="X3373" s="35"/>
      <c r="Y3373" s="182"/>
      <c r="Z3373" s="175"/>
      <c r="AA3373" s="182"/>
      <c r="AB3373" s="184"/>
    </row>
    <row r="3374" spans="1:28" ht="12.75">
      <c r="A3374" s="173"/>
      <c r="B3374" s="174"/>
      <c r="C3374" s="11"/>
      <c r="D3374" s="175"/>
      <c r="E3374" s="176"/>
      <c r="F3374" s="177"/>
      <c r="G3374" s="178"/>
      <c r="H3374" s="177"/>
      <c r="I3374" s="177"/>
      <c r="J3374" s="179"/>
      <c r="K3374" s="183"/>
      <c r="L3374" s="176"/>
      <c r="M3374" s="177"/>
      <c r="N3374" s="21"/>
      <c r="O3374" s="45"/>
      <c r="P3374" s="24"/>
      <c r="Q3374" s="24"/>
      <c r="R3374" s="180"/>
      <c r="S3374" s="181"/>
      <c r="T3374" s="35"/>
      <c r="U3374" s="35"/>
      <c r="V3374" s="35"/>
      <c r="W3374" s="35"/>
      <c r="X3374" s="35"/>
      <c r="Y3374" s="182"/>
      <c r="Z3374" s="175"/>
      <c r="AA3374" s="182"/>
      <c r="AB3374" s="184"/>
    </row>
    <row r="3375" spans="1:28" ht="12.75">
      <c r="A3375" s="173"/>
      <c r="B3375" s="174"/>
      <c r="C3375" s="11"/>
      <c r="D3375" s="175"/>
      <c r="E3375" s="176"/>
      <c r="F3375" s="177"/>
      <c r="G3375" s="178"/>
      <c r="H3375" s="177"/>
      <c r="I3375" s="177"/>
      <c r="J3375" s="179"/>
      <c r="K3375" s="183"/>
      <c r="L3375" s="176"/>
      <c r="M3375" s="177"/>
      <c r="N3375" s="21"/>
      <c r="O3375" s="45"/>
      <c r="P3375" s="24"/>
      <c r="Q3375" s="24"/>
      <c r="R3375" s="180"/>
      <c r="S3375" s="181"/>
      <c r="T3375" s="35"/>
      <c r="U3375" s="35"/>
      <c r="V3375" s="35"/>
      <c r="W3375" s="35"/>
      <c r="X3375" s="35"/>
      <c r="Y3375" s="182"/>
      <c r="Z3375" s="175"/>
      <c r="AA3375" s="182"/>
      <c r="AB3375" s="184"/>
    </row>
    <row r="3376" spans="1:28" ht="12.75">
      <c r="A3376" s="173"/>
      <c r="B3376" s="174"/>
      <c r="C3376" s="11"/>
      <c r="D3376" s="175"/>
      <c r="E3376" s="176"/>
      <c r="F3376" s="177"/>
      <c r="G3376" s="178"/>
      <c r="H3376" s="177"/>
      <c r="I3376" s="177"/>
      <c r="J3376" s="179"/>
      <c r="K3376" s="183"/>
      <c r="L3376" s="176"/>
      <c r="M3376" s="177"/>
      <c r="N3376" s="21"/>
      <c r="O3376" s="45"/>
      <c r="P3376" s="24"/>
      <c r="Q3376" s="24"/>
      <c r="R3376" s="180"/>
      <c r="S3376" s="181"/>
      <c r="T3376" s="35"/>
      <c r="U3376" s="35"/>
      <c r="V3376" s="35"/>
      <c r="W3376" s="35"/>
      <c r="X3376" s="35"/>
      <c r="Y3376" s="182"/>
      <c r="Z3376" s="175"/>
      <c r="AA3376" s="182"/>
      <c r="AB3376" s="184"/>
    </row>
    <row r="3377" spans="1:28" ht="12.75">
      <c r="A3377" s="173"/>
      <c r="B3377" s="174"/>
      <c r="C3377" s="11"/>
      <c r="D3377" s="175"/>
      <c r="E3377" s="176"/>
      <c r="F3377" s="177"/>
      <c r="G3377" s="178"/>
      <c r="H3377" s="177"/>
      <c r="I3377" s="177"/>
      <c r="J3377" s="179"/>
      <c r="K3377" s="183"/>
      <c r="L3377" s="176"/>
      <c r="M3377" s="177"/>
      <c r="N3377" s="21"/>
      <c r="O3377" s="45"/>
      <c r="P3377" s="24"/>
      <c r="Q3377" s="24"/>
      <c r="R3377" s="180"/>
      <c r="S3377" s="181"/>
      <c r="T3377" s="35"/>
      <c r="U3377" s="35"/>
      <c r="V3377" s="35"/>
      <c r="W3377" s="35"/>
      <c r="X3377" s="35"/>
      <c r="Y3377" s="182"/>
      <c r="Z3377" s="175"/>
      <c r="AA3377" s="182"/>
      <c r="AB3377" s="184"/>
    </row>
    <row r="3378" spans="1:28" ht="12.75">
      <c r="A3378" s="173"/>
      <c r="B3378" s="174"/>
      <c r="C3378" s="11"/>
      <c r="D3378" s="175"/>
      <c r="E3378" s="176"/>
      <c r="F3378" s="177"/>
      <c r="G3378" s="178"/>
      <c r="H3378" s="177"/>
      <c r="I3378" s="177"/>
      <c r="J3378" s="179"/>
      <c r="K3378" s="183"/>
      <c r="L3378" s="176"/>
      <c r="M3378" s="177"/>
      <c r="N3378" s="21"/>
      <c r="O3378" s="45"/>
      <c r="P3378" s="24"/>
      <c r="Q3378" s="24"/>
      <c r="R3378" s="180"/>
      <c r="S3378" s="181"/>
      <c r="T3378" s="35"/>
      <c r="U3378" s="35"/>
      <c r="V3378" s="35"/>
      <c r="W3378" s="35"/>
      <c r="X3378" s="35"/>
      <c r="Y3378" s="182"/>
      <c r="Z3378" s="175"/>
      <c r="AA3378" s="182"/>
      <c r="AB3378" s="184"/>
    </row>
    <row r="3379" spans="1:28" ht="12.75">
      <c r="A3379" s="173"/>
      <c r="B3379" s="174"/>
      <c r="C3379" s="11"/>
      <c r="D3379" s="175"/>
      <c r="E3379" s="176"/>
      <c r="F3379" s="177"/>
      <c r="G3379" s="178"/>
      <c r="H3379" s="177"/>
      <c r="I3379" s="177"/>
      <c r="J3379" s="179"/>
      <c r="K3379" s="183"/>
      <c r="L3379" s="176"/>
      <c r="M3379" s="177"/>
      <c r="N3379" s="21"/>
      <c r="O3379" s="45"/>
      <c r="P3379" s="24"/>
      <c r="Q3379" s="24"/>
      <c r="R3379" s="180"/>
      <c r="S3379" s="181"/>
      <c r="T3379" s="35"/>
      <c r="U3379" s="35"/>
      <c r="V3379" s="35"/>
      <c r="W3379" s="35"/>
      <c r="X3379" s="35"/>
      <c r="Y3379" s="182"/>
      <c r="Z3379" s="175"/>
      <c r="AA3379" s="182"/>
      <c r="AB3379" s="184"/>
    </row>
    <row r="3380" spans="1:28" ht="12.75">
      <c r="A3380" s="173"/>
      <c r="B3380" s="174"/>
      <c r="C3380" s="11"/>
      <c r="D3380" s="175"/>
      <c r="E3380" s="176"/>
      <c r="F3380" s="177"/>
      <c r="G3380" s="178"/>
      <c r="H3380" s="177"/>
      <c r="I3380" s="177"/>
      <c r="J3380" s="179"/>
      <c r="K3380" s="183"/>
      <c r="L3380" s="176"/>
      <c r="M3380" s="177"/>
      <c r="N3380" s="21"/>
      <c r="O3380" s="45"/>
      <c r="P3380" s="24"/>
      <c r="Q3380" s="24"/>
      <c r="R3380" s="180"/>
      <c r="S3380" s="181"/>
      <c r="T3380" s="35"/>
      <c r="U3380" s="35"/>
      <c r="V3380" s="35"/>
      <c r="W3380" s="35"/>
      <c r="X3380" s="35"/>
      <c r="Y3380" s="182"/>
      <c r="Z3380" s="175"/>
      <c r="AA3380" s="182"/>
      <c r="AB3380" s="184"/>
    </row>
    <row r="3381" spans="1:28" ht="12.75">
      <c r="A3381" s="173"/>
      <c r="B3381" s="174"/>
      <c r="C3381" s="11"/>
      <c r="D3381" s="175"/>
      <c r="E3381" s="176"/>
      <c r="F3381" s="177"/>
      <c r="G3381" s="178"/>
      <c r="H3381" s="177"/>
      <c r="I3381" s="177"/>
      <c r="J3381" s="179"/>
      <c r="K3381" s="183"/>
      <c r="L3381" s="176"/>
      <c r="M3381" s="177"/>
      <c r="N3381" s="21"/>
      <c r="O3381" s="45"/>
      <c r="P3381" s="24"/>
      <c r="Q3381" s="24"/>
      <c r="R3381" s="180"/>
      <c r="S3381" s="181"/>
      <c r="T3381" s="35"/>
      <c r="U3381" s="35"/>
      <c r="V3381" s="35"/>
      <c r="W3381" s="35"/>
      <c r="X3381" s="35"/>
      <c r="Y3381" s="182"/>
      <c r="Z3381" s="175"/>
      <c r="AA3381" s="182"/>
      <c r="AB3381" s="184"/>
    </row>
    <row r="3382" spans="1:28" ht="12.75">
      <c r="A3382" s="173"/>
      <c r="B3382" s="174"/>
      <c r="C3382" s="11"/>
      <c r="D3382" s="175"/>
      <c r="E3382" s="176"/>
      <c r="F3382" s="177"/>
      <c r="G3382" s="178"/>
      <c r="H3382" s="177"/>
      <c r="I3382" s="177"/>
      <c r="J3382" s="179"/>
      <c r="K3382" s="183"/>
      <c r="L3382" s="176"/>
      <c r="M3382" s="177"/>
      <c r="N3382" s="21"/>
      <c r="O3382" s="45"/>
      <c r="P3382" s="24"/>
      <c r="Q3382" s="24"/>
      <c r="R3382" s="180"/>
      <c r="S3382" s="181"/>
      <c r="T3382" s="35"/>
      <c r="U3382" s="35"/>
      <c r="V3382" s="35"/>
      <c r="W3382" s="35"/>
      <c r="X3382" s="35"/>
      <c r="Y3382" s="182"/>
      <c r="Z3382" s="175"/>
      <c r="AA3382" s="182"/>
      <c r="AB3382" s="184"/>
    </row>
    <row r="3383" spans="1:28" ht="12.75">
      <c r="A3383" s="173"/>
      <c r="B3383" s="174"/>
      <c r="C3383" s="11"/>
      <c r="D3383" s="175"/>
      <c r="E3383" s="176"/>
      <c r="F3383" s="177"/>
      <c r="G3383" s="178"/>
      <c r="H3383" s="177"/>
      <c r="I3383" s="177"/>
      <c r="J3383" s="179"/>
      <c r="K3383" s="183"/>
      <c r="L3383" s="176"/>
      <c r="M3383" s="177"/>
      <c r="N3383" s="21"/>
      <c r="O3383" s="45"/>
      <c r="P3383" s="24"/>
      <c r="Q3383" s="24"/>
      <c r="R3383" s="180"/>
      <c r="S3383" s="181"/>
      <c r="T3383" s="35"/>
      <c r="U3383" s="35"/>
      <c r="V3383" s="35"/>
      <c r="W3383" s="35"/>
      <c r="X3383" s="35"/>
      <c r="Y3383" s="182"/>
      <c r="Z3383" s="175"/>
      <c r="AA3383" s="182"/>
      <c r="AB3383" s="184"/>
    </row>
    <row r="3384" spans="1:28" ht="12.75">
      <c r="A3384" s="173"/>
      <c r="B3384" s="174"/>
      <c r="C3384" s="11"/>
      <c r="D3384" s="175"/>
      <c r="E3384" s="176"/>
      <c r="F3384" s="177"/>
      <c r="G3384" s="178"/>
      <c r="H3384" s="177"/>
      <c r="I3384" s="177"/>
      <c r="J3384" s="179"/>
      <c r="K3384" s="183"/>
      <c r="L3384" s="176"/>
      <c r="M3384" s="177"/>
      <c r="N3384" s="21"/>
      <c r="O3384" s="45"/>
      <c r="P3384" s="24"/>
      <c r="Q3384" s="24"/>
      <c r="R3384" s="180"/>
      <c r="S3384" s="181"/>
      <c r="T3384" s="35"/>
      <c r="U3384" s="35"/>
      <c r="V3384" s="35"/>
      <c r="W3384" s="35"/>
      <c r="X3384" s="35"/>
      <c r="Y3384" s="182"/>
      <c r="Z3384" s="175"/>
      <c r="AA3384" s="182"/>
      <c r="AB3384" s="184"/>
    </row>
    <row r="3385" spans="1:28" ht="12.75">
      <c r="A3385" s="173"/>
      <c r="B3385" s="174"/>
      <c r="C3385" s="11"/>
      <c r="D3385" s="175"/>
      <c r="E3385" s="176"/>
      <c r="F3385" s="177"/>
      <c r="G3385" s="178"/>
      <c r="H3385" s="177"/>
      <c r="I3385" s="177"/>
      <c r="J3385" s="179"/>
      <c r="K3385" s="183"/>
      <c r="L3385" s="176"/>
      <c r="M3385" s="177"/>
      <c r="N3385" s="21"/>
      <c r="O3385" s="45"/>
      <c r="P3385" s="24"/>
      <c r="Q3385" s="24"/>
      <c r="R3385" s="180"/>
      <c r="S3385" s="181"/>
      <c r="T3385" s="35"/>
      <c r="U3385" s="35"/>
      <c r="V3385" s="35"/>
      <c r="W3385" s="35"/>
      <c r="X3385" s="35"/>
      <c r="Y3385" s="182"/>
      <c r="Z3385" s="175"/>
      <c r="AA3385" s="182"/>
      <c r="AB3385" s="184"/>
    </row>
    <row r="3386" spans="1:28" ht="12.75">
      <c r="A3386" s="173"/>
      <c r="B3386" s="174"/>
      <c r="C3386" s="11"/>
      <c r="D3386" s="175"/>
      <c r="E3386" s="176"/>
      <c r="F3386" s="177"/>
      <c r="G3386" s="178"/>
      <c r="H3386" s="177"/>
      <c r="I3386" s="177"/>
      <c r="J3386" s="179"/>
      <c r="K3386" s="183"/>
      <c r="L3386" s="176"/>
      <c r="M3386" s="177"/>
      <c r="N3386" s="21"/>
      <c r="O3386" s="45"/>
      <c r="P3386" s="24"/>
      <c r="Q3386" s="24"/>
      <c r="R3386" s="180"/>
      <c r="S3386" s="181"/>
      <c r="T3386" s="35"/>
      <c r="U3386" s="35"/>
      <c r="V3386" s="35"/>
      <c r="W3386" s="35"/>
      <c r="X3386" s="35"/>
      <c r="Y3386" s="182"/>
      <c r="Z3386" s="175"/>
      <c r="AA3386" s="182"/>
      <c r="AB3386" s="184"/>
    </row>
    <row r="3387" spans="1:28" ht="12.75">
      <c r="A3387" s="173"/>
      <c r="B3387" s="174"/>
      <c r="C3387" s="11"/>
      <c r="D3387" s="175"/>
      <c r="E3387" s="176"/>
      <c r="F3387" s="177"/>
      <c r="G3387" s="178"/>
      <c r="H3387" s="177"/>
      <c r="I3387" s="177"/>
      <c r="J3387" s="179"/>
      <c r="K3387" s="183"/>
      <c r="L3387" s="176"/>
      <c r="M3387" s="177"/>
      <c r="N3387" s="21"/>
      <c r="O3387" s="45"/>
      <c r="P3387" s="24"/>
      <c r="Q3387" s="24"/>
      <c r="R3387" s="180"/>
      <c r="S3387" s="181"/>
      <c r="T3387" s="35"/>
      <c r="U3387" s="35"/>
      <c r="V3387" s="35"/>
      <c r="W3387" s="35"/>
      <c r="X3387" s="35"/>
      <c r="Y3387" s="182"/>
      <c r="Z3387" s="175"/>
      <c r="AA3387" s="182"/>
      <c r="AB3387" s="184"/>
    </row>
    <row r="3388" spans="1:28" ht="12.75">
      <c r="A3388" s="173"/>
      <c r="B3388" s="174"/>
      <c r="C3388" s="11"/>
      <c r="D3388" s="175"/>
      <c r="E3388" s="176"/>
      <c r="F3388" s="177"/>
      <c r="G3388" s="178"/>
      <c r="H3388" s="177"/>
      <c r="I3388" s="177"/>
      <c r="J3388" s="179"/>
      <c r="K3388" s="183"/>
      <c r="L3388" s="176"/>
      <c r="M3388" s="177"/>
      <c r="N3388" s="21"/>
      <c r="O3388" s="45"/>
      <c r="P3388" s="24"/>
      <c r="Q3388" s="24"/>
      <c r="R3388" s="180"/>
      <c r="S3388" s="181"/>
      <c r="T3388" s="35"/>
      <c r="U3388" s="35"/>
      <c r="V3388" s="35"/>
      <c r="W3388" s="35"/>
      <c r="X3388" s="35"/>
      <c r="Y3388" s="182"/>
      <c r="Z3388" s="175"/>
      <c r="AA3388" s="182"/>
      <c r="AB3388" s="184"/>
    </row>
    <row r="3389" spans="1:28" ht="12.75">
      <c r="A3389" s="173"/>
      <c r="B3389" s="174"/>
      <c r="C3389" s="11"/>
      <c r="D3389" s="175"/>
      <c r="E3389" s="176"/>
      <c r="F3389" s="177"/>
      <c r="G3389" s="178"/>
      <c r="H3389" s="177"/>
      <c r="I3389" s="177"/>
      <c r="J3389" s="179"/>
      <c r="K3389" s="183"/>
      <c r="L3389" s="176"/>
      <c r="M3389" s="177"/>
      <c r="N3389" s="21"/>
      <c r="O3389" s="45"/>
      <c r="P3389" s="24"/>
      <c r="Q3389" s="24"/>
      <c r="R3389" s="180"/>
      <c r="S3389" s="181"/>
      <c r="T3389" s="35"/>
      <c r="U3389" s="35"/>
      <c r="V3389" s="35"/>
      <c r="W3389" s="35"/>
      <c r="X3389" s="35"/>
      <c r="Y3389" s="182"/>
      <c r="Z3389" s="175"/>
      <c r="AA3389" s="182"/>
      <c r="AB3389" s="184"/>
    </row>
    <row r="3390" spans="1:28" ht="12.75">
      <c r="A3390" s="173"/>
      <c r="B3390" s="174"/>
      <c r="C3390" s="11"/>
      <c r="D3390" s="175"/>
      <c r="E3390" s="176"/>
      <c r="F3390" s="177"/>
      <c r="G3390" s="178"/>
      <c r="H3390" s="177"/>
      <c r="I3390" s="177"/>
      <c r="J3390" s="179"/>
      <c r="K3390" s="183"/>
      <c r="L3390" s="176"/>
      <c r="M3390" s="177"/>
      <c r="N3390" s="21"/>
      <c r="O3390" s="45"/>
      <c r="P3390" s="24"/>
      <c r="Q3390" s="24"/>
      <c r="R3390" s="180"/>
      <c r="S3390" s="181"/>
      <c r="T3390" s="35"/>
      <c r="U3390" s="35"/>
      <c r="V3390" s="35"/>
      <c r="W3390" s="35"/>
      <c r="X3390" s="35"/>
      <c r="Y3390" s="182"/>
      <c r="Z3390" s="175"/>
      <c r="AA3390" s="182"/>
      <c r="AB3390" s="184"/>
    </row>
    <row r="3391" spans="1:28" ht="12.75">
      <c r="A3391" s="173"/>
      <c r="B3391" s="174"/>
      <c r="C3391" s="11"/>
      <c r="D3391" s="175"/>
      <c r="E3391" s="176"/>
      <c r="F3391" s="177"/>
      <c r="G3391" s="178"/>
      <c r="H3391" s="177"/>
      <c r="I3391" s="177"/>
      <c r="J3391" s="179"/>
      <c r="K3391" s="183"/>
      <c r="L3391" s="176"/>
      <c r="M3391" s="177"/>
      <c r="N3391" s="21"/>
      <c r="O3391" s="45"/>
      <c r="P3391" s="24"/>
      <c r="Q3391" s="24"/>
      <c r="R3391" s="180"/>
      <c r="S3391" s="181"/>
      <c r="T3391" s="35"/>
      <c r="U3391" s="35"/>
      <c r="V3391" s="35"/>
      <c r="W3391" s="35"/>
      <c r="X3391" s="35"/>
      <c r="Y3391" s="182"/>
      <c r="Z3391" s="175"/>
      <c r="AA3391" s="182"/>
      <c r="AB3391" s="184"/>
    </row>
    <row r="3392" spans="1:28" ht="12.75">
      <c r="A3392" s="173"/>
      <c r="B3392" s="174"/>
      <c r="C3392" s="11"/>
      <c r="D3392" s="175"/>
      <c r="E3392" s="176"/>
      <c r="F3392" s="177"/>
      <c r="G3392" s="178"/>
      <c r="H3392" s="177"/>
      <c r="I3392" s="177"/>
      <c r="J3392" s="179"/>
      <c r="K3392" s="183"/>
      <c r="L3392" s="176"/>
      <c r="M3392" s="177"/>
      <c r="N3392" s="21"/>
      <c r="O3392" s="45"/>
      <c r="P3392" s="24"/>
      <c r="Q3392" s="24"/>
      <c r="R3392" s="180"/>
      <c r="S3392" s="181"/>
      <c r="T3392" s="35"/>
      <c r="U3392" s="35"/>
      <c r="V3392" s="35"/>
      <c r="W3392" s="35"/>
      <c r="X3392" s="35"/>
      <c r="Y3392" s="182"/>
      <c r="Z3392" s="175"/>
      <c r="AA3392" s="182"/>
      <c r="AB3392" s="184"/>
    </row>
    <row r="3393" spans="1:28" ht="12.75">
      <c r="A3393" s="173"/>
      <c r="B3393" s="174"/>
      <c r="C3393" s="11"/>
      <c r="D3393" s="175"/>
      <c r="E3393" s="176"/>
      <c r="F3393" s="177"/>
      <c r="G3393" s="178"/>
      <c r="H3393" s="177"/>
      <c r="I3393" s="177"/>
      <c r="J3393" s="179"/>
      <c r="K3393" s="183"/>
      <c r="L3393" s="176"/>
      <c r="M3393" s="177"/>
      <c r="N3393" s="21"/>
      <c r="O3393" s="45"/>
      <c r="P3393" s="24"/>
      <c r="Q3393" s="24"/>
      <c r="R3393" s="180"/>
      <c r="S3393" s="181"/>
      <c r="T3393" s="35"/>
      <c r="U3393" s="35"/>
      <c r="V3393" s="35"/>
      <c r="W3393" s="35"/>
      <c r="X3393" s="35"/>
      <c r="Y3393" s="182"/>
      <c r="Z3393" s="175"/>
      <c r="AA3393" s="182"/>
      <c r="AB3393" s="184"/>
    </row>
    <row r="3394" spans="1:28" ht="12.75">
      <c r="A3394" s="173"/>
      <c r="B3394" s="174"/>
      <c r="C3394" s="11"/>
      <c r="D3394" s="175"/>
      <c r="E3394" s="176"/>
      <c r="F3394" s="177"/>
      <c r="G3394" s="178"/>
      <c r="H3394" s="177"/>
      <c r="I3394" s="177"/>
      <c r="J3394" s="179"/>
      <c r="K3394" s="183"/>
      <c r="L3394" s="176"/>
      <c r="M3394" s="177"/>
      <c r="N3394" s="21"/>
      <c r="O3394" s="45"/>
      <c r="P3394" s="24"/>
      <c r="Q3394" s="24"/>
      <c r="R3394" s="180"/>
      <c r="S3394" s="181"/>
      <c r="T3394" s="35"/>
      <c r="U3394" s="35"/>
      <c r="V3394" s="35"/>
      <c r="W3394" s="35"/>
      <c r="X3394" s="35"/>
      <c r="Y3394" s="182"/>
      <c r="Z3394" s="175"/>
      <c r="AA3394" s="182"/>
      <c r="AB3394" s="184"/>
    </row>
    <row r="3395" spans="1:28" ht="12.75">
      <c r="A3395" s="173"/>
      <c r="B3395" s="174"/>
      <c r="C3395" s="11"/>
      <c r="D3395" s="175"/>
      <c r="E3395" s="176"/>
      <c r="F3395" s="177"/>
      <c r="G3395" s="178"/>
      <c r="H3395" s="177"/>
      <c r="I3395" s="177"/>
      <c r="J3395" s="179"/>
      <c r="K3395" s="183"/>
      <c r="L3395" s="176"/>
      <c r="M3395" s="177"/>
      <c r="N3395" s="21"/>
      <c r="O3395" s="45"/>
      <c r="P3395" s="24"/>
      <c r="Q3395" s="24"/>
      <c r="R3395" s="180"/>
      <c r="S3395" s="181"/>
      <c r="T3395" s="35"/>
      <c r="U3395" s="35"/>
      <c r="V3395" s="35"/>
      <c r="W3395" s="35"/>
      <c r="X3395" s="35"/>
      <c r="Y3395" s="182"/>
      <c r="Z3395" s="175"/>
      <c r="AA3395" s="182"/>
      <c r="AB3395" s="184"/>
    </row>
    <row r="3396" spans="1:28" ht="12.75">
      <c r="A3396" s="173"/>
      <c r="B3396" s="174"/>
      <c r="C3396" s="11"/>
      <c r="D3396" s="175"/>
      <c r="E3396" s="176"/>
      <c r="F3396" s="177"/>
      <c r="G3396" s="178"/>
      <c r="H3396" s="177"/>
      <c r="I3396" s="177"/>
      <c r="J3396" s="179"/>
      <c r="K3396" s="183"/>
      <c r="L3396" s="176"/>
      <c r="M3396" s="177"/>
      <c r="N3396" s="21"/>
      <c r="O3396" s="45"/>
      <c r="P3396" s="24"/>
      <c r="Q3396" s="24"/>
      <c r="R3396" s="180"/>
      <c r="S3396" s="181"/>
      <c r="T3396" s="35"/>
      <c r="U3396" s="35"/>
      <c r="V3396" s="35"/>
      <c r="W3396" s="35"/>
      <c r="X3396" s="35"/>
      <c r="Y3396" s="182"/>
      <c r="Z3396" s="175"/>
      <c r="AA3396" s="182"/>
      <c r="AB3396" s="184"/>
    </row>
    <row r="3397" spans="1:28" ht="12.75">
      <c r="A3397" s="173"/>
      <c r="B3397" s="174"/>
      <c r="C3397" s="11"/>
      <c r="D3397" s="175"/>
      <c r="E3397" s="176"/>
      <c r="F3397" s="177"/>
      <c r="G3397" s="178"/>
      <c r="H3397" s="177"/>
      <c r="I3397" s="177"/>
      <c r="J3397" s="179"/>
      <c r="K3397" s="183"/>
      <c r="L3397" s="176"/>
      <c r="M3397" s="177"/>
      <c r="N3397" s="21"/>
      <c r="O3397" s="45"/>
      <c r="P3397" s="24"/>
      <c r="Q3397" s="24"/>
      <c r="R3397" s="180"/>
      <c r="S3397" s="181"/>
      <c r="T3397" s="35"/>
      <c r="U3397" s="35"/>
      <c r="V3397" s="35"/>
      <c r="W3397" s="35"/>
      <c r="X3397" s="35"/>
      <c r="Y3397" s="182"/>
      <c r="Z3397" s="175"/>
      <c r="AA3397" s="182"/>
      <c r="AB3397" s="184"/>
    </row>
    <row r="3398" spans="1:28" ht="12.75">
      <c r="A3398" s="173"/>
      <c r="B3398" s="174"/>
      <c r="C3398" s="11"/>
      <c r="D3398" s="175"/>
      <c r="E3398" s="176"/>
      <c r="F3398" s="177"/>
      <c r="G3398" s="178"/>
      <c r="H3398" s="177"/>
      <c r="I3398" s="177"/>
      <c r="J3398" s="179"/>
      <c r="K3398" s="183"/>
      <c r="L3398" s="176"/>
      <c r="M3398" s="177"/>
      <c r="N3398" s="21"/>
      <c r="O3398" s="45"/>
      <c r="P3398" s="24"/>
      <c r="Q3398" s="24"/>
      <c r="R3398" s="180"/>
      <c r="S3398" s="181"/>
      <c r="T3398" s="35"/>
      <c r="U3398" s="35"/>
      <c r="V3398" s="35"/>
      <c r="W3398" s="35"/>
      <c r="X3398" s="35"/>
      <c r="Y3398" s="182"/>
      <c r="Z3398" s="175"/>
      <c r="AA3398" s="182"/>
      <c r="AB3398" s="184"/>
    </row>
    <row r="3399" spans="1:28" ht="12.75">
      <c r="A3399" s="173"/>
      <c r="B3399" s="174"/>
      <c r="C3399" s="11"/>
      <c r="D3399" s="175"/>
      <c r="E3399" s="176"/>
      <c r="F3399" s="177"/>
      <c r="G3399" s="178"/>
      <c r="H3399" s="177"/>
      <c r="I3399" s="177"/>
      <c r="J3399" s="179"/>
      <c r="K3399" s="183"/>
      <c r="L3399" s="176"/>
      <c r="M3399" s="177"/>
      <c r="N3399" s="21"/>
      <c r="O3399" s="45"/>
      <c r="P3399" s="24"/>
      <c r="Q3399" s="24"/>
      <c r="R3399" s="180"/>
      <c r="S3399" s="181"/>
      <c r="T3399" s="35"/>
      <c r="U3399" s="35"/>
      <c r="V3399" s="35"/>
      <c r="W3399" s="35"/>
      <c r="X3399" s="35"/>
      <c r="Y3399" s="182"/>
      <c r="Z3399" s="175"/>
      <c r="AA3399" s="182"/>
      <c r="AB3399" s="184"/>
    </row>
    <row r="3400" spans="1:28" ht="12.75">
      <c r="A3400" s="173"/>
      <c r="B3400" s="174"/>
      <c r="C3400" s="11"/>
      <c r="D3400" s="175"/>
      <c r="E3400" s="176"/>
      <c r="F3400" s="177"/>
      <c r="G3400" s="178"/>
      <c r="H3400" s="177"/>
      <c r="I3400" s="177"/>
      <c r="J3400" s="179"/>
      <c r="K3400" s="183"/>
      <c r="L3400" s="176"/>
      <c r="M3400" s="177"/>
      <c r="N3400" s="21"/>
      <c r="O3400" s="45"/>
      <c r="P3400" s="24"/>
      <c r="Q3400" s="24"/>
      <c r="R3400" s="180"/>
      <c r="S3400" s="181"/>
      <c r="T3400" s="35"/>
      <c r="U3400" s="35"/>
      <c r="V3400" s="35"/>
      <c r="W3400" s="35"/>
      <c r="X3400" s="35"/>
      <c r="Y3400" s="182"/>
      <c r="Z3400" s="175"/>
      <c r="AA3400" s="182"/>
      <c r="AB3400" s="184"/>
    </row>
    <row r="3401" spans="1:28" ht="12.75">
      <c r="A3401" s="173"/>
      <c r="B3401" s="174"/>
      <c r="C3401" s="11"/>
      <c r="D3401" s="175"/>
      <c r="E3401" s="176"/>
      <c r="F3401" s="177"/>
      <c r="G3401" s="178"/>
      <c r="H3401" s="177"/>
      <c r="I3401" s="177"/>
      <c r="J3401" s="179"/>
      <c r="K3401" s="183"/>
      <c r="L3401" s="176"/>
      <c r="M3401" s="177"/>
      <c r="N3401" s="21"/>
      <c r="O3401" s="45"/>
      <c r="P3401" s="24"/>
      <c r="Q3401" s="24"/>
      <c r="R3401" s="180"/>
      <c r="S3401" s="181"/>
      <c r="T3401" s="35"/>
      <c r="U3401" s="35"/>
      <c r="V3401" s="35"/>
      <c r="W3401" s="35"/>
      <c r="X3401" s="35"/>
      <c r="Y3401" s="182"/>
      <c r="Z3401" s="175"/>
      <c r="AA3401" s="182"/>
      <c r="AB3401" s="184"/>
    </row>
    <row r="3402" spans="1:28" ht="12.75">
      <c r="A3402" s="173"/>
      <c r="B3402" s="174"/>
      <c r="C3402" s="11"/>
      <c r="D3402" s="175"/>
      <c r="E3402" s="176"/>
      <c r="F3402" s="177"/>
      <c r="G3402" s="178"/>
      <c r="H3402" s="177"/>
      <c r="I3402" s="177"/>
      <c r="J3402" s="179"/>
      <c r="K3402" s="183"/>
      <c r="L3402" s="176"/>
      <c r="M3402" s="177"/>
      <c r="N3402" s="21"/>
      <c r="O3402" s="45"/>
      <c r="P3402" s="24"/>
      <c r="Q3402" s="24"/>
      <c r="R3402" s="180"/>
      <c r="S3402" s="181"/>
      <c r="T3402" s="35"/>
      <c r="U3402" s="35"/>
      <c r="V3402" s="35"/>
      <c r="W3402" s="35"/>
      <c r="X3402" s="35"/>
      <c r="Y3402" s="182"/>
      <c r="Z3402" s="175"/>
      <c r="AA3402" s="182"/>
      <c r="AB3402" s="184"/>
    </row>
    <row r="3403" spans="1:28" ht="12.75">
      <c r="A3403" s="173"/>
      <c r="B3403" s="174"/>
      <c r="C3403" s="11"/>
      <c r="D3403" s="175"/>
      <c r="E3403" s="176"/>
      <c r="F3403" s="177"/>
      <c r="G3403" s="178"/>
      <c r="H3403" s="177"/>
      <c r="I3403" s="177"/>
      <c r="J3403" s="179"/>
      <c r="K3403" s="183"/>
      <c r="L3403" s="176"/>
      <c r="M3403" s="177"/>
      <c r="N3403" s="21"/>
      <c r="O3403" s="45"/>
      <c r="P3403" s="24"/>
      <c r="Q3403" s="24"/>
      <c r="R3403" s="180"/>
      <c r="S3403" s="181"/>
      <c r="T3403" s="35"/>
      <c r="U3403" s="35"/>
      <c r="V3403" s="35"/>
      <c r="W3403" s="35"/>
      <c r="X3403" s="35"/>
      <c r="Y3403" s="182"/>
      <c r="Z3403" s="175"/>
      <c r="AA3403" s="182"/>
      <c r="AB3403" s="184"/>
    </row>
    <row r="3404" spans="1:28" ht="12.75">
      <c r="A3404" s="173"/>
      <c r="B3404" s="174"/>
      <c r="C3404" s="11"/>
      <c r="D3404" s="175"/>
      <c r="E3404" s="176"/>
      <c r="F3404" s="177"/>
      <c r="G3404" s="178"/>
      <c r="H3404" s="177"/>
      <c r="I3404" s="177"/>
      <c r="J3404" s="179"/>
      <c r="K3404" s="183"/>
      <c r="L3404" s="176"/>
      <c r="M3404" s="177"/>
      <c r="N3404" s="21"/>
      <c r="O3404" s="45"/>
      <c r="P3404" s="24"/>
      <c r="Q3404" s="24"/>
      <c r="R3404" s="180"/>
      <c r="S3404" s="181"/>
      <c r="T3404" s="35"/>
      <c r="U3404" s="35"/>
      <c r="V3404" s="35"/>
      <c r="W3404" s="35"/>
      <c r="X3404" s="35"/>
      <c r="Y3404" s="182"/>
      <c r="Z3404" s="175"/>
      <c r="AA3404" s="182"/>
      <c r="AB3404" s="184"/>
    </row>
    <row r="3405" spans="1:28" ht="12.75">
      <c r="A3405" s="173"/>
      <c r="B3405" s="174"/>
      <c r="C3405" s="11"/>
      <c r="D3405" s="175"/>
      <c r="E3405" s="176"/>
      <c r="F3405" s="177"/>
      <c r="G3405" s="178"/>
      <c r="H3405" s="177"/>
      <c r="I3405" s="177"/>
      <c r="J3405" s="179"/>
      <c r="K3405" s="183"/>
      <c r="L3405" s="176"/>
      <c r="M3405" s="177"/>
      <c r="N3405" s="21"/>
      <c r="O3405" s="45"/>
      <c r="P3405" s="24"/>
      <c r="Q3405" s="24"/>
      <c r="R3405" s="180"/>
      <c r="S3405" s="181"/>
      <c r="T3405" s="35"/>
      <c r="U3405" s="35"/>
      <c r="V3405" s="35"/>
      <c r="W3405" s="35"/>
      <c r="X3405" s="35"/>
      <c r="Y3405" s="182"/>
      <c r="Z3405" s="175"/>
      <c r="AA3405" s="182"/>
      <c r="AB3405" s="184"/>
    </row>
    <row r="3406" spans="1:28" ht="12.75">
      <c r="A3406" s="173"/>
      <c r="B3406" s="174"/>
      <c r="C3406" s="11"/>
      <c r="D3406" s="175"/>
      <c r="E3406" s="176"/>
      <c r="F3406" s="177"/>
      <c r="G3406" s="178"/>
      <c r="H3406" s="177"/>
      <c r="I3406" s="177"/>
      <c r="J3406" s="179"/>
      <c r="K3406" s="183"/>
      <c r="L3406" s="176"/>
      <c r="M3406" s="177"/>
      <c r="N3406" s="21"/>
      <c r="O3406" s="45"/>
      <c r="P3406" s="24"/>
      <c r="Q3406" s="24"/>
      <c r="R3406" s="180"/>
      <c r="S3406" s="181"/>
      <c r="T3406" s="35"/>
      <c r="U3406" s="35"/>
      <c r="V3406" s="35"/>
      <c r="W3406" s="35"/>
      <c r="X3406" s="35"/>
      <c r="Y3406" s="182"/>
      <c r="Z3406" s="175"/>
      <c r="AA3406" s="182"/>
      <c r="AB3406" s="184"/>
    </row>
    <row r="3407" spans="1:28" ht="12.75">
      <c r="A3407" s="173"/>
      <c r="B3407" s="174"/>
      <c r="C3407" s="11"/>
      <c r="D3407" s="175"/>
      <c r="E3407" s="176"/>
      <c r="F3407" s="177"/>
      <c r="G3407" s="178"/>
      <c r="H3407" s="177"/>
      <c r="I3407" s="177"/>
      <c r="J3407" s="179"/>
      <c r="K3407" s="183"/>
      <c r="L3407" s="176"/>
      <c r="M3407" s="177"/>
      <c r="N3407" s="21"/>
      <c r="O3407" s="45"/>
      <c r="P3407" s="24"/>
      <c r="Q3407" s="24"/>
      <c r="R3407" s="180"/>
      <c r="S3407" s="181"/>
      <c r="T3407" s="35"/>
      <c r="U3407" s="35"/>
      <c r="V3407" s="35"/>
      <c r="W3407" s="35"/>
      <c r="X3407" s="35"/>
      <c r="Y3407" s="182"/>
      <c r="Z3407" s="175"/>
      <c r="AA3407" s="182"/>
      <c r="AB3407" s="184"/>
    </row>
    <row r="3408" spans="1:28" ht="12.75">
      <c r="A3408" s="173"/>
      <c r="B3408" s="174"/>
      <c r="C3408" s="11"/>
      <c r="D3408" s="175"/>
      <c r="E3408" s="176"/>
      <c r="F3408" s="177"/>
      <c r="G3408" s="178"/>
      <c r="H3408" s="177"/>
      <c r="I3408" s="177"/>
      <c r="J3408" s="179"/>
      <c r="K3408" s="183"/>
      <c r="L3408" s="176"/>
      <c r="M3408" s="177"/>
      <c r="N3408" s="21"/>
      <c r="O3408" s="45"/>
      <c r="P3408" s="24"/>
      <c r="Q3408" s="24"/>
      <c r="R3408" s="180"/>
      <c r="S3408" s="181"/>
      <c r="T3408" s="35"/>
      <c r="U3408" s="35"/>
      <c r="V3408" s="35"/>
      <c r="W3408" s="35"/>
      <c r="X3408" s="35"/>
      <c r="Y3408" s="182"/>
      <c r="Z3408" s="175"/>
      <c r="AA3408" s="182"/>
      <c r="AB3408" s="184"/>
    </row>
    <row r="3409" spans="1:28" ht="12.75">
      <c r="A3409" s="173"/>
      <c r="B3409" s="174"/>
      <c r="C3409" s="11"/>
      <c r="D3409" s="175"/>
      <c r="E3409" s="176"/>
      <c r="F3409" s="177"/>
      <c r="G3409" s="178"/>
      <c r="H3409" s="177"/>
      <c r="I3409" s="177"/>
      <c r="J3409" s="179"/>
      <c r="K3409" s="183"/>
      <c r="L3409" s="176"/>
      <c r="M3409" s="177"/>
      <c r="N3409" s="21"/>
      <c r="O3409" s="45"/>
      <c r="P3409" s="24"/>
      <c r="Q3409" s="24"/>
      <c r="R3409" s="180"/>
      <c r="S3409" s="181"/>
      <c r="T3409" s="35"/>
      <c r="U3409" s="35"/>
      <c r="V3409" s="35"/>
      <c r="W3409" s="35"/>
      <c r="X3409" s="35"/>
      <c r="Y3409" s="182"/>
      <c r="Z3409" s="175"/>
      <c r="AA3409" s="182"/>
      <c r="AB3409" s="184"/>
    </row>
    <row r="3410" spans="1:28" ht="12.75">
      <c r="A3410" s="173"/>
      <c r="B3410" s="174"/>
      <c r="C3410" s="11"/>
      <c r="D3410" s="175"/>
      <c r="E3410" s="176"/>
      <c r="F3410" s="177"/>
      <c r="G3410" s="178"/>
      <c r="H3410" s="177"/>
      <c r="I3410" s="177"/>
      <c r="J3410" s="179"/>
      <c r="K3410" s="183"/>
      <c r="L3410" s="176"/>
      <c r="M3410" s="177"/>
      <c r="N3410" s="21"/>
      <c r="O3410" s="45"/>
      <c r="P3410" s="24"/>
      <c r="Q3410" s="24"/>
      <c r="R3410" s="180"/>
      <c r="S3410" s="181"/>
      <c r="T3410" s="35"/>
      <c r="U3410" s="35"/>
      <c r="V3410" s="35"/>
      <c r="W3410" s="35"/>
      <c r="X3410" s="35"/>
      <c r="Y3410" s="182"/>
      <c r="Z3410" s="175"/>
      <c r="AA3410" s="182"/>
      <c r="AB3410" s="184"/>
    </row>
    <row r="3411" spans="1:28" ht="12.75">
      <c r="A3411" s="173"/>
      <c r="B3411" s="174"/>
      <c r="C3411" s="11"/>
      <c r="D3411" s="175"/>
      <c r="E3411" s="176"/>
      <c r="F3411" s="177"/>
      <c r="G3411" s="178"/>
      <c r="H3411" s="177"/>
      <c r="I3411" s="177"/>
      <c r="J3411" s="179"/>
      <c r="K3411" s="183"/>
      <c r="L3411" s="176"/>
      <c r="M3411" s="177"/>
      <c r="N3411" s="21"/>
      <c r="O3411" s="45"/>
      <c r="P3411" s="24"/>
      <c r="Q3411" s="24"/>
      <c r="R3411" s="180"/>
      <c r="S3411" s="181"/>
      <c r="T3411" s="35"/>
      <c r="U3411" s="35"/>
      <c r="V3411" s="35"/>
      <c r="W3411" s="35"/>
      <c r="X3411" s="35"/>
      <c r="Y3411" s="182"/>
      <c r="Z3411" s="175"/>
      <c r="AA3411" s="182"/>
      <c r="AB3411" s="184"/>
    </row>
    <row r="3412" spans="1:28" ht="12.75">
      <c r="A3412" s="173"/>
      <c r="B3412" s="174"/>
      <c r="C3412" s="11"/>
      <c r="D3412" s="175"/>
      <c r="E3412" s="176"/>
      <c r="F3412" s="177"/>
      <c r="G3412" s="178"/>
      <c r="H3412" s="177"/>
      <c r="I3412" s="177"/>
      <c r="J3412" s="179"/>
      <c r="K3412" s="183"/>
      <c r="L3412" s="176"/>
      <c r="M3412" s="177"/>
      <c r="N3412" s="21"/>
      <c r="O3412" s="45"/>
      <c r="P3412" s="24"/>
      <c r="Q3412" s="24"/>
      <c r="R3412" s="180"/>
      <c r="S3412" s="181"/>
      <c r="T3412" s="35"/>
      <c r="U3412" s="35"/>
      <c r="V3412" s="35"/>
      <c r="W3412" s="35"/>
      <c r="X3412" s="35"/>
      <c r="Y3412" s="182"/>
      <c r="Z3412" s="175"/>
      <c r="AA3412" s="182"/>
      <c r="AB3412" s="184"/>
    </row>
    <row r="3413" spans="1:28" ht="12.75">
      <c r="A3413" s="173"/>
      <c r="B3413" s="174"/>
      <c r="C3413" s="11"/>
      <c r="D3413" s="175"/>
      <c r="E3413" s="176"/>
      <c r="F3413" s="177"/>
      <c r="G3413" s="178"/>
      <c r="H3413" s="177"/>
      <c r="I3413" s="177"/>
      <c r="J3413" s="179"/>
      <c r="K3413" s="183"/>
      <c r="L3413" s="176"/>
      <c r="M3413" s="177"/>
      <c r="N3413" s="21"/>
      <c r="O3413" s="45"/>
      <c r="P3413" s="24"/>
      <c r="Q3413" s="24"/>
      <c r="R3413" s="180"/>
      <c r="S3413" s="181"/>
      <c r="T3413" s="35"/>
      <c r="U3413" s="35"/>
      <c r="V3413" s="35"/>
      <c r="W3413" s="35"/>
      <c r="X3413" s="35"/>
      <c r="Y3413" s="182"/>
      <c r="Z3413" s="175"/>
      <c r="AA3413" s="182"/>
      <c r="AB3413" s="184"/>
    </row>
    <row r="3414" spans="1:28" ht="12.75">
      <c r="A3414" s="173"/>
      <c r="B3414" s="174"/>
      <c r="C3414" s="11"/>
      <c r="D3414" s="175"/>
      <c r="E3414" s="176"/>
      <c r="F3414" s="177"/>
      <c r="G3414" s="178"/>
      <c r="H3414" s="177"/>
      <c r="I3414" s="177"/>
      <c r="J3414" s="179"/>
      <c r="K3414" s="183"/>
      <c r="L3414" s="176"/>
      <c r="M3414" s="177"/>
      <c r="N3414" s="21"/>
      <c r="O3414" s="45"/>
      <c r="P3414" s="24"/>
      <c r="Q3414" s="24"/>
      <c r="R3414" s="180"/>
      <c r="S3414" s="181"/>
      <c r="T3414" s="35"/>
      <c r="U3414" s="35"/>
      <c r="V3414" s="35"/>
      <c r="W3414" s="35"/>
      <c r="X3414" s="35"/>
      <c r="Y3414" s="182"/>
      <c r="Z3414" s="175"/>
      <c r="AA3414" s="182"/>
      <c r="AB3414" s="184"/>
    </row>
    <row r="3415" spans="1:28" ht="12.75">
      <c r="A3415" s="173"/>
      <c r="B3415" s="174"/>
      <c r="C3415" s="11"/>
      <c r="D3415" s="175"/>
      <c r="E3415" s="176"/>
      <c r="F3415" s="177"/>
      <c r="G3415" s="178"/>
      <c r="H3415" s="177"/>
      <c r="I3415" s="177"/>
      <c r="J3415" s="179"/>
      <c r="K3415" s="183"/>
      <c r="L3415" s="176"/>
      <c r="M3415" s="177"/>
      <c r="N3415" s="21"/>
      <c r="O3415" s="45"/>
      <c r="P3415" s="24"/>
      <c r="Q3415" s="24"/>
      <c r="R3415" s="180"/>
      <c r="S3415" s="181"/>
      <c r="T3415" s="35"/>
      <c r="U3415" s="35"/>
      <c r="V3415" s="35"/>
      <c r="W3415" s="35"/>
      <c r="X3415" s="35"/>
      <c r="Y3415" s="182"/>
      <c r="Z3415" s="175"/>
      <c r="AA3415" s="182"/>
      <c r="AB3415" s="184"/>
    </row>
    <row r="3416" spans="1:28" ht="12.75">
      <c r="A3416" s="173"/>
      <c r="B3416" s="174"/>
      <c r="C3416" s="11"/>
      <c r="D3416" s="175"/>
      <c r="E3416" s="176"/>
      <c r="F3416" s="177"/>
      <c r="G3416" s="178"/>
      <c r="H3416" s="177"/>
      <c r="I3416" s="177"/>
      <c r="J3416" s="179"/>
      <c r="K3416" s="183"/>
      <c r="L3416" s="176"/>
      <c r="M3416" s="177"/>
      <c r="N3416" s="21"/>
      <c r="O3416" s="45"/>
      <c r="P3416" s="24"/>
      <c r="Q3416" s="24"/>
      <c r="R3416" s="180"/>
      <c r="S3416" s="181"/>
      <c r="T3416" s="35"/>
      <c r="U3416" s="35"/>
      <c r="V3416" s="35"/>
      <c r="W3416" s="35"/>
      <c r="X3416" s="35"/>
      <c r="Y3416" s="182"/>
      <c r="Z3416" s="175"/>
      <c r="AA3416" s="182"/>
      <c r="AB3416" s="184"/>
    </row>
    <row r="3417" spans="1:28" ht="12.75">
      <c r="A3417" s="173"/>
      <c r="B3417" s="174"/>
      <c r="C3417" s="11"/>
      <c r="D3417" s="175"/>
      <c r="E3417" s="176"/>
      <c r="F3417" s="177"/>
      <c r="G3417" s="178"/>
      <c r="H3417" s="177"/>
      <c r="I3417" s="177"/>
      <c r="J3417" s="179"/>
      <c r="K3417" s="183"/>
      <c r="L3417" s="176"/>
      <c r="M3417" s="177"/>
      <c r="N3417" s="21"/>
      <c r="O3417" s="45"/>
      <c r="P3417" s="24"/>
      <c r="Q3417" s="24"/>
      <c r="R3417" s="180"/>
      <c r="S3417" s="181"/>
      <c r="T3417" s="35"/>
      <c r="U3417" s="35"/>
      <c r="V3417" s="35"/>
      <c r="W3417" s="35"/>
      <c r="X3417" s="35"/>
      <c r="Y3417" s="182"/>
      <c r="Z3417" s="175"/>
      <c r="AA3417" s="182"/>
      <c r="AB3417" s="184"/>
    </row>
    <row r="3418" spans="1:28" ht="12.75">
      <c r="A3418" s="173"/>
      <c r="B3418" s="174"/>
      <c r="C3418" s="11"/>
      <c r="D3418" s="175"/>
      <c r="E3418" s="176"/>
      <c r="F3418" s="177"/>
      <c r="G3418" s="178"/>
      <c r="H3418" s="177"/>
      <c r="I3418" s="177"/>
      <c r="J3418" s="179"/>
      <c r="K3418" s="183"/>
      <c r="L3418" s="176"/>
      <c r="M3418" s="177"/>
      <c r="N3418" s="21"/>
      <c r="O3418" s="45"/>
      <c r="P3418" s="24"/>
      <c r="Q3418" s="24"/>
      <c r="R3418" s="180"/>
      <c r="S3418" s="181"/>
      <c r="T3418" s="35"/>
      <c r="U3418" s="35"/>
      <c r="V3418" s="35"/>
      <c r="W3418" s="35"/>
      <c r="X3418" s="35"/>
      <c r="Y3418" s="182"/>
      <c r="Z3418" s="175"/>
      <c r="AA3418" s="182"/>
      <c r="AB3418" s="184"/>
    </row>
    <row r="3419" spans="1:28" ht="12.75">
      <c r="A3419" s="173"/>
      <c r="B3419" s="174"/>
      <c r="C3419" s="11"/>
      <c r="D3419" s="175"/>
      <c r="E3419" s="176"/>
      <c r="F3419" s="177"/>
      <c r="G3419" s="178"/>
      <c r="H3419" s="177"/>
      <c r="I3419" s="177"/>
      <c r="J3419" s="179"/>
      <c r="K3419" s="183"/>
      <c r="L3419" s="176"/>
      <c r="M3419" s="177"/>
      <c r="N3419" s="21"/>
      <c r="O3419" s="45"/>
      <c r="P3419" s="24"/>
      <c r="Q3419" s="24"/>
      <c r="R3419" s="180"/>
      <c r="S3419" s="181"/>
      <c r="T3419" s="35"/>
      <c r="U3419" s="35"/>
      <c r="V3419" s="35"/>
      <c r="W3419" s="35"/>
      <c r="X3419" s="35"/>
      <c r="Y3419" s="182"/>
      <c r="Z3419" s="175"/>
      <c r="AA3419" s="182"/>
      <c r="AB3419" s="184"/>
    </row>
    <row r="3420" spans="1:28" ht="12.75">
      <c r="A3420" s="173"/>
      <c r="B3420" s="174"/>
      <c r="C3420" s="11"/>
      <c r="D3420" s="175"/>
      <c r="E3420" s="176"/>
      <c r="F3420" s="177"/>
      <c r="G3420" s="178"/>
      <c r="H3420" s="177"/>
      <c r="I3420" s="177"/>
      <c r="J3420" s="179"/>
      <c r="K3420" s="183"/>
      <c r="L3420" s="176"/>
      <c r="M3420" s="177"/>
      <c r="N3420" s="21"/>
      <c r="O3420" s="45"/>
      <c r="P3420" s="24"/>
      <c r="Q3420" s="24"/>
      <c r="R3420" s="180"/>
      <c r="S3420" s="181"/>
      <c r="T3420" s="35"/>
      <c r="U3420" s="35"/>
      <c r="V3420" s="35"/>
      <c r="W3420" s="35"/>
      <c r="X3420" s="35"/>
      <c r="Y3420" s="182"/>
      <c r="Z3420" s="175"/>
      <c r="AA3420" s="182"/>
      <c r="AB3420" s="184"/>
    </row>
    <row r="3421" spans="1:28" ht="12.75">
      <c r="A3421" s="173"/>
      <c r="B3421" s="174"/>
      <c r="C3421" s="11"/>
      <c r="D3421" s="175"/>
      <c r="E3421" s="176"/>
      <c r="F3421" s="177"/>
      <c r="G3421" s="178"/>
      <c r="H3421" s="177"/>
      <c r="I3421" s="177"/>
      <c r="J3421" s="179"/>
      <c r="K3421" s="183"/>
      <c r="L3421" s="176"/>
      <c r="M3421" s="177"/>
      <c r="N3421" s="21"/>
      <c r="O3421" s="45"/>
      <c r="P3421" s="24"/>
      <c r="Q3421" s="24"/>
      <c r="R3421" s="180"/>
      <c r="S3421" s="181"/>
      <c r="T3421" s="35"/>
      <c r="U3421" s="35"/>
      <c r="V3421" s="35"/>
      <c r="W3421" s="35"/>
      <c r="X3421" s="35"/>
      <c r="Y3421" s="182"/>
      <c r="Z3421" s="175"/>
      <c r="AA3421" s="182"/>
      <c r="AB3421" s="184"/>
    </row>
    <row r="3422" spans="1:28" ht="12.75">
      <c r="A3422" s="173"/>
      <c r="B3422" s="174"/>
      <c r="C3422" s="11"/>
      <c r="D3422" s="175"/>
      <c r="E3422" s="176"/>
      <c r="F3422" s="177"/>
      <c r="G3422" s="178"/>
      <c r="H3422" s="177"/>
      <c r="I3422" s="177"/>
      <c r="J3422" s="179"/>
      <c r="K3422" s="183"/>
      <c r="L3422" s="176"/>
      <c r="M3422" s="177"/>
      <c r="N3422" s="21"/>
      <c r="O3422" s="45"/>
      <c r="P3422" s="24"/>
      <c r="Q3422" s="24"/>
      <c r="R3422" s="180"/>
      <c r="S3422" s="181"/>
      <c r="T3422" s="35"/>
      <c r="U3422" s="35"/>
      <c r="V3422" s="35"/>
      <c r="W3422" s="35"/>
      <c r="X3422" s="35"/>
      <c r="Y3422" s="182"/>
      <c r="Z3422" s="175"/>
      <c r="AA3422" s="182"/>
      <c r="AB3422" s="184"/>
    </row>
    <row r="3423" spans="1:28" ht="12.75">
      <c r="A3423" s="173"/>
      <c r="B3423" s="174"/>
      <c r="C3423" s="11"/>
      <c r="D3423" s="175"/>
      <c r="E3423" s="176"/>
      <c r="F3423" s="177"/>
      <c r="G3423" s="178"/>
      <c r="H3423" s="177"/>
      <c r="I3423" s="177"/>
      <c r="J3423" s="179"/>
      <c r="K3423" s="183"/>
      <c r="L3423" s="176"/>
      <c r="M3423" s="177"/>
      <c r="N3423" s="21"/>
      <c r="O3423" s="45"/>
      <c r="P3423" s="24"/>
      <c r="Q3423" s="24"/>
      <c r="R3423" s="180"/>
      <c r="S3423" s="181"/>
      <c r="T3423" s="35"/>
      <c r="U3423" s="35"/>
      <c r="V3423" s="35"/>
      <c r="W3423" s="35"/>
      <c r="X3423" s="35"/>
      <c r="Y3423" s="182"/>
      <c r="Z3423" s="175"/>
      <c r="AA3423" s="182"/>
      <c r="AB3423" s="184"/>
    </row>
    <row r="3424" spans="1:28" ht="12.75">
      <c r="A3424" s="173"/>
      <c r="B3424" s="174"/>
      <c r="C3424" s="11"/>
      <c r="D3424" s="175"/>
      <c r="E3424" s="176"/>
      <c r="F3424" s="177"/>
      <c r="G3424" s="178"/>
      <c r="H3424" s="177"/>
      <c r="I3424" s="177"/>
      <c r="J3424" s="179"/>
      <c r="K3424" s="183"/>
      <c r="L3424" s="176"/>
      <c r="M3424" s="177"/>
      <c r="N3424" s="21"/>
      <c r="O3424" s="45"/>
      <c r="P3424" s="24"/>
      <c r="Q3424" s="24"/>
      <c r="R3424" s="180"/>
      <c r="S3424" s="181"/>
      <c r="T3424" s="35"/>
      <c r="U3424" s="35"/>
      <c r="V3424" s="35"/>
      <c r="W3424" s="35"/>
      <c r="X3424" s="35"/>
      <c r="Y3424" s="182"/>
      <c r="Z3424" s="175"/>
      <c r="AA3424" s="182"/>
      <c r="AB3424" s="184"/>
    </row>
    <row r="3425" spans="1:28" ht="12.75">
      <c r="A3425" s="173"/>
      <c r="B3425" s="174"/>
      <c r="C3425" s="11"/>
      <c r="D3425" s="175"/>
      <c r="E3425" s="176"/>
      <c r="F3425" s="177"/>
      <c r="G3425" s="178"/>
      <c r="H3425" s="177"/>
      <c r="I3425" s="177"/>
      <c r="J3425" s="179"/>
      <c r="K3425" s="183"/>
      <c r="L3425" s="176"/>
      <c r="M3425" s="177"/>
      <c r="N3425" s="21"/>
      <c r="O3425" s="45"/>
      <c r="P3425" s="24"/>
      <c r="Q3425" s="24"/>
      <c r="R3425" s="180"/>
      <c r="S3425" s="181"/>
      <c r="T3425" s="35"/>
      <c r="U3425" s="35"/>
      <c r="V3425" s="35"/>
      <c r="W3425" s="35"/>
      <c r="X3425" s="35"/>
      <c r="Y3425" s="182"/>
      <c r="Z3425" s="175"/>
      <c r="AA3425" s="182"/>
      <c r="AB3425" s="184"/>
    </row>
    <row r="3426" spans="1:28" ht="12.75">
      <c r="A3426" s="173"/>
      <c r="B3426" s="174"/>
      <c r="C3426" s="11"/>
      <c r="D3426" s="175"/>
      <c r="E3426" s="176"/>
      <c r="F3426" s="177"/>
      <c r="G3426" s="178"/>
      <c r="H3426" s="177"/>
      <c r="I3426" s="177"/>
      <c r="J3426" s="179"/>
      <c r="K3426" s="183"/>
      <c r="L3426" s="176"/>
      <c r="M3426" s="177"/>
      <c r="N3426" s="21"/>
      <c r="O3426" s="45"/>
      <c r="P3426" s="24"/>
      <c r="Q3426" s="24"/>
      <c r="R3426" s="180"/>
      <c r="S3426" s="181"/>
      <c r="T3426" s="35"/>
      <c r="U3426" s="35"/>
      <c r="V3426" s="35"/>
      <c r="W3426" s="35"/>
      <c r="X3426" s="35"/>
      <c r="Y3426" s="182"/>
      <c r="Z3426" s="175"/>
      <c r="AA3426" s="182"/>
      <c r="AB3426" s="184"/>
    </row>
    <row r="3427" spans="1:28" ht="12.75">
      <c r="A3427" s="173"/>
      <c r="B3427" s="174"/>
      <c r="C3427" s="11"/>
      <c r="D3427" s="175"/>
      <c r="E3427" s="176"/>
      <c r="F3427" s="177"/>
      <c r="G3427" s="178"/>
      <c r="H3427" s="177"/>
      <c r="I3427" s="177"/>
      <c r="J3427" s="179"/>
      <c r="K3427" s="183"/>
      <c r="L3427" s="176"/>
      <c r="M3427" s="177"/>
      <c r="N3427" s="21"/>
      <c r="O3427" s="45"/>
      <c r="P3427" s="24"/>
      <c r="Q3427" s="24"/>
      <c r="R3427" s="180"/>
      <c r="S3427" s="181"/>
      <c r="T3427" s="35"/>
      <c r="U3427" s="35"/>
      <c r="V3427" s="35"/>
      <c r="W3427" s="35"/>
      <c r="X3427" s="35"/>
      <c r="Y3427" s="182"/>
      <c r="Z3427" s="175"/>
      <c r="AA3427" s="182"/>
      <c r="AB3427" s="184"/>
    </row>
    <row r="3428" spans="1:28" ht="12.75">
      <c r="A3428" s="173"/>
      <c r="B3428" s="174"/>
      <c r="C3428" s="11"/>
      <c r="D3428" s="175"/>
      <c r="E3428" s="176"/>
      <c r="F3428" s="177"/>
      <c r="G3428" s="178"/>
      <c r="H3428" s="177"/>
      <c r="I3428" s="177"/>
      <c r="J3428" s="179"/>
      <c r="K3428" s="183"/>
      <c r="L3428" s="176"/>
      <c r="M3428" s="177"/>
      <c r="N3428" s="21"/>
      <c r="O3428" s="45"/>
      <c r="P3428" s="24"/>
      <c r="Q3428" s="24"/>
      <c r="R3428" s="180"/>
      <c r="S3428" s="181"/>
      <c r="T3428" s="35"/>
      <c r="U3428" s="35"/>
      <c r="V3428" s="35"/>
      <c r="W3428" s="35"/>
      <c r="X3428" s="35"/>
      <c r="Y3428" s="182"/>
      <c r="Z3428" s="175"/>
      <c r="AA3428" s="182"/>
      <c r="AB3428" s="184"/>
    </row>
    <row r="3429" spans="1:28" ht="12.75">
      <c r="A3429" s="173"/>
      <c r="B3429" s="174"/>
      <c r="C3429" s="11"/>
      <c r="D3429" s="175"/>
      <c r="E3429" s="176"/>
      <c r="F3429" s="177"/>
      <c r="G3429" s="178"/>
      <c r="H3429" s="177"/>
      <c r="I3429" s="177"/>
      <c r="J3429" s="179"/>
      <c r="K3429" s="183"/>
      <c r="L3429" s="176"/>
      <c r="M3429" s="177"/>
      <c r="N3429" s="21"/>
      <c r="O3429" s="45"/>
      <c r="P3429" s="24"/>
      <c r="Q3429" s="24"/>
      <c r="R3429" s="180"/>
      <c r="S3429" s="181"/>
      <c r="T3429" s="35"/>
      <c r="U3429" s="35"/>
      <c r="V3429" s="35"/>
      <c r="W3429" s="35"/>
      <c r="X3429" s="35"/>
      <c r="Y3429" s="182"/>
      <c r="Z3429" s="175"/>
      <c r="AA3429" s="182"/>
      <c r="AB3429" s="184"/>
    </row>
    <row r="3430" spans="1:28" ht="12.75">
      <c r="A3430" s="173"/>
      <c r="B3430" s="174"/>
      <c r="C3430" s="11"/>
      <c r="D3430" s="175"/>
      <c r="E3430" s="176"/>
      <c r="F3430" s="177"/>
      <c r="G3430" s="178"/>
      <c r="H3430" s="177"/>
      <c r="I3430" s="177"/>
      <c r="J3430" s="179"/>
      <c r="K3430" s="183"/>
      <c r="L3430" s="176"/>
      <c r="M3430" s="177"/>
      <c r="N3430" s="21"/>
      <c r="O3430" s="45"/>
      <c r="P3430" s="24"/>
      <c r="Q3430" s="24"/>
      <c r="R3430" s="180"/>
      <c r="S3430" s="181"/>
      <c r="T3430" s="35"/>
      <c r="U3430" s="35"/>
      <c r="V3430" s="35"/>
      <c r="W3430" s="35"/>
      <c r="X3430" s="35"/>
      <c r="Y3430" s="182"/>
      <c r="Z3430" s="175"/>
      <c r="AA3430" s="182"/>
      <c r="AB3430" s="184"/>
    </row>
    <row r="3431" spans="1:28" ht="12.75">
      <c r="A3431" s="173"/>
      <c r="B3431" s="174"/>
      <c r="C3431" s="11"/>
      <c r="D3431" s="175"/>
      <c r="E3431" s="176"/>
      <c r="F3431" s="177"/>
      <c r="G3431" s="178"/>
      <c r="H3431" s="177"/>
      <c r="I3431" s="177"/>
      <c r="J3431" s="179"/>
      <c r="K3431" s="183"/>
      <c r="L3431" s="176"/>
      <c r="M3431" s="177"/>
      <c r="N3431" s="21"/>
      <c r="O3431" s="45"/>
      <c r="P3431" s="24"/>
      <c r="Q3431" s="24"/>
      <c r="R3431" s="180"/>
      <c r="S3431" s="181"/>
      <c r="T3431" s="35"/>
      <c r="U3431" s="35"/>
      <c r="V3431" s="35"/>
      <c r="W3431" s="35"/>
      <c r="X3431" s="35"/>
      <c r="Y3431" s="182"/>
      <c r="Z3431" s="175"/>
      <c r="AA3431" s="182"/>
      <c r="AB3431" s="184"/>
    </row>
    <row r="3432" spans="1:28" ht="12.75">
      <c r="A3432" s="173"/>
      <c r="B3432" s="174"/>
      <c r="C3432" s="11"/>
      <c r="D3432" s="175"/>
      <c r="E3432" s="176"/>
      <c r="F3432" s="177"/>
      <c r="G3432" s="178"/>
      <c r="H3432" s="177"/>
      <c r="I3432" s="177"/>
      <c r="J3432" s="179"/>
      <c r="K3432" s="183"/>
      <c r="L3432" s="176"/>
      <c r="M3432" s="177"/>
      <c r="N3432" s="21"/>
      <c r="O3432" s="45"/>
      <c r="P3432" s="24"/>
      <c r="Q3432" s="24"/>
      <c r="R3432" s="180"/>
      <c r="S3432" s="181"/>
      <c r="T3432" s="35"/>
      <c r="U3432" s="35"/>
      <c r="V3432" s="35"/>
      <c r="W3432" s="35"/>
      <c r="X3432" s="35"/>
      <c r="Y3432" s="182"/>
      <c r="Z3432" s="175"/>
      <c r="AA3432" s="182"/>
      <c r="AB3432" s="184"/>
    </row>
    <row r="3433" spans="1:28" ht="12.75">
      <c r="A3433" s="173"/>
      <c r="B3433" s="174"/>
      <c r="C3433" s="11"/>
      <c r="D3433" s="175"/>
      <c r="E3433" s="176"/>
      <c r="F3433" s="177"/>
      <c r="G3433" s="178"/>
      <c r="H3433" s="177"/>
      <c r="I3433" s="177"/>
      <c r="J3433" s="179"/>
      <c r="K3433" s="183"/>
      <c r="L3433" s="176"/>
      <c r="M3433" s="177"/>
      <c r="N3433" s="21"/>
      <c r="O3433" s="45"/>
      <c r="P3433" s="24"/>
      <c r="Q3433" s="24"/>
      <c r="R3433" s="180"/>
      <c r="S3433" s="181"/>
      <c r="T3433" s="35"/>
      <c r="U3433" s="35"/>
      <c r="V3433" s="35"/>
      <c r="W3433" s="35"/>
      <c r="X3433" s="35"/>
      <c r="Y3433" s="182"/>
      <c r="Z3433" s="175"/>
      <c r="AA3433" s="182"/>
      <c r="AB3433" s="184"/>
    </row>
    <row r="3434" spans="1:28" ht="12.75">
      <c r="A3434" s="173"/>
      <c r="B3434" s="174"/>
      <c r="C3434" s="11"/>
      <c r="D3434" s="175"/>
      <c r="E3434" s="176"/>
      <c r="F3434" s="177"/>
      <c r="G3434" s="178"/>
      <c r="H3434" s="177"/>
      <c r="I3434" s="177"/>
      <c r="J3434" s="179"/>
      <c r="K3434" s="183"/>
      <c r="L3434" s="176"/>
      <c r="M3434" s="177"/>
      <c r="N3434" s="21"/>
      <c r="O3434" s="45"/>
      <c r="P3434" s="24"/>
      <c r="Q3434" s="24"/>
      <c r="R3434" s="180"/>
      <c r="S3434" s="181"/>
      <c r="T3434" s="35"/>
      <c r="U3434" s="35"/>
      <c r="V3434" s="35"/>
      <c r="W3434" s="35"/>
      <c r="X3434" s="35"/>
      <c r="Y3434" s="182"/>
      <c r="Z3434" s="175"/>
      <c r="AA3434" s="182"/>
      <c r="AB3434" s="184"/>
    </row>
    <row r="3435" spans="1:28" ht="12.75">
      <c r="A3435" s="173"/>
      <c r="B3435" s="174"/>
      <c r="C3435" s="11"/>
      <c r="D3435" s="175"/>
      <c r="E3435" s="176"/>
      <c r="F3435" s="177"/>
      <c r="G3435" s="178"/>
      <c r="H3435" s="177"/>
      <c r="I3435" s="177"/>
      <c r="J3435" s="179"/>
      <c r="K3435" s="183"/>
      <c r="L3435" s="176"/>
      <c r="M3435" s="177"/>
      <c r="N3435" s="21"/>
      <c r="O3435" s="45"/>
      <c r="P3435" s="24"/>
      <c r="Q3435" s="24"/>
      <c r="R3435" s="180"/>
      <c r="S3435" s="181"/>
      <c r="T3435" s="35"/>
      <c r="U3435" s="35"/>
      <c r="V3435" s="35"/>
      <c r="W3435" s="35"/>
      <c r="X3435" s="35"/>
      <c r="Y3435" s="182"/>
      <c r="Z3435" s="175"/>
      <c r="AA3435" s="182"/>
      <c r="AB3435" s="184"/>
    </row>
    <row r="3436" spans="1:28" ht="12.75">
      <c r="A3436" s="173"/>
      <c r="B3436" s="174"/>
      <c r="C3436" s="11"/>
      <c r="D3436" s="175"/>
      <c r="E3436" s="176"/>
      <c r="F3436" s="177"/>
      <c r="G3436" s="178"/>
      <c r="H3436" s="177"/>
      <c r="I3436" s="177"/>
      <c r="J3436" s="179"/>
      <c r="K3436" s="183"/>
      <c r="L3436" s="176"/>
      <c r="M3436" s="177"/>
      <c r="N3436" s="21"/>
      <c r="O3436" s="45"/>
      <c r="P3436" s="24"/>
      <c r="Q3436" s="24"/>
      <c r="R3436" s="180"/>
      <c r="S3436" s="181"/>
      <c r="T3436" s="35"/>
      <c r="U3436" s="35"/>
      <c r="V3436" s="35"/>
      <c r="W3436" s="35"/>
      <c r="X3436" s="35"/>
      <c r="Y3436" s="182"/>
      <c r="Z3436" s="175"/>
      <c r="AA3436" s="182"/>
      <c r="AB3436" s="184"/>
    </row>
    <row r="3437" spans="1:28" ht="12.75">
      <c r="A3437" s="173"/>
      <c r="B3437" s="174"/>
      <c r="C3437" s="11"/>
      <c r="D3437" s="175"/>
      <c r="E3437" s="176"/>
      <c r="F3437" s="177"/>
      <c r="G3437" s="178"/>
      <c r="H3437" s="177"/>
      <c r="I3437" s="177"/>
      <c r="J3437" s="179"/>
      <c r="K3437" s="183"/>
      <c r="L3437" s="176"/>
      <c r="M3437" s="177"/>
      <c r="N3437" s="21"/>
      <c r="O3437" s="45"/>
      <c r="P3437" s="24"/>
      <c r="Q3437" s="24"/>
      <c r="R3437" s="180"/>
      <c r="S3437" s="181"/>
      <c r="T3437" s="35"/>
      <c r="U3437" s="35"/>
      <c r="V3437" s="35"/>
      <c r="W3437" s="35"/>
      <c r="X3437" s="35"/>
      <c r="Y3437" s="182"/>
      <c r="Z3437" s="175"/>
      <c r="AA3437" s="182"/>
      <c r="AB3437" s="184"/>
    </row>
    <row r="3438" spans="1:28" ht="12.75">
      <c r="A3438" s="173"/>
      <c r="B3438" s="174"/>
      <c r="C3438" s="11"/>
      <c r="D3438" s="175"/>
      <c r="E3438" s="176"/>
      <c r="F3438" s="177"/>
      <c r="G3438" s="178"/>
      <c r="H3438" s="177"/>
      <c r="I3438" s="177"/>
      <c r="J3438" s="179"/>
      <c r="K3438" s="183"/>
      <c r="L3438" s="176"/>
      <c r="M3438" s="177"/>
      <c r="N3438" s="21"/>
      <c r="O3438" s="45"/>
      <c r="P3438" s="24"/>
      <c r="Q3438" s="24"/>
      <c r="R3438" s="180"/>
      <c r="S3438" s="181"/>
      <c r="T3438" s="35"/>
      <c r="U3438" s="35"/>
      <c r="V3438" s="35"/>
      <c r="W3438" s="35"/>
      <c r="X3438" s="35"/>
      <c r="Y3438" s="182"/>
      <c r="Z3438" s="175"/>
      <c r="AA3438" s="182"/>
      <c r="AB3438" s="184"/>
    </row>
    <row r="3439" spans="1:28" ht="12.75">
      <c r="A3439" s="173"/>
      <c r="B3439" s="174"/>
      <c r="C3439" s="11"/>
      <c r="D3439" s="175"/>
      <c r="E3439" s="176"/>
      <c r="F3439" s="177"/>
      <c r="G3439" s="178"/>
      <c r="H3439" s="177"/>
      <c r="I3439" s="177"/>
      <c r="J3439" s="179"/>
      <c r="K3439" s="183"/>
      <c r="L3439" s="176"/>
      <c r="M3439" s="177"/>
      <c r="N3439" s="21"/>
      <c r="O3439" s="45"/>
      <c r="P3439" s="24"/>
      <c r="Q3439" s="24"/>
      <c r="R3439" s="180"/>
      <c r="S3439" s="181"/>
      <c r="T3439" s="35"/>
      <c r="U3439" s="35"/>
      <c r="V3439" s="35"/>
      <c r="W3439" s="35"/>
      <c r="X3439" s="35"/>
      <c r="Y3439" s="182"/>
      <c r="Z3439" s="175"/>
      <c r="AA3439" s="182"/>
      <c r="AB3439" s="184"/>
    </row>
    <row r="3440" spans="1:28" ht="12.75">
      <c r="A3440" s="173"/>
      <c r="B3440" s="174"/>
      <c r="C3440" s="11"/>
      <c r="D3440" s="175"/>
      <c r="E3440" s="176"/>
      <c r="F3440" s="177"/>
      <c r="G3440" s="178"/>
      <c r="H3440" s="177"/>
      <c r="I3440" s="177"/>
      <c r="J3440" s="179"/>
      <c r="K3440" s="183"/>
      <c r="L3440" s="176"/>
      <c r="M3440" s="177"/>
      <c r="N3440" s="21"/>
      <c r="O3440" s="45"/>
      <c r="P3440" s="24"/>
      <c r="Q3440" s="24"/>
      <c r="R3440" s="180"/>
      <c r="S3440" s="181"/>
      <c r="T3440" s="35"/>
      <c r="U3440" s="35"/>
      <c r="V3440" s="35"/>
      <c r="W3440" s="35"/>
      <c r="X3440" s="35"/>
      <c r="Y3440" s="182"/>
      <c r="Z3440" s="175"/>
      <c r="AA3440" s="182"/>
      <c r="AB3440" s="184"/>
    </row>
    <row r="3441" spans="1:28" ht="12.75">
      <c r="A3441" s="173"/>
      <c r="B3441" s="174"/>
      <c r="C3441" s="11"/>
      <c r="D3441" s="175"/>
      <c r="E3441" s="176"/>
      <c r="F3441" s="177"/>
      <c r="G3441" s="178"/>
      <c r="H3441" s="177"/>
      <c r="I3441" s="177"/>
      <c r="J3441" s="179"/>
      <c r="K3441" s="183"/>
      <c r="L3441" s="176"/>
      <c r="M3441" s="177"/>
      <c r="N3441" s="21"/>
      <c r="O3441" s="45"/>
      <c r="P3441" s="24"/>
      <c r="Q3441" s="24"/>
      <c r="R3441" s="180"/>
      <c r="S3441" s="181"/>
      <c r="T3441" s="35"/>
      <c r="U3441" s="35"/>
      <c r="V3441" s="35"/>
      <c r="W3441" s="35"/>
      <c r="X3441" s="35"/>
      <c r="Y3441" s="182"/>
      <c r="Z3441" s="175"/>
      <c r="AA3441" s="182"/>
      <c r="AB3441" s="184"/>
    </row>
    <row r="3442" spans="1:28" ht="12.75">
      <c r="A3442" s="173"/>
      <c r="B3442" s="174"/>
      <c r="C3442" s="11"/>
      <c r="D3442" s="175"/>
      <c r="E3442" s="176"/>
      <c r="F3442" s="177"/>
      <c r="G3442" s="178"/>
      <c r="H3442" s="177"/>
      <c r="I3442" s="177"/>
      <c r="J3442" s="179"/>
      <c r="K3442" s="183"/>
      <c r="L3442" s="176"/>
      <c r="M3442" s="177"/>
      <c r="N3442" s="21"/>
      <c r="O3442" s="45"/>
      <c r="P3442" s="24"/>
      <c r="Q3442" s="24"/>
      <c r="R3442" s="180"/>
      <c r="S3442" s="181"/>
      <c r="T3442" s="35"/>
      <c r="U3442" s="35"/>
      <c r="V3442" s="35"/>
      <c r="W3442" s="35"/>
      <c r="X3442" s="35"/>
      <c r="Y3442" s="182"/>
      <c r="Z3442" s="175"/>
      <c r="AA3442" s="182"/>
      <c r="AB3442" s="184"/>
    </row>
    <row r="3443" spans="1:28" ht="12.75">
      <c r="A3443" s="173"/>
      <c r="B3443" s="174"/>
      <c r="C3443" s="11"/>
      <c r="D3443" s="175"/>
      <c r="E3443" s="176"/>
      <c r="F3443" s="177"/>
      <c r="G3443" s="178"/>
      <c r="H3443" s="177"/>
      <c r="I3443" s="177"/>
      <c r="J3443" s="179"/>
      <c r="K3443" s="183"/>
      <c r="L3443" s="176"/>
      <c r="M3443" s="177"/>
      <c r="N3443" s="21"/>
      <c r="O3443" s="45"/>
      <c r="P3443" s="24"/>
      <c r="Q3443" s="24"/>
      <c r="R3443" s="180"/>
      <c r="S3443" s="181"/>
      <c r="T3443" s="35"/>
      <c r="U3443" s="35"/>
      <c r="V3443" s="35"/>
      <c r="W3443" s="35"/>
      <c r="X3443" s="35"/>
      <c r="Y3443" s="182"/>
      <c r="Z3443" s="175"/>
      <c r="AA3443" s="182"/>
      <c r="AB3443" s="184"/>
    </row>
    <row r="3444" spans="1:28" ht="12.75">
      <c r="A3444" s="173"/>
      <c r="B3444" s="174"/>
      <c r="C3444" s="11"/>
      <c r="D3444" s="175"/>
      <c r="E3444" s="176"/>
      <c r="F3444" s="177"/>
      <c r="G3444" s="178"/>
      <c r="H3444" s="177"/>
      <c r="I3444" s="177"/>
      <c r="J3444" s="179"/>
      <c r="K3444" s="183"/>
      <c r="L3444" s="176"/>
      <c r="M3444" s="177"/>
      <c r="N3444" s="21"/>
      <c r="O3444" s="45"/>
      <c r="P3444" s="24"/>
      <c r="Q3444" s="24"/>
      <c r="R3444" s="180"/>
      <c r="S3444" s="181"/>
      <c r="T3444" s="35"/>
      <c r="U3444" s="35"/>
      <c r="V3444" s="35"/>
      <c r="W3444" s="35"/>
      <c r="X3444" s="35"/>
      <c r="Y3444" s="182"/>
      <c r="Z3444" s="175"/>
      <c r="AA3444" s="182"/>
      <c r="AB3444" s="184"/>
    </row>
    <row r="3445" spans="1:28" ht="12.75">
      <c r="A3445" s="173"/>
      <c r="B3445" s="174"/>
      <c r="C3445" s="11"/>
      <c r="D3445" s="175"/>
      <c r="E3445" s="176"/>
      <c r="F3445" s="177"/>
      <c r="G3445" s="178"/>
      <c r="H3445" s="177"/>
      <c r="I3445" s="177"/>
      <c r="J3445" s="179"/>
      <c r="K3445" s="183"/>
      <c r="L3445" s="176"/>
      <c r="M3445" s="177"/>
      <c r="N3445" s="21"/>
      <c r="O3445" s="45"/>
      <c r="P3445" s="24"/>
      <c r="Q3445" s="24"/>
      <c r="R3445" s="180"/>
      <c r="S3445" s="181"/>
      <c r="T3445" s="35"/>
      <c r="U3445" s="35"/>
      <c r="V3445" s="35"/>
      <c r="W3445" s="35"/>
      <c r="X3445" s="35"/>
      <c r="Y3445" s="182"/>
      <c r="Z3445" s="175"/>
      <c r="AA3445" s="182"/>
      <c r="AB3445" s="184"/>
    </row>
    <row r="3446" spans="1:28" ht="12.75">
      <c r="A3446" s="173"/>
      <c r="B3446" s="174"/>
      <c r="C3446" s="11"/>
      <c r="D3446" s="175"/>
      <c r="E3446" s="176"/>
      <c r="F3446" s="177"/>
      <c r="G3446" s="178"/>
      <c r="H3446" s="177"/>
      <c r="I3446" s="177"/>
      <c r="J3446" s="179"/>
      <c r="K3446" s="183"/>
      <c r="L3446" s="176"/>
      <c r="M3446" s="177"/>
      <c r="N3446" s="21"/>
      <c r="O3446" s="45"/>
      <c r="P3446" s="24"/>
      <c r="Q3446" s="24"/>
      <c r="R3446" s="180"/>
      <c r="S3446" s="181"/>
      <c r="T3446" s="35"/>
      <c r="U3446" s="35"/>
      <c r="V3446" s="35"/>
      <c r="W3446" s="35"/>
      <c r="X3446" s="35"/>
      <c r="Y3446" s="182"/>
      <c r="Z3446" s="175"/>
      <c r="AA3446" s="182"/>
      <c r="AB3446" s="184"/>
    </row>
    <row r="3447" spans="1:28" ht="12.75">
      <c r="A3447" s="173"/>
      <c r="B3447" s="174"/>
      <c r="C3447" s="11"/>
      <c r="D3447" s="175"/>
      <c r="E3447" s="176"/>
      <c r="F3447" s="177"/>
      <c r="G3447" s="178"/>
      <c r="H3447" s="177"/>
      <c r="I3447" s="177"/>
      <c r="J3447" s="179"/>
      <c r="K3447" s="183"/>
      <c r="L3447" s="176"/>
      <c r="M3447" s="177"/>
      <c r="N3447" s="21"/>
      <c r="O3447" s="45"/>
      <c r="P3447" s="24"/>
      <c r="Q3447" s="24"/>
      <c r="R3447" s="180"/>
      <c r="S3447" s="181"/>
      <c r="T3447" s="35"/>
      <c r="U3447" s="35"/>
      <c r="V3447" s="35"/>
      <c r="W3447" s="35"/>
      <c r="X3447" s="35"/>
      <c r="Y3447" s="182"/>
      <c r="Z3447" s="175"/>
      <c r="AA3447" s="182"/>
      <c r="AB3447" s="184"/>
    </row>
    <row r="3448" spans="1:28" ht="12.75">
      <c r="A3448" s="173"/>
      <c r="B3448" s="174"/>
      <c r="C3448" s="11"/>
      <c r="D3448" s="175"/>
      <c r="E3448" s="176"/>
      <c r="F3448" s="177"/>
      <c r="G3448" s="178"/>
      <c r="H3448" s="177"/>
      <c r="I3448" s="177"/>
      <c r="J3448" s="179"/>
      <c r="K3448" s="183"/>
      <c r="L3448" s="176"/>
      <c r="M3448" s="177"/>
      <c r="N3448" s="21"/>
      <c r="O3448" s="45"/>
      <c r="P3448" s="24"/>
      <c r="Q3448" s="24"/>
      <c r="R3448" s="180"/>
      <c r="S3448" s="181"/>
      <c r="T3448" s="35"/>
      <c r="U3448" s="35"/>
      <c r="V3448" s="35"/>
      <c r="W3448" s="35"/>
      <c r="X3448" s="35"/>
      <c r="Y3448" s="182"/>
      <c r="Z3448" s="175"/>
      <c r="AA3448" s="182"/>
      <c r="AB3448" s="184"/>
    </row>
    <row r="3449" spans="1:28" ht="12.75">
      <c r="A3449" s="173"/>
      <c r="B3449" s="174"/>
      <c r="C3449" s="11"/>
      <c r="D3449" s="175"/>
      <c r="E3449" s="176"/>
      <c r="F3449" s="177"/>
      <c r="G3449" s="178"/>
      <c r="H3449" s="177"/>
      <c r="I3449" s="177"/>
      <c r="J3449" s="179"/>
      <c r="K3449" s="183"/>
      <c r="L3449" s="176"/>
      <c r="M3449" s="177"/>
      <c r="N3449" s="21"/>
      <c r="O3449" s="45"/>
      <c r="P3449" s="24"/>
      <c r="Q3449" s="24"/>
      <c r="R3449" s="180"/>
      <c r="S3449" s="181"/>
      <c r="T3449" s="35"/>
      <c r="U3449" s="35"/>
      <c r="V3449" s="35"/>
      <c r="W3449" s="35"/>
      <c r="X3449" s="35"/>
      <c r="Y3449" s="182"/>
      <c r="Z3449" s="175"/>
      <c r="AA3449" s="182"/>
      <c r="AB3449" s="184"/>
    </row>
    <row r="3450" spans="1:28" ht="12.75">
      <c r="A3450" s="173"/>
      <c r="B3450" s="174"/>
      <c r="C3450" s="11"/>
      <c r="D3450" s="175"/>
      <c r="E3450" s="176"/>
      <c r="F3450" s="177"/>
      <c r="G3450" s="178"/>
      <c r="H3450" s="177"/>
      <c r="I3450" s="177"/>
      <c r="J3450" s="179"/>
      <c r="K3450" s="183"/>
      <c r="L3450" s="176"/>
      <c r="M3450" s="177"/>
      <c r="N3450" s="21"/>
      <c r="O3450" s="45"/>
      <c r="P3450" s="24"/>
      <c r="Q3450" s="24"/>
      <c r="R3450" s="180"/>
      <c r="S3450" s="181"/>
      <c r="T3450" s="35"/>
      <c r="U3450" s="35"/>
      <c r="V3450" s="35"/>
      <c r="W3450" s="35"/>
      <c r="X3450" s="35"/>
      <c r="Y3450" s="182"/>
      <c r="Z3450" s="175"/>
      <c r="AA3450" s="182"/>
      <c r="AB3450" s="184"/>
    </row>
    <row r="3451" spans="1:28" ht="12.75">
      <c r="A3451" s="173"/>
      <c r="B3451" s="174"/>
      <c r="C3451" s="11"/>
      <c r="D3451" s="175"/>
      <c r="E3451" s="176"/>
      <c r="F3451" s="177"/>
      <c r="G3451" s="178"/>
      <c r="H3451" s="177"/>
      <c r="I3451" s="177"/>
      <c r="J3451" s="179"/>
      <c r="K3451" s="183"/>
      <c r="L3451" s="176"/>
      <c r="M3451" s="177"/>
      <c r="N3451" s="21"/>
      <c r="O3451" s="45"/>
      <c r="P3451" s="24"/>
      <c r="Q3451" s="24"/>
      <c r="R3451" s="180"/>
      <c r="S3451" s="181"/>
      <c r="T3451" s="35"/>
      <c r="U3451" s="35"/>
      <c r="V3451" s="35"/>
      <c r="W3451" s="35"/>
      <c r="X3451" s="35"/>
      <c r="Y3451" s="182"/>
      <c r="Z3451" s="175"/>
      <c r="AA3451" s="182"/>
      <c r="AB3451" s="184"/>
    </row>
    <row r="3452" spans="1:28" ht="12.75">
      <c r="A3452" s="173"/>
      <c r="B3452" s="174"/>
      <c r="C3452" s="11"/>
      <c r="D3452" s="175"/>
      <c r="E3452" s="176"/>
      <c r="F3452" s="177"/>
      <c r="G3452" s="178"/>
      <c r="H3452" s="177"/>
      <c r="I3452" s="177"/>
      <c r="J3452" s="179"/>
      <c r="K3452" s="183"/>
      <c r="L3452" s="176"/>
      <c r="M3452" s="177"/>
      <c r="N3452" s="21"/>
      <c r="O3452" s="45"/>
      <c r="P3452" s="24"/>
      <c r="Q3452" s="24"/>
      <c r="R3452" s="180"/>
      <c r="S3452" s="181"/>
      <c r="T3452" s="35"/>
      <c r="U3452" s="35"/>
      <c r="V3452" s="35"/>
      <c r="W3452" s="35"/>
      <c r="X3452" s="35"/>
      <c r="Y3452" s="182"/>
      <c r="Z3452" s="175"/>
      <c r="AA3452" s="182"/>
      <c r="AB3452" s="184"/>
    </row>
    <row r="3453" spans="1:28" ht="12.75">
      <c r="A3453" s="173"/>
      <c r="B3453" s="174"/>
      <c r="C3453" s="11"/>
      <c r="D3453" s="175"/>
      <c r="E3453" s="176"/>
      <c r="F3453" s="177"/>
      <c r="G3453" s="178"/>
      <c r="H3453" s="177"/>
      <c r="I3453" s="177"/>
      <c r="J3453" s="179"/>
      <c r="K3453" s="183"/>
      <c r="L3453" s="176"/>
      <c r="M3453" s="177"/>
      <c r="N3453" s="21"/>
      <c r="O3453" s="45"/>
      <c r="P3453" s="24"/>
      <c r="Q3453" s="24"/>
      <c r="R3453" s="180"/>
      <c r="S3453" s="181"/>
      <c r="T3453" s="35"/>
      <c r="U3453" s="35"/>
      <c r="V3453" s="35"/>
      <c r="W3453" s="35"/>
      <c r="X3453" s="35"/>
      <c r="Y3453" s="182"/>
      <c r="Z3453" s="175"/>
      <c r="AA3453" s="182"/>
      <c r="AB3453" s="184"/>
    </row>
    <row r="3454" spans="1:28" ht="12.75">
      <c r="A3454" s="173"/>
      <c r="B3454" s="174"/>
      <c r="C3454" s="11"/>
      <c r="D3454" s="175"/>
      <c r="E3454" s="176"/>
      <c r="F3454" s="177"/>
      <c r="G3454" s="178"/>
      <c r="H3454" s="177"/>
      <c r="I3454" s="177"/>
      <c r="J3454" s="179"/>
      <c r="K3454" s="183"/>
      <c r="L3454" s="176"/>
      <c r="M3454" s="177"/>
      <c r="N3454" s="21"/>
      <c r="O3454" s="45"/>
      <c r="P3454" s="24"/>
      <c r="Q3454" s="24"/>
      <c r="R3454" s="180"/>
      <c r="S3454" s="181"/>
      <c r="T3454" s="35"/>
      <c r="U3454" s="35"/>
      <c r="V3454" s="35"/>
      <c r="W3454" s="35"/>
      <c r="X3454" s="35"/>
      <c r="Y3454" s="182"/>
      <c r="Z3454" s="175"/>
      <c r="AA3454" s="182"/>
      <c r="AB3454" s="184"/>
    </row>
    <row r="3455" spans="1:28" ht="12.75">
      <c r="A3455" s="173"/>
      <c r="B3455" s="174"/>
      <c r="C3455" s="11"/>
      <c r="D3455" s="175"/>
      <c r="E3455" s="176"/>
      <c r="F3455" s="177"/>
      <c r="G3455" s="178"/>
      <c r="H3455" s="177"/>
      <c r="I3455" s="177"/>
      <c r="J3455" s="179"/>
      <c r="K3455" s="183"/>
      <c r="L3455" s="176"/>
      <c r="M3455" s="177"/>
      <c r="N3455" s="21"/>
      <c r="O3455" s="45"/>
      <c r="P3455" s="24"/>
      <c r="Q3455" s="24"/>
      <c r="R3455" s="180"/>
      <c r="S3455" s="181"/>
      <c r="T3455" s="35"/>
      <c r="U3455" s="35"/>
      <c r="V3455" s="35"/>
      <c r="W3455" s="35"/>
      <c r="X3455" s="35"/>
      <c r="Y3455" s="182"/>
      <c r="Z3455" s="175"/>
      <c r="AA3455" s="182"/>
      <c r="AB3455" s="184"/>
    </row>
    <row r="3456" spans="1:28" ht="12.75">
      <c r="A3456" s="173"/>
      <c r="B3456" s="174"/>
      <c r="C3456" s="11"/>
      <c r="D3456" s="175"/>
      <c r="E3456" s="176"/>
      <c r="F3456" s="177"/>
      <c r="G3456" s="178"/>
      <c r="H3456" s="177"/>
      <c r="I3456" s="177"/>
      <c r="J3456" s="179"/>
      <c r="K3456" s="183"/>
      <c r="L3456" s="176"/>
      <c r="M3456" s="177"/>
      <c r="N3456" s="21"/>
      <c r="O3456" s="45"/>
      <c r="P3456" s="24"/>
      <c r="Q3456" s="24"/>
      <c r="R3456" s="180"/>
      <c r="S3456" s="181"/>
      <c r="T3456" s="35"/>
      <c r="U3456" s="35"/>
      <c r="V3456" s="35"/>
      <c r="W3456" s="35"/>
      <c r="X3456" s="35"/>
      <c r="Y3456" s="182"/>
      <c r="Z3456" s="175"/>
      <c r="AA3456" s="182"/>
      <c r="AB3456" s="184"/>
    </row>
    <row r="3457" spans="1:28" ht="12.75">
      <c r="A3457" s="173"/>
      <c r="B3457" s="174"/>
      <c r="C3457" s="11"/>
      <c r="D3457" s="175"/>
      <c r="E3457" s="176"/>
      <c r="F3457" s="177"/>
      <c r="G3457" s="178"/>
      <c r="H3457" s="177"/>
      <c r="I3457" s="177"/>
      <c r="J3457" s="179"/>
      <c r="K3457" s="183"/>
      <c r="L3457" s="176"/>
      <c r="M3457" s="177"/>
      <c r="N3457" s="21"/>
      <c r="O3457" s="45"/>
      <c r="P3457" s="24"/>
      <c r="Q3457" s="24"/>
      <c r="R3457" s="180"/>
      <c r="S3457" s="181"/>
      <c r="T3457" s="35"/>
      <c r="U3457" s="35"/>
      <c r="V3457" s="35"/>
      <c r="W3457" s="35"/>
      <c r="X3457" s="35"/>
      <c r="Y3457" s="182"/>
      <c r="Z3457" s="175"/>
      <c r="AA3457" s="182"/>
      <c r="AB3457" s="184"/>
    </row>
    <row r="3458" spans="1:28" ht="12.75">
      <c r="A3458" s="173"/>
      <c r="B3458" s="174"/>
      <c r="C3458" s="11"/>
      <c r="D3458" s="175"/>
      <c r="E3458" s="176"/>
      <c r="F3458" s="177"/>
      <c r="G3458" s="178"/>
      <c r="H3458" s="177"/>
      <c r="I3458" s="177"/>
      <c r="J3458" s="179"/>
      <c r="K3458" s="183"/>
      <c r="L3458" s="176"/>
      <c r="M3458" s="177"/>
      <c r="N3458" s="21"/>
      <c r="O3458" s="45"/>
      <c r="P3458" s="24"/>
      <c r="Q3458" s="24"/>
      <c r="R3458" s="180"/>
      <c r="S3458" s="181"/>
      <c r="T3458" s="35"/>
      <c r="U3458" s="35"/>
      <c r="V3458" s="35"/>
      <c r="W3458" s="35"/>
      <c r="X3458" s="35"/>
      <c r="Y3458" s="182"/>
      <c r="Z3458" s="175"/>
      <c r="AA3458" s="182"/>
      <c r="AB3458" s="184"/>
    </row>
    <row r="3459" spans="1:28" ht="12.75">
      <c r="A3459" s="173"/>
      <c r="B3459" s="174"/>
      <c r="C3459" s="11"/>
      <c r="D3459" s="175"/>
      <c r="E3459" s="176"/>
      <c r="F3459" s="177"/>
      <c r="G3459" s="178"/>
      <c r="H3459" s="177"/>
      <c r="I3459" s="177"/>
      <c r="J3459" s="179"/>
      <c r="K3459" s="183"/>
      <c r="L3459" s="176"/>
      <c r="M3459" s="177"/>
      <c r="N3459" s="21"/>
      <c r="O3459" s="45"/>
      <c r="P3459" s="24"/>
      <c r="Q3459" s="24"/>
      <c r="R3459" s="180"/>
      <c r="S3459" s="181"/>
      <c r="T3459" s="35"/>
      <c r="U3459" s="35"/>
      <c r="V3459" s="35"/>
      <c r="W3459" s="35"/>
      <c r="X3459" s="35"/>
      <c r="Y3459" s="182"/>
      <c r="Z3459" s="175"/>
      <c r="AA3459" s="182"/>
      <c r="AB3459" s="184"/>
    </row>
    <row r="3460" spans="1:28" ht="12.75">
      <c r="A3460" s="173"/>
      <c r="B3460" s="174"/>
      <c r="C3460" s="11"/>
      <c r="D3460" s="175"/>
      <c r="E3460" s="176"/>
      <c r="F3460" s="177"/>
      <c r="G3460" s="178"/>
      <c r="H3460" s="177"/>
      <c r="I3460" s="177"/>
      <c r="J3460" s="179"/>
      <c r="K3460" s="183"/>
      <c r="L3460" s="176"/>
      <c r="M3460" s="177"/>
      <c r="N3460" s="21"/>
      <c r="O3460" s="45"/>
      <c r="P3460" s="24"/>
      <c r="Q3460" s="24"/>
      <c r="R3460" s="180"/>
      <c r="S3460" s="181"/>
      <c r="T3460" s="35"/>
      <c r="U3460" s="35"/>
      <c r="V3460" s="35"/>
      <c r="W3460" s="35"/>
      <c r="X3460" s="35"/>
      <c r="Y3460" s="182"/>
      <c r="Z3460" s="175"/>
      <c r="AA3460" s="182"/>
      <c r="AB3460" s="184"/>
    </row>
    <row r="3461" spans="1:28" ht="12.75">
      <c r="A3461" s="173"/>
      <c r="B3461" s="174"/>
      <c r="C3461" s="11"/>
      <c r="D3461" s="175"/>
      <c r="E3461" s="176"/>
      <c r="F3461" s="177"/>
      <c r="G3461" s="178"/>
      <c r="H3461" s="177"/>
      <c r="I3461" s="177"/>
      <c r="J3461" s="179"/>
      <c r="K3461" s="183"/>
      <c r="L3461" s="176"/>
      <c r="M3461" s="177"/>
      <c r="N3461" s="21"/>
      <c r="O3461" s="45"/>
      <c r="P3461" s="24"/>
      <c r="Q3461" s="24"/>
      <c r="R3461" s="180"/>
      <c r="S3461" s="181"/>
      <c r="T3461" s="35"/>
      <c r="U3461" s="35"/>
      <c r="V3461" s="35"/>
      <c r="W3461" s="35"/>
      <c r="X3461" s="35"/>
      <c r="Y3461" s="182"/>
      <c r="Z3461" s="175"/>
      <c r="AA3461" s="182"/>
      <c r="AB3461" s="184"/>
    </row>
    <row r="3462" spans="1:28" ht="12.75">
      <c r="A3462" s="173"/>
      <c r="B3462" s="174"/>
      <c r="C3462" s="11"/>
      <c r="D3462" s="175"/>
      <c r="E3462" s="176"/>
      <c r="F3462" s="177"/>
      <c r="G3462" s="178"/>
      <c r="H3462" s="177"/>
      <c r="I3462" s="177"/>
      <c r="J3462" s="179"/>
      <c r="K3462" s="183"/>
      <c r="L3462" s="176"/>
      <c r="M3462" s="177"/>
      <c r="N3462" s="21"/>
      <c r="O3462" s="45"/>
      <c r="P3462" s="24"/>
      <c r="Q3462" s="24"/>
      <c r="R3462" s="180"/>
      <c r="S3462" s="181"/>
      <c r="T3462" s="35"/>
      <c r="U3462" s="35"/>
      <c r="V3462" s="35"/>
      <c r="W3462" s="35"/>
      <c r="X3462" s="35"/>
      <c r="Y3462" s="182"/>
      <c r="Z3462" s="175"/>
      <c r="AA3462" s="182"/>
      <c r="AB3462" s="184"/>
    </row>
    <row r="3463" spans="1:28" ht="12.75">
      <c r="A3463" s="173"/>
      <c r="B3463" s="174"/>
      <c r="C3463" s="11"/>
      <c r="D3463" s="175"/>
      <c r="E3463" s="176"/>
      <c r="F3463" s="177"/>
      <c r="G3463" s="178"/>
      <c r="H3463" s="177"/>
      <c r="I3463" s="177"/>
      <c r="J3463" s="179"/>
      <c r="K3463" s="183"/>
      <c r="L3463" s="176"/>
      <c r="M3463" s="177"/>
      <c r="N3463" s="21"/>
      <c r="O3463" s="45"/>
      <c r="P3463" s="24"/>
      <c r="Q3463" s="24"/>
      <c r="R3463" s="180"/>
      <c r="S3463" s="181"/>
      <c r="T3463" s="35"/>
      <c r="U3463" s="35"/>
      <c r="V3463" s="35"/>
      <c r="W3463" s="35"/>
      <c r="X3463" s="35"/>
      <c r="Y3463" s="182"/>
      <c r="Z3463" s="175"/>
      <c r="AA3463" s="182"/>
      <c r="AB3463" s="184"/>
    </row>
    <row r="3464" spans="1:28" ht="12.75">
      <c r="A3464" s="173"/>
      <c r="B3464" s="174"/>
      <c r="C3464" s="11"/>
      <c r="D3464" s="175"/>
      <c r="E3464" s="176"/>
      <c r="F3464" s="177"/>
      <c r="G3464" s="178"/>
      <c r="H3464" s="177"/>
      <c r="I3464" s="177"/>
      <c r="J3464" s="179"/>
      <c r="K3464" s="183"/>
      <c r="L3464" s="176"/>
      <c r="M3464" s="177"/>
      <c r="N3464" s="21"/>
      <c r="O3464" s="45"/>
      <c r="P3464" s="24"/>
      <c r="Q3464" s="24"/>
      <c r="R3464" s="180"/>
      <c r="S3464" s="181"/>
      <c r="T3464" s="35"/>
      <c r="U3464" s="35"/>
      <c r="V3464" s="35"/>
      <c r="W3464" s="35"/>
      <c r="X3464" s="35"/>
      <c r="Y3464" s="182"/>
      <c r="Z3464" s="175"/>
      <c r="AA3464" s="182"/>
      <c r="AB3464" s="184"/>
    </row>
    <row r="3465" spans="1:28" ht="12.75">
      <c r="A3465" s="173"/>
      <c r="B3465" s="174"/>
      <c r="C3465" s="11"/>
      <c r="D3465" s="175"/>
      <c r="E3465" s="176"/>
      <c r="F3465" s="177"/>
      <c r="G3465" s="178"/>
      <c r="H3465" s="177"/>
      <c r="I3465" s="177"/>
      <c r="J3465" s="179"/>
      <c r="K3465" s="183"/>
      <c r="L3465" s="176"/>
      <c r="M3465" s="177"/>
      <c r="N3465" s="21"/>
      <c r="O3465" s="45"/>
      <c r="P3465" s="24"/>
      <c r="Q3465" s="24"/>
      <c r="R3465" s="180"/>
      <c r="S3465" s="181"/>
      <c r="T3465" s="35"/>
      <c r="U3465" s="35"/>
      <c r="V3465" s="35"/>
      <c r="W3465" s="35"/>
      <c r="X3465" s="35"/>
      <c r="Y3465" s="182"/>
      <c r="Z3465" s="175"/>
      <c r="AA3465" s="182"/>
      <c r="AB3465" s="184"/>
    </row>
    <row r="3466" spans="1:28" ht="12.75">
      <c r="A3466" s="173"/>
      <c r="B3466" s="174"/>
      <c r="C3466" s="11"/>
      <c r="D3466" s="175"/>
      <c r="E3466" s="176"/>
      <c r="F3466" s="177"/>
      <c r="G3466" s="178"/>
      <c r="H3466" s="177"/>
      <c r="I3466" s="177"/>
      <c r="J3466" s="179"/>
      <c r="K3466" s="183"/>
      <c r="L3466" s="176"/>
      <c r="M3466" s="177"/>
      <c r="N3466" s="21"/>
      <c r="O3466" s="45"/>
      <c r="P3466" s="24"/>
      <c r="Q3466" s="24"/>
      <c r="R3466" s="180"/>
      <c r="S3466" s="181"/>
      <c r="T3466" s="35"/>
      <c r="U3466" s="35"/>
      <c r="V3466" s="35"/>
      <c r="W3466" s="35"/>
      <c r="X3466" s="35"/>
      <c r="Y3466" s="182"/>
      <c r="Z3466" s="175"/>
      <c r="AA3466" s="182"/>
      <c r="AB3466" s="184"/>
    </row>
    <row r="3467" spans="1:28" ht="12.75">
      <c r="A3467" s="173"/>
      <c r="B3467" s="174"/>
      <c r="C3467" s="11"/>
      <c r="D3467" s="175"/>
      <c r="E3467" s="176"/>
      <c r="F3467" s="177"/>
      <c r="G3467" s="178"/>
      <c r="H3467" s="177"/>
      <c r="I3467" s="177"/>
      <c r="J3467" s="179"/>
      <c r="K3467" s="183"/>
      <c r="L3467" s="176"/>
      <c r="M3467" s="177"/>
      <c r="N3467" s="21"/>
      <c r="O3467" s="45"/>
      <c r="P3467" s="24"/>
      <c r="Q3467" s="24"/>
      <c r="R3467" s="180"/>
      <c r="S3467" s="181"/>
      <c r="T3467" s="35"/>
      <c r="U3467" s="35"/>
      <c r="V3467" s="35"/>
      <c r="W3467" s="35"/>
      <c r="X3467" s="35"/>
      <c r="Y3467" s="182"/>
      <c r="Z3467" s="175"/>
      <c r="AA3467" s="182"/>
      <c r="AB3467" s="184"/>
    </row>
    <row r="3468" spans="1:28" ht="12.75">
      <c r="A3468" s="173"/>
      <c r="B3468" s="174"/>
      <c r="C3468" s="11"/>
      <c r="D3468" s="175"/>
      <c r="E3468" s="176"/>
      <c r="F3468" s="177"/>
      <c r="G3468" s="178"/>
      <c r="H3468" s="177"/>
      <c r="I3468" s="177"/>
      <c r="J3468" s="179"/>
      <c r="K3468" s="183"/>
      <c r="L3468" s="176"/>
      <c r="M3468" s="177"/>
      <c r="N3468" s="21"/>
      <c r="O3468" s="45"/>
      <c r="P3468" s="24"/>
      <c r="Q3468" s="24"/>
      <c r="R3468" s="180"/>
      <c r="S3468" s="181"/>
      <c r="T3468" s="35"/>
      <c r="U3468" s="35"/>
      <c r="V3468" s="35"/>
      <c r="W3468" s="35"/>
      <c r="X3468" s="35"/>
      <c r="Y3468" s="182"/>
      <c r="Z3468" s="175"/>
      <c r="AA3468" s="182"/>
      <c r="AB3468" s="184"/>
    </row>
    <row r="3469" spans="1:28" ht="12.75">
      <c r="A3469" s="173"/>
      <c r="B3469" s="174"/>
      <c r="C3469" s="11"/>
      <c r="D3469" s="175"/>
      <c r="E3469" s="176"/>
      <c r="F3469" s="177"/>
      <c r="G3469" s="178"/>
      <c r="H3469" s="177"/>
      <c r="I3469" s="177"/>
      <c r="J3469" s="179"/>
      <c r="K3469" s="183"/>
      <c r="L3469" s="176"/>
      <c r="M3469" s="177"/>
      <c r="N3469" s="21"/>
      <c r="O3469" s="45"/>
      <c r="P3469" s="24"/>
      <c r="Q3469" s="24"/>
      <c r="R3469" s="180"/>
      <c r="S3469" s="181"/>
      <c r="T3469" s="35"/>
      <c r="U3469" s="35"/>
      <c r="V3469" s="35"/>
      <c r="W3469" s="35"/>
      <c r="X3469" s="35"/>
      <c r="Y3469" s="182"/>
      <c r="Z3469" s="175"/>
      <c r="AA3469" s="182"/>
      <c r="AB3469" s="184"/>
    </row>
    <row r="3470" spans="1:28" ht="12.75">
      <c r="A3470" s="173"/>
      <c r="B3470" s="174"/>
      <c r="C3470" s="11"/>
      <c r="D3470" s="175"/>
      <c r="E3470" s="176"/>
      <c r="F3470" s="177"/>
      <c r="G3470" s="178"/>
      <c r="H3470" s="177"/>
      <c r="I3470" s="177"/>
      <c r="J3470" s="179"/>
      <c r="K3470" s="183"/>
      <c r="L3470" s="176"/>
      <c r="M3470" s="177"/>
      <c r="N3470" s="21"/>
      <c r="O3470" s="45"/>
      <c r="P3470" s="24"/>
      <c r="Q3470" s="24"/>
      <c r="R3470" s="180"/>
      <c r="S3470" s="181"/>
      <c r="T3470" s="35"/>
      <c r="U3470" s="35"/>
      <c r="V3470" s="35"/>
      <c r="W3470" s="35"/>
      <c r="X3470" s="35"/>
      <c r="Y3470" s="182"/>
      <c r="Z3470" s="175"/>
      <c r="AA3470" s="182"/>
      <c r="AB3470" s="184"/>
    </row>
    <row r="3471" spans="1:28" ht="12.75">
      <c r="A3471" s="173"/>
      <c r="B3471" s="174"/>
      <c r="C3471" s="11"/>
      <c r="D3471" s="175"/>
      <c r="E3471" s="176"/>
      <c r="F3471" s="177"/>
      <c r="G3471" s="178"/>
      <c r="H3471" s="177"/>
      <c r="I3471" s="177"/>
      <c r="J3471" s="179"/>
      <c r="K3471" s="183"/>
      <c r="L3471" s="176"/>
      <c r="M3471" s="177"/>
      <c r="N3471" s="21"/>
      <c r="O3471" s="45"/>
      <c r="P3471" s="24"/>
      <c r="Q3471" s="24"/>
      <c r="R3471" s="180"/>
      <c r="S3471" s="181"/>
      <c r="T3471" s="35"/>
      <c r="U3471" s="35"/>
      <c r="V3471" s="35"/>
      <c r="W3471" s="35"/>
      <c r="X3471" s="35"/>
      <c r="Y3471" s="182"/>
      <c r="Z3471" s="175"/>
      <c r="AA3471" s="182"/>
      <c r="AB3471" s="184"/>
    </row>
    <row r="3472" spans="1:28" ht="12.75">
      <c r="A3472" s="173"/>
      <c r="B3472" s="174"/>
      <c r="C3472" s="11"/>
      <c r="D3472" s="175"/>
      <c r="E3472" s="176"/>
      <c r="F3472" s="177"/>
      <c r="G3472" s="178"/>
      <c r="H3472" s="177"/>
      <c r="I3472" s="177"/>
      <c r="J3472" s="179"/>
      <c r="K3472" s="183"/>
      <c r="L3472" s="176"/>
      <c r="M3472" s="177"/>
      <c r="N3472" s="21"/>
      <c r="O3472" s="45"/>
      <c r="P3472" s="24"/>
      <c r="Q3472" s="24"/>
      <c r="R3472" s="180"/>
      <c r="S3472" s="181"/>
      <c r="T3472" s="35"/>
      <c r="U3472" s="35"/>
      <c r="V3472" s="35"/>
      <c r="W3472" s="35"/>
      <c r="X3472" s="35"/>
      <c r="Y3472" s="182"/>
      <c r="Z3472" s="175"/>
      <c r="AA3472" s="182"/>
      <c r="AB3472" s="184"/>
    </row>
    <row r="3473" spans="1:28" ht="12.75">
      <c r="A3473" s="173"/>
      <c r="B3473" s="174"/>
      <c r="C3473" s="11"/>
      <c r="D3473" s="175"/>
      <c r="E3473" s="176"/>
      <c r="F3473" s="177"/>
      <c r="G3473" s="178"/>
      <c r="H3473" s="177"/>
      <c r="I3473" s="177"/>
      <c r="J3473" s="179"/>
      <c r="K3473" s="183"/>
      <c r="L3473" s="176"/>
      <c r="M3473" s="177"/>
      <c r="N3473" s="21"/>
      <c r="O3473" s="45"/>
      <c r="P3473" s="24"/>
      <c r="Q3473" s="24"/>
      <c r="R3473" s="180"/>
      <c r="S3473" s="181"/>
      <c r="T3473" s="35"/>
      <c r="U3473" s="35"/>
      <c r="V3473" s="35"/>
      <c r="W3473" s="35"/>
      <c r="X3473" s="35"/>
      <c r="Y3473" s="182"/>
      <c r="Z3473" s="175"/>
      <c r="AA3473" s="182"/>
      <c r="AB3473" s="184"/>
    </row>
    <row r="3474" spans="1:28" ht="12.75">
      <c r="A3474" s="173"/>
      <c r="B3474" s="174"/>
      <c r="C3474" s="11"/>
      <c r="D3474" s="175"/>
      <c r="E3474" s="176"/>
      <c r="F3474" s="177"/>
      <c r="G3474" s="178"/>
      <c r="H3474" s="177"/>
      <c r="I3474" s="177"/>
      <c r="J3474" s="179"/>
      <c r="K3474" s="183"/>
      <c r="L3474" s="176"/>
      <c r="M3474" s="177"/>
      <c r="N3474" s="21"/>
      <c r="O3474" s="45"/>
      <c r="P3474" s="24"/>
      <c r="Q3474" s="24"/>
      <c r="R3474" s="180"/>
      <c r="S3474" s="181"/>
      <c r="T3474" s="35"/>
      <c r="U3474" s="35"/>
      <c r="V3474" s="35"/>
      <c r="W3474" s="35"/>
      <c r="X3474" s="35"/>
      <c r="Y3474" s="182"/>
      <c r="Z3474" s="175"/>
      <c r="AA3474" s="182"/>
      <c r="AB3474" s="184"/>
    </row>
    <row r="3475" spans="1:28" ht="12.75">
      <c r="A3475" s="173"/>
      <c r="B3475" s="174"/>
      <c r="C3475" s="11"/>
      <c r="D3475" s="175"/>
      <c r="E3475" s="176"/>
      <c r="F3475" s="177"/>
      <c r="G3475" s="178"/>
      <c r="H3475" s="177"/>
      <c r="I3475" s="177"/>
      <c r="J3475" s="179"/>
      <c r="K3475" s="183"/>
      <c r="L3475" s="176"/>
      <c r="M3475" s="177"/>
      <c r="N3475" s="21"/>
      <c r="O3475" s="45"/>
      <c r="P3475" s="24"/>
      <c r="Q3475" s="24"/>
      <c r="R3475" s="180"/>
      <c r="S3475" s="181"/>
      <c r="T3475" s="35"/>
      <c r="U3475" s="35"/>
      <c r="V3475" s="35"/>
      <c r="W3475" s="35"/>
      <c r="X3475" s="35"/>
      <c r="Y3475" s="182"/>
      <c r="Z3475" s="175"/>
      <c r="AA3475" s="182"/>
      <c r="AB3475" s="184"/>
    </row>
    <row r="3476" spans="1:28" ht="12.75">
      <c r="A3476" s="173"/>
      <c r="B3476" s="174"/>
      <c r="C3476" s="11"/>
      <c r="D3476" s="175"/>
      <c r="E3476" s="176"/>
      <c r="F3476" s="177"/>
      <c r="G3476" s="178"/>
      <c r="H3476" s="177"/>
      <c r="I3476" s="177"/>
      <c r="J3476" s="179"/>
      <c r="K3476" s="183"/>
      <c r="L3476" s="176"/>
      <c r="M3476" s="177"/>
      <c r="N3476" s="21"/>
      <c r="O3476" s="45"/>
      <c r="P3476" s="24"/>
      <c r="Q3476" s="24"/>
      <c r="R3476" s="180"/>
      <c r="S3476" s="181"/>
      <c r="T3476" s="35"/>
      <c r="U3476" s="35"/>
      <c r="V3476" s="35"/>
      <c r="W3476" s="35"/>
      <c r="X3476" s="35"/>
      <c r="Y3476" s="182"/>
      <c r="Z3476" s="175"/>
      <c r="AA3476" s="182"/>
      <c r="AB3476" s="184"/>
    </row>
    <row r="3477" spans="1:28" ht="12.75">
      <c r="A3477" s="173"/>
      <c r="B3477" s="174"/>
      <c r="C3477" s="11"/>
      <c r="D3477" s="175"/>
      <c r="E3477" s="176"/>
      <c r="F3477" s="177"/>
      <c r="G3477" s="178"/>
      <c r="H3477" s="177"/>
      <c r="I3477" s="177"/>
      <c r="J3477" s="179"/>
      <c r="K3477" s="183"/>
      <c r="L3477" s="176"/>
      <c r="M3477" s="177"/>
      <c r="N3477" s="21"/>
      <c r="O3477" s="45"/>
      <c r="P3477" s="24"/>
      <c r="Q3477" s="24"/>
      <c r="R3477" s="180"/>
      <c r="S3477" s="181"/>
      <c r="T3477" s="35"/>
      <c r="U3477" s="35"/>
      <c r="V3477" s="35"/>
      <c r="W3477" s="35"/>
      <c r="X3477" s="35"/>
      <c r="Y3477" s="182"/>
      <c r="Z3477" s="175"/>
      <c r="AA3477" s="182"/>
      <c r="AB3477" s="184"/>
    </row>
    <row r="3478" spans="1:28" ht="12.75">
      <c r="A3478" s="173"/>
      <c r="B3478" s="174"/>
      <c r="C3478" s="11"/>
      <c r="D3478" s="175"/>
      <c r="E3478" s="176"/>
      <c r="F3478" s="177"/>
      <c r="G3478" s="178"/>
      <c r="H3478" s="177"/>
      <c r="I3478" s="177"/>
      <c r="J3478" s="179"/>
      <c r="K3478" s="183"/>
      <c r="L3478" s="176"/>
      <c r="M3478" s="177"/>
      <c r="N3478" s="21"/>
      <c r="O3478" s="45"/>
      <c r="P3478" s="24"/>
      <c r="Q3478" s="24"/>
      <c r="R3478" s="180"/>
      <c r="S3478" s="181"/>
      <c r="T3478" s="35"/>
      <c r="U3478" s="35"/>
      <c r="V3478" s="35"/>
      <c r="W3478" s="35"/>
      <c r="X3478" s="35"/>
      <c r="Y3478" s="182"/>
      <c r="Z3478" s="175"/>
      <c r="AA3478" s="182"/>
      <c r="AB3478" s="184"/>
    </row>
    <row r="3479" spans="1:28" ht="12.75">
      <c r="A3479" s="173"/>
      <c r="B3479" s="174"/>
      <c r="C3479" s="11"/>
      <c r="D3479" s="175"/>
      <c r="E3479" s="176"/>
      <c r="F3479" s="177"/>
      <c r="G3479" s="178"/>
      <c r="H3479" s="177"/>
      <c r="I3479" s="177"/>
      <c r="J3479" s="179"/>
      <c r="K3479" s="183"/>
      <c r="L3479" s="176"/>
      <c r="M3479" s="177"/>
      <c r="N3479" s="21"/>
      <c r="O3479" s="45"/>
      <c r="P3479" s="24"/>
      <c r="Q3479" s="24"/>
      <c r="R3479" s="180"/>
      <c r="S3479" s="181"/>
      <c r="T3479" s="35"/>
      <c r="U3479" s="35"/>
      <c r="V3479" s="35"/>
      <c r="W3479" s="35"/>
      <c r="X3479" s="35"/>
      <c r="Y3479" s="182"/>
      <c r="Z3479" s="175"/>
      <c r="AA3479" s="182"/>
      <c r="AB3479" s="184"/>
    </row>
    <row r="3480" spans="1:28" ht="12.75">
      <c r="A3480" s="173"/>
      <c r="B3480" s="174"/>
      <c r="C3480" s="11"/>
      <c r="D3480" s="175"/>
      <c r="E3480" s="176"/>
      <c r="F3480" s="177"/>
      <c r="G3480" s="178"/>
      <c r="H3480" s="177"/>
      <c r="I3480" s="177"/>
      <c r="J3480" s="179"/>
      <c r="K3480" s="183"/>
      <c r="L3480" s="176"/>
      <c r="M3480" s="177"/>
      <c r="N3480" s="21"/>
      <c r="O3480" s="45"/>
      <c r="P3480" s="24"/>
      <c r="Q3480" s="24"/>
      <c r="R3480" s="180"/>
      <c r="S3480" s="181"/>
      <c r="T3480" s="35"/>
      <c r="U3480" s="35"/>
      <c r="V3480" s="35"/>
      <c r="W3480" s="35"/>
      <c r="X3480" s="35"/>
      <c r="Y3480" s="182"/>
      <c r="Z3480" s="175"/>
      <c r="AA3480" s="182"/>
      <c r="AB3480" s="184"/>
    </row>
    <row r="3481" spans="1:28" ht="12.75">
      <c r="A3481" s="173"/>
      <c r="B3481" s="174"/>
      <c r="C3481" s="11"/>
      <c r="D3481" s="175"/>
      <c r="E3481" s="176"/>
      <c r="F3481" s="177"/>
      <c r="G3481" s="178"/>
      <c r="H3481" s="177"/>
      <c r="I3481" s="177"/>
      <c r="J3481" s="179"/>
      <c r="K3481" s="183"/>
      <c r="L3481" s="176"/>
      <c r="M3481" s="177"/>
      <c r="N3481" s="21"/>
      <c r="O3481" s="45"/>
      <c r="P3481" s="24"/>
      <c r="Q3481" s="24"/>
      <c r="R3481" s="180"/>
      <c r="S3481" s="181"/>
      <c r="T3481" s="35"/>
      <c r="U3481" s="35"/>
      <c r="V3481" s="35"/>
      <c r="W3481" s="35"/>
      <c r="X3481" s="35"/>
      <c r="Y3481" s="182"/>
      <c r="Z3481" s="175"/>
      <c r="AA3481" s="182"/>
      <c r="AB3481" s="184"/>
    </row>
    <row r="3482" spans="1:28" ht="12.75">
      <c r="A3482" s="173"/>
      <c r="B3482" s="174"/>
      <c r="C3482" s="11"/>
      <c r="D3482" s="175"/>
      <c r="E3482" s="176"/>
      <c r="F3482" s="177"/>
      <c r="G3482" s="178"/>
      <c r="H3482" s="177"/>
      <c r="I3482" s="177"/>
      <c r="J3482" s="179"/>
      <c r="K3482" s="183"/>
      <c r="L3482" s="176"/>
      <c r="M3482" s="177"/>
      <c r="N3482" s="21"/>
      <c r="O3482" s="45"/>
      <c r="P3482" s="24"/>
      <c r="Q3482" s="24"/>
      <c r="R3482" s="180"/>
      <c r="S3482" s="181"/>
      <c r="T3482" s="35"/>
      <c r="U3482" s="35"/>
      <c r="V3482" s="35"/>
      <c r="W3482" s="35"/>
      <c r="X3482" s="35"/>
      <c r="Y3482" s="182"/>
      <c r="Z3482" s="175"/>
      <c r="AA3482" s="182"/>
      <c r="AB3482" s="184"/>
    </row>
    <row r="3483" spans="1:28" ht="12.75">
      <c r="A3483" s="173"/>
      <c r="B3483" s="174"/>
      <c r="C3483" s="11"/>
      <c r="D3483" s="175"/>
      <c r="E3483" s="176"/>
      <c r="F3483" s="177"/>
      <c r="G3483" s="178"/>
      <c r="H3483" s="177"/>
      <c r="I3483" s="177"/>
      <c r="J3483" s="179"/>
      <c r="K3483" s="183"/>
      <c r="L3483" s="176"/>
      <c r="M3483" s="177"/>
      <c r="N3483" s="21"/>
      <c r="O3483" s="45"/>
      <c r="P3483" s="24"/>
      <c r="Q3483" s="24"/>
      <c r="R3483" s="180"/>
      <c r="S3483" s="181"/>
      <c r="T3483" s="35"/>
      <c r="U3483" s="35"/>
      <c r="V3483" s="35"/>
      <c r="W3483" s="35"/>
      <c r="X3483" s="35"/>
      <c r="Y3483" s="182"/>
      <c r="Z3483" s="175"/>
      <c r="AA3483" s="182"/>
      <c r="AB3483" s="184"/>
    </row>
    <row r="3484" spans="1:28" ht="12.75">
      <c r="A3484" s="173"/>
      <c r="B3484" s="174"/>
      <c r="C3484" s="11"/>
      <c r="D3484" s="175"/>
      <c r="E3484" s="176"/>
      <c r="F3484" s="177"/>
      <c r="G3484" s="178"/>
      <c r="H3484" s="177"/>
      <c r="I3484" s="177"/>
      <c r="J3484" s="179"/>
      <c r="K3484" s="183"/>
      <c r="L3484" s="176"/>
      <c r="M3484" s="177"/>
      <c r="N3484" s="21"/>
      <c r="O3484" s="45"/>
      <c r="P3484" s="24"/>
      <c r="Q3484" s="24"/>
      <c r="R3484" s="180"/>
      <c r="S3484" s="181"/>
      <c r="T3484" s="35"/>
      <c r="U3484" s="35"/>
      <c r="V3484" s="35"/>
      <c r="W3484" s="35"/>
      <c r="X3484" s="35"/>
      <c r="Y3484" s="182"/>
      <c r="Z3484" s="175"/>
      <c r="AA3484" s="182"/>
      <c r="AB3484" s="184"/>
    </row>
    <row r="3485" spans="1:28" ht="12.75">
      <c r="A3485" s="173"/>
      <c r="B3485" s="174"/>
      <c r="C3485" s="11"/>
      <c r="D3485" s="175"/>
      <c r="E3485" s="176"/>
      <c r="F3485" s="177"/>
      <c r="G3485" s="178"/>
      <c r="H3485" s="177"/>
      <c r="I3485" s="177"/>
      <c r="J3485" s="179"/>
      <c r="K3485" s="183"/>
      <c r="L3485" s="176"/>
      <c r="M3485" s="177"/>
      <c r="N3485" s="21"/>
      <c r="O3485" s="45"/>
      <c r="P3485" s="24"/>
      <c r="Q3485" s="24"/>
      <c r="R3485" s="180"/>
      <c r="S3485" s="181"/>
      <c r="T3485" s="35"/>
      <c r="U3485" s="35"/>
      <c r="V3485" s="35"/>
      <c r="W3485" s="35"/>
      <c r="X3485" s="35"/>
      <c r="Y3485" s="182"/>
      <c r="Z3485" s="175"/>
      <c r="AA3485" s="182"/>
      <c r="AB3485" s="184"/>
    </row>
    <row r="3486" spans="1:28" ht="12.75">
      <c r="A3486" s="173"/>
      <c r="B3486" s="174"/>
      <c r="C3486" s="11"/>
      <c r="D3486" s="175"/>
      <c r="E3486" s="176"/>
      <c r="F3486" s="177"/>
      <c r="G3486" s="178"/>
      <c r="H3486" s="177"/>
      <c r="I3486" s="177"/>
      <c r="J3486" s="179"/>
      <c r="K3486" s="183"/>
      <c r="L3486" s="176"/>
      <c r="M3486" s="177"/>
      <c r="N3486" s="21"/>
      <c r="O3486" s="45"/>
      <c r="P3486" s="24"/>
      <c r="Q3486" s="24"/>
      <c r="R3486" s="180"/>
      <c r="S3486" s="181"/>
      <c r="T3486" s="35"/>
      <c r="U3486" s="35"/>
      <c r="V3486" s="35"/>
      <c r="W3486" s="35"/>
      <c r="X3486" s="35"/>
      <c r="Y3486" s="182"/>
      <c r="Z3486" s="175"/>
      <c r="AA3486" s="182"/>
      <c r="AB3486" s="184"/>
    </row>
    <row r="3487" spans="1:28" ht="12.75">
      <c r="A3487" s="173"/>
      <c r="B3487" s="174"/>
      <c r="C3487" s="11"/>
      <c r="D3487" s="175"/>
      <c r="E3487" s="176"/>
      <c r="F3487" s="177"/>
      <c r="G3487" s="178"/>
      <c r="H3487" s="177"/>
      <c r="I3487" s="177"/>
      <c r="J3487" s="179"/>
      <c r="K3487" s="183"/>
      <c r="L3487" s="176"/>
      <c r="M3487" s="177"/>
      <c r="N3487" s="21"/>
      <c r="O3487" s="45"/>
      <c r="P3487" s="24"/>
      <c r="Q3487" s="24"/>
      <c r="R3487" s="180"/>
      <c r="S3487" s="181"/>
      <c r="T3487" s="35"/>
      <c r="U3487" s="35"/>
      <c r="V3487" s="35"/>
      <c r="W3487" s="35"/>
      <c r="X3487" s="35"/>
      <c r="Y3487" s="182"/>
      <c r="Z3487" s="175"/>
      <c r="AA3487" s="182"/>
      <c r="AB3487" s="184"/>
    </row>
    <row r="3488" spans="1:28" ht="12.75">
      <c r="A3488" s="173"/>
      <c r="B3488" s="174"/>
      <c r="C3488" s="11"/>
      <c r="D3488" s="175"/>
      <c r="E3488" s="176"/>
      <c r="F3488" s="177"/>
      <c r="G3488" s="178"/>
      <c r="H3488" s="177"/>
      <c r="I3488" s="177"/>
      <c r="J3488" s="179"/>
      <c r="K3488" s="183"/>
      <c r="L3488" s="176"/>
      <c r="M3488" s="177"/>
      <c r="N3488" s="21"/>
      <c r="O3488" s="45"/>
      <c r="P3488" s="24"/>
      <c r="Q3488" s="24"/>
      <c r="R3488" s="180"/>
      <c r="S3488" s="181"/>
      <c r="T3488" s="35"/>
      <c r="U3488" s="35"/>
      <c r="V3488" s="35"/>
      <c r="W3488" s="35"/>
      <c r="X3488" s="35"/>
      <c r="Y3488" s="182"/>
      <c r="Z3488" s="175"/>
      <c r="AA3488" s="182"/>
      <c r="AB3488" s="184"/>
    </row>
    <row r="3489" spans="1:28" ht="12.75">
      <c r="A3489" s="173"/>
      <c r="B3489" s="174"/>
      <c r="C3489" s="11"/>
      <c r="D3489" s="175"/>
      <c r="E3489" s="176"/>
      <c r="F3489" s="177"/>
      <c r="G3489" s="178"/>
      <c r="H3489" s="177"/>
      <c r="I3489" s="177"/>
      <c r="J3489" s="179"/>
      <c r="K3489" s="183"/>
      <c r="L3489" s="176"/>
      <c r="M3489" s="177"/>
      <c r="N3489" s="21"/>
      <c r="O3489" s="45"/>
      <c r="P3489" s="24"/>
      <c r="Q3489" s="24"/>
      <c r="R3489" s="180"/>
      <c r="S3489" s="181"/>
      <c r="T3489" s="35"/>
      <c r="U3489" s="35"/>
      <c r="V3489" s="35"/>
      <c r="W3489" s="35"/>
      <c r="X3489" s="35"/>
      <c r="Y3489" s="182"/>
      <c r="Z3489" s="175"/>
      <c r="AA3489" s="182"/>
      <c r="AB3489" s="184"/>
    </row>
    <row r="3490" spans="1:28" ht="12.75">
      <c r="A3490" s="173"/>
      <c r="B3490" s="174"/>
      <c r="C3490" s="11"/>
      <c r="D3490" s="175"/>
      <c r="E3490" s="176"/>
      <c r="F3490" s="177"/>
      <c r="G3490" s="178"/>
      <c r="H3490" s="177"/>
      <c r="I3490" s="177"/>
      <c r="J3490" s="179"/>
      <c r="K3490" s="183"/>
      <c r="L3490" s="176"/>
      <c r="M3490" s="177"/>
      <c r="N3490" s="21"/>
      <c r="O3490" s="45"/>
      <c r="P3490" s="24"/>
      <c r="Q3490" s="24"/>
      <c r="R3490" s="180"/>
      <c r="S3490" s="181"/>
      <c r="T3490" s="35"/>
      <c r="U3490" s="35"/>
      <c r="V3490" s="35"/>
      <c r="W3490" s="35"/>
      <c r="X3490" s="35"/>
      <c r="Y3490" s="182"/>
      <c r="Z3490" s="175"/>
      <c r="AA3490" s="182"/>
      <c r="AB3490" s="184"/>
    </row>
    <row r="3491" spans="1:28" ht="12.75">
      <c r="A3491" s="173"/>
      <c r="B3491" s="174"/>
      <c r="C3491" s="11"/>
      <c r="D3491" s="175"/>
      <c r="E3491" s="176"/>
      <c r="F3491" s="177"/>
      <c r="G3491" s="178"/>
      <c r="H3491" s="177"/>
      <c r="I3491" s="177"/>
      <c r="J3491" s="179"/>
      <c r="K3491" s="183"/>
      <c r="L3491" s="176"/>
      <c r="M3491" s="177"/>
      <c r="N3491" s="21"/>
      <c r="O3491" s="45"/>
      <c r="P3491" s="24"/>
      <c r="Q3491" s="24"/>
      <c r="R3491" s="180"/>
      <c r="S3491" s="181"/>
      <c r="T3491" s="35"/>
      <c r="U3491" s="35"/>
      <c r="V3491" s="35"/>
      <c r="W3491" s="35"/>
      <c r="X3491" s="35"/>
      <c r="Y3491" s="182"/>
      <c r="Z3491" s="175"/>
      <c r="AA3491" s="182"/>
      <c r="AB3491" s="184"/>
    </row>
    <row r="3492" spans="1:28" ht="12.75">
      <c r="A3492" s="173"/>
      <c r="B3492" s="174"/>
      <c r="C3492" s="11"/>
      <c r="D3492" s="175"/>
      <c r="E3492" s="176"/>
      <c r="F3492" s="177"/>
      <c r="G3492" s="178"/>
      <c r="H3492" s="177"/>
      <c r="I3492" s="177"/>
      <c r="J3492" s="179"/>
      <c r="K3492" s="183"/>
      <c r="L3492" s="176"/>
      <c r="M3492" s="177"/>
      <c r="N3492" s="21"/>
      <c r="O3492" s="45"/>
      <c r="P3492" s="24"/>
      <c r="Q3492" s="24"/>
      <c r="R3492" s="180"/>
      <c r="S3492" s="181"/>
      <c r="T3492" s="35"/>
      <c r="U3492" s="35"/>
      <c r="V3492" s="35"/>
      <c r="W3492" s="35"/>
      <c r="X3492" s="35"/>
      <c r="Y3492" s="182"/>
      <c r="Z3492" s="175"/>
      <c r="AA3492" s="182"/>
      <c r="AB3492" s="184"/>
    </row>
    <row r="3493" spans="1:28" ht="12.75">
      <c r="A3493" s="173"/>
      <c r="B3493" s="174"/>
      <c r="C3493" s="11"/>
      <c r="D3493" s="175"/>
      <c r="E3493" s="176"/>
      <c r="F3493" s="177"/>
      <c r="G3493" s="178"/>
      <c r="H3493" s="177"/>
      <c r="I3493" s="177"/>
      <c r="J3493" s="179"/>
      <c r="K3493" s="183"/>
      <c r="L3493" s="176"/>
      <c r="M3493" s="177"/>
      <c r="N3493" s="21"/>
      <c r="O3493" s="45"/>
      <c r="P3493" s="24"/>
      <c r="Q3493" s="24"/>
      <c r="R3493" s="180"/>
      <c r="S3493" s="181"/>
      <c r="T3493" s="35"/>
      <c r="U3493" s="35"/>
      <c r="V3493" s="35"/>
      <c r="W3493" s="35"/>
      <c r="X3493" s="35"/>
      <c r="Y3493" s="182"/>
      <c r="Z3493" s="175"/>
      <c r="AA3493" s="182"/>
      <c r="AB3493" s="184"/>
    </row>
    <row r="3494" spans="1:28" ht="12.75">
      <c r="A3494" s="173"/>
      <c r="B3494" s="174"/>
      <c r="C3494" s="11"/>
      <c r="D3494" s="175"/>
      <c r="E3494" s="176"/>
      <c r="F3494" s="177"/>
      <c r="G3494" s="178"/>
      <c r="H3494" s="177"/>
      <c r="I3494" s="177"/>
      <c r="J3494" s="179"/>
      <c r="K3494" s="183"/>
      <c r="L3494" s="176"/>
      <c r="M3494" s="177"/>
      <c r="N3494" s="21"/>
      <c r="O3494" s="45"/>
      <c r="P3494" s="24"/>
      <c r="Q3494" s="24"/>
      <c r="R3494" s="180"/>
      <c r="S3494" s="181"/>
      <c r="T3494" s="35"/>
      <c r="U3494" s="35"/>
      <c r="V3494" s="35"/>
      <c r="W3494" s="35"/>
      <c r="X3494" s="35"/>
      <c r="Y3494" s="182"/>
      <c r="Z3494" s="175"/>
      <c r="AA3494" s="182"/>
      <c r="AB3494" s="184"/>
    </row>
    <row r="3495" spans="1:28" ht="12.75">
      <c r="A3495" s="173"/>
      <c r="B3495" s="174"/>
      <c r="C3495" s="11"/>
      <c r="D3495" s="175"/>
      <c r="E3495" s="176"/>
      <c r="F3495" s="177"/>
      <c r="G3495" s="178"/>
      <c r="H3495" s="177"/>
      <c r="I3495" s="177"/>
      <c r="J3495" s="179"/>
      <c r="K3495" s="183"/>
      <c r="L3495" s="176"/>
      <c r="M3495" s="177"/>
      <c r="N3495" s="21"/>
      <c r="O3495" s="45"/>
      <c r="P3495" s="24"/>
      <c r="Q3495" s="24"/>
      <c r="R3495" s="180"/>
      <c r="S3495" s="181"/>
      <c r="T3495" s="35"/>
      <c r="U3495" s="35"/>
      <c r="V3495" s="35"/>
      <c r="W3495" s="35"/>
      <c r="X3495" s="35"/>
      <c r="Y3495" s="182"/>
      <c r="Z3495" s="175"/>
      <c r="AA3495" s="182"/>
      <c r="AB3495" s="184"/>
    </row>
    <row r="3496" spans="1:28" ht="12.75">
      <c r="A3496" s="173"/>
      <c r="B3496" s="174"/>
      <c r="C3496" s="11"/>
      <c r="D3496" s="175"/>
      <c r="E3496" s="176"/>
      <c r="F3496" s="177"/>
      <c r="G3496" s="178"/>
      <c r="H3496" s="177"/>
      <c r="I3496" s="177"/>
      <c r="J3496" s="179"/>
      <c r="K3496" s="183"/>
      <c r="L3496" s="176"/>
      <c r="M3496" s="177"/>
      <c r="N3496" s="21"/>
      <c r="O3496" s="45"/>
      <c r="P3496" s="24"/>
      <c r="Q3496" s="24"/>
      <c r="R3496" s="180"/>
      <c r="S3496" s="181"/>
      <c r="T3496" s="35"/>
      <c r="U3496" s="35"/>
      <c r="V3496" s="35"/>
      <c r="W3496" s="35"/>
      <c r="X3496" s="35"/>
      <c r="Y3496" s="182"/>
      <c r="Z3496" s="175"/>
      <c r="AA3496" s="182"/>
      <c r="AB3496" s="184"/>
    </row>
    <row r="3497" spans="1:28" ht="12.75">
      <c r="A3497" s="173"/>
      <c r="B3497" s="174"/>
      <c r="C3497" s="11"/>
      <c r="D3497" s="175"/>
      <c r="E3497" s="176"/>
      <c r="F3497" s="177"/>
      <c r="G3497" s="178"/>
      <c r="H3497" s="177"/>
      <c r="I3497" s="177"/>
      <c r="J3497" s="179"/>
      <c r="K3497" s="183"/>
      <c r="L3497" s="176"/>
      <c r="M3497" s="177"/>
      <c r="N3497" s="21"/>
      <c r="O3497" s="45"/>
      <c r="P3497" s="24"/>
      <c r="Q3497" s="24"/>
      <c r="R3497" s="180"/>
      <c r="S3497" s="181"/>
      <c r="T3497" s="35"/>
      <c r="U3497" s="35"/>
      <c r="V3497" s="35"/>
      <c r="W3497" s="35"/>
      <c r="X3497" s="35"/>
      <c r="Y3497" s="182"/>
      <c r="Z3497" s="175"/>
      <c r="AA3497" s="182"/>
      <c r="AB3497" s="184"/>
    </row>
    <row r="3498" spans="1:28" ht="12.75">
      <c r="A3498" s="173"/>
      <c r="B3498" s="174"/>
      <c r="C3498" s="11"/>
      <c r="D3498" s="175"/>
      <c r="E3498" s="176"/>
      <c r="F3498" s="177"/>
      <c r="G3498" s="178"/>
      <c r="H3498" s="177"/>
      <c r="I3498" s="177"/>
      <c r="J3498" s="179"/>
      <c r="K3498" s="183"/>
      <c r="L3498" s="176"/>
      <c r="M3498" s="177"/>
      <c r="N3498" s="21"/>
      <c r="O3498" s="45"/>
      <c r="P3498" s="24"/>
      <c r="Q3498" s="24"/>
      <c r="R3498" s="180"/>
      <c r="S3498" s="181"/>
      <c r="T3498" s="35"/>
      <c r="U3498" s="35"/>
      <c r="V3498" s="35"/>
      <c r="W3498" s="35"/>
      <c r="X3498" s="35"/>
      <c r="Y3498" s="182"/>
      <c r="Z3498" s="175"/>
      <c r="AA3498" s="182"/>
      <c r="AB3498" s="184"/>
    </row>
    <row r="3499" spans="1:28" ht="12.75">
      <c r="A3499" s="173"/>
      <c r="B3499" s="174"/>
      <c r="C3499" s="11"/>
      <c r="D3499" s="175"/>
      <c r="E3499" s="176"/>
      <c r="F3499" s="177"/>
      <c r="G3499" s="178"/>
      <c r="H3499" s="177"/>
      <c r="I3499" s="177"/>
      <c r="J3499" s="179"/>
      <c r="K3499" s="183"/>
      <c r="L3499" s="176"/>
      <c r="M3499" s="177"/>
      <c r="N3499" s="21"/>
      <c r="O3499" s="45"/>
      <c r="P3499" s="24"/>
      <c r="Q3499" s="24"/>
      <c r="R3499" s="180"/>
      <c r="S3499" s="181"/>
      <c r="T3499" s="35"/>
      <c r="U3499" s="35"/>
      <c r="V3499" s="35"/>
      <c r="W3499" s="35"/>
      <c r="X3499" s="35"/>
      <c r="Y3499" s="182"/>
      <c r="Z3499" s="175"/>
      <c r="AA3499" s="182"/>
      <c r="AB3499" s="184"/>
    </row>
    <row r="3500" spans="1:28" ht="12.75">
      <c r="A3500" s="173"/>
      <c r="B3500" s="174"/>
      <c r="C3500" s="11"/>
      <c r="D3500" s="175"/>
      <c r="E3500" s="176"/>
      <c r="F3500" s="177"/>
      <c r="G3500" s="178"/>
      <c r="H3500" s="177"/>
      <c r="I3500" s="177"/>
      <c r="J3500" s="179"/>
      <c r="K3500" s="183"/>
      <c r="L3500" s="176"/>
      <c r="M3500" s="177"/>
      <c r="N3500" s="21"/>
      <c r="O3500" s="45"/>
      <c r="P3500" s="24"/>
      <c r="Q3500" s="24"/>
      <c r="R3500" s="180"/>
      <c r="S3500" s="181"/>
      <c r="T3500" s="35"/>
      <c r="U3500" s="35"/>
      <c r="V3500" s="35"/>
      <c r="W3500" s="35"/>
      <c r="X3500" s="35"/>
      <c r="Y3500" s="182"/>
      <c r="Z3500" s="175"/>
      <c r="AA3500" s="182"/>
      <c r="AB3500" s="184"/>
    </row>
    <row r="3501" spans="1:28" ht="12.75">
      <c r="A3501" s="173"/>
      <c r="B3501" s="174"/>
      <c r="C3501" s="11"/>
      <c r="D3501" s="175"/>
      <c r="E3501" s="176"/>
      <c r="F3501" s="177"/>
      <c r="G3501" s="178"/>
      <c r="H3501" s="177"/>
      <c r="I3501" s="177"/>
      <c r="J3501" s="179"/>
      <c r="K3501" s="183"/>
      <c r="L3501" s="176"/>
      <c r="M3501" s="177"/>
      <c r="N3501" s="21"/>
      <c r="O3501" s="45"/>
      <c r="P3501" s="24"/>
      <c r="Q3501" s="24"/>
      <c r="R3501" s="180"/>
      <c r="S3501" s="181"/>
      <c r="T3501" s="35"/>
      <c r="U3501" s="35"/>
      <c r="V3501" s="35"/>
      <c r="W3501" s="35"/>
      <c r="X3501" s="35"/>
      <c r="Y3501" s="182"/>
      <c r="Z3501" s="175"/>
      <c r="AA3501" s="182"/>
      <c r="AB3501" s="184"/>
    </row>
    <row r="3502" spans="1:28" ht="12.75">
      <c r="A3502" s="173"/>
      <c r="B3502" s="174"/>
      <c r="C3502" s="11"/>
      <c r="D3502" s="175"/>
      <c r="E3502" s="176"/>
      <c r="F3502" s="177"/>
      <c r="G3502" s="178"/>
      <c r="H3502" s="177"/>
      <c r="I3502" s="177"/>
      <c r="J3502" s="179"/>
      <c r="K3502" s="183"/>
      <c r="L3502" s="176"/>
      <c r="M3502" s="177"/>
      <c r="N3502" s="21"/>
      <c r="O3502" s="45"/>
      <c r="P3502" s="24"/>
      <c r="Q3502" s="24"/>
      <c r="R3502" s="180"/>
      <c r="S3502" s="181"/>
      <c r="T3502" s="35"/>
      <c r="U3502" s="35"/>
      <c r="V3502" s="35"/>
      <c r="W3502" s="35"/>
      <c r="X3502" s="35"/>
      <c r="Y3502" s="182"/>
      <c r="Z3502" s="175"/>
      <c r="AA3502" s="182"/>
      <c r="AB3502" s="184"/>
    </row>
    <row r="3503" spans="1:28" ht="12.75">
      <c r="A3503" s="173"/>
      <c r="B3503" s="174"/>
      <c r="C3503" s="11"/>
      <c r="D3503" s="175"/>
      <c r="E3503" s="176"/>
      <c r="F3503" s="177"/>
      <c r="G3503" s="178"/>
      <c r="H3503" s="177"/>
      <c r="I3503" s="177"/>
      <c r="J3503" s="179"/>
      <c r="K3503" s="183"/>
      <c r="L3503" s="176"/>
      <c r="M3503" s="177"/>
      <c r="N3503" s="21"/>
      <c r="O3503" s="45"/>
      <c r="P3503" s="24"/>
      <c r="Q3503" s="24"/>
      <c r="R3503" s="180"/>
      <c r="S3503" s="181"/>
      <c r="T3503" s="35"/>
      <c r="U3503" s="35"/>
      <c r="V3503" s="35"/>
      <c r="W3503" s="35"/>
      <c r="X3503" s="35"/>
      <c r="Y3503" s="182"/>
      <c r="Z3503" s="175"/>
      <c r="AA3503" s="182"/>
      <c r="AB3503" s="184"/>
    </row>
    <row r="3504" spans="1:28" ht="12.75">
      <c r="A3504" s="173"/>
      <c r="B3504" s="174"/>
      <c r="C3504" s="11"/>
      <c r="D3504" s="175"/>
      <c r="E3504" s="176"/>
      <c r="F3504" s="177"/>
      <c r="G3504" s="178"/>
      <c r="H3504" s="177"/>
      <c r="I3504" s="177"/>
      <c r="J3504" s="179"/>
      <c r="K3504" s="183"/>
      <c r="L3504" s="176"/>
      <c r="M3504" s="177"/>
      <c r="N3504" s="21"/>
      <c r="O3504" s="45"/>
      <c r="P3504" s="24"/>
      <c r="Q3504" s="24"/>
      <c r="R3504" s="180"/>
      <c r="S3504" s="181"/>
      <c r="T3504" s="35"/>
      <c r="U3504" s="35"/>
      <c r="V3504" s="35"/>
      <c r="W3504" s="35"/>
      <c r="X3504" s="35"/>
      <c r="Y3504" s="182"/>
      <c r="Z3504" s="175"/>
      <c r="AA3504" s="182"/>
      <c r="AB3504" s="184"/>
    </row>
    <row r="3505" spans="1:28" ht="12.75">
      <c r="A3505" s="173"/>
      <c r="B3505" s="174"/>
      <c r="C3505" s="11"/>
      <c r="D3505" s="175"/>
      <c r="E3505" s="176"/>
      <c r="F3505" s="177"/>
      <c r="G3505" s="178"/>
      <c r="H3505" s="177"/>
      <c r="I3505" s="177"/>
      <c r="J3505" s="179"/>
      <c r="K3505" s="183"/>
      <c r="L3505" s="176"/>
      <c r="M3505" s="177"/>
      <c r="N3505" s="21"/>
      <c r="O3505" s="45"/>
      <c r="P3505" s="24"/>
      <c r="Q3505" s="24"/>
      <c r="R3505" s="180"/>
      <c r="S3505" s="181"/>
      <c r="T3505" s="35"/>
      <c r="U3505" s="35"/>
      <c r="V3505" s="35"/>
      <c r="W3505" s="35"/>
      <c r="X3505" s="35"/>
      <c r="Y3505" s="182"/>
      <c r="Z3505" s="175"/>
      <c r="AA3505" s="182"/>
      <c r="AB3505" s="184"/>
    </row>
    <row r="3506" spans="1:28" ht="12.75">
      <c r="A3506" s="173"/>
      <c r="B3506" s="174"/>
      <c r="C3506" s="11"/>
      <c r="D3506" s="175"/>
      <c r="E3506" s="176"/>
      <c r="F3506" s="177"/>
      <c r="G3506" s="178"/>
      <c r="H3506" s="177"/>
      <c r="I3506" s="177"/>
      <c r="J3506" s="179"/>
      <c r="K3506" s="183"/>
      <c r="L3506" s="176"/>
      <c r="M3506" s="177"/>
      <c r="N3506" s="21"/>
      <c r="O3506" s="45"/>
      <c r="P3506" s="24"/>
      <c r="Q3506" s="24"/>
      <c r="R3506" s="180"/>
      <c r="S3506" s="181"/>
      <c r="T3506" s="35"/>
      <c r="U3506" s="35"/>
      <c r="V3506" s="35"/>
      <c r="W3506" s="35"/>
      <c r="X3506" s="35"/>
      <c r="Y3506" s="182"/>
      <c r="Z3506" s="175"/>
      <c r="AA3506" s="182"/>
      <c r="AB3506" s="184"/>
    </row>
    <row r="3507" spans="1:28" ht="12.75">
      <c r="A3507" s="173"/>
      <c r="B3507" s="174"/>
      <c r="C3507" s="11"/>
      <c r="D3507" s="175"/>
      <c r="E3507" s="176"/>
      <c r="F3507" s="177"/>
      <c r="G3507" s="178"/>
      <c r="H3507" s="177"/>
      <c r="I3507" s="177"/>
      <c r="J3507" s="179"/>
      <c r="K3507" s="183"/>
      <c r="L3507" s="176"/>
      <c r="M3507" s="177"/>
      <c r="N3507" s="21"/>
      <c r="O3507" s="45"/>
      <c r="P3507" s="24"/>
      <c r="Q3507" s="24"/>
      <c r="R3507" s="180"/>
      <c r="S3507" s="181"/>
      <c r="T3507" s="35"/>
      <c r="U3507" s="35"/>
      <c r="V3507" s="35"/>
      <c r="W3507" s="35"/>
      <c r="X3507" s="35"/>
      <c r="Y3507" s="182"/>
      <c r="Z3507" s="175"/>
      <c r="AA3507" s="182"/>
      <c r="AB3507" s="184"/>
    </row>
    <row r="3508" spans="1:28" ht="12.75">
      <c r="A3508" s="173"/>
      <c r="B3508" s="174"/>
      <c r="C3508" s="11"/>
      <c r="D3508" s="175"/>
      <c r="E3508" s="176"/>
      <c r="F3508" s="177"/>
      <c r="G3508" s="178"/>
      <c r="H3508" s="177"/>
      <c r="I3508" s="177"/>
      <c r="J3508" s="179"/>
      <c r="K3508" s="183"/>
      <c r="L3508" s="176"/>
      <c r="M3508" s="177"/>
      <c r="N3508" s="21"/>
      <c r="O3508" s="45"/>
      <c r="P3508" s="24"/>
      <c r="Q3508" s="24"/>
      <c r="R3508" s="180"/>
      <c r="S3508" s="181"/>
      <c r="T3508" s="35"/>
      <c r="U3508" s="35"/>
      <c r="V3508" s="35"/>
      <c r="W3508" s="35"/>
      <c r="X3508" s="35"/>
      <c r="Y3508" s="182"/>
      <c r="Z3508" s="175"/>
      <c r="AA3508" s="182"/>
      <c r="AB3508" s="184"/>
    </row>
    <row r="3509" spans="1:28" ht="12.75">
      <c r="A3509" s="173"/>
      <c r="B3509" s="174"/>
      <c r="C3509" s="11"/>
      <c r="D3509" s="175"/>
      <c r="E3509" s="176"/>
      <c r="F3509" s="177"/>
      <c r="G3509" s="178"/>
      <c r="H3509" s="177"/>
      <c r="I3509" s="177"/>
      <c r="J3509" s="179"/>
      <c r="K3509" s="183"/>
      <c r="L3509" s="176"/>
      <c r="M3509" s="177"/>
      <c r="N3509" s="21"/>
      <c r="O3509" s="45"/>
      <c r="P3509" s="24"/>
      <c r="Q3509" s="24"/>
      <c r="R3509" s="180"/>
      <c r="S3509" s="181"/>
      <c r="T3509" s="35"/>
      <c r="U3509" s="35"/>
      <c r="V3509" s="35"/>
      <c r="W3509" s="35"/>
      <c r="X3509" s="35"/>
      <c r="Y3509" s="182"/>
      <c r="Z3509" s="175"/>
      <c r="AA3509" s="182"/>
      <c r="AB3509" s="184"/>
    </row>
    <row r="3510" spans="1:28" ht="12.75">
      <c r="A3510" s="173"/>
      <c r="B3510" s="174"/>
      <c r="C3510" s="11"/>
      <c r="D3510" s="175"/>
      <c r="E3510" s="176"/>
      <c r="F3510" s="177"/>
      <c r="G3510" s="178"/>
      <c r="H3510" s="177"/>
      <c r="I3510" s="177"/>
      <c r="J3510" s="179"/>
      <c r="K3510" s="183"/>
      <c r="L3510" s="176"/>
      <c r="M3510" s="177"/>
      <c r="N3510" s="21"/>
      <c r="O3510" s="45"/>
      <c r="P3510" s="24"/>
      <c r="Q3510" s="24"/>
      <c r="R3510" s="180"/>
      <c r="S3510" s="181"/>
      <c r="T3510" s="35"/>
      <c r="U3510" s="35"/>
      <c r="V3510" s="35"/>
      <c r="W3510" s="35"/>
      <c r="X3510" s="35"/>
      <c r="Y3510" s="182"/>
      <c r="Z3510" s="175"/>
      <c r="AA3510" s="182"/>
      <c r="AB3510" s="184"/>
    </row>
    <row r="3511" spans="1:28" ht="12.75">
      <c r="A3511" s="173"/>
      <c r="B3511" s="174"/>
      <c r="C3511" s="11"/>
      <c r="D3511" s="175"/>
      <c r="E3511" s="176"/>
      <c r="F3511" s="177"/>
      <c r="G3511" s="178"/>
      <c r="H3511" s="177"/>
      <c r="I3511" s="177"/>
      <c r="J3511" s="179"/>
      <c r="K3511" s="183"/>
      <c r="L3511" s="176"/>
      <c r="M3511" s="177"/>
      <c r="N3511" s="21"/>
      <c r="O3511" s="45"/>
      <c r="P3511" s="24"/>
      <c r="Q3511" s="24"/>
      <c r="R3511" s="180"/>
      <c r="S3511" s="181"/>
      <c r="T3511" s="35"/>
      <c r="U3511" s="35"/>
      <c r="V3511" s="35"/>
      <c r="W3511" s="35"/>
      <c r="X3511" s="35"/>
      <c r="Y3511" s="182"/>
      <c r="Z3511" s="175"/>
      <c r="AA3511" s="182"/>
      <c r="AB3511" s="184"/>
    </row>
    <row r="3512" spans="1:28" ht="12.75">
      <c r="A3512" s="173"/>
      <c r="B3512" s="174"/>
      <c r="C3512" s="11"/>
      <c r="D3512" s="175"/>
      <c r="E3512" s="176"/>
      <c r="F3512" s="177"/>
      <c r="G3512" s="178"/>
      <c r="H3512" s="177"/>
      <c r="I3512" s="177"/>
      <c r="J3512" s="179"/>
      <c r="K3512" s="183"/>
      <c r="L3512" s="176"/>
      <c r="M3512" s="177"/>
      <c r="N3512" s="21"/>
      <c r="O3512" s="45"/>
      <c r="P3512" s="24"/>
      <c r="Q3512" s="24"/>
      <c r="R3512" s="180"/>
      <c r="S3512" s="181"/>
      <c r="T3512" s="35"/>
      <c r="U3512" s="35"/>
      <c r="V3512" s="35"/>
      <c r="W3512" s="35"/>
      <c r="X3512" s="35"/>
      <c r="Y3512" s="182"/>
      <c r="Z3512" s="175"/>
      <c r="AA3512" s="182"/>
      <c r="AB3512" s="184"/>
    </row>
    <row r="3513" spans="1:28" ht="12.75">
      <c r="A3513" s="173"/>
      <c r="B3513" s="174"/>
      <c r="C3513" s="11"/>
      <c r="D3513" s="175"/>
      <c r="E3513" s="176"/>
      <c r="F3513" s="177"/>
      <c r="G3513" s="178"/>
      <c r="H3513" s="177"/>
      <c r="I3513" s="177"/>
      <c r="J3513" s="179"/>
      <c r="K3513" s="183"/>
      <c r="L3513" s="176"/>
      <c r="M3513" s="177"/>
      <c r="N3513" s="21"/>
      <c r="O3513" s="45"/>
      <c r="P3513" s="24"/>
      <c r="Q3513" s="24"/>
      <c r="R3513" s="180"/>
      <c r="S3513" s="181"/>
      <c r="T3513" s="35"/>
      <c r="U3513" s="35"/>
      <c r="V3513" s="35"/>
      <c r="W3513" s="35"/>
      <c r="X3513" s="35"/>
      <c r="Y3513" s="182"/>
      <c r="Z3513" s="175"/>
      <c r="AA3513" s="182"/>
      <c r="AB3513" s="184"/>
    </row>
    <row r="3514" spans="1:28" ht="12.75">
      <c r="A3514" s="173"/>
      <c r="B3514" s="174"/>
      <c r="C3514" s="11"/>
      <c r="D3514" s="175"/>
      <c r="E3514" s="176"/>
      <c r="F3514" s="177"/>
      <c r="G3514" s="178"/>
      <c r="H3514" s="177"/>
      <c r="I3514" s="177"/>
      <c r="J3514" s="179"/>
      <c r="K3514" s="183"/>
      <c r="L3514" s="19"/>
      <c r="M3514" s="177"/>
      <c r="N3514" s="21"/>
      <c r="O3514" s="45"/>
      <c r="P3514" s="24"/>
      <c r="Q3514" s="24"/>
      <c r="R3514" s="180"/>
      <c r="S3514" s="181"/>
      <c r="T3514" s="35"/>
      <c r="U3514" s="35"/>
      <c r="V3514" s="35"/>
      <c r="W3514" s="35"/>
      <c r="X3514" s="35"/>
      <c r="Y3514" s="182"/>
      <c r="Z3514" s="175"/>
      <c r="AA3514" s="182"/>
      <c r="AB3514" s="184"/>
    </row>
    <row r="3515" spans="1:28" ht="12.75">
      <c r="A3515" s="173"/>
      <c r="B3515" s="174"/>
      <c r="C3515" s="11"/>
      <c r="D3515" s="175"/>
      <c r="E3515" s="176"/>
      <c r="F3515" s="177"/>
      <c r="G3515" s="178"/>
      <c r="H3515" s="185"/>
      <c r="I3515" s="177"/>
      <c r="J3515" s="179"/>
      <c r="K3515" s="183"/>
      <c r="L3515" s="176"/>
      <c r="M3515" s="177"/>
      <c r="N3515" s="21"/>
      <c r="O3515" s="45"/>
      <c r="P3515" s="24"/>
      <c r="Q3515" s="24"/>
      <c r="R3515" s="180"/>
      <c r="S3515" s="181"/>
      <c r="T3515" s="35"/>
      <c r="U3515" s="35"/>
      <c r="V3515" s="35"/>
      <c r="W3515" s="35"/>
      <c r="X3515" s="35"/>
      <c r="Y3515" s="182"/>
      <c r="Z3515" s="175"/>
      <c r="AA3515" s="182"/>
      <c r="AB3515" s="184"/>
    </row>
    <row r="3516" spans="1:28" ht="12.75">
      <c r="A3516" s="9"/>
      <c r="B3516" s="174"/>
      <c r="C3516" s="11"/>
      <c r="D3516" s="175"/>
      <c r="E3516" s="176"/>
      <c r="F3516" s="177"/>
      <c r="G3516" s="178"/>
      <c r="H3516" s="177"/>
      <c r="I3516" s="177"/>
      <c r="J3516" s="186"/>
      <c r="K3516" s="183"/>
      <c r="L3516" s="176"/>
      <c r="M3516" s="177"/>
      <c r="N3516" s="21"/>
      <c r="O3516" s="45"/>
      <c r="P3516" s="24"/>
      <c r="Q3516" s="24"/>
      <c r="R3516" s="180"/>
      <c r="S3516" s="181"/>
      <c r="T3516" s="35"/>
      <c r="U3516" s="35"/>
      <c r="V3516" s="35"/>
      <c r="W3516" s="35"/>
      <c r="X3516" s="35"/>
      <c r="Y3516" s="182"/>
      <c r="Z3516" s="175"/>
      <c r="AA3516" s="182"/>
      <c r="AB3516" s="184"/>
    </row>
    <row r="3517" spans="1:28" ht="12.75">
      <c r="A3517" s="173"/>
      <c r="B3517" s="174"/>
      <c r="C3517" s="11"/>
      <c r="D3517" s="175"/>
      <c r="E3517" s="176"/>
      <c r="F3517" s="177"/>
      <c r="G3517" s="178"/>
      <c r="H3517" s="177"/>
      <c r="I3517" s="177"/>
      <c r="J3517" s="179"/>
      <c r="K3517" s="183"/>
      <c r="L3517" s="176"/>
      <c r="M3517" s="177"/>
      <c r="N3517" s="21"/>
      <c r="O3517" s="45"/>
      <c r="P3517" s="24"/>
      <c r="Q3517" s="24"/>
      <c r="R3517" s="180"/>
      <c r="S3517" s="181"/>
      <c r="T3517" s="35"/>
      <c r="U3517" s="35"/>
      <c r="V3517" s="35"/>
      <c r="W3517" s="35"/>
      <c r="X3517" s="35"/>
      <c r="Y3517" s="182"/>
      <c r="Z3517" s="175"/>
      <c r="AA3517" s="182"/>
      <c r="AB3517" s="184"/>
    </row>
    <row r="3518" spans="1:28" ht="12.75">
      <c r="A3518" s="173"/>
      <c r="B3518" s="174"/>
      <c r="C3518" s="11"/>
      <c r="D3518" s="175"/>
      <c r="E3518" s="176"/>
      <c r="F3518" s="177"/>
      <c r="G3518" s="178"/>
      <c r="H3518" s="177"/>
      <c r="I3518" s="177"/>
      <c r="J3518" s="179"/>
      <c r="K3518" s="183"/>
      <c r="L3518" s="176"/>
      <c r="M3518" s="177"/>
      <c r="N3518" s="21"/>
      <c r="O3518" s="45"/>
      <c r="P3518" s="24"/>
      <c r="Q3518" s="24"/>
      <c r="R3518" s="180"/>
      <c r="S3518" s="181"/>
      <c r="T3518" s="35"/>
      <c r="U3518" s="35"/>
      <c r="V3518" s="35"/>
      <c r="W3518" s="35"/>
      <c r="X3518" s="35"/>
      <c r="Y3518" s="182"/>
      <c r="Z3518" s="175"/>
      <c r="AA3518" s="182"/>
      <c r="AB3518" s="184"/>
    </row>
    <row r="3519" spans="1:28" ht="12.75">
      <c r="A3519" s="173"/>
      <c r="B3519" s="174"/>
      <c r="C3519" s="11"/>
      <c r="D3519" s="175"/>
      <c r="E3519" s="176"/>
      <c r="F3519" s="177"/>
      <c r="G3519" s="178"/>
      <c r="H3519" s="177"/>
      <c r="I3519" s="177"/>
      <c r="J3519" s="179"/>
      <c r="K3519" s="183"/>
      <c r="L3519" s="176"/>
      <c r="M3519" s="177"/>
      <c r="N3519" s="21"/>
      <c r="O3519" s="45"/>
      <c r="P3519" s="24"/>
      <c r="Q3519" s="24"/>
      <c r="R3519" s="180"/>
      <c r="S3519" s="181"/>
      <c r="T3519" s="35"/>
      <c r="U3519" s="35"/>
      <c r="V3519" s="35"/>
      <c r="W3519" s="35"/>
      <c r="X3519" s="35"/>
      <c r="Y3519" s="182"/>
      <c r="Z3519" s="175"/>
      <c r="AA3519" s="182"/>
      <c r="AB3519" s="184"/>
    </row>
    <row r="3520" spans="1:28" ht="12.75">
      <c r="A3520" s="173"/>
      <c r="B3520" s="174"/>
      <c r="C3520" s="11"/>
      <c r="D3520" s="175"/>
      <c r="E3520" s="176"/>
      <c r="F3520" s="177"/>
      <c r="G3520" s="178"/>
      <c r="H3520" s="177"/>
      <c r="I3520" s="177"/>
      <c r="J3520" s="179"/>
      <c r="K3520" s="183"/>
      <c r="L3520" s="176"/>
      <c r="M3520" s="177"/>
      <c r="N3520" s="21"/>
      <c r="O3520" s="45"/>
      <c r="P3520" s="24"/>
      <c r="Q3520" s="24"/>
      <c r="R3520" s="180"/>
      <c r="S3520" s="181"/>
      <c r="T3520" s="35"/>
      <c r="U3520" s="35"/>
      <c r="V3520" s="35"/>
      <c r="W3520" s="35"/>
      <c r="X3520" s="35"/>
      <c r="Y3520" s="182"/>
      <c r="Z3520" s="175"/>
      <c r="AA3520" s="182"/>
      <c r="AB3520" s="184"/>
    </row>
    <row r="3521" spans="1:28" ht="12.75">
      <c r="A3521" s="173"/>
      <c r="B3521" s="174"/>
      <c r="C3521" s="11"/>
      <c r="D3521" s="175"/>
      <c r="E3521" s="176"/>
      <c r="F3521" s="177"/>
      <c r="G3521" s="178"/>
      <c r="H3521" s="177"/>
      <c r="I3521" s="177"/>
      <c r="J3521" s="179"/>
      <c r="K3521" s="183"/>
      <c r="L3521" s="176"/>
      <c r="M3521" s="177"/>
      <c r="N3521" s="21"/>
      <c r="O3521" s="45"/>
      <c r="P3521" s="24"/>
      <c r="Q3521" s="24"/>
      <c r="R3521" s="180"/>
      <c r="S3521" s="181"/>
      <c r="T3521" s="35"/>
      <c r="U3521" s="35"/>
      <c r="V3521" s="35"/>
      <c r="W3521" s="35"/>
      <c r="X3521" s="35"/>
      <c r="Y3521" s="182"/>
      <c r="Z3521" s="175"/>
      <c r="AA3521" s="182"/>
      <c r="AB3521" s="184"/>
    </row>
    <row r="3522" spans="1:28" ht="12.75">
      <c r="A3522" s="173"/>
      <c r="B3522" s="174"/>
      <c r="C3522" s="11"/>
      <c r="D3522" s="175"/>
      <c r="E3522" s="176"/>
      <c r="F3522" s="177"/>
      <c r="G3522" s="178"/>
      <c r="H3522" s="177"/>
      <c r="I3522" s="20"/>
      <c r="J3522" s="179"/>
      <c r="K3522" s="183"/>
      <c r="L3522" s="176"/>
      <c r="M3522" s="177"/>
      <c r="N3522" s="21"/>
      <c r="O3522" s="45"/>
      <c r="P3522" s="24"/>
      <c r="Q3522" s="24"/>
      <c r="R3522" s="180"/>
      <c r="S3522" s="181"/>
      <c r="T3522" s="35"/>
      <c r="U3522" s="35"/>
      <c r="V3522" s="35"/>
      <c r="W3522" s="35"/>
      <c r="X3522" s="35"/>
      <c r="Y3522" s="182"/>
      <c r="Z3522" s="175"/>
      <c r="AA3522" s="182"/>
      <c r="AB3522" s="184"/>
    </row>
    <row r="3523" spans="1:28" ht="12.75">
      <c r="A3523" s="173"/>
      <c r="B3523" s="174"/>
      <c r="C3523" s="11"/>
      <c r="D3523" s="175"/>
      <c r="E3523" s="176"/>
      <c r="F3523" s="177"/>
      <c r="G3523" s="178"/>
      <c r="H3523" s="177"/>
      <c r="I3523" s="177"/>
      <c r="J3523" s="179"/>
      <c r="K3523" s="183"/>
      <c r="L3523" s="176"/>
      <c r="M3523" s="177"/>
      <c r="N3523" s="21"/>
      <c r="O3523" s="45"/>
      <c r="P3523" s="24"/>
      <c r="Q3523" s="24"/>
      <c r="R3523" s="180"/>
      <c r="S3523" s="181"/>
      <c r="T3523" s="35"/>
      <c r="U3523" s="35"/>
      <c r="V3523" s="35"/>
      <c r="W3523" s="35"/>
      <c r="X3523" s="35"/>
      <c r="Y3523" s="182"/>
      <c r="Z3523" s="175"/>
      <c r="AA3523" s="182"/>
      <c r="AB3523" s="184"/>
    </row>
    <row r="3524" spans="1:28" ht="12.75">
      <c r="A3524" s="173"/>
      <c r="B3524" s="174"/>
      <c r="C3524" s="11"/>
      <c r="D3524" s="175"/>
      <c r="E3524" s="176"/>
      <c r="F3524" s="177"/>
      <c r="G3524" s="178"/>
      <c r="H3524" s="177"/>
      <c r="I3524" s="177"/>
      <c r="J3524" s="179"/>
      <c r="K3524" s="183"/>
      <c r="L3524" s="176"/>
      <c r="M3524" s="177"/>
      <c r="N3524" s="21"/>
      <c r="O3524" s="45"/>
      <c r="P3524" s="24"/>
      <c r="Q3524" s="24"/>
      <c r="R3524" s="180"/>
      <c r="S3524" s="181"/>
      <c r="T3524" s="35"/>
      <c r="U3524" s="35"/>
      <c r="V3524" s="35"/>
      <c r="W3524" s="35"/>
      <c r="X3524" s="35"/>
      <c r="Y3524" s="182"/>
      <c r="Z3524" s="175"/>
      <c r="AA3524" s="182"/>
      <c r="AB3524" s="184"/>
    </row>
    <row r="3525" spans="1:28" ht="12.75">
      <c r="A3525" s="173"/>
      <c r="B3525" s="174"/>
      <c r="C3525" s="11"/>
      <c r="D3525" s="175"/>
      <c r="E3525" s="176"/>
      <c r="F3525" s="177"/>
      <c r="G3525" s="178"/>
      <c r="H3525" s="177"/>
      <c r="I3525" s="177"/>
      <c r="J3525" s="179"/>
      <c r="K3525" s="183"/>
      <c r="L3525" s="176"/>
      <c r="M3525" s="177"/>
      <c r="N3525" s="21"/>
      <c r="O3525" s="45"/>
      <c r="P3525" s="24"/>
      <c r="Q3525" s="24"/>
      <c r="R3525" s="180"/>
      <c r="S3525" s="181"/>
      <c r="T3525" s="35"/>
      <c r="U3525" s="35"/>
      <c r="V3525" s="35"/>
      <c r="W3525" s="35"/>
      <c r="X3525" s="35"/>
      <c r="Y3525" s="182"/>
      <c r="Z3525" s="175"/>
      <c r="AA3525" s="182"/>
      <c r="AB3525" s="184"/>
    </row>
    <row r="3526" spans="1:28" ht="12.75">
      <c r="A3526" s="173"/>
      <c r="B3526" s="174"/>
      <c r="C3526" s="11"/>
      <c r="D3526" s="175"/>
      <c r="E3526" s="176"/>
      <c r="F3526" s="177"/>
      <c r="G3526" s="178"/>
      <c r="H3526" s="177"/>
      <c r="I3526" s="177"/>
      <c r="J3526" s="179"/>
      <c r="K3526" s="183"/>
      <c r="L3526" s="176"/>
      <c r="M3526" s="177"/>
      <c r="N3526" s="21"/>
      <c r="O3526" s="45"/>
      <c r="P3526" s="24"/>
      <c r="Q3526" s="24"/>
      <c r="R3526" s="180"/>
      <c r="S3526" s="181"/>
      <c r="T3526" s="35"/>
      <c r="U3526" s="35"/>
      <c r="V3526" s="35"/>
      <c r="W3526" s="35"/>
      <c r="X3526" s="35"/>
      <c r="Y3526" s="182"/>
      <c r="Z3526" s="175"/>
      <c r="AA3526" s="182"/>
      <c r="AB3526" s="184"/>
    </row>
    <row r="3527" spans="1:28" ht="12.75">
      <c r="A3527" s="173"/>
      <c r="B3527" s="174"/>
      <c r="C3527" s="11"/>
      <c r="D3527" s="175"/>
      <c r="E3527" s="176"/>
      <c r="F3527" s="177"/>
      <c r="G3527" s="178"/>
      <c r="H3527" s="177"/>
      <c r="I3527" s="177"/>
      <c r="J3527" s="179"/>
      <c r="K3527" s="183"/>
      <c r="L3527" s="176"/>
      <c r="M3527" s="177"/>
      <c r="N3527" s="21"/>
      <c r="O3527" s="45"/>
      <c r="P3527" s="24"/>
      <c r="Q3527" s="24"/>
      <c r="R3527" s="180"/>
      <c r="S3527" s="181"/>
      <c r="T3527" s="35"/>
      <c r="U3527" s="35"/>
      <c r="V3527" s="35"/>
      <c r="W3527" s="35"/>
      <c r="X3527" s="35"/>
      <c r="Y3527" s="182"/>
      <c r="Z3527" s="175"/>
      <c r="AA3527" s="182"/>
      <c r="AB3527" s="184"/>
    </row>
    <row r="3528" spans="1:28" ht="12.75">
      <c r="A3528" s="173"/>
      <c r="B3528" s="174"/>
      <c r="C3528" s="11"/>
      <c r="D3528" s="175"/>
      <c r="E3528" s="176"/>
      <c r="F3528" s="177"/>
      <c r="G3528" s="178"/>
      <c r="H3528" s="177"/>
      <c r="I3528" s="177"/>
      <c r="J3528" s="179"/>
      <c r="K3528" s="183"/>
      <c r="L3528" s="176"/>
      <c r="M3528" s="177"/>
      <c r="N3528" s="21"/>
      <c r="O3528" s="45"/>
      <c r="P3528" s="24"/>
      <c r="Q3528" s="24"/>
      <c r="R3528" s="180"/>
      <c r="S3528" s="181"/>
      <c r="T3528" s="35"/>
      <c r="U3528" s="35"/>
      <c r="V3528" s="35"/>
      <c r="W3528" s="35"/>
      <c r="X3528" s="35"/>
      <c r="Y3528" s="182"/>
      <c r="Z3528" s="175"/>
      <c r="AA3528" s="182"/>
      <c r="AB3528" s="184"/>
    </row>
    <row r="3529" spans="1:28" ht="12.75">
      <c r="A3529" s="173"/>
      <c r="B3529" s="174"/>
      <c r="C3529" s="11"/>
      <c r="D3529" s="175"/>
      <c r="E3529" s="176"/>
      <c r="F3529" s="177"/>
      <c r="G3529" s="178"/>
      <c r="H3529" s="177"/>
      <c r="I3529" s="177"/>
      <c r="J3529" s="179"/>
      <c r="K3529" s="183"/>
      <c r="L3529" s="176"/>
      <c r="M3529" s="177"/>
      <c r="N3529" s="21"/>
      <c r="O3529" s="45"/>
      <c r="P3529" s="24"/>
      <c r="Q3529" s="24"/>
      <c r="R3529" s="180"/>
      <c r="S3529" s="181"/>
      <c r="T3529" s="35"/>
      <c r="U3529" s="35"/>
      <c r="V3529" s="35"/>
      <c r="W3529" s="35"/>
      <c r="X3529" s="35"/>
      <c r="Y3529" s="182"/>
      <c r="Z3529" s="175"/>
      <c r="AA3529" s="182"/>
      <c r="AB3529" s="184"/>
    </row>
    <row r="3530" spans="1:28" ht="12.75">
      <c r="A3530" s="173"/>
      <c r="B3530" s="174"/>
      <c r="C3530" s="11"/>
      <c r="D3530" s="175"/>
      <c r="E3530" s="176"/>
      <c r="F3530" s="177"/>
      <c r="G3530" s="178"/>
      <c r="H3530" s="177"/>
      <c r="I3530" s="177"/>
      <c r="J3530" s="179"/>
      <c r="K3530" s="183"/>
      <c r="L3530" s="176"/>
      <c r="M3530" s="177"/>
      <c r="N3530" s="21"/>
      <c r="O3530" s="45"/>
      <c r="P3530" s="24"/>
      <c r="Q3530" s="24"/>
      <c r="R3530" s="180"/>
      <c r="S3530" s="181"/>
      <c r="T3530" s="35"/>
      <c r="U3530" s="35"/>
      <c r="V3530" s="35"/>
      <c r="W3530" s="35"/>
      <c r="X3530" s="35"/>
      <c r="Y3530" s="182"/>
      <c r="Z3530" s="175"/>
      <c r="AA3530" s="182"/>
      <c r="AB3530" s="184"/>
    </row>
    <row r="3531" spans="1:28" ht="12.75">
      <c r="A3531" s="173"/>
      <c r="B3531" s="174"/>
      <c r="C3531" s="11"/>
      <c r="D3531" s="175"/>
      <c r="E3531" s="176"/>
      <c r="F3531" s="177"/>
      <c r="G3531" s="178"/>
      <c r="H3531" s="177"/>
      <c r="I3531" s="177"/>
      <c r="J3531" s="179"/>
      <c r="K3531" s="183"/>
      <c r="L3531" s="176"/>
      <c r="M3531" s="177"/>
      <c r="N3531" s="21"/>
      <c r="O3531" s="45"/>
      <c r="P3531" s="24"/>
      <c r="Q3531" s="24"/>
      <c r="R3531" s="180"/>
      <c r="S3531" s="181"/>
      <c r="T3531" s="35"/>
      <c r="U3531" s="35"/>
      <c r="V3531" s="35"/>
      <c r="W3531" s="35"/>
      <c r="X3531" s="35"/>
      <c r="Y3531" s="182"/>
      <c r="Z3531" s="175"/>
      <c r="AA3531" s="182"/>
      <c r="AB3531" s="184"/>
    </row>
    <row r="3532" spans="1:28" ht="12.75">
      <c r="A3532" s="173"/>
      <c r="B3532" s="174"/>
      <c r="C3532" s="11"/>
      <c r="D3532" s="175"/>
      <c r="E3532" s="176"/>
      <c r="F3532" s="177"/>
      <c r="G3532" s="178"/>
      <c r="H3532" s="177"/>
      <c r="I3532" s="177"/>
      <c r="J3532" s="179"/>
      <c r="K3532" s="183"/>
      <c r="L3532" s="176"/>
      <c r="M3532" s="177"/>
      <c r="N3532" s="21"/>
      <c r="O3532" s="45"/>
      <c r="P3532" s="24"/>
      <c r="Q3532" s="24"/>
      <c r="R3532" s="180"/>
      <c r="S3532" s="181"/>
      <c r="T3532" s="35"/>
      <c r="U3532" s="35"/>
      <c r="V3532" s="35"/>
      <c r="W3532" s="35"/>
      <c r="X3532" s="35"/>
      <c r="Y3532" s="182"/>
      <c r="Z3532" s="175"/>
      <c r="AA3532" s="182"/>
      <c r="AB3532" s="184"/>
    </row>
    <row r="3533" spans="1:28" ht="12.75">
      <c r="A3533" s="173"/>
      <c r="B3533" s="174"/>
      <c r="C3533" s="11"/>
      <c r="D3533" s="175"/>
      <c r="E3533" s="176"/>
      <c r="F3533" s="177"/>
      <c r="G3533" s="178"/>
      <c r="H3533" s="177"/>
      <c r="I3533" s="177"/>
      <c r="J3533" s="179"/>
      <c r="K3533" s="183"/>
      <c r="L3533" s="176"/>
      <c r="M3533" s="177"/>
      <c r="N3533" s="21"/>
      <c r="O3533" s="45"/>
      <c r="P3533" s="24"/>
      <c r="Q3533" s="24"/>
      <c r="R3533" s="180"/>
      <c r="S3533" s="181"/>
      <c r="T3533" s="35"/>
      <c r="U3533" s="35"/>
      <c r="V3533" s="35"/>
      <c r="W3533" s="35"/>
      <c r="X3533" s="35"/>
      <c r="Y3533" s="182"/>
      <c r="Z3533" s="175"/>
      <c r="AA3533" s="182"/>
      <c r="AB3533" s="184"/>
    </row>
    <row r="3534" spans="1:28" ht="12.75">
      <c r="A3534" s="173"/>
      <c r="B3534" s="174"/>
      <c r="C3534" s="11"/>
      <c r="D3534" s="175"/>
      <c r="E3534" s="176"/>
      <c r="F3534" s="177"/>
      <c r="G3534" s="178"/>
      <c r="H3534" s="177"/>
      <c r="I3534" s="177"/>
      <c r="J3534" s="179"/>
      <c r="K3534" s="183"/>
      <c r="L3534" s="176"/>
      <c r="M3534" s="177"/>
      <c r="N3534" s="21"/>
      <c r="O3534" s="45"/>
      <c r="P3534" s="24"/>
      <c r="Q3534" s="24"/>
      <c r="R3534" s="180"/>
      <c r="S3534" s="181"/>
      <c r="T3534" s="35"/>
      <c r="U3534" s="35"/>
      <c r="V3534" s="35"/>
      <c r="W3534" s="35"/>
      <c r="X3534" s="35"/>
      <c r="Y3534" s="182"/>
      <c r="Z3534" s="175"/>
      <c r="AA3534" s="182"/>
      <c r="AB3534" s="184"/>
    </row>
    <row r="3535" spans="1:28" ht="12.75">
      <c r="A3535" s="173"/>
      <c r="B3535" s="174"/>
      <c r="C3535" s="11"/>
      <c r="D3535" s="175"/>
      <c r="E3535" s="176"/>
      <c r="F3535" s="177"/>
      <c r="G3535" s="178"/>
      <c r="H3535" s="177"/>
      <c r="I3535" s="177"/>
      <c r="J3535" s="179"/>
      <c r="K3535" s="183"/>
      <c r="L3535" s="176"/>
      <c r="M3535" s="177"/>
      <c r="N3535" s="21"/>
      <c r="O3535" s="45"/>
      <c r="P3535" s="24"/>
      <c r="Q3535" s="24"/>
      <c r="R3535" s="180"/>
      <c r="S3535" s="181"/>
      <c r="T3535" s="35"/>
      <c r="U3535" s="35"/>
      <c r="V3535" s="35"/>
      <c r="W3535" s="35"/>
      <c r="X3535" s="35"/>
      <c r="Y3535" s="182"/>
      <c r="Z3535" s="175"/>
      <c r="AA3535" s="182"/>
      <c r="AB3535" s="184"/>
    </row>
    <row r="3536" spans="1:28" ht="12.75">
      <c r="A3536" s="173"/>
      <c r="B3536" s="174"/>
      <c r="C3536" s="11"/>
      <c r="D3536" s="175"/>
      <c r="E3536" s="176"/>
      <c r="F3536" s="177"/>
      <c r="G3536" s="178"/>
      <c r="H3536" s="177"/>
      <c r="I3536" s="177"/>
      <c r="J3536" s="179"/>
      <c r="K3536" s="183"/>
      <c r="L3536" s="176"/>
      <c r="M3536" s="177"/>
      <c r="N3536" s="21"/>
      <c r="O3536" s="45"/>
      <c r="P3536" s="24"/>
      <c r="Q3536" s="24"/>
      <c r="R3536" s="180"/>
      <c r="S3536" s="181"/>
      <c r="T3536" s="35"/>
      <c r="U3536" s="35"/>
      <c r="V3536" s="35"/>
      <c r="W3536" s="35"/>
      <c r="X3536" s="35"/>
      <c r="Y3536" s="182"/>
      <c r="Z3536" s="175"/>
      <c r="AA3536" s="182"/>
      <c r="AB3536" s="184"/>
    </row>
    <row r="3537" spans="1:28" ht="12.75">
      <c r="A3537" s="173"/>
      <c r="B3537" s="174"/>
      <c r="C3537" s="11"/>
      <c r="D3537" s="175"/>
      <c r="E3537" s="176"/>
      <c r="F3537" s="177"/>
      <c r="G3537" s="178"/>
      <c r="H3537" s="177"/>
      <c r="I3537" s="177"/>
      <c r="J3537" s="179"/>
      <c r="K3537" s="183"/>
      <c r="L3537" s="176"/>
      <c r="M3537" s="177"/>
      <c r="N3537" s="21"/>
      <c r="O3537" s="45"/>
      <c r="P3537" s="24"/>
      <c r="Q3537" s="24"/>
      <c r="R3537" s="180"/>
      <c r="S3537" s="181"/>
      <c r="T3537" s="35"/>
      <c r="U3537" s="35"/>
      <c r="V3537" s="35"/>
      <c r="W3537" s="35"/>
      <c r="X3537" s="35"/>
      <c r="Y3537" s="182"/>
      <c r="Z3537" s="175"/>
      <c r="AA3537" s="182"/>
      <c r="AB3537" s="184"/>
    </row>
    <row r="3538" spans="1:28" ht="12.75">
      <c r="A3538" s="173"/>
      <c r="B3538" s="174"/>
      <c r="C3538" s="11"/>
      <c r="D3538" s="175"/>
      <c r="E3538" s="176"/>
      <c r="F3538" s="177"/>
      <c r="G3538" s="178"/>
      <c r="H3538" s="177"/>
      <c r="I3538" s="177"/>
      <c r="J3538" s="179"/>
      <c r="K3538" s="183"/>
      <c r="L3538" s="176"/>
      <c r="M3538" s="177"/>
      <c r="N3538" s="21"/>
      <c r="O3538" s="45"/>
      <c r="P3538" s="24"/>
      <c r="Q3538" s="24"/>
      <c r="R3538" s="180"/>
      <c r="S3538" s="181"/>
      <c r="T3538" s="35"/>
      <c r="U3538" s="35"/>
      <c r="V3538" s="35"/>
      <c r="W3538" s="35"/>
      <c r="X3538" s="35"/>
      <c r="Y3538" s="182"/>
      <c r="Z3538" s="175"/>
      <c r="AA3538" s="182"/>
      <c r="AB3538" s="184"/>
    </row>
    <row r="3539" spans="1:28" ht="12.75">
      <c r="A3539" s="173"/>
      <c r="B3539" s="174"/>
      <c r="C3539" s="11"/>
      <c r="D3539" s="175"/>
      <c r="E3539" s="176"/>
      <c r="F3539" s="177"/>
      <c r="G3539" s="178"/>
      <c r="H3539" s="177"/>
      <c r="I3539" s="177"/>
      <c r="J3539" s="179"/>
      <c r="K3539" s="183"/>
      <c r="L3539" s="176"/>
      <c r="M3539" s="177"/>
      <c r="N3539" s="21"/>
      <c r="O3539" s="45"/>
      <c r="P3539" s="24"/>
      <c r="Q3539" s="24"/>
      <c r="R3539" s="180"/>
      <c r="S3539" s="181"/>
      <c r="T3539" s="35"/>
      <c r="U3539" s="35"/>
      <c r="V3539" s="35"/>
      <c r="W3539" s="35"/>
      <c r="X3539" s="35"/>
      <c r="Y3539" s="182"/>
      <c r="Z3539" s="175"/>
      <c r="AA3539" s="182"/>
      <c r="AB3539" s="184"/>
    </row>
    <row r="3540" spans="1:28" ht="12.75">
      <c r="A3540" s="173"/>
      <c r="B3540" s="174"/>
      <c r="C3540" s="11"/>
      <c r="D3540" s="175"/>
      <c r="E3540" s="176"/>
      <c r="F3540" s="177"/>
      <c r="G3540" s="178"/>
      <c r="H3540" s="177"/>
      <c r="I3540" s="177"/>
      <c r="J3540" s="179"/>
      <c r="K3540" s="183"/>
      <c r="L3540" s="176"/>
      <c r="M3540" s="177"/>
      <c r="N3540" s="21"/>
      <c r="O3540" s="45"/>
      <c r="P3540" s="24"/>
      <c r="Q3540" s="24"/>
      <c r="R3540" s="180"/>
      <c r="S3540" s="181"/>
      <c r="T3540" s="35"/>
      <c r="U3540" s="35"/>
      <c r="V3540" s="35"/>
      <c r="W3540" s="35"/>
      <c r="X3540" s="35"/>
      <c r="Y3540" s="182"/>
      <c r="Z3540" s="175"/>
      <c r="AA3540" s="182"/>
      <c r="AB3540" s="184"/>
    </row>
    <row r="3541" spans="1:28" ht="12.75">
      <c r="A3541" s="173"/>
      <c r="B3541" s="174"/>
      <c r="C3541" s="11"/>
      <c r="D3541" s="175"/>
      <c r="E3541" s="176"/>
      <c r="F3541" s="177"/>
      <c r="G3541" s="178"/>
      <c r="H3541" s="177"/>
      <c r="I3541" s="177"/>
      <c r="J3541" s="179"/>
      <c r="K3541" s="183"/>
      <c r="L3541" s="176"/>
      <c r="M3541" s="177"/>
      <c r="N3541" s="21"/>
      <c r="O3541" s="45"/>
      <c r="P3541" s="24"/>
      <c r="Q3541" s="24"/>
      <c r="R3541" s="180"/>
      <c r="S3541" s="181"/>
      <c r="T3541" s="35"/>
      <c r="U3541" s="35"/>
      <c r="V3541" s="35"/>
      <c r="W3541" s="35"/>
      <c r="X3541" s="35"/>
      <c r="Y3541" s="182"/>
      <c r="Z3541" s="175"/>
      <c r="AA3541" s="182"/>
      <c r="AB3541" s="184"/>
    </row>
    <row r="3542" spans="1:28" ht="12.75">
      <c r="A3542" s="173"/>
      <c r="B3542" s="174"/>
      <c r="C3542" s="11"/>
      <c r="D3542" s="175"/>
      <c r="E3542" s="176"/>
      <c r="F3542" s="177"/>
      <c r="G3542" s="178"/>
      <c r="H3542" s="177"/>
      <c r="I3542" s="177"/>
      <c r="J3542" s="179"/>
      <c r="K3542" s="183"/>
      <c r="L3542" s="176"/>
      <c r="M3542" s="177"/>
      <c r="N3542" s="21"/>
      <c r="O3542" s="45"/>
      <c r="P3542" s="24"/>
      <c r="Q3542" s="24"/>
      <c r="R3542" s="180"/>
      <c r="S3542" s="181"/>
      <c r="T3542" s="35"/>
      <c r="U3542" s="35"/>
      <c r="V3542" s="35"/>
      <c r="W3542" s="35"/>
      <c r="X3542" s="35"/>
      <c r="Y3542" s="182"/>
      <c r="Z3542" s="175"/>
      <c r="AA3542" s="182"/>
      <c r="AB3542" s="184"/>
    </row>
    <row r="3543" spans="1:28" ht="12.75">
      <c r="A3543" s="173"/>
      <c r="B3543" s="174"/>
      <c r="C3543" s="11"/>
      <c r="D3543" s="175"/>
      <c r="E3543" s="176"/>
      <c r="F3543" s="177"/>
      <c r="G3543" s="178"/>
      <c r="H3543" s="177"/>
      <c r="I3543" s="177"/>
      <c r="J3543" s="179"/>
      <c r="K3543" s="183"/>
      <c r="L3543" s="176"/>
      <c r="M3543" s="177"/>
      <c r="N3543" s="21"/>
      <c r="O3543" s="45"/>
      <c r="P3543" s="24"/>
      <c r="Q3543" s="24"/>
      <c r="R3543" s="180"/>
      <c r="S3543" s="181"/>
      <c r="T3543" s="35"/>
      <c r="U3543" s="35"/>
      <c r="V3543" s="35"/>
      <c r="W3543" s="35"/>
      <c r="X3543" s="35"/>
      <c r="Y3543" s="182"/>
      <c r="Z3543" s="175"/>
      <c r="AA3543" s="182"/>
      <c r="AB3543" s="184"/>
    </row>
    <row r="3544" spans="1:28" ht="12.75">
      <c r="A3544" s="173"/>
      <c r="B3544" s="174"/>
      <c r="C3544" s="11"/>
      <c r="D3544" s="175"/>
      <c r="E3544" s="176"/>
      <c r="F3544" s="177"/>
      <c r="G3544" s="178"/>
      <c r="H3544" s="177"/>
      <c r="I3544" s="177"/>
      <c r="J3544" s="179"/>
      <c r="K3544" s="183"/>
      <c r="L3544" s="176"/>
      <c r="M3544" s="177"/>
      <c r="N3544" s="21"/>
      <c r="O3544" s="45"/>
      <c r="P3544" s="24"/>
      <c r="Q3544" s="24"/>
      <c r="R3544" s="180"/>
      <c r="S3544" s="181"/>
      <c r="T3544" s="35"/>
      <c r="U3544" s="35"/>
      <c r="V3544" s="35"/>
      <c r="W3544" s="35"/>
      <c r="X3544" s="35"/>
      <c r="Y3544" s="182"/>
      <c r="Z3544" s="175"/>
      <c r="AA3544" s="182"/>
      <c r="AB3544" s="184"/>
    </row>
    <row r="3545" spans="1:28" ht="12.75">
      <c r="A3545" s="173"/>
      <c r="B3545" s="174"/>
      <c r="C3545" s="11"/>
      <c r="D3545" s="175"/>
      <c r="E3545" s="176"/>
      <c r="F3545" s="177"/>
      <c r="G3545" s="178"/>
      <c r="H3545" s="177"/>
      <c r="I3545" s="177"/>
      <c r="J3545" s="179"/>
      <c r="K3545" s="183"/>
      <c r="L3545" s="176"/>
      <c r="M3545" s="177"/>
      <c r="N3545" s="21"/>
      <c r="O3545" s="45"/>
      <c r="P3545" s="24"/>
      <c r="Q3545" s="24"/>
      <c r="R3545" s="180"/>
      <c r="S3545" s="181"/>
      <c r="T3545" s="35"/>
      <c r="U3545" s="35"/>
      <c r="V3545" s="35"/>
      <c r="W3545" s="35"/>
      <c r="X3545" s="35"/>
      <c r="Y3545" s="182"/>
      <c r="Z3545" s="175"/>
      <c r="AA3545" s="182"/>
      <c r="AB3545" s="184"/>
    </row>
    <row r="3546" spans="1:28" ht="12.75">
      <c r="A3546" s="173"/>
      <c r="B3546" s="174"/>
      <c r="C3546" s="11"/>
      <c r="D3546" s="175"/>
      <c r="E3546" s="176"/>
      <c r="F3546" s="177"/>
      <c r="G3546" s="178"/>
      <c r="H3546" s="177"/>
      <c r="I3546" s="177"/>
      <c r="J3546" s="179"/>
      <c r="K3546" s="183"/>
      <c r="L3546" s="176"/>
      <c r="M3546" s="177"/>
      <c r="N3546" s="21"/>
      <c r="O3546" s="45"/>
      <c r="P3546" s="24"/>
      <c r="Q3546" s="24"/>
      <c r="R3546" s="180"/>
      <c r="S3546" s="181"/>
      <c r="T3546" s="35"/>
      <c r="U3546" s="35"/>
      <c r="V3546" s="35"/>
      <c r="W3546" s="35"/>
      <c r="X3546" s="35"/>
      <c r="Y3546" s="182"/>
      <c r="Z3546" s="175"/>
      <c r="AA3546" s="182"/>
      <c r="AB3546" s="184"/>
    </row>
    <row r="3547" spans="1:28" ht="12.75">
      <c r="A3547" s="173"/>
      <c r="B3547" s="174"/>
      <c r="C3547" s="11"/>
      <c r="D3547" s="175"/>
      <c r="E3547" s="176"/>
      <c r="F3547" s="177"/>
      <c r="G3547" s="178"/>
      <c r="H3547" s="177"/>
      <c r="I3547" s="177"/>
      <c r="J3547" s="179"/>
      <c r="K3547" s="183"/>
      <c r="L3547" s="176"/>
      <c r="M3547" s="177"/>
      <c r="N3547" s="21"/>
      <c r="O3547" s="45"/>
      <c r="P3547" s="24"/>
      <c r="Q3547" s="24"/>
      <c r="R3547" s="180"/>
      <c r="S3547" s="181"/>
      <c r="T3547" s="35"/>
      <c r="U3547" s="35"/>
      <c r="V3547" s="35"/>
      <c r="W3547" s="35"/>
      <c r="X3547" s="35"/>
      <c r="Y3547" s="182"/>
      <c r="Z3547" s="175"/>
      <c r="AA3547" s="182"/>
      <c r="AB3547" s="184"/>
    </row>
    <row r="3548" spans="1:28" ht="12.75">
      <c r="A3548" s="173"/>
      <c r="B3548" s="174"/>
      <c r="C3548" s="11"/>
      <c r="D3548" s="175"/>
      <c r="E3548" s="176"/>
      <c r="F3548" s="177"/>
      <c r="G3548" s="178"/>
      <c r="H3548" s="177"/>
      <c r="I3548" s="177"/>
      <c r="J3548" s="179"/>
      <c r="K3548" s="183"/>
      <c r="L3548" s="176"/>
      <c r="M3548" s="177"/>
      <c r="N3548" s="21"/>
      <c r="O3548" s="45"/>
      <c r="P3548" s="24"/>
      <c r="Q3548" s="24"/>
      <c r="R3548" s="180"/>
      <c r="S3548" s="181"/>
      <c r="T3548" s="35"/>
      <c r="U3548" s="35"/>
      <c r="V3548" s="35"/>
      <c r="W3548" s="35"/>
      <c r="X3548" s="35"/>
      <c r="Y3548" s="182"/>
      <c r="Z3548" s="175"/>
      <c r="AA3548" s="182"/>
      <c r="AB3548" s="184"/>
    </row>
    <row r="3549" spans="1:28" ht="12.75">
      <c r="A3549" s="173"/>
      <c r="B3549" s="174"/>
      <c r="C3549" s="11"/>
      <c r="D3549" s="175"/>
      <c r="E3549" s="176"/>
      <c r="F3549" s="177"/>
      <c r="G3549" s="178"/>
      <c r="H3549" s="177"/>
      <c r="I3549" s="177"/>
      <c r="J3549" s="179"/>
      <c r="K3549" s="183"/>
      <c r="L3549" s="176"/>
      <c r="M3549" s="177"/>
      <c r="N3549" s="21"/>
      <c r="O3549" s="45"/>
      <c r="P3549" s="24"/>
      <c r="Q3549" s="24"/>
      <c r="R3549" s="180"/>
      <c r="S3549" s="181"/>
      <c r="T3549" s="35"/>
      <c r="U3549" s="35"/>
      <c r="V3549" s="35"/>
      <c r="W3549" s="35"/>
      <c r="X3549" s="35"/>
      <c r="Y3549" s="182"/>
      <c r="Z3549" s="175"/>
      <c r="AA3549" s="182"/>
      <c r="AB3549" s="184"/>
    </row>
    <row r="3550" spans="1:28" ht="12.75">
      <c r="A3550" s="173"/>
      <c r="B3550" s="174"/>
      <c r="C3550" s="11"/>
      <c r="D3550" s="175"/>
      <c r="E3550" s="176"/>
      <c r="F3550" s="177"/>
      <c r="G3550" s="178"/>
      <c r="H3550" s="177"/>
      <c r="I3550" s="177"/>
      <c r="J3550" s="179"/>
      <c r="K3550" s="183"/>
      <c r="L3550" s="176"/>
      <c r="M3550" s="177"/>
      <c r="N3550" s="21"/>
      <c r="O3550" s="45"/>
      <c r="P3550" s="24"/>
      <c r="Q3550" s="24"/>
      <c r="R3550" s="180"/>
      <c r="S3550" s="181"/>
      <c r="T3550" s="35"/>
      <c r="U3550" s="35"/>
      <c r="V3550" s="35"/>
      <c r="W3550" s="35"/>
      <c r="X3550" s="35"/>
      <c r="Y3550" s="182"/>
      <c r="Z3550" s="175"/>
      <c r="AA3550" s="182"/>
      <c r="AB3550" s="184"/>
    </row>
    <row r="3551" spans="1:28" ht="12.75">
      <c r="A3551" s="173"/>
      <c r="B3551" s="174"/>
      <c r="C3551" s="11"/>
      <c r="D3551" s="175"/>
      <c r="E3551" s="176"/>
      <c r="F3551" s="177"/>
      <c r="G3551" s="178"/>
      <c r="H3551" s="177"/>
      <c r="I3551" s="177"/>
      <c r="J3551" s="179"/>
      <c r="K3551" s="183"/>
      <c r="L3551" s="176"/>
      <c r="M3551" s="177"/>
      <c r="N3551" s="21"/>
      <c r="O3551" s="45"/>
      <c r="P3551" s="24"/>
      <c r="Q3551" s="24"/>
      <c r="R3551" s="180"/>
      <c r="S3551" s="181"/>
      <c r="T3551" s="35"/>
      <c r="U3551" s="35"/>
      <c r="V3551" s="35"/>
      <c r="W3551" s="35"/>
      <c r="X3551" s="35"/>
      <c r="Y3551" s="182"/>
      <c r="Z3551" s="175"/>
      <c r="AA3551" s="182"/>
      <c r="AB3551" s="184"/>
    </row>
    <row r="3552" spans="1:28" ht="12.75">
      <c r="A3552" s="173"/>
      <c r="B3552" s="174"/>
      <c r="C3552" s="11"/>
      <c r="D3552" s="175"/>
      <c r="E3552" s="176"/>
      <c r="F3552" s="177"/>
      <c r="G3552" s="178"/>
      <c r="H3552" s="177"/>
      <c r="I3552" s="177"/>
      <c r="J3552" s="179"/>
      <c r="K3552" s="183"/>
      <c r="L3552" s="176"/>
      <c r="M3552" s="177"/>
      <c r="N3552" s="21"/>
      <c r="O3552" s="45"/>
      <c r="P3552" s="24"/>
      <c r="Q3552" s="24"/>
      <c r="R3552" s="180"/>
      <c r="S3552" s="181"/>
      <c r="T3552" s="35"/>
      <c r="U3552" s="35"/>
      <c r="V3552" s="35"/>
      <c r="W3552" s="35"/>
      <c r="X3552" s="35"/>
      <c r="Y3552" s="182"/>
      <c r="Z3552" s="175"/>
      <c r="AA3552" s="182"/>
      <c r="AB3552" s="184"/>
    </row>
    <row r="3553" spans="1:28" ht="12.75">
      <c r="A3553" s="173"/>
      <c r="B3553" s="174"/>
      <c r="C3553" s="11"/>
      <c r="D3553" s="175"/>
      <c r="E3553" s="176"/>
      <c r="F3553" s="177"/>
      <c r="G3553" s="178"/>
      <c r="H3553" s="177"/>
      <c r="I3553" s="177"/>
      <c r="J3553" s="179"/>
      <c r="K3553" s="183"/>
      <c r="L3553" s="176"/>
      <c r="M3553" s="177"/>
      <c r="N3553" s="21"/>
      <c r="O3553" s="45"/>
      <c r="P3553" s="24"/>
      <c r="Q3553" s="24"/>
      <c r="R3553" s="180"/>
      <c r="S3553" s="181"/>
      <c r="T3553" s="35"/>
      <c r="U3553" s="35"/>
      <c r="V3553" s="35"/>
      <c r="W3553" s="35"/>
      <c r="X3553" s="35"/>
      <c r="Y3553" s="182"/>
      <c r="Z3553" s="175"/>
      <c r="AA3553" s="182"/>
      <c r="AB3553" s="184"/>
    </row>
    <row r="3554" spans="1:28" ht="12.75">
      <c r="A3554" s="173"/>
      <c r="B3554" s="174"/>
      <c r="C3554" s="11"/>
      <c r="D3554" s="175"/>
      <c r="E3554" s="176"/>
      <c r="F3554" s="177"/>
      <c r="G3554" s="178"/>
      <c r="H3554" s="177"/>
      <c r="I3554" s="177"/>
      <c r="J3554" s="179"/>
      <c r="K3554" s="183"/>
      <c r="L3554" s="176"/>
      <c r="M3554" s="177"/>
      <c r="N3554" s="21"/>
      <c r="O3554" s="45"/>
      <c r="P3554" s="24"/>
      <c r="Q3554" s="24"/>
      <c r="R3554" s="180"/>
      <c r="S3554" s="181"/>
      <c r="T3554" s="35"/>
      <c r="U3554" s="35"/>
      <c r="V3554" s="35"/>
      <c r="W3554" s="35"/>
      <c r="X3554" s="35"/>
      <c r="Y3554" s="182"/>
      <c r="Z3554" s="175"/>
      <c r="AA3554" s="182"/>
      <c r="AB3554" s="184"/>
    </row>
    <row r="3555" spans="1:28" ht="12.75">
      <c r="A3555" s="173"/>
      <c r="B3555" s="174"/>
      <c r="C3555" s="11"/>
      <c r="D3555" s="175"/>
      <c r="E3555" s="176"/>
      <c r="F3555" s="177"/>
      <c r="G3555" s="178"/>
      <c r="H3555" s="177"/>
      <c r="I3555" s="177"/>
      <c r="J3555" s="179"/>
      <c r="K3555" s="183"/>
      <c r="L3555" s="176"/>
      <c r="M3555" s="177"/>
      <c r="N3555" s="21"/>
      <c r="O3555" s="45"/>
      <c r="P3555" s="24"/>
      <c r="Q3555" s="24"/>
      <c r="R3555" s="180"/>
      <c r="S3555" s="181"/>
      <c r="T3555" s="35"/>
      <c r="U3555" s="35"/>
      <c r="V3555" s="35"/>
      <c r="W3555" s="35"/>
      <c r="X3555" s="35"/>
      <c r="Y3555" s="182"/>
      <c r="Z3555" s="175"/>
      <c r="AA3555" s="182"/>
      <c r="AB3555" s="184"/>
    </row>
    <row r="3556" spans="1:28" ht="12.75">
      <c r="A3556" s="173"/>
      <c r="B3556" s="174"/>
      <c r="C3556" s="11"/>
      <c r="D3556" s="175"/>
      <c r="E3556" s="176"/>
      <c r="F3556" s="177"/>
      <c r="G3556" s="178"/>
      <c r="H3556" s="177"/>
      <c r="I3556" s="177"/>
      <c r="J3556" s="179"/>
      <c r="K3556" s="183"/>
      <c r="L3556" s="176"/>
      <c r="M3556" s="177"/>
      <c r="N3556" s="21"/>
      <c r="O3556" s="45"/>
      <c r="P3556" s="24"/>
      <c r="Q3556" s="24"/>
      <c r="R3556" s="180"/>
      <c r="S3556" s="181"/>
      <c r="T3556" s="35"/>
      <c r="U3556" s="35"/>
      <c r="V3556" s="35"/>
      <c r="W3556" s="35"/>
      <c r="X3556" s="35"/>
      <c r="Y3556" s="182"/>
      <c r="Z3556" s="175"/>
      <c r="AA3556" s="182"/>
      <c r="AB3556" s="184"/>
    </row>
    <row r="3557" spans="1:28" ht="12.75">
      <c r="A3557" s="173"/>
      <c r="B3557" s="174"/>
      <c r="C3557" s="11"/>
      <c r="D3557" s="175"/>
      <c r="E3557" s="176"/>
      <c r="F3557" s="177"/>
      <c r="G3557" s="178"/>
      <c r="H3557" s="177"/>
      <c r="I3557" s="177"/>
      <c r="J3557" s="179"/>
      <c r="K3557" s="183"/>
      <c r="L3557" s="176"/>
      <c r="M3557" s="177"/>
      <c r="N3557" s="21"/>
      <c r="O3557" s="45"/>
      <c r="P3557" s="24"/>
      <c r="Q3557" s="24"/>
      <c r="R3557" s="180"/>
      <c r="S3557" s="181"/>
      <c r="T3557" s="35"/>
      <c r="U3557" s="35"/>
      <c r="V3557" s="35"/>
      <c r="W3557" s="35"/>
      <c r="X3557" s="35"/>
      <c r="Y3557" s="182"/>
      <c r="Z3557" s="175"/>
      <c r="AA3557" s="182"/>
      <c r="AB3557" s="184"/>
    </row>
    <row r="3558" spans="1:28" ht="12.75">
      <c r="A3558" s="173"/>
      <c r="B3558" s="174"/>
      <c r="C3558" s="11"/>
      <c r="D3558" s="175"/>
      <c r="E3558" s="176"/>
      <c r="F3558" s="177"/>
      <c r="G3558" s="178"/>
      <c r="H3558" s="177"/>
      <c r="I3558" s="177"/>
      <c r="J3558" s="179"/>
      <c r="K3558" s="183"/>
      <c r="L3558" s="176"/>
      <c r="M3558" s="177"/>
      <c r="N3558" s="21"/>
      <c r="O3558" s="45"/>
      <c r="P3558" s="24"/>
      <c r="Q3558" s="24"/>
      <c r="R3558" s="180"/>
      <c r="S3558" s="181"/>
      <c r="T3558" s="35"/>
      <c r="U3558" s="35"/>
      <c r="V3558" s="35"/>
      <c r="W3558" s="35"/>
      <c r="X3558" s="35"/>
      <c r="Y3558" s="182"/>
      <c r="Z3558" s="175"/>
      <c r="AA3558" s="182"/>
      <c r="AB3558" s="184"/>
    </row>
    <row r="3559" spans="1:28" ht="12.75">
      <c r="A3559" s="173"/>
      <c r="B3559" s="174"/>
      <c r="C3559" s="11"/>
      <c r="D3559" s="175"/>
      <c r="E3559" s="176"/>
      <c r="F3559" s="177"/>
      <c r="G3559" s="178"/>
      <c r="H3559" s="177"/>
      <c r="I3559" s="177"/>
      <c r="J3559" s="179"/>
      <c r="K3559" s="183"/>
      <c r="L3559" s="176"/>
      <c r="M3559" s="177"/>
      <c r="N3559" s="21"/>
      <c r="O3559" s="45"/>
      <c r="P3559" s="24"/>
      <c r="Q3559" s="24"/>
      <c r="R3559" s="180"/>
      <c r="S3559" s="181"/>
      <c r="T3559" s="35"/>
      <c r="U3559" s="35"/>
      <c r="V3559" s="35"/>
      <c r="W3559" s="35"/>
      <c r="X3559" s="35"/>
      <c r="Y3559" s="182"/>
      <c r="Z3559" s="175"/>
      <c r="AA3559" s="182"/>
      <c r="AB3559" s="184"/>
    </row>
    <row r="3560" spans="1:28" ht="12.75">
      <c r="A3560" s="173"/>
      <c r="B3560" s="174"/>
      <c r="C3560" s="11"/>
      <c r="D3560" s="175"/>
      <c r="E3560" s="176"/>
      <c r="F3560" s="177"/>
      <c r="G3560" s="178"/>
      <c r="H3560" s="177"/>
      <c r="I3560" s="177"/>
      <c r="J3560" s="179"/>
      <c r="K3560" s="183"/>
      <c r="L3560" s="176"/>
      <c r="M3560" s="177"/>
      <c r="N3560" s="21"/>
      <c r="O3560" s="45"/>
      <c r="P3560" s="24"/>
      <c r="Q3560" s="24"/>
      <c r="R3560" s="180"/>
      <c r="S3560" s="181"/>
      <c r="T3560" s="35"/>
      <c r="U3560" s="35"/>
      <c r="V3560" s="35"/>
      <c r="W3560" s="35"/>
      <c r="X3560" s="35"/>
      <c r="Y3560" s="182"/>
      <c r="Z3560" s="175"/>
      <c r="AA3560" s="182"/>
      <c r="AB3560" s="184"/>
    </row>
    <row r="3561" spans="1:28" ht="12.75">
      <c r="A3561" s="173"/>
      <c r="B3561" s="174"/>
      <c r="C3561" s="11"/>
      <c r="D3561" s="175"/>
      <c r="E3561" s="176"/>
      <c r="F3561" s="177"/>
      <c r="G3561" s="178"/>
      <c r="H3561" s="177"/>
      <c r="I3561" s="177"/>
      <c r="J3561" s="179"/>
      <c r="K3561" s="183"/>
      <c r="L3561" s="176"/>
      <c r="M3561" s="177"/>
      <c r="N3561" s="21"/>
      <c r="O3561" s="45"/>
      <c r="P3561" s="24"/>
      <c r="Q3561" s="24"/>
      <c r="R3561" s="180"/>
      <c r="S3561" s="181"/>
      <c r="T3561" s="35"/>
      <c r="U3561" s="35"/>
      <c r="V3561" s="35"/>
      <c r="W3561" s="35"/>
      <c r="X3561" s="35"/>
      <c r="Y3561" s="182"/>
      <c r="Z3561" s="175"/>
      <c r="AA3561" s="182"/>
      <c r="AB3561" s="184"/>
    </row>
    <row r="3562" spans="1:28" ht="12.75">
      <c r="A3562" s="173"/>
      <c r="B3562" s="174"/>
      <c r="C3562" s="11"/>
      <c r="D3562" s="175"/>
      <c r="E3562" s="176"/>
      <c r="F3562" s="177"/>
      <c r="G3562" s="178"/>
      <c r="H3562" s="177"/>
      <c r="I3562" s="177"/>
      <c r="J3562" s="179"/>
      <c r="K3562" s="183"/>
      <c r="L3562" s="176"/>
      <c r="M3562" s="177"/>
      <c r="N3562" s="21"/>
      <c r="O3562" s="45"/>
      <c r="P3562" s="24"/>
      <c r="Q3562" s="24"/>
      <c r="R3562" s="180"/>
      <c r="S3562" s="181"/>
      <c r="T3562" s="35"/>
      <c r="U3562" s="35"/>
      <c r="V3562" s="35"/>
      <c r="W3562" s="35"/>
      <c r="X3562" s="35"/>
      <c r="Y3562" s="182"/>
      <c r="Z3562" s="175"/>
      <c r="AA3562" s="182"/>
      <c r="AB3562" s="184"/>
    </row>
    <row r="3563" spans="1:28" ht="12.75">
      <c r="A3563" s="173"/>
      <c r="B3563" s="174"/>
      <c r="C3563" s="11"/>
      <c r="D3563" s="175"/>
      <c r="E3563" s="176"/>
      <c r="F3563" s="177"/>
      <c r="G3563" s="178"/>
      <c r="H3563" s="177"/>
      <c r="I3563" s="177"/>
      <c r="J3563" s="179"/>
      <c r="K3563" s="183"/>
      <c r="L3563" s="176"/>
      <c r="M3563" s="177"/>
      <c r="N3563" s="21"/>
      <c r="O3563" s="45"/>
      <c r="P3563" s="24"/>
      <c r="Q3563" s="24"/>
      <c r="R3563" s="180"/>
      <c r="S3563" s="181"/>
      <c r="T3563" s="35"/>
      <c r="U3563" s="35"/>
      <c r="V3563" s="35"/>
      <c r="W3563" s="35"/>
      <c r="X3563" s="35"/>
      <c r="Y3563" s="182"/>
      <c r="Z3563" s="175"/>
      <c r="AA3563" s="182"/>
      <c r="AB3563" s="184"/>
    </row>
    <row r="3564" spans="1:28" ht="12.75">
      <c r="A3564" s="173"/>
      <c r="B3564" s="174"/>
      <c r="C3564" s="11"/>
      <c r="D3564" s="175"/>
      <c r="E3564" s="176"/>
      <c r="F3564" s="177"/>
      <c r="G3564" s="178"/>
      <c r="H3564" s="177"/>
      <c r="I3564" s="177"/>
      <c r="J3564" s="179"/>
      <c r="K3564" s="183"/>
      <c r="L3564" s="176"/>
      <c r="M3564" s="177"/>
      <c r="N3564" s="21"/>
      <c r="O3564" s="45"/>
      <c r="P3564" s="24"/>
      <c r="Q3564" s="24"/>
      <c r="R3564" s="180"/>
      <c r="S3564" s="181"/>
      <c r="T3564" s="35"/>
      <c r="U3564" s="35"/>
      <c r="V3564" s="35"/>
      <c r="W3564" s="35"/>
      <c r="X3564" s="35"/>
      <c r="Y3564" s="182"/>
      <c r="Z3564" s="175"/>
      <c r="AA3564" s="182"/>
      <c r="AB3564" s="184"/>
    </row>
    <row r="3565" spans="1:28" ht="12.75">
      <c r="A3565" s="173"/>
      <c r="B3565" s="174"/>
      <c r="C3565" s="11"/>
      <c r="D3565" s="175"/>
      <c r="E3565" s="176"/>
      <c r="F3565" s="177"/>
      <c r="G3565" s="178"/>
      <c r="H3565" s="177"/>
      <c r="I3565" s="177"/>
      <c r="J3565" s="179"/>
      <c r="K3565" s="183"/>
      <c r="L3565" s="176"/>
      <c r="M3565" s="177"/>
      <c r="N3565" s="21"/>
      <c r="O3565" s="45"/>
      <c r="P3565" s="24"/>
      <c r="Q3565" s="24"/>
      <c r="R3565" s="180"/>
      <c r="S3565" s="181"/>
      <c r="T3565" s="35"/>
      <c r="U3565" s="35"/>
      <c r="V3565" s="35"/>
      <c r="W3565" s="35"/>
      <c r="X3565" s="35"/>
      <c r="Y3565" s="182"/>
      <c r="Z3565" s="175"/>
      <c r="AA3565" s="182"/>
      <c r="AB3565" s="184"/>
    </row>
    <row r="3566" spans="1:28" ht="12.75">
      <c r="A3566" s="173"/>
      <c r="B3566" s="174"/>
      <c r="C3566" s="11"/>
      <c r="D3566" s="175"/>
      <c r="E3566" s="176"/>
      <c r="F3566" s="177"/>
      <c r="G3566" s="178"/>
      <c r="H3566" s="177"/>
      <c r="I3566" s="177"/>
      <c r="J3566" s="179"/>
      <c r="K3566" s="183"/>
      <c r="L3566" s="176"/>
      <c r="M3566" s="177"/>
      <c r="N3566" s="21"/>
      <c r="O3566" s="45"/>
      <c r="P3566" s="24"/>
      <c r="Q3566" s="24"/>
      <c r="R3566" s="180"/>
      <c r="S3566" s="181"/>
      <c r="T3566" s="35"/>
      <c r="U3566" s="35"/>
      <c r="V3566" s="35"/>
      <c r="W3566" s="35"/>
      <c r="X3566" s="35"/>
      <c r="Y3566" s="182"/>
      <c r="Z3566" s="175"/>
      <c r="AA3566" s="182"/>
      <c r="AB3566" s="184"/>
    </row>
    <row r="3567" spans="1:28" ht="12.75">
      <c r="A3567" s="173"/>
      <c r="B3567" s="174"/>
      <c r="C3567" s="11"/>
      <c r="D3567" s="175"/>
      <c r="E3567" s="176"/>
      <c r="F3567" s="177"/>
      <c r="G3567" s="178"/>
      <c r="H3567" s="177"/>
      <c r="I3567" s="177"/>
      <c r="J3567" s="179"/>
      <c r="K3567" s="183"/>
      <c r="L3567" s="176"/>
      <c r="M3567" s="177"/>
      <c r="N3567" s="21"/>
      <c r="O3567" s="45"/>
      <c r="P3567" s="24"/>
      <c r="Q3567" s="24"/>
      <c r="R3567" s="180"/>
      <c r="S3567" s="181"/>
      <c r="T3567" s="35"/>
      <c r="U3567" s="35"/>
      <c r="V3567" s="35"/>
      <c r="W3567" s="35"/>
      <c r="X3567" s="35"/>
      <c r="Y3567" s="182"/>
      <c r="Z3567" s="175"/>
      <c r="AA3567" s="182"/>
      <c r="AB3567" s="184"/>
    </row>
    <row r="3568" spans="1:28" ht="12.75">
      <c r="A3568" s="9"/>
      <c r="B3568" s="174"/>
      <c r="C3568" s="11"/>
      <c r="D3568" s="175"/>
      <c r="E3568" s="176"/>
      <c r="F3568" s="177"/>
      <c r="G3568" s="178"/>
      <c r="H3568" s="177"/>
      <c r="I3568" s="177"/>
      <c r="J3568" s="179"/>
      <c r="K3568" s="183"/>
      <c r="L3568" s="19"/>
      <c r="M3568" s="177"/>
      <c r="N3568" s="21"/>
      <c r="O3568" s="45"/>
      <c r="P3568" s="24"/>
      <c r="Q3568" s="24"/>
      <c r="R3568" s="180"/>
      <c r="S3568" s="181"/>
      <c r="T3568" s="35"/>
      <c r="U3568" s="35"/>
      <c r="V3568" s="35"/>
      <c r="W3568" s="35"/>
      <c r="X3568" s="35"/>
      <c r="Y3568" s="182"/>
      <c r="Z3568" s="175"/>
      <c r="AA3568" s="182"/>
      <c r="AB3568" s="184"/>
    </row>
    <row r="3569" spans="1:28" ht="12.75">
      <c r="A3569" s="173"/>
      <c r="B3569" s="174"/>
      <c r="C3569" s="11"/>
      <c r="D3569" s="187"/>
      <c r="E3569" s="13"/>
      <c r="F3569" s="177"/>
      <c r="G3569" s="178"/>
      <c r="H3569" s="177"/>
      <c r="I3569" s="177"/>
      <c r="J3569" s="179"/>
      <c r="K3569" s="183"/>
      <c r="L3569" s="19"/>
      <c r="M3569" s="177"/>
      <c r="N3569" s="21"/>
      <c r="O3569" s="45"/>
      <c r="P3569" s="24"/>
      <c r="Q3569" s="24"/>
      <c r="R3569" s="180"/>
      <c r="S3569" s="181"/>
      <c r="T3569" s="35"/>
      <c r="U3569" s="35"/>
      <c r="V3569" s="35"/>
      <c r="W3569" s="35"/>
      <c r="X3569" s="35"/>
      <c r="Y3569" s="182"/>
      <c r="Z3569" s="175"/>
      <c r="AA3569" s="182"/>
      <c r="AB3569" s="184"/>
    </row>
    <row r="3570" spans="1:28" ht="12.75">
      <c r="A3570" s="173"/>
      <c r="B3570" s="174"/>
      <c r="C3570" s="11"/>
      <c r="D3570" s="175"/>
      <c r="E3570" s="176"/>
      <c r="F3570" s="177"/>
      <c r="G3570" s="178"/>
      <c r="H3570" s="177"/>
      <c r="I3570" s="177"/>
      <c r="J3570" s="179"/>
      <c r="K3570" s="183"/>
      <c r="L3570" s="176"/>
      <c r="M3570" s="177"/>
      <c r="N3570" s="21"/>
      <c r="O3570" s="45"/>
      <c r="P3570" s="24"/>
      <c r="Q3570" s="24"/>
      <c r="R3570" s="180"/>
      <c r="S3570" s="181"/>
      <c r="T3570" s="35"/>
      <c r="U3570" s="35"/>
      <c r="V3570" s="35"/>
      <c r="W3570" s="35"/>
      <c r="X3570" s="35"/>
      <c r="Y3570" s="182"/>
      <c r="Z3570" s="175"/>
      <c r="AA3570" s="182"/>
      <c r="AB3570" s="184"/>
    </row>
    <row r="3571" spans="1:28" ht="12.75">
      <c r="A3571" s="173"/>
      <c r="B3571" s="174"/>
      <c r="C3571" s="11"/>
      <c r="D3571" s="175"/>
      <c r="E3571" s="176"/>
      <c r="F3571" s="177"/>
      <c r="G3571" s="178"/>
      <c r="H3571" s="177"/>
      <c r="I3571" s="177"/>
      <c r="J3571" s="179"/>
      <c r="K3571" s="183"/>
      <c r="L3571" s="176"/>
      <c r="M3571" s="177"/>
      <c r="N3571" s="21"/>
      <c r="O3571" s="45"/>
      <c r="P3571" s="24"/>
      <c r="Q3571" s="24"/>
      <c r="R3571" s="180"/>
      <c r="S3571" s="181"/>
      <c r="T3571" s="35"/>
      <c r="U3571" s="35"/>
      <c r="V3571" s="35"/>
      <c r="W3571" s="35"/>
      <c r="X3571" s="35"/>
      <c r="Y3571" s="182"/>
      <c r="Z3571" s="175"/>
      <c r="AA3571" s="182"/>
      <c r="AB3571" s="184"/>
    </row>
    <row r="3572" spans="1:28" ht="12.75">
      <c r="A3572" s="173"/>
      <c r="B3572" s="174"/>
      <c r="C3572" s="11"/>
      <c r="D3572" s="175"/>
      <c r="E3572" s="176"/>
      <c r="F3572" s="177"/>
      <c r="G3572" s="178"/>
      <c r="H3572" s="177"/>
      <c r="I3572" s="177"/>
      <c r="J3572" s="179"/>
      <c r="K3572" s="183"/>
      <c r="L3572" s="19"/>
      <c r="M3572" s="20"/>
      <c r="N3572" s="21"/>
      <c r="O3572" s="45"/>
      <c r="P3572" s="24"/>
      <c r="Q3572" s="24"/>
      <c r="R3572" s="180"/>
      <c r="S3572" s="181"/>
      <c r="T3572" s="35"/>
      <c r="U3572" s="35"/>
      <c r="V3572" s="35"/>
      <c r="W3572" s="35"/>
      <c r="X3572" s="35"/>
      <c r="Y3572" s="182"/>
      <c r="Z3572" s="175"/>
      <c r="AA3572" s="182"/>
      <c r="AB3572" s="184"/>
    </row>
    <row r="3573" spans="1:28" ht="12.75">
      <c r="A3573" s="173"/>
      <c r="B3573" s="174"/>
      <c r="C3573" s="11"/>
      <c r="D3573" s="175"/>
      <c r="E3573" s="176"/>
      <c r="F3573" s="177"/>
      <c r="G3573" s="178"/>
      <c r="H3573" s="177"/>
      <c r="I3573" s="177"/>
      <c r="J3573" s="179"/>
      <c r="K3573" s="34"/>
      <c r="L3573" s="19"/>
      <c r="M3573" s="177"/>
      <c r="N3573" s="21"/>
      <c r="O3573" s="45"/>
      <c r="P3573" s="24"/>
      <c r="Q3573" s="24"/>
      <c r="R3573" s="180"/>
      <c r="S3573" s="181"/>
      <c r="T3573" s="35"/>
      <c r="U3573" s="35"/>
      <c r="V3573" s="35"/>
      <c r="W3573" s="35"/>
      <c r="X3573" s="35"/>
      <c r="Y3573" s="182"/>
      <c r="Z3573" s="175"/>
      <c r="AA3573" s="182"/>
      <c r="AB3573" s="184"/>
    </row>
    <row r="3574" spans="1:28" ht="12.75">
      <c r="A3574" s="173"/>
      <c r="B3574" s="174"/>
      <c r="C3574" s="11"/>
      <c r="D3574" s="175"/>
      <c r="E3574" s="176"/>
      <c r="F3574" s="177"/>
      <c r="G3574" s="188"/>
      <c r="H3574" s="177"/>
      <c r="I3574" s="177"/>
      <c r="J3574" s="179"/>
      <c r="K3574" s="183"/>
      <c r="L3574" s="19"/>
      <c r="M3574" s="177"/>
      <c r="N3574" s="21"/>
      <c r="O3574" s="45"/>
      <c r="P3574" s="24"/>
      <c r="Q3574" s="24"/>
      <c r="R3574" s="180"/>
      <c r="S3574" s="181"/>
      <c r="T3574" s="35"/>
      <c r="U3574" s="35"/>
      <c r="V3574" s="35"/>
      <c r="W3574" s="35"/>
      <c r="X3574" s="35"/>
      <c r="Y3574" s="182"/>
      <c r="Z3574" s="175"/>
      <c r="AA3574" s="182"/>
      <c r="AB3574" s="184"/>
    </row>
    <row r="3575" spans="1:28" ht="12.75">
      <c r="A3575" s="173"/>
      <c r="B3575" s="174"/>
      <c r="C3575" s="11"/>
      <c r="D3575" s="175"/>
      <c r="E3575" s="176"/>
      <c r="F3575" s="177"/>
      <c r="G3575" s="178"/>
      <c r="H3575" s="177"/>
      <c r="I3575" s="177"/>
      <c r="J3575" s="179"/>
      <c r="K3575" s="183"/>
      <c r="L3575" s="189"/>
      <c r="M3575" s="177"/>
      <c r="N3575" s="21"/>
      <c r="O3575" s="45"/>
      <c r="P3575" s="24"/>
      <c r="Q3575" s="24"/>
      <c r="R3575" s="180"/>
      <c r="S3575" s="181"/>
      <c r="T3575" s="35"/>
      <c r="U3575" s="35"/>
      <c r="V3575" s="35"/>
      <c r="W3575" s="35"/>
      <c r="X3575" s="35"/>
      <c r="Y3575" s="182"/>
      <c r="Z3575" s="175"/>
      <c r="AA3575" s="182"/>
      <c r="AB3575" s="184"/>
    </row>
    <row r="3576" spans="1:28" ht="12.75">
      <c r="A3576" s="173"/>
      <c r="B3576" s="174"/>
      <c r="C3576" s="11"/>
      <c r="D3576" s="175"/>
      <c r="E3576" s="176"/>
      <c r="F3576" s="177"/>
      <c r="G3576" s="178"/>
      <c r="H3576" s="177"/>
      <c r="I3576" s="177"/>
      <c r="J3576" s="179"/>
      <c r="K3576" s="183"/>
      <c r="L3576" s="176"/>
      <c r="M3576" s="177"/>
      <c r="N3576" s="21"/>
      <c r="O3576" s="45"/>
      <c r="P3576" s="24"/>
      <c r="Q3576" s="24"/>
      <c r="R3576" s="180"/>
      <c r="S3576" s="181"/>
      <c r="T3576" s="35"/>
      <c r="U3576" s="35"/>
      <c r="V3576" s="35"/>
      <c r="W3576" s="35"/>
      <c r="X3576" s="35"/>
      <c r="Y3576" s="182"/>
      <c r="Z3576" s="175"/>
      <c r="AA3576" s="182"/>
      <c r="AB3576" s="184"/>
    </row>
    <row r="3577" spans="1:28" ht="12.75">
      <c r="A3577" s="173"/>
      <c r="B3577" s="174"/>
      <c r="C3577" s="11"/>
      <c r="D3577" s="175"/>
      <c r="E3577" s="176"/>
      <c r="F3577" s="177"/>
      <c r="G3577" s="178"/>
      <c r="H3577" s="177"/>
      <c r="I3577" s="177"/>
      <c r="J3577" s="179"/>
      <c r="K3577" s="183"/>
      <c r="L3577" s="176"/>
      <c r="M3577" s="177"/>
      <c r="N3577" s="21"/>
      <c r="O3577" s="45"/>
      <c r="P3577" s="24"/>
      <c r="Q3577" s="24"/>
      <c r="R3577" s="180"/>
      <c r="S3577" s="181"/>
      <c r="T3577" s="35"/>
      <c r="U3577" s="35"/>
      <c r="V3577" s="35"/>
      <c r="W3577" s="35"/>
      <c r="X3577" s="35"/>
      <c r="Y3577" s="182"/>
      <c r="Z3577" s="175"/>
      <c r="AA3577" s="182"/>
      <c r="AB3577" s="184"/>
    </row>
    <row r="3578" spans="1:28" ht="12.75">
      <c r="A3578" s="173"/>
      <c r="B3578" s="174"/>
      <c r="C3578" s="11"/>
      <c r="D3578" s="175"/>
      <c r="E3578" s="176"/>
      <c r="F3578" s="177"/>
      <c r="G3578" s="178"/>
      <c r="H3578" s="177"/>
      <c r="I3578" s="177"/>
      <c r="J3578" s="179"/>
      <c r="K3578" s="183"/>
      <c r="L3578" s="176"/>
      <c r="M3578" s="177"/>
      <c r="N3578" s="21"/>
      <c r="O3578" s="45"/>
      <c r="P3578" s="24"/>
      <c r="Q3578" s="24"/>
      <c r="R3578" s="180"/>
      <c r="S3578" s="181"/>
      <c r="T3578" s="35"/>
      <c r="U3578" s="35"/>
      <c r="V3578" s="35"/>
      <c r="W3578" s="35"/>
      <c r="X3578" s="35"/>
      <c r="Y3578" s="182"/>
      <c r="Z3578" s="175"/>
      <c r="AA3578" s="182"/>
      <c r="AB3578" s="184"/>
    </row>
    <row r="3579" spans="1:28" ht="12.75">
      <c r="A3579" s="173"/>
      <c r="B3579" s="174"/>
      <c r="C3579" s="11"/>
      <c r="D3579" s="175"/>
      <c r="E3579" s="176"/>
      <c r="F3579" s="177"/>
      <c r="G3579" s="178"/>
      <c r="H3579" s="177"/>
      <c r="I3579" s="177"/>
      <c r="J3579" s="179"/>
      <c r="K3579" s="183"/>
      <c r="L3579" s="176"/>
      <c r="M3579" s="177"/>
      <c r="N3579" s="21"/>
      <c r="O3579" s="45"/>
      <c r="P3579" s="24"/>
      <c r="Q3579" s="24"/>
      <c r="R3579" s="180"/>
      <c r="S3579" s="181"/>
      <c r="T3579" s="35"/>
      <c r="U3579" s="35"/>
      <c r="V3579" s="35"/>
      <c r="W3579" s="35"/>
      <c r="X3579" s="35"/>
      <c r="Y3579" s="182"/>
      <c r="Z3579" s="175"/>
      <c r="AA3579" s="182"/>
      <c r="AB3579" s="184"/>
    </row>
    <row r="3580" spans="1:28" ht="12.75">
      <c r="A3580" s="173"/>
      <c r="B3580" s="174"/>
      <c r="C3580" s="11"/>
      <c r="D3580" s="175"/>
      <c r="E3580" s="176"/>
      <c r="F3580" s="177"/>
      <c r="G3580" s="178"/>
      <c r="H3580" s="177"/>
      <c r="I3580" s="177"/>
      <c r="J3580" s="179"/>
      <c r="K3580" s="183"/>
      <c r="L3580" s="176"/>
      <c r="M3580" s="177"/>
      <c r="N3580" s="21"/>
      <c r="O3580" s="45"/>
      <c r="P3580" s="24"/>
      <c r="Q3580" s="24"/>
      <c r="R3580" s="180"/>
      <c r="S3580" s="181"/>
      <c r="T3580" s="35"/>
      <c r="U3580" s="35"/>
      <c r="V3580" s="35"/>
      <c r="W3580" s="35"/>
      <c r="X3580" s="35"/>
      <c r="Y3580" s="182"/>
      <c r="Z3580" s="175"/>
      <c r="AA3580" s="182"/>
      <c r="AB3580" s="184"/>
    </row>
    <row r="3581" spans="1:28" ht="12.75">
      <c r="A3581" s="173"/>
      <c r="B3581" s="174"/>
      <c r="C3581" s="11"/>
      <c r="D3581" s="175"/>
      <c r="E3581" s="176"/>
      <c r="F3581" s="177"/>
      <c r="G3581" s="178"/>
      <c r="H3581" s="177"/>
      <c r="I3581" s="177"/>
      <c r="J3581" s="179"/>
      <c r="K3581" s="183"/>
      <c r="L3581" s="176"/>
      <c r="M3581" s="177"/>
      <c r="N3581" s="21"/>
      <c r="O3581" s="45"/>
      <c r="P3581" s="24"/>
      <c r="Q3581" s="24"/>
      <c r="R3581" s="180"/>
      <c r="S3581" s="181"/>
      <c r="T3581" s="35"/>
      <c r="U3581" s="35"/>
      <c r="V3581" s="35"/>
      <c r="W3581" s="35"/>
      <c r="X3581" s="35"/>
      <c r="Y3581" s="182"/>
      <c r="Z3581" s="175"/>
      <c r="AA3581" s="182"/>
      <c r="AB3581" s="184"/>
    </row>
    <row r="3582" spans="1:28" ht="12.75">
      <c r="A3582" s="173"/>
      <c r="B3582" s="174"/>
      <c r="C3582" s="11"/>
      <c r="D3582" s="175"/>
      <c r="E3582" s="176"/>
      <c r="F3582" s="177"/>
      <c r="G3582" s="178"/>
      <c r="H3582" s="177"/>
      <c r="I3582" s="177"/>
      <c r="J3582" s="179"/>
      <c r="K3582" s="183"/>
      <c r="L3582" s="176"/>
      <c r="M3582" s="177"/>
      <c r="N3582" s="21"/>
      <c r="O3582" s="45"/>
      <c r="P3582" s="24"/>
      <c r="Q3582" s="24"/>
      <c r="R3582" s="180"/>
      <c r="S3582" s="181"/>
      <c r="T3582" s="35"/>
      <c r="U3582" s="35"/>
      <c r="V3582" s="35"/>
      <c r="W3582" s="35"/>
      <c r="X3582" s="35"/>
      <c r="Y3582" s="182"/>
      <c r="Z3582" s="175"/>
      <c r="AA3582" s="182"/>
      <c r="AB3582" s="184"/>
    </row>
    <row r="3583" spans="1:28" ht="12.75">
      <c r="A3583" s="173"/>
      <c r="B3583" s="174"/>
      <c r="C3583" s="11"/>
      <c r="D3583" s="175"/>
      <c r="E3583" s="176"/>
      <c r="F3583" s="177"/>
      <c r="G3583" s="178"/>
      <c r="H3583" s="177"/>
      <c r="I3583" s="177"/>
      <c r="J3583" s="179"/>
      <c r="K3583" s="183"/>
      <c r="L3583" s="176"/>
      <c r="M3583" s="177"/>
      <c r="N3583" s="21"/>
      <c r="O3583" s="45"/>
      <c r="P3583" s="24"/>
      <c r="Q3583" s="24"/>
      <c r="R3583" s="180"/>
      <c r="S3583" s="181"/>
      <c r="T3583" s="35"/>
      <c r="U3583" s="35"/>
      <c r="V3583" s="35"/>
      <c r="W3583" s="35"/>
      <c r="X3583" s="35"/>
      <c r="Y3583" s="182"/>
      <c r="Z3583" s="175"/>
      <c r="AA3583" s="182"/>
      <c r="AB3583" s="184"/>
    </row>
    <row r="3584" spans="1:28" ht="12.75">
      <c r="A3584" s="173"/>
      <c r="B3584" s="174"/>
      <c r="C3584" s="11"/>
      <c r="D3584" s="175"/>
      <c r="E3584" s="176"/>
      <c r="F3584" s="177"/>
      <c r="G3584" s="178"/>
      <c r="H3584" s="177"/>
      <c r="I3584" s="177"/>
      <c r="J3584" s="179"/>
      <c r="K3584" s="183"/>
      <c r="L3584" s="176"/>
      <c r="M3584" s="177"/>
      <c r="N3584" s="21"/>
      <c r="O3584" s="45"/>
      <c r="P3584" s="24"/>
      <c r="Q3584" s="24"/>
      <c r="R3584" s="180"/>
      <c r="S3584" s="181"/>
      <c r="T3584" s="35"/>
      <c r="U3584" s="35"/>
      <c r="V3584" s="35"/>
      <c r="W3584" s="35"/>
      <c r="X3584" s="35"/>
      <c r="Y3584" s="182"/>
      <c r="Z3584" s="175"/>
      <c r="AA3584" s="182"/>
      <c r="AB3584" s="184"/>
    </row>
    <row r="3585" spans="1:28" ht="12.75">
      <c r="A3585" s="173"/>
      <c r="B3585" s="174"/>
      <c r="C3585" s="11"/>
      <c r="D3585" s="175"/>
      <c r="E3585" s="176"/>
      <c r="F3585" s="177"/>
      <c r="G3585" s="178"/>
      <c r="H3585" s="177"/>
      <c r="I3585" s="177"/>
      <c r="J3585" s="179"/>
      <c r="K3585" s="183"/>
      <c r="L3585" s="176"/>
      <c r="M3585" s="177"/>
      <c r="N3585" s="21"/>
      <c r="O3585" s="45"/>
      <c r="P3585" s="24"/>
      <c r="Q3585" s="24"/>
      <c r="R3585" s="180"/>
      <c r="S3585" s="181"/>
      <c r="T3585" s="35"/>
      <c r="U3585" s="35"/>
      <c r="V3585" s="35"/>
      <c r="W3585" s="35"/>
      <c r="X3585" s="35"/>
      <c r="Y3585" s="182"/>
      <c r="Z3585" s="175"/>
      <c r="AA3585" s="182"/>
      <c r="AB3585" s="184"/>
    </row>
    <row r="3586" spans="1:28" ht="12.75">
      <c r="A3586" s="173"/>
      <c r="B3586" s="174"/>
      <c r="C3586" s="11"/>
      <c r="D3586" s="175"/>
      <c r="E3586" s="176"/>
      <c r="F3586" s="177"/>
      <c r="G3586" s="178"/>
      <c r="H3586" s="177"/>
      <c r="I3586" s="177"/>
      <c r="J3586" s="179"/>
      <c r="K3586" s="183"/>
      <c r="L3586" s="176"/>
      <c r="M3586" s="177"/>
      <c r="N3586" s="21"/>
      <c r="O3586" s="45"/>
      <c r="P3586" s="24"/>
      <c r="Q3586" s="24"/>
      <c r="R3586" s="180"/>
      <c r="S3586" s="181"/>
      <c r="T3586" s="35"/>
      <c r="U3586" s="35"/>
      <c r="V3586" s="35"/>
      <c r="W3586" s="35"/>
      <c r="X3586" s="35"/>
      <c r="Y3586" s="182"/>
      <c r="Z3586" s="175"/>
      <c r="AA3586" s="182"/>
      <c r="AB3586" s="184"/>
    </row>
    <row r="3587" spans="1:28" ht="12.75">
      <c r="A3587" s="173"/>
      <c r="B3587" s="174"/>
      <c r="C3587" s="11"/>
      <c r="D3587" s="175"/>
      <c r="E3587" s="176"/>
      <c r="F3587" s="177"/>
      <c r="G3587" s="178"/>
      <c r="H3587" s="177"/>
      <c r="I3587" s="177"/>
      <c r="J3587" s="179"/>
      <c r="K3587" s="183"/>
      <c r="L3587" s="176"/>
      <c r="M3587" s="177"/>
      <c r="N3587" s="21"/>
      <c r="O3587" s="45"/>
      <c r="P3587" s="24"/>
      <c r="Q3587" s="24"/>
      <c r="R3587" s="180"/>
      <c r="S3587" s="181"/>
      <c r="T3587" s="35"/>
      <c r="U3587" s="35"/>
      <c r="V3587" s="35"/>
      <c r="W3587" s="35"/>
      <c r="X3587" s="35"/>
      <c r="Y3587" s="182"/>
      <c r="Z3587" s="175"/>
      <c r="AA3587" s="182"/>
      <c r="AB3587" s="184"/>
    </row>
    <row r="3588" spans="1:28" ht="12.75">
      <c r="A3588" s="173"/>
      <c r="B3588" s="174"/>
      <c r="C3588" s="11"/>
      <c r="D3588" s="175"/>
      <c r="E3588" s="176"/>
      <c r="F3588" s="177"/>
      <c r="G3588" s="178"/>
      <c r="H3588" s="177"/>
      <c r="I3588" s="177"/>
      <c r="J3588" s="179"/>
      <c r="K3588" s="183"/>
      <c r="L3588" s="176"/>
      <c r="M3588" s="177"/>
      <c r="N3588" s="21"/>
      <c r="O3588" s="45"/>
      <c r="P3588" s="24"/>
      <c r="Q3588" s="24"/>
      <c r="R3588" s="180"/>
      <c r="S3588" s="181"/>
      <c r="T3588" s="35"/>
      <c r="U3588" s="35"/>
      <c r="V3588" s="35"/>
      <c r="W3588" s="35"/>
      <c r="X3588" s="35"/>
      <c r="Y3588" s="182"/>
      <c r="Z3588" s="175"/>
      <c r="AA3588" s="182"/>
      <c r="AB3588" s="184"/>
    </row>
    <row r="3589" spans="1:28" ht="12.75">
      <c r="A3589" s="173"/>
      <c r="B3589" s="174"/>
      <c r="C3589" s="11"/>
      <c r="D3589" s="175"/>
      <c r="E3589" s="176"/>
      <c r="F3589" s="177"/>
      <c r="G3589" s="178"/>
      <c r="H3589" s="177"/>
      <c r="I3589" s="177"/>
      <c r="J3589" s="179"/>
      <c r="K3589" s="183"/>
      <c r="L3589" s="176"/>
      <c r="M3589" s="177"/>
      <c r="N3589" s="21"/>
      <c r="O3589" s="45"/>
      <c r="P3589" s="24"/>
      <c r="Q3589" s="24"/>
      <c r="R3589" s="180"/>
      <c r="S3589" s="181"/>
      <c r="T3589" s="35"/>
      <c r="U3589" s="35"/>
      <c r="V3589" s="35"/>
      <c r="W3589" s="35"/>
      <c r="X3589" s="35"/>
      <c r="Y3589" s="182"/>
      <c r="Z3589" s="175"/>
      <c r="AA3589" s="182"/>
      <c r="AB3589" s="184"/>
    </row>
    <row r="3590" spans="1:28" ht="12.75">
      <c r="A3590" s="173"/>
      <c r="B3590" s="174"/>
      <c r="C3590" s="11"/>
      <c r="D3590" s="175"/>
      <c r="E3590" s="176"/>
      <c r="F3590" s="177"/>
      <c r="G3590" s="178"/>
      <c r="H3590" s="177"/>
      <c r="I3590" s="177"/>
      <c r="J3590" s="179"/>
      <c r="K3590" s="183"/>
      <c r="L3590" s="176"/>
      <c r="M3590" s="177"/>
      <c r="N3590" s="21"/>
      <c r="O3590" s="45"/>
      <c r="P3590" s="24"/>
      <c r="Q3590" s="24"/>
      <c r="R3590" s="180"/>
      <c r="S3590" s="181"/>
      <c r="T3590" s="35"/>
      <c r="U3590" s="35"/>
      <c r="V3590" s="35"/>
      <c r="W3590" s="35"/>
      <c r="X3590" s="35"/>
      <c r="Y3590" s="182"/>
      <c r="Z3590" s="175"/>
      <c r="AA3590" s="182"/>
      <c r="AB3590" s="184"/>
    </row>
    <row r="3591" spans="1:28" ht="12.75">
      <c r="A3591" s="173"/>
      <c r="B3591" s="174"/>
      <c r="C3591" s="11"/>
      <c r="D3591" s="175"/>
      <c r="E3591" s="176"/>
      <c r="F3591" s="177"/>
      <c r="G3591" s="178"/>
      <c r="H3591" s="177"/>
      <c r="I3591" s="177"/>
      <c r="J3591" s="179"/>
      <c r="K3591" s="183"/>
      <c r="L3591" s="176"/>
      <c r="M3591" s="177"/>
      <c r="N3591" s="21"/>
      <c r="O3591" s="45"/>
      <c r="P3591" s="24"/>
      <c r="Q3591" s="24"/>
      <c r="R3591" s="180"/>
      <c r="S3591" s="181"/>
      <c r="T3591" s="35"/>
      <c r="U3591" s="35"/>
      <c r="V3591" s="35"/>
      <c r="W3591" s="35"/>
      <c r="X3591" s="35"/>
      <c r="Y3591" s="182"/>
      <c r="Z3591" s="175"/>
      <c r="AA3591" s="182"/>
      <c r="AB3591" s="184"/>
    </row>
    <row r="3592" spans="1:28" ht="12.75">
      <c r="A3592" s="173"/>
      <c r="B3592" s="174"/>
      <c r="C3592" s="11"/>
      <c r="D3592" s="175"/>
      <c r="E3592" s="176"/>
      <c r="F3592" s="177"/>
      <c r="G3592" s="178"/>
      <c r="H3592" s="177"/>
      <c r="I3592" s="177"/>
      <c r="J3592" s="179"/>
      <c r="K3592" s="183"/>
      <c r="L3592" s="176"/>
      <c r="M3592" s="177"/>
      <c r="N3592" s="21"/>
      <c r="O3592" s="45"/>
      <c r="P3592" s="24"/>
      <c r="Q3592" s="24"/>
      <c r="R3592" s="180"/>
      <c r="S3592" s="181"/>
      <c r="T3592" s="35"/>
      <c r="U3592" s="35"/>
      <c r="V3592" s="35"/>
      <c r="W3592" s="35"/>
      <c r="X3592" s="35"/>
      <c r="Y3592" s="182"/>
      <c r="Z3592" s="175"/>
      <c r="AA3592" s="182"/>
      <c r="AB3592" s="184"/>
    </row>
    <row r="3593" spans="1:28" ht="12.75">
      <c r="A3593" s="173"/>
      <c r="B3593" s="174"/>
      <c r="C3593" s="11"/>
      <c r="D3593" s="175"/>
      <c r="E3593" s="176"/>
      <c r="F3593" s="177"/>
      <c r="G3593" s="178"/>
      <c r="H3593" s="177"/>
      <c r="I3593" s="177"/>
      <c r="J3593" s="179"/>
      <c r="K3593" s="183"/>
      <c r="L3593" s="176"/>
      <c r="M3593" s="177"/>
      <c r="N3593" s="21"/>
      <c r="O3593" s="45"/>
      <c r="P3593" s="24"/>
      <c r="Q3593" s="24"/>
      <c r="R3593" s="180"/>
      <c r="S3593" s="181"/>
      <c r="T3593" s="35"/>
      <c r="U3593" s="35"/>
      <c r="V3593" s="35"/>
      <c r="W3593" s="35"/>
      <c r="X3593" s="35"/>
      <c r="Y3593" s="182"/>
      <c r="Z3593" s="175"/>
      <c r="AA3593" s="182"/>
      <c r="AB3593" s="184"/>
    </row>
    <row r="3594" spans="1:28" ht="12.75">
      <c r="A3594" s="173"/>
      <c r="B3594" s="174"/>
      <c r="C3594" s="11"/>
      <c r="D3594" s="175"/>
      <c r="E3594" s="176"/>
      <c r="F3594" s="177"/>
      <c r="G3594" s="178"/>
      <c r="H3594" s="177"/>
      <c r="I3594" s="177"/>
      <c r="J3594" s="179"/>
      <c r="K3594" s="183"/>
      <c r="L3594" s="176"/>
      <c r="M3594" s="177"/>
      <c r="N3594" s="21"/>
      <c r="O3594" s="45"/>
      <c r="P3594" s="24"/>
      <c r="Q3594" s="24"/>
      <c r="R3594" s="180"/>
      <c r="S3594" s="181"/>
      <c r="T3594" s="35"/>
      <c r="U3594" s="35"/>
      <c r="V3594" s="35"/>
      <c r="W3594" s="35"/>
      <c r="X3594" s="35"/>
      <c r="Y3594" s="182"/>
      <c r="Z3594" s="175"/>
      <c r="AA3594" s="182"/>
      <c r="AB3594" s="184"/>
    </row>
    <row r="3595" spans="1:28" ht="12.75">
      <c r="A3595" s="173"/>
      <c r="B3595" s="174"/>
      <c r="C3595" s="11"/>
      <c r="D3595" s="175"/>
      <c r="E3595" s="176"/>
      <c r="F3595" s="177"/>
      <c r="G3595" s="178"/>
      <c r="H3595" s="177"/>
      <c r="I3595" s="177"/>
      <c r="J3595" s="179"/>
      <c r="K3595" s="183"/>
      <c r="L3595" s="176"/>
      <c r="M3595" s="177"/>
      <c r="N3595" s="21"/>
      <c r="O3595" s="45"/>
      <c r="P3595" s="24"/>
      <c r="Q3595" s="24"/>
      <c r="R3595" s="180"/>
      <c r="S3595" s="181"/>
      <c r="T3595" s="35"/>
      <c r="U3595" s="35"/>
      <c r="V3595" s="35"/>
      <c r="W3595" s="35"/>
      <c r="X3595" s="35"/>
      <c r="Y3595" s="182"/>
      <c r="Z3595" s="175"/>
      <c r="AA3595" s="182"/>
      <c r="AB3595" s="184"/>
    </row>
    <row r="3596" spans="1:28" ht="12.75">
      <c r="A3596" s="173"/>
      <c r="B3596" s="174"/>
      <c r="C3596" s="11"/>
      <c r="D3596" s="175"/>
      <c r="E3596" s="176"/>
      <c r="F3596" s="177"/>
      <c r="G3596" s="178"/>
      <c r="H3596" s="177"/>
      <c r="I3596" s="177"/>
      <c r="J3596" s="179"/>
      <c r="K3596" s="183"/>
      <c r="L3596" s="176"/>
      <c r="M3596" s="177"/>
      <c r="N3596" s="21"/>
      <c r="O3596" s="45"/>
      <c r="P3596" s="24"/>
      <c r="Q3596" s="24"/>
      <c r="R3596" s="180"/>
      <c r="S3596" s="181"/>
      <c r="T3596" s="35"/>
      <c r="U3596" s="35"/>
      <c r="V3596" s="35"/>
      <c r="W3596" s="35"/>
      <c r="X3596" s="35"/>
      <c r="Y3596" s="182"/>
      <c r="Z3596" s="175"/>
      <c r="AA3596" s="182"/>
      <c r="AB3596" s="184"/>
    </row>
    <row r="3597" spans="1:28" ht="12.75">
      <c r="A3597" s="173"/>
      <c r="B3597" s="174"/>
      <c r="C3597" s="11"/>
      <c r="D3597" s="175"/>
      <c r="E3597" s="176"/>
      <c r="F3597" s="177"/>
      <c r="G3597" s="178"/>
      <c r="H3597" s="177"/>
      <c r="I3597" s="177"/>
      <c r="J3597" s="179"/>
      <c r="K3597" s="183"/>
      <c r="L3597" s="176"/>
      <c r="M3597" s="177"/>
      <c r="N3597" s="21"/>
      <c r="O3597" s="45"/>
      <c r="P3597" s="24"/>
      <c r="Q3597" s="24"/>
      <c r="R3597" s="180"/>
      <c r="S3597" s="181"/>
      <c r="T3597" s="35"/>
      <c r="U3597" s="35"/>
      <c r="V3597" s="35"/>
      <c r="W3597" s="35"/>
      <c r="X3597" s="35"/>
      <c r="Y3597" s="182"/>
      <c r="Z3597" s="175"/>
      <c r="AA3597" s="182"/>
      <c r="AB3597" s="184"/>
    </row>
    <row r="3598" spans="1:28" ht="12.75">
      <c r="A3598" s="173"/>
      <c r="B3598" s="174"/>
      <c r="C3598" s="11"/>
      <c r="D3598" s="175"/>
      <c r="E3598" s="176"/>
      <c r="F3598" s="177"/>
      <c r="G3598" s="178"/>
      <c r="H3598" s="177"/>
      <c r="I3598" s="177"/>
      <c r="J3598" s="179"/>
      <c r="K3598" s="183"/>
      <c r="L3598" s="176"/>
      <c r="M3598" s="177"/>
      <c r="N3598" s="21"/>
      <c r="O3598" s="45"/>
      <c r="P3598" s="24"/>
      <c r="Q3598" s="24"/>
      <c r="R3598" s="180"/>
      <c r="S3598" s="181"/>
      <c r="T3598" s="35"/>
      <c r="U3598" s="35"/>
      <c r="V3598" s="35"/>
      <c r="W3598" s="35"/>
      <c r="X3598" s="35"/>
      <c r="Y3598" s="182"/>
      <c r="Z3598" s="175"/>
      <c r="AA3598" s="182"/>
      <c r="AB3598" s="184"/>
    </row>
    <row r="3599" spans="1:28" ht="12.75">
      <c r="A3599" s="173"/>
      <c r="B3599" s="174"/>
      <c r="C3599" s="11"/>
      <c r="D3599" s="175"/>
      <c r="E3599" s="176"/>
      <c r="F3599" s="177"/>
      <c r="G3599" s="178"/>
      <c r="H3599" s="177"/>
      <c r="I3599" s="177"/>
      <c r="J3599" s="179"/>
      <c r="K3599" s="183"/>
      <c r="L3599" s="176"/>
      <c r="M3599" s="177"/>
      <c r="N3599" s="21"/>
      <c r="O3599" s="45"/>
      <c r="P3599" s="24"/>
      <c r="Q3599" s="24"/>
      <c r="R3599" s="180"/>
      <c r="S3599" s="181"/>
      <c r="T3599" s="35"/>
      <c r="U3599" s="35"/>
      <c r="V3599" s="35"/>
      <c r="W3599" s="35"/>
      <c r="X3599" s="35"/>
      <c r="Y3599" s="182"/>
      <c r="Z3599" s="175"/>
      <c r="AA3599" s="182"/>
      <c r="AB3599" s="184"/>
    </row>
    <row r="3600" spans="1:28" ht="12.75">
      <c r="A3600" s="173"/>
      <c r="B3600" s="174"/>
      <c r="C3600" s="11"/>
      <c r="D3600" s="175"/>
      <c r="E3600" s="176"/>
      <c r="F3600" s="177"/>
      <c r="G3600" s="178"/>
      <c r="H3600" s="177"/>
      <c r="I3600" s="177"/>
      <c r="J3600" s="179"/>
      <c r="K3600" s="183"/>
      <c r="L3600" s="176"/>
      <c r="M3600" s="177"/>
      <c r="N3600" s="21"/>
      <c r="O3600" s="45"/>
      <c r="P3600" s="24"/>
      <c r="Q3600" s="24"/>
      <c r="R3600" s="180"/>
      <c r="S3600" s="181"/>
      <c r="T3600" s="35"/>
      <c r="U3600" s="35"/>
      <c r="V3600" s="35"/>
      <c r="W3600" s="35"/>
      <c r="X3600" s="35"/>
      <c r="Y3600" s="182"/>
      <c r="Z3600" s="175"/>
      <c r="AA3600" s="182"/>
      <c r="AB3600" s="184"/>
    </row>
    <row r="3601" spans="1:28" ht="12.75">
      <c r="A3601" s="173"/>
      <c r="B3601" s="174"/>
      <c r="C3601" s="11"/>
      <c r="D3601" s="175"/>
      <c r="E3601" s="176"/>
      <c r="F3601" s="177"/>
      <c r="G3601" s="178"/>
      <c r="H3601" s="177"/>
      <c r="I3601" s="177"/>
      <c r="J3601" s="179"/>
      <c r="K3601" s="183"/>
      <c r="L3601" s="176"/>
      <c r="M3601" s="177"/>
      <c r="N3601" s="21"/>
      <c r="O3601" s="45"/>
      <c r="P3601" s="24"/>
      <c r="Q3601" s="24"/>
      <c r="R3601" s="180"/>
      <c r="S3601" s="181"/>
      <c r="T3601" s="35"/>
      <c r="U3601" s="35"/>
      <c r="V3601" s="35"/>
      <c r="W3601" s="35"/>
      <c r="X3601" s="35"/>
      <c r="Y3601" s="182"/>
      <c r="Z3601" s="175"/>
      <c r="AA3601" s="182"/>
      <c r="AB3601" s="184"/>
    </row>
    <row r="3602" spans="1:28" ht="12.75">
      <c r="A3602" s="173"/>
      <c r="B3602" s="174"/>
      <c r="C3602" s="11"/>
      <c r="D3602" s="175"/>
      <c r="E3602" s="176"/>
      <c r="F3602" s="177"/>
      <c r="G3602" s="178"/>
      <c r="H3602" s="177"/>
      <c r="I3602" s="177"/>
      <c r="J3602" s="179"/>
      <c r="K3602" s="183"/>
      <c r="L3602" s="176"/>
      <c r="M3602" s="177"/>
      <c r="N3602" s="21"/>
      <c r="O3602" s="45"/>
      <c r="P3602" s="24"/>
      <c r="Q3602" s="24"/>
      <c r="R3602" s="180"/>
      <c r="S3602" s="181"/>
      <c r="T3602" s="35"/>
      <c r="U3602" s="35"/>
      <c r="V3602" s="35"/>
      <c r="W3602" s="35"/>
      <c r="X3602" s="35"/>
      <c r="Y3602" s="182"/>
      <c r="Z3602" s="175"/>
      <c r="AA3602" s="182"/>
      <c r="AB3602" s="184"/>
    </row>
    <row r="3603" spans="1:28" ht="12.75">
      <c r="A3603" s="173"/>
      <c r="B3603" s="174"/>
      <c r="C3603" s="11"/>
      <c r="D3603" s="175"/>
      <c r="E3603" s="176"/>
      <c r="F3603" s="177"/>
      <c r="G3603" s="178"/>
      <c r="H3603" s="177"/>
      <c r="I3603" s="177"/>
      <c r="J3603" s="179"/>
      <c r="K3603" s="183"/>
      <c r="L3603" s="176"/>
      <c r="M3603" s="177"/>
      <c r="N3603" s="21"/>
      <c r="O3603" s="45"/>
      <c r="P3603" s="24"/>
      <c r="Q3603" s="24"/>
      <c r="R3603" s="180"/>
      <c r="S3603" s="181"/>
      <c r="T3603" s="35"/>
      <c r="U3603" s="35"/>
      <c r="V3603" s="35"/>
      <c r="W3603" s="35"/>
      <c r="X3603" s="35"/>
      <c r="Y3603" s="182"/>
      <c r="Z3603" s="175"/>
      <c r="AA3603" s="182"/>
      <c r="AB3603" s="184"/>
    </row>
    <row r="3604" spans="1:28" ht="12.75">
      <c r="A3604" s="173"/>
      <c r="B3604" s="174"/>
      <c r="C3604" s="11"/>
      <c r="D3604" s="175"/>
      <c r="E3604" s="176"/>
      <c r="F3604" s="177"/>
      <c r="G3604" s="178"/>
      <c r="H3604" s="177"/>
      <c r="I3604" s="177"/>
      <c r="J3604" s="179"/>
      <c r="K3604" s="183"/>
      <c r="L3604" s="176"/>
      <c r="M3604" s="177"/>
      <c r="N3604" s="21"/>
      <c r="O3604" s="45"/>
      <c r="P3604" s="24"/>
      <c r="Q3604" s="24"/>
      <c r="R3604" s="180"/>
      <c r="S3604" s="181"/>
      <c r="T3604" s="35"/>
      <c r="U3604" s="35"/>
      <c r="V3604" s="35"/>
      <c r="W3604" s="35"/>
      <c r="X3604" s="35"/>
      <c r="Y3604" s="182"/>
      <c r="Z3604" s="175"/>
      <c r="AA3604" s="182"/>
      <c r="AB3604" s="184"/>
    </row>
    <row r="3605" spans="1:28" ht="12.75">
      <c r="A3605" s="173"/>
      <c r="B3605" s="174"/>
      <c r="C3605" s="11"/>
      <c r="D3605" s="175"/>
      <c r="E3605" s="176"/>
      <c r="F3605" s="177"/>
      <c r="G3605" s="178"/>
      <c r="H3605" s="177"/>
      <c r="I3605" s="177"/>
      <c r="J3605" s="179"/>
      <c r="K3605" s="183"/>
      <c r="L3605" s="176"/>
      <c r="M3605" s="177"/>
      <c r="N3605" s="21"/>
      <c r="O3605" s="45"/>
      <c r="P3605" s="24"/>
      <c r="Q3605" s="24"/>
      <c r="R3605" s="180"/>
      <c r="S3605" s="181"/>
      <c r="T3605" s="35"/>
      <c r="U3605" s="35"/>
      <c r="V3605" s="35"/>
      <c r="W3605" s="35"/>
      <c r="X3605" s="35"/>
      <c r="Y3605" s="182"/>
      <c r="Z3605" s="175"/>
      <c r="AA3605" s="182"/>
      <c r="AB3605" s="184"/>
    </row>
    <row r="3606" spans="1:28" ht="12.75">
      <c r="A3606" s="173"/>
      <c r="B3606" s="174"/>
      <c r="C3606" s="11"/>
      <c r="D3606" s="175"/>
      <c r="E3606" s="176"/>
      <c r="F3606" s="177"/>
      <c r="G3606" s="178"/>
      <c r="H3606" s="177"/>
      <c r="I3606" s="177"/>
      <c r="J3606" s="179"/>
      <c r="K3606" s="183"/>
      <c r="L3606" s="176"/>
      <c r="M3606" s="177"/>
      <c r="N3606" s="21"/>
      <c r="O3606" s="45"/>
      <c r="P3606" s="24"/>
      <c r="Q3606" s="24"/>
      <c r="R3606" s="180"/>
      <c r="S3606" s="181"/>
      <c r="T3606" s="35"/>
      <c r="U3606" s="35"/>
      <c r="V3606" s="35"/>
      <c r="W3606" s="35"/>
      <c r="X3606" s="35"/>
      <c r="Y3606" s="182"/>
      <c r="Z3606" s="175"/>
      <c r="AA3606" s="182"/>
      <c r="AB3606" s="184"/>
    </row>
    <row r="3607" spans="1:28" ht="12.75">
      <c r="A3607" s="173"/>
      <c r="B3607" s="174"/>
      <c r="C3607" s="11"/>
      <c r="D3607" s="175"/>
      <c r="E3607" s="176"/>
      <c r="F3607" s="177"/>
      <c r="G3607" s="178"/>
      <c r="H3607" s="177"/>
      <c r="I3607" s="177"/>
      <c r="J3607" s="179"/>
      <c r="K3607" s="183"/>
      <c r="L3607" s="176"/>
      <c r="M3607" s="177"/>
      <c r="N3607" s="21"/>
      <c r="O3607" s="45"/>
      <c r="P3607" s="24"/>
      <c r="Q3607" s="24"/>
      <c r="R3607" s="180"/>
      <c r="S3607" s="181"/>
      <c r="T3607" s="35"/>
      <c r="U3607" s="35"/>
      <c r="V3607" s="35"/>
      <c r="W3607" s="35"/>
      <c r="X3607" s="35"/>
      <c r="Y3607" s="182"/>
      <c r="Z3607" s="175"/>
      <c r="AA3607" s="182"/>
      <c r="AB3607" s="184"/>
    </row>
    <row r="3608" spans="1:28" ht="12.75">
      <c r="A3608" s="173"/>
      <c r="B3608" s="174"/>
      <c r="C3608" s="11"/>
      <c r="D3608" s="175"/>
      <c r="E3608" s="176"/>
      <c r="F3608" s="177"/>
      <c r="G3608" s="178"/>
      <c r="H3608" s="177"/>
      <c r="I3608" s="177"/>
      <c r="J3608" s="179"/>
      <c r="K3608" s="183"/>
      <c r="L3608" s="176"/>
      <c r="M3608" s="177"/>
      <c r="N3608" s="21"/>
      <c r="O3608" s="45"/>
      <c r="P3608" s="24"/>
      <c r="Q3608" s="24"/>
      <c r="R3608" s="180"/>
      <c r="S3608" s="181"/>
      <c r="T3608" s="35"/>
      <c r="U3608" s="35"/>
      <c r="V3608" s="35"/>
      <c r="W3608" s="35"/>
      <c r="X3608" s="35"/>
      <c r="Y3608" s="182"/>
      <c r="Z3608" s="175"/>
      <c r="AA3608" s="182"/>
      <c r="AB3608" s="184"/>
    </row>
    <row r="3609" spans="1:28" ht="12.75">
      <c r="A3609" s="173"/>
      <c r="B3609" s="174"/>
      <c r="C3609" s="11"/>
      <c r="D3609" s="175"/>
      <c r="E3609" s="176"/>
      <c r="F3609" s="177"/>
      <c r="G3609" s="178"/>
      <c r="H3609" s="177"/>
      <c r="I3609" s="177"/>
      <c r="J3609" s="179"/>
      <c r="K3609" s="183"/>
      <c r="L3609" s="176"/>
      <c r="M3609" s="177"/>
      <c r="N3609" s="21"/>
      <c r="O3609" s="45"/>
      <c r="P3609" s="24"/>
      <c r="Q3609" s="24"/>
      <c r="R3609" s="180"/>
      <c r="S3609" s="181"/>
      <c r="T3609" s="35"/>
      <c r="U3609" s="35"/>
      <c r="V3609" s="35"/>
      <c r="W3609" s="35"/>
      <c r="X3609" s="35"/>
      <c r="Y3609" s="182"/>
      <c r="Z3609" s="175"/>
      <c r="AA3609" s="182"/>
      <c r="AB3609" s="184"/>
    </row>
    <row r="3610" spans="1:28" ht="12.75">
      <c r="A3610" s="173"/>
      <c r="B3610" s="174"/>
      <c r="C3610" s="11"/>
      <c r="D3610" s="175"/>
      <c r="E3610" s="176"/>
      <c r="F3610" s="177"/>
      <c r="G3610" s="178"/>
      <c r="H3610" s="177"/>
      <c r="I3610" s="177"/>
      <c r="J3610" s="179"/>
      <c r="K3610" s="183"/>
      <c r="L3610" s="176"/>
      <c r="M3610" s="177"/>
      <c r="N3610" s="21"/>
      <c r="O3610" s="45"/>
      <c r="P3610" s="24"/>
      <c r="Q3610" s="24"/>
      <c r="R3610" s="180"/>
      <c r="S3610" s="181"/>
      <c r="T3610" s="35"/>
      <c r="U3610" s="35"/>
      <c r="V3610" s="35"/>
      <c r="W3610" s="35"/>
      <c r="X3610" s="35"/>
      <c r="Y3610" s="182"/>
      <c r="Z3610" s="175"/>
      <c r="AA3610" s="182"/>
      <c r="AB3610" s="184"/>
    </row>
    <row r="3611" spans="1:28" ht="12.75">
      <c r="A3611" s="173"/>
      <c r="B3611" s="174"/>
      <c r="C3611" s="11"/>
      <c r="D3611" s="175"/>
      <c r="E3611" s="176"/>
      <c r="F3611" s="177"/>
      <c r="G3611" s="178"/>
      <c r="H3611" s="177"/>
      <c r="I3611" s="177"/>
      <c r="J3611" s="179"/>
      <c r="K3611" s="183"/>
      <c r="L3611" s="176"/>
      <c r="M3611" s="177"/>
      <c r="N3611" s="21"/>
      <c r="O3611" s="45"/>
      <c r="P3611" s="24"/>
      <c r="Q3611" s="24"/>
      <c r="R3611" s="180"/>
      <c r="S3611" s="181"/>
      <c r="T3611" s="35"/>
      <c r="U3611" s="35"/>
      <c r="V3611" s="35"/>
      <c r="W3611" s="35"/>
      <c r="X3611" s="35"/>
      <c r="Y3611" s="182"/>
      <c r="Z3611" s="175"/>
      <c r="AA3611" s="182"/>
      <c r="AB3611" s="184"/>
    </row>
    <row r="3612" spans="1:28" ht="12.75">
      <c r="A3612" s="173"/>
      <c r="B3612" s="174"/>
      <c r="C3612" s="11"/>
      <c r="D3612" s="175"/>
      <c r="E3612" s="176"/>
      <c r="F3612" s="177"/>
      <c r="G3612" s="178"/>
      <c r="H3612" s="177"/>
      <c r="I3612" s="177"/>
      <c r="J3612" s="179"/>
      <c r="K3612" s="183"/>
      <c r="L3612" s="176"/>
      <c r="M3612" s="177"/>
      <c r="N3612" s="21"/>
      <c r="O3612" s="45"/>
      <c r="P3612" s="24"/>
      <c r="Q3612" s="24"/>
      <c r="R3612" s="180"/>
      <c r="S3612" s="181"/>
      <c r="T3612" s="35"/>
      <c r="U3612" s="35"/>
      <c r="V3612" s="35"/>
      <c r="W3612" s="35"/>
      <c r="X3612" s="35"/>
      <c r="Y3612" s="182"/>
      <c r="Z3612" s="175"/>
      <c r="AA3612" s="182"/>
      <c r="AB3612" s="184"/>
    </row>
    <row r="3613" spans="1:28" ht="12.75">
      <c r="A3613" s="173"/>
      <c r="B3613" s="174"/>
      <c r="C3613" s="11"/>
      <c r="D3613" s="175"/>
      <c r="E3613" s="176"/>
      <c r="F3613" s="177"/>
      <c r="G3613" s="178"/>
      <c r="H3613" s="177"/>
      <c r="I3613" s="177"/>
      <c r="J3613" s="179"/>
      <c r="K3613" s="183"/>
      <c r="L3613" s="176"/>
      <c r="M3613" s="177"/>
      <c r="N3613" s="21"/>
      <c r="O3613" s="45"/>
      <c r="P3613" s="24"/>
      <c r="Q3613" s="24"/>
      <c r="R3613" s="180"/>
      <c r="S3613" s="181"/>
      <c r="T3613" s="35"/>
      <c r="U3613" s="35"/>
      <c r="V3613" s="35"/>
      <c r="W3613" s="35"/>
      <c r="X3613" s="35"/>
      <c r="Y3613" s="182"/>
      <c r="Z3613" s="175"/>
      <c r="AA3613" s="182"/>
      <c r="AB3613" s="184"/>
    </row>
    <row r="3614" spans="1:28" ht="12.75">
      <c r="A3614" s="173"/>
      <c r="B3614" s="174"/>
      <c r="C3614" s="11"/>
      <c r="D3614" s="175"/>
      <c r="E3614" s="176"/>
      <c r="F3614" s="177"/>
      <c r="G3614" s="178"/>
      <c r="H3614" s="177"/>
      <c r="I3614" s="177"/>
      <c r="J3614" s="179"/>
      <c r="K3614" s="183"/>
      <c r="L3614" s="176"/>
      <c r="M3614" s="177"/>
      <c r="N3614" s="21"/>
      <c r="O3614" s="45"/>
      <c r="P3614" s="24"/>
      <c r="Q3614" s="24"/>
      <c r="R3614" s="180"/>
      <c r="S3614" s="181"/>
      <c r="T3614" s="35"/>
      <c r="U3614" s="35"/>
      <c r="V3614" s="35"/>
      <c r="W3614" s="35"/>
      <c r="X3614" s="35"/>
      <c r="Y3614" s="182"/>
      <c r="Z3614" s="175"/>
      <c r="AA3614" s="182"/>
      <c r="AB3614" s="184"/>
    </row>
    <row r="3615" spans="1:28" ht="12.75">
      <c r="A3615" s="173"/>
      <c r="B3615" s="174"/>
      <c r="C3615" s="11"/>
      <c r="D3615" s="175"/>
      <c r="E3615" s="176"/>
      <c r="F3615" s="177"/>
      <c r="G3615" s="178"/>
      <c r="H3615" s="177"/>
      <c r="I3615" s="177"/>
      <c r="J3615" s="179"/>
      <c r="K3615" s="183"/>
      <c r="L3615" s="176"/>
      <c r="M3615" s="177"/>
      <c r="N3615" s="21"/>
      <c r="O3615" s="45"/>
      <c r="P3615" s="24"/>
      <c r="Q3615" s="24"/>
      <c r="R3615" s="180"/>
      <c r="S3615" s="181"/>
      <c r="T3615" s="35"/>
      <c r="U3615" s="35"/>
      <c r="V3615" s="35"/>
      <c r="W3615" s="35"/>
      <c r="X3615" s="35"/>
      <c r="Y3615" s="182"/>
      <c r="Z3615" s="175"/>
      <c r="AA3615" s="182"/>
      <c r="AB3615" s="184"/>
    </row>
    <row r="3616" spans="1:28" ht="12.75">
      <c r="A3616" s="173"/>
      <c r="B3616" s="174"/>
      <c r="C3616" s="11"/>
      <c r="D3616" s="175"/>
      <c r="E3616" s="176"/>
      <c r="F3616" s="177"/>
      <c r="G3616" s="178"/>
      <c r="H3616" s="177"/>
      <c r="I3616" s="177"/>
      <c r="J3616" s="179"/>
      <c r="K3616" s="183"/>
      <c r="L3616" s="176"/>
      <c r="M3616" s="177"/>
      <c r="N3616" s="21"/>
      <c r="O3616" s="45"/>
      <c r="P3616" s="24"/>
      <c r="Q3616" s="24"/>
      <c r="R3616" s="180"/>
      <c r="S3616" s="181"/>
      <c r="T3616" s="35"/>
      <c r="U3616" s="35"/>
      <c r="V3616" s="35"/>
      <c r="W3616" s="35"/>
      <c r="X3616" s="35"/>
      <c r="Y3616" s="182"/>
      <c r="Z3616" s="175"/>
      <c r="AA3616" s="182"/>
      <c r="AB3616" s="184"/>
    </row>
    <row r="3617" spans="1:28" ht="12.75">
      <c r="A3617" s="173"/>
      <c r="B3617" s="174"/>
      <c r="C3617" s="11"/>
      <c r="D3617" s="175"/>
      <c r="E3617" s="176"/>
      <c r="F3617" s="177"/>
      <c r="G3617" s="178"/>
      <c r="H3617" s="177"/>
      <c r="I3617" s="177"/>
      <c r="J3617" s="179"/>
      <c r="K3617" s="183"/>
      <c r="L3617" s="176"/>
      <c r="M3617" s="177"/>
      <c r="N3617" s="21"/>
      <c r="O3617" s="45"/>
      <c r="P3617" s="24"/>
      <c r="Q3617" s="24"/>
      <c r="R3617" s="180"/>
      <c r="S3617" s="181"/>
      <c r="T3617" s="35"/>
      <c r="U3617" s="35"/>
      <c r="V3617" s="35"/>
      <c r="W3617" s="35"/>
      <c r="X3617" s="35"/>
      <c r="Y3617" s="182"/>
      <c r="Z3617" s="175"/>
      <c r="AA3617" s="182"/>
      <c r="AB3617" s="184"/>
    </row>
    <row r="3618" spans="1:28" ht="12.75">
      <c r="A3618" s="173"/>
      <c r="B3618" s="174"/>
      <c r="C3618" s="11"/>
      <c r="D3618" s="175"/>
      <c r="E3618" s="176"/>
      <c r="F3618" s="177"/>
      <c r="G3618" s="178"/>
      <c r="H3618" s="177"/>
      <c r="I3618" s="177"/>
      <c r="J3618" s="179"/>
      <c r="K3618" s="183"/>
      <c r="L3618" s="176"/>
      <c r="M3618" s="177"/>
      <c r="N3618" s="21"/>
      <c r="O3618" s="45"/>
      <c r="P3618" s="24"/>
      <c r="Q3618" s="24"/>
      <c r="R3618" s="180"/>
      <c r="S3618" s="181"/>
      <c r="T3618" s="35"/>
      <c r="U3618" s="35"/>
      <c r="V3618" s="35"/>
      <c r="W3618" s="35"/>
      <c r="X3618" s="35"/>
      <c r="Y3618" s="182"/>
      <c r="Z3618" s="175"/>
      <c r="AA3618" s="182"/>
      <c r="AB3618" s="184"/>
    </row>
    <row r="3619" spans="1:28" ht="12.75">
      <c r="A3619" s="173"/>
      <c r="B3619" s="174"/>
      <c r="C3619" s="11"/>
      <c r="D3619" s="175"/>
      <c r="E3619" s="176"/>
      <c r="F3619" s="177"/>
      <c r="G3619" s="178"/>
      <c r="H3619" s="177"/>
      <c r="I3619" s="177"/>
      <c r="J3619" s="179"/>
      <c r="K3619" s="183"/>
      <c r="L3619" s="176"/>
      <c r="M3619" s="177"/>
      <c r="N3619" s="21"/>
      <c r="O3619" s="45"/>
      <c r="P3619" s="24"/>
      <c r="Q3619" s="24"/>
      <c r="R3619" s="180"/>
      <c r="S3619" s="181"/>
      <c r="T3619" s="35"/>
      <c r="U3619" s="35"/>
      <c r="V3619" s="35"/>
      <c r="W3619" s="35"/>
      <c r="X3619" s="35"/>
      <c r="Y3619" s="182"/>
      <c r="Z3619" s="175"/>
      <c r="AA3619" s="182"/>
      <c r="AB3619" s="184"/>
    </row>
    <row r="3620" spans="1:28" ht="12.75">
      <c r="A3620" s="173"/>
      <c r="B3620" s="174"/>
      <c r="C3620" s="11"/>
      <c r="D3620" s="175"/>
      <c r="E3620" s="176"/>
      <c r="F3620" s="177"/>
      <c r="G3620" s="178"/>
      <c r="H3620" s="177"/>
      <c r="I3620" s="177"/>
      <c r="J3620" s="179"/>
      <c r="K3620" s="183"/>
      <c r="L3620" s="176"/>
      <c r="M3620" s="177"/>
      <c r="N3620" s="21"/>
      <c r="O3620" s="45"/>
      <c r="P3620" s="24"/>
      <c r="Q3620" s="24"/>
      <c r="R3620" s="180"/>
      <c r="S3620" s="181"/>
      <c r="T3620" s="35"/>
      <c r="U3620" s="35"/>
      <c r="V3620" s="35"/>
      <c r="W3620" s="35"/>
      <c r="X3620" s="35"/>
      <c r="Y3620" s="182"/>
      <c r="Z3620" s="175"/>
      <c r="AA3620" s="182"/>
      <c r="AB3620" s="184"/>
    </row>
    <row r="3621" spans="1:28" ht="12.75">
      <c r="A3621" s="173"/>
      <c r="B3621" s="174"/>
      <c r="C3621" s="11"/>
      <c r="D3621" s="175"/>
      <c r="E3621" s="176"/>
      <c r="F3621" s="177"/>
      <c r="G3621" s="178"/>
      <c r="H3621" s="177"/>
      <c r="I3621" s="177"/>
      <c r="J3621" s="179"/>
      <c r="K3621" s="183"/>
      <c r="L3621" s="176"/>
      <c r="M3621" s="177"/>
      <c r="N3621" s="21"/>
      <c r="O3621" s="45"/>
      <c r="P3621" s="24"/>
      <c r="Q3621" s="24"/>
      <c r="R3621" s="180"/>
      <c r="S3621" s="181"/>
      <c r="T3621" s="35"/>
      <c r="U3621" s="35"/>
      <c r="V3621" s="35"/>
      <c r="W3621" s="35"/>
      <c r="X3621" s="35"/>
      <c r="Y3621" s="182"/>
      <c r="Z3621" s="175"/>
      <c r="AA3621" s="182"/>
      <c r="AB3621" s="184"/>
    </row>
    <row r="3622" spans="1:28" ht="12.75">
      <c r="A3622" s="173"/>
      <c r="B3622" s="174"/>
      <c r="C3622" s="11"/>
      <c r="D3622" s="175"/>
      <c r="E3622" s="176"/>
      <c r="F3622" s="177"/>
      <c r="G3622" s="178"/>
      <c r="H3622" s="177"/>
      <c r="I3622" s="177"/>
      <c r="J3622" s="179"/>
      <c r="K3622" s="183"/>
      <c r="L3622" s="176"/>
      <c r="M3622" s="177"/>
      <c r="N3622" s="21"/>
      <c r="O3622" s="45"/>
      <c r="P3622" s="24"/>
      <c r="Q3622" s="24"/>
      <c r="R3622" s="180"/>
      <c r="S3622" s="181"/>
      <c r="T3622" s="35"/>
      <c r="U3622" s="35"/>
      <c r="V3622" s="35"/>
      <c r="W3622" s="35"/>
      <c r="X3622" s="35"/>
      <c r="Y3622" s="182"/>
      <c r="Z3622" s="175"/>
      <c r="AA3622" s="182"/>
      <c r="AB3622" s="184"/>
    </row>
    <row r="3623" spans="1:28" ht="12.75">
      <c r="A3623" s="173"/>
      <c r="B3623" s="174"/>
      <c r="C3623" s="11"/>
      <c r="D3623" s="175"/>
      <c r="E3623" s="176"/>
      <c r="F3623" s="177"/>
      <c r="G3623" s="178"/>
      <c r="H3623" s="177"/>
      <c r="I3623" s="177"/>
      <c r="J3623" s="179"/>
      <c r="K3623" s="183"/>
      <c r="L3623" s="176"/>
      <c r="M3623" s="177"/>
      <c r="N3623" s="21"/>
      <c r="O3623" s="45"/>
      <c r="P3623" s="24"/>
      <c r="Q3623" s="24"/>
      <c r="R3623" s="180"/>
      <c r="S3623" s="181"/>
      <c r="T3623" s="35"/>
      <c r="U3623" s="35"/>
      <c r="V3623" s="35"/>
      <c r="W3623" s="35"/>
      <c r="X3623" s="35"/>
      <c r="Y3623" s="182"/>
      <c r="Z3623" s="175"/>
      <c r="AA3623" s="182"/>
      <c r="AB3623" s="184"/>
    </row>
    <row r="3624" spans="1:28" ht="12.75">
      <c r="A3624" s="173"/>
      <c r="B3624" s="174"/>
      <c r="C3624" s="11"/>
      <c r="D3624" s="175"/>
      <c r="E3624" s="176"/>
      <c r="F3624" s="177"/>
      <c r="G3624" s="178"/>
      <c r="H3624" s="177"/>
      <c r="I3624" s="177"/>
      <c r="J3624" s="179"/>
      <c r="K3624" s="183"/>
      <c r="L3624" s="176"/>
      <c r="M3624" s="177"/>
      <c r="N3624" s="21"/>
      <c r="O3624" s="45"/>
      <c r="P3624" s="24"/>
      <c r="Q3624" s="24"/>
      <c r="R3624" s="180"/>
      <c r="S3624" s="181"/>
      <c r="T3624" s="35"/>
      <c r="U3624" s="35"/>
      <c r="V3624" s="35"/>
      <c r="W3624" s="35"/>
      <c r="X3624" s="35"/>
      <c r="Y3624" s="182"/>
      <c r="Z3624" s="175"/>
      <c r="AA3624" s="182"/>
      <c r="AB3624" s="184"/>
    </row>
    <row r="3625" spans="1:28" ht="12.75">
      <c r="A3625" s="173"/>
      <c r="B3625" s="174"/>
      <c r="C3625" s="11"/>
      <c r="D3625" s="175"/>
      <c r="E3625" s="176"/>
      <c r="F3625" s="177"/>
      <c r="G3625" s="178"/>
      <c r="H3625" s="177"/>
      <c r="I3625" s="177"/>
      <c r="J3625" s="179"/>
      <c r="K3625" s="183"/>
      <c r="L3625" s="176"/>
      <c r="M3625" s="177"/>
      <c r="N3625" s="21"/>
      <c r="O3625" s="45"/>
      <c r="P3625" s="24"/>
      <c r="Q3625" s="24"/>
      <c r="R3625" s="180"/>
      <c r="S3625" s="181"/>
      <c r="T3625" s="35"/>
      <c r="U3625" s="35"/>
      <c r="V3625" s="35"/>
      <c r="W3625" s="35"/>
      <c r="X3625" s="35"/>
      <c r="Y3625" s="182"/>
      <c r="Z3625" s="175"/>
      <c r="AA3625" s="182"/>
      <c r="AB3625" s="184"/>
    </row>
    <row r="3626" spans="1:28" ht="12.75">
      <c r="A3626" s="173"/>
      <c r="B3626" s="174"/>
      <c r="C3626" s="11"/>
      <c r="D3626" s="175"/>
      <c r="E3626" s="176"/>
      <c r="F3626" s="177"/>
      <c r="G3626" s="178"/>
      <c r="H3626" s="177"/>
      <c r="I3626" s="177"/>
      <c r="J3626" s="179"/>
      <c r="K3626" s="183"/>
      <c r="L3626" s="176"/>
      <c r="M3626" s="177"/>
      <c r="N3626" s="21"/>
      <c r="O3626" s="45"/>
      <c r="P3626" s="24"/>
      <c r="Q3626" s="24"/>
      <c r="R3626" s="180"/>
      <c r="S3626" s="181"/>
      <c r="T3626" s="35"/>
      <c r="U3626" s="35"/>
      <c r="V3626" s="35"/>
      <c r="W3626" s="35"/>
      <c r="X3626" s="35"/>
      <c r="Y3626" s="182"/>
      <c r="Z3626" s="175"/>
      <c r="AA3626" s="182"/>
      <c r="AB3626" s="184"/>
    </row>
    <row r="3627" spans="1:28" ht="12.75">
      <c r="A3627" s="173"/>
      <c r="B3627" s="174"/>
      <c r="C3627" s="11"/>
      <c r="D3627" s="175"/>
      <c r="E3627" s="176"/>
      <c r="F3627" s="177"/>
      <c r="G3627" s="178"/>
      <c r="H3627" s="177"/>
      <c r="I3627" s="177"/>
      <c r="J3627" s="179"/>
      <c r="K3627" s="183"/>
      <c r="L3627" s="176"/>
      <c r="M3627" s="177"/>
      <c r="N3627" s="21"/>
      <c r="O3627" s="45"/>
      <c r="P3627" s="24"/>
      <c r="Q3627" s="24"/>
      <c r="R3627" s="180"/>
      <c r="S3627" s="181"/>
      <c r="T3627" s="35"/>
      <c r="U3627" s="35"/>
      <c r="V3627" s="35"/>
      <c r="W3627" s="35"/>
      <c r="X3627" s="35"/>
      <c r="Y3627" s="182"/>
      <c r="Z3627" s="175"/>
      <c r="AA3627" s="182"/>
      <c r="AB3627" s="184"/>
    </row>
    <row r="3628" spans="1:28" ht="12.75">
      <c r="A3628" s="173"/>
      <c r="B3628" s="174"/>
      <c r="C3628" s="11"/>
      <c r="D3628" s="175"/>
      <c r="E3628" s="176"/>
      <c r="F3628" s="177"/>
      <c r="G3628" s="178"/>
      <c r="H3628" s="177"/>
      <c r="I3628" s="177"/>
      <c r="J3628" s="179"/>
      <c r="K3628" s="183"/>
      <c r="L3628" s="176"/>
      <c r="M3628" s="177"/>
      <c r="N3628" s="21"/>
      <c r="O3628" s="45"/>
      <c r="P3628" s="24"/>
      <c r="Q3628" s="24"/>
      <c r="R3628" s="180"/>
      <c r="S3628" s="181"/>
      <c r="T3628" s="35"/>
      <c r="U3628" s="35"/>
      <c r="V3628" s="35"/>
      <c r="W3628" s="35"/>
      <c r="X3628" s="35"/>
      <c r="Y3628" s="182"/>
      <c r="Z3628" s="175"/>
      <c r="AA3628" s="182"/>
      <c r="AB3628" s="184"/>
    </row>
    <row r="3629" spans="1:28" ht="12.75">
      <c r="A3629" s="173"/>
      <c r="B3629" s="174"/>
      <c r="C3629" s="11"/>
      <c r="D3629" s="175"/>
      <c r="E3629" s="176"/>
      <c r="F3629" s="177"/>
      <c r="G3629" s="178"/>
      <c r="H3629" s="177"/>
      <c r="I3629" s="177"/>
      <c r="J3629" s="179"/>
      <c r="K3629" s="183"/>
      <c r="L3629" s="176"/>
      <c r="M3629" s="177"/>
      <c r="N3629" s="21"/>
      <c r="O3629" s="45"/>
      <c r="P3629" s="24"/>
      <c r="Q3629" s="24"/>
      <c r="R3629" s="180"/>
      <c r="S3629" s="181"/>
      <c r="T3629" s="35"/>
      <c r="U3629" s="35"/>
      <c r="V3629" s="35"/>
      <c r="W3629" s="35"/>
      <c r="X3629" s="35"/>
      <c r="Y3629" s="182"/>
      <c r="Z3629" s="175"/>
      <c r="AA3629" s="182"/>
      <c r="AB3629" s="184"/>
    </row>
    <row r="3630" spans="1:28" ht="12.75">
      <c r="A3630" s="173"/>
      <c r="B3630" s="174"/>
      <c r="C3630" s="11"/>
      <c r="D3630" s="175"/>
      <c r="E3630" s="176"/>
      <c r="F3630" s="177"/>
      <c r="G3630" s="178"/>
      <c r="H3630" s="177"/>
      <c r="I3630" s="177"/>
      <c r="J3630" s="179"/>
      <c r="K3630" s="183"/>
      <c r="L3630" s="176"/>
      <c r="M3630" s="177"/>
      <c r="N3630" s="21"/>
      <c r="O3630" s="45"/>
      <c r="P3630" s="24"/>
      <c r="Q3630" s="24"/>
      <c r="R3630" s="180"/>
      <c r="S3630" s="181"/>
      <c r="T3630" s="35"/>
      <c r="U3630" s="35"/>
      <c r="V3630" s="35"/>
      <c r="W3630" s="35"/>
      <c r="X3630" s="35"/>
      <c r="Y3630" s="182"/>
      <c r="Z3630" s="175"/>
      <c r="AA3630" s="182"/>
      <c r="AB3630" s="184"/>
    </row>
    <row r="3631" spans="1:28" ht="12.75">
      <c r="A3631" s="173"/>
      <c r="B3631" s="174"/>
      <c r="C3631" s="11"/>
      <c r="D3631" s="175"/>
      <c r="E3631" s="176"/>
      <c r="F3631" s="177"/>
      <c r="G3631" s="178"/>
      <c r="H3631" s="177"/>
      <c r="I3631" s="177"/>
      <c r="J3631" s="179"/>
      <c r="K3631" s="183"/>
      <c r="L3631" s="176"/>
      <c r="M3631" s="177"/>
      <c r="N3631" s="21"/>
      <c r="O3631" s="45"/>
      <c r="P3631" s="24"/>
      <c r="Q3631" s="24"/>
      <c r="R3631" s="180"/>
      <c r="S3631" s="181"/>
      <c r="T3631" s="35"/>
      <c r="U3631" s="35"/>
      <c r="V3631" s="35"/>
      <c r="W3631" s="35"/>
      <c r="X3631" s="35"/>
      <c r="Y3631" s="182"/>
      <c r="Z3631" s="175"/>
      <c r="AA3631" s="182"/>
      <c r="AB3631" s="184"/>
    </row>
    <row r="3632" spans="1:28" ht="12.75">
      <c r="A3632" s="173"/>
      <c r="B3632" s="174"/>
      <c r="C3632" s="11"/>
      <c r="D3632" s="175"/>
      <c r="E3632" s="176"/>
      <c r="F3632" s="177"/>
      <c r="G3632" s="178"/>
      <c r="H3632" s="177"/>
      <c r="I3632" s="177"/>
      <c r="J3632" s="179"/>
      <c r="K3632" s="183"/>
      <c r="L3632" s="176"/>
      <c r="M3632" s="177"/>
      <c r="N3632" s="21"/>
      <c r="O3632" s="45"/>
      <c r="P3632" s="24"/>
      <c r="Q3632" s="24"/>
      <c r="R3632" s="180"/>
      <c r="S3632" s="181"/>
      <c r="T3632" s="35"/>
      <c r="U3632" s="35"/>
      <c r="V3632" s="35"/>
      <c r="W3632" s="35"/>
      <c r="X3632" s="35"/>
      <c r="Y3632" s="182"/>
      <c r="Z3632" s="175"/>
      <c r="AA3632" s="182"/>
      <c r="AB3632" s="184"/>
    </row>
    <row r="3633" spans="1:28" ht="12.75">
      <c r="A3633" s="173"/>
      <c r="B3633" s="174"/>
      <c r="C3633" s="11"/>
      <c r="D3633" s="175"/>
      <c r="E3633" s="176"/>
      <c r="F3633" s="177"/>
      <c r="G3633" s="178"/>
      <c r="H3633" s="177"/>
      <c r="I3633" s="177"/>
      <c r="J3633" s="179"/>
      <c r="K3633" s="183"/>
      <c r="L3633" s="176"/>
      <c r="M3633" s="177"/>
      <c r="N3633" s="21"/>
      <c r="O3633" s="45"/>
      <c r="P3633" s="24"/>
      <c r="Q3633" s="24"/>
      <c r="R3633" s="180"/>
      <c r="S3633" s="181"/>
      <c r="T3633" s="35"/>
      <c r="U3633" s="35"/>
      <c r="V3633" s="35"/>
      <c r="W3633" s="35"/>
      <c r="X3633" s="35"/>
      <c r="Y3633" s="182"/>
      <c r="Z3633" s="175"/>
      <c r="AA3633" s="182"/>
      <c r="AB3633" s="184"/>
    </row>
    <row r="3634" spans="1:28" ht="12.75">
      <c r="A3634" s="173"/>
      <c r="B3634" s="174"/>
      <c r="C3634" s="11"/>
      <c r="D3634" s="175"/>
      <c r="E3634" s="176"/>
      <c r="F3634" s="177"/>
      <c r="G3634" s="178"/>
      <c r="H3634" s="177"/>
      <c r="I3634" s="177"/>
      <c r="J3634" s="179"/>
      <c r="K3634" s="183"/>
      <c r="L3634" s="176"/>
      <c r="M3634" s="177"/>
      <c r="N3634" s="21"/>
      <c r="O3634" s="45"/>
      <c r="P3634" s="24"/>
      <c r="Q3634" s="24"/>
      <c r="R3634" s="180"/>
      <c r="S3634" s="181"/>
      <c r="T3634" s="35"/>
      <c r="U3634" s="35"/>
      <c r="V3634" s="35"/>
      <c r="W3634" s="35"/>
      <c r="X3634" s="35"/>
      <c r="Y3634" s="182"/>
      <c r="Z3634" s="175"/>
      <c r="AA3634" s="182"/>
      <c r="AB3634" s="184"/>
    </row>
    <row r="3635" spans="1:28" ht="12.75">
      <c r="A3635" s="173"/>
      <c r="B3635" s="174"/>
      <c r="C3635" s="11"/>
      <c r="D3635" s="175"/>
      <c r="E3635" s="176"/>
      <c r="F3635" s="177"/>
      <c r="G3635" s="178"/>
      <c r="H3635" s="177"/>
      <c r="I3635" s="177"/>
      <c r="J3635" s="179"/>
      <c r="K3635" s="183"/>
      <c r="L3635" s="176"/>
      <c r="M3635" s="177"/>
      <c r="N3635" s="21"/>
      <c r="O3635" s="45"/>
      <c r="P3635" s="24"/>
      <c r="Q3635" s="24"/>
      <c r="R3635" s="180"/>
      <c r="S3635" s="181"/>
      <c r="T3635" s="35"/>
      <c r="U3635" s="35"/>
      <c r="V3635" s="35"/>
      <c r="W3635" s="35"/>
      <c r="X3635" s="35"/>
      <c r="Y3635" s="182"/>
      <c r="Z3635" s="175"/>
      <c r="AA3635" s="182"/>
      <c r="AB3635" s="184"/>
    </row>
    <row r="3636" spans="1:28" ht="12.75">
      <c r="A3636" s="173"/>
      <c r="B3636" s="174"/>
      <c r="C3636" s="11"/>
      <c r="D3636" s="175"/>
      <c r="E3636" s="176"/>
      <c r="F3636" s="177"/>
      <c r="G3636" s="178"/>
      <c r="H3636" s="177"/>
      <c r="I3636" s="177"/>
      <c r="J3636" s="179"/>
      <c r="K3636" s="183"/>
      <c r="L3636" s="176"/>
      <c r="M3636" s="177"/>
      <c r="N3636" s="21"/>
      <c r="O3636" s="45"/>
      <c r="P3636" s="24"/>
      <c r="Q3636" s="24"/>
      <c r="R3636" s="180"/>
      <c r="S3636" s="181"/>
      <c r="T3636" s="35"/>
      <c r="U3636" s="35"/>
      <c r="V3636" s="35"/>
      <c r="W3636" s="35"/>
      <c r="X3636" s="35"/>
      <c r="Y3636" s="182"/>
      <c r="Z3636" s="175"/>
      <c r="AA3636" s="182"/>
      <c r="AB3636" s="184"/>
    </row>
    <row r="3637" spans="1:28" ht="12.75">
      <c r="A3637" s="173"/>
      <c r="B3637" s="174"/>
      <c r="C3637" s="11"/>
      <c r="D3637" s="175"/>
      <c r="E3637" s="176"/>
      <c r="F3637" s="177"/>
      <c r="G3637" s="178"/>
      <c r="H3637" s="177"/>
      <c r="I3637" s="177"/>
      <c r="J3637" s="179"/>
      <c r="K3637" s="183"/>
      <c r="L3637" s="176"/>
      <c r="M3637" s="177"/>
      <c r="N3637" s="21"/>
      <c r="O3637" s="45"/>
      <c r="P3637" s="24"/>
      <c r="Q3637" s="24"/>
      <c r="R3637" s="180"/>
      <c r="S3637" s="181"/>
      <c r="T3637" s="35"/>
      <c r="U3637" s="35"/>
      <c r="V3637" s="35"/>
      <c r="W3637" s="35"/>
      <c r="X3637" s="35"/>
      <c r="Y3637" s="182"/>
      <c r="Z3637" s="175"/>
      <c r="AA3637" s="182"/>
      <c r="AB3637" s="184"/>
    </row>
    <row r="3638" spans="1:28" ht="12.75">
      <c r="A3638" s="173"/>
      <c r="B3638" s="174"/>
      <c r="C3638" s="11"/>
      <c r="D3638" s="175"/>
      <c r="E3638" s="176"/>
      <c r="F3638" s="177"/>
      <c r="G3638" s="178"/>
      <c r="H3638" s="177"/>
      <c r="I3638" s="177"/>
      <c r="J3638" s="179"/>
      <c r="K3638" s="183"/>
      <c r="L3638" s="176"/>
      <c r="M3638" s="177"/>
      <c r="N3638" s="21"/>
      <c r="O3638" s="45"/>
      <c r="P3638" s="24"/>
      <c r="Q3638" s="24"/>
      <c r="R3638" s="180"/>
      <c r="S3638" s="181"/>
      <c r="T3638" s="35"/>
      <c r="U3638" s="35"/>
      <c r="V3638" s="35"/>
      <c r="W3638" s="35"/>
      <c r="X3638" s="35"/>
      <c r="Y3638" s="182"/>
      <c r="Z3638" s="175"/>
      <c r="AA3638" s="182"/>
      <c r="AB3638" s="184"/>
    </row>
    <row r="3639" spans="1:28" ht="12.75">
      <c r="A3639" s="173"/>
      <c r="B3639" s="174"/>
      <c r="C3639" s="11"/>
      <c r="D3639" s="175"/>
      <c r="E3639" s="176"/>
      <c r="F3639" s="177"/>
      <c r="G3639" s="178"/>
      <c r="H3639" s="177"/>
      <c r="I3639" s="177"/>
      <c r="J3639" s="179"/>
      <c r="K3639" s="183"/>
      <c r="L3639" s="176"/>
      <c r="M3639" s="177"/>
      <c r="N3639" s="21"/>
      <c r="O3639" s="45"/>
      <c r="P3639" s="24"/>
      <c r="Q3639" s="24"/>
      <c r="R3639" s="180"/>
      <c r="S3639" s="181"/>
      <c r="T3639" s="35"/>
      <c r="U3639" s="35"/>
      <c r="V3639" s="35"/>
      <c r="W3639" s="35"/>
      <c r="X3639" s="35"/>
      <c r="Y3639" s="182"/>
      <c r="Z3639" s="175"/>
      <c r="AA3639" s="182"/>
      <c r="AB3639" s="184"/>
    </row>
    <row r="3640" spans="1:28" ht="12.75">
      <c r="A3640" s="173"/>
      <c r="B3640" s="174"/>
      <c r="C3640" s="11"/>
      <c r="D3640" s="175"/>
      <c r="E3640" s="176"/>
      <c r="F3640" s="177"/>
      <c r="G3640" s="178"/>
      <c r="H3640" s="177"/>
      <c r="I3640" s="177"/>
      <c r="J3640" s="179"/>
      <c r="K3640" s="183"/>
      <c r="L3640" s="176"/>
      <c r="M3640" s="177"/>
      <c r="N3640" s="21"/>
      <c r="O3640" s="45"/>
      <c r="P3640" s="24"/>
      <c r="Q3640" s="24"/>
      <c r="R3640" s="180"/>
      <c r="S3640" s="181"/>
      <c r="T3640" s="35"/>
      <c r="U3640" s="35"/>
      <c r="V3640" s="35"/>
      <c r="W3640" s="35"/>
      <c r="X3640" s="35"/>
      <c r="Y3640" s="182"/>
      <c r="Z3640" s="175"/>
      <c r="AA3640" s="182"/>
      <c r="AB3640" s="184"/>
    </row>
    <row r="3641" spans="1:28" ht="12.75">
      <c r="A3641" s="173"/>
      <c r="B3641" s="174"/>
      <c r="C3641" s="11"/>
      <c r="D3641" s="175"/>
      <c r="E3641" s="176"/>
      <c r="F3641" s="177"/>
      <c r="G3641" s="178"/>
      <c r="H3641" s="177"/>
      <c r="I3641" s="177"/>
      <c r="J3641" s="179"/>
      <c r="K3641" s="183"/>
      <c r="L3641" s="176"/>
      <c r="M3641" s="177"/>
      <c r="N3641" s="21"/>
      <c r="O3641" s="45"/>
      <c r="P3641" s="24"/>
      <c r="Q3641" s="24"/>
      <c r="R3641" s="180"/>
      <c r="S3641" s="181"/>
      <c r="T3641" s="35"/>
      <c r="U3641" s="35"/>
      <c r="V3641" s="35"/>
      <c r="W3641" s="35"/>
      <c r="X3641" s="35"/>
      <c r="Y3641" s="182"/>
      <c r="Z3641" s="175"/>
      <c r="AA3641" s="182"/>
      <c r="AB3641" s="184"/>
    </row>
    <row r="3642" spans="1:28" ht="12.75">
      <c r="A3642" s="173"/>
      <c r="B3642" s="174"/>
      <c r="C3642" s="11"/>
      <c r="D3642" s="175"/>
      <c r="E3642" s="176"/>
      <c r="F3642" s="177"/>
      <c r="G3642" s="178"/>
      <c r="H3642" s="177"/>
      <c r="I3642" s="177"/>
      <c r="J3642" s="179"/>
      <c r="K3642" s="183"/>
      <c r="L3642" s="176"/>
      <c r="M3642" s="177"/>
      <c r="N3642" s="21"/>
      <c r="O3642" s="45"/>
      <c r="P3642" s="24"/>
      <c r="Q3642" s="24"/>
      <c r="R3642" s="180"/>
      <c r="S3642" s="181"/>
      <c r="T3642" s="35"/>
      <c r="U3642" s="35"/>
      <c r="V3642" s="35"/>
      <c r="W3642" s="35"/>
      <c r="X3642" s="35"/>
      <c r="Y3642" s="182"/>
      <c r="Z3642" s="175"/>
      <c r="AA3642" s="182"/>
      <c r="AB3642" s="184"/>
    </row>
    <row r="3643" spans="1:28" ht="12.75">
      <c r="A3643" s="173"/>
      <c r="B3643" s="174"/>
      <c r="C3643" s="11"/>
      <c r="D3643" s="175"/>
      <c r="E3643" s="176"/>
      <c r="F3643" s="177"/>
      <c r="G3643" s="178"/>
      <c r="H3643" s="177"/>
      <c r="I3643" s="177"/>
      <c r="J3643" s="179"/>
      <c r="K3643" s="183"/>
      <c r="L3643" s="176"/>
      <c r="M3643" s="177"/>
      <c r="N3643" s="21"/>
      <c r="O3643" s="45"/>
      <c r="P3643" s="24"/>
      <c r="Q3643" s="24"/>
      <c r="R3643" s="180"/>
      <c r="S3643" s="181"/>
      <c r="T3643" s="35"/>
      <c r="U3643" s="35"/>
      <c r="V3643" s="35"/>
      <c r="W3643" s="35"/>
      <c r="X3643" s="35"/>
      <c r="Y3643" s="182"/>
      <c r="Z3643" s="175"/>
      <c r="AA3643" s="182"/>
      <c r="AB3643" s="184"/>
    </row>
    <row r="3644" spans="1:28" ht="12.75">
      <c r="A3644" s="173"/>
      <c r="B3644" s="174"/>
      <c r="C3644" s="11"/>
      <c r="D3644" s="175"/>
      <c r="E3644" s="176"/>
      <c r="F3644" s="177"/>
      <c r="G3644" s="178"/>
      <c r="H3644" s="177"/>
      <c r="I3644" s="177"/>
      <c r="J3644" s="179"/>
      <c r="K3644" s="183"/>
      <c r="L3644" s="176"/>
      <c r="M3644" s="177"/>
      <c r="N3644" s="21"/>
      <c r="O3644" s="45"/>
      <c r="P3644" s="24"/>
      <c r="Q3644" s="24"/>
      <c r="R3644" s="180"/>
      <c r="S3644" s="181"/>
      <c r="T3644" s="35"/>
      <c r="U3644" s="35"/>
      <c r="V3644" s="35"/>
      <c r="W3644" s="35"/>
      <c r="X3644" s="35"/>
      <c r="Y3644" s="182"/>
      <c r="Z3644" s="175"/>
      <c r="AA3644" s="182"/>
      <c r="AB3644" s="184"/>
    </row>
    <row r="3645" spans="1:28" ht="12.75">
      <c r="A3645" s="173"/>
      <c r="B3645" s="174"/>
      <c r="C3645" s="11"/>
      <c r="D3645" s="175"/>
      <c r="E3645" s="176"/>
      <c r="F3645" s="177"/>
      <c r="G3645" s="178"/>
      <c r="H3645" s="177"/>
      <c r="I3645" s="177"/>
      <c r="J3645" s="179"/>
      <c r="K3645" s="183"/>
      <c r="L3645" s="176"/>
      <c r="M3645" s="177"/>
      <c r="N3645" s="21"/>
      <c r="O3645" s="45"/>
      <c r="P3645" s="24"/>
      <c r="Q3645" s="24"/>
      <c r="R3645" s="180"/>
      <c r="S3645" s="181"/>
      <c r="T3645" s="35"/>
      <c r="U3645" s="35"/>
      <c r="V3645" s="35"/>
      <c r="W3645" s="35"/>
      <c r="X3645" s="35"/>
      <c r="Y3645" s="182"/>
      <c r="Z3645" s="175"/>
      <c r="AA3645" s="182"/>
      <c r="AB3645" s="184"/>
    </row>
    <row r="3646" spans="1:28" ht="12.75">
      <c r="A3646" s="173"/>
      <c r="B3646" s="174"/>
      <c r="C3646" s="11"/>
      <c r="D3646" s="175"/>
      <c r="E3646" s="176"/>
      <c r="F3646" s="177"/>
      <c r="G3646" s="178"/>
      <c r="H3646" s="177"/>
      <c r="I3646" s="177"/>
      <c r="J3646" s="179"/>
      <c r="K3646" s="183"/>
      <c r="L3646" s="176"/>
      <c r="M3646" s="177"/>
      <c r="N3646" s="21"/>
      <c r="O3646" s="45"/>
      <c r="P3646" s="24"/>
      <c r="Q3646" s="24"/>
      <c r="R3646" s="180"/>
      <c r="S3646" s="181"/>
      <c r="T3646" s="35"/>
      <c r="U3646" s="35"/>
      <c r="V3646" s="35"/>
      <c r="W3646" s="35"/>
      <c r="X3646" s="35"/>
      <c r="Y3646" s="182"/>
      <c r="Z3646" s="175"/>
      <c r="AA3646" s="182"/>
      <c r="AB3646" s="184"/>
    </row>
    <row r="3647" spans="1:28" ht="12.75">
      <c r="A3647" s="173"/>
      <c r="B3647" s="174"/>
      <c r="C3647" s="11"/>
      <c r="D3647" s="175"/>
      <c r="E3647" s="176"/>
      <c r="F3647" s="177"/>
      <c r="G3647" s="178"/>
      <c r="H3647" s="177"/>
      <c r="I3647" s="177"/>
      <c r="J3647" s="179"/>
      <c r="K3647" s="183"/>
      <c r="L3647" s="176"/>
      <c r="M3647" s="177"/>
      <c r="N3647" s="21"/>
      <c r="O3647" s="45"/>
      <c r="P3647" s="24"/>
      <c r="Q3647" s="24"/>
      <c r="R3647" s="180"/>
      <c r="S3647" s="181"/>
      <c r="T3647" s="35"/>
      <c r="U3647" s="35"/>
      <c r="V3647" s="35"/>
      <c r="W3647" s="35"/>
      <c r="X3647" s="35"/>
      <c r="Y3647" s="182"/>
      <c r="Z3647" s="175"/>
      <c r="AA3647" s="182"/>
      <c r="AB3647" s="184"/>
    </row>
    <row r="3648" spans="1:28" ht="12.75">
      <c r="A3648" s="173"/>
      <c r="B3648" s="174"/>
      <c r="C3648" s="11"/>
      <c r="D3648" s="175"/>
      <c r="E3648" s="176"/>
      <c r="F3648" s="177"/>
      <c r="G3648" s="178"/>
      <c r="H3648" s="177"/>
      <c r="I3648" s="177"/>
      <c r="J3648" s="179"/>
      <c r="K3648" s="183"/>
      <c r="L3648" s="176"/>
      <c r="M3648" s="177"/>
      <c r="N3648" s="21"/>
      <c r="O3648" s="45"/>
      <c r="P3648" s="24"/>
      <c r="Q3648" s="24"/>
      <c r="R3648" s="180"/>
      <c r="S3648" s="181"/>
      <c r="T3648" s="35"/>
      <c r="U3648" s="35"/>
      <c r="V3648" s="35"/>
      <c r="W3648" s="35"/>
      <c r="X3648" s="35"/>
      <c r="Y3648" s="182"/>
      <c r="Z3648" s="175"/>
      <c r="AA3648" s="182"/>
      <c r="AB3648" s="184"/>
    </row>
    <row r="3649" spans="1:28" ht="12.75">
      <c r="A3649" s="173"/>
      <c r="B3649" s="174"/>
      <c r="C3649" s="11"/>
      <c r="D3649" s="175"/>
      <c r="E3649" s="176"/>
      <c r="F3649" s="177"/>
      <c r="G3649" s="178"/>
      <c r="H3649" s="177"/>
      <c r="I3649" s="177"/>
      <c r="J3649" s="179"/>
      <c r="K3649" s="183"/>
      <c r="L3649" s="176"/>
      <c r="M3649" s="177"/>
      <c r="N3649" s="21"/>
      <c r="O3649" s="45"/>
      <c r="P3649" s="24"/>
      <c r="Q3649" s="24"/>
      <c r="R3649" s="180"/>
      <c r="S3649" s="181"/>
      <c r="T3649" s="35"/>
      <c r="U3649" s="35"/>
      <c r="V3649" s="35"/>
      <c r="W3649" s="35"/>
      <c r="X3649" s="35"/>
      <c r="Y3649" s="182"/>
      <c r="Z3649" s="175"/>
      <c r="AA3649" s="182"/>
      <c r="AB3649" s="184"/>
    </row>
    <row r="3650" spans="1:28" ht="12.75">
      <c r="A3650" s="173"/>
      <c r="B3650" s="174"/>
      <c r="C3650" s="11"/>
      <c r="D3650" s="175"/>
      <c r="E3650" s="176"/>
      <c r="F3650" s="177"/>
      <c r="G3650" s="178"/>
      <c r="H3650" s="177"/>
      <c r="I3650" s="177"/>
      <c r="J3650" s="179"/>
      <c r="K3650" s="183"/>
      <c r="L3650" s="176"/>
      <c r="M3650" s="177"/>
      <c r="N3650" s="21"/>
      <c r="O3650" s="45"/>
      <c r="P3650" s="24"/>
      <c r="Q3650" s="24"/>
      <c r="R3650" s="180"/>
      <c r="S3650" s="181"/>
      <c r="T3650" s="35"/>
      <c r="U3650" s="35"/>
      <c r="V3650" s="35"/>
      <c r="W3650" s="35"/>
      <c r="X3650" s="35"/>
      <c r="Y3650" s="182"/>
      <c r="Z3650" s="175"/>
      <c r="AA3650" s="182"/>
      <c r="AB3650" s="184"/>
    </row>
    <row r="3651" spans="1:28" ht="12.75">
      <c r="A3651" s="173"/>
      <c r="B3651" s="174"/>
      <c r="C3651" s="11"/>
      <c r="D3651" s="175"/>
      <c r="E3651" s="176"/>
      <c r="F3651" s="177"/>
      <c r="G3651" s="178"/>
      <c r="H3651" s="177"/>
      <c r="I3651" s="177"/>
      <c r="J3651" s="179"/>
      <c r="K3651" s="183"/>
      <c r="L3651" s="176"/>
      <c r="M3651" s="177"/>
      <c r="N3651" s="21"/>
      <c r="O3651" s="45"/>
      <c r="P3651" s="24"/>
      <c r="Q3651" s="24"/>
      <c r="R3651" s="180"/>
      <c r="S3651" s="181"/>
      <c r="T3651" s="35"/>
      <c r="U3651" s="35"/>
      <c r="V3651" s="35"/>
      <c r="W3651" s="35"/>
      <c r="X3651" s="35"/>
      <c r="Y3651" s="182"/>
      <c r="Z3651" s="175"/>
      <c r="AA3651" s="182"/>
      <c r="AB3651" s="184"/>
    </row>
    <row r="3652" spans="1:28" ht="12.75">
      <c r="A3652" s="173"/>
      <c r="B3652" s="174"/>
      <c r="C3652" s="11"/>
      <c r="D3652" s="175"/>
      <c r="E3652" s="176"/>
      <c r="F3652" s="177"/>
      <c r="G3652" s="178"/>
      <c r="H3652" s="177"/>
      <c r="I3652" s="177"/>
      <c r="J3652" s="179"/>
      <c r="K3652" s="183"/>
      <c r="L3652" s="176"/>
      <c r="M3652" s="177"/>
      <c r="N3652" s="21"/>
      <c r="O3652" s="45"/>
      <c r="P3652" s="24"/>
      <c r="Q3652" s="24"/>
      <c r="R3652" s="180"/>
      <c r="S3652" s="181"/>
      <c r="T3652" s="35"/>
      <c r="U3652" s="35"/>
      <c r="V3652" s="35"/>
      <c r="W3652" s="35"/>
      <c r="X3652" s="35"/>
      <c r="Y3652" s="182"/>
      <c r="Z3652" s="175"/>
      <c r="AA3652" s="182"/>
      <c r="AB3652" s="184"/>
    </row>
    <row r="3653" spans="1:28" ht="12.75">
      <c r="A3653" s="173"/>
      <c r="B3653" s="174"/>
      <c r="C3653" s="11"/>
      <c r="D3653" s="175"/>
      <c r="E3653" s="176"/>
      <c r="F3653" s="177"/>
      <c r="G3653" s="178"/>
      <c r="H3653" s="177"/>
      <c r="I3653" s="177"/>
      <c r="J3653" s="179"/>
      <c r="K3653" s="183"/>
      <c r="L3653" s="176"/>
      <c r="M3653" s="177"/>
      <c r="N3653" s="21"/>
      <c r="O3653" s="45"/>
      <c r="P3653" s="24"/>
      <c r="Q3653" s="24"/>
      <c r="R3653" s="180"/>
      <c r="S3653" s="181"/>
      <c r="T3653" s="35"/>
      <c r="U3653" s="35"/>
      <c r="V3653" s="35"/>
      <c r="W3653" s="35"/>
      <c r="X3653" s="35"/>
      <c r="Y3653" s="182"/>
      <c r="Z3653" s="175"/>
      <c r="AA3653" s="182"/>
      <c r="AB3653" s="184"/>
    </row>
    <row r="3654" spans="1:28" ht="12.75">
      <c r="A3654" s="173"/>
      <c r="B3654" s="174"/>
      <c r="C3654" s="11"/>
      <c r="D3654" s="175"/>
      <c r="E3654" s="176"/>
      <c r="F3654" s="177"/>
      <c r="G3654" s="178"/>
      <c r="H3654" s="177"/>
      <c r="I3654" s="177"/>
      <c r="J3654" s="179"/>
      <c r="K3654" s="183"/>
      <c r="L3654" s="176"/>
      <c r="M3654" s="177"/>
      <c r="N3654" s="21"/>
      <c r="O3654" s="45"/>
      <c r="P3654" s="24"/>
      <c r="Q3654" s="24"/>
      <c r="R3654" s="180"/>
      <c r="S3654" s="181"/>
      <c r="T3654" s="35"/>
      <c r="U3654" s="35"/>
      <c r="V3654" s="35"/>
      <c r="W3654" s="35"/>
      <c r="X3654" s="35"/>
      <c r="Y3654" s="182"/>
      <c r="Z3654" s="175"/>
      <c r="AA3654" s="182"/>
      <c r="AB3654" s="184"/>
    </row>
    <row r="3655" spans="1:28" ht="12.75">
      <c r="A3655" s="173"/>
      <c r="B3655" s="174"/>
      <c r="C3655" s="11"/>
      <c r="D3655" s="175"/>
      <c r="E3655" s="176"/>
      <c r="F3655" s="177"/>
      <c r="G3655" s="178"/>
      <c r="H3655" s="177"/>
      <c r="I3655" s="177"/>
      <c r="J3655" s="179"/>
      <c r="K3655" s="183"/>
      <c r="L3655" s="176"/>
      <c r="M3655" s="177"/>
      <c r="N3655" s="21"/>
      <c r="O3655" s="45"/>
      <c r="P3655" s="24"/>
      <c r="Q3655" s="24"/>
      <c r="R3655" s="180"/>
      <c r="S3655" s="181"/>
      <c r="T3655" s="35"/>
      <c r="U3655" s="35"/>
      <c r="V3655" s="35"/>
      <c r="W3655" s="35"/>
      <c r="X3655" s="35"/>
      <c r="Y3655" s="182"/>
      <c r="Z3655" s="175"/>
      <c r="AA3655" s="182"/>
      <c r="AB3655" s="184"/>
    </row>
    <row r="3656" spans="1:28" ht="12.75">
      <c r="A3656" s="173"/>
      <c r="B3656" s="174"/>
      <c r="C3656" s="11"/>
      <c r="D3656" s="175"/>
      <c r="E3656" s="176"/>
      <c r="F3656" s="177"/>
      <c r="G3656" s="178"/>
      <c r="H3656" s="177"/>
      <c r="I3656" s="177"/>
      <c r="J3656" s="179"/>
      <c r="K3656" s="183"/>
      <c r="L3656" s="176"/>
      <c r="M3656" s="177"/>
      <c r="N3656" s="21"/>
      <c r="O3656" s="45"/>
      <c r="P3656" s="24"/>
      <c r="Q3656" s="24"/>
      <c r="R3656" s="180"/>
      <c r="S3656" s="181"/>
      <c r="T3656" s="35"/>
      <c r="U3656" s="35"/>
      <c r="V3656" s="35"/>
      <c r="W3656" s="35"/>
      <c r="X3656" s="35"/>
      <c r="Y3656" s="182"/>
      <c r="Z3656" s="175"/>
      <c r="AA3656" s="182"/>
      <c r="AB3656" s="184"/>
    </row>
    <row r="3657" spans="1:28" ht="12.75">
      <c r="A3657" s="173"/>
      <c r="B3657" s="174"/>
      <c r="C3657" s="11"/>
      <c r="D3657" s="175"/>
      <c r="E3657" s="176"/>
      <c r="F3657" s="177"/>
      <c r="G3657" s="178"/>
      <c r="H3657" s="177"/>
      <c r="I3657" s="177"/>
      <c r="J3657" s="179"/>
      <c r="K3657" s="183"/>
      <c r="L3657" s="176"/>
      <c r="M3657" s="177"/>
      <c r="N3657" s="21"/>
      <c r="O3657" s="45"/>
      <c r="P3657" s="24"/>
      <c r="Q3657" s="24"/>
      <c r="R3657" s="180"/>
      <c r="S3657" s="181"/>
      <c r="T3657" s="35"/>
      <c r="U3657" s="35"/>
      <c r="V3657" s="35"/>
      <c r="W3657" s="35"/>
      <c r="X3657" s="35"/>
      <c r="Y3657" s="182"/>
      <c r="Z3657" s="175"/>
      <c r="AA3657" s="182"/>
      <c r="AB3657" s="184"/>
    </row>
    <row r="3658" spans="1:28" ht="12.75">
      <c r="A3658" s="173"/>
      <c r="B3658" s="174"/>
      <c r="C3658" s="11"/>
      <c r="D3658" s="175"/>
      <c r="E3658" s="176"/>
      <c r="F3658" s="177"/>
      <c r="G3658" s="178"/>
      <c r="H3658" s="177"/>
      <c r="I3658" s="177"/>
      <c r="J3658" s="179"/>
      <c r="K3658" s="183"/>
      <c r="L3658" s="176"/>
      <c r="M3658" s="177"/>
      <c r="N3658" s="21"/>
      <c r="O3658" s="45"/>
      <c r="P3658" s="24"/>
      <c r="Q3658" s="24"/>
      <c r="R3658" s="180"/>
      <c r="S3658" s="181"/>
      <c r="T3658" s="35"/>
      <c r="U3658" s="35"/>
      <c r="V3658" s="35"/>
      <c r="W3658" s="35"/>
      <c r="X3658" s="35"/>
      <c r="Y3658" s="182"/>
      <c r="Z3658" s="175"/>
      <c r="AA3658" s="182"/>
      <c r="AB3658" s="184"/>
    </row>
    <row r="3659" spans="1:28" ht="12.75">
      <c r="A3659" s="173"/>
      <c r="B3659" s="174"/>
      <c r="C3659" s="11"/>
      <c r="D3659" s="175"/>
      <c r="E3659" s="176"/>
      <c r="F3659" s="177"/>
      <c r="G3659" s="178"/>
      <c r="H3659" s="177"/>
      <c r="I3659" s="177"/>
      <c r="J3659" s="179"/>
      <c r="K3659" s="183"/>
      <c r="L3659" s="176"/>
      <c r="M3659" s="177"/>
      <c r="N3659" s="21"/>
      <c r="O3659" s="45"/>
      <c r="P3659" s="24"/>
      <c r="Q3659" s="24"/>
      <c r="R3659" s="180"/>
      <c r="S3659" s="181"/>
      <c r="T3659" s="35"/>
      <c r="U3659" s="35"/>
      <c r="V3659" s="35"/>
      <c r="W3659" s="35"/>
      <c r="X3659" s="35"/>
      <c r="Y3659" s="182"/>
      <c r="Z3659" s="175"/>
      <c r="AA3659" s="182"/>
      <c r="AB3659" s="184"/>
    </row>
    <row r="3660" spans="1:28" ht="12.75">
      <c r="A3660" s="173"/>
      <c r="B3660" s="174"/>
      <c r="C3660" s="11"/>
      <c r="D3660" s="175"/>
      <c r="E3660" s="176"/>
      <c r="F3660" s="177"/>
      <c r="G3660" s="178"/>
      <c r="H3660" s="177"/>
      <c r="I3660" s="177"/>
      <c r="J3660" s="179"/>
      <c r="K3660" s="183"/>
      <c r="L3660" s="176"/>
      <c r="M3660" s="177"/>
      <c r="N3660" s="21"/>
      <c r="O3660" s="45"/>
      <c r="P3660" s="24"/>
      <c r="Q3660" s="24"/>
      <c r="R3660" s="180"/>
      <c r="S3660" s="181"/>
      <c r="T3660" s="35"/>
      <c r="U3660" s="35"/>
      <c r="V3660" s="35"/>
      <c r="W3660" s="35"/>
      <c r="X3660" s="35"/>
      <c r="Y3660" s="182"/>
      <c r="Z3660" s="175"/>
      <c r="AA3660" s="182"/>
      <c r="AB3660" s="184"/>
    </row>
    <row r="3661" spans="1:28" ht="12.75">
      <c r="A3661" s="173"/>
      <c r="B3661" s="174"/>
      <c r="C3661" s="11"/>
      <c r="D3661" s="175"/>
      <c r="E3661" s="176"/>
      <c r="F3661" s="177"/>
      <c r="G3661" s="178"/>
      <c r="H3661" s="177"/>
      <c r="I3661" s="177"/>
      <c r="J3661" s="179"/>
      <c r="K3661" s="183"/>
      <c r="L3661" s="176"/>
      <c r="M3661" s="177"/>
      <c r="N3661" s="21"/>
      <c r="O3661" s="45"/>
      <c r="P3661" s="24"/>
      <c r="Q3661" s="24"/>
      <c r="R3661" s="180"/>
      <c r="S3661" s="181"/>
      <c r="T3661" s="35"/>
      <c r="U3661" s="35"/>
      <c r="V3661" s="35"/>
      <c r="W3661" s="35"/>
      <c r="X3661" s="35"/>
      <c r="Y3661" s="182"/>
      <c r="Z3661" s="175"/>
      <c r="AA3661" s="182"/>
      <c r="AB3661" s="184"/>
    </row>
    <row r="3662" spans="1:28" ht="12.75">
      <c r="A3662" s="173"/>
      <c r="B3662" s="174"/>
      <c r="C3662" s="11"/>
      <c r="D3662" s="175"/>
      <c r="E3662" s="176"/>
      <c r="F3662" s="177"/>
      <c r="G3662" s="178"/>
      <c r="H3662" s="177"/>
      <c r="I3662" s="177"/>
      <c r="J3662" s="179"/>
      <c r="K3662" s="183"/>
      <c r="L3662" s="176"/>
      <c r="M3662" s="177"/>
      <c r="N3662" s="21"/>
      <c r="O3662" s="45"/>
      <c r="P3662" s="24"/>
      <c r="Q3662" s="24"/>
      <c r="R3662" s="180"/>
      <c r="S3662" s="181"/>
      <c r="T3662" s="35"/>
      <c r="U3662" s="35"/>
      <c r="V3662" s="35"/>
      <c r="W3662" s="35"/>
      <c r="X3662" s="35"/>
      <c r="Y3662" s="182"/>
      <c r="Z3662" s="175"/>
      <c r="AA3662" s="182"/>
      <c r="AB3662" s="184"/>
    </row>
    <row r="3663" spans="1:28" ht="12.75">
      <c r="A3663" s="173"/>
      <c r="B3663" s="174"/>
      <c r="C3663" s="11"/>
      <c r="D3663" s="175"/>
      <c r="E3663" s="176"/>
      <c r="F3663" s="177"/>
      <c r="G3663" s="178"/>
      <c r="H3663" s="177"/>
      <c r="I3663" s="177"/>
      <c r="J3663" s="179"/>
      <c r="K3663" s="183"/>
      <c r="L3663" s="176"/>
      <c r="M3663" s="177"/>
      <c r="N3663" s="21"/>
      <c r="O3663" s="45"/>
      <c r="P3663" s="24"/>
      <c r="Q3663" s="24"/>
      <c r="R3663" s="180"/>
      <c r="S3663" s="181"/>
      <c r="T3663" s="35"/>
      <c r="U3663" s="35"/>
      <c r="V3663" s="35"/>
      <c r="W3663" s="35"/>
      <c r="X3663" s="35"/>
      <c r="Y3663" s="182"/>
      <c r="Z3663" s="175"/>
      <c r="AA3663" s="182"/>
      <c r="AB3663" s="184"/>
    </row>
    <row r="3664" spans="1:28" ht="12.75">
      <c r="A3664" s="173"/>
      <c r="B3664" s="174"/>
      <c r="C3664" s="11"/>
      <c r="D3664" s="175"/>
      <c r="E3664" s="176"/>
      <c r="F3664" s="177"/>
      <c r="G3664" s="178"/>
      <c r="H3664" s="177"/>
      <c r="I3664" s="177"/>
      <c r="J3664" s="179"/>
      <c r="K3664" s="183"/>
      <c r="L3664" s="176"/>
      <c r="M3664" s="177"/>
      <c r="N3664" s="21"/>
      <c r="O3664" s="45"/>
      <c r="P3664" s="24"/>
      <c r="Q3664" s="24"/>
      <c r="R3664" s="180"/>
      <c r="S3664" s="181"/>
      <c r="T3664" s="35"/>
      <c r="U3664" s="35"/>
      <c r="V3664" s="35"/>
      <c r="W3664" s="35"/>
      <c r="X3664" s="35"/>
      <c r="Y3664" s="182"/>
      <c r="Z3664" s="175"/>
      <c r="AA3664" s="182"/>
      <c r="AB3664" s="184"/>
    </row>
    <row r="3665" spans="1:28" ht="12.75">
      <c r="A3665" s="173"/>
      <c r="B3665" s="174"/>
      <c r="C3665" s="11"/>
      <c r="D3665" s="175"/>
      <c r="E3665" s="176"/>
      <c r="F3665" s="177"/>
      <c r="G3665" s="178"/>
      <c r="H3665" s="177"/>
      <c r="I3665" s="177"/>
      <c r="J3665" s="179"/>
      <c r="K3665" s="183"/>
      <c r="L3665" s="176"/>
      <c r="M3665" s="177"/>
      <c r="N3665" s="21"/>
      <c r="O3665" s="45"/>
      <c r="P3665" s="24"/>
      <c r="Q3665" s="24"/>
      <c r="R3665" s="180"/>
      <c r="S3665" s="181"/>
      <c r="T3665" s="35"/>
      <c r="U3665" s="35"/>
      <c r="V3665" s="35"/>
      <c r="W3665" s="35"/>
      <c r="X3665" s="35"/>
      <c r="Y3665" s="182"/>
      <c r="Z3665" s="175"/>
      <c r="AA3665" s="182"/>
      <c r="AB3665" s="184"/>
    </row>
    <row r="3666" spans="1:28" ht="12.75">
      <c r="A3666" s="173"/>
      <c r="B3666" s="174"/>
      <c r="C3666" s="11"/>
      <c r="D3666" s="175"/>
      <c r="E3666" s="176"/>
      <c r="F3666" s="177"/>
      <c r="G3666" s="178"/>
      <c r="H3666" s="177"/>
      <c r="I3666" s="177"/>
      <c r="J3666" s="179"/>
      <c r="K3666" s="183"/>
      <c r="L3666" s="176"/>
      <c r="M3666" s="177"/>
      <c r="N3666" s="21"/>
      <c r="O3666" s="45"/>
      <c r="P3666" s="24"/>
      <c r="Q3666" s="24"/>
      <c r="R3666" s="180"/>
      <c r="S3666" s="181"/>
      <c r="T3666" s="35"/>
      <c r="U3666" s="35"/>
      <c r="V3666" s="35"/>
      <c r="W3666" s="35"/>
      <c r="X3666" s="35"/>
      <c r="Y3666" s="182"/>
      <c r="Z3666" s="175"/>
      <c r="AA3666" s="182"/>
      <c r="AB3666" s="184"/>
    </row>
    <row r="3667" spans="1:28" ht="12.75">
      <c r="A3667" s="173"/>
      <c r="B3667" s="174"/>
      <c r="C3667" s="11"/>
      <c r="D3667" s="175"/>
      <c r="E3667" s="176"/>
      <c r="F3667" s="177"/>
      <c r="G3667" s="178"/>
      <c r="H3667" s="177"/>
      <c r="I3667" s="177"/>
      <c r="J3667" s="179"/>
      <c r="K3667" s="183"/>
      <c r="L3667" s="176"/>
      <c r="M3667" s="177"/>
      <c r="N3667" s="21"/>
      <c r="O3667" s="45"/>
      <c r="P3667" s="24"/>
      <c r="Q3667" s="24"/>
      <c r="R3667" s="180"/>
      <c r="S3667" s="181"/>
      <c r="T3667" s="35"/>
      <c r="U3667" s="35"/>
      <c r="V3667" s="35"/>
      <c r="W3667" s="35"/>
      <c r="X3667" s="35"/>
      <c r="Y3667" s="182"/>
      <c r="Z3667" s="175"/>
      <c r="AA3667" s="182"/>
      <c r="AB3667" s="184"/>
    </row>
    <row r="3668" spans="1:28" ht="12.75">
      <c r="A3668" s="173"/>
      <c r="B3668" s="174"/>
      <c r="C3668" s="11"/>
      <c r="D3668" s="175"/>
      <c r="E3668" s="176"/>
      <c r="F3668" s="177"/>
      <c r="G3668" s="178"/>
      <c r="H3668" s="177"/>
      <c r="I3668" s="177"/>
      <c r="J3668" s="179"/>
      <c r="K3668" s="183"/>
      <c r="L3668" s="176"/>
      <c r="M3668" s="177"/>
      <c r="N3668" s="21"/>
      <c r="O3668" s="45"/>
      <c r="P3668" s="24"/>
      <c r="Q3668" s="24"/>
      <c r="R3668" s="180"/>
      <c r="S3668" s="181"/>
      <c r="T3668" s="35"/>
      <c r="U3668" s="35"/>
      <c r="V3668" s="35"/>
      <c r="W3668" s="35"/>
      <c r="X3668" s="35"/>
      <c r="Y3668" s="182"/>
      <c r="Z3668" s="175"/>
      <c r="AA3668" s="182"/>
      <c r="AB3668" s="184"/>
    </row>
    <row r="3669" spans="1:28" ht="12.75">
      <c r="A3669" s="173"/>
      <c r="B3669" s="174"/>
      <c r="C3669" s="11"/>
      <c r="D3669" s="175"/>
      <c r="E3669" s="176"/>
      <c r="F3669" s="177"/>
      <c r="G3669" s="178"/>
      <c r="H3669" s="177"/>
      <c r="I3669" s="177"/>
      <c r="J3669" s="179"/>
      <c r="K3669" s="183"/>
      <c r="L3669" s="176"/>
      <c r="M3669" s="177"/>
      <c r="N3669" s="21"/>
      <c r="O3669" s="45"/>
      <c r="P3669" s="24"/>
      <c r="Q3669" s="24"/>
      <c r="R3669" s="180"/>
      <c r="S3669" s="181"/>
      <c r="T3669" s="35"/>
      <c r="U3669" s="35"/>
      <c r="V3669" s="35"/>
      <c r="W3669" s="35"/>
      <c r="X3669" s="35"/>
      <c r="Y3669" s="182"/>
      <c r="Z3669" s="175"/>
      <c r="AA3669" s="182"/>
      <c r="AB3669" s="184"/>
    </row>
    <row r="3670" spans="1:28" ht="12.75">
      <c r="A3670" s="173"/>
      <c r="B3670" s="174"/>
      <c r="C3670" s="11"/>
      <c r="D3670" s="175"/>
      <c r="E3670" s="176"/>
      <c r="F3670" s="177"/>
      <c r="G3670" s="178"/>
      <c r="H3670" s="177"/>
      <c r="I3670" s="177"/>
      <c r="J3670" s="179"/>
      <c r="K3670" s="183"/>
      <c r="L3670" s="176"/>
      <c r="M3670" s="177"/>
      <c r="N3670" s="21"/>
      <c r="O3670" s="45"/>
      <c r="P3670" s="24"/>
      <c r="Q3670" s="24"/>
      <c r="R3670" s="180"/>
      <c r="S3670" s="181"/>
      <c r="T3670" s="35"/>
      <c r="U3670" s="35"/>
      <c r="V3670" s="35"/>
      <c r="W3670" s="35"/>
      <c r="X3670" s="35"/>
      <c r="Y3670" s="182"/>
      <c r="Z3670" s="175"/>
      <c r="AA3670" s="182"/>
      <c r="AB3670" s="184"/>
    </row>
    <row r="3671" spans="1:28" ht="12.75">
      <c r="A3671" s="173"/>
      <c r="B3671" s="174"/>
      <c r="C3671" s="11"/>
      <c r="D3671" s="175"/>
      <c r="E3671" s="176"/>
      <c r="F3671" s="177"/>
      <c r="G3671" s="178"/>
      <c r="H3671" s="177"/>
      <c r="I3671" s="177"/>
      <c r="J3671" s="179"/>
      <c r="K3671" s="183"/>
      <c r="L3671" s="176"/>
      <c r="M3671" s="177"/>
      <c r="N3671" s="21"/>
      <c r="O3671" s="45"/>
      <c r="P3671" s="24"/>
      <c r="Q3671" s="24"/>
      <c r="R3671" s="180"/>
      <c r="S3671" s="181"/>
      <c r="T3671" s="35"/>
      <c r="U3671" s="35"/>
      <c r="V3671" s="35"/>
      <c r="W3671" s="35"/>
      <c r="X3671" s="35"/>
      <c r="Y3671" s="182"/>
      <c r="Z3671" s="175"/>
      <c r="AA3671" s="182"/>
      <c r="AB3671" s="184"/>
    </row>
    <row r="3672" spans="1:28" ht="12.75">
      <c r="A3672" s="173"/>
      <c r="B3672" s="174"/>
      <c r="C3672" s="11"/>
      <c r="D3672" s="175"/>
      <c r="E3672" s="176"/>
      <c r="F3672" s="177"/>
      <c r="G3672" s="178"/>
      <c r="H3672" s="177"/>
      <c r="I3672" s="177"/>
      <c r="J3672" s="179"/>
      <c r="K3672" s="183"/>
      <c r="L3672" s="176"/>
      <c r="M3672" s="177"/>
      <c r="N3672" s="21"/>
      <c r="O3672" s="45"/>
      <c r="P3672" s="24"/>
      <c r="Q3672" s="24"/>
      <c r="R3672" s="180"/>
      <c r="S3672" s="181"/>
      <c r="T3672" s="35"/>
      <c r="U3672" s="35"/>
      <c r="V3672" s="35"/>
      <c r="W3672" s="35"/>
      <c r="X3672" s="35"/>
      <c r="Y3672" s="182"/>
      <c r="Z3672" s="175"/>
      <c r="AA3672" s="182"/>
      <c r="AB3672" s="184"/>
    </row>
    <row r="3673" spans="1:28" ht="12.75">
      <c r="A3673" s="173"/>
      <c r="B3673" s="174"/>
      <c r="C3673" s="11"/>
      <c r="D3673" s="175"/>
      <c r="E3673" s="176"/>
      <c r="F3673" s="177"/>
      <c r="G3673" s="178"/>
      <c r="H3673" s="177"/>
      <c r="I3673" s="177"/>
      <c r="J3673" s="179"/>
      <c r="K3673" s="183"/>
      <c r="L3673" s="176"/>
      <c r="M3673" s="177"/>
      <c r="N3673" s="21"/>
      <c r="O3673" s="45"/>
      <c r="P3673" s="24"/>
      <c r="Q3673" s="24"/>
      <c r="R3673" s="180"/>
      <c r="S3673" s="181"/>
      <c r="T3673" s="35"/>
      <c r="U3673" s="35"/>
      <c r="V3673" s="35"/>
      <c r="W3673" s="35"/>
      <c r="X3673" s="35"/>
      <c r="Y3673" s="182"/>
      <c r="Z3673" s="175"/>
      <c r="AA3673" s="182"/>
      <c r="AB3673" s="184"/>
    </row>
    <row r="3674" spans="1:28" ht="12.75">
      <c r="A3674" s="173"/>
      <c r="B3674" s="174"/>
      <c r="C3674" s="11"/>
      <c r="D3674" s="175"/>
      <c r="E3674" s="176"/>
      <c r="F3674" s="177"/>
      <c r="G3674" s="178"/>
      <c r="H3674" s="177"/>
      <c r="I3674" s="177"/>
      <c r="J3674" s="179"/>
      <c r="K3674" s="183"/>
      <c r="L3674" s="176"/>
      <c r="M3674" s="177"/>
      <c r="N3674" s="21"/>
      <c r="O3674" s="45"/>
      <c r="P3674" s="24"/>
      <c r="Q3674" s="24"/>
      <c r="R3674" s="180"/>
      <c r="S3674" s="181"/>
      <c r="T3674" s="35"/>
      <c r="U3674" s="35"/>
      <c r="V3674" s="35"/>
      <c r="W3674" s="35"/>
      <c r="X3674" s="35"/>
      <c r="Y3674" s="182"/>
      <c r="Z3674" s="175"/>
      <c r="AA3674" s="182"/>
      <c r="AB3674" s="184"/>
    </row>
    <row r="3675" spans="1:28" ht="12.75">
      <c r="A3675" s="173"/>
      <c r="B3675" s="174"/>
      <c r="C3675" s="11"/>
      <c r="D3675" s="175"/>
      <c r="E3675" s="176"/>
      <c r="F3675" s="177"/>
      <c r="G3675" s="178"/>
      <c r="H3675" s="177"/>
      <c r="I3675" s="177"/>
      <c r="J3675" s="179"/>
      <c r="K3675" s="183"/>
      <c r="L3675" s="176"/>
      <c r="M3675" s="177"/>
      <c r="N3675" s="21"/>
      <c r="O3675" s="45"/>
      <c r="P3675" s="24"/>
      <c r="Q3675" s="24"/>
      <c r="R3675" s="180"/>
      <c r="S3675" s="181"/>
      <c r="T3675" s="35"/>
      <c r="U3675" s="35"/>
      <c r="V3675" s="35"/>
      <c r="W3675" s="35"/>
      <c r="X3675" s="35"/>
      <c r="Y3675" s="182"/>
      <c r="Z3675" s="175"/>
      <c r="AA3675" s="182"/>
      <c r="AB3675" s="184"/>
    </row>
    <row r="3676" spans="1:28" ht="12.75">
      <c r="A3676" s="173"/>
      <c r="B3676" s="174"/>
      <c r="C3676" s="11"/>
      <c r="D3676" s="175"/>
      <c r="E3676" s="176"/>
      <c r="F3676" s="177"/>
      <c r="G3676" s="178"/>
      <c r="H3676" s="177"/>
      <c r="I3676" s="177"/>
      <c r="J3676" s="179"/>
      <c r="K3676" s="183"/>
      <c r="L3676" s="176"/>
      <c r="M3676" s="177"/>
      <c r="N3676" s="21"/>
      <c r="O3676" s="45"/>
      <c r="P3676" s="24"/>
      <c r="Q3676" s="24"/>
      <c r="R3676" s="180"/>
      <c r="S3676" s="181"/>
      <c r="T3676" s="35"/>
      <c r="U3676" s="35"/>
      <c r="V3676" s="35"/>
      <c r="W3676" s="35"/>
      <c r="X3676" s="35"/>
      <c r="Y3676" s="182"/>
      <c r="Z3676" s="175"/>
      <c r="AA3676" s="182"/>
      <c r="AB3676" s="184"/>
    </row>
    <row r="3677" spans="1:28" ht="12.75">
      <c r="A3677" s="173"/>
      <c r="B3677" s="174"/>
      <c r="C3677" s="11"/>
      <c r="D3677" s="175"/>
      <c r="E3677" s="176"/>
      <c r="F3677" s="177"/>
      <c r="G3677" s="178"/>
      <c r="H3677" s="177"/>
      <c r="I3677" s="177"/>
      <c r="J3677" s="179"/>
      <c r="K3677" s="183"/>
      <c r="L3677" s="176"/>
      <c r="M3677" s="177"/>
      <c r="N3677" s="21"/>
      <c r="O3677" s="45"/>
      <c r="P3677" s="24"/>
      <c r="Q3677" s="24"/>
      <c r="R3677" s="180"/>
      <c r="S3677" s="181"/>
      <c r="T3677" s="35"/>
      <c r="U3677" s="35"/>
      <c r="V3677" s="35"/>
      <c r="W3677" s="35"/>
      <c r="X3677" s="35"/>
      <c r="Y3677" s="182"/>
      <c r="Z3677" s="175"/>
      <c r="AA3677" s="182"/>
      <c r="AB3677" s="184"/>
    </row>
    <row r="3678" spans="1:28" ht="12.75">
      <c r="A3678" s="173"/>
      <c r="B3678" s="174"/>
      <c r="C3678" s="11"/>
      <c r="D3678" s="175"/>
      <c r="E3678" s="176"/>
      <c r="F3678" s="177"/>
      <c r="G3678" s="178"/>
      <c r="H3678" s="177"/>
      <c r="I3678" s="177"/>
      <c r="J3678" s="179"/>
      <c r="K3678" s="183"/>
      <c r="L3678" s="176"/>
      <c r="M3678" s="177"/>
      <c r="N3678" s="21"/>
      <c r="O3678" s="45"/>
      <c r="P3678" s="24"/>
      <c r="Q3678" s="24"/>
      <c r="R3678" s="180"/>
      <c r="S3678" s="181"/>
      <c r="T3678" s="35"/>
      <c r="U3678" s="35"/>
      <c r="V3678" s="35"/>
      <c r="W3678" s="35"/>
      <c r="X3678" s="35"/>
      <c r="Y3678" s="182"/>
      <c r="Z3678" s="175"/>
      <c r="AA3678" s="182"/>
      <c r="AB3678" s="184"/>
    </row>
    <row r="3679" spans="1:28" ht="12.75">
      <c r="A3679" s="173"/>
      <c r="B3679" s="174"/>
      <c r="C3679" s="11"/>
      <c r="D3679" s="175"/>
      <c r="E3679" s="176"/>
      <c r="F3679" s="177"/>
      <c r="G3679" s="178"/>
      <c r="H3679" s="177"/>
      <c r="I3679" s="177"/>
      <c r="J3679" s="179"/>
      <c r="K3679" s="183"/>
      <c r="L3679" s="176"/>
      <c r="M3679" s="177"/>
      <c r="N3679" s="21"/>
      <c r="O3679" s="45"/>
      <c r="P3679" s="24"/>
      <c r="Q3679" s="24"/>
      <c r="R3679" s="180"/>
      <c r="S3679" s="181"/>
      <c r="T3679" s="35"/>
      <c r="U3679" s="35"/>
      <c r="V3679" s="35"/>
      <c r="W3679" s="35"/>
      <c r="X3679" s="35"/>
      <c r="Y3679" s="182"/>
      <c r="Z3679" s="175"/>
      <c r="AA3679" s="182"/>
      <c r="AB3679" s="184"/>
    </row>
    <row r="3680" spans="1:28" ht="12.75">
      <c r="A3680" s="173"/>
      <c r="B3680" s="174"/>
      <c r="C3680" s="11"/>
      <c r="D3680" s="175"/>
      <c r="E3680" s="176"/>
      <c r="F3680" s="177"/>
      <c r="G3680" s="178"/>
      <c r="H3680" s="177"/>
      <c r="I3680" s="177"/>
      <c r="J3680" s="179"/>
      <c r="K3680" s="183"/>
      <c r="L3680" s="176"/>
      <c r="M3680" s="177"/>
      <c r="N3680" s="21"/>
      <c r="O3680" s="45"/>
      <c r="P3680" s="24"/>
      <c r="Q3680" s="24"/>
      <c r="R3680" s="180"/>
      <c r="S3680" s="181"/>
      <c r="T3680" s="35"/>
      <c r="U3680" s="35"/>
      <c r="V3680" s="35"/>
      <c r="W3680" s="35"/>
      <c r="X3680" s="35"/>
      <c r="Y3680" s="182"/>
      <c r="Z3680" s="175"/>
      <c r="AA3680" s="182"/>
      <c r="AB3680" s="184"/>
    </row>
    <row r="3681" spans="1:28" ht="12.75">
      <c r="A3681" s="173"/>
      <c r="B3681" s="174"/>
      <c r="C3681" s="11"/>
      <c r="D3681" s="175"/>
      <c r="E3681" s="176"/>
      <c r="F3681" s="177"/>
      <c r="G3681" s="178"/>
      <c r="H3681" s="177"/>
      <c r="I3681" s="177"/>
      <c r="J3681" s="179"/>
      <c r="K3681" s="183"/>
      <c r="L3681" s="176"/>
      <c r="M3681" s="177"/>
      <c r="N3681" s="21"/>
      <c r="O3681" s="45"/>
      <c r="P3681" s="24"/>
      <c r="Q3681" s="24"/>
      <c r="R3681" s="180"/>
      <c r="S3681" s="181"/>
      <c r="T3681" s="35"/>
      <c r="U3681" s="35"/>
      <c r="V3681" s="35"/>
      <c r="W3681" s="35"/>
      <c r="X3681" s="35"/>
      <c r="Y3681" s="182"/>
      <c r="Z3681" s="175"/>
      <c r="AA3681" s="182"/>
      <c r="AB3681" s="184"/>
    </row>
    <row r="3682" spans="1:28" ht="12.75">
      <c r="A3682" s="173"/>
      <c r="B3682" s="174"/>
      <c r="C3682" s="11"/>
      <c r="D3682" s="175"/>
      <c r="E3682" s="176"/>
      <c r="F3682" s="177"/>
      <c r="G3682" s="178"/>
      <c r="H3682" s="177"/>
      <c r="I3682" s="177"/>
      <c r="J3682" s="179"/>
      <c r="K3682" s="183"/>
      <c r="L3682" s="176"/>
      <c r="M3682" s="177"/>
      <c r="N3682" s="21"/>
      <c r="O3682" s="45"/>
      <c r="P3682" s="24"/>
      <c r="Q3682" s="24"/>
      <c r="R3682" s="180"/>
      <c r="S3682" s="181"/>
      <c r="T3682" s="35"/>
      <c r="U3682" s="35"/>
      <c r="V3682" s="35"/>
      <c r="W3682" s="35"/>
      <c r="X3682" s="35"/>
      <c r="Y3682" s="182"/>
      <c r="Z3682" s="175"/>
      <c r="AA3682" s="182"/>
      <c r="AB3682" s="184"/>
    </row>
    <row r="3683" spans="1:28" ht="12.75">
      <c r="A3683" s="173"/>
      <c r="B3683" s="174"/>
      <c r="C3683" s="11"/>
      <c r="D3683" s="175"/>
      <c r="E3683" s="176"/>
      <c r="F3683" s="177"/>
      <c r="G3683" s="178"/>
      <c r="H3683" s="177"/>
      <c r="I3683" s="177"/>
      <c r="J3683" s="179"/>
      <c r="K3683" s="183"/>
      <c r="L3683" s="176"/>
      <c r="M3683" s="177"/>
      <c r="N3683" s="21"/>
      <c r="O3683" s="45"/>
      <c r="P3683" s="24"/>
      <c r="Q3683" s="24"/>
      <c r="R3683" s="180"/>
      <c r="S3683" s="181"/>
      <c r="T3683" s="35"/>
      <c r="U3683" s="35"/>
      <c r="V3683" s="35"/>
      <c r="W3683" s="35"/>
      <c r="X3683" s="35"/>
      <c r="Y3683" s="182"/>
      <c r="Z3683" s="175"/>
      <c r="AA3683" s="182"/>
      <c r="AB3683" s="184"/>
    </row>
    <row r="3684" spans="1:28" ht="12.75">
      <c r="A3684" s="173"/>
      <c r="B3684" s="174"/>
      <c r="C3684" s="11"/>
      <c r="D3684" s="175"/>
      <c r="E3684" s="176"/>
      <c r="F3684" s="177"/>
      <c r="G3684" s="178"/>
      <c r="H3684" s="177"/>
      <c r="I3684" s="177"/>
      <c r="J3684" s="179"/>
      <c r="K3684" s="183"/>
      <c r="L3684" s="176"/>
      <c r="M3684" s="177"/>
      <c r="N3684" s="21"/>
      <c r="O3684" s="45"/>
      <c r="P3684" s="24"/>
      <c r="Q3684" s="24"/>
      <c r="R3684" s="180"/>
      <c r="S3684" s="181"/>
      <c r="T3684" s="35"/>
      <c r="U3684" s="35"/>
      <c r="V3684" s="35"/>
      <c r="W3684" s="35"/>
      <c r="X3684" s="35"/>
      <c r="Y3684" s="182"/>
      <c r="Z3684" s="175"/>
      <c r="AA3684" s="182"/>
      <c r="AB3684" s="184"/>
    </row>
    <row r="3685" spans="1:28" ht="12.75">
      <c r="A3685" s="173"/>
      <c r="B3685" s="174"/>
      <c r="C3685" s="11"/>
      <c r="D3685" s="175"/>
      <c r="E3685" s="176"/>
      <c r="F3685" s="177"/>
      <c r="G3685" s="178"/>
      <c r="H3685" s="177"/>
      <c r="I3685" s="177"/>
      <c r="J3685" s="179"/>
      <c r="K3685" s="183"/>
      <c r="L3685" s="176"/>
      <c r="M3685" s="177"/>
      <c r="N3685" s="21"/>
      <c r="O3685" s="45"/>
      <c r="P3685" s="24"/>
      <c r="Q3685" s="24"/>
      <c r="R3685" s="180"/>
      <c r="S3685" s="181"/>
      <c r="T3685" s="35"/>
      <c r="U3685" s="35"/>
      <c r="V3685" s="35"/>
      <c r="W3685" s="35"/>
      <c r="X3685" s="35"/>
      <c r="Y3685" s="182"/>
      <c r="Z3685" s="175"/>
      <c r="AA3685" s="182"/>
      <c r="AB3685" s="184"/>
    </row>
    <row r="3686" spans="1:28" ht="12.75">
      <c r="A3686" s="173"/>
      <c r="B3686" s="174"/>
      <c r="C3686" s="11"/>
      <c r="D3686" s="175"/>
      <c r="E3686" s="176"/>
      <c r="F3686" s="177"/>
      <c r="G3686" s="178"/>
      <c r="H3686" s="177"/>
      <c r="I3686" s="177"/>
      <c r="J3686" s="179"/>
      <c r="K3686" s="183"/>
      <c r="L3686" s="176"/>
      <c r="M3686" s="177"/>
      <c r="N3686" s="21"/>
      <c r="O3686" s="45"/>
      <c r="P3686" s="24"/>
      <c r="Q3686" s="24"/>
      <c r="R3686" s="180"/>
      <c r="S3686" s="181"/>
      <c r="T3686" s="35"/>
      <c r="U3686" s="35"/>
      <c r="V3686" s="35"/>
      <c r="W3686" s="35"/>
      <c r="X3686" s="35"/>
      <c r="Y3686" s="182"/>
      <c r="Z3686" s="175"/>
      <c r="AA3686" s="182"/>
      <c r="AB3686" s="184"/>
    </row>
    <row r="3687" spans="1:28" ht="12.75">
      <c r="A3687" s="173"/>
      <c r="B3687" s="174"/>
      <c r="C3687" s="11"/>
      <c r="D3687" s="175"/>
      <c r="E3687" s="176"/>
      <c r="F3687" s="177"/>
      <c r="G3687" s="178"/>
      <c r="H3687" s="177"/>
      <c r="I3687" s="177"/>
      <c r="J3687" s="179"/>
      <c r="K3687" s="183"/>
      <c r="L3687" s="176"/>
      <c r="M3687" s="177"/>
      <c r="N3687" s="21"/>
      <c r="O3687" s="45"/>
      <c r="P3687" s="24"/>
      <c r="Q3687" s="24"/>
      <c r="R3687" s="180"/>
      <c r="S3687" s="181"/>
      <c r="T3687" s="35"/>
      <c r="U3687" s="35"/>
      <c r="V3687" s="35"/>
      <c r="W3687" s="35"/>
      <c r="X3687" s="35"/>
      <c r="Y3687" s="182"/>
      <c r="Z3687" s="175"/>
      <c r="AA3687" s="182"/>
      <c r="AB3687" s="184"/>
    </row>
    <row r="3688" spans="1:28" ht="12.75">
      <c r="A3688" s="173"/>
      <c r="B3688" s="174"/>
      <c r="C3688" s="11"/>
      <c r="D3688" s="175"/>
      <c r="E3688" s="176"/>
      <c r="F3688" s="177"/>
      <c r="G3688" s="178"/>
      <c r="H3688" s="177"/>
      <c r="I3688" s="177"/>
      <c r="J3688" s="179"/>
      <c r="K3688" s="183"/>
      <c r="L3688" s="176"/>
      <c r="M3688" s="177"/>
      <c r="N3688" s="21"/>
      <c r="O3688" s="45"/>
      <c r="P3688" s="24"/>
      <c r="Q3688" s="24"/>
      <c r="R3688" s="180"/>
      <c r="S3688" s="181"/>
      <c r="T3688" s="35"/>
      <c r="U3688" s="35"/>
      <c r="V3688" s="35"/>
      <c r="W3688" s="35"/>
      <c r="X3688" s="35"/>
      <c r="Y3688" s="182"/>
      <c r="Z3688" s="175"/>
      <c r="AA3688" s="182"/>
      <c r="AB3688" s="184"/>
    </row>
    <row r="3689" spans="1:28" ht="12.75">
      <c r="A3689" s="173"/>
      <c r="B3689" s="174"/>
      <c r="C3689" s="11"/>
      <c r="D3689" s="175"/>
      <c r="E3689" s="176"/>
      <c r="F3689" s="177"/>
      <c r="G3689" s="178"/>
      <c r="H3689" s="177"/>
      <c r="I3689" s="177"/>
      <c r="J3689" s="179"/>
      <c r="K3689" s="183"/>
      <c r="L3689" s="176"/>
      <c r="M3689" s="177"/>
      <c r="N3689" s="21"/>
      <c r="O3689" s="45"/>
      <c r="P3689" s="24"/>
      <c r="Q3689" s="24"/>
      <c r="R3689" s="180"/>
      <c r="S3689" s="181"/>
      <c r="T3689" s="35"/>
      <c r="U3689" s="35"/>
      <c r="V3689" s="35"/>
      <c r="W3689" s="35"/>
      <c r="X3689" s="35"/>
      <c r="Y3689" s="182"/>
      <c r="Z3689" s="175"/>
      <c r="AA3689" s="182"/>
      <c r="AB3689" s="184"/>
    </row>
    <row r="3690" spans="1:28" ht="12.75">
      <c r="A3690" s="173"/>
      <c r="B3690" s="174"/>
      <c r="C3690" s="11"/>
      <c r="D3690" s="175"/>
      <c r="E3690" s="176"/>
      <c r="F3690" s="177"/>
      <c r="G3690" s="178"/>
      <c r="H3690" s="177"/>
      <c r="I3690" s="177"/>
      <c r="J3690" s="179"/>
      <c r="K3690" s="183"/>
      <c r="L3690" s="176"/>
      <c r="M3690" s="177"/>
      <c r="N3690" s="21"/>
      <c r="O3690" s="45"/>
      <c r="P3690" s="24"/>
      <c r="Q3690" s="24"/>
      <c r="R3690" s="180"/>
      <c r="S3690" s="181"/>
      <c r="T3690" s="35"/>
      <c r="U3690" s="35"/>
      <c r="V3690" s="35"/>
      <c r="W3690" s="35"/>
      <c r="X3690" s="35"/>
      <c r="Y3690" s="182"/>
      <c r="Z3690" s="175"/>
      <c r="AA3690" s="182"/>
      <c r="AB3690" s="184"/>
    </row>
    <row r="3691" spans="1:28" ht="12.75">
      <c r="A3691" s="173"/>
      <c r="B3691" s="174"/>
      <c r="C3691" s="11"/>
      <c r="D3691" s="175"/>
      <c r="E3691" s="176"/>
      <c r="F3691" s="177"/>
      <c r="G3691" s="178"/>
      <c r="H3691" s="177"/>
      <c r="I3691" s="177"/>
      <c r="J3691" s="179"/>
      <c r="K3691" s="183"/>
      <c r="L3691" s="176"/>
      <c r="M3691" s="177"/>
      <c r="N3691" s="21"/>
      <c r="O3691" s="45"/>
      <c r="P3691" s="24"/>
      <c r="Q3691" s="24"/>
      <c r="R3691" s="180"/>
      <c r="S3691" s="181"/>
      <c r="T3691" s="35"/>
      <c r="U3691" s="35"/>
      <c r="V3691" s="35"/>
      <c r="W3691" s="35"/>
      <c r="X3691" s="35"/>
      <c r="Y3691" s="182"/>
      <c r="Z3691" s="175"/>
      <c r="AA3691" s="182"/>
      <c r="AB3691" s="184"/>
    </row>
    <row r="3692" spans="1:28" ht="12.75">
      <c r="A3692" s="173"/>
      <c r="B3692" s="174"/>
      <c r="C3692" s="11"/>
      <c r="D3692" s="175"/>
      <c r="E3692" s="176"/>
      <c r="F3692" s="177"/>
      <c r="G3692" s="178"/>
      <c r="H3692" s="177"/>
      <c r="I3692" s="177"/>
      <c r="J3692" s="179"/>
      <c r="K3692" s="183"/>
      <c r="L3692" s="176"/>
      <c r="M3692" s="177"/>
      <c r="N3692" s="21"/>
      <c r="O3692" s="45"/>
      <c r="P3692" s="24"/>
      <c r="Q3692" s="24"/>
      <c r="R3692" s="180"/>
      <c r="S3692" s="181"/>
      <c r="T3692" s="35"/>
      <c r="U3692" s="35"/>
      <c r="V3692" s="35"/>
      <c r="W3692" s="35"/>
      <c r="X3692" s="35"/>
      <c r="Y3692" s="182"/>
      <c r="Z3692" s="175"/>
      <c r="AA3692" s="182"/>
      <c r="AB3692" s="184"/>
    </row>
    <row r="3693" spans="1:28" ht="12.75">
      <c r="A3693" s="173"/>
      <c r="B3693" s="174"/>
      <c r="C3693" s="11"/>
      <c r="D3693" s="175"/>
      <c r="E3693" s="176"/>
      <c r="F3693" s="177"/>
      <c r="G3693" s="178"/>
      <c r="H3693" s="177"/>
      <c r="I3693" s="177"/>
      <c r="J3693" s="179"/>
      <c r="K3693" s="183"/>
      <c r="L3693" s="176"/>
      <c r="M3693" s="177"/>
      <c r="N3693" s="21"/>
      <c r="O3693" s="45"/>
      <c r="P3693" s="24"/>
      <c r="Q3693" s="24"/>
      <c r="R3693" s="180"/>
      <c r="S3693" s="181"/>
      <c r="T3693" s="35"/>
      <c r="U3693" s="35"/>
      <c r="V3693" s="35"/>
      <c r="W3693" s="35"/>
      <c r="X3693" s="35"/>
      <c r="Y3693" s="182"/>
      <c r="Z3693" s="175"/>
      <c r="AA3693" s="182"/>
      <c r="AB3693" s="184"/>
    </row>
    <row r="3694" spans="1:28" ht="12.75">
      <c r="A3694" s="173"/>
      <c r="B3694" s="174"/>
      <c r="C3694" s="11"/>
      <c r="D3694" s="175"/>
      <c r="E3694" s="176"/>
      <c r="F3694" s="177"/>
      <c r="G3694" s="178"/>
      <c r="H3694" s="177"/>
      <c r="I3694" s="177"/>
      <c r="J3694" s="179"/>
      <c r="K3694" s="183"/>
      <c r="L3694" s="176"/>
      <c r="M3694" s="177"/>
      <c r="N3694" s="21"/>
      <c r="O3694" s="45"/>
      <c r="P3694" s="24"/>
      <c r="Q3694" s="24"/>
      <c r="R3694" s="180"/>
      <c r="S3694" s="181"/>
      <c r="T3694" s="35"/>
      <c r="U3694" s="35"/>
      <c r="V3694" s="35"/>
      <c r="W3694" s="35"/>
      <c r="X3694" s="35"/>
      <c r="Y3694" s="182"/>
      <c r="Z3694" s="175"/>
      <c r="AA3694" s="182"/>
      <c r="AB3694" s="184"/>
    </row>
    <row r="3695" spans="1:28" ht="12.75">
      <c r="A3695" s="173"/>
      <c r="B3695" s="174"/>
      <c r="C3695" s="11"/>
      <c r="D3695" s="175"/>
      <c r="E3695" s="176"/>
      <c r="F3695" s="177"/>
      <c r="G3695" s="178"/>
      <c r="H3695" s="177"/>
      <c r="I3695" s="177"/>
      <c r="J3695" s="179"/>
      <c r="K3695" s="183"/>
      <c r="L3695" s="176"/>
      <c r="M3695" s="177"/>
      <c r="N3695" s="21"/>
      <c r="O3695" s="45"/>
      <c r="P3695" s="24"/>
      <c r="Q3695" s="24"/>
      <c r="R3695" s="180"/>
      <c r="S3695" s="181"/>
      <c r="T3695" s="35"/>
      <c r="U3695" s="35"/>
      <c r="V3695" s="35"/>
      <c r="W3695" s="35"/>
      <c r="X3695" s="35"/>
      <c r="Y3695" s="182"/>
      <c r="Z3695" s="175"/>
      <c r="AA3695" s="182"/>
      <c r="AB3695" s="184"/>
    </row>
    <row r="3696" spans="1:28" ht="12.75">
      <c r="A3696" s="173"/>
      <c r="B3696" s="174"/>
      <c r="C3696" s="11"/>
      <c r="D3696" s="175"/>
      <c r="E3696" s="176"/>
      <c r="F3696" s="177"/>
      <c r="G3696" s="178"/>
      <c r="H3696" s="177"/>
      <c r="I3696" s="177"/>
      <c r="J3696" s="179"/>
      <c r="K3696" s="183"/>
      <c r="L3696" s="176"/>
      <c r="M3696" s="177"/>
      <c r="N3696" s="21"/>
      <c r="O3696" s="45"/>
      <c r="P3696" s="24"/>
      <c r="Q3696" s="24"/>
      <c r="R3696" s="180"/>
      <c r="S3696" s="181"/>
      <c r="T3696" s="35"/>
      <c r="U3696" s="35"/>
      <c r="V3696" s="35"/>
      <c r="W3696" s="35"/>
      <c r="X3696" s="35"/>
      <c r="Y3696" s="182"/>
      <c r="Z3696" s="175"/>
      <c r="AA3696" s="182"/>
      <c r="AB3696" s="184"/>
    </row>
    <row r="3697" spans="1:28" ht="12.75">
      <c r="A3697" s="173"/>
      <c r="B3697" s="174"/>
      <c r="C3697" s="11"/>
      <c r="D3697" s="175"/>
      <c r="E3697" s="176"/>
      <c r="F3697" s="177"/>
      <c r="G3697" s="178"/>
      <c r="H3697" s="177"/>
      <c r="I3697" s="177"/>
      <c r="J3697" s="179"/>
      <c r="K3697" s="183"/>
      <c r="L3697" s="176"/>
      <c r="M3697" s="177"/>
      <c r="N3697" s="21"/>
      <c r="O3697" s="45"/>
      <c r="P3697" s="24"/>
      <c r="Q3697" s="24"/>
      <c r="R3697" s="180"/>
      <c r="S3697" s="181"/>
      <c r="T3697" s="35"/>
      <c r="U3697" s="35"/>
      <c r="V3697" s="35"/>
      <c r="W3697" s="35"/>
      <c r="X3697" s="35"/>
      <c r="Y3697" s="182"/>
      <c r="Z3697" s="175"/>
      <c r="AA3697" s="182"/>
      <c r="AB3697" s="184"/>
    </row>
    <row r="3698" spans="1:28" ht="12.75">
      <c r="A3698" s="173"/>
      <c r="B3698" s="174"/>
      <c r="C3698" s="11"/>
      <c r="D3698" s="175"/>
      <c r="E3698" s="176"/>
      <c r="F3698" s="177"/>
      <c r="G3698" s="178"/>
      <c r="H3698" s="177"/>
      <c r="I3698" s="177"/>
      <c r="J3698" s="179"/>
      <c r="K3698" s="183"/>
      <c r="L3698" s="176"/>
      <c r="M3698" s="177"/>
      <c r="N3698" s="21"/>
      <c r="O3698" s="45"/>
      <c r="P3698" s="24"/>
      <c r="Q3698" s="24"/>
      <c r="R3698" s="180"/>
      <c r="S3698" s="181"/>
      <c r="T3698" s="35"/>
      <c r="U3698" s="35"/>
      <c r="V3698" s="35"/>
      <c r="W3698" s="35"/>
      <c r="X3698" s="35"/>
      <c r="Y3698" s="182"/>
      <c r="Z3698" s="175"/>
      <c r="AA3698" s="182"/>
      <c r="AB3698" s="184"/>
    </row>
    <row r="3699" spans="1:28" ht="12.75">
      <c r="A3699" s="173"/>
      <c r="B3699" s="174"/>
      <c r="C3699" s="11"/>
      <c r="D3699" s="175"/>
      <c r="E3699" s="176"/>
      <c r="F3699" s="177"/>
      <c r="G3699" s="178"/>
      <c r="H3699" s="177"/>
      <c r="I3699" s="177"/>
      <c r="J3699" s="179"/>
      <c r="K3699" s="183"/>
      <c r="L3699" s="176"/>
      <c r="M3699" s="177"/>
      <c r="N3699" s="21"/>
      <c r="O3699" s="45"/>
      <c r="P3699" s="24"/>
      <c r="Q3699" s="24"/>
      <c r="R3699" s="180"/>
      <c r="S3699" s="181"/>
      <c r="T3699" s="35"/>
      <c r="U3699" s="35"/>
      <c r="V3699" s="35"/>
      <c r="W3699" s="35"/>
      <c r="X3699" s="35"/>
      <c r="Y3699" s="182"/>
      <c r="Z3699" s="175"/>
      <c r="AA3699" s="182"/>
      <c r="AB3699" s="184"/>
    </row>
    <row r="3700" spans="1:28" ht="12.75">
      <c r="A3700" s="173"/>
      <c r="B3700" s="174"/>
      <c r="C3700" s="11"/>
      <c r="D3700" s="175"/>
      <c r="E3700" s="176"/>
      <c r="F3700" s="177"/>
      <c r="G3700" s="178"/>
      <c r="H3700" s="177"/>
      <c r="I3700" s="177"/>
      <c r="J3700" s="179"/>
      <c r="K3700" s="183"/>
      <c r="L3700" s="176"/>
      <c r="M3700" s="177"/>
      <c r="N3700" s="21"/>
      <c r="O3700" s="45"/>
      <c r="P3700" s="24"/>
      <c r="Q3700" s="24"/>
      <c r="R3700" s="180"/>
      <c r="S3700" s="181"/>
      <c r="T3700" s="35"/>
      <c r="U3700" s="35"/>
      <c r="V3700" s="35"/>
      <c r="W3700" s="35"/>
      <c r="X3700" s="35"/>
      <c r="Y3700" s="182"/>
      <c r="Z3700" s="175"/>
      <c r="AA3700" s="182"/>
      <c r="AB3700" s="184"/>
    </row>
    <row r="3701" spans="1:28" ht="12.75">
      <c r="A3701" s="173"/>
      <c r="B3701" s="174"/>
      <c r="C3701" s="11"/>
      <c r="D3701" s="175"/>
      <c r="E3701" s="176"/>
      <c r="F3701" s="177"/>
      <c r="G3701" s="178"/>
      <c r="H3701" s="177"/>
      <c r="I3701" s="177"/>
      <c r="J3701" s="179"/>
      <c r="K3701" s="183"/>
      <c r="L3701" s="176"/>
      <c r="M3701" s="177"/>
      <c r="N3701" s="21"/>
      <c r="O3701" s="45"/>
      <c r="P3701" s="24"/>
      <c r="Q3701" s="24"/>
      <c r="R3701" s="180"/>
      <c r="S3701" s="181"/>
      <c r="T3701" s="35"/>
      <c r="U3701" s="35"/>
      <c r="V3701" s="35"/>
      <c r="W3701" s="35"/>
      <c r="X3701" s="35"/>
      <c r="Y3701" s="182"/>
      <c r="Z3701" s="175"/>
      <c r="AA3701" s="182"/>
      <c r="AB3701" s="184"/>
    </row>
    <row r="3702" spans="1:28" ht="12.75">
      <c r="A3702" s="173"/>
      <c r="B3702" s="174"/>
      <c r="C3702" s="11"/>
      <c r="D3702" s="175"/>
      <c r="E3702" s="176"/>
      <c r="F3702" s="177"/>
      <c r="G3702" s="178"/>
      <c r="H3702" s="177"/>
      <c r="I3702" s="177"/>
      <c r="J3702" s="179"/>
      <c r="K3702" s="183"/>
      <c r="L3702" s="176"/>
      <c r="M3702" s="177"/>
      <c r="N3702" s="21"/>
      <c r="O3702" s="45"/>
      <c r="P3702" s="24"/>
      <c r="Q3702" s="24"/>
      <c r="R3702" s="180"/>
      <c r="S3702" s="181"/>
      <c r="T3702" s="35"/>
      <c r="U3702" s="35"/>
      <c r="V3702" s="35"/>
      <c r="W3702" s="35"/>
      <c r="X3702" s="35"/>
      <c r="Y3702" s="182"/>
      <c r="Z3702" s="175"/>
      <c r="AA3702" s="182"/>
      <c r="AB3702" s="184"/>
    </row>
    <row r="3703" spans="1:28" ht="12.75">
      <c r="A3703" s="173"/>
      <c r="B3703" s="174"/>
      <c r="C3703" s="11"/>
      <c r="D3703" s="175"/>
      <c r="E3703" s="176"/>
      <c r="F3703" s="177"/>
      <c r="G3703" s="178"/>
      <c r="H3703" s="177"/>
      <c r="I3703" s="177"/>
      <c r="J3703" s="179"/>
      <c r="K3703" s="183"/>
      <c r="L3703" s="176"/>
      <c r="M3703" s="177"/>
      <c r="N3703" s="21"/>
      <c r="O3703" s="45"/>
      <c r="P3703" s="24"/>
      <c r="Q3703" s="24"/>
      <c r="R3703" s="180"/>
      <c r="S3703" s="181"/>
      <c r="T3703" s="35"/>
      <c r="U3703" s="35"/>
      <c r="V3703" s="35"/>
      <c r="W3703" s="35"/>
      <c r="X3703" s="35"/>
      <c r="Y3703" s="182"/>
      <c r="Z3703" s="175"/>
      <c r="AA3703" s="182"/>
      <c r="AB3703" s="184"/>
    </row>
    <row r="3704" spans="1:28" ht="12.75">
      <c r="A3704" s="173"/>
      <c r="B3704" s="174"/>
      <c r="C3704" s="11"/>
      <c r="D3704" s="175"/>
      <c r="E3704" s="176"/>
      <c r="F3704" s="177"/>
      <c r="G3704" s="178"/>
      <c r="H3704" s="177"/>
      <c r="I3704" s="177"/>
      <c r="J3704" s="179"/>
      <c r="K3704" s="183"/>
      <c r="L3704" s="176"/>
      <c r="M3704" s="177"/>
      <c r="N3704" s="21"/>
      <c r="O3704" s="45"/>
      <c r="P3704" s="24"/>
      <c r="Q3704" s="24"/>
      <c r="R3704" s="180"/>
      <c r="S3704" s="181"/>
      <c r="T3704" s="35"/>
      <c r="U3704" s="35"/>
      <c r="V3704" s="35"/>
      <c r="W3704" s="35"/>
      <c r="X3704" s="35"/>
      <c r="Y3704" s="182"/>
      <c r="Z3704" s="175"/>
      <c r="AA3704" s="182"/>
      <c r="AB3704" s="184"/>
    </row>
    <row r="3705" spans="1:28" ht="12.75">
      <c r="A3705" s="173"/>
      <c r="B3705" s="174"/>
      <c r="C3705" s="11"/>
      <c r="D3705" s="175"/>
      <c r="E3705" s="176"/>
      <c r="F3705" s="177"/>
      <c r="G3705" s="178"/>
      <c r="H3705" s="177"/>
      <c r="I3705" s="177"/>
      <c r="J3705" s="179"/>
      <c r="K3705" s="183"/>
      <c r="L3705" s="176"/>
      <c r="M3705" s="177"/>
      <c r="N3705" s="21"/>
      <c r="O3705" s="45"/>
      <c r="P3705" s="24"/>
      <c r="Q3705" s="24"/>
      <c r="R3705" s="180"/>
      <c r="S3705" s="181"/>
      <c r="T3705" s="35"/>
      <c r="U3705" s="35"/>
      <c r="V3705" s="35"/>
      <c r="W3705" s="35"/>
      <c r="X3705" s="35"/>
      <c r="Y3705" s="182"/>
      <c r="Z3705" s="175"/>
      <c r="AA3705" s="182"/>
      <c r="AB3705" s="184"/>
    </row>
    <row r="3706" spans="1:28" ht="12.75">
      <c r="A3706" s="173"/>
      <c r="B3706" s="174"/>
      <c r="C3706" s="11"/>
      <c r="D3706" s="175"/>
      <c r="E3706" s="176"/>
      <c r="F3706" s="177"/>
      <c r="G3706" s="178"/>
      <c r="H3706" s="177"/>
      <c r="I3706" s="177"/>
      <c r="J3706" s="179"/>
      <c r="K3706" s="183"/>
      <c r="L3706" s="176"/>
      <c r="M3706" s="177"/>
      <c r="N3706" s="21"/>
      <c r="O3706" s="45"/>
      <c r="P3706" s="24"/>
      <c r="Q3706" s="24"/>
      <c r="R3706" s="180"/>
      <c r="S3706" s="181"/>
      <c r="T3706" s="35"/>
      <c r="U3706" s="35"/>
      <c r="V3706" s="35"/>
      <c r="W3706" s="35"/>
      <c r="X3706" s="35"/>
      <c r="Y3706" s="182"/>
      <c r="Z3706" s="175"/>
      <c r="AA3706" s="182"/>
      <c r="AB3706" s="184"/>
    </row>
    <row r="3707" spans="1:28" ht="12.75">
      <c r="A3707" s="173"/>
      <c r="B3707" s="174"/>
      <c r="C3707" s="11"/>
      <c r="D3707" s="175"/>
      <c r="E3707" s="176"/>
      <c r="F3707" s="177"/>
      <c r="G3707" s="178"/>
      <c r="H3707" s="177"/>
      <c r="I3707" s="177"/>
      <c r="J3707" s="179"/>
      <c r="K3707" s="183"/>
      <c r="L3707" s="176"/>
      <c r="M3707" s="177"/>
      <c r="N3707" s="21"/>
      <c r="O3707" s="45"/>
      <c r="P3707" s="24"/>
      <c r="Q3707" s="24"/>
      <c r="R3707" s="180"/>
      <c r="S3707" s="181"/>
      <c r="T3707" s="35"/>
      <c r="U3707" s="35"/>
      <c r="V3707" s="35"/>
      <c r="W3707" s="35"/>
      <c r="X3707" s="35"/>
      <c r="Y3707" s="182"/>
      <c r="Z3707" s="175"/>
      <c r="AA3707" s="182"/>
      <c r="AB3707" s="184"/>
    </row>
    <row r="3708" spans="1:28" ht="12.75">
      <c r="A3708" s="173"/>
      <c r="B3708" s="174"/>
      <c r="C3708" s="11"/>
      <c r="D3708" s="175"/>
      <c r="E3708" s="176"/>
      <c r="F3708" s="177"/>
      <c r="G3708" s="178"/>
      <c r="H3708" s="177"/>
      <c r="I3708" s="177"/>
      <c r="J3708" s="179"/>
      <c r="K3708" s="183"/>
      <c r="L3708" s="176"/>
      <c r="M3708" s="177"/>
      <c r="N3708" s="21"/>
      <c r="O3708" s="45"/>
      <c r="P3708" s="24"/>
      <c r="Q3708" s="24"/>
      <c r="R3708" s="180"/>
      <c r="S3708" s="181"/>
      <c r="T3708" s="35"/>
      <c r="U3708" s="35"/>
      <c r="V3708" s="35"/>
      <c r="W3708" s="35"/>
      <c r="X3708" s="35"/>
      <c r="Y3708" s="182"/>
      <c r="Z3708" s="175"/>
      <c r="AA3708" s="182"/>
      <c r="AB3708" s="184"/>
    </row>
    <row r="3709" spans="1:28" ht="12.75">
      <c r="A3709" s="173"/>
      <c r="B3709" s="174"/>
      <c r="C3709" s="11"/>
      <c r="D3709" s="175"/>
      <c r="E3709" s="176"/>
      <c r="F3709" s="177"/>
      <c r="G3709" s="178"/>
      <c r="H3709" s="177"/>
      <c r="I3709" s="177"/>
      <c r="J3709" s="179"/>
      <c r="K3709" s="183"/>
      <c r="L3709" s="176"/>
      <c r="M3709" s="177"/>
      <c r="N3709" s="21"/>
      <c r="O3709" s="45"/>
      <c r="P3709" s="24"/>
      <c r="Q3709" s="24"/>
      <c r="R3709" s="180"/>
      <c r="S3709" s="181"/>
      <c r="T3709" s="35"/>
      <c r="U3709" s="35"/>
      <c r="V3709" s="35"/>
      <c r="W3709" s="35"/>
      <c r="X3709" s="35"/>
      <c r="Y3709" s="182"/>
      <c r="Z3709" s="175"/>
      <c r="AA3709" s="182"/>
      <c r="AB3709" s="184"/>
    </row>
    <row r="3710" spans="1:28" ht="12.75">
      <c r="A3710" s="173"/>
      <c r="B3710" s="174"/>
      <c r="C3710" s="11"/>
      <c r="D3710" s="175"/>
      <c r="E3710" s="176"/>
      <c r="F3710" s="177"/>
      <c r="G3710" s="178"/>
      <c r="H3710" s="177"/>
      <c r="I3710" s="177"/>
      <c r="J3710" s="179"/>
      <c r="K3710" s="183"/>
      <c r="L3710" s="176"/>
      <c r="M3710" s="177"/>
      <c r="N3710" s="21"/>
      <c r="O3710" s="45"/>
      <c r="P3710" s="24"/>
      <c r="Q3710" s="24"/>
      <c r="R3710" s="180"/>
      <c r="S3710" s="181"/>
      <c r="T3710" s="35"/>
      <c r="U3710" s="35"/>
      <c r="V3710" s="35"/>
      <c r="W3710" s="35"/>
      <c r="X3710" s="35"/>
      <c r="Y3710" s="182"/>
      <c r="Z3710" s="175"/>
      <c r="AA3710" s="182"/>
      <c r="AB3710" s="184"/>
    </row>
    <row r="3711" spans="1:28" ht="12.75">
      <c r="A3711" s="173"/>
      <c r="B3711" s="174"/>
      <c r="C3711" s="11"/>
      <c r="D3711" s="175"/>
      <c r="E3711" s="176"/>
      <c r="F3711" s="177"/>
      <c r="G3711" s="178"/>
      <c r="H3711" s="177"/>
      <c r="I3711" s="177"/>
      <c r="J3711" s="179"/>
      <c r="K3711" s="183"/>
      <c r="L3711" s="176"/>
      <c r="M3711" s="177"/>
      <c r="N3711" s="21"/>
      <c r="O3711" s="45"/>
      <c r="P3711" s="24"/>
      <c r="Q3711" s="24"/>
      <c r="R3711" s="180"/>
      <c r="S3711" s="181"/>
      <c r="T3711" s="35"/>
      <c r="U3711" s="35"/>
      <c r="V3711" s="35"/>
      <c r="W3711" s="35"/>
      <c r="X3711" s="35"/>
      <c r="Y3711" s="182"/>
      <c r="Z3711" s="175"/>
      <c r="AA3711" s="182"/>
      <c r="AB3711" s="184"/>
    </row>
    <row r="3712" spans="1:28" ht="12.75">
      <c r="A3712" s="173"/>
      <c r="B3712" s="174"/>
      <c r="C3712" s="11"/>
      <c r="D3712" s="175"/>
      <c r="E3712" s="176"/>
      <c r="F3712" s="177"/>
      <c r="G3712" s="178"/>
      <c r="H3712" s="177"/>
      <c r="I3712" s="177"/>
      <c r="J3712" s="179"/>
      <c r="K3712" s="183"/>
      <c r="L3712" s="176"/>
      <c r="M3712" s="177"/>
      <c r="N3712" s="21"/>
      <c r="O3712" s="45"/>
      <c r="P3712" s="24"/>
      <c r="Q3712" s="24"/>
      <c r="R3712" s="180"/>
      <c r="S3712" s="181"/>
      <c r="T3712" s="35"/>
      <c r="U3712" s="35"/>
      <c r="V3712" s="35"/>
      <c r="W3712" s="35"/>
      <c r="X3712" s="35"/>
      <c r="Y3712" s="182"/>
      <c r="Z3712" s="175"/>
      <c r="AA3712" s="182"/>
      <c r="AB3712" s="184"/>
    </row>
    <row r="3713" spans="1:28" ht="12.75">
      <c r="A3713" s="173"/>
      <c r="B3713" s="174"/>
      <c r="C3713" s="11"/>
      <c r="D3713" s="175"/>
      <c r="E3713" s="176"/>
      <c r="F3713" s="177"/>
      <c r="G3713" s="178"/>
      <c r="H3713" s="177"/>
      <c r="I3713" s="177"/>
      <c r="J3713" s="179"/>
      <c r="K3713" s="183"/>
      <c r="L3713" s="176"/>
      <c r="M3713" s="177"/>
      <c r="N3713" s="21"/>
      <c r="O3713" s="45"/>
      <c r="P3713" s="24"/>
      <c r="Q3713" s="24"/>
      <c r="R3713" s="180"/>
      <c r="S3713" s="181"/>
      <c r="T3713" s="35"/>
      <c r="U3713" s="35"/>
      <c r="V3713" s="35"/>
      <c r="W3713" s="35"/>
      <c r="X3713" s="35"/>
      <c r="Y3713" s="182"/>
      <c r="Z3713" s="175"/>
      <c r="AA3713" s="182"/>
      <c r="AB3713" s="184"/>
    </row>
    <row r="3714" spans="1:28" ht="12.75">
      <c r="A3714" s="173"/>
      <c r="B3714" s="174"/>
      <c r="C3714" s="11"/>
      <c r="D3714" s="175"/>
      <c r="E3714" s="176"/>
      <c r="F3714" s="177"/>
      <c r="G3714" s="178"/>
      <c r="H3714" s="177"/>
      <c r="I3714" s="177"/>
      <c r="J3714" s="179"/>
      <c r="K3714" s="183"/>
      <c r="L3714" s="176"/>
      <c r="M3714" s="177"/>
      <c r="N3714" s="21"/>
      <c r="O3714" s="45"/>
      <c r="P3714" s="24"/>
      <c r="Q3714" s="24"/>
      <c r="R3714" s="180"/>
      <c r="S3714" s="181"/>
      <c r="T3714" s="35"/>
      <c r="U3714" s="35"/>
      <c r="V3714" s="35"/>
      <c r="W3714" s="35"/>
      <c r="X3714" s="35"/>
      <c r="Y3714" s="182"/>
      <c r="Z3714" s="175"/>
      <c r="AA3714" s="182"/>
      <c r="AB3714" s="184"/>
    </row>
    <row r="3715" spans="1:28" ht="12.75">
      <c r="A3715" s="173"/>
      <c r="B3715" s="174"/>
      <c r="C3715" s="11"/>
      <c r="D3715" s="175"/>
      <c r="E3715" s="176"/>
      <c r="F3715" s="177"/>
      <c r="G3715" s="178"/>
      <c r="H3715" s="177"/>
      <c r="I3715" s="177"/>
      <c r="J3715" s="179"/>
      <c r="K3715" s="183"/>
      <c r="L3715" s="176"/>
      <c r="M3715" s="177"/>
      <c r="N3715" s="21"/>
      <c r="O3715" s="45"/>
      <c r="P3715" s="24"/>
      <c r="Q3715" s="24"/>
      <c r="R3715" s="180"/>
      <c r="S3715" s="181"/>
      <c r="T3715" s="35"/>
      <c r="U3715" s="35"/>
      <c r="V3715" s="35"/>
      <c r="W3715" s="35"/>
      <c r="X3715" s="35"/>
      <c r="Y3715" s="182"/>
      <c r="Z3715" s="175"/>
      <c r="AA3715" s="182"/>
      <c r="AB3715" s="184"/>
    </row>
    <row r="3716" spans="1:28" ht="12.75">
      <c r="A3716" s="173"/>
      <c r="B3716" s="174"/>
      <c r="C3716" s="11"/>
      <c r="D3716" s="175"/>
      <c r="E3716" s="176"/>
      <c r="F3716" s="177"/>
      <c r="G3716" s="178"/>
      <c r="H3716" s="177"/>
      <c r="I3716" s="177"/>
      <c r="J3716" s="179"/>
      <c r="K3716" s="183"/>
      <c r="L3716" s="176"/>
      <c r="M3716" s="177"/>
      <c r="N3716" s="21"/>
      <c r="O3716" s="45"/>
      <c r="P3716" s="24"/>
      <c r="Q3716" s="24"/>
      <c r="R3716" s="180"/>
      <c r="S3716" s="181"/>
      <c r="T3716" s="35"/>
      <c r="U3716" s="35"/>
      <c r="V3716" s="35"/>
      <c r="W3716" s="35"/>
      <c r="X3716" s="35"/>
      <c r="Y3716" s="182"/>
      <c r="Z3716" s="175"/>
      <c r="AA3716" s="182"/>
      <c r="AB3716" s="184"/>
    </row>
    <row r="3717" spans="1:28" ht="12.75">
      <c r="A3717" s="173"/>
      <c r="B3717" s="174"/>
      <c r="C3717" s="11"/>
      <c r="D3717" s="175"/>
      <c r="E3717" s="176"/>
      <c r="F3717" s="177"/>
      <c r="G3717" s="178"/>
      <c r="H3717" s="177"/>
      <c r="I3717" s="177"/>
      <c r="J3717" s="179"/>
      <c r="K3717" s="183"/>
      <c r="L3717" s="176"/>
      <c r="M3717" s="177"/>
      <c r="N3717" s="21"/>
      <c r="O3717" s="45"/>
      <c r="P3717" s="24"/>
      <c r="Q3717" s="24"/>
      <c r="R3717" s="180"/>
      <c r="S3717" s="181"/>
      <c r="T3717" s="35"/>
      <c r="U3717" s="35"/>
      <c r="V3717" s="35"/>
      <c r="W3717" s="35"/>
      <c r="X3717" s="35"/>
      <c r="Y3717" s="182"/>
      <c r="Z3717" s="175"/>
      <c r="AA3717" s="182"/>
      <c r="AB3717" s="184"/>
    </row>
    <row r="3718" spans="1:28" ht="12.75">
      <c r="A3718" s="173"/>
      <c r="B3718" s="174"/>
      <c r="C3718" s="11"/>
      <c r="D3718" s="175"/>
      <c r="E3718" s="176"/>
      <c r="F3718" s="177"/>
      <c r="G3718" s="178"/>
      <c r="H3718" s="177"/>
      <c r="I3718" s="177"/>
      <c r="J3718" s="179"/>
      <c r="K3718" s="183"/>
      <c r="L3718" s="176"/>
      <c r="M3718" s="177"/>
      <c r="N3718" s="21"/>
      <c r="O3718" s="45"/>
      <c r="P3718" s="24"/>
      <c r="Q3718" s="24"/>
      <c r="R3718" s="180"/>
      <c r="S3718" s="181"/>
      <c r="T3718" s="35"/>
      <c r="U3718" s="35"/>
      <c r="V3718" s="35"/>
      <c r="W3718" s="35"/>
      <c r="X3718" s="35"/>
      <c r="Y3718" s="182"/>
      <c r="Z3718" s="175"/>
      <c r="AA3718" s="182"/>
      <c r="AB3718" s="184"/>
    </row>
    <row r="3719" spans="1:28" ht="12.75">
      <c r="A3719" s="173"/>
      <c r="B3719" s="174"/>
      <c r="C3719" s="11"/>
      <c r="D3719" s="175"/>
      <c r="E3719" s="176"/>
      <c r="F3719" s="177"/>
      <c r="G3719" s="178"/>
      <c r="H3719" s="177"/>
      <c r="I3719" s="177"/>
      <c r="J3719" s="179"/>
      <c r="K3719" s="183"/>
      <c r="L3719" s="176"/>
      <c r="M3719" s="177"/>
      <c r="N3719" s="21"/>
      <c r="O3719" s="45"/>
      <c r="P3719" s="24"/>
      <c r="Q3719" s="24"/>
      <c r="R3719" s="180"/>
      <c r="S3719" s="181"/>
      <c r="T3719" s="35"/>
      <c r="U3719" s="35"/>
      <c r="V3719" s="35"/>
      <c r="W3719" s="35"/>
      <c r="X3719" s="35"/>
      <c r="Y3719" s="182"/>
      <c r="Z3719" s="175"/>
      <c r="AA3719" s="182"/>
      <c r="AB3719" s="184"/>
    </row>
    <row r="3720" spans="1:28" ht="12.75">
      <c r="A3720" s="173"/>
      <c r="B3720" s="174"/>
      <c r="C3720" s="11"/>
      <c r="D3720" s="175"/>
      <c r="E3720" s="176"/>
      <c r="F3720" s="177"/>
      <c r="G3720" s="178"/>
      <c r="H3720" s="177"/>
      <c r="I3720" s="177"/>
      <c r="J3720" s="179"/>
      <c r="K3720" s="183"/>
      <c r="L3720" s="176"/>
      <c r="M3720" s="177"/>
      <c r="N3720" s="21"/>
      <c r="O3720" s="45"/>
      <c r="P3720" s="24"/>
      <c r="Q3720" s="24"/>
      <c r="R3720" s="180"/>
      <c r="S3720" s="181"/>
      <c r="T3720" s="35"/>
      <c r="U3720" s="35"/>
      <c r="V3720" s="35"/>
      <c r="W3720" s="35"/>
      <c r="X3720" s="35"/>
      <c r="Y3720" s="182"/>
      <c r="Z3720" s="175"/>
      <c r="AA3720" s="182"/>
      <c r="AB3720" s="184"/>
    </row>
    <row r="3721" spans="1:28" ht="12.75">
      <c r="A3721" s="173"/>
      <c r="B3721" s="174"/>
      <c r="C3721" s="11"/>
      <c r="D3721" s="175"/>
      <c r="E3721" s="176"/>
      <c r="F3721" s="177"/>
      <c r="G3721" s="178"/>
      <c r="H3721" s="177"/>
      <c r="I3721" s="177"/>
      <c r="J3721" s="179"/>
      <c r="K3721" s="183"/>
      <c r="L3721" s="176"/>
      <c r="M3721" s="177"/>
      <c r="N3721" s="21"/>
      <c r="O3721" s="45"/>
      <c r="P3721" s="24"/>
      <c r="Q3721" s="24"/>
      <c r="R3721" s="180"/>
      <c r="S3721" s="181"/>
      <c r="T3721" s="35"/>
      <c r="U3721" s="35"/>
      <c r="V3721" s="35"/>
      <c r="W3721" s="35"/>
      <c r="X3721" s="35"/>
      <c r="Y3721" s="182"/>
      <c r="Z3721" s="175"/>
      <c r="AA3721" s="182"/>
      <c r="AB3721" s="184"/>
    </row>
    <row r="3722" spans="1:28" ht="12.75">
      <c r="A3722" s="173"/>
      <c r="B3722" s="174"/>
      <c r="C3722" s="11"/>
      <c r="D3722" s="175"/>
      <c r="E3722" s="176"/>
      <c r="F3722" s="177"/>
      <c r="G3722" s="178"/>
      <c r="H3722" s="177"/>
      <c r="I3722" s="177"/>
      <c r="J3722" s="179"/>
      <c r="K3722" s="183"/>
      <c r="L3722" s="176"/>
      <c r="M3722" s="177"/>
      <c r="N3722" s="21"/>
      <c r="O3722" s="45"/>
      <c r="P3722" s="24"/>
      <c r="Q3722" s="24"/>
      <c r="R3722" s="180"/>
      <c r="S3722" s="181"/>
      <c r="T3722" s="35"/>
      <c r="U3722" s="35"/>
      <c r="V3722" s="35"/>
      <c r="W3722" s="35"/>
      <c r="X3722" s="35"/>
      <c r="Y3722" s="182"/>
      <c r="Z3722" s="175"/>
      <c r="AA3722" s="182"/>
      <c r="AB3722" s="184"/>
    </row>
    <row r="3723" spans="1:28" ht="12.75">
      <c r="A3723" s="173"/>
      <c r="B3723" s="174"/>
      <c r="C3723" s="11"/>
      <c r="D3723" s="175"/>
      <c r="E3723" s="176"/>
      <c r="F3723" s="177"/>
      <c r="G3723" s="178"/>
      <c r="H3723" s="177"/>
      <c r="I3723" s="177"/>
      <c r="J3723" s="179"/>
      <c r="K3723" s="183"/>
      <c r="L3723" s="176"/>
      <c r="M3723" s="177"/>
      <c r="N3723" s="21"/>
      <c r="O3723" s="45"/>
      <c r="P3723" s="24"/>
      <c r="Q3723" s="24"/>
      <c r="R3723" s="180"/>
      <c r="S3723" s="181"/>
      <c r="T3723" s="35"/>
      <c r="U3723" s="35"/>
      <c r="V3723" s="35"/>
      <c r="W3723" s="35"/>
      <c r="X3723" s="35"/>
      <c r="Y3723" s="182"/>
      <c r="Z3723" s="175"/>
      <c r="AA3723" s="182"/>
      <c r="AB3723" s="184"/>
    </row>
    <row r="3724" spans="1:28" ht="12.75">
      <c r="A3724" s="173"/>
      <c r="B3724" s="174"/>
      <c r="C3724" s="11"/>
      <c r="D3724" s="175"/>
      <c r="E3724" s="176"/>
      <c r="F3724" s="177"/>
      <c r="G3724" s="178"/>
      <c r="H3724" s="177"/>
      <c r="I3724" s="177"/>
      <c r="J3724" s="179"/>
      <c r="K3724" s="183"/>
      <c r="L3724" s="176"/>
      <c r="M3724" s="177"/>
      <c r="N3724" s="21"/>
      <c r="O3724" s="45"/>
      <c r="P3724" s="24"/>
      <c r="Q3724" s="24"/>
      <c r="R3724" s="180"/>
      <c r="S3724" s="181"/>
      <c r="T3724" s="35"/>
      <c r="U3724" s="35"/>
      <c r="V3724" s="35"/>
      <c r="W3724" s="35"/>
      <c r="X3724" s="35"/>
      <c r="Y3724" s="182"/>
      <c r="Z3724" s="175"/>
      <c r="AA3724" s="182"/>
      <c r="AB3724" s="184"/>
    </row>
    <row r="3725" spans="1:28" ht="12.75">
      <c r="A3725" s="173"/>
      <c r="B3725" s="174"/>
      <c r="C3725" s="11"/>
      <c r="D3725" s="175"/>
      <c r="E3725" s="176"/>
      <c r="F3725" s="177"/>
      <c r="G3725" s="178"/>
      <c r="H3725" s="177"/>
      <c r="I3725" s="177"/>
      <c r="J3725" s="179"/>
      <c r="K3725" s="183"/>
      <c r="L3725" s="176"/>
      <c r="M3725" s="177"/>
      <c r="N3725" s="21"/>
      <c r="O3725" s="45"/>
      <c r="P3725" s="24"/>
      <c r="Q3725" s="24"/>
      <c r="R3725" s="180"/>
      <c r="S3725" s="181"/>
      <c r="T3725" s="35"/>
      <c r="U3725" s="35"/>
      <c r="V3725" s="35"/>
      <c r="W3725" s="35"/>
      <c r="X3725" s="35"/>
      <c r="Y3725" s="182"/>
      <c r="Z3725" s="175"/>
      <c r="AA3725" s="182"/>
      <c r="AB3725" s="184"/>
    </row>
    <row r="3726" spans="1:28" ht="12.75">
      <c r="A3726" s="173"/>
      <c r="B3726" s="174"/>
      <c r="C3726" s="11"/>
      <c r="D3726" s="175"/>
      <c r="E3726" s="176"/>
      <c r="F3726" s="177"/>
      <c r="G3726" s="178"/>
      <c r="H3726" s="177"/>
      <c r="I3726" s="177"/>
      <c r="J3726" s="179"/>
      <c r="K3726" s="183"/>
      <c r="L3726" s="176"/>
      <c r="M3726" s="177"/>
      <c r="N3726" s="21"/>
      <c r="O3726" s="45"/>
      <c r="P3726" s="24"/>
      <c r="Q3726" s="24"/>
      <c r="R3726" s="180"/>
      <c r="S3726" s="181"/>
      <c r="T3726" s="35"/>
      <c r="U3726" s="35"/>
      <c r="V3726" s="35"/>
      <c r="W3726" s="35"/>
      <c r="X3726" s="35"/>
      <c r="Y3726" s="182"/>
      <c r="Z3726" s="175"/>
      <c r="AA3726" s="182"/>
      <c r="AB3726" s="184"/>
    </row>
    <row r="3727" spans="1:28" ht="12.75">
      <c r="A3727" s="173"/>
      <c r="B3727" s="174"/>
      <c r="C3727" s="11"/>
      <c r="D3727" s="175"/>
      <c r="E3727" s="176"/>
      <c r="F3727" s="177"/>
      <c r="G3727" s="178"/>
      <c r="H3727" s="177"/>
      <c r="I3727" s="177"/>
      <c r="J3727" s="179"/>
      <c r="K3727" s="183"/>
      <c r="L3727" s="176"/>
      <c r="M3727" s="177"/>
      <c r="N3727" s="21"/>
      <c r="O3727" s="45"/>
      <c r="P3727" s="24"/>
      <c r="Q3727" s="24"/>
      <c r="R3727" s="180"/>
      <c r="S3727" s="181"/>
      <c r="T3727" s="35"/>
      <c r="U3727" s="35"/>
      <c r="V3727" s="35"/>
      <c r="W3727" s="35"/>
      <c r="X3727" s="35"/>
      <c r="Y3727" s="182"/>
      <c r="Z3727" s="175"/>
      <c r="AA3727" s="182"/>
      <c r="AB3727" s="184"/>
    </row>
    <row r="3728" spans="1:28" ht="12.75">
      <c r="A3728" s="173"/>
      <c r="B3728" s="174"/>
      <c r="C3728" s="11"/>
      <c r="D3728" s="175"/>
      <c r="E3728" s="176"/>
      <c r="F3728" s="177"/>
      <c r="G3728" s="178"/>
      <c r="H3728" s="177"/>
      <c r="I3728" s="177"/>
      <c r="J3728" s="179"/>
      <c r="K3728" s="183"/>
      <c r="L3728" s="176"/>
      <c r="M3728" s="177"/>
      <c r="N3728" s="21"/>
      <c r="O3728" s="45"/>
      <c r="P3728" s="24"/>
      <c r="Q3728" s="24"/>
      <c r="R3728" s="180"/>
      <c r="S3728" s="181"/>
      <c r="T3728" s="35"/>
      <c r="U3728" s="35"/>
      <c r="V3728" s="35"/>
      <c r="W3728" s="35"/>
      <c r="X3728" s="35"/>
      <c r="Y3728" s="182"/>
      <c r="Z3728" s="175"/>
      <c r="AA3728" s="182"/>
      <c r="AB3728" s="184"/>
    </row>
    <row r="3729" spans="1:28" ht="12.75">
      <c r="A3729" s="173"/>
      <c r="B3729" s="174"/>
      <c r="C3729" s="11"/>
      <c r="D3729" s="175"/>
      <c r="E3729" s="176"/>
      <c r="F3729" s="177"/>
      <c r="G3729" s="178"/>
      <c r="H3729" s="177"/>
      <c r="I3729" s="177"/>
      <c r="J3729" s="179"/>
      <c r="K3729" s="183"/>
      <c r="L3729" s="176"/>
      <c r="M3729" s="177"/>
      <c r="N3729" s="21"/>
      <c r="O3729" s="45"/>
      <c r="P3729" s="24"/>
      <c r="Q3729" s="24"/>
      <c r="R3729" s="180"/>
      <c r="S3729" s="181"/>
      <c r="T3729" s="35"/>
      <c r="U3729" s="35"/>
      <c r="V3729" s="35"/>
      <c r="W3729" s="35"/>
      <c r="X3729" s="35"/>
      <c r="Y3729" s="182"/>
      <c r="Z3729" s="175"/>
      <c r="AA3729" s="182"/>
      <c r="AB3729" s="184"/>
    </row>
    <row r="3730" spans="1:28" ht="12.75">
      <c r="A3730" s="173"/>
      <c r="B3730" s="174"/>
      <c r="C3730" s="11"/>
      <c r="D3730" s="175"/>
      <c r="E3730" s="176"/>
      <c r="F3730" s="177"/>
      <c r="G3730" s="178"/>
      <c r="H3730" s="177"/>
      <c r="I3730" s="177"/>
      <c r="J3730" s="179"/>
      <c r="K3730" s="183"/>
      <c r="L3730" s="176"/>
      <c r="M3730" s="177"/>
      <c r="N3730" s="21"/>
      <c r="O3730" s="45"/>
      <c r="P3730" s="24"/>
      <c r="Q3730" s="24"/>
      <c r="R3730" s="180"/>
      <c r="S3730" s="181"/>
      <c r="T3730" s="35"/>
      <c r="U3730" s="35"/>
      <c r="V3730" s="35"/>
      <c r="W3730" s="35"/>
      <c r="X3730" s="35"/>
      <c r="Y3730" s="182"/>
      <c r="Z3730" s="175"/>
      <c r="AA3730" s="182"/>
      <c r="AB3730" s="184"/>
    </row>
    <row r="3731" spans="1:28" ht="12.75">
      <c r="A3731" s="173"/>
      <c r="B3731" s="174"/>
      <c r="C3731" s="11"/>
      <c r="D3731" s="175"/>
      <c r="E3731" s="176"/>
      <c r="F3731" s="177"/>
      <c r="G3731" s="178"/>
      <c r="H3731" s="177"/>
      <c r="I3731" s="177"/>
      <c r="J3731" s="179"/>
      <c r="K3731" s="183"/>
      <c r="L3731" s="176"/>
      <c r="M3731" s="177"/>
      <c r="N3731" s="21"/>
      <c r="O3731" s="45"/>
      <c r="P3731" s="24"/>
      <c r="Q3731" s="24"/>
      <c r="R3731" s="180"/>
      <c r="S3731" s="181"/>
      <c r="T3731" s="35"/>
      <c r="U3731" s="35"/>
      <c r="V3731" s="35"/>
      <c r="W3731" s="35"/>
      <c r="X3731" s="35"/>
      <c r="Y3731" s="182"/>
      <c r="Z3731" s="175"/>
      <c r="AA3731" s="182"/>
      <c r="AB3731" s="184"/>
    </row>
    <row r="3732" spans="1:28" ht="12.75">
      <c r="A3732" s="173"/>
      <c r="B3732" s="174"/>
      <c r="C3732" s="11"/>
      <c r="D3732" s="175"/>
      <c r="E3732" s="176"/>
      <c r="F3732" s="177"/>
      <c r="G3732" s="178"/>
      <c r="H3732" s="177"/>
      <c r="I3732" s="177"/>
      <c r="J3732" s="179"/>
      <c r="K3732" s="183"/>
      <c r="L3732" s="176"/>
      <c r="M3732" s="177"/>
      <c r="N3732" s="21"/>
      <c r="O3732" s="45"/>
      <c r="P3732" s="24"/>
      <c r="Q3732" s="24"/>
      <c r="R3732" s="180"/>
      <c r="S3732" s="181"/>
      <c r="T3732" s="35"/>
      <c r="U3732" s="35"/>
      <c r="V3732" s="35"/>
      <c r="W3732" s="35"/>
      <c r="X3732" s="35"/>
      <c r="Y3732" s="182"/>
      <c r="Z3732" s="175"/>
      <c r="AA3732" s="182"/>
      <c r="AB3732" s="184"/>
    </row>
    <row r="3733" spans="1:28" ht="12.75">
      <c r="A3733" s="173"/>
      <c r="B3733" s="174"/>
      <c r="C3733" s="11"/>
      <c r="D3733" s="175"/>
      <c r="E3733" s="176"/>
      <c r="F3733" s="177"/>
      <c r="G3733" s="178"/>
      <c r="H3733" s="177"/>
      <c r="I3733" s="177"/>
      <c r="J3733" s="179"/>
      <c r="K3733" s="183"/>
      <c r="L3733" s="176"/>
      <c r="M3733" s="177"/>
      <c r="N3733" s="21"/>
      <c r="O3733" s="45"/>
      <c r="P3733" s="24"/>
      <c r="Q3733" s="24"/>
      <c r="R3733" s="180"/>
      <c r="S3733" s="181"/>
      <c r="T3733" s="35"/>
      <c r="U3733" s="35"/>
      <c r="V3733" s="35"/>
      <c r="W3733" s="35"/>
      <c r="X3733" s="35"/>
      <c r="Y3733" s="182"/>
      <c r="Z3733" s="175"/>
      <c r="AA3733" s="182"/>
      <c r="AB3733" s="184"/>
    </row>
    <row r="3734" spans="1:28" ht="12.75">
      <c r="A3734" s="173"/>
      <c r="B3734" s="174"/>
      <c r="C3734" s="11"/>
      <c r="D3734" s="175"/>
      <c r="E3734" s="176"/>
      <c r="F3734" s="177"/>
      <c r="G3734" s="178"/>
      <c r="H3734" s="177"/>
      <c r="I3734" s="177"/>
      <c r="J3734" s="179"/>
      <c r="K3734" s="183"/>
      <c r="L3734" s="176"/>
      <c r="M3734" s="177"/>
      <c r="N3734" s="21"/>
      <c r="O3734" s="45"/>
      <c r="P3734" s="24"/>
      <c r="Q3734" s="24"/>
      <c r="R3734" s="180"/>
      <c r="S3734" s="181"/>
      <c r="T3734" s="35"/>
      <c r="U3734" s="35"/>
      <c r="V3734" s="35"/>
      <c r="W3734" s="35"/>
      <c r="X3734" s="35"/>
      <c r="Y3734" s="182"/>
      <c r="Z3734" s="175"/>
      <c r="AA3734" s="182"/>
      <c r="AB3734" s="184"/>
    </row>
    <row r="3735" spans="1:28" ht="12.75">
      <c r="A3735" s="173"/>
      <c r="B3735" s="174"/>
      <c r="C3735" s="11"/>
      <c r="D3735" s="175"/>
      <c r="E3735" s="176"/>
      <c r="F3735" s="177"/>
      <c r="G3735" s="178"/>
      <c r="H3735" s="177"/>
      <c r="I3735" s="177"/>
      <c r="J3735" s="179"/>
      <c r="K3735" s="183"/>
      <c r="L3735" s="176"/>
      <c r="M3735" s="177"/>
      <c r="N3735" s="21"/>
      <c r="O3735" s="45"/>
      <c r="P3735" s="24"/>
      <c r="Q3735" s="24"/>
      <c r="R3735" s="180"/>
      <c r="S3735" s="181"/>
      <c r="T3735" s="35"/>
      <c r="U3735" s="35"/>
      <c r="V3735" s="35"/>
      <c r="W3735" s="35"/>
      <c r="X3735" s="35"/>
      <c r="Y3735" s="182"/>
      <c r="Z3735" s="175"/>
      <c r="AA3735" s="182"/>
      <c r="AB3735" s="184"/>
    </row>
    <row r="3736" spans="1:28" ht="12.75">
      <c r="A3736" s="173"/>
      <c r="B3736" s="174"/>
      <c r="C3736" s="11"/>
      <c r="D3736" s="175"/>
      <c r="E3736" s="176"/>
      <c r="F3736" s="177"/>
      <c r="G3736" s="178"/>
      <c r="H3736" s="177"/>
      <c r="I3736" s="177"/>
      <c r="J3736" s="179"/>
      <c r="K3736" s="183"/>
      <c r="L3736" s="176"/>
      <c r="M3736" s="177"/>
      <c r="N3736" s="21"/>
      <c r="O3736" s="45"/>
      <c r="P3736" s="24"/>
      <c r="Q3736" s="24"/>
      <c r="R3736" s="180"/>
      <c r="S3736" s="181"/>
      <c r="T3736" s="35"/>
      <c r="U3736" s="35"/>
      <c r="V3736" s="35"/>
      <c r="W3736" s="35"/>
      <c r="X3736" s="35"/>
      <c r="Y3736" s="182"/>
      <c r="Z3736" s="175"/>
      <c r="AA3736" s="182"/>
      <c r="AB3736" s="184"/>
    </row>
    <row r="3737" spans="1:28" ht="12.75">
      <c r="A3737" s="173"/>
      <c r="B3737" s="174"/>
      <c r="C3737" s="11"/>
      <c r="D3737" s="175"/>
      <c r="E3737" s="176"/>
      <c r="F3737" s="177"/>
      <c r="G3737" s="178"/>
      <c r="H3737" s="177"/>
      <c r="I3737" s="177"/>
      <c r="J3737" s="179"/>
      <c r="K3737" s="183"/>
      <c r="L3737" s="176"/>
      <c r="M3737" s="177"/>
      <c r="N3737" s="21"/>
      <c r="O3737" s="45"/>
      <c r="P3737" s="24"/>
      <c r="Q3737" s="24"/>
      <c r="R3737" s="180"/>
      <c r="S3737" s="181"/>
      <c r="T3737" s="35"/>
      <c r="U3737" s="35"/>
      <c r="V3737" s="35"/>
      <c r="W3737" s="35"/>
      <c r="X3737" s="35"/>
      <c r="Y3737" s="182"/>
      <c r="Z3737" s="175"/>
      <c r="AA3737" s="182"/>
      <c r="AB3737" s="184"/>
    </row>
    <row r="3738" spans="1:28" ht="12.75">
      <c r="A3738" s="173"/>
      <c r="B3738" s="174"/>
      <c r="C3738" s="11"/>
      <c r="D3738" s="175"/>
      <c r="E3738" s="176"/>
      <c r="F3738" s="177"/>
      <c r="G3738" s="178"/>
      <c r="H3738" s="177"/>
      <c r="I3738" s="177"/>
      <c r="J3738" s="179"/>
      <c r="K3738" s="183"/>
      <c r="L3738" s="176"/>
      <c r="M3738" s="177"/>
      <c r="N3738" s="21"/>
      <c r="O3738" s="45"/>
      <c r="P3738" s="24"/>
      <c r="Q3738" s="24"/>
      <c r="R3738" s="180"/>
      <c r="S3738" s="181"/>
      <c r="T3738" s="35"/>
      <c r="U3738" s="35"/>
      <c r="V3738" s="35"/>
      <c r="W3738" s="35"/>
      <c r="X3738" s="35"/>
      <c r="Y3738" s="182"/>
      <c r="Z3738" s="175"/>
      <c r="AA3738" s="182"/>
      <c r="AB3738" s="184"/>
    </row>
    <row r="3739" spans="1:28" ht="12.75">
      <c r="A3739" s="173"/>
      <c r="B3739" s="174"/>
      <c r="C3739" s="11"/>
      <c r="D3739" s="175"/>
      <c r="E3739" s="176"/>
      <c r="F3739" s="177"/>
      <c r="G3739" s="178"/>
      <c r="H3739" s="177"/>
      <c r="I3739" s="177"/>
      <c r="J3739" s="179"/>
      <c r="K3739" s="183"/>
      <c r="L3739" s="176"/>
      <c r="M3739" s="177"/>
      <c r="N3739" s="21"/>
      <c r="O3739" s="45"/>
      <c r="P3739" s="24"/>
      <c r="Q3739" s="24"/>
      <c r="R3739" s="180"/>
      <c r="S3739" s="181"/>
      <c r="T3739" s="35"/>
      <c r="U3739" s="35"/>
      <c r="V3739" s="35"/>
      <c r="W3739" s="35"/>
      <c r="X3739" s="35"/>
      <c r="Y3739" s="182"/>
      <c r="Z3739" s="175"/>
      <c r="AA3739" s="182"/>
      <c r="AB3739" s="184"/>
    </row>
    <row r="3740" spans="1:28" ht="12.75">
      <c r="A3740" s="173"/>
      <c r="B3740" s="174"/>
      <c r="C3740" s="11"/>
      <c r="D3740" s="175"/>
      <c r="E3740" s="176"/>
      <c r="F3740" s="177"/>
      <c r="G3740" s="178"/>
      <c r="H3740" s="177"/>
      <c r="I3740" s="177"/>
      <c r="J3740" s="179"/>
      <c r="K3740" s="183"/>
      <c r="L3740" s="176"/>
      <c r="M3740" s="177"/>
      <c r="N3740" s="21"/>
      <c r="O3740" s="45"/>
      <c r="P3740" s="24"/>
      <c r="Q3740" s="24"/>
      <c r="R3740" s="180"/>
      <c r="S3740" s="181"/>
      <c r="T3740" s="35"/>
      <c r="U3740" s="35"/>
      <c r="V3740" s="35"/>
      <c r="W3740" s="35"/>
      <c r="X3740" s="35"/>
      <c r="Y3740" s="182"/>
      <c r="Z3740" s="175"/>
      <c r="AA3740" s="182"/>
      <c r="AB3740" s="184"/>
    </row>
    <row r="3741" spans="1:28" ht="12.75">
      <c r="A3741" s="173"/>
      <c r="B3741" s="174"/>
      <c r="C3741" s="11"/>
      <c r="D3741" s="175"/>
      <c r="E3741" s="176"/>
      <c r="F3741" s="177"/>
      <c r="G3741" s="178"/>
      <c r="H3741" s="177"/>
      <c r="I3741" s="177"/>
      <c r="J3741" s="179"/>
      <c r="K3741" s="183"/>
      <c r="L3741" s="176"/>
      <c r="M3741" s="177"/>
      <c r="N3741" s="21"/>
      <c r="O3741" s="45"/>
      <c r="P3741" s="24"/>
      <c r="Q3741" s="24"/>
      <c r="R3741" s="180"/>
      <c r="S3741" s="181"/>
      <c r="T3741" s="35"/>
      <c r="U3741" s="35"/>
      <c r="V3741" s="35"/>
      <c r="W3741" s="35"/>
      <c r="X3741" s="35"/>
      <c r="Y3741" s="182"/>
      <c r="Z3741" s="175"/>
      <c r="AA3741" s="182"/>
      <c r="AB3741" s="184"/>
    </row>
    <row r="3742" spans="1:28" ht="12.75">
      <c r="A3742" s="173"/>
      <c r="B3742" s="174"/>
      <c r="C3742" s="11"/>
      <c r="D3742" s="175"/>
      <c r="E3742" s="176"/>
      <c r="F3742" s="177"/>
      <c r="G3742" s="178"/>
      <c r="H3742" s="177"/>
      <c r="I3742" s="177"/>
      <c r="J3742" s="179"/>
      <c r="K3742" s="183"/>
      <c r="L3742" s="176"/>
      <c r="M3742" s="177"/>
      <c r="N3742" s="21"/>
      <c r="O3742" s="45"/>
      <c r="P3742" s="24"/>
      <c r="Q3742" s="24"/>
      <c r="R3742" s="180"/>
      <c r="S3742" s="181"/>
      <c r="T3742" s="35"/>
      <c r="U3742" s="35"/>
      <c r="V3742" s="35"/>
      <c r="W3742" s="35"/>
      <c r="X3742" s="35"/>
      <c r="Y3742" s="182"/>
      <c r="Z3742" s="175"/>
      <c r="AA3742" s="182"/>
      <c r="AB3742" s="184"/>
    </row>
    <row r="3743" spans="1:28" ht="12.75">
      <c r="A3743" s="173"/>
      <c r="B3743" s="174"/>
      <c r="C3743" s="11"/>
      <c r="D3743" s="175"/>
      <c r="E3743" s="176"/>
      <c r="F3743" s="177"/>
      <c r="G3743" s="178"/>
      <c r="H3743" s="177"/>
      <c r="I3743" s="177"/>
      <c r="J3743" s="179"/>
      <c r="K3743" s="183"/>
      <c r="L3743" s="176"/>
      <c r="M3743" s="177"/>
      <c r="N3743" s="21"/>
      <c r="O3743" s="45"/>
      <c r="P3743" s="24"/>
      <c r="Q3743" s="24"/>
      <c r="R3743" s="180"/>
      <c r="S3743" s="181"/>
      <c r="T3743" s="35"/>
      <c r="U3743" s="35"/>
      <c r="V3743" s="35"/>
      <c r="W3743" s="35"/>
      <c r="X3743" s="35"/>
      <c r="Y3743" s="182"/>
      <c r="Z3743" s="175"/>
      <c r="AA3743" s="182"/>
      <c r="AB3743" s="184"/>
    </row>
    <row r="3744" spans="1:28" ht="12.75">
      <c r="A3744" s="173"/>
      <c r="B3744" s="174"/>
      <c r="C3744" s="11"/>
      <c r="D3744" s="175"/>
      <c r="E3744" s="176"/>
      <c r="F3744" s="177"/>
      <c r="G3744" s="178"/>
      <c r="H3744" s="177"/>
      <c r="I3744" s="177"/>
      <c r="J3744" s="179"/>
      <c r="K3744" s="183"/>
      <c r="L3744" s="176"/>
      <c r="M3744" s="177"/>
      <c r="N3744" s="21"/>
      <c r="O3744" s="45"/>
      <c r="P3744" s="24"/>
      <c r="Q3744" s="24"/>
      <c r="R3744" s="180"/>
      <c r="S3744" s="181"/>
      <c r="T3744" s="35"/>
      <c r="U3744" s="35"/>
      <c r="V3744" s="35"/>
      <c r="W3744" s="35"/>
      <c r="X3744" s="35"/>
      <c r="Y3744" s="182"/>
      <c r="Z3744" s="175"/>
      <c r="AA3744" s="182"/>
      <c r="AB3744" s="184"/>
    </row>
    <row r="3745" spans="1:28" ht="12.75">
      <c r="A3745" s="173"/>
      <c r="B3745" s="174"/>
      <c r="C3745" s="11"/>
      <c r="D3745" s="175"/>
      <c r="E3745" s="176"/>
      <c r="F3745" s="177"/>
      <c r="G3745" s="178"/>
      <c r="H3745" s="177"/>
      <c r="I3745" s="177"/>
      <c r="J3745" s="179"/>
      <c r="K3745" s="183"/>
      <c r="L3745" s="176"/>
      <c r="M3745" s="177"/>
      <c r="N3745" s="21"/>
      <c r="O3745" s="45"/>
      <c r="P3745" s="24"/>
      <c r="Q3745" s="24"/>
      <c r="R3745" s="180"/>
      <c r="S3745" s="181"/>
      <c r="T3745" s="35"/>
      <c r="U3745" s="35"/>
      <c r="V3745" s="35"/>
      <c r="W3745" s="35"/>
      <c r="X3745" s="35"/>
      <c r="Y3745" s="182"/>
      <c r="Z3745" s="175"/>
      <c r="AA3745" s="182"/>
      <c r="AB3745" s="184"/>
    </row>
    <row r="3746" spans="1:28" ht="12.75">
      <c r="A3746" s="173"/>
      <c r="B3746" s="174"/>
      <c r="C3746" s="11"/>
      <c r="D3746" s="175"/>
      <c r="E3746" s="176"/>
      <c r="F3746" s="177"/>
      <c r="G3746" s="178"/>
      <c r="H3746" s="177"/>
      <c r="I3746" s="177"/>
      <c r="J3746" s="179"/>
      <c r="K3746" s="183"/>
      <c r="L3746" s="176"/>
      <c r="M3746" s="177"/>
      <c r="N3746" s="21"/>
      <c r="O3746" s="45"/>
      <c r="P3746" s="24"/>
      <c r="Q3746" s="24"/>
      <c r="R3746" s="180"/>
      <c r="S3746" s="181"/>
      <c r="T3746" s="35"/>
      <c r="U3746" s="35"/>
      <c r="V3746" s="35"/>
      <c r="W3746" s="35"/>
      <c r="X3746" s="35"/>
      <c r="Y3746" s="182"/>
      <c r="Z3746" s="175"/>
      <c r="AA3746" s="182"/>
      <c r="AB3746" s="184"/>
    </row>
    <row r="3747" spans="1:28" ht="12.75">
      <c r="A3747" s="173"/>
      <c r="B3747" s="174"/>
      <c r="C3747" s="11"/>
      <c r="D3747" s="175"/>
      <c r="E3747" s="176"/>
      <c r="F3747" s="177"/>
      <c r="G3747" s="178"/>
      <c r="H3747" s="177"/>
      <c r="I3747" s="177"/>
      <c r="J3747" s="179"/>
      <c r="K3747" s="183"/>
      <c r="L3747" s="176"/>
      <c r="M3747" s="177"/>
      <c r="N3747" s="21"/>
      <c r="O3747" s="45"/>
      <c r="P3747" s="24"/>
      <c r="Q3747" s="24"/>
      <c r="R3747" s="180"/>
      <c r="S3747" s="181"/>
      <c r="T3747" s="35"/>
      <c r="U3747" s="35"/>
      <c r="V3747" s="35"/>
      <c r="W3747" s="35"/>
      <c r="X3747" s="35"/>
      <c r="Y3747" s="182"/>
      <c r="Z3747" s="175"/>
      <c r="AA3747" s="182"/>
      <c r="AB3747" s="184"/>
    </row>
    <row r="3748" spans="1:28" ht="12.75">
      <c r="A3748" s="173"/>
      <c r="B3748" s="174"/>
      <c r="C3748" s="11"/>
      <c r="D3748" s="175"/>
      <c r="E3748" s="176"/>
      <c r="F3748" s="177"/>
      <c r="G3748" s="178"/>
      <c r="H3748" s="177"/>
      <c r="I3748" s="177"/>
      <c r="J3748" s="179"/>
      <c r="K3748" s="183"/>
      <c r="L3748" s="176"/>
      <c r="M3748" s="177"/>
      <c r="N3748" s="21"/>
      <c r="O3748" s="45"/>
      <c r="P3748" s="24"/>
      <c r="Q3748" s="24"/>
      <c r="R3748" s="180"/>
      <c r="S3748" s="181"/>
      <c r="T3748" s="35"/>
      <c r="U3748" s="35"/>
      <c r="V3748" s="35"/>
      <c r="W3748" s="35"/>
      <c r="X3748" s="35"/>
      <c r="Y3748" s="182"/>
      <c r="Z3748" s="175"/>
      <c r="AA3748" s="182"/>
      <c r="AB3748" s="184"/>
    </row>
    <row r="3749" spans="1:28" ht="12.75">
      <c r="A3749" s="173"/>
      <c r="B3749" s="174"/>
      <c r="C3749" s="11"/>
      <c r="D3749" s="175"/>
      <c r="E3749" s="176"/>
      <c r="F3749" s="177"/>
      <c r="G3749" s="178"/>
      <c r="H3749" s="177"/>
      <c r="I3749" s="177"/>
      <c r="J3749" s="179"/>
      <c r="K3749" s="183"/>
      <c r="L3749" s="176"/>
      <c r="M3749" s="177"/>
      <c r="N3749" s="21"/>
      <c r="O3749" s="45"/>
      <c r="P3749" s="24"/>
      <c r="Q3749" s="24"/>
      <c r="R3749" s="180"/>
      <c r="S3749" s="181"/>
      <c r="T3749" s="35"/>
      <c r="U3749" s="35"/>
      <c r="V3749" s="35"/>
      <c r="W3749" s="35"/>
      <c r="X3749" s="35"/>
      <c r="Y3749" s="182"/>
      <c r="Z3749" s="175"/>
      <c r="AA3749" s="182"/>
      <c r="AB3749" s="184"/>
    </row>
    <row r="3750" spans="1:28" ht="12.75">
      <c r="A3750" s="173"/>
      <c r="B3750" s="174"/>
      <c r="C3750" s="11"/>
      <c r="D3750" s="175"/>
      <c r="E3750" s="176"/>
      <c r="F3750" s="177"/>
      <c r="G3750" s="178"/>
      <c r="H3750" s="177"/>
      <c r="I3750" s="177"/>
      <c r="J3750" s="179"/>
      <c r="K3750" s="183"/>
      <c r="L3750" s="176"/>
      <c r="M3750" s="177"/>
      <c r="N3750" s="21"/>
      <c r="O3750" s="45"/>
      <c r="P3750" s="24"/>
      <c r="Q3750" s="24"/>
      <c r="R3750" s="180"/>
      <c r="S3750" s="181"/>
      <c r="T3750" s="35"/>
      <c r="U3750" s="35"/>
      <c r="V3750" s="35"/>
      <c r="W3750" s="35"/>
      <c r="X3750" s="35"/>
      <c r="Y3750" s="182"/>
      <c r="Z3750" s="175"/>
      <c r="AA3750" s="182"/>
      <c r="AB3750" s="184"/>
    </row>
    <row r="3751" spans="1:28" ht="12.75">
      <c r="A3751" s="173"/>
      <c r="B3751" s="174"/>
      <c r="C3751" s="11"/>
      <c r="D3751" s="175"/>
      <c r="E3751" s="176"/>
      <c r="F3751" s="177"/>
      <c r="G3751" s="178"/>
      <c r="H3751" s="177"/>
      <c r="I3751" s="177"/>
      <c r="J3751" s="179"/>
      <c r="K3751" s="183"/>
      <c r="L3751" s="176"/>
      <c r="M3751" s="177"/>
      <c r="N3751" s="21"/>
      <c r="O3751" s="45"/>
      <c r="P3751" s="24"/>
      <c r="Q3751" s="24"/>
      <c r="R3751" s="180"/>
      <c r="S3751" s="181"/>
      <c r="T3751" s="35"/>
      <c r="U3751" s="35"/>
      <c r="V3751" s="35"/>
      <c r="W3751" s="35"/>
      <c r="X3751" s="35"/>
      <c r="Y3751" s="182"/>
      <c r="Z3751" s="175"/>
      <c r="AA3751" s="182"/>
      <c r="AB3751" s="184"/>
    </row>
    <row r="3752" spans="1:28" ht="12.75">
      <c r="A3752" s="173"/>
      <c r="B3752" s="174"/>
      <c r="C3752" s="11"/>
      <c r="D3752" s="175"/>
      <c r="E3752" s="176"/>
      <c r="F3752" s="177"/>
      <c r="G3752" s="178"/>
      <c r="H3752" s="177"/>
      <c r="I3752" s="177"/>
      <c r="J3752" s="179"/>
      <c r="K3752" s="183"/>
      <c r="L3752" s="176"/>
      <c r="M3752" s="177"/>
      <c r="N3752" s="21"/>
      <c r="O3752" s="45"/>
      <c r="P3752" s="24"/>
      <c r="Q3752" s="24"/>
      <c r="R3752" s="180"/>
      <c r="S3752" s="181"/>
      <c r="T3752" s="35"/>
      <c r="U3752" s="35"/>
      <c r="V3752" s="35"/>
      <c r="W3752" s="35"/>
      <c r="X3752" s="35"/>
      <c r="Y3752" s="182"/>
      <c r="Z3752" s="175"/>
      <c r="AA3752" s="182"/>
      <c r="AB3752" s="184"/>
    </row>
    <row r="3753" spans="1:28" ht="12.75">
      <c r="A3753" s="173"/>
      <c r="B3753" s="174"/>
      <c r="C3753" s="11"/>
      <c r="D3753" s="175"/>
      <c r="E3753" s="176"/>
      <c r="F3753" s="177"/>
      <c r="G3753" s="178"/>
      <c r="H3753" s="177"/>
      <c r="I3753" s="177"/>
      <c r="J3753" s="179"/>
      <c r="K3753" s="183"/>
      <c r="L3753" s="176"/>
      <c r="M3753" s="177"/>
      <c r="N3753" s="21"/>
      <c r="O3753" s="45"/>
      <c r="P3753" s="24"/>
      <c r="Q3753" s="24"/>
      <c r="R3753" s="180"/>
      <c r="S3753" s="181"/>
      <c r="T3753" s="35"/>
      <c r="U3753" s="35"/>
      <c r="V3753" s="35"/>
      <c r="W3753" s="35"/>
      <c r="X3753" s="35"/>
      <c r="Y3753" s="182"/>
      <c r="Z3753" s="175"/>
      <c r="AA3753" s="182"/>
      <c r="AB3753" s="184"/>
    </row>
    <row r="3754" spans="1:28" ht="12.75">
      <c r="A3754" s="173"/>
      <c r="B3754" s="174"/>
      <c r="C3754" s="11"/>
      <c r="D3754" s="175"/>
      <c r="E3754" s="176"/>
      <c r="F3754" s="177"/>
      <c r="G3754" s="178"/>
      <c r="H3754" s="177"/>
      <c r="I3754" s="177"/>
      <c r="J3754" s="179"/>
      <c r="K3754" s="183"/>
      <c r="L3754" s="176"/>
      <c r="M3754" s="177"/>
      <c r="N3754" s="21"/>
      <c r="O3754" s="45"/>
      <c r="P3754" s="24"/>
      <c r="Q3754" s="24"/>
      <c r="R3754" s="180"/>
      <c r="S3754" s="181"/>
      <c r="T3754" s="35"/>
      <c r="U3754" s="35"/>
      <c r="V3754" s="35"/>
      <c r="W3754" s="35"/>
      <c r="X3754" s="35"/>
      <c r="Y3754" s="182"/>
      <c r="Z3754" s="175"/>
      <c r="AA3754" s="182"/>
      <c r="AB3754" s="184"/>
    </row>
    <row r="3755" spans="1:28" ht="12.75">
      <c r="A3755" s="173"/>
      <c r="B3755" s="174"/>
      <c r="C3755" s="11"/>
      <c r="D3755" s="175"/>
      <c r="E3755" s="176"/>
      <c r="F3755" s="177"/>
      <c r="G3755" s="178"/>
      <c r="H3755" s="177"/>
      <c r="I3755" s="177"/>
      <c r="J3755" s="179"/>
      <c r="K3755" s="183"/>
      <c r="L3755" s="176"/>
      <c r="M3755" s="177"/>
      <c r="N3755" s="21"/>
      <c r="O3755" s="45"/>
      <c r="P3755" s="24"/>
      <c r="Q3755" s="24"/>
      <c r="R3755" s="180"/>
      <c r="S3755" s="181"/>
      <c r="T3755" s="35"/>
      <c r="U3755" s="35"/>
      <c r="V3755" s="35"/>
      <c r="W3755" s="35"/>
      <c r="X3755" s="35"/>
      <c r="Y3755" s="182"/>
      <c r="Z3755" s="175"/>
      <c r="AA3755" s="182"/>
      <c r="AB3755" s="184"/>
    </row>
    <row r="3756" spans="1:28" ht="12.75">
      <c r="A3756" s="173"/>
      <c r="B3756" s="174"/>
      <c r="C3756" s="11"/>
      <c r="D3756" s="175"/>
      <c r="E3756" s="176"/>
      <c r="F3756" s="177"/>
      <c r="G3756" s="178"/>
      <c r="H3756" s="177"/>
      <c r="I3756" s="177"/>
      <c r="J3756" s="179"/>
      <c r="K3756" s="183"/>
      <c r="L3756" s="176"/>
      <c r="M3756" s="177"/>
      <c r="N3756" s="21"/>
      <c r="O3756" s="45"/>
      <c r="P3756" s="24"/>
      <c r="Q3756" s="24"/>
      <c r="R3756" s="180"/>
      <c r="S3756" s="181"/>
      <c r="T3756" s="35"/>
      <c r="U3756" s="35"/>
      <c r="V3756" s="35"/>
      <c r="W3756" s="35"/>
      <c r="X3756" s="35"/>
      <c r="Y3756" s="182"/>
      <c r="Z3756" s="175"/>
      <c r="AA3756" s="182"/>
      <c r="AB3756" s="184"/>
    </row>
    <row r="3757" spans="1:28" ht="12.75">
      <c r="A3757" s="173"/>
      <c r="B3757" s="174"/>
      <c r="C3757" s="11"/>
      <c r="D3757" s="175"/>
      <c r="E3757" s="176"/>
      <c r="F3757" s="177"/>
      <c r="G3757" s="178"/>
      <c r="H3757" s="177"/>
      <c r="I3757" s="177"/>
      <c r="J3757" s="179"/>
      <c r="K3757" s="183"/>
      <c r="L3757" s="176"/>
      <c r="M3757" s="177"/>
      <c r="N3757" s="21"/>
      <c r="O3757" s="45"/>
      <c r="P3757" s="24"/>
      <c r="Q3757" s="24"/>
      <c r="R3757" s="180"/>
      <c r="S3757" s="181"/>
      <c r="T3757" s="35"/>
      <c r="U3757" s="35"/>
      <c r="V3757" s="35"/>
      <c r="W3757" s="35"/>
      <c r="X3757" s="35"/>
      <c r="Y3757" s="182"/>
      <c r="Z3757" s="175"/>
      <c r="AA3757" s="182"/>
      <c r="AB3757" s="184"/>
    </row>
    <row r="3758" spans="1:28" ht="12.75">
      <c r="A3758" s="173"/>
      <c r="B3758" s="174"/>
      <c r="C3758" s="11"/>
      <c r="D3758" s="175"/>
      <c r="E3758" s="176"/>
      <c r="F3758" s="177"/>
      <c r="G3758" s="178"/>
      <c r="H3758" s="177"/>
      <c r="I3758" s="177"/>
      <c r="J3758" s="179"/>
      <c r="K3758" s="183"/>
      <c r="L3758" s="176"/>
      <c r="M3758" s="177"/>
      <c r="N3758" s="21"/>
      <c r="O3758" s="45"/>
      <c r="P3758" s="24"/>
      <c r="Q3758" s="24"/>
      <c r="R3758" s="180"/>
      <c r="S3758" s="181"/>
      <c r="T3758" s="35"/>
      <c r="U3758" s="35"/>
      <c r="V3758" s="35"/>
      <c r="W3758" s="35"/>
      <c r="X3758" s="35"/>
      <c r="Y3758" s="182"/>
      <c r="Z3758" s="175"/>
      <c r="AA3758" s="182"/>
      <c r="AB3758" s="184"/>
    </row>
    <row r="3759" spans="1:28" ht="12.75">
      <c r="A3759" s="173"/>
      <c r="B3759" s="174"/>
      <c r="C3759" s="11"/>
      <c r="D3759" s="175"/>
      <c r="E3759" s="176"/>
      <c r="F3759" s="177"/>
      <c r="G3759" s="178"/>
      <c r="H3759" s="177"/>
      <c r="I3759" s="177"/>
      <c r="J3759" s="179"/>
      <c r="K3759" s="183"/>
      <c r="L3759" s="176"/>
      <c r="M3759" s="177"/>
      <c r="N3759" s="21"/>
      <c r="O3759" s="45"/>
      <c r="P3759" s="24"/>
      <c r="Q3759" s="24"/>
      <c r="R3759" s="180"/>
      <c r="S3759" s="181"/>
      <c r="T3759" s="35"/>
      <c r="U3759" s="35"/>
      <c r="V3759" s="35"/>
      <c r="W3759" s="35"/>
      <c r="X3759" s="35"/>
      <c r="Y3759" s="182"/>
      <c r="Z3759" s="175"/>
      <c r="AA3759" s="182"/>
      <c r="AB3759" s="184"/>
    </row>
    <row r="3760" spans="1:28" ht="12.75">
      <c r="A3760" s="173"/>
      <c r="B3760" s="174"/>
      <c r="C3760" s="11"/>
      <c r="D3760" s="175"/>
      <c r="E3760" s="176"/>
      <c r="F3760" s="177"/>
      <c r="G3760" s="178"/>
      <c r="H3760" s="177"/>
      <c r="I3760" s="177"/>
      <c r="J3760" s="179"/>
      <c r="K3760" s="183"/>
      <c r="L3760" s="176"/>
      <c r="M3760" s="177"/>
      <c r="N3760" s="21"/>
      <c r="O3760" s="45"/>
      <c r="P3760" s="24"/>
      <c r="Q3760" s="24"/>
      <c r="R3760" s="180"/>
      <c r="S3760" s="181"/>
      <c r="T3760" s="35"/>
      <c r="U3760" s="35"/>
      <c r="V3760" s="35"/>
      <c r="W3760" s="35"/>
      <c r="X3760" s="35"/>
      <c r="Y3760" s="182"/>
      <c r="Z3760" s="175"/>
      <c r="AA3760" s="182"/>
      <c r="AB3760" s="184"/>
    </row>
    <row r="3761" spans="1:28" ht="12.75">
      <c r="A3761" s="173"/>
      <c r="B3761" s="174"/>
      <c r="C3761" s="11"/>
      <c r="D3761" s="175"/>
      <c r="E3761" s="176"/>
      <c r="F3761" s="177"/>
      <c r="G3761" s="178"/>
      <c r="H3761" s="177"/>
      <c r="I3761" s="177"/>
      <c r="J3761" s="179"/>
      <c r="K3761" s="183"/>
      <c r="L3761" s="176"/>
      <c r="M3761" s="177"/>
      <c r="N3761" s="21"/>
      <c r="O3761" s="45"/>
      <c r="P3761" s="24"/>
      <c r="Q3761" s="24"/>
      <c r="R3761" s="180"/>
      <c r="S3761" s="181"/>
      <c r="T3761" s="35"/>
      <c r="U3761" s="35"/>
      <c r="V3761" s="35"/>
      <c r="W3761" s="35"/>
      <c r="X3761" s="35"/>
      <c r="Y3761" s="182"/>
      <c r="Z3761" s="175"/>
      <c r="AA3761" s="182"/>
      <c r="AB3761" s="184"/>
    </row>
    <row r="3762" spans="1:28" ht="12.75">
      <c r="A3762" s="173"/>
      <c r="B3762" s="174"/>
      <c r="C3762" s="11"/>
      <c r="D3762" s="175"/>
      <c r="E3762" s="176"/>
      <c r="F3762" s="177"/>
      <c r="G3762" s="178"/>
      <c r="H3762" s="177"/>
      <c r="I3762" s="177"/>
      <c r="J3762" s="179"/>
      <c r="K3762" s="183"/>
      <c r="L3762" s="176"/>
      <c r="M3762" s="177"/>
      <c r="N3762" s="21"/>
      <c r="O3762" s="45"/>
      <c r="P3762" s="24"/>
      <c r="Q3762" s="24"/>
      <c r="R3762" s="180"/>
      <c r="S3762" s="181"/>
      <c r="T3762" s="35"/>
      <c r="U3762" s="35"/>
      <c r="V3762" s="35"/>
      <c r="W3762" s="35"/>
      <c r="X3762" s="35"/>
      <c r="Y3762" s="182"/>
      <c r="Z3762" s="175"/>
      <c r="AA3762" s="182"/>
      <c r="AB3762" s="184"/>
    </row>
    <row r="3763" spans="1:28" ht="12.75">
      <c r="A3763" s="173"/>
      <c r="B3763" s="174"/>
      <c r="C3763" s="11"/>
      <c r="D3763" s="175"/>
      <c r="E3763" s="176"/>
      <c r="F3763" s="177"/>
      <c r="G3763" s="178"/>
      <c r="H3763" s="177"/>
      <c r="I3763" s="177"/>
      <c r="J3763" s="179"/>
      <c r="K3763" s="183"/>
      <c r="L3763" s="176"/>
      <c r="M3763" s="177"/>
      <c r="N3763" s="21"/>
      <c r="O3763" s="45"/>
      <c r="P3763" s="24"/>
      <c r="Q3763" s="24"/>
      <c r="R3763" s="180"/>
      <c r="S3763" s="181"/>
      <c r="T3763" s="35"/>
      <c r="U3763" s="35"/>
      <c r="V3763" s="35"/>
      <c r="W3763" s="35"/>
      <c r="X3763" s="35"/>
      <c r="Y3763" s="182"/>
      <c r="Z3763" s="175"/>
      <c r="AA3763" s="182"/>
      <c r="AB3763" s="184"/>
    </row>
    <row r="3764" spans="1:28" ht="12.75">
      <c r="A3764" s="173"/>
      <c r="B3764" s="174"/>
      <c r="C3764" s="11"/>
      <c r="D3764" s="175"/>
      <c r="E3764" s="176"/>
      <c r="F3764" s="177"/>
      <c r="G3764" s="178"/>
      <c r="H3764" s="177"/>
      <c r="I3764" s="177"/>
      <c r="J3764" s="179"/>
      <c r="K3764" s="183"/>
      <c r="L3764" s="176"/>
      <c r="M3764" s="177"/>
      <c r="N3764" s="21"/>
      <c r="O3764" s="45"/>
      <c r="P3764" s="24"/>
      <c r="Q3764" s="24"/>
      <c r="R3764" s="180"/>
      <c r="S3764" s="181"/>
      <c r="T3764" s="35"/>
      <c r="U3764" s="35"/>
      <c r="V3764" s="35"/>
      <c r="W3764" s="35"/>
      <c r="X3764" s="35"/>
      <c r="Y3764" s="182"/>
      <c r="Z3764" s="175"/>
      <c r="AA3764" s="182"/>
      <c r="AB3764" s="184"/>
    </row>
    <row r="3765" spans="1:28" ht="12.75">
      <c r="A3765" s="173"/>
      <c r="B3765" s="174"/>
      <c r="C3765" s="11"/>
      <c r="D3765" s="175"/>
      <c r="E3765" s="176"/>
      <c r="F3765" s="177"/>
      <c r="G3765" s="178"/>
      <c r="H3765" s="177"/>
      <c r="I3765" s="177"/>
      <c r="J3765" s="179"/>
      <c r="K3765" s="183"/>
      <c r="L3765" s="176"/>
      <c r="M3765" s="177"/>
      <c r="N3765" s="21"/>
      <c r="O3765" s="45"/>
      <c r="P3765" s="24"/>
      <c r="Q3765" s="24"/>
      <c r="R3765" s="180"/>
      <c r="S3765" s="181"/>
      <c r="T3765" s="35"/>
      <c r="U3765" s="35"/>
      <c r="V3765" s="35"/>
      <c r="W3765" s="35"/>
      <c r="X3765" s="35"/>
      <c r="Y3765" s="182"/>
      <c r="Z3765" s="175"/>
      <c r="AA3765" s="182"/>
      <c r="AB3765" s="184"/>
    </row>
    <row r="3766" spans="1:28" ht="12.75">
      <c r="A3766" s="173"/>
      <c r="B3766" s="174"/>
      <c r="C3766" s="11"/>
      <c r="D3766" s="175"/>
      <c r="E3766" s="176"/>
      <c r="F3766" s="177"/>
      <c r="G3766" s="178"/>
      <c r="H3766" s="177"/>
      <c r="I3766" s="177"/>
      <c r="J3766" s="179"/>
      <c r="K3766" s="183"/>
      <c r="L3766" s="176"/>
      <c r="M3766" s="177"/>
      <c r="N3766" s="21"/>
      <c r="O3766" s="45"/>
      <c r="P3766" s="24"/>
      <c r="Q3766" s="24"/>
      <c r="R3766" s="180"/>
      <c r="S3766" s="181"/>
      <c r="T3766" s="35"/>
      <c r="U3766" s="35"/>
      <c r="V3766" s="35"/>
      <c r="W3766" s="35"/>
      <c r="X3766" s="35"/>
      <c r="Y3766" s="182"/>
      <c r="Z3766" s="175"/>
      <c r="AA3766" s="182"/>
      <c r="AB3766" s="184"/>
    </row>
    <row r="3767" spans="1:28" ht="12.75">
      <c r="A3767" s="173"/>
      <c r="B3767" s="174"/>
      <c r="C3767" s="11"/>
      <c r="D3767" s="175"/>
      <c r="E3767" s="176"/>
      <c r="F3767" s="177"/>
      <c r="G3767" s="178"/>
      <c r="H3767" s="177"/>
      <c r="I3767" s="177"/>
      <c r="J3767" s="179"/>
      <c r="K3767" s="183"/>
      <c r="L3767" s="176"/>
      <c r="M3767" s="177"/>
      <c r="N3767" s="21"/>
      <c r="O3767" s="45"/>
      <c r="P3767" s="24"/>
      <c r="Q3767" s="24"/>
      <c r="R3767" s="180"/>
      <c r="S3767" s="181"/>
      <c r="T3767" s="35"/>
      <c r="U3767" s="35"/>
      <c r="V3767" s="35"/>
      <c r="W3767" s="35"/>
      <c r="X3767" s="35"/>
      <c r="Y3767" s="182"/>
      <c r="Z3767" s="175"/>
      <c r="AA3767" s="182"/>
      <c r="AB3767" s="184"/>
    </row>
    <row r="3768" spans="1:28" ht="12.75">
      <c r="A3768" s="173"/>
      <c r="B3768" s="174"/>
      <c r="C3768" s="11"/>
      <c r="D3768" s="175"/>
      <c r="E3768" s="176"/>
      <c r="F3768" s="177"/>
      <c r="G3768" s="178"/>
      <c r="H3768" s="177"/>
      <c r="I3768" s="177"/>
      <c r="J3768" s="179"/>
      <c r="K3768" s="183"/>
      <c r="L3768" s="176"/>
      <c r="M3768" s="177"/>
      <c r="N3768" s="21"/>
      <c r="O3768" s="45"/>
      <c r="P3768" s="24"/>
      <c r="Q3768" s="24"/>
      <c r="R3768" s="180"/>
      <c r="S3768" s="181"/>
      <c r="T3768" s="35"/>
      <c r="U3768" s="35"/>
      <c r="V3768" s="35"/>
      <c r="W3768" s="35"/>
      <c r="X3768" s="35"/>
      <c r="Y3768" s="182"/>
      <c r="Z3768" s="175"/>
      <c r="AA3768" s="182"/>
      <c r="AB3768" s="184"/>
    </row>
    <row r="3769" spans="1:28" ht="12.75">
      <c r="A3769" s="173"/>
      <c r="B3769" s="174"/>
      <c r="C3769" s="11"/>
      <c r="D3769" s="175"/>
      <c r="E3769" s="176"/>
      <c r="F3769" s="177"/>
      <c r="G3769" s="178"/>
      <c r="H3769" s="177"/>
      <c r="I3769" s="177"/>
      <c r="J3769" s="179"/>
      <c r="K3769" s="183"/>
      <c r="L3769" s="176"/>
      <c r="M3769" s="177"/>
      <c r="N3769" s="21"/>
      <c r="O3769" s="45"/>
      <c r="P3769" s="24"/>
      <c r="Q3769" s="24"/>
      <c r="R3769" s="180"/>
      <c r="S3769" s="181"/>
      <c r="T3769" s="35"/>
      <c r="U3769" s="35"/>
      <c r="V3769" s="35"/>
      <c r="W3769" s="35"/>
      <c r="X3769" s="35"/>
      <c r="Y3769" s="182"/>
      <c r="Z3769" s="175"/>
      <c r="AA3769" s="182"/>
      <c r="AB3769" s="184"/>
    </row>
    <row r="3770" spans="1:28" ht="12.75">
      <c r="A3770" s="173"/>
      <c r="B3770" s="174"/>
      <c r="C3770" s="11"/>
      <c r="D3770" s="175"/>
      <c r="E3770" s="176"/>
      <c r="F3770" s="177"/>
      <c r="G3770" s="178"/>
      <c r="H3770" s="177"/>
      <c r="I3770" s="177"/>
      <c r="J3770" s="179"/>
      <c r="K3770" s="183"/>
      <c r="L3770" s="176"/>
      <c r="M3770" s="177"/>
      <c r="N3770" s="21"/>
      <c r="O3770" s="45"/>
      <c r="P3770" s="24"/>
      <c r="Q3770" s="24"/>
      <c r="R3770" s="180"/>
      <c r="S3770" s="181"/>
      <c r="T3770" s="35"/>
      <c r="U3770" s="35"/>
      <c r="V3770" s="35"/>
      <c r="W3770" s="35"/>
      <c r="X3770" s="35"/>
      <c r="Y3770" s="182"/>
      <c r="Z3770" s="175"/>
      <c r="AA3770" s="182"/>
      <c r="AB3770" s="184"/>
    </row>
    <row r="3771" spans="1:28" ht="12.75">
      <c r="A3771" s="173"/>
      <c r="B3771" s="174"/>
      <c r="C3771" s="11"/>
      <c r="D3771" s="175"/>
      <c r="E3771" s="176"/>
      <c r="F3771" s="177"/>
      <c r="G3771" s="178"/>
      <c r="H3771" s="177"/>
      <c r="I3771" s="177"/>
      <c r="J3771" s="179"/>
      <c r="K3771" s="183"/>
      <c r="L3771" s="176"/>
      <c r="M3771" s="177"/>
      <c r="N3771" s="21"/>
      <c r="O3771" s="45"/>
      <c r="P3771" s="24"/>
      <c r="Q3771" s="24"/>
      <c r="R3771" s="180"/>
      <c r="S3771" s="181"/>
      <c r="T3771" s="35"/>
      <c r="U3771" s="35"/>
      <c r="V3771" s="35"/>
      <c r="W3771" s="35"/>
      <c r="X3771" s="35"/>
      <c r="Y3771" s="182"/>
      <c r="Z3771" s="175"/>
      <c r="AA3771" s="182"/>
      <c r="AB3771" s="184"/>
    </row>
    <row r="3772" spans="1:28" ht="12.75">
      <c r="A3772" s="173"/>
      <c r="B3772" s="174"/>
      <c r="C3772" s="11"/>
      <c r="D3772" s="175"/>
      <c r="E3772" s="176"/>
      <c r="F3772" s="177"/>
      <c r="G3772" s="178"/>
      <c r="H3772" s="177"/>
      <c r="I3772" s="177"/>
      <c r="J3772" s="179"/>
      <c r="K3772" s="183"/>
      <c r="L3772" s="176"/>
      <c r="M3772" s="177"/>
      <c r="N3772" s="21"/>
      <c r="O3772" s="45"/>
      <c r="P3772" s="24"/>
      <c r="Q3772" s="24"/>
      <c r="R3772" s="180"/>
      <c r="S3772" s="181"/>
      <c r="T3772" s="35"/>
      <c r="U3772" s="35"/>
      <c r="V3772" s="35"/>
      <c r="W3772" s="35"/>
      <c r="X3772" s="35"/>
      <c r="Y3772" s="182"/>
      <c r="Z3772" s="175"/>
      <c r="AA3772" s="182"/>
      <c r="AB3772" s="184"/>
    </row>
    <row r="3773" spans="1:28" ht="12.75">
      <c r="A3773" s="173"/>
      <c r="B3773" s="174"/>
      <c r="C3773" s="11"/>
      <c r="D3773" s="175"/>
      <c r="E3773" s="176"/>
      <c r="F3773" s="177"/>
      <c r="G3773" s="178"/>
      <c r="H3773" s="177"/>
      <c r="I3773" s="177"/>
      <c r="J3773" s="179"/>
      <c r="K3773" s="183"/>
      <c r="L3773" s="176"/>
      <c r="M3773" s="177"/>
      <c r="N3773" s="21"/>
      <c r="O3773" s="45"/>
      <c r="P3773" s="24"/>
      <c r="Q3773" s="24"/>
      <c r="R3773" s="180"/>
      <c r="S3773" s="181"/>
      <c r="T3773" s="35"/>
      <c r="U3773" s="35"/>
      <c r="V3773" s="35"/>
      <c r="W3773" s="35"/>
      <c r="X3773" s="35"/>
      <c r="Y3773" s="182"/>
      <c r="Z3773" s="175"/>
      <c r="AA3773" s="182"/>
      <c r="AB3773" s="184"/>
    </row>
    <row r="3774" spans="1:28" ht="12.75">
      <c r="A3774" s="173"/>
      <c r="B3774" s="174"/>
      <c r="C3774" s="11"/>
      <c r="D3774" s="175"/>
      <c r="E3774" s="176"/>
      <c r="F3774" s="177"/>
      <c r="G3774" s="178"/>
      <c r="H3774" s="177"/>
      <c r="I3774" s="177"/>
      <c r="J3774" s="179"/>
      <c r="K3774" s="183"/>
      <c r="L3774" s="176"/>
      <c r="M3774" s="177"/>
      <c r="N3774" s="21"/>
      <c r="O3774" s="45"/>
      <c r="P3774" s="24"/>
      <c r="Q3774" s="24"/>
      <c r="R3774" s="180"/>
      <c r="S3774" s="181"/>
      <c r="T3774" s="35"/>
      <c r="U3774" s="35"/>
      <c r="V3774" s="35"/>
      <c r="W3774" s="35"/>
      <c r="X3774" s="35"/>
      <c r="Y3774" s="182"/>
      <c r="Z3774" s="175"/>
      <c r="AA3774" s="182"/>
      <c r="AB3774" s="184"/>
    </row>
    <row r="3775" spans="1:28" ht="12.75">
      <c r="A3775" s="173"/>
      <c r="B3775" s="174"/>
      <c r="C3775" s="11"/>
      <c r="D3775" s="175"/>
      <c r="E3775" s="176"/>
      <c r="F3775" s="177"/>
      <c r="G3775" s="178"/>
      <c r="H3775" s="177"/>
      <c r="I3775" s="177"/>
      <c r="J3775" s="179"/>
      <c r="K3775" s="183"/>
      <c r="L3775" s="176"/>
      <c r="M3775" s="177"/>
      <c r="N3775" s="21"/>
      <c r="O3775" s="45"/>
      <c r="P3775" s="24"/>
      <c r="Q3775" s="24"/>
      <c r="R3775" s="180"/>
      <c r="S3775" s="181"/>
      <c r="T3775" s="35"/>
      <c r="U3775" s="35"/>
      <c r="V3775" s="35"/>
      <c r="W3775" s="35"/>
      <c r="X3775" s="35"/>
      <c r="Y3775" s="182"/>
      <c r="Z3775" s="175"/>
      <c r="AA3775" s="182"/>
      <c r="AB3775" s="184"/>
    </row>
    <row r="3776" spans="1:28" ht="12.75">
      <c r="A3776" s="173"/>
      <c r="B3776" s="174"/>
      <c r="C3776" s="11"/>
      <c r="D3776" s="175"/>
      <c r="E3776" s="176"/>
      <c r="F3776" s="177"/>
      <c r="G3776" s="178"/>
      <c r="H3776" s="177"/>
      <c r="I3776" s="177"/>
      <c r="J3776" s="179"/>
      <c r="K3776" s="183"/>
      <c r="L3776" s="176"/>
      <c r="M3776" s="177"/>
      <c r="N3776" s="21"/>
      <c r="O3776" s="45"/>
      <c r="P3776" s="24"/>
      <c r="Q3776" s="24"/>
      <c r="R3776" s="180"/>
      <c r="S3776" s="181"/>
      <c r="T3776" s="35"/>
      <c r="U3776" s="35"/>
      <c r="V3776" s="35"/>
      <c r="W3776" s="35"/>
      <c r="X3776" s="35"/>
      <c r="Y3776" s="182"/>
      <c r="Z3776" s="175"/>
      <c r="AA3776" s="182"/>
      <c r="AB3776" s="184"/>
    </row>
    <row r="3777" spans="1:28" ht="12.75">
      <c r="A3777" s="173"/>
      <c r="B3777" s="174"/>
      <c r="C3777" s="11"/>
      <c r="D3777" s="175"/>
      <c r="E3777" s="176"/>
      <c r="F3777" s="177"/>
      <c r="G3777" s="178"/>
      <c r="H3777" s="177"/>
      <c r="I3777" s="177"/>
      <c r="J3777" s="179"/>
      <c r="K3777" s="183"/>
      <c r="L3777" s="176"/>
      <c r="M3777" s="177"/>
      <c r="N3777" s="21"/>
      <c r="O3777" s="45"/>
      <c r="P3777" s="24"/>
      <c r="Q3777" s="24"/>
      <c r="R3777" s="180"/>
      <c r="S3777" s="181"/>
      <c r="T3777" s="35"/>
      <c r="U3777" s="35"/>
      <c r="V3777" s="35"/>
      <c r="W3777" s="35"/>
      <c r="X3777" s="35"/>
      <c r="Y3777" s="182"/>
      <c r="Z3777" s="175"/>
      <c r="AA3777" s="182"/>
      <c r="AB3777" s="184"/>
    </row>
    <row r="3778" spans="1:28" ht="12.75">
      <c r="A3778" s="173"/>
      <c r="B3778" s="174"/>
      <c r="C3778" s="11"/>
      <c r="D3778" s="175"/>
      <c r="E3778" s="176"/>
      <c r="F3778" s="177"/>
      <c r="G3778" s="178"/>
      <c r="H3778" s="177"/>
      <c r="I3778" s="177"/>
      <c r="J3778" s="179"/>
      <c r="K3778" s="183"/>
      <c r="L3778" s="176"/>
      <c r="M3778" s="177"/>
      <c r="N3778" s="21"/>
      <c r="O3778" s="45"/>
      <c r="P3778" s="24"/>
      <c r="Q3778" s="24"/>
      <c r="R3778" s="180"/>
      <c r="S3778" s="181"/>
      <c r="T3778" s="35"/>
      <c r="U3778" s="35"/>
      <c r="V3778" s="35"/>
      <c r="W3778" s="35"/>
      <c r="X3778" s="35"/>
      <c r="Y3778" s="182"/>
      <c r="Z3778" s="175"/>
      <c r="AA3778" s="182"/>
      <c r="AB3778" s="184"/>
    </row>
    <row r="3779" spans="1:28" ht="12.75">
      <c r="A3779" s="173"/>
      <c r="B3779" s="174"/>
      <c r="C3779" s="11"/>
      <c r="D3779" s="175"/>
      <c r="E3779" s="176"/>
      <c r="F3779" s="177"/>
      <c r="G3779" s="178"/>
      <c r="H3779" s="177"/>
      <c r="I3779" s="177"/>
      <c r="J3779" s="179"/>
      <c r="K3779" s="183"/>
      <c r="L3779" s="176"/>
      <c r="M3779" s="177"/>
      <c r="N3779" s="21"/>
      <c r="O3779" s="45"/>
      <c r="P3779" s="24"/>
      <c r="Q3779" s="24"/>
      <c r="R3779" s="180"/>
      <c r="S3779" s="181"/>
      <c r="T3779" s="35"/>
      <c r="U3779" s="35"/>
      <c r="V3779" s="35"/>
      <c r="W3779" s="35"/>
      <c r="X3779" s="35"/>
      <c r="Y3779" s="182"/>
      <c r="Z3779" s="175"/>
      <c r="AA3779" s="182"/>
      <c r="AB3779" s="184"/>
    </row>
    <row r="3780" spans="1:28" ht="12.75">
      <c r="A3780" s="173"/>
      <c r="B3780" s="174"/>
      <c r="C3780" s="11"/>
      <c r="D3780" s="175"/>
      <c r="E3780" s="176"/>
      <c r="F3780" s="177"/>
      <c r="G3780" s="178"/>
      <c r="H3780" s="177"/>
      <c r="I3780" s="177"/>
      <c r="J3780" s="179"/>
      <c r="K3780" s="183"/>
      <c r="L3780" s="176"/>
      <c r="M3780" s="177"/>
      <c r="N3780" s="21"/>
      <c r="O3780" s="45"/>
      <c r="P3780" s="24"/>
      <c r="Q3780" s="24"/>
      <c r="R3780" s="180"/>
      <c r="S3780" s="181"/>
      <c r="T3780" s="35"/>
      <c r="U3780" s="35"/>
      <c r="V3780" s="35"/>
      <c r="W3780" s="35"/>
      <c r="X3780" s="35"/>
      <c r="Y3780" s="182"/>
      <c r="Z3780" s="175"/>
      <c r="AA3780" s="182"/>
      <c r="AB3780" s="184"/>
    </row>
    <row r="3781" spans="1:28" ht="12.75">
      <c r="A3781" s="173"/>
      <c r="B3781" s="174"/>
      <c r="C3781" s="11"/>
      <c r="D3781" s="175"/>
      <c r="E3781" s="176"/>
      <c r="F3781" s="177"/>
      <c r="G3781" s="178"/>
      <c r="H3781" s="177"/>
      <c r="I3781" s="177"/>
      <c r="J3781" s="179"/>
      <c r="K3781" s="183"/>
      <c r="L3781" s="176"/>
      <c r="M3781" s="177"/>
      <c r="N3781" s="21"/>
      <c r="O3781" s="45"/>
      <c r="P3781" s="24"/>
      <c r="Q3781" s="24"/>
      <c r="R3781" s="180"/>
      <c r="S3781" s="181"/>
      <c r="T3781" s="35"/>
      <c r="U3781" s="35"/>
      <c r="V3781" s="35"/>
      <c r="W3781" s="35"/>
      <c r="X3781" s="35"/>
      <c r="Y3781" s="182"/>
      <c r="Z3781" s="175"/>
      <c r="AA3781" s="182"/>
      <c r="AB3781" s="184"/>
    </row>
    <row r="3782" spans="1:28" ht="12.75">
      <c r="A3782" s="173"/>
      <c r="B3782" s="174"/>
      <c r="C3782" s="11"/>
      <c r="D3782" s="175"/>
      <c r="E3782" s="176"/>
      <c r="F3782" s="177"/>
      <c r="G3782" s="178"/>
      <c r="H3782" s="177"/>
      <c r="I3782" s="177"/>
      <c r="J3782" s="179"/>
      <c r="K3782" s="183"/>
      <c r="L3782" s="176"/>
      <c r="M3782" s="177"/>
      <c r="N3782" s="21"/>
      <c r="O3782" s="45"/>
      <c r="P3782" s="24"/>
      <c r="Q3782" s="24"/>
      <c r="R3782" s="180"/>
      <c r="S3782" s="181"/>
      <c r="T3782" s="35"/>
      <c r="U3782" s="35"/>
      <c r="V3782" s="35"/>
      <c r="W3782" s="35"/>
      <c r="X3782" s="35"/>
      <c r="Y3782" s="182"/>
      <c r="Z3782" s="175"/>
      <c r="AA3782" s="182"/>
      <c r="AB3782" s="184"/>
    </row>
    <row r="3783" spans="1:28" ht="12.75">
      <c r="A3783" s="173"/>
      <c r="B3783" s="174"/>
      <c r="C3783" s="11"/>
      <c r="D3783" s="175"/>
      <c r="E3783" s="176"/>
      <c r="F3783" s="177"/>
      <c r="G3783" s="178"/>
      <c r="H3783" s="177"/>
      <c r="I3783" s="177"/>
      <c r="J3783" s="179"/>
      <c r="K3783" s="183"/>
      <c r="L3783" s="176"/>
      <c r="M3783" s="177"/>
      <c r="N3783" s="21"/>
      <c r="O3783" s="45"/>
      <c r="P3783" s="24"/>
      <c r="Q3783" s="24"/>
      <c r="R3783" s="180"/>
      <c r="S3783" s="181"/>
      <c r="T3783" s="35"/>
      <c r="U3783" s="35"/>
      <c r="V3783" s="35"/>
      <c r="W3783" s="35"/>
      <c r="X3783" s="35"/>
      <c r="Y3783" s="182"/>
      <c r="Z3783" s="175"/>
      <c r="AA3783" s="182"/>
      <c r="AB3783" s="184"/>
    </row>
    <row r="3784" spans="1:28" ht="12.75">
      <c r="A3784" s="173"/>
      <c r="B3784" s="174"/>
      <c r="C3784" s="11"/>
      <c r="D3784" s="175"/>
      <c r="E3784" s="176"/>
      <c r="F3784" s="177"/>
      <c r="G3784" s="178"/>
      <c r="H3784" s="177"/>
      <c r="I3784" s="177"/>
      <c r="J3784" s="179"/>
      <c r="K3784" s="183"/>
      <c r="L3784" s="176"/>
      <c r="M3784" s="177"/>
      <c r="N3784" s="21"/>
      <c r="O3784" s="45"/>
      <c r="P3784" s="24"/>
      <c r="Q3784" s="24"/>
      <c r="R3784" s="180"/>
      <c r="S3784" s="181"/>
      <c r="T3784" s="35"/>
      <c r="U3784" s="35"/>
      <c r="V3784" s="35"/>
      <c r="W3784" s="35"/>
      <c r="X3784" s="35"/>
      <c r="Y3784" s="182"/>
      <c r="Z3784" s="175"/>
      <c r="AA3784" s="182"/>
      <c r="AB3784" s="184"/>
    </row>
    <row r="3785" spans="1:28" ht="12.75">
      <c r="A3785" s="173"/>
      <c r="B3785" s="174"/>
      <c r="C3785" s="11"/>
      <c r="D3785" s="175"/>
      <c r="E3785" s="176"/>
      <c r="F3785" s="177"/>
      <c r="G3785" s="178"/>
      <c r="H3785" s="177"/>
      <c r="I3785" s="177"/>
      <c r="J3785" s="179"/>
      <c r="K3785" s="183"/>
      <c r="L3785" s="176"/>
      <c r="M3785" s="177"/>
      <c r="N3785" s="21"/>
      <c r="O3785" s="45"/>
      <c r="P3785" s="24"/>
      <c r="Q3785" s="24"/>
      <c r="R3785" s="180"/>
      <c r="S3785" s="181"/>
      <c r="T3785" s="35"/>
      <c r="U3785" s="35"/>
      <c r="V3785" s="35"/>
      <c r="W3785" s="35"/>
      <c r="X3785" s="35"/>
      <c r="Y3785" s="182"/>
      <c r="Z3785" s="175"/>
      <c r="AA3785" s="182"/>
      <c r="AB3785" s="184"/>
    </row>
    <row r="3786" spans="1:28" ht="12.75">
      <c r="A3786" s="173"/>
      <c r="B3786" s="174"/>
      <c r="C3786" s="11"/>
      <c r="D3786" s="175"/>
      <c r="E3786" s="176"/>
      <c r="F3786" s="177"/>
      <c r="G3786" s="178"/>
      <c r="H3786" s="177"/>
      <c r="I3786" s="177"/>
      <c r="J3786" s="179"/>
      <c r="K3786" s="183"/>
      <c r="L3786" s="176"/>
      <c r="M3786" s="177"/>
      <c r="N3786" s="21"/>
      <c r="O3786" s="45"/>
      <c r="P3786" s="24"/>
      <c r="Q3786" s="24"/>
      <c r="R3786" s="180"/>
      <c r="S3786" s="181"/>
      <c r="T3786" s="35"/>
      <c r="U3786" s="35"/>
      <c r="V3786" s="35"/>
      <c r="W3786" s="35"/>
      <c r="X3786" s="35"/>
      <c r="Y3786" s="182"/>
      <c r="Z3786" s="175"/>
      <c r="AA3786" s="182"/>
      <c r="AB3786" s="184"/>
    </row>
    <row r="3787" spans="1:28" ht="12.75">
      <c r="A3787" s="173"/>
      <c r="B3787" s="174"/>
      <c r="C3787" s="11"/>
      <c r="D3787" s="175"/>
      <c r="E3787" s="176"/>
      <c r="F3787" s="177"/>
      <c r="G3787" s="178"/>
      <c r="H3787" s="177"/>
      <c r="I3787" s="177"/>
      <c r="J3787" s="179"/>
      <c r="K3787" s="183"/>
      <c r="L3787" s="176"/>
      <c r="M3787" s="177"/>
      <c r="N3787" s="21"/>
      <c r="O3787" s="45"/>
      <c r="P3787" s="24"/>
      <c r="Q3787" s="24"/>
      <c r="R3787" s="180"/>
      <c r="S3787" s="181"/>
      <c r="T3787" s="35"/>
      <c r="U3787" s="35"/>
      <c r="V3787" s="35"/>
      <c r="W3787" s="35"/>
      <c r="X3787" s="35"/>
      <c r="Y3787" s="182"/>
      <c r="Z3787" s="175"/>
      <c r="AA3787" s="182"/>
      <c r="AB3787" s="184"/>
    </row>
    <row r="3788" spans="1:28" ht="12.75">
      <c r="A3788" s="173"/>
      <c r="B3788" s="174"/>
      <c r="C3788" s="11"/>
      <c r="D3788" s="175"/>
      <c r="E3788" s="176"/>
      <c r="F3788" s="177"/>
      <c r="G3788" s="178"/>
      <c r="H3788" s="177"/>
      <c r="I3788" s="177"/>
      <c r="J3788" s="179"/>
      <c r="K3788" s="183"/>
      <c r="L3788" s="176"/>
      <c r="M3788" s="177"/>
      <c r="N3788" s="21"/>
      <c r="O3788" s="45"/>
      <c r="P3788" s="24"/>
      <c r="Q3788" s="24"/>
      <c r="R3788" s="180"/>
      <c r="S3788" s="181"/>
      <c r="T3788" s="35"/>
      <c r="U3788" s="35"/>
      <c r="V3788" s="35"/>
      <c r="W3788" s="35"/>
      <c r="X3788" s="35"/>
      <c r="Y3788" s="182"/>
      <c r="Z3788" s="175"/>
      <c r="AA3788" s="182"/>
      <c r="AB3788" s="184"/>
    </row>
    <row r="3789" spans="1:28" ht="12.75">
      <c r="A3789" s="173"/>
      <c r="B3789" s="174"/>
      <c r="C3789" s="11"/>
      <c r="D3789" s="175"/>
      <c r="E3789" s="176"/>
      <c r="F3789" s="177"/>
      <c r="G3789" s="178"/>
      <c r="H3789" s="177"/>
      <c r="I3789" s="177"/>
      <c r="J3789" s="179"/>
      <c r="K3789" s="183"/>
      <c r="L3789" s="176"/>
      <c r="M3789" s="177"/>
      <c r="N3789" s="21"/>
      <c r="O3789" s="45"/>
      <c r="P3789" s="24"/>
      <c r="Q3789" s="24"/>
      <c r="R3789" s="180"/>
      <c r="S3789" s="181"/>
      <c r="T3789" s="35"/>
      <c r="U3789" s="35"/>
      <c r="V3789" s="35"/>
      <c r="W3789" s="35"/>
      <c r="X3789" s="35"/>
      <c r="Y3789" s="182"/>
      <c r="Z3789" s="175"/>
      <c r="AA3789" s="182"/>
      <c r="AB3789" s="184"/>
    </row>
    <row r="3790" spans="1:28" ht="12.75">
      <c r="A3790" s="173"/>
      <c r="B3790" s="174"/>
      <c r="C3790" s="11"/>
      <c r="D3790" s="175"/>
      <c r="E3790" s="176"/>
      <c r="F3790" s="177"/>
      <c r="G3790" s="178"/>
      <c r="H3790" s="177"/>
      <c r="I3790" s="177"/>
      <c r="J3790" s="179"/>
      <c r="K3790" s="183"/>
      <c r="L3790" s="176"/>
      <c r="M3790" s="177"/>
      <c r="N3790" s="21"/>
      <c r="O3790" s="45"/>
      <c r="P3790" s="24"/>
      <c r="Q3790" s="24"/>
      <c r="R3790" s="180"/>
      <c r="S3790" s="181"/>
      <c r="T3790" s="35"/>
      <c r="U3790" s="35"/>
      <c r="V3790" s="35"/>
      <c r="W3790" s="35"/>
      <c r="X3790" s="35"/>
      <c r="Y3790" s="182"/>
      <c r="Z3790" s="175"/>
      <c r="AA3790" s="182"/>
      <c r="AB3790" s="184"/>
    </row>
    <row r="3791" spans="1:28" ht="12.75">
      <c r="A3791" s="173"/>
      <c r="B3791" s="174"/>
      <c r="C3791" s="11"/>
      <c r="D3791" s="175"/>
      <c r="E3791" s="176"/>
      <c r="F3791" s="177"/>
      <c r="G3791" s="178"/>
      <c r="H3791" s="177"/>
      <c r="I3791" s="177"/>
      <c r="J3791" s="179"/>
      <c r="K3791" s="183"/>
      <c r="L3791" s="176"/>
      <c r="M3791" s="177"/>
      <c r="N3791" s="21"/>
      <c r="O3791" s="45"/>
      <c r="P3791" s="24"/>
      <c r="Q3791" s="24"/>
      <c r="R3791" s="180"/>
      <c r="S3791" s="181"/>
      <c r="T3791" s="35"/>
      <c r="U3791" s="35"/>
      <c r="V3791" s="35"/>
      <c r="W3791" s="35"/>
      <c r="X3791" s="35"/>
      <c r="Y3791" s="182"/>
      <c r="Z3791" s="175"/>
      <c r="AA3791" s="182"/>
      <c r="AB3791" s="184"/>
    </row>
    <row r="3792" spans="1:28" ht="12.75">
      <c r="A3792" s="173"/>
      <c r="B3792" s="174"/>
      <c r="C3792" s="11"/>
      <c r="D3792" s="175"/>
      <c r="E3792" s="176"/>
      <c r="F3792" s="177"/>
      <c r="G3792" s="178"/>
      <c r="H3792" s="177"/>
      <c r="I3792" s="177"/>
      <c r="J3792" s="179"/>
      <c r="K3792" s="183"/>
      <c r="L3792" s="176"/>
      <c r="M3792" s="177"/>
      <c r="N3792" s="21"/>
      <c r="O3792" s="45"/>
      <c r="P3792" s="24"/>
      <c r="Q3792" s="24"/>
      <c r="R3792" s="180"/>
      <c r="S3792" s="181"/>
      <c r="T3792" s="35"/>
      <c r="U3792" s="35"/>
      <c r="V3792" s="35"/>
      <c r="W3792" s="35"/>
      <c r="X3792" s="35"/>
      <c r="Y3792" s="182"/>
      <c r="Z3792" s="175"/>
      <c r="AA3792" s="182"/>
      <c r="AB3792" s="184"/>
    </row>
    <row r="3793" spans="1:28" ht="12.75">
      <c r="A3793" s="173"/>
      <c r="B3793" s="174"/>
      <c r="C3793" s="11"/>
      <c r="D3793" s="175"/>
      <c r="E3793" s="176"/>
      <c r="F3793" s="177"/>
      <c r="G3793" s="178"/>
      <c r="H3793" s="177"/>
      <c r="I3793" s="177"/>
      <c r="J3793" s="179"/>
      <c r="K3793" s="183"/>
      <c r="L3793" s="176"/>
      <c r="M3793" s="177"/>
      <c r="N3793" s="21"/>
      <c r="O3793" s="45"/>
      <c r="P3793" s="24"/>
      <c r="Q3793" s="24"/>
      <c r="R3793" s="180"/>
      <c r="S3793" s="181"/>
      <c r="T3793" s="35"/>
      <c r="U3793" s="35"/>
      <c r="V3793" s="35"/>
      <c r="W3793" s="35"/>
      <c r="X3793" s="35"/>
      <c r="Y3793" s="182"/>
      <c r="Z3793" s="175"/>
      <c r="AA3793" s="182"/>
      <c r="AB3793" s="184"/>
    </row>
    <row r="3794" spans="1:28" ht="12.75">
      <c r="A3794" s="173"/>
      <c r="B3794" s="174"/>
      <c r="C3794" s="11"/>
      <c r="D3794" s="175"/>
      <c r="E3794" s="176"/>
      <c r="F3794" s="177"/>
      <c r="G3794" s="178"/>
      <c r="H3794" s="177"/>
      <c r="I3794" s="177"/>
      <c r="J3794" s="179"/>
      <c r="K3794" s="183"/>
      <c r="L3794" s="176"/>
      <c r="M3794" s="177"/>
      <c r="N3794" s="21"/>
      <c r="O3794" s="45"/>
      <c r="P3794" s="24"/>
      <c r="Q3794" s="24"/>
      <c r="R3794" s="180"/>
      <c r="S3794" s="181"/>
      <c r="T3794" s="35"/>
      <c r="U3794" s="35"/>
      <c r="V3794" s="35"/>
      <c r="W3794" s="35"/>
      <c r="X3794" s="35"/>
      <c r="Y3794" s="182"/>
      <c r="Z3794" s="175"/>
      <c r="AA3794" s="182"/>
      <c r="AB3794" s="184"/>
    </row>
    <row r="3795" spans="1:28" ht="12.75">
      <c r="A3795" s="173"/>
      <c r="B3795" s="174"/>
      <c r="C3795" s="11"/>
      <c r="D3795" s="175"/>
      <c r="E3795" s="176"/>
      <c r="F3795" s="177"/>
      <c r="G3795" s="178"/>
      <c r="H3795" s="177"/>
      <c r="I3795" s="177"/>
      <c r="J3795" s="179"/>
      <c r="K3795" s="183"/>
      <c r="L3795" s="176"/>
      <c r="M3795" s="177"/>
      <c r="N3795" s="21"/>
      <c r="O3795" s="45"/>
      <c r="P3795" s="24"/>
      <c r="Q3795" s="24"/>
      <c r="R3795" s="180"/>
      <c r="S3795" s="181"/>
      <c r="T3795" s="35"/>
      <c r="U3795" s="35"/>
      <c r="V3795" s="35"/>
      <c r="W3795" s="35"/>
      <c r="X3795" s="35"/>
      <c r="Y3795" s="182"/>
      <c r="Z3795" s="175"/>
      <c r="AA3795" s="182"/>
      <c r="AB3795" s="184"/>
    </row>
    <row r="3796" spans="1:28" ht="12.75">
      <c r="A3796" s="173"/>
      <c r="B3796" s="174"/>
      <c r="C3796" s="11"/>
      <c r="D3796" s="175"/>
      <c r="E3796" s="176"/>
      <c r="F3796" s="177"/>
      <c r="G3796" s="178"/>
      <c r="H3796" s="177"/>
      <c r="I3796" s="177"/>
      <c r="J3796" s="179"/>
      <c r="K3796" s="183"/>
      <c r="L3796" s="176"/>
      <c r="M3796" s="177"/>
      <c r="N3796" s="21"/>
      <c r="O3796" s="45"/>
      <c r="P3796" s="24"/>
      <c r="Q3796" s="24"/>
      <c r="R3796" s="180"/>
      <c r="S3796" s="181"/>
      <c r="T3796" s="35"/>
      <c r="U3796" s="35"/>
      <c r="V3796" s="35"/>
      <c r="W3796" s="35"/>
      <c r="X3796" s="35"/>
      <c r="Y3796" s="182"/>
      <c r="Z3796" s="175"/>
      <c r="AA3796" s="182"/>
      <c r="AB3796" s="184"/>
    </row>
    <row r="3797" spans="1:28" ht="12.75">
      <c r="A3797" s="173"/>
      <c r="B3797" s="174"/>
      <c r="C3797" s="11"/>
      <c r="D3797" s="175"/>
      <c r="E3797" s="176"/>
      <c r="F3797" s="177"/>
      <c r="G3797" s="178"/>
      <c r="H3797" s="177"/>
      <c r="I3797" s="177"/>
      <c r="J3797" s="179"/>
      <c r="K3797" s="183"/>
      <c r="L3797" s="176"/>
      <c r="M3797" s="177"/>
      <c r="N3797" s="21"/>
      <c r="O3797" s="45"/>
      <c r="P3797" s="24"/>
      <c r="Q3797" s="24"/>
      <c r="R3797" s="180"/>
      <c r="S3797" s="181"/>
      <c r="T3797" s="35"/>
      <c r="U3797" s="35"/>
      <c r="V3797" s="35"/>
      <c r="W3797" s="35"/>
      <c r="X3797" s="35"/>
      <c r="Y3797" s="182"/>
      <c r="Z3797" s="175"/>
      <c r="AA3797" s="182"/>
      <c r="AB3797" s="184"/>
    </row>
    <row r="3798" spans="1:28" ht="12.75">
      <c r="A3798" s="173"/>
      <c r="B3798" s="174"/>
      <c r="C3798" s="11"/>
      <c r="D3798" s="175"/>
      <c r="E3798" s="176"/>
      <c r="F3798" s="177"/>
      <c r="G3798" s="178"/>
      <c r="H3798" s="177"/>
      <c r="I3798" s="177"/>
      <c r="J3798" s="179"/>
      <c r="K3798" s="183"/>
      <c r="L3798" s="176"/>
      <c r="M3798" s="177"/>
      <c r="N3798" s="21"/>
      <c r="O3798" s="45"/>
      <c r="P3798" s="24"/>
      <c r="Q3798" s="24"/>
      <c r="R3798" s="180"/>
      <c r="S3798" s="181"/>
      <c r="T3798" s="35"/>
      <c r="U3798" s="35"/>
      <c r="V3798" s="35"/>
      <c r="W3798" s="35"/>
      <c r="X3798" s="35"/>
      <c r="Y3798" s="182"/>
      <c r="Z3798" s="175"/>
      <c r="AA3798" s="182"/>
      <c r="AB3798" s="184"/>
    </row>
    <row r="3799" spans="1:28" ht="12.75">
      <c r="A3799" s="173"/>
      <c r="B3799" s="174"/>
      <c r="C3799" s="11"/>
      <c r="D3799" s="175"/>
      <c r="E3799" s="176"/>
      <c r="F3799" s="177"/>
      <c r="G3799" s="178"/>
      <c r="H3799" s="177"/>
      <c r="I3799" s="177"/>
      <c r="J3799" s="179"/>
      <c r="K3799" s="183"/>
      <c r="L3799" s="176"/>
      <c r="M3799" s="177"/>
      <c r="N3799" s="21"/>
      <c r="O3799" s="45"/>
      <c r="P3799" s="24"/>
      <c r="Q3799" s="24"/>
      <c r="R3799" s="180"/>
      <c r="S3799" s="181"/>
      <c r="T3799" s="35"/>
      <c r="U3799" s="35"/>
      <c r="V3799" s="35"/>
      <c r="W3799" s="35"/>
      <c r="X3799" s="35"/>
      <c r="Y3799" s="182"/>
      <c r="Z3799" s="175"/>
      <c r="AA3799" s="182"/>
      <c r="AB3799" s="184"/>
    </row>
    <row r="3800" spans="1:28" ht="12.75">
      <c r="A3800" s="173"/>
      <c r="B3800" s="174"/>
      <c r="C3800" s="11"/>
      <c r="D3800" s="175"/>
      <c r="E3800" s="176"/>
      <c r="F3800" s="177"/>
      <c r="G3800" s="178"/>
      <c r="H3800" s="177"/>
      <c r="I3800" s="177"/>
      <c r="J3800" s="179"/>
      <c r="K3800" s="183"/>
      <c r="L3800" s="176"/>
      <c r="M3800" s="177"/>
      <c r="N3800" s="21"/>
      <c r="O3800" s="45"/>
      <c r="P3800" s="24"/>
      <c r="Q3800" s="24"/>
      <c r="R3800" s="180"/>
      <c r="S3800" s="181"/>
      <c r="T3800" s="35"/>
      <c r="U3800" s="35"/>
      <c r="V3800" s="35"/>
      <c r="W3800" s="35"/>
      <c r="X3800" s="35"/>
      <c r="Y3800" s="182"/>
      <c r="Z3800" s="175"/>
      <c r="AA3800" s="182"/>
      <c r="AB3800" s="184"/>
    </row>
    <row r="3801" spans="1:28" ht="12.75">
      <c r="A3801" s="173"/>
      <c r="B3801" s="174"/>
      <c r="C3801" s="11"/>
      <c r="D3801" s="175"/>
      <c r="E3801" s="176"/>
      <c r="F3801" s="177"/>
      <c r="G3801" s="178"/>
      <c r="H3801" s="177"/>
      <c r="I3801" s="177"/>
      <c r="J3801" s="179"/>
      <c r="K3801" s="183"/>
      <c r="L3801" s="176"/>
      <c r="M3801" s="177"/>
      <c r="N3801" s="21"/>
      <c r="O3801" s="45"/>
      <c r="P3801" s="24"/>
      <c r="Q3801" s="24"/>
      <c r="R3801" s="180"/>
      <c r="S3801" s="181"/>
      <c r="T3801" s="35"/>
      <c r="U3801" s="35"/>
      <c r="V3801" s="35"/>
      <c r="W3801" s="35"/>
      <c r="X3801" s="35"/>
      <c r="Y3801" s="182"/>
      <c r="Z3801" s="175"/>
      <c r="AA3801" s="182"/>
      <c r="AB3801" s="184"/>
    </row>
    <row r="3802" spans="1:28" ht="12.75">
      <c r="A3802" s="173"/>
      <c r="B3802" s="174"/>
      <c r="C3802" s="11"/>
      <c r="D3802" s="175"/>
      <c r="E3802" s="176"/>
      <c r="F3802" s="177"/>
      <c r="G3802" s="178"/>
      <c r="H3802" s="177"/>
      <c r="I3802" s="177"/>
      <c r="J3802" s="179"/>
      <c r="K3802" s="183"/>
      <c r="L3802" s="176"/>
      <c r="M3802" s="177"/>
      <c r="N3802" s="21"/>
      <c r="O3802" s="45"/>
      <c r="P3802" s="24"/>
      <c r="Q3802" s="24"/>
      <c r="R3802" s="180"/>
      <c r="S3802" s="181"/>
      <c r="T3802" s="35"/>
      <c r="U3802" s="35"/>
      <c r="V3802" s="35"/>
      <c r="W3802" s="35"/>
      <c r="X3802" s="35"/>
      <c r="Y3802" s="182"/>
      <c r="Z3802" s="175"/>
      <c r="AA3802" s="182"/>
      <c r="AB3802" s="184"/>
    </row>
    <row r="3803" spans="1:28" ht="12.75">
      <c r="A3803" s="173"/>
      <c r="B3803" s="174"/>
      <c r="C3803" s="11"/>
      <c r="D3803" s="175"/>
      <c r="E3803" s="176"/>
      <c r="F3803" s="177"/>
      <c r="G3803" s="178"/>
      <c r="H3803" s="177"/>
      <c r="I3803" s="177"/>
      <c r="J3803" s="179"/>
      <c r="K3803" s="183"/>
      <c r="L3803" s="176"/>
      <c r="M3803" s="177"/>
      <c r="N3803" s="21"/>
      <c r="O3803" s="45"/>
      <c r="P3803" s="24"/>
      <c r="Q3803" s="24"/>
      <c r="R3803" s="180"/>
      <c r="S3803" s="181"/>
      <c r="T3803" s="35"/>
      <c r="U3803" s="35"/>
      <c r="V3803" s="35"/>
      <c r="W3803" s="35"/>
      <c r="X3803" s="35"/>
      <c r="Y3803" s="182"/>
      <c r="Z3803" s="175"/>
      <c r="AA3803" s="182"/>
      <c r="AB3803" s="184"/>
    </row>
    <row r="3804" spans="1:28" ht="12.75">
      <c r="A3804" s="173"/>
      <c r="B3804" s="174"/>
      <c r="C3804" s="11"/>
      <c r="D3804" s="175"/>
      <c r="E3804" s="176"/>
      <c r="F3804" s="177"/>
      <c r="G3804" s="178"/>
      <c r="H3804" s="177"/>
      <c r="I3804" s="177"/>
      <c r="J3804" s="179"/>
      <c r="K3804" s="183"/>
      <c r="L3804" s="176"/>
      <c r="M3804" s="177"/>
      <c r="N3804" s="21"/>
      <c r="O3804" s="45"/>
      <c r="P3804" s="24"/>
      <c r="Q3804" s="24"/>
      <c r="R3804" s="180"/>
      <c r="S3804" s="181"/>
      <c r="T3804" s="35"/>
      <c r="U3804" s="35"/>
      <c r="V3804" s="35"/>
      <c r="W3804" s="35"/>
      <c r="X3804" s="35"/>
      <c r="Y3804" s="182"/>
      <c r="Z3804" s="175"/>
      <c r="AA3804" s="182"/>
      <c r="AB3804" s="184"/>
    </row>
    <row r="3805" spans="1:28" ht="12.75">
      <c r="A3805" s="173"/>
      <c r="B3805" s="174"/>
      <c r="C3805" s="11"/>
      <c r="D3805" s="175"/>
      <c r="E3805" s="176"/>
      <c r="F3805" s="177"/>
      <c r="G3805" s="178"/>
      <c r="H3805" s="177"/>
      <c r="I3805" s="177"/>
      <c r="J3805" s="179"/>
      <c r="K3805" s="183"/>
      <c r="L3805" s="176"/>
      <c r="M3805" s="177"/>
      <c r="N3805" s="21"/>
      <c r="O3805" s="45"/>
      <c r="P3805" s="24"/>
      <c r="Q3805" s="24"/>
      <c r="R3805" s="180"/>
      <c r="S3805" s="181"/>
      <c r="T3805" s="35"/>
      <c r="U3805" s="35"/>
      <c r="V3805" s="35"/>
      <c r="W3805" s="35"/>
      <c r="X3805" s="35"/>
      <c r="Y3805" s="182"/>
      <c r="Z3805" s="175"/>
      <c r="AA3805" s="182"/>
      <c r="AB3805" s="184"/>
    </row>
    <row r="3806" spans="1:28" ht="12.75">
      <c r="A3806" s="173"/>
      <c r="B3806" s="174"/>
      <c r="C3806" s="11"/>
      <c r="D3806" s="175"/>
      <c r="E3806" s="176"/>
      <c r="F3806" s="177"/>
      <c r="G3806" s="178"/>
      <c r="H3806" s="177"/>
      <c r="I3806" s="177"/>
      <c r="J3806" s="179"/>
      <c r="K3806" s="183"/>
      <c r="L3806" s="176"/>
      <c r="M3806" s="177"/>
      <c r="N3806" s="21"/>
      <c r="O3806" s="45"/>
      <c r="P3806" s="24"/>
      <c r="Q3806" s="24"/>
      <c r="R3806" s="180"/>
      <c r="S3806" s="181"/>
      <c r="T3806" s="35"/>
      <c r="U3806" s="35"/>
      <c r="V3806" s="35"/>
      <c r="W3806" s="35"/>
      <c r="X3806" s="35"/>
      <c r="Y3806" s="182"/>
      <c r="Z3806" s="175"/>
      <c r="AA3806" s="182"/>
      <c r="AB3806" s="184"/>
    </row>
    <row r="3807" spans="1:28" ht="12.75">
      <c r="A3807" s="173"/>
      <c r="B3807" s="174"/>
      <c r="C3807" s="11"/>
      <c r="D3807" s="175"/>
      <c r="E3807" s="176"/>
      <c r="F3807" s="177"/>
      <c r="G3807" s="178"/>
      <c r="H3807" s="177"/>
      <c r="I3807" s="177"/>
      <c r="J3807" s="179"/>
      <c r="K3807" s="183"/>
      <c r="L3807" s="176"/>
      <c r="M3807" s="177"/>
      <c r="N3807" s="21"/>
      <c r="O3807" s="45"/>
      <c r="P3807" s="24"/>
      <c r="Q3807" s="24"/>
      <c r="R3807" s="180"/>
      <c r="S3807" s="181"/>
      <c r="T3807" s="35"/>
      <c r="U3807" s="35"/>
      <c r="V3807" s="35"/>
      <c r="W3807" s="35"/>
      <c r="X3807" s="35"/>
      <c r="Y3807" s="182"/>
      <c r="Z3807" s="175"/>
      <c r="AA3807" s="182"/>
      <c r="AB3807" s="184"/>
    </row>
    <row r="3808" spans="1:28" ht="12.75">
      <c r="A3808" s="173"/>
      <c r="B3808" s="174"/>
      <c r="C3808" s="11"/>
      <c r="D3808" s="175"/>
      <c r="E3808" s="176"/>
      <c r="F3808" s="177"/>
      <c r="G3808" s="178"/>
      <c r="H3808" s="177"/>
      <c r="I3808" s="177"/>
      <c r="J3808" s="179"/>
      <c r="K3808" s="183"/>
      <c r="L3808" s="176"/>
      <c r="M3808" s="177"/>
      <c r="N3808" s="21"/>
      <c r="O3808" s="45"/>
      <c r="P3808" s="24"/>
      <c r="Q3808" s="24"/>
      <c r="R3808" s="180"/>
      <c r="S3808" s="181"/>
      <c r="T3808" s="35"/>
      <c r="U3808" s="35"/>
      <c r="V3808" s="35"/>
      <c r="W3808" s="35"/>
      <c r="X3808" s="35"/>
      <c r="Y3808" s="182"/>
      <c r="Z3808" s="175"/>
      <c r="AA3808" s="182"/>
      <c r="AB3808" s="184"/>
    </row>
    <row r="3809" spans="1:28" ht="12.75">
      <c r="A3809" s="173"/>
      <c r="B3809" s="174"/>
      <c r="C3809" s="11"/>
      <c r="D3809" s="175"/>
      <c r="E3809" s="176"/>
      <c r="F3809" s="177"/>
      <c r="G3809" s="178"/>
      <c r="H3809" s="177"/>
      <c r="I3809" s="177"/>
      <c r="J3809" s="179"/>
      <c r="K3809" s="183"/>
      <c r="L3809" s="176"/>
      <c r="M3809" s="177"/>
      <c r="N3809" s="21"/>
      <c r="O3809" s="45"/>
      <c r="P3809" s="24"/>
      <c r="Q3809" s="24"/>
      <c r="R3809" s="180"/>
      <c r="S3809" s="181"/>
      <c r="T3809" s="35"/>
      <c r="U3809" s="35"/>
      <c r="V3809" s="35"/>
      <c r="W3809" s="35"/>
      <c r="X3809" s="35"/>
      <c r="Y3809" s="182"/>
      <c r="Z3809" s="175"/>
      <c r="AA3809" s="182"/>
      <c r="AB3809" s="184"/>
    </row>
    <row r="3810" spans="1:28" ht="12.75">
      <c r="A3810" s="173"/>
      <c r="B3810" s="174"/>
      <c r="C3810" s="11"/>
      <c r="D3810" s="175"/>
      <c r="E3810" s="176"/>
      <c r="F3810" s="177"/>
      <c r="G3810" s="178"/>
      <c r="H3810" s="177"/>
      <c r="I3810" s="177"/>
      <c r="J3810" s="179"/>
      <c r="K3810" s="183"/>
      <c r="L3810" s="176"/>
      <c r="M3810" s="177"/>
      <c r="N3810" s="21"/>
      <c r="O3810" s="45"/>
      <c r="P3810" s="24"/>
      <c r="Q3810" s="24"/>
      <c r="R3810" s="180"/>
      <c r="S3810" s="181"/>
      <c r="T3810" s="35"/>
      <c r="U3810" s="35"/>
      <c r="V3810" s="35"/>
      <c r="W3810" s="35"/>
      <c r="X3810" s="35"/>
      <c r="Y3810" s="182"/>
      <c r="Z3810" s="175"/>
      <c r="AA3810" s="182"/>
      <c r="AB3810" s="184"/>
    </row>
    <row r="3811" spans="1:28" ht="12.75">
      <c r="A3811" s="173"/>
      <c r="B3811" s="174"/>
      <c r="C3811" s="11"/>
      <c r="D3811" s="175"/>
      <c r="E3811" s="176"/>
      <c r="F3811" s="177"/>
      <c r="G3811" s="178"/>
      <c r="H3811" s="177"/>
      <c r="I3811" s="177"/>
      <c r="J3811" s="179"/>
      <c r="K3811" s="183"/>
      <c r="L3811" s="176"/>
      <c r="M3811" s="177"/>
      <c r="N3811" s="21"/>
      <c r="O3811" s="45"/>
      <c r="P3811" s="24"/>
      <c r="Q3811" s="24"/>
      <c r="R3811" s="180"/>
      <c r="S3811" s="181"/>
      <c r="T3811" s="35"/>
      <c r="U3811" s="35"/>
      <c r="V3811" s="35"/>
      <c r="W3811" s="35"/>
      <c r="X3811" s="35"/>
      <c r="Y3811" s="182"/>
      <c r="Z3811" s="175"/>
      <c r="AA3811" s="182"/>
      <c r="AB3811" s="184"/>
    </row>
    <row r="3812" spans="1:28" ht="12.75">
      <c r="A3812" s="173"/>
      <c r="B3812" s="174"/>
      <c r="C3812" s="11"/>
      <c r="D3812" s="175"/>
      <c r="E3812" s="176"/>
      <c r="F3812" s="177"/>
      <c r="G3812" s="178"/>
      <c r="H3812" s="177"/>
      <c r="I3812" s="177"/>
      <c r="J3812" s="179"/>
      <c r="K3812" s="183"/>
      <c r="L3812" s="176"/>
      <c r="M3812" s="177"/>
      <c r="N3812" s="21"/>
      <c r="O3812" s="45"/>
      <c r="P3812" s="24"/>
      <c r="Q3812" s="24"/>
      <c r="R3812" s="180"/>
      <c r="S3812" s="181"/>
      <c r="T3812" s="35"/>
      <c r="U3812" s="35"/>
      <c r="V3812" s="35"/>
      <c r="W3812" s="35"/>
      <c r="X3812" s="35"/>
      <c r="Y3812" s="182"/>
      <c r="Z3812" s="175"/>
      <c r="AA3812" s="182"/>
      <c r="AB3812" s="184"/>
    </row>
    <row r="3813" spans="1:28" ht="12.75">
      <c r="A3813" s="173"/>
      <c r="B3813" s="174"/>
      <c r="C3813" s="11"/>
      <c r="D3813" s="175"/>
      <c r="E3813" s="176"/>
      <c r="F3813" s="177"/>
      <c r="G3813" s="178"/>
      <c r="H3813" s="177"/>
      <c r="I3813" s="177"/>
      <c r="J3813" s="179"/>
      <c r="K3813" s="183"/>
      <c r="L3813" s="176"/>
      <c r="M3813" s="177"/>
      <c r="N3813" s="21"/>
      <c r="O3813" s="45"/>
      <c r="P3813" s="24"/>
      <c r="Q3813" s="24"/>
      <c r="R3813" s="180"/>
      <c r="S3813" s="181"/>
      <c r="T3813" s="35"/>
      <c r="U3813" s="35"/>
      <c r="V3813" s="35"/>
      <c r="W3813" s="35"/>
      <c r="X3813" s="35"/>
      <c r="Y3813" s="182"/>
      <c r="Z3813" s="175"/>
      <c r="AA3813" s="182"/>
      <c r="AB3813" s="184"/>
    </row>
    <row r="3814" spans="1:28" ht="12.75">
      <c r="A3814" s="173"/>
      <c r="B3814" s="174"/>
      <c r="C3814" s="11"/>
      <c r="D3814" s="175"/>
      <c r="E3814" s="176"/>
      <c r="F3814" s="177"/>
      <c r="G3814" s="178"/>
      <c r="H3814" s="177"/>
      <c r="I3814" s="177"/>
      <c r="J3814" s="179"/>
      <c r="K3814" s="183"/>
      <c r="L3814" s="176"/>
      <c r="M3814" s="177"/>
      <c r="N3814" s="21"/>
      <c r="O3814" s="45"/>
      <c r="P3814" s="24"/>
      <c r="Q3814" s="24"/>
      <c r="R3814" s="180"/>
      <c r="S3814" s="181"/>
      <c r="T3814" s="35"/>
      <c r="U3814" s="35"/>
      <c r="V3814" s="35"/>
      <c r="W3814" s="35"/>
      <c r="X3814" s="35"/>
      <c r="Y3814" s="182"/>
      <c r="Z3814" s="175"/>
      <c r="AA3814" s="182"/>
      <c r="AB3814" s="184"/>
    </row>
    <row r="3815" spans="1:28" ht="12.75">
      <c r="A3815" s="173"/>
      <c r="B3815" s="174"/>
      <c r="C3815" s="11"/>
      <c r="D3815" s="175"/>
      <c r="E3815" s="176"/>
      <c r="F3815" s="177"/>
      <c r="G3815" s="178"/>
      <c r="H3815" s="177"/>
      <c r="I3815" s="177"/>
      <c r="J3815" s="179"/>
      <c r="K3815" s="183"/>
      <c r="L3815" s="176"/>
      <c r="M3815" s="177"/>
      <c r="N3815" s="21"/>
      <c r="O3815" s="45"/>
      <c r="P3815" s="24"/>
      <c r="Q3815" s="24"/>
      <c r="R3815" s="180"/>
      <c r="S3815" s="181"/>
      <c r="T3815" s="35"/>
      <c r="U3815" s="35"/>
      <c r="V3815" s="35"/>
      <c r="W3815" s="35"/>
      <c r="X3815" s="35"/>
      <c r="Y3815" s="182"/>
      <c r="Z3815" s="175"/>
      <c r="AA3815" s="182"/>
      <c r="AB3815" s="184"/>
    </row>
    <row r="3816" spans="1:28" ht="12.75">
      <c r="A3816" s="173"/>
      <c r="B3816" s="174"/>
      <c r="C3816" s="11"/>
      <c r="D3816" s="175"/>
      <c r="E3816" s="176"/>
      <c r="F3816" s="177"/>
      <c r="G3816" s="178"/>
      <c r="H3816" s="177"/>
      <c r="I3816" s="177"/>
      <c r="J3816" s="179"/>
      <c r="K3816" s="183"/>
      <c r="L3816" s="176"/>
      <c r="M3816" s="177"/>
      <c r="N3816" s="21"/>
      <c r="O3816" s="45"/>
      <c r="P3816" s="24"/>
      <c r="Q3816" s="24"/>
      <c r="R3816" s="180"/>
      <c r="S3816" s="181"/>
      <c r="T3816" s="35"/>
      <c r="U3816" s="35"/>
      <c r="V3816" s="35"/>
      <c r="W3816" s="35"/>
      <c r="X3816" s="35"/>
      <c r="Y3816" s="182"/>
      <c r="Z3816" s="175"/>
      <c r="AA3816" s="182"/>
      <c r="AB3816" s="184"/>
    </row>
    <row r="3817" spans="1:28" ht="12.75">
      <c r="A3817" s="173"/>
      <c r="B3817" s="174"/>
      <c r="C3817" s="11"/>
      <c r="D3817" s="175"/>
      <c r="E3817" s="176"/>
      <c r="F3817" s="177"/>
      <c r="G3817" s="178"/>
      <c r="H3817" s="177"/>
      <c r="I3817" s="177"/>
      <c r="J3817" s="179"/>
      <c r="K3817" s="183"/>
      <c r="L3817" s="176"/>
      <c r="M3817" s="177"/>
      <c r="N3817" s="21"/>
      <c r="O3817" s="45"/>
      <c r="P3817" s="24"/>
      <c r="Q3817" s="24"/>
      <c r="R3817" s="180"/>
      <c r="S3817" s="181"/>
      <c r="T3817" s="35"/>
      <c r="U3817" s="35"/>
      <c r="V3817" s="35"/>
      <c r="W3817" s="35"/>
      <c r="X3817" s="35"/>
      <c r="Y3817" s="182"/>
      <c r="Z3817" s="175"/>
      <c r="AA3817" s="182"/>
      <c r="AB3817" s="184"/>
    </row>
    <row r="3818" spans="1:28" ht="12.75">
      <c r="A3818" s="173"/>
      <c r="B3818" s="174"/>
      <c r="C3818" s="11"/>
      <c r="D3818" s="175"/>
      <c r="E3818" s="176"/>
      <c r="F3818" s="177"/>
      <c r="G3818" s="178"/>
      <c r="H3818" s="177"/>
      <c r="I3818" s="177"/>
      <c r="J3818" s="179"/>
      <c r="K3818" s="183"/>
      <c r="L3818" s="176"/>
      <c r="M3818" s="177"/>
      <c r="N3818" s="21"/>
      <c r="O3818" s="45"/>
      <c r="P3818" s="24"/>
      <c r="Q3818" s="24"/>
      <c r="R3818" s="180"/>
      <c r="S3818" s="181"/>
      <c r="T3818" s="35"/>
      <c r="U3818" s="35"/>
      <c r="V3818" s="35"/>
      <c r="W3818" s="35"/>
      <c r="X3818" s="35"/>
      <c r="Y3818" s="182"/>
      <c r="Z3818" s="175"/>
      <c r="AA3818" s="182"/>
      <c r="AB3818" s="184"/>
    </row>
    <row r="3819" spans="1:28" ht="12.75">
      <c r="A3819" s="173"/>
      <c r="B3819" s="174"/>
      <c r="C3819" s="11"/>
      <c r="D3819" s="175"/>
      <c r="E3819" s="176"/>
      <c r="F3819" s="177"/>
      <c r="G3819" s="178"/>
      <c r="H3819" s="177"/>
      <c r="I3819" s="177"/>
      <c r="J3819" s="179"/>
      <c r="K3819" s="183"/>
      <c r="L3819" s="176"/>
      <c r="M3819" s="177"/>
      <c r="N3819" s="21"/>
      <c r="O3819" s="45"/>
      <c r="P3819" s="24"/>
      <c r="Q3819" s="24"/>
      <c r="R3819" s="180"/>
      <c r="S3819" s="181"/>
      <c r="T3819" s="35"/>
      <c r="U3819" s="35"/>
      <c r="V3819" s="35"/>
      <c r="W3819" s="35"/>
      <c r="X3819" s="35"/>
      <c r="Y3819" s="182"/>
      <c r="Z3819" s="175"/>
      <c r="AA3819" s="182"/>
      <c r="AB3819" s="184"/>
    </row>
    <row r="3820" spans="1:28" ht="12.75">
      <c r="A3820" s="173"/>
      <c r="B3820" s="174"/>
      <c r="C3820" s="11"/>
      <c r="D3820" s="175"/>
      <c r="E3820" s="176"/>
      <c r="F3820" s="177"/>
      <c r="G3820" s="178"/>
      <c r="H3820" s="177"/>
      <c r="I3820" s="177"/>
      <c r="J3820" s="179"/>
      <c r="K3820" s="183"/>
      <c r="L3820" s="176"/>
      <c r="M3820" s="177"/>
      <c r="N3820" s="21"/>
      <c r="O3820" s="45"/>
      <c r="P3820" s="24"/>
      <c r="Q3820" s="24"/>
      <c r="R3820" s="180"/>
      <c r="S3820" s="181"/>
      <c r="T3820" s="35"/>
      <c r="U3820" s="35"/>
      <c r="V3820" s="35"/>
      <c r="W3820" s="35"/>
      <c r="X3820" s="35"/>
      <c r="Y3820" s="182"/>
      <c r="Z3820" s="175"/>
      <c r="AA3820" s="182"/>
      <c r="AB3820" s="184"/>
    </row>
    <row r="3821" spans="1:28" ht="12.75">
      <c r="A3821" s="173"/>
      <c r="B3821" s="174"/>
      <c r="C3821" s="11"/>
      <c r="D3821" s="175"/>
      <c r="E3821" s="176"/>
      <c r="F3821" s="177"/>
      <c r="G3821" s="178"/>
      <c r="H3821" s="177"/>
      <c r="I3821" s="177"/>
      <c r="J3821" s="179"/>
      <c r="K3821" s="183"/>
      <c r="L3821" s="176"/>
      <c r="M3821" s="177"/>
      <c r="N3821" s="21"/>
      <c r="O3821" s="45"/>
      <c r="P3821" s="24"/>
      <c r="Q3821" s="24"/>
      <c r="R3821" s="180"/>
      <c r="S3821" s="181"/>
      <c r="T3821" s="35"/>
      <c r="U3821" s="35"/>
      <c r="V3821" s="35"/>
      <c r="W3821" s="35"/>
      <c r="X3821" s="35"/>
      <c r="Y3821" s="182"/>
      <c r="Z3821" s="175"/>
      <c r="AA3821" s="182"/>
      <c r="AB3821" s="184"/>
    </row>
    <row r="3822" spans="1:28" ht="12.75">
      <c r="A3822" s="173"/>
      <c r="B3822" s="174"/>
      <c r="C3822" s="11"/>
      <c r="D3822" s="175"/>
      <c r="E3822" s="176"/>
      <c r="F3822" s="177"/>
      <c r="G3822" s="178"/>
      <c r="H3822" s="177"/>
      <c r="I3822" s="177"/>
      <c r="J3822" s="179"/>
      <c r="K3822" s="183"/>
      <c r="L3822" s="176"/>
      <c r="M3822" s="177"/>
      <c r="N3822" s="21"/>
      <c r="O3822" s="45"/>
      <c r="P3822" s="24"/>
      <c r="Q3822" s="24"/>
      <c r="R3822" s="180"/>
      <c r="S3822" s="181"/>
      <c r="T3822" s="35"/>
      <c r="U3822" s="35"/>
      <c r="V3822" s="35"/>
      <c r="W3822" s="35"/>
      <c r="X3822" s="35"/>
      <c r="Y3822" s="182"/>
      <c r="Z3822" s="175"/>
      <c r="AA3822" s="182"/>
      <c r="AB3822" s="184"/>
    </row>
    <row r="3823" spans="1:28" ht="12.75">
      <c r="A3823" s="173"/>
      <c r="B3823" s="174"/>
      <c r="C3823" s="11"/>
      <c r="D3823" s="175"/>
      <c r="E3823" s="176"/>
      <c r="F3823" s="177"/>
      <c r="G3823" s="178"/>
      <c r="H3823" s="177"/>
      <c r="I3823" s="177"/>
      <c r="J3823" s="179"/>
      <c r="K3823" s="183"/>
      <c r="L3823" s="176"/>
      <c r="M3823" s="177"/>
      <c r="N3823" s="21"/>
      <c r="O3823" s="45"/>
      <c r="P3823" s="24"/>
      <c r="Q3823" s="24"/>
      <c r="R3823" s="180"/>
      <c r="S3823" s="181"/>
      <c r="T3823" s="35"/>
      <c r="U3823" s="35"/>
      <c r="V3823" s="35"/>
      <c r="W3823" s="35"/>
      <c r="X3823" s="35"/>
      <c r="Y3823" s="182"/>
      <c r="Z3823" s="175"/>
      <c r="AA3823" s="182"/>
      <c r="AB3823" s="184"/>
    </row>
    <row r="3824" spans="1:28" ht="12.75">
      <c r="A3824" s="173"/>
      <c r="B3824" s="174"/>
      <c r="C3824" s="11"/>
      <c r="D3824" s="175"/>
      <c r="E3824" s="176"/>
      <c r="F3824" s="177"/>
      <c r="G3824" s="178"/>
      <c r="H3824" s="177"/>
      <c r="I3824" s="177"/>
      <c r="J3824" s="179"/>
      <c r="K3824" s="183"/>
      <c r="L3824" s="176"/>
      <c r="M3824" s="177"/>
      <c r="N3824" s="21"/>
      <c r="O3824" s="45"/>
      <c r="P3824" s="24"/>
      <c r="Q3824" s="24"/>
      <c r="R3824" s="180"/>
      <c r="S3824" s="181"/>
      <c r="T3824" s="35"/>
      <c r="U3824" s="35"/>
      <c r="V3824" s="35"/>
      <c r="W3824" s="35"/>
      <c r="X3824" s="35"/>
      <c r="Y3824" s="182"/>
      <c r="Z3824" s="175"/>
      <c r="AA3824" s="182"/>
      <c r="AB3824" s="184"/>
    </row>
    <row r="3825" spans="1:28" ht="12.75">
      <c r="A3825" s="173"/>
      <c r="B3825" s="174"/>
      <c r="C3825" s="11"/>
      <c r="D3825" s="175"/>
      <c r="E3825" s="176"/>
      <c r="F3825" s="177"/>
      <c r="G3825" s="178"/>
      <c r="H3825" s="177"/>
      <c r="I3825" s="177"/>
      <c r="J3825" s="179"/>
      <c r="K3825" s="183"/>
      <c r="L3825" s="176"/>
      <c r="M3825" s="177"/>
      <c r="N3825" s="21"/>
      <c r="O3825" s="45"/>
      <c r="P3825" s="24"/>
      <c r="Q3825" s="24"/>
      <c r="R3825" s="180"/>
      <c r="S3825" s="181"/>
      <c r="T3825" s="35"/>
      <c r="U3825" s="35"/>
      <c r="V3825" s="35"/>
      <c r="W3825" s="35"/>
      <c r="X3825" s="35"/>
      <c r="Y3825" s="182"/>
      <c r="Z3825" s="175"/>
      <c r="AA3825" s="182"/>
      <c r="AB3825" s="184"/>
    </row>
    <row r="3826" spans="1:28" ht="12.75">
      <c r="A3826" s="173"/>
      <c r="B3826" s="174"/>
      <c r="C3826" s="11"/>
      <c r="D3826" s="175"/>
      <c r="E3826" s="176"/>
      <c r="F3826" s="177"/>
      <c r="G3826" s="178"/>
      <c r="H3826" s="177"/>
      <c r="I3826" s="177"/>
      <c r="J3826" s="179"/>
      <c r="K3826" s="183"/>
      <c r="L3826" s="176"/>
      <c r="M3826" s="177"/>
      <c r="N3826" s="21"/>
      <c r="O3826" s="45"/>
      <c r="P3826" s="24"/>
      <c r="Q3826" s="24"/>
      <c r="R3826" s="180"/>
      <c r="S3826" s="181"/>
      <c r="T3826" s="35"/>
      <c r="U3826" s="35"/>
      <c r="V3826" s="35"/>
      <c r="W3826" s="35"/>
      <c r="X3826" s="35"/>
      <c r="Y3826" s="182"/>
      <c r="Z3826" s="175"/>
      <c r="AA3826" s="182"/>
      <c r="AB3826" s="184"/>
    </row>
    <row r="3827" spans="1:28" ht="12.75">
      <c r="A3827" s="173"/>
      <c r="B3827" s="174"/>
      <c r="C3827" s="11"/>
      <c r="D3827" s="175"/>
      <c r="E3827" s="176"/>
      <c r="F3827" s="177"/>
      <c r="G3827" s="178"/>
      <c r="H3827" s="177"/>
      <c r="I3827" s="177"/>
      <c r="J3827" s="179"/>
      <c r="K3827" s="183"/>
      <c r="L3827" s="176"/>
      <c r="M3827" s="177"/>
      <c r="N3827" s="21"/>
      <c r="O3827" s="45"/>
      <c r="P3827" s="24"/>
      <c r="Q3827" s="24"/>
      <c r="R3827" s="180"/>
      <c r="S3827" s="181"/>
      <c r="T3827" s="35"/>
      <c r="U3827" s="35"/>
      <c r="V3827" s="35"/>
      <c r="W3827" s="35"/>
      <c r="X3827" s="35"/>
      <c r="Y3827" s="182"/>
      <c r="Z3827" s="175"/>
      <c r="AA3827" s="182"/>
      <c r="AB3827" s="184"/>
    </row>
    <row r="3828" spans="1:28" ht="12.75">
      <c r="A3828" s="173"/>
      <c r="B3828" s="174"/>
      <c r="C3828" s="11"/>
      <c r="D3828" s="175"/>
      <c r="E3828" s="176"/>
      <c r="F3828" s="177"/>
      <c r="G3828" s="178"/>
      <c r="H3828" s="177"/>
      <c r="I3828" s="177"/>
      <c r="J3828" s="179"/>
      <c r="K3828" s="183"/>
      <c r="L3828" s="176"/>
      <c r="M3828" s="177"/>
      <c r="N3828" s="21"/>
      <c r="O3828" s="45"/>
      <c r="P3828" s="24"/>
      <c r="Q3828" s="24"/>
      <c r="R3828" s="180"/>
      <c r="S3828" s="181"/>
      <c r="T3828" s="35"/>
      <c r="U3828" s="35"/>
      <c r="V3828" s="35"/>
      <c r="W3828" s="35"/>
      <c r="X3828" s="35"/>
      <c r="Y3828" s="182"/>
      <c r="Z3828" s="175"/>
      <c r="AA3828" s="182"/>
      <c r="AB3828" s="184"/>
    </row>
    <row r="3829" spans="1:28" ht="12.75">
      <c r="A3829" s="173"/>
      <c r="B3829" s="174"/>
      <c r="C3829" s="11"/>
      <c r="D3829" s="175"/>
      <c r="E3829" s="176"/>
      <c r="F3829" s="177"/>
      <c r="G3829" s="178"/>
      <c r="H3829" s="177"/>
      <c r="I3829" s="177"/>
      <c r="J3829" s="179"/>
      <c r="K3829" s="183"/>
      <c r="L3829" s="176"/>
      <c r="M3829" s="177"/>
      <c r="N3829" s="21"/>
      <c r="O3829" s="45"/>
      <c r="P3829" s="24"/>
      <c r="Q3829" s="24"/>
      <c r="R3829" s="180"/>
      <c r="S3829" s="181"/>
      <c r="T3829" s="35"/>
      <c r="U3829" s="35"/>
      <c r="V3829" s="35"/>
      <c r="W3829" s="35"/>
      <c r="X3829" s="35"/>
      <c r="Y3829" s="182"/>
      <c r="Z3829" s="175"/>
      <c r="AA3829" s="182"/>
      <c r="AB3829" s="184"/>
    </row>
    <row r="3830" spans="1:28" ht="12.75">
      <c r="A3830" s="173"/>
      <c r="B3830" s="174"/>
      <c r="C3830" s="11"/>
      <c r="D3830" s="175"/>
      <c r="E3830" s="176"/>
      <c r="F3830" s="177"/>
      <c r="G3830" s="178"/>
      <c r="H3830" s="177"/>
      <c r="I3830" s="177"/>
      <c r="J3830" s="179"/>
      <c r="K3830" s="183"/>
      <c r="L3830" s="176"/>
      <c r="M3830" s="177"/>
      <c r="N3830" s="21"/>
      <c r="O3830" s="45"/>
      <c r="P3830" s="24"/>
      <c r="Q3830" s="24"/>
      <c r="R3830" s="180"/>
      <c r="S3830" s="181"/>
      <c r="T3830" s="35"/>
      <c r="U3830" s="35"/>
      <c r="V3830" s="35"/>
      <c r="W3830" s="35"/>
      <c r="X3830" s="35"/>
      <c r="Y3830" s="182"/>
      <c r="Z3830" s="175"/>
      <c r="AA3830" s="182"/>
      <c r="AB3830" s="184"/>
    </row>
    <row r="3831" spans="1:28" ht="12.75">
      <c r="A3831" s="173"/>
      <c r="B3831" s="174"/>
      <c r="C3831" s="11"/>
      <c r="D3831" s="175"/>
      <c r="E3831" s="176"/>
      <c r="F3831" s="177"/>
      <c r="G3831" s="178"/>
      <c r="H3831" s="177"/>
      <c r="I3831" s="177"/>
      <c r="J3831" s="179"/>
      <c r="K3831" s="183"/>
      <c r="L3831" s="176"/>
      <c r="M3831" s="177"/>
      <c r="N3831" s="21"/>
      <c r="O3831" s="45"/>
      <c r="P3831" s="24"/>
      <c r="Q3831" s="24"/>
      <c r="R3831" s="180"/>
      <c r="S3831" s="181"/>
      <c r="T3831" s="35"/>
      <c r="U3831" s="35"/>
      <c r="V3831" s="35"/>
      <c r="W3831" s="35"/>
      <c r="X3831" s="35"/>
      <c r="Y3831" s="182"/>
      <c r="Z3831" s="175"/>
      <c r="AA3831" s="182"/>
      <c r="AB3831" s="184"/>
    </row>
    <row r="3832" spans="1:28" ht="12.75">
      <c r="A3832" s="173"/>
      <c r="B3832" s="174"/>
      <c r="C3832" s="11"/>
      <c r="D3832" s="175"/>
      <c r="E3832" s="176"/>
      <c r="F3832" s="177"/>
      <c r="G3832" s="178"/>
      <c r="H3832" s="177"/>
      <c r="I3832" s="177"/>
      <c r="J3832" s="179"/>
      <c r="K3832" s="183"/>
      <c r="L3832" s="176"/>
      <c r="M3832" s="177"/>
      <c r="N3832" s="21"/>
      <c r="O3832" s="45"/>
      <c r="P3832" s="24"/>
      <c r="Q3832" s="24"/>
      <c r="R3832" s="180"/>
      <c r="S3832" s="181"/>
      <c r="T3832" s="35"/>
      <c r="U3832" s="35"/>
      <c r="V3832" s="35"/>
      <c r="W3832" s="35"/>
      <c r="X3832" s="35"/>
      <c r="Y3832" s="182"/>
      <c r="Z3832" s="175"/>
      <c r="AA3832" s="182"/>
      <c r="AB3832" s="184"/>
    </row>
    <row r="3833" spans="1:28" ht="12.75">
      <c r="A3833" s="173"/>
      <c r="B3833" s="174"/>
      <c r="C3833" s="11"/>
      <c r="D3833" s="175"/>
      <c r="E3833" s="176"/>
      <c r="F3833" s="177"/>
      <c r="G3833" s="178"/>
      <c r="H3833" s="177"/>
      <c r="I3833" s="177"/>
      <c r="J3833" s="179"/>
      <c r="K3833" s="183"/>
      <c r="L3833" s="176"/>
      <c r="M3833" s="177"/>
      <c r="N3833" s="21"/>
      <c r="O3833" s="45"/>
      <c r="P3833" s="24"/>
      <c r="Q3833" s="24"/>
      <c r="R3833" s="180"/>
      <c r="S3833" s="181"/>
      <c r="T3833" s="35"/>
      <c r="U3833" s="35"/>
      <c r="V3833" s="35"/>
      <c r="W3833" s="35"/>
      <c r="X3833" s="35"/>
      <c r="Y3833" s="182"/>
      <c r="Z3833" s="175"/>
      <c r="AA3833" s="182"/>
      <c r="AB3833" s="184"/>
    </row>
    <row r="3834" spans="1:28" ht="12.75">
      <c r="A3834" s="173"/>
      <c r="B3834" s="174"/>
      <c r="C3834" s="11"/>
      <c r="D3834" s="175"/>
      <c r="E3834" s="176"/>
      <c r="F3834" s="177"/>
      <c r="G3834" s="178"/>
      <c r="H3834" s="177"/>
      <c r="I3834" s="177"/>
      <c r="J3834" s="179"/>
      <c r="K3834" s="183"/>
      <c r="L3834" s="176"/>
      <c r="M3834" s="177"/>
      <c r="N3834" s="21"/>
      <c r="O3834" s="45"/>
      <c r="P3834" s="24"/>
      <c r="Q3834" s="24"/>
      <c r="R3834" s="180"/>
      <c r="S3834" s="181"/>
      <c r="T3834" s="35"/>
      <c r="U3834" s="35"/>
      <c r="V3834" s="35"/>
      <c r="W3834" s="35"/>
      <c r="X3834" s="35"/>
      <c r="Y3834" s="182"/>
      <c r="Z3834" s="175"/>
      <c r="AA3834" s="182"/>
      <c r="AB3834" s="184"/>
    </row>
    <row r="3835" spans="1:28" ht="12.75">
      <c r="A3835" s="173"/>
      <c r="B3835" s="174"/>
      <c r="C3835" s="11"/>
      <c r="D3835" s="175"/>
      <c r="E3835" s="176"/>
      <c r="F3835" s="177"/>
      <c r="G3835" s="178"/>
      <c r="H3835" s="177"/>
      <c r="I3835" s="177"/>
      <c r="J3835" s="179"/>
      <c r="K3835" s="183"/>
      <c r="L3835" s="176"/>
      <c r="M3835" s="177"/>
      <c r="N3835" s="21"/>
      <c r="O3835" s="45"/>
      <c r="P3835" s="24"/>
      <c r="Q3835" s="24"/>
      <c r="R3835" s="180"/>
      <c r="S3835" s="181"/>
      <c r="T3835" s="35"/>
      <c r="U3835" s="35"/>
      <c r="V3835" s="35"/>
      <c r="W3835" s="35"/>
      <c r="X3835" s="35"/>
      <c r="Y3835" s="182"/>
      <c r="Z3835" s="175"/>
      <c r="AA3835" s="182"/>
      <c r="AB3835" s="184"/>
    </row>
    <row r="3836" spans="1:28" ht="12.75">
      <c r="A3836" s="173"/>
      <c r="B3836" s="174"/>
      <c r="C3836" s="11"/>
      <c r="D3836" s="175"/>
      <c r="E3836" s="176"/>
      <c r="F3836" s="177"/>
      <c r="G3836" s="178"/>
      <c r="H3836" s="177"/>
      <c r="I3836" s="177"/>
      <c r="J3836" s="179"/>
      <c r="K3836" s="183"/>
      <c r="L3836" s="176"/>
      <c r="M3836" s="177"/>
      <c r="N3836" s="21"/>
      <c r="O3836" s="45"/>
      <c r="P3836" s="24"/>
      <c r="Q3836" s="24"/>
      <c r="R3836" s="180"/>
      <c r="S3836" s="181"/>
      <c r="T3836" s="35"/>
      <c r="U3836" s="35"/>
      <c r="V3836" s="35"/>
      <c r="W3836" s="35"/>
      <c r="X3836" s="35"/>
      <c r="Y3836" s="182"/>
      <c r="Z3836" s="175"/>
      <c r="AA3836" s="182"/>
      <c r="AB3836" s="184"/>
    </row>
    <row r="3837" spans="1:28" ht="12.75">
      <c r="A3837" s="173"/>
      <c r="B3837" s="174"/>
      <c r="C3837" s="11"/>
      <c r="D3837" s="175"/>
      <c r="E3837" s="176"/>
      <c r="F3837" s="177"/>
      <c r="G3837" s="178"/>
      <c r="H3837" s="177"/>
      <c r="I3837" s="177"/>
      <c r="J3837" s="179"/>
      <c r="K3837" s="183"/>
      <c r="L3837" s="176"/>
      <c r="M3837" s="177"/>
      <c r="N3837" s="21"/>
      <c r="O3837" s="45"/>
      <c r="P3837" s="24"/>
      <c r="Q3837" s="24"/>
      <c r="R3837" s="180"/>
      <c r="S3837" s="181"/>
      <c r="T3837" s="35"/>
      <c r="U3837" s="35"/>
      <c r="V3837" s="35"/>
      <c r="W3837" s="35"/>
      <c r="X3837" s="35"/>
      <c r="Y3837" s="182"/>
      <c r="Z3837" s="175"/>
      <c r="AA3837" s="182"/>
      <c r="AB3837" s="184"/>
    </row>
    <row r="3838" spans="1:28" ht="12.75">
      <c r="A3838" s="173"/>
      <c r="B3838" s="174"/>
      <c r="C3838" s="11"/>
      <c r="D3838" s="175"/>
      <c r="E3838" s="176"/>
      <c r="F3838" s="177"/>
      <c r="G3838" s="178"/>
      <c r="H3838" s="177"/>
      <c r="I3838" s="177"/>
      <c r="J3838" s="179"/>
      <c r="K3838" s="183"/>
      <c r="L3838" s="176"/>
      <c r="M3838" s="177"/>
      <c r="N3838" s="21"/>
      <c r="O3838" s="45"/>
      <c r="P3838" s="24"/>
      <c r="Q3838" s="24"/>
      <c r="R3838" s="180"/>
      <c r="S3838" s="181"/>
      <c r="T3838" s="35"/>
      <c r="U3838" s="35"/>
      <c r="V3838" s="35"/>
      <c r="W3838" s="35"/>
      <c r="X3838" s="35"/>
      <c r="Y3838" s="182"/>
      <c r="Z3838" s="175"/>
      <c r="AA3838" s="182"/>
      <c r="AB3838" s="184"/>
    </row>
    <row r="3839" spans="1:28" ht="12.75">
      <c r="A3839" s="173"/>
      <c r="B3839" s="174"/>
      <c r="C3839" s="11"/>
      <c r="D3839" s="175"/>
      <c r="E3839" s="176"/>
      <c r="F3839" s="177"/>
      <c r="G3839" s="178"/>
      <c r="H3839" s="177"/>
      <c r="I3839" s="177"/>
      <c r="J3839" s="179"/>
      <c r="K3839" s="183"/>
      <c r="L3839" s="176"/>
      <c r="M3839" s="177"/>
      <c r="N3839" s="21"/>
      <c r="O3839" s="45"/>
      <c r="P3839" s="24"/>
      <c r="Q3839" s="24"/>
      <c r="R3839" s="180"/>
      <c r="S3839" s="181"/>
      <c r="T3839" s="35"/>
      <c r="U3839" s="35"/>
      <c r="V3839" s="35"/>
      <c r="W3839" s="35"/>
      <c r="X3839" s="35"/>
      <c r="Y3839" s="182"/>
      <c r="Z3839" s="175"/>
      <c r="AA3839" s="182"/>
      <c r="AB3839" s="184"/>
    </row>
    <row r="3840" spans="1:28" ht="12.75">
      <c r="A3840" s="173"/>
      <c r="B3840" s="174"/>
      <c r="C3840" s="11"/>
      <c r="D3840" s="175"/>
      <c r="E3840" s="176"/>
      <c r="F3840" s="177"/>
      <c r="G3840" s="178"/>
      <c r="H3840" s="177"/>
      <c r="I3840" s="177"/>
      <c r="J3840" s="179"/>
      <c r="K3840" s="183"/>
      <c r="L3840" s="176"/>
      <c r="M3840" s="177"/>
      <c r="N3840" s="21"/>
      <c r="O3840" s="45"/>
      <c r="P3840" s="24"/>
      <c r="Q3840" s="24"/>
      <c r="R3840" s="180"/>
      <c r="S3840" s="181"/>
      <c r="T3840" s="35"/>
      <c r="U3840" s="35"/>
      <c r="V3840" s="35"/>
      <c r="W3840" s="35"/>
      <c r="X3840" s="35"/>
      <c r="Y3840" s="182"/>
      <c r="Z3840" s="175"/>
      <c r="AA3840" s="182"/>
      <c r="AB3840" s="184"/>
    </row>
    <row r="3841" spans="1:28" ht="12.75">
      <c r="A3841" s="173"/>
      <c r="B3841" s="174"/>
      <c r="C3841" s="11"/>
      <c r="D3841" s="175"/>
      <c r="E3841" s="176"/>
      <c r="F3841" s="177"/>
      <c r="G3841" s="178"/>
      <c r="H3841" s="177"/>
      <c r="I3841" s="177"/>
      <c r="J3841" s="179"/>
      <c r="K3841" s="183"/>
      <c r="L3841" s="176"/>
      <c r="M3841" s="177"/>
      <c r="N3841" s="21"/>
      <c r="O3841" s="45"/>
      <c r="P3841" s="24"/>
      <c r="Q3841" s="24"/>
      <c r="R3841" s="180"/>
      <c r="S3841" s="181"/>
      <c r="T3841" s="35"/>
      <c r="U3841" s="35"/>
      <c r="V3841" s="35"/>
      <c r="W3841" s="35"/>
      <c r="X3841" s="35"/>
      <c r="Y3841" s="182"/>
      <c r="Z3841" s="175"/>
      <c r="AA3841" s="182"/>
      <c r="AB3841" s="184"/>
    </row>
    <row r="3842" spans="1:28" ht="12.75">
      <c r="A3842" s="173"/>
      <c r="B3842" s="174"/>
      <c r="C3842" s="11"/>
      <c r="D3842" s="175"/>
      <c r="E3842" s="176"/>
      <c r="F3842" s="177"/>
      <c r="G3842" s="178"/>
      <c r="H3842" s="177"/>
      <c r="I3842" s="177"/>
      <c r="J3842" s="179"/>
      <c r="K3842" s="183"/>
      <c r="L3842" s="176"/>
      <c r="M3842" s="177"/>
      <c r="N3842" s="21"/>
      <c r="O3842" s="45"/>
      <c r="P3842" s="24"/>
      <c r="Q3842" s="24"/>
      <c r="R3842" s="180"/>
      <c r="S3842" s="181"/>
      <c r="T3842" s="35"/>
      <c r="U3842" s="35"/>
      <c r="V3842" s="35"/>
      <c r="W3842" s="35"/>
      <c r="X3842" s="35"/>
      <c r="Y3842" s="182"/>
      <c r="Z3842" s="175"/>
      <c r="AA3842" s="182"/>
      <c r="AB3842" s="184"/>
    </row>
    <row r="3843" spans="1:28" ht="12.75">
      <c r="A3843" s="173"/>
      <c r="B3843" s="174"/>
      <c r="C3843" s="11"/>
      <c r="D3843" s="175"/>
      <c r="E3843" s="176"/>
      <c r="F3843" s="177"/>
      <c r="G3843" s="178"/>
      <c r="H3843" s="177"/>
      <c r="I3843" s="177"/>
      <c r="J3843" s="179"/>
      <c r="K3843" s="183"/>
      <c r="L3843" s="176"/>
      <c r="M3843" s="177"/>
      <c r="N3843" s="21"/>
      <c r="O3843" s="45"/>
      <c r="P3843" s="24"/>
      <c r="Q3843" s="24"/>
      <c r="R3843" s="180"/>
      <c r="S3843" s="181"/>
      <c r="T3843" s="35"/>
      <c r="U3843" s="35"/>
      <c r="V3843" s="35"/>
      <c r="W3843" s="35"/>
      <c r="X3843" s="35"/>
      <c r="Y3843" s="182"/>
      <c r="Z3843" s="175"/>
      <c r="AA3843" s="182"/>
      <c r="AB3843" s="184"/>
    </row>
    <row r="3844" spans="1:28" ht="12.75">
      <c r="A3844" s="173"/>
      <c r="B3844" s="174"/>
      <c r="C3844" s="11"/>
      <c r="D3844" s="175"/>
      <c r="E3844" s="176"/>
      <c r="F3844" s="177"/>
      <c r="G3844" s="178"/>
      <c r="H3844" s="177"/>
      <c r="I3844" s="177"/>
      <c r="J3844" s="179"/>
      <c r="K3844" s="183"/>
      <c r="L3844" s="176"/>
      <c r="M3844" s="177"/>
      <c r="N3844" s="21"/>
      <c r="O3844" s="45"/>
      <c r="P3844" s="24"/>
      <c r="Q3844" s="24"/>
      <c r="R3844" s="180"/>
      <c r="S3844" s="181"/>
      <c r="T3844" s="35"/>
      <c r="U3844" s="35"/>
      <c r="V3844" s="35"/>
      <c r="W3844" s="35"/>
      <c r="X3844" s="35"/>
      <c r="Y3844" s="182"/>
      <c r="Z3844" s="175"/>
      <c r="AA3844" s="182"/>
      <c r="AB3844" s="184"/>
    </row>
    <row r="3845" spans="1:28" ht="12.75">
      <c r="A3845" s="173"/>
      <c r="B3845" s="174"/>
      <c r="C3845" s="11"/>
      <c r="D3845" s="175"/>
      <c r="E3845" s="176"/>
      <c r="F3845" s="177"/>
      <c r="G3845" s="178"/>
      <c r="H3845" s="177"/>
      <c r="I3845" s="177"/>
      <c r="J3845" s="179"/>
      <c r="K3845" s="183"/>
      <c r="L3845" s="176"/>
      <c r="M3845" s="177"/>
      <c r="N3845" s="21"/>
      <c r="O3845" s="45"/>
      <c r="P3845" s="24"/>
      <c r="Q3845" s="24"/>
      <c r="R3845" s="180"/>
      <c r="S3845" s="181"/>
      <c r="T3845" s="35"/>
      <c r="U3845" s="35"/>
      <c r="V3845" s="35"/>
      <c r="W3845" s="35"/>
      <c r="X3845" s="35"/>
      <c r="Y3845" s="182"/>
      <c r="Z3845" s="175"/>
      <c r="AA3845" s="182"/>
      <c r="AB3845" s="184"/>
    </row>
    <row r="3846" spans="1:28" ht="12.75">
      <c r="A3846" s="173"/>
      <c r="B3846" s="174"/>
      <c r="C3846" s="11"/>
      <c r="D3846" s="175"/>
      <c r="E3846" s="176"/>
      <c r="F3846" s="177"/>
      <c r="G3846" s="178"/>
      <c r="H3846" s="177"/>
      <c r="I3846" s="177"/>
      <c r="J3846" s="179"/>
      <c r="K3846" s="183"/>
      <c r="L3846" s="176"/>
      <c r="M3846" s="177"/>
      <c r="N3846" s="21"/>
      <c r="O3846" s="45"/>
      <c r="P3846" s="24"/>
      <c r="Q3846" s="24"/>
      <c r="R3846" s="180"/>
      <c r="S3846" s="181"/>
      <c r="T3846" s="35"/>
      <c r="U3846" s="35"/>
      <c r="V3846" s="35"/>
      <c r="W3846" s="35"/>
      <c r="X3846" s="35"/>
      <c r="Y3846" s="182"/>
      <c r="Z3846" s="175"/>
      <c r="AA3846" s="182"/>
      <c r="AB3846" s="184"/>
    </row>
    <row r="3847" spans="1:28" ht="12.75">
      <c r="A3847" s="173"/>
      <c r="B3847" s="174"/>
      <c r="C3847" s="11"/>
      <c r="D3847" s="175"/>
      <c r="E3847" s="176"/>
      <c r="F3847" s="177"/>
      <c r="G3847" s="178"/>
      <c r="H3847" s="177"/>
      <c r="I3847" s="177"/>
      <c r="J3847" s="179"/>
      <c r="K3847" s="183"/>
      <c r="L3847" s="176"/>
      <c r="M3847" s="177"/>
      <c r="N3847" s="21"/>
      <c r="O3847" s="45"/>
      <c r="P3847" s="24"/>
      <c r="Q3847" s="24"/>
      <c r="R3847" s="180"/>
      <c r="S3847" s="181"/>
      <c r="T3847" s="35"/>
      <c r="U3847" s="35"/>
      <c r="V3847" s="35"/>
      <c r="W3847" s="35"/>
      <c r="X3847" s="35"/>
      <c r="Y3847" s="182"/>
      <c r="Z3847" s="175"/>
      <c r="AA3847" s="182"/>
      <c r="AB3847" s="184"/>
    </row>
    <row r="3848" spans="1:28" ht="12.75">
      <c r="A3848" s="173"/>
      <c r="B3848" s="174"/>
      <c r="C3848" s="11"/>
      <c r="D3848" s="175"/>
      <c r="E3848" s="176"/>
      <c r="F3848" s="177"/>
      <c r="G3848" s="178"/>
      <c r="H3848" s="177"/>
      <c r="I3848" s="177"/>
      <c r="J3848" s="179"/>
      <c r="K3848" s="183"/>
      <c r="L3848" s="176"/>
      <c r="M3848" s="177"/>
      <c r="N3848" s="21"/>
      <c r="O3848" s="45"/>
      <c r="P3848" s="24"/>
      <c r="Q3848" s="24"/>
      <c r="R3848" s="180"/>
      <c r="S3848" s="181"/>
      <c r="T3848" s="35"/>
      <c r="U3848" s="35"/>
      <c r="V3848" s="35"/>
      <c r="W3848" s="35"/>
      <c r="X3848" s="35"/>
      <c r="Y3848" s="182"/>
      <c r="Z3848" s="175"/>
      <c r="AA3848" s="182"/>
      <c r="AB3848" s="184"/>
    </row>
    <row r="3849" spans="1:28" ht="12.75">
      <c r="A3849" s="173"/>
      <c r="B3849" s="174"/>
      <c r="C3849" s="11"/>
      <c r="D3849" s="175"/>
      <c r="E3849" s="176"/>
      <c r="F3849" s="177"/>
      <c r="G3849" s="178"/>
      <c r="H3849" s="177"/>
      <c r="I3849" s="177"/>
      <c r="J3849" s="179"/>
      <c r="K3849" s="183"/>
      <c r="L3849" s="176"/>
      <c r="M3849" s="177"/>
      <c r="N3849" s="21"/>
      <c r="O3849" s="45"/>
      <c r="P3849" s="24"/>
      <c r="Q3849" s="24"/>
      <c r="R3849" s="180"/>
      <c r="S3849" s="181"/>
      <c r="T3849" s="35"/>
      <c r="U3849" s="35"/>
      <c r="V3849" s="35"/>
      <c r="W3849" s="35"/>
      <c r="X3849" s="35"/>
      <c r="Y3849" s="182"/>
      <c r="Z3849" s="175"/>
      <c r="AA3849" s="182"/>
      <c r="AB3849" s="184"/>
    </row>
    <row r="3850" spans="1:28" ht="12.75">
      <c r="A3850" s="173"/>
      <c r="B3850" s="174"/>
      <c r="C3850" s="11"/>
      <c r="D3850" s="175"/>
      <c r="E3850" s="176"/>
      <c r="F3850" s="177"/>
      <c r="G3850" s="178"/>
      <c r="H3850" s="177"/>
      <c r="I3850" s="177"/>
      <c r="J3850" s="179"/>
      <c r="K3850" s="183"/>
      <c r="L3850" s="176"/>
      <c r="M3850" s="177"/>
      <c r="N3850" s="21"/>
      <c r="O3850" s="45"/>
      <c r="P3850" s="24"/>
      <c r="Q3850" s="24"/>
      <c r="R3850" s="180"/>
      <c r="S3850" s="181"/>
      <c r="T3850" s="35"/>
      <c r="U3850" s="35"/>
      <c r="V3850" s="35"/>
      <c r="W3850" s="35"/>
      <c r="X3850" s="35"/>
      <c r="Y3850" s="182"/>
      <c r="Z3850" s="175"/>
      <c r="AA3850" s="182"/>
      <c r="AB3850" s="184"/>
    </row>
    <row r="3851" spans="1:28" ht="12.75">
      <c r="A3851" s="173"/>
      <c r="B3851" s="174"/>
      <c r="C3851" s="11"/>
      <c r="D3851" s="175"/>
      <c r="E3851" s="176"/>
      <c r="F3851" s="177"/>
      <c r="G3851" s="178"/>
      <c r="H3851" s="177"/>
      <c r="I3851" s="177"/>
      <c r="J3851" s="179"/>
      <c r="K3851" s="183"/>
      <c r="L3851" s="176"/>
      <c r="M3851" s="177"/>
      <c r="N3851" s="21"/>
      <c r="O3851" s="45"/>
      <c r="P3851" s="24"/>
      <c r="Q3851" s="24"/>
      <c r="R3851" s="180"/>
      <c r="S3851" s="181"/>
      <c r="T3851" s="35"/>
      <c r="U3851" s="35"/>
      <c r="V3851" s="35"/>
      <c r="W3851" s="35"/>
      <c r="X3851" s="35"/>
      <c r="Y3851" s="182"/>
      <c r="Z3851" s="175"/>
      <c r="AA3851" s="182"/>
      <c r="AB3851" s="184"/>
    </row>
    <row r="3852" spans="1:28" ht="12.75">
      <c r="A3852" s="173"/>
      <c r="B3852" s="174"/>
      <c r="C3852" s="11"/>
      <c r="D3852" s="175"/>
      <c r="E3852" s="176"/>
      <c r="F3852" s="177"/>
      <c r="G3852" s="178"/>
      <c r="H3852" s="177"/>
      <c r="I3852" s="177"/>
      <c r="J3852" s="179"/>
      <c r="K3852" s="183"/>
      <c r="L3852" s="176"/>
      <c r="M3852" s="177"/>
      <c r="N3852" s="21"/>
      <c r="O3852" s="45"/>
      <c r="P3852" s="24"/>
      <c r="Q3852" s="24"/>
      <c r="R3852" s="180"/>
      <c r="S3852" s="181"/>
      <c r="T3852" s="35"/>
      <c r="U3852" s="35"/>
      <c r="V3852" s="35"/>
      <c r="W3852" s="35"/>
      <c r="X3852" s="35"/>
      <c r="Y3852" s="182"/>
      <c r="Z3852" s="175"/>
      <c r="AA3852" s="182"/>
      <c r="AB3852" s="184"/>
    </row>
    <row r="3853" spans="1:28" ht="12.75">
      <c r="A3853" s="173"/>
      <c r="B3853" s="174"/>
      <c r="C3853" s="11"/>
      <c r="D3853" s="175"/>
      <c r="E3853" s="176"/>
      <c r="F3853" s="177"/>
      <c r="G3853" s="178"/>
      <c r="H3853" s="177"/>
      <c r="I3853" s="177"/>
      <c r="J3853" s="179"/>
      <c r="K3853" s="183"/>
      <c r="L3853" s="176"/>
      <c r="M3853" s="177"/>
      <c r="N3853" s="21"/>
      <c r="O3853" s="45"/>
      <c r="P3853" s="24"/>
      <c r="Q3853" s="24"/>
      <c r="R3853" s="180"/>
      <c r="S3853" s="181"/>
      <c r="T3853" s="35"/>
      <c r="U3853" s="35"/>
      <c r="V3853" s="35"/>
      <c r="W3853" s="35"/>
      <c r="X3853" s="35"/>
      <c r="Y3853" s="182"/>
      <c r="Z3853" s="175"/>
      <c r="AA3853" s="182"/>
      <c r="AB3853" s="184"/>
    </row>
    <row r="3854" spans="1:28" ht="12.75">
      <c r="A3854" s="173"/>
      <c r="B3854" s="174"/>
      <c r="C3854" s="11"/>
      <c r="D3854" s="175"/>
      <c r="E3854" s="176"/>
      <c r="F3854" s="177"/>
      <c r="G3854" s="178"/>
      <c r="H3854" s="177"/>
      <c r="I3854" s="177"/>
      <c r="J3854" s="179"/>
      <c r="K3854" s="183"/>
      <c r="L3854" s="176"/>
      <c r="M3854" s="177"/>
      <c r="N3854" s="21"/>
      <c r="O3854" s="45"/>
      <c r="P3854" s="24"/>
      <c r="Q3854" s="24"/>
      <c r="R3854" s="180"/>
      <c r="S3854" s="181"/>
      <c r="T3854" s="35"/>
      <c r="U3854" s="35"/>
      <c r="V3854" s="35"/>
      <c r="W3854" s="35"/>
      <c r="X3854" s="35"/>
      <c r="Y3854" s="182"/>
      <c r="Z3854" s="175"/>
      <c r="AA3854" s="182"/>
      <c r="AB3854" s="184"/>
    </row>
    <row r="3855" spans="1:28" ht="12.75">
      <c r="A3855" s="173"/>
      <c r="B3855" s="174"/>
      <c r="C3855" s="11"/>
      <c r="D3855" s="175"/>
      <c r="E3855" s="176"/>
      <c r="F3855" s="177"/>
      <c r="G3855" s="178"/>
      <c r="H3855" s="177"/>
      <c r="I3855" s="177"/>
      <c r="J3855" s="179"/>
      <c r="K3855" s="183"/>
      <c r="L3855" s="176"/>
      <c r="M3855" s="177"/>
      <c r="N3855" s="21"/>
      <c r="O3855" s="45"/>
      <c r="P3855" s="24"/>
      <c r="Q3855" s="24"/>
      <c r="R3855" s="180"/>
      <c r="S3855" s="181"/>
      <c r="T3855" s="35"/>
      <c r="U3855" s="35"/>
      <c r="V3855" s="35"/>
      <c r="W3855" s="35"/>
      <c r="X3855" s="35"/>
      <c r="Y3855" s="182"/>
      <c r="Z3855" s="175"/>
      <c r="AA3855" s="182"/>
      <c r="AB3855" s="184"/>
    </row>
    <row r="3856" spans="1:28" ht="12.75">
      <c r="A3856" s="173"/>
      <c r="B3856" s="174"/>
      <c r="C3856" s="11"/>
      <c r="D3856" s="175"/>
      <c r="E3856" s="176"/>
      <c r="F3856" s="177"/>
      <c r="G3856" s="178"/>
      <c r="H3856" s="177"/>
      <c r="I3856" s="177"/>
      <c r="J3856" s="179"/>
      <c r="K3856" s="183"/>
      <c r="L3856" s="176"/>
      <c r="M3856" s="177"/>
      <c r="N3856" s="21"/>
      <c r="O3856" s="45"/>
      <c r="P3856" s="24"/>
      <c r="Q3856" s="24"/>
      <c r="R3856" s="180"/>
      <c r="S3856" s="181"/>
      <c r="T3856" s="35"/>
      <c r="U3856" s="35"/>
      <c r="V3856" s="35"/>
      <c r="W3856" s="35"/>
      <c r="X3856" s="35"/>
      <c r="Y3856" s="182"/>
      <c r="Z3856" s="175"/>
      <c r="AA3856" s="182"/>
      <c r="AB3856" s="184"/>
    </row>
    <row r="3857" spans="1:28" ht="12.75">
      <c r="A3857" s="173"/>
      <c r="B3857" s="174"/>
      <c r="C3857" s="11"/>
      <c r="D3857" s="175"/>
      <c r="E3857" s="176"/>
      <c r="F3857" s="177"/>
      <c r="G3857" s="178"/>
      <c r="H3857" s="177"/>
      <c r="I3857" s="177"/>
      <c r="J3857" s="179"/>
      <c r="K3857" s="183"/>
      <c r="L3857" s="176"/>
      <c r="M3857" s="177"/>
      <c r="N3857" s="21"/>
      <c r="O3857" s="45"/>
      <c r="P3857" s="24"/>
      <c r="Q3857" s="24"/>
      <c r="R3857" s="180"/>
      <c r="S3857" s="181"/>
      <c r="T3857" s="35"/>
      <c r="U3857" s="35"/>
      <c r="V3857" s="35"/>
      <c r="W3857" s="35"/>
      <c r="X3857" s="35"/>
      <c r="Y3857" s="182"/>
      <c r="Z3857" s="175"/>
      <c r="AA3857" s="182"/>
      <c r="AB3857" s="184"/>
    </row>
    <row r="3858" spans="1:28" ht="12.75">
      <c r="A3858" s="173"/>
      <c r="B3858" s="174"/>
      <c r="C3858" s="11"/>
      <c r="D3858" s="175"/>
      <c r="E3858" s="176"/>
      <c r="F3858" s="177"/>
      <c r="G3858" s="178"/>
      <c r="H3858" s="177"/>
      <c r="I3858" s="177"/>
      <c r="J3858" s="179"/>
      <c r="K3858" s="183"/>
      <c r="L3858" s="176"/>
      <c r="M3858" s="177"/>
      <c r="N3858" s="21"/>
      <c r="O3858" s="45"/>
      <c r="P3858" s="24"/>
      <c r="Q3858" s="24"/>
      <c r="R3858" s="180"/>
      <c r="S3858" s="181"/>
      <c r="T3858" s="35"/>
      <c r="U3858" s="35"/>
      <c r="V3858" s="35"/>
      <c r="W3858" s="35"/>
      <c r="X3858" s="35"/>
      <c r="Y3858" s="182"/>
      <c r="Z3858" s="175"/>
      <c r="AA3858" s="182"/>
      <c r="AB3858" s="184"/>
    </row>
    <row r="3859" spans="1:28" ht="12.75">
      <c r="A3859" s="173"/>
      <c r="B3859" s="174"/>
      <c r="C3859" s="11"/>
      <c r="D3859" s="175"/>
      <c r="E3859" s="176"/>
      <c r="F3859" s="177"/>
      <c r="G3859" s="178"/>
      <c r="H3859" s="177"/>
      <c r="I3859" s="177"/>
      <c r="J3859" s="179"/>
      <c r="K3859" s="183"/>
      <c r="L3859" s="176"/>
      <c r="M3859" s="177"/>
      <c r="N3859" s="21"/>
      <c r="O3859" s="45"/>
      <c r="P3859" s="24"/>
      <c r="Q3859" s="24"/>
      <c r="R3859" s="180"/>
      <c r="S3859" s="181"/>
      <c r="T3859" s="35"/>
      <c r="U3859" s="35"/>
      <c r="V3859" s="35"/>
      <c r="W3859" s="35"/>
      <c r="X3859" s="35"/>
      <c r="Y3859" s="182"/>
      <c r="Z3859" s="175"/>
      <c r="AA3859" s="182"/>
      <c r="AB3859" s="184"/>
    </row>
    <row r="3860" spans="1:28" ht="12.75">
      <c r="A3860" s="173"/>
      <c r="B3860" s="174"/>
      <c r="C3860" s="11"/>
      <c r="D3860" s="175"/>
      <c r="E3860" s="176"/>
      <c r="F3860" s="177"/>
      <c r="G3860" s="178"/>
      <c r="H3860" s="177"/>
      <c r="I3860" s="177"/>
      <c r="J3860" s="179"/>
      <c r="K3860" s="183"/>
      <c r="L3860" s="176"/>
      <c r="M3860" s="177"/>
      <c r="N3860" s="21"/>
      <c r="O3860" s="45"/>
      <c r="P3860" s="24"/>
      <c r="Q3860" s="24"/>
      <c r="R3860" s="180"/>
      <c r="S3860" s="181"/>
      <c r="T3860" s="35"/>
      <c r="U3860" s="35"/>
      <c r="V3860" s="35"/>
      <c r="W3860" s="35"/>
      <c r="X3860" s="35"/>
      <c r="Y3860" s="182"/>
      <c r="Z3860" s="175"/>
      <c r="AA3860" s="182"/>
      <c r="AB3860" s="184"/>
    </row>
    <row r="3861" spans="1:28" ht="12.75">
      <c r="A3861" s="173"/>
      <c r="B3861" s="174"/>
      <c r="C3861" s="11"/>
      <c r="D3861" s="175"/>
      <c r="E3861" s="176"/>
      <c r="F3861" s="177"/>
      <c r="G3861" s="178"/>
      <c r="H3861" s="177"/>
      <c r="I3861" s="177"/>
      <c r="J3861" s="179"/>
      <c r="K3861" s="183"/>
      <c r="L3861" s="176"/>
      <c r="M3861" s="177"/>
      <c r="N3861" s="21"/>
      <c r="O3861" s="45"/>
      <c r="P3861" s="24"/>
      <c r="Q3861" s="24"/>
      <c r="R3861" s="180"/>
      <c r="S3861" s="181"/>
      <c r="T3861" s="35"/>
      <c r="U3861" s="35"/>
      <c r="V3861" s="35"/>
      <c r="W3861" s="35"/>
      <c r="X3861" s="35"/>
      <c r="Y3861" s="182"/>
      <c r="Z3861" s="175"/>
      <c r="AA3861" s="182"/>
      <c r="AB3861" s="184"/>
    </row>
    <row r="3862" spans="1:28" ht="12.75">
      <c r="A3862" s="173"/>
      <c r="B3862" s="174"/>
      <c r="C3862" s="11"/>
      <c r="D3862" s="175"/>
      <c r="E3862" s="176"/>
      <c r="F3862" s="177"/>
      <c r="G3862" s="178"/>
      <c r="H3862" s="177"/>
      <c r="I3862" s="177"/>
      <c r="J3862" s="179"/>
      <c r="K3862" s="183"/>
      <c r="L3862" s="176"/>
      <c r="M3862" s="177"/>
      <c r="N3862" s="21"/>
      <c r="O3862" s="45"/>
      <c r="P3862" s="24"/>
      <c r="Q3862" s="24"/>
      <c r="R3862" s="180"/>
      <c r="S3862" s="181"/>
      <c r="T3862" s="35"/>
      <c r="U3862" s="35"/>
      <c r="V3862" s="35"/>
      <c r="W3862" s="35"/>
      <c r="X3862" s="35"/>
      <c r="Y3862" s="182"/>
      <c r="Z3862" s="175"/>
      <c r="AA3862" s="182"/>
      <c r="AB3862" s="184"/>
    </row>
    <row r="3863" spans="1:28" ht="12.75">
      <c r="A3863" s="173"/>
      <c r="B3863" s="174"/>
      <c r="C3863" s="11"/>
      <c r="D3863" s="175"/>
      <c r="E3863" s="176"/>
      <c r="F3863" s="177"/>
      <c r="G3863" s="178"/>
      <c r="H3863" s="177"/>
      <c r="I3863" s="177"/>
      <c r="J3863" s="179"/>
      <c r="K3863" s="183"/>
      <c r="L3863" s="176"/>
      <c r="M3863" s="177"/>
      <c r="N3863" s="21"/>
      <c r="O3863" s="45"/>
      <c r="P3863" s="24"/>
      <c r="Q3863" s="24"/>
      <c r="R3863" s="180"/>
      <c r="S3863" s="181"/>
      <c r="T3863" s="35"/>
      <c r="U3863" s="35"/>
      <c r="V3863" s="35"/>
      <c r="W3863" s="35"/>
      <c r="X3863" s="35"/>
      <c r="Y3863" s="182"/>
      <c r="Z3863" s="175"/>
      <c r="AA3863" s="182"/>
      <c r="AB3863" s="184"/>
    </row>
    <row r="3864" spans="1:28" ht="12.75">
      <c r="A3864" s="173"/>
      <c r="B3864" s="174"/>
      <c r="C3864" s="11"/>
      <c r="D3864" s="175"/>
      <c r="E3864" s="176"/>
      <c r="F3864" s="177"/>
      <c r="G3864" s="178"/>
      <c r="H3864" s="177"/>
      <c r="I3864" s="177"/>
      <c r="J3864" s="179"/>
      <c r="K3864" s="183"/>
      <c r="L3864" s="176"/>
      <c r="M3864" s="177"/>
      <c r="N3864" s="21"/>
      <c r="O3864" s="45"/>
      <c r="P3864" s="24"/>
      <c r="Q3864" s="24"/>
      <c r="R3864" s="180"/>
      <c r="S3864" s="181"/>
      <c r="T3864" s="35"/>
      <c r="U3864" s="35"/>
      <c r="V3864" s="35"/>
      <c r="W3864" s="35"/>
      <c r="X3864" s="35"/>
      <c r="Y3864" s="182"/>
      <c r="Z3864" s="175"/>
      <c r="AA3864" s="182"/>
      <c r="AB3864" s="184"/>
    </row>
    <row r="3865" spans="1:28" ht="12.75">
      <c r="A3865" s="173"/>
      <c r="B3865" s="174"/>
      <c r="C3865" s="11"/>
      <c r="D3865" s="175"/>
      <c r="E3865" s="176"/>
      <c r="F3865" s="177"/>
      <c r="G3865" s="178"/>
      <c r="H3865" s="177"/>
      <c r="I3865" s="177"/>
      <c r="J3865" s="179"/>
      <c r="K3865" s="183"/>
      <c r="L3865" s="176"/>
      <c r="M3865" s="177"/>
      <c r="N3865" s="21"/>
      <c r="O3865" s="45"/>
      <c r="P3865" s="24"/>
      <c r="Q3865" s="24"/>
      <c r="R3865" s="180"/>
      <c r="S3865" s="181"/>
      <c r="T3865" s="35"/>
      <c r="U3865" s="35"/>
      <c r="V3865" s="35"/>
      <c r="W3865" s="35"/>
      <c r="X3865" s="35"/>
      <c r="Y3865" s="182"/>
      <c r="Z3865" s="175"/>
      <c r="AA3865" s="182"/>
      <c r="AB3865" s="184"/>
    </row>
    <row r="3866" spans="1:28" ht="12.75">
      <c r="A3866" s="173"/>
      <c r="B3866" s="174"/>
      <c r="C3866" s="11"/>
      <c r="D3866" s="175"/>
      <c r="E3866" s="176"/>
      <c r="F3866" s="177"/>
      <c r="G3866" s="178"/>
      <c r="H3866" s="177"/>
      <c r="I3866" s="177"/>
      <c r="J3866" s="179"/>
      <c r="K3866" s="183"/>
      <c r="L3866" s="176"/>
      <c r="M3866" s="177"/>
      <c r="N3866" s="21"/>
      <c r="O3866" s="45"/>
      <c r="P3866" s="24"/>
      <c r="Q3866" s="24"/>
      <c r="R3866" s="180"/>
      <c r="S3866" s="181"/>
      <c r="T3866" s="35"/>
      <c r="U3866" s="35"/>
      <c r="V3866" s="35"/>
      <c r="W3866" s="35"/>
      <c r="X3866" s="35"/>
      <c r="Y3866" s="182"/>
      <c r="Z3866" s="175"/>
      <c r="AA3866" s="182"/>
      <c r="AB3866" s="184"/>
    </row>
    <row r="3867" spans="1:28" ht="12.75">
      <c r="A3867" s="173"/>
      <c r="B3867" s="174"/>
      <c r="C3867" s="11"/>
      <c r="D3867" s="175"/>
      <c r="E3867" s="176"/>
      <c r="F3867" s="177"/>
      <c r="G3867" s="178"/>
      <c r="H3867" s="177"/>
      <c r="I3867" s="177"/>
      <c r="J3867" s="179"/>
      <c r="K3867" s="183"/>
      <c r="L3867" s="176"/>
      <c r="M3867" s="177"/>
      <c r="N3867" s="21"/>
      <c r="O3867" s="45"/>
      <c r="P3867" s="24"/>
      <c r="Q3867" s="24"/>
      <c r="R3867" s="180"/>
      <c r="S3867" s="181"/>
      <c r="T3867" s="35"/>
      <c r="U3867" s="35"/>
      <c r="V3867" s="35"/>
      <c r="W3867" s="35"/>
      <c r="X3867" s="35"/>
      <c r="Y3867" s="182"/>
      <c r="Z3867" s="175"/>
      <c r="AA3867" s="182"/>
      <c r="AB3867" s="184"/>
    </row>
    <row r="3868" spans="1:28" ht="12.75">
      <c r="A3868" s="173"/>
      <c r="B3868" s="174"/>
      <c r="C3868" s="11"/>
      <c r="D3868" s="175"/>
      <c r="E3868" s="176"/>
      <c r="F3868" s="177"/>
      <c r="G3868" s="178"/>
      <c r="H3868" s="177"/>
      <c r="I3868" s="177"/>
      <c r="J3868" s="179"/>
      <c r="K3868" s="183"/>
      <c r="L3868" s="176"/>
      <c r="M3868" s="177"/>
      <c r="N3868" s="21"/>
      <c r="O3868" s="45"/>
      <c r="P3868" s="24"/>
      <c r="Q3868" s="24"/>
      <c r="R3868" s="180"/>
      <c r="S3868" s="181"/>
      <c r="T3868" s="35"/>
      <c r="U3868" s="35"/>
      <c r="V3868" s="35"/>
      <c r="W3868" s="35"/>
      <c r="X3868" s="35"/>
      <c r="Y3868" s="182"/>
      <c r="Z3868" s="175"/>
      <c r="AA3868" s="182"/>
      <c r="AB3868" s="184"/>
    </row>
    <row r="3869" spans="1:28" ht="12.75">
      <c r="A3869" s="173"/>
      <c r="B3869" s="174"/>
      <c r="C3869" s="11"/>
      <c r="D3869" s="175"/>
      <c r="E3869" s="176"/>
      <c r="F3869" s="177"/>
      <c r="G3869" s="178"/>
      <c r="H3869" s="177"/>
      <c r="I3869" s="177"/>
      <c r="J3869" s="179"/>
      <c r="K3869" s="183"/>
      <c r="L3869" s="176"/>
      <c r="M3869" s="177"/>
      <c r="N3869" s="21"/>
      <c r="O3869" s="45"/>
      <c r="P3869" s="24"/>
      <c r="Q3869" s="24"/>
      <c r="R3869" s="180"/>
      <c r="S3869" s="181"/>
      <c r="T3869" s="35"/>
      <c r="U3869" s="35"/>
      <c r="V3869" s="35"/>
      <c r="W3869" s="35"/>
      <c r="X3869" s="35"/>
      <c r="Y3869" s="182"/>
      <c r="Z3869" s="175"/>
      <c r="AA3869" s="182"/>
      <c r="AB3869" s="184"/>
    </row>
    <row r="3870" spans="1:28" ht="12.75">
      <c r="A3870" s="173"/>
      <c r="B3870" s="174"/>
      <c r="C3870" s="11"/>
      <c r="D3870" s="175"/>
      <c r="E3870" s="176"/>
      <c r="F3870" s="177"/>
      <c r="G3870" s="178"/>
      <c r="H3870" s="177"/>
      <c r="I3870" s="177"/>
      <c r="J3870" s="179"/>
      <c r="K3870" s="183"/>
      <c r="L3870" s="176"/>
      <c r="M3870" s="177"/>
      <c r="N3870" s="21"/>
      <c r="O3870" s="45"/>
      <c r="P3870" s="24"/>
      <c r="Q3870" s="24"/>
      <c r="R3870" s="180"/>
      <c r="S3870" s="181"/>
      <c r="T3870" s="35"/>
      <c r="U3870" s="35"/>
      <c r="V3870" s="35"/>
      <c r="W3870" s="35"/>
      <c r="X3870" s="35"/>
      <c r="Y3870" s="182"/>
      <c r="Z3870" s="175"/>
      <c r="AA3870" s="182"/>
      <c r="AB3870" s="184"/>
    </row>
    <row r="3871" spans="1:28" ht="12.75">
      <c r="A3871" s="173"/>
      <c r="B3871" s="174"/>
      <c r="C3871" s="11"/>
      <c r="D3871" s="175"/>
      <c r="E3871" s="176"/>
      <c r="F3871" s="177"/>
      <c r="G3871" s="178"/>
      <c r="H3871" s="177"/>
      <c r="I3871" s="177"/>
      <c r="J3871" s="179"/>
      <c r="K3871" s="183"/>
      <c r="L3871" s="176"/>
      <c r="M3871" s="177"/>
      <c r="N3871" s="21"/>
      <c r="O3871" s="45"/>
      <c r="P3871" s="24"/>
      <c r="Q3871" s="24"/>
      <c r="R3871" s="180"/>
      <c r="S3871" s="181"/>
      <c r="T3871" s="35"/>
      <c r="U3871" s="35"/>
      <c r="V3871" s="35"/>
      <c r="W3871" s="35"/>
      <c r="X3871" s="35"/>
      <c r="Y3871" s="182"/>
      <c r="Z3871" s="175"/>
      <c r="AA3871" s="182"/>
      <c r="AB3871" s="184"/>
    </row>
    <row r="3872" spans="1:28" ht="12.75">
      <c r="A3872" s="173"/>
      <c r="B3872" s="174"/>
      <c r="C3872" s="11"/>
      <c r="D3872" s="175"/>
      <c r="E3872" s="176"/>
      <c r="F3872" s="177"/>
      <c r="G3872" s="178"/>
      <c r="H3872" s="177"/>
      <c r="I3872" s="177"/>
      <c r="J3872" s="179"/>
      <c r="K3872" s="183"/>
      <c r="L3872" s="176"/>
      <c r="M3872" s="177"/>
      <c r="N3872" s="21"/>
      <c r="O3872" s="45"/>
      <c r="P3872" s="24"/>
      <c r="Q3872" s="24"/>
      <c r="R3872" s="180"/>
      <c r="S3872" s="181"/>
      <c r="T3872" s="35"/>
      <c r="U3872" s="35"/>
      <c r="V3872" s="35"/>
      <c r="W3872" s="35"/>
      <c r="X3872" s="35"/>
      <c r="Y3872" s="182"/>
      <c r="Z3872" s="175"/>
      <c r="AA3872" s="182"/>
      <c r="AB3872" s="184"/>
    </row>
    <row r="3873" spans="1:28" ht="12.75">
      <c r="A3873" s="173"/>
      <c r="B3873" s="174"/>
      <c r="C3873" s="11"/>
      <c r="D3873" s="175"/>
      <c r="E3873" s="176"/>
      <c r="F3873" s="177"/>
      <c r="G3873" s="178"/>
      <c r="H3873" s="177"/>
      <c r="I3873" s="177"/>
      <c r="J3873" s="179"/>
      <c r="K3873" s="183"/>
      <c r="L3873" s="176"/>
      <c r="M3873" s="177"/>
      <c r="N3873" s="21"/>
      <c r="O3873" s="45"/>
      <c r="P3873" s="24"/>
      <c r="Q3873" s="24"/>
      <c r="R3873" s="180"/>
      <c r="S3873" s="181"/>
      <c r="T3873" s="35"/>
      <c r="U3873" s="35"/>
      <c r="V3873" s="35"/>
      <c r="W3873" s="35"/>
      <c r="X3873" s="35"/>
      <c r="Y3873" s="182"/>
      <c r="Z3873" s="175"/>
      <c r="AA3873" s="182"/>
      <c r="AB3873" s="184"/>
    </row>
    <row r="3874" spans="1:28" ht="12.75">
      <c r="A3874" s="173"/>
      <c r="B3874" s="174"/>
      <c r="C3874" s="11"/>
      <c r="D3874" s="175"/>
      <c r="E3874" s="176"/>
      <c r="F3874" s="177"/>
      <c r="G3874" s="178"/>
      <c r="H3874" s="177"/>
      <c r="I3874" s="177"/>
      <c r="J3874" s="179"/>
      <c r="K3874" s="183"/>
      <c r="L3874" s="176"/>
      <c r="M3874" s="177"/>
      <c r="N3874" s="21"/>
      <c r="O3874" s="45"/>
      <c r="P3874" s="24"/>
      <c r="Q3874" s="24"/>
      <c r="R3874" s="180"/>
      <c r="S3874" s="181"/>
      <c r="T3874" s="35"/>
      <c r="U3874" s="35"/>
      <c r="V3874" s="35"/>
      <c r="W3874" s="35"/>
      <c r="X3874" s="35"/>
      <c r="Y3874" s="182"/>
      <c r="Z3874" s="175"/>
      <c r="AA3874" s="182"/>
      <c r="AB3874" s="184"/>
    </row>
    <row r="3875" spans="1:28" ht="12.75">
      <c r="A3875" s="173"/>
      <c r="B3875" s="174"/>
      <c r="C3875" s="11"/>
      <c r="D3875" s="175"/>
      <c r="E3875" s="176"/>
      <c r="F3875" s="177"/>
      <c r="G3875" s="178"/>
      <c r="H3875" s="177"/>
      <c r="I3875" s="177"/>
      <c r="J3875" s="179"/>
      <c r="K3875" s="183"/>
      <c r="L3875" s="176"/>
      <c r="M3875" s="177"/>
      <c r="N3875" s="21"/>
      <c r="O3875" s="45"/>
      <c r="P3875" s="24"/>
      <c r="Q3875" s="24"/>
      <c r="R3875" s="180"/>
      <c r="S3875" s="181"/>
      <c r="T3875" s="35"/>
      <c r="U3875" s="35"/>
      <c r="V3875" s="35"/>
      <c r="W3875" s="35"/>
      <c r="X3875" s="35"/>
      <c r="Y3875" s="182"/>
      <c r="Z3875" s="175"/>
      <c r="AA3875" s="182"/>
      <c r="AB3875" s="184"/>
    </row>
    <row r="3876" spans="1:28" ht="12.75">
      <c r="A3876" s="173"/>
      <c r="B3876" s="174"/>
      <c r="C3876" s="11"/>
      <c r="D3876" s="175"/>
      <c r="E3876" s="176"/>
      <c r="F3876" s="177"/>
      <c r="G3876" s="178"/>
      <c r="H3876" s="177"/>
      <c r="I3876" s="177"/>
      <c r="J3876" s="179"/>
      <c r="K3876" s="183"/>
      <c r="L3876" s="176"/>
      <c r="M3876" s="177"/>
      <c r="N3876" s="21"/>
      <c r="O3876" s="45"/>
      <c r="P3876" s="24"/>
      <c r="Q3876" s="24"/>
      <c r="R3876" s="180"/>
      <c r="S3876" s="181"/>
      <c r="T3876" s="35"/>
      <c r="U3876" s="35"/>
      <c r="V3876" s="35"/>
      <c r="W3876" s="35"/>
      <c r="X3876" s="35"/>
      <c r="Y3876" s="182"/>
      <c r="Z3876" s="175"/>
      <c r="AA3876" s="182"/>
      <c r="AB3876" s="184"/>
    </row>
    <row r="3877" spans="1:28" ht="12.75">
      <c r="A3877" s="173"/>
      <c r="B3877" s="174"/>
      <c r="C3877" s="11"/>
      <c r="D3877" s="175"/>
      <c r="E3877" s="176"/>
      <c r="F3877" s="177"/>
      <c r="G3877" s="178"/>
      <c r="H3877" s="177"/>
      <c r="I3877" s="177"/>
      <c r="J3877" s="179"/>
      <c r="K3877" s="183"/>
      <c r="L3877" s="176"/>
      <c r="M3877" s="177"/>
      <c r="N3877" s="21"/>
      <c r="O3877" s="45"/>
      <c r="P3877" s="24"/>
      <c r="Q3877" s="24"/>
      <c r="R3877" s="180"/>
      <c r="S3877" s="181"/>
      <c r="T3877" s="35"/>
      <c r="U3877" s="35"/>
      <c r="V3877" s="35"/>
      <c r="W3877" s="35"/>
      <c r="X3877" s="35"/>
      <c r="Y3877" s="182"/>
      <c r="Z3877" s="175"/>
      <c r="AA3877" s="182"/>
      <c r="AB3877" s="184"/>
    </row>
    <row r="3878" spans="1:28" ht="12.75">
      <c r="A3878" s="173"/>
      <c r="B3878" s="174"/>
      <c r="C3878" s="11"/>
      <c r="D3878" s="175"/>
      <c r="E3878" s="176"/>
      <c r="F3878" s="177"/>
      <c r="G3878" s="178"/>
      <c r="H3878" s="177"/>
      <c r="I3878" s="177"/>
      <c r="J3878" s="179"/>
      <c r="K3878" s="183"/>
      <c r="L3878" s="176"/>
      <c r="M3878" s="177"/>
      <c r="N3878" s="21"/>
      <c r="O3878" s="45"/>
      <c r="P3878" s="24"/>
      <c r="Q3878" s="24"/>
      <c r="R3878" s="180"/>
      <c r="S3878" s="181"/>
      <c r="T3878" s="35"/>
      <c r="U3878" s="35"/>
      <c r="V3878" s="35"/>
      <c r="W3878" s="35"/>
      <c r="X3878" s="35"/>
      <c r="Y3878" s="182"/>
      <c r="Z3878" s="175"/>
      <c r="AA3878" s="182"/>
      <c r="AB3878" s="184"/>
    </row>
    <row r="3879" spans="1:28" ht="12.75">
      <c r="A3879" s="173"/>
      <c r="B3879" s="174"/>
      <c r="C3879" s="11"/>
      <c r="D3879" s="175"/>
      <c r="E3879" s="176"/>
      <c r="F3879" s="177"/>
      <c r="G3879" s="178"/>
      <c r="H3879" s="177"/>
      <c r="I3879" s="177"/>
      <c r="J3879" s="179"/>
      <c r="K3879" s="183"/>
      <c r="L3879" s="176"/>
      <c r="M3879" s="177"/>
      <c r="N3879" s="21"/>
      <c r="O3879" s="45"/>
      <c r="P3879" s="24"/>
      <c r="Q3879" s="24"/>
      <c r="R3879" s="180"/>
      <c r="S3879" s="181"/>
      <c r="T3879" s="35"/>
      <c r="U3879" s="35"/>
      <c r="V3879" s="35"/>
      <c r="W3879" s="35"/>
      <c r="X3879" s="35"/>
      <c r="Y3879" s="182"/>
      <c r="Z3879" s="175"/>
      <c r="AA3879" s="182"/>
      <c r="AB3879" s="184"/>
    </row>
    <row r="3880" spans="1:28" ht="12.75">
      <c r="A3880" s="173"/>
      <c r="B3880" s="174"/>
      <c r="C3880" s="11"/>
      <c r="D3880" s="175"/>
      <c r="E3880" s="176"/>
      <c r="F3880" s="177"/>
      <c r="G3880" s="178"/>
      <c r="H3880" s="177"/>
      <c r="I3880" s="177"/>
      <c r="J3880" s="179"/>
      <c r="K3880" s="183"/>
      <c r="L3880" s="176"/>
      <c r="M3880" s="177"/>
      <c r="N3880" s="21"/>
      <c r="O3880" s="45"/>
      <c r="P3880" s="24"/>
      <c r="Q3880" s="24"/>
      <c r="R3880" s="180"/>
      <c r="S3880" s="181"/>
      <c r="T3880" s="35"/>
      <c r="U3880" s="35"/>
      <c r="V3880" s="35"/>
      <c r="W3880" s="35"/>
      <c r="X3880" s="35"/>
      <c r="Y3880" s="182"/>
      <c r="Z3880" s="175"/>
      <c r="AA3880" s="182"/>
      <c r="AB3880" s="184"/>
    </row>
    <row r="3881" spans="1:28" ht="12.75">
      <c r="A3881" s="173"/>
      <c r="B3881" s="174"/>
      <c r="C3881" s="11"/>
      <c r="D3881" s="175"/>
      <c r="E3881" s="176"/>
      <c r="F3881" s="177"/>
      <c r="G3881" s="178"/>
      <c r="H3881" s="177"/>
      <c r="I3881" s="177"/>
      <c r="J3881" s="179"/>
      <c r="K3881" s="183"/>
      <c r="L3881" s="176"/>
      <c r="M3881" s="177"/>
      <c r="N3881" s="21"/>
      <c r="O3881" s="45"/>
      <c r="P3881" s="24"/>
      <c r="Q3881" s="24"/>
      <c r="R3881" s="180"/>
      <c r="S3881" s="181"/>
      <c r="T3881" s="35"/>
      <c r="U3881" s="35"/>
      <c r="V3881" s="35"/>
      <c r="W3881" s="35"/>
      <c r="X3881" s="35"/>
      <c r="Y3881" s="182"/>
      <c r="Z3881" s="175"/>
      <c r="AA3881" s="182"/>
      <c r="AB3881" s="184"/>
    </row>
    <row r="3882" spans="1:28" ht="12.75">
      <c r="A3882" s="173"/>
      <c r="B3882" s="174"/>
      <c r="C3882" s="11"/>
      <c r="D3882" s="175"/>
      <c r="E3882" s="176"/>
      <c r="F3882" s="177"/>
      <c r="G3882" s="178"/>
      <c r="H3882" s="177"/>
      <c r="I3882" s="177"/>
      <c r="J3882" s="179"/>
      <c r="K3882" s="183"/>
      <c r="L3882" s="176"/>
      <c r="M3882" s="177"/>
      <c r="N3882" s="21"/>
      <c r="O3882" s="45"/>
      <c r="P3882" s="24"/>
      <c r="Q3882" s="24"/>
      <c r="R3882" s="180"/>
      <c r="S3882" s="181"/>
      <c r="T3882" s="35"/>
      <c r="U3882" s="35"/>
      <c r="V3882" s="35"/>
      <c r="W3882" s="35"/>
      <c r="X3882" s="35"/>
      <c r="Y3882" s="182"/>
      <c r="Z3882" s="175"/>
      <c r="AA3882" s="182"/>
      <c r="AB3882" s="184"/>
    </row>
    <row r="3883" spans="1:28" ht="12.75">
      <c r="A3883" s="173"/>
      <c r="B3883" s="174"/>
      <c r="C3883" s="11"/>
      <c r="D3883" s="175"/>
      <c r="E3883" s="176"/>
      <c r="F3883" s="177"/>
      <c r="G3883" s="178"/>
      <c r="H3883" s="177"/>
      <c r="I3883" s="177"/>
      <c r="J3883" s="179"/>
      <c r="K3883" s="183"/>
      <c r="L3883" s="176"/>
      <c r="M3883" s="177"/>
      <c r="N3883" s="21"/>
      <c r="O3883" s="45"/>
      <c r="P3883" s="24"/>
      <c r="Q3883" s="24"/>
      <c r="R3883" s="180"/>
      <c r="S3883" s="181"/>
      <c r="T3883" s="35"/>
      <c r="U3883" s="35"/>
      <c r="V3883" s="35"/>
      <c r="W3883" s="35"/>
      <c r="X3883" s="35"/>
      <c r="Y3883" s="182"/>
      <c r="Z3883" s="175"/>
      <c r="AA3883" s="182"/>
      <c r="AB3883" s="184"/>
    </row>
    <row r="3884" spans="1:28" ht="12.75">
      <c r="A3884" s="173"/>
      <c r="B3884" s="174"/>
      <c r="C3884" s="11"/>
      <c r="D3884" s="175"/>
      <c r="E3884" s="176"/>
      <c r="F3884" s="177"/>
      <c r="G3884" s="178"/>
      <c r="H3884" s="177"/>
      <c r="I3884" s="177"/>
      <c r="J3884" s="179"/>
      <c r="K3884" s="183"/>
      <c r="L3884" s="176"/>
      <c r="M3884" s="177"/>
      <c r="N3884" s="21"/>
      <c r="O3884" s="45"/>
      <c r="P3884" s="24"/>
      <c r="Q3884" s="24"/>
      <c r="R3884" s="180"/>
      <c r="S3884" s="181"/>
      <c r="T3884" s="35"/>
      <c r="U3884" s="35"/>
      <c r="V3884" s="35"/>
      <c r="W3884" s="35"/>
      <c r="X3884" s="35"/>
      <c r="Y3884" s="182"/>
      <c r="Z3884" s="175"/>
      <c r="AA3884" s="182"/>
      <c r="AB3884" s="184"/>
    </row>
    <row r="3885" spans="1:28" ht="12.75">
      <c r="A3885" s="173"/>
      <c r="B3885" s="174"/>
      <c r="C3885" s="11"/>
      <c r="D3885" s="175"/>
      <c r="E3885" s="176"/>
      <c r="F3885" s="177"/>
      <c r="G3885" s="178"/>
      <c r="H3885" s="177"/>
      <c r="I3885" s="177"/>
      <c r="J3885" s="179"/>
      <c r="K3885" s="183"/>
      <c r="L3885" s="176"/>
      <c r="M3885" s="177"/>
      <c r="N3885" s="21"/>
      <c r="O3885" s="45"/>
      <c r="P3885" s="24"/>
      <c r="Q3885" s="24"/>
      <c r="R3885" s="180"/>
      <c r="S3885" s="181"/>
      <c r="T3885" s="35"/>
      <c r="U3885" s="35"/>
      <c r="V3885" s="35"/>
      <c r="W3885" s="35"/>
      <c r="X3885" s="35"/>
      <c r="Y3885" s="182"/>
      <c r="Z3885" s="175"/>
      <c r="AA3885" s="182"/>
      <c r="AB3885" s="184"/>
    </row>
    <row r="3886" spans="1:28" ht="12.75">
      <c r="A3886" s="173"/>
      <c r="B3886" s="174"/>
      <c r="C3886" s="11"/>
      <c r="D3886" s="175"/>
      <c r="E3886" s="176"/>
      <c r="F3886" s="177"/>
      <c r="G3886" s="178"/>
      <c r="H3886" s="177"/>
      <c r="I3886" s="177"/>
      <c r="J3886" s="179"/>
      <c r="K3886" s="183"/>
      <c r="L3886" s="176"/>
      <c r="M3886" s="177"/>
      <c r="N3886" s="21"/>
      <c r="O3886" s="45"/>
      <c r="P3886" s="24"/>
      <c r="Q3886" s="24"/>
      <c r="R3886" s="180"/>
      <c r="S3886" s="181"/>
      <c r="T3886" s="35"/>
      <c r="U3886" s="35"/>
      <c r="V3886" s="35"/>
      <c r="W3886" s="35"/>
      <c r="X3886" s="35"/>
      <c r="Y3886" s="182"/>
      <c r="Z3886" s="175"/>
      <c r="AA3886" s="182"/>
      <c r="AB3886" s="184"/>
    </row>
    <row r="3887" spans="1:28" ht="12.75">
      <c r="A3887" s="173"/>
      <c r="B3887" s="174"/>
      <c r="C3887" s="11"/>
      <c r="D3887" s="175"/>
      <c r="E3887" s="176"/>
      <c r="F3887" s="177"/>
      <c r="G3887" s="178"/>
      <c r="H3887" s="177"/>
      <c r="I3887" s="177"/>
      <c r="J3887" s="179"/>
      <c r="K3887" s="183"/>
      <c r="L3887" s="176"/>
      <c r="M3887" s="177"/>
      <c r="N3887" s="21"/>
      <c r="O3887" s="45"/>
      <c r="P3887" s="24"/>
      <c r="Q3887" s="24"/>
      <c r="R3887" s="180"/>
      <c r="S3887" s="181"/>
      <c r="T3887" s="35"/>
      <c r="U3887" s="35"/>
      <c r="V3887" s="35"/>
      <c r="W3887" s="35"/>
      <c r="X3887" s="35"/>
      <c r="Y3887" s="182"/>
      <c r="Z3887" s="175"/>
      <c r="AA3887" s="182"/>
      <c r="AB3887" s="184"/>
    </row>
    <row r="3888" spans="1:28" ht="12.75">
      <c r="A3888" s="173"/>
      <c r="B3888" s="174"/>
      <c r="C3888" s="11"/>
      <c r="D3888" s="175"/>
      <c r="E3888" s="176"/>
      <c r="F3888" s="177"/>
      <c r="G3888" s="178"/>
      <c r="H3888" s="177"/>
      <c r="I3888" s="177"/>
      <c r="J3888" s="179"/>
      <c r="K3888" s="183"/>
      <c r="L3888" s="176"/>
      <c r="M3888" s="177"/>
      <c r="N3888" s="21"/>
      <c r="O3888" s="45"/>
      <c r="P3888" s="24"/>
      <c r="Q3888" s="24"/>
      <c r="R3888" s="180"/>
      <c r="S3888" s="181"/>
      <c r="T3888" s="35"/>
      <c r="U3888" s="35"/>
      <c r="V3888" s="35"/>
      <c r="W3888" s="35"/>
      <c r="X3888" s="35"/>
      <c r="Y3888" s="182"/>
      <c r="Z3888" s="175"/>
      <c r="AA3888" s="182"/>
      <c r="AB3888" s="184"/>
    </row>
    <row r="3889" spans="1:28" ht="12.75">
      <c r="A3889" s="173"/>
      <c r="B3889" s="174"/>
      <c r="C3889" s="11"/>
      <c r="D3889" s="175"/>
      <c r="E3889" s="176"/>
      <c r="F3889" s="177"/>
      <c r="G3889" s="178"/>
      <c r="H3889" s="177"/>
      <c r="I3889" s="177"/>
      <c r="J3889" s="179"/>
      <c r="K3889" s="183"/>
      <c r="L3889" s="176"/>
      <c r="M3889" s="177"/>
      <c r="N3889" s="21"/>
      <c r="O3889" s="45"/>
      <c r="P3889" s="24"/>
      <c r="Q3889" s="24"/>
      <c r="R3889" s="180"/>
      <c r="S3889" s="181"/>
      <c r="T3889" s="35"/>
      <c r="U3889" s="35"/>
      <c r="V3889" s="35"/>
      <c r="W3889" s="35"/>
      <c r="X3889" s="35"/>
      <c r="Y3889" s="182"/>
      <c r="Z3889" s="175"/>
      <c r="AA3889" s="182"/>
      <c r="AB3889" s="184"/>
    </row>
    <row r="3890" spans="1:28" ht="12.75">
      <c r="A3890" s="173"/>
      <c r="B3890" s="174"/>
      <c r="C3890" s="11"/>
      <c r="D3890" s="175"/>
      <c r="E3890" s="176"/>
      <c r="F3890" s="177"/>
      <c r="G3890" s="178"/>
      <c r="H3890" s="177"/>
      <c r="I3890" s="177"/>
      <c r="J3890" s="179"/>
      <c r="K3890" s="183"/>
      <c r="L3890" s="176"/>
      <c r="M3890" s="177"/>
      <c r="N3890" s="21"/>
      <c r="O3890" s="45"/>
      <c r="P3890" s="24"/>
      <c r="Q3890" s="24"/>
      <c r="R3890" s="180"/>
      <c r="S3890" s="181"/>
      <c r="T3890" s="35"/>
      <c r="U3890" s="35"/>
      <c r="V3890" s="35"/>
      <c r="W3890" s="35"/>
      <c r="X3890" s="35"/>
      <c r="Y3890" s="182"/>
      <c r="Z3890" s="175"/>
      <c r="AA3890" s="182"/>
      <c r="AB3890" s="184"/>
    </row>
    <row r="3891" spans="1:28" ht="12.75">
      <c r="A3891" s="173"/>
      <c r="B3891" s="174"/>
      <c r="C3891" s="11"/>
      <c r="D3891" s="175"/>
      <c r="E3891" s="176"/>
      <c r="F3891" s="177"/>
      <c r="G3891" s="178"/>
      <c r="H3891" s="177"/>
      <c r="I3891" s="177"/>
      <c r="J3891" s="179"/>
      <c r="K3891" s="183"/>
      <c r="L3891" s="176"/>
      <c r="M3891" s="177"/>
      <c r="N3891" s="21"/>
      <c r="O3891" s="45"/>
      <c r="P3891" s="24"/>
      <c r="Q3891" s="24"/>
      <c r="R3891" s="180"/>
      <c r="S3891" s="181"/>
      <c r="T3891" s="35"/>
      <c r="U3891" s="35"/>
      <c r="V3891" s="35"/>
      <c r="W3891" s="35"/>
      <c r="X3891" s="35"/>
      <c r="Y3891" s="182"/>
      <c r="Z3891" s="175"/>
      <c r="AA3891" s="182"/>
      <c r="AB3891" s="184"/>
    </row>
    <row r="3892" spans="1:28" ht="12.75">
      <c r="A3892" s="173"/>
      <c r="B3892" s="174"/>
      <c r="C3892" s="11"/>
      <c r="D3892" s="175"/>
      <c r="E3892" s="176"/>
      <c r="F3892" s="177"/>
      <c r="G3892" s="178"/>
      <c r="H3892" s="177"/>
      <c r="I3892" s="177"/>
      <c r="J3892" s="179"/>
      <c r="K3892" s="183"/>
      <c r="L3892" s="176"/>
      <c r="M3892" s="177"/>
      <c r="N3892" s="21"/>
      <c r="O3892" s="45"/>
      <c r="P3892" s="24"/>
      <c r="Q3892" s="24"/>
      <c r="R3892" s="180"/>
      <c r="S3892" s="181"/>
      <c r="T3892" s="35"/>
      <c r="U3892" s="35"/>
      <c r="V3892" s="35"/>
      <c r="W3892" s="35"/>
      <c r="X3892" s="35"/>
      <c r="Y3892" s="182"/>
      <c r="Z3892" s="175"/>
      <c r="AA3892" s="182"/>
      <c r="AB3892" s="184"/>
    </row>
    <row r="3893" spans="1:28" ht="12.75">
      <c r="A3893" s="173"/>
      <c r="B3893" s="174"/>
      <c r="C3893" s="11"/>
      <c r="D3893" s="175"/>
      <c r="E3893" s="176"/>
      <c r="F3893" s="177"/>
      <c r="G3893" s="178"/>
      <c r="H3893" s="177"/>
      <c r="I3893" s="177"/>
      <c r="J3893" s="179"/>
      <c r="K3893" s="183"/>
      <c r="L3893" s="176"/>
      <c r="M3893" s="177"/>
      <c r="N3893" s="21"/>
      <c r="O3893" s="45"/>
      <c r="P3893" s="24"/>
      <c r="Q3893" s="24"/>
      <c r="R3893" s="180"/>
      <c r="S3893" s="181"/>
      <c r="T3893" s="35"/>
      <c r="U3893" s="35"/>
      <c r="V3893" s="35"/>
      <c r="W3893" s="35"/>
      <c r="X3893" s="35"/>
      <c r="Y3893" s="182"/>
      <c r="Z3893" s="175"/>
      <c r="AA3893" s="182"/>
      <c r="AB3893" s="184"/>
    </row>
    <row r="3894" spans="1:28" ht="12.75">
      <c r="A3894" s="173"/>
      <c r="B3894" s="174"/>
      <c r="C3894" s="11"/>
      <c r="D3894" s="175"/>
      <c r="E3894" s="176"/>
      <c r="F3894" s="177"/>
      <c r="G3894" s="178"/>
      <c r="H3894" s="177"/>
      <c r="I3894" s="177"/>
      <c r="J3894" s="179"/>
      <c r="K3894" s="183"/>
      <c r="L3894" s="176"/>
      <c r="M3894" s="177"/>
      <c r="N3894" s="21"/>
      <c r="O3894" s="45"/>
      <c r="P3894" s="24"/>
      <c r="Q3894" s="24"/>
      <c r="R3894" s="180"/>
      <c r="S3894" s="181"/>
      <c r="T3894" s="35"/>
      <c r="U3894" s="35"/>
      <c r="V3894" s="35"/>
      <c r="W3894" s="35"/>
      <c r="X3894" s="35"/>
      <c r="Y3894" s="182"/>
      <c r="Z3894" s="175"/>
      <c r="AA3894" s="182"/>
      <c r="AB3894" s="184"/>
    </row>
    <row r="3895" spans="1:28" ht="12.75">
      <c r="A3895" s="173"/>
      <c r="B3895" s="174"/>
      <c r="C3895" s="11"/>
      <c r="D3895" s="175"/>
      <c r="E3895" s="176"/>
      <c r="F3895" s="177"/>
      <c r="G3895" s="178"/>
      <c r="H3895" s="177"/>
      <c r="I3895" s="177"/>
      <c r="J3895" s="179"/>
      <c r="K3895" s="183"/>
      <c r="L3895" s="176"/>
      <c r="M3895" s="177"/>
      <c r="N3895" s="21"/>
      <c r="O3895" s="45"/>
      <c r="P3895" s="24"/>
      <c r="Q3895" s="24"/>
      <c r="R3895" s="180"/>
      <c r="S3895" s="181"/>
      <c r="T3895" s="35"/>
      <c r="U3895" s="35"/>
      <c r="V3895" s="35"/>
      <c r="W3895" s="35"/>
      <c r="X3895" s="35"/>
      <c r="Y3895" s="182"/>
      <c r="Z3895" s="175"/>
      <c r="AA3895" s="182"/>
      <c r="AB3895" s="184"/>
    </row>
    <row r="3896" spans="1:28" ht="12.75">
      <c r="A3896" s="173"/>
      <c r="B3896" s="174"/>
      <c r="C3896" s="11"/>
      <c r="D3896" s="175"/>
      <c r="E3896" s="176"/>
      <c r="F3896" s="177"/>
      <c r="G3896" s="178"/>
      <c r="H3896" s="177"/>
      <c r="I3896" s="177"/>
      <c r="J3896" s="179"/>
      <c r="K3896" s="183"/>
      <c r="L3896" s="176"/>
      <c r="M3896" s="177"/>
      <c r="N3896" s="21"/>
      <c r="O3896" s="45"/>
      <c r="P3896" s="24"/>
      <c r="Q3896" s="24"/>
      <c r="R3896" s="180"/>
      <c r="S3896" s="181"/>
      <c r="T3896" s="35"/>
      <c r="U3896" s="35"/>
      <c r="V3896" s="35"/>
      <c r="W3896" s="35"/>
      <c r="X3896" s="35"/>
      <c r="Y3896" s="182"/>
      <c r="Z3896" s="175"/>
      <c r="AA3896" s="182"/>
      <c r="AB3896" s="184"/>
    </row>
    <row r="3897" spans="1:28" ht="12.75">
      <c r="A3897" s="173"/>
      <c r="B3897" s="174"/>
      <c r="C3897" s="11"/>
      <c r="D3897" s="175"/>
      <c r="E3897" s="176"/>
      <c r="F3897" s="177"/>
      <c r="G3897" s="178"/>
      <c r="H3897" s="177"/>
      <c r="I3897" s="177"/>
      <c r="J3897" s="179"/>
      <c r="K3897" s="183"/>
      <c r="L3897" s="176"/>
      <c r="M3897" s="177"/>
      <c r="N3897" s="21"/>
      <c r="O3897" s="45"/>
      <c r="P3897" s="24"/>
      <c r="Q3897" s="24"/>
      <c r="R3897" s="180"/>
      <c r="S3897" s="181"/>
      <c r="T3897" s="35"/>
      <c r="U3897" s="35"/>
      <c r="V3897" s="35"/>
      <c r="W3897" s="35"/>
      <c r="X3897" s="35"/>
      <c r="Y3897" s="182"/>
      <c r="Z3897" s="175"/>
      <c r="AA3897" s="182"/>
      <c r="AB3897" s="184"/>
    </row>
    <row r="3898" spans="1:28" ht="12.75">
      <c r="A3898" s="173"/>
      <c r="B3898" s="174"/>
      <c r="C3898" s="11"/>
      <c r="D3898" s="175"/>
      <c r="E3898" s="176"/>
      <c r="F3898" s="177"/>
      <c r="G3898" s="178"/>
      <c r="H3898" s="177"/>
      <c r="I3898" s="177"/>
      <c r="J3898" s="179"/>
      <c r="K3898" s="183"/>
      <c r="L3898" s="176"/>
      <c r="M3898" s="177"/>
      <c r="N3898" s="21"/>
      <c r="O3898" s="45"/>
      <c r="P3898" s="24"/>
      <c r="Q3898" s="24"/>
      <c r="R3898" s="180"/>
      <c r="S3898" s="181"/>
      <c r="T3898" s="35"/>
      <c r="U3898" s="35"/>
      <c r="V3898" s="35"/>
      <c r="W3898" s="35"/>
      <c r="X3898" s="35"/>
      <c r="Y3898" s="182"/>
      <c r="Z3898" s="175"/>
      <c r="AA3898" s="182"/>
      <c r="AB3898" s="184"/>
    </row>
    <row r="3899" spans="1:28" ht="12.75">
      <c r="A3899" s="173"/>
      <c r="B3899" s="174"/>
      <c r="C3899" s="11"/>
      <c r="D3899" s="175"/>
      <c r="E3899" s="176"/>
      <c r="F3899" s="177"/>
      <c r="G3899" s="178"/>
      <c r="H3899" s="177"/>
      <c r="I3899" s="177"/>
      <c r="J3899" s="179"/>
      <c r="K3899" s="183"/>
      <c r="L3899" s="176"/>
      <c r="M3899" s="177"/>
      <c r="N3899" s="21"/>
      <c r="O3899" s="45"/>
      <c r="P3899" s="24"/>
      <c r="Q3899" s="24"/>
      <c r="R3899" s="180"/>
      <c r="S3899" s="181"/>
      <c r="T3899" s="35"/>
      <c r="U3899" s="35"/>
      <c r="V3899" s="35"/>
      <c r="W3899" s="35"/>
      <c r="X3899" s="35"/>
      <c r="Y3899" s="182"/>
      <c r="Z3899" s="175"/>
      <c r="AA3899" s="182"/>
      <c r="AB3899" s="184"/>
    </row>
    <row r="3900" spans="1:28" ht="12.75">
      <c r="A3900" s="173"/>
      <c r="B3900" s="174"/>
      <c r="C3900" s="11"/>
      <c r="D3900" s="175"/>
      <c r="E3900" s="176"/>
      <c r="F3900" s="177"/>
      <c r="G3900" s="178"/>
      <c r="H3900" s="177"/>
      <c r="I3900" s="177"/>
      <c r="J3900" s="179"/>
      <c r="K3900" s="183"/>
      <c r="L3900" s="176"/>
      <c r="M3900" s="177"/>
      <c r="N3900" s="21"/>
      <c r="O3900" s="45"/>
      <c r="P3900" s="24"/>
      <c r="Q3900" s="24"/>
      <c r="R3900" s="180"/>
      <c r="S3900" s="181"/>
      <c r="T3900" s="35"/>
      <c r="U3900" s="35"/>
      <c r="V3900" s="35"/>
      <c r="W3900" s="35"/>
      <c r="X3900" s="35"/>
      <c r="Y3900" s="182"/>
      <c r="Z3900" s="175"/>
      <c r="AA3900" s="182"/>
      <c r="AB3900" s="184"/>
    </row>
    <row r="3901" spans="1:28" ht="12.75">
      <c r="A3901" s="173"/>
      <c r="B3901" s="174"/>
      <c r="C3901" s="11"/>
      <c r="D3901" s="175"/>
      <c r="E3901" s="176"/>
      <c r="F3901" s="177"/>
      <c r="G3901" s="178"/>
      <c r="H3901" s="177"/>
      <c r="I3901" s="177"/>
      <c r="J3901" s="179"/>
      <c r="K3901" s="183"/>
      <c r="L3901" s="176"/>
      <c r="M3901" s="177"/>
      <c r="N3901" s="21"/>
      <c r="O3901" s="45"/>
      <c r="P3901" s="24"/>
      <c r="Q3901" s="24"/>
      <c r="R3901" s="180"/>
      <c r="S3901" s="181"/>
      <c r="T3901" s="35"/>
      <c r="U3901" s="35"/>
      <c r="V3901" s="35"/>
      <c r="W3901" s="35"/>
      <c r="X3901" s="35"/>
      <c r="Y3901" s="182"/>
      <c r="Z3901" s="175"/>
      <c r="AA3901" s="182"/>
      <c r="AB3901" s="184"/>
    </row>
    <row r="3902" spans="1:28" ht="12.75">
      <c r="A3902" s="173"/>
      <c r="B3902" s="174"/>
      <c r="C3902" s="11"/>
      <c r="D3902" s="175"/>
      <c r="E3902" s="176"/>
      <c r="F3902" s="177"/>
      <c r="G3902" s="178"/>
      <c r="H3902" s="177"/>
      <c r="I3902" s="177"/>
      <c r="J3902" s="179"/>
      <c r="K3902" s="183"/>
      <c r="L3902" s="176"/>
      <c r="M3902" s="177"/>
      <c r="N3902" s="21"/>
      <c r="O3902" s="45"/>
      <c r="P3902" s="24"/>
      <c r="Q3902" s="24"/>
      <c r="R3902" s="180"/>
      <c r="S3902" s="181"/>
      <c r="T3902" s="35"/>
      <c r="U3902" s="35"/>
      <c r="V3902" s="35"/>
      <c r="W3902" s="35"/>
      <c r="X3902" s="35"/>
      <c r="Y3902" s="182"/>
      <c r="Z3902" s="175"/>
      <c r="AA3902" s="182"/>
      <c r="AB3902" s="184"/>
    </row>
    <row r="3903" spans="1:28" ht="12.75">
      <c r="A3903" s="173"/>
      <c r="B3903" s="174"/>
      <c r="C3903" s="11"/>
      <c r="D3903" s="175"/>
      <c r="E3903" s="176"/>
      <c r="F3903" s="177"/>
      <c r="G3903" s="178"/>
      <c r="H3903" s="177"/>
      <c r="I3903" s="177"/>
      <c r="J3903" s="179"/>
      <c r="K3903" s="183"/>
      <c r="L3903" s="176"/>
      <c r="M3903" s="177"/>
      <c r="N3903" s="21"/>
      <c r="O3903" s="45"/>
      <c r="P3903" s="24"/>
      <c r="Q3903" s="24"/>
      <c r="R3903" s="180"/>
      <c r="S3903" s="181"/>
      <c r="T3903" s="35"/>
      <c r="U3903" s="35"/>
      <c r="V3903" s="35"/>
      <c r="W3903" s="35"/>
      <c r="X3903" s="35"/>
      <c r="Y3903" s="182"/>
      <c r="Z3903" s="175"/>
      <c r="AA3903" s="182"/>
      <c r="AB3903" s="184"/>
    </row>
    <row r="3904" spans="1:28" ht="12.75">
      <c r="A3904" s="173"/>
      <c r="B3904" s="174"/>
      <c r="C3904" s="11"/>
      <c r="D3904" s="175"/>
      <c r="E3904" s="176"/>
      <c r="F3904" s="177"/>
      <c r="G3904" s="178"/>
      <c r="H3904" s="177"/>
      <c r="I3904" s="177"/>
      <c r="J3904" s="179"/>
      <c r="K3904" s="183"/>
      <c r="L3904" s="176"/>
      <c r="M3904" s="177"/>
      <c r="N3904" s="21"/>
      <c r="O3904" s="45"/>
      <c r="P3904" s="24"/>
      <c r="Q3904" s="24"/>
      <c r="R3904" s="180"/>
      <c r="S3904" s="181"/>
      <c r="T3904" s="35"/>
      <c r="U3904" s="35"/>
      <c r="V3904" s="35"/>
      <c r="W3904" s="35"/>
      <c r="X3904" s="35"/>
      <c r="Y3904" s="182"/>
      <c r="Z3904" s="175"/>
      <c r="AA3904" s="182"/>
      <c r="AB3904" s="184"/>
    </row>
    <row r="3905" spans="1:28" ht="12.75">
      <c r="A3905" s="173"/>
      <c r="B3905" s="174"/>
      <c r="C3905" s="11"/>
      <c r="D3905" s="175"/>
      <c r="E3905" s="176"/>
      <c r="F3905" s="177"/>
      <c r="G3905" s="178"/>
      <c r="H3905" s="177"/>
      <c r="I3905" s="177"/>
      <c r="J3905" s="179"/>
      <c r="K3905" s="183"/>
      <c r="L3905" s="176"/>
      <c r="M3905" s="177"/>
      <c r="N3905" s="21"/>
      <c r="O3905" s="45"/>
      <c r="P3905" s="24"/>
      <c r="Q3905" s="24"/>
      <c r="R3905" s="180"/>
      <c r="S3905" s="181"/>
      <c r="T3905" s="35"/>
      <c r="U3905" s="35"/>
      <c r="V3905" s="35"/>
      <c r="W3905" s="35"/>
      <c r="X3905" s="35"/>
      <c r="Y3905" s="182"/>
      <c r="Z3905" s="175"/>
      <c r="AA3905" s="182"/>
      <c r="AB3905" s="184"/>
    </row>
    <row r="3906" spans="1:28" ht="12.75">
      <c r="A3906" s="173"/>
      <c r="B3906" s="174"/>
      <c r="C3906" s="11"/>
      <c r="D3906" s="175"/>
      <c r="E3906" s="176"/>
      <c r="F3906" s="177"/>
      <c r="G3906" s="178"/>
      <c r="H3906" s="177"/>
      <c r="I3906" s="177"/>
      <c r="J3906" s="179"/>
      <c r="K3906" s="183"/>
      <c r="L3906" s="176"/>
      <c r="M3906" s="177"/>
      <c r="N3906" s="21"/>
      <c r="O3906" s="45"/>
      <c r="P3906" s="24"/>
      <c r="Q3906" s="24"/>
      <c r="R3906" s="180"/>
      <c r="S3906" s="181"/>
      <c r="T3906" s="35"/>
      <c r="U3906" s="35"/>
      <c r="V3906" s="35"/>
      <c r="W3906" s="35"/>
      <c r="X3906" s="35"/>
      <c r="Y3906" s="182"/>
      <c r="Z3906" s="175"/>
      <c r="AA3906" s="182"/>
      <c r="AB3906" s="184"/>
    </row>
    <row r="3907" spans="1:28" ht="12.75">
      <c r="A3907" s="173"/>
      <c r="B3907" s="174"/>
      <c r="C3907" s="11"/>
      <c r="D3907" s="175"/>
      <c r="E3907" s="176"/>
      <c r="F3907" s="177"/>
      <c r="G3907" s="178"/>
      <c r="H3907" s="177"/>
      <c r="I3907" s="177"/>
      <c r="J3907" s="179"/>
      <c r="K3907" s="183"/>
      <c r="L3907" s="176"/>
      <c r="M3907" s="177"/>
      <c r="N3907" s="21"/>
      <c r="O3907" s="45"/>
      <c r="P3907" s="24"/>
      <c r="Q3907" s="24"/>
      <c r="R3907" s="180"/>
      <c r="S3907" s="181"/>
      <c r="T3907" s="35"/>
      <c r="U3907" s="35"/>
      <c r="V3907" s="35"/>
      <c r="W3907" s="35"/>
      <c r="X3907" s="35"/>
      <c r="Y3907" s="182"/>
      <c r="Z3907" s="175"/>
      <c r="AA3907" s="182"/>
      <c r="AB3907" s="184"/>
    </row>
    <row r="3908" spans="1:28" ht="12.75">
      <c r="A3908" s="173"/>
      <c r="B3908" s="174"/>
      <c r="C3908" s="11"/>
      <c r="D3908" s="175"/>
      <c r="E3908" s="176"/>
      <c r="F3908" s="177"/>
      <c r="G3908" s="178"/>
      <c r="H3908" s="177"/>
      <c r="I3908" s="177"/>
      <c r="J3908" s="179"/>
      <c r="K3908" s="183"/>
      <c r="L3908" s="176"/>
      <c r="M3908" s="177"/>
      <c r="N3908" s="21"/>
      <c r="O3908" s="45"/>
      <c r="P3908" s="24"/>
      <c r="Q3908" s="24"/>
      <c r="R3908" s="180"/>
      <c r="S3908" s="181"/>
      <c r="T3908" s="35"/>
      <c r="U3908" s="35"/>
      <c r="V3908" s="35"/>
      <c r="W3908" s="35"/>
      <c r="X3908" s="35"/>
      <c r="Y3908" s="182"/>
      <c r="Z3908" s="175"/>
      <c r="AA3908" s="182"/>
      <c r="AB3908" s="184"/>
    </row>
    <row r="3909" spans="1:28" ht="12.75">
      <c r="A3909" s="173"/>
      <c r="B3909" s="174"/>
      <c r="C3909" s="11"/>
      <c r="D3909" s="175"/>
      <c r="E3909" s="176"/>
      <c r="F3909" s="177"/>
      <c r="G3909" s="178"/>
      <c r="H3909" s="177"/>
      <c r="I3909" s="177"/>
      <c r="J3909" s="179"/>
      <c r="K3909" s="183"/>
      <c r="L3909" s="176"/>
      <c r="M3909" s="177"/>
      <c r="N3909" s="21"/>
      <c r="O3909" s="45"/>
      <c r="P3909" s="24"/>
      <c r="Q3909" s="24"/>
      <c r="R3909" s="180"/>
      <c r="S3909" s="181"/>
      <c r="T3909" s="35"/>
      <c r="U3909" s="35"/>
      <c r="V3909" s="35"/>
      <c r="W3909" s="35"/>
      <c r="X3909" s="35"/>
      <c r="Y3909" s="182"/>
      <c r="Z3909" s="175"/>
      <c r="AA3909" s="182"/>
      <c r="AB3909" s="184"/>
    </row>
    <row r="3910" spans="1:28" ht="12.75">
      <c r="A3910" s="173"/>
      <c r="B3910" s="174"/>
      <c r="C3910" s="11"/>
      <c r="D3910" s="175"/>
      <c r="E3910" s="176"/>
      <c r="F3910" s="177"/>
      <c r="G3910" s="178"/>
      <c r="H3910" s="177"/>
      <c r="I3910" s="177"/>
      <c r="J3910" s="179"/>
      <c r="K3910" s="183"/>
      <c r="L3910" s="176"/>
      <c r="M3910" s="177"/>
      <c r="N3910" s="21"/>
      <c r="O3910" s="45"/>
      <c r="P3910" s="24"/>
      <c r="Q3910" s="24"/>
      <c r="R3910" s="180"/>
      <c r="S3910" s="181"/>
      <c r="T3910" s="35"/>
      <c r="U3910" s="35"/>
      <c r="V3910" s="35"/>
      <c r="W3910" s="35"/>
      <c r="X3910" s="35"/>
      <c r="Y3910" s="182"/>
      <c r="Z3910" s="175"/>
      <c r="AA3910" s="182"/>
      <c r="AB3910" s="184"/>
    </row>
    <row r="3911" spans="1:28" ht="12.75">
      <c r="A3911" s="173"/>
      <c r="B3911" s="174"/>
      <c r="C3911" s="11"/>
      <c r="D3911" s="175"/>
      <c r="E3911" s="176"/>
      <c r="F3911" s="177"/>
      <c r="G3911" s="178"/>
      <c r="H3911" s="177"/>
      <c r="I3911" s="177"/>
      <c r="J3911" s="179"/>
      <c r="K3911" s="183"/>
      <c r="L3911" s="176"/>
      <c r="M3911" s="177"/>
      <c r="N3911" s="21"/>
      <c r="O3911" s="45"/>
      <c r="P3911" s="24"/>
      <c r="Q3911" s="24"/>
      <c r="R3911" s="180"/>
      <c r="S3911" s="181"/>
      <c r="T3911" s="35"/>
      <c r="U3911" s="35"/>
      <c r="V3911" s="35"/>
      <c r="W3911" s="35"/>
      <c r="X3911" s="35"/>
      <c r="Y3911" s="182"/>
      <c r="Z3911" s="175"/>
      <c r="AA3911" s="182"/>
      <c r="AB3911" s="184"/>
    </row>
    <row r="3912" spans="1:28" ht="12.75">
      <c r="A3912" s="173"/>
      <c r="B3912" s="174"/>
      <c r="C3912" s="11"/>
      <c r="D3912" s="175"/>
      <c r="E3912" s="176"/>
      <c r="F3912" s="177"/>
      <c r="G3912" s="178"/>
      <c r="H3912" s="177"/>
      <c r="I3912" s="177"/>
      <c r="J3912" s="179"/>
      <c r="K3912" s="183"/>
      <c r="L3912" s="176"/>
      <c r="M3912" s="177"/>
      <c r="N3912" s="21"/>
      <c r="O3912" s="45"/>
      <c r="P3912" s="24"/>
      <c r="Q3912" s="24"/>
      <c r="R3912" s="180"/>
      <c r="S3912" s="181"/>
      <c r="T3912" s="35"/>
      <c r="U3912" s="35"/>
      <c r="V3912" s="35"/>
      <c r="W3912" s="35"/>
      <c r="X3912" s="35"/>
      <c r="Y3912" s="182"/>
      <c r="Z3912" s="175"/>
      <c r="AA3912" s="182"/>
      <c r="AB3912" s="184"/>
    </row>
    <row r="3913" spans="1:28" ht="12.75">
      <c r="A3913" s="173"/>
      <c r="B3913" s="174"/>
      <c r="C3913" s="11"/>
      <c r="D3913" s="175"/>
      <c r="E3913" s="176"/>
      <c r="F3913" s="177"/>
      <c r="G3913" s="178"/>
      <c r="H3913" s="177"/>
      <c r="I3913" s="177"/>
      <c r="J3913" s="179"/>
      <c r="K3913" s="183"/>
      <c r="L3913" s="176"/>
      <c r="M3913" s="177"/>
      <c r="N3913" s="21"/>
      <c r="O3913" s="45"/>
      <c r="P3913" s="24"/>
      <c r="Q3913" s="24"/>
      <c r="R3913" s="180"/>
      <c r="S3913" s="181"/>
      <c r="T3913" s="35"/>
      <c r="U3913" s="35"/>
      <c r="V3913" s="35"/>
      <c r="W3913" s="35"/>
      <c r="X3913" s="35"/>
      <c r="Y3913" s="182"/>
      <c r="Z3913" s="175"/>
      <c r="AA3913" s="182"/>
      <c r="AB3913" s="184"/>
    </row>
    <row r="3914" spans="1:28" ht="12.75">
      <c r="A3914" s="173"/>
      <c r="B3914" s="174"/>
      <c r="C3914" s="11"/>
      <c r="D3914" s="175"/>
      <c r="E3914" s="176"/>
      <c r="F3914" s="177"/>
      <c r="G3914" s="178"/>
      <c r="H3914" s="177"/>
      <c r="I3914" s="177"/>
      <c r="J3914" s="179"/>
      <c r="K3914" s="183"/>
      <c r="L3914" s="176"/>
      <c r="M3914" s="177"/>
      <c r="N3914" s="21"/>
      <c r="O3914" s="45"/>
      <c r="P3914" s="24"/>
      <c r="Q3914" s="24"/>
      <c r="R3914" s="180"/>
      <c r="S3914" s="181"/>
      <c r="T3914" s="35"/>
      <c r="U3914" s="35"/>
      <c r="V3914" s="35"/>
      <c r="W3914" s="35"/>
      <c r="X3914" s="35"/>
      <c r="Y3914" s="182"/>
      <c r="Z3914" s="175"/>
      <c r="AA3914" s="182"/>
      <c r="AB3914" s="184"/>
    </row>
    <row r="3915" spans="1:28" ht="12.75">
      <c r="A3915" s="173"/>
      <c r="B3915" s="174"/>
      <c r="C3915" s="11"/>
      <c r="D3915" s="175"/>
      <c r="E3915" s="176"/>
      <c r="F3915" s="177"/>
      <c r="G3915" s="178"/>
      <c r="H3915" s="177"/>
      <c r="I3915" s="177"/>
      <c r="J3915" s="179"/>
      <c r="K3915" s="183"/>
      <c r="L3915" s="176"/>
      <c r="M3915" s="177"/>
      <c r="N3915" s="21"/>
      <c r="O3915" s="45"/>
      <c r="P3915" s="24"/>
      <c r="Q3915" s="24"/>
      <c r="R3915" s="180"/>
      <c r="S3915" s="181"/>
      <c r="T3915" s="35"/>
      <c r="U3915" s="35"/>
      <c r="V3915" s="35"/>
      <c r="W3915" s="35"/>
      <c r="X3915" s="35"/>
      <c r="Y3915" s="182"/>
      <c r="Z3915" s="175"/>
      <c r="AA3915" s="182"/>
      <c r="AB3915" s="184"/>
    </row>
    <row r="3916" spans="1:28" ht="12.75">
      <c r="A3916" s="173"/>
      <c r="B3916" s="174"/>
      <c r="C3916" s="11"/>
      <c r="D3916" s="175"/>
      <c r="E3916" s="176"/>
      <c r="F3916" s="177"/>
      <c r="G3916" s="178"/>
      <c r="H3916" s="177"/>
      <c r="I3916" s="177"/>
      <c r="J3916" s="179"/>
      <c r="K3916" s="183"/>
      <c r="L3916" s="176"/>
      <c r="M3916" s="177"/>
      <c r="N3916" s="21"/>
      <c r="O3916" s="45"/>
      <c r="P3916" s="24"/>
      <c r="Q3916" s="24"/>
      <c r="R3916" s="180"/>
      <c r="S3916" s="181"/>
      <c r="T3916" s="35"/>
      <c r="U3916" s="35"/>
      <c r="V3916" s="35"/>
      <c r="W3916" s="35"/>
      <c r="X3916" s="35"/>
      <c r="Y3916" s="182"/>
      <c r="Z3916" s="175"/>
      <c r="AA3916" s="182"/>
      <c r="AB3916" s="184"/>
    </row>
    <row r="3917" spans="1:28" ht="12.75">
      <c r="A3917" s="173"/>
      <c r="B3917" s="174"/>
      <c r="C3917" s="11"/>
      <c r="D3917" s="175"/>
      <c r="E3917" s="176"/>
      <c r="F3917" s="177"/>
      <c r="G3917" s="178"/>
      <c r="H3917" s="177"/>
      <c r="I3917" s="177"/>
      <c r="J3917" s="179"/>
      <c r="K3917" s="183"/>
      <c r="L3917" s="176"/>
      <c r="M3917" s="177"/>
      <c r="N3917" s="21"/>
      <c r="O3917" s="45"/>
      <c r="P3917" s="24"/>
      <c r="Q3917" s="24"/>
      <c r="R3917" s="180"/>
      <c r="S3917" s="181"/>
      <c r="T3917" s="35"/>
      <c r="U3917" s="35"/>
      <c r="V3917" s="35"/>
      <c r="W3917" s="35"/>
      <c r="X3917" s="35"/>
      <c r="Y3917" s="182"/>
      <c r="Z3917" s="175"/>
      <c r="AA3917" s="182"/>
      <c r="AB3917" s="184"/>
    </row>
    <row r="3918" spans="1:28" ht="12.75">
      <c r="A3918" s="173"/>
      <c r="B3918" s="174"/>
      <c r="C3918" s="11"/>
      <c r="D3918" s="175"/>
      <c r="E3918" s="176"/>
      <c r="F3918" s="177"/>
      <c r="G3918" s="178"/>
      <c r="H3918" s="177"/>
      <c r="I3918" s="177"/>
      <c r="J3918" s="179"/>
      <c r="K3918" s="183"/>
      <c r="L3918" s="176"/>
      <c r="M3918" s="177"/>
      <c r="N3918" s="21"/>
      <c r="O3918" s="45"/>
      <c r="P3918" s="24"/>
      <c r="Q3918" s="24"/>
      <c r="R3918" s="180"/>
      <c r="S3918" s="181"/>
      <c r="T3918" s="35"/>
      <c r="U3918" s="35"/>
      <c r="V3918" s="35"/>
      <c r="W3918" s="35"/>
      <c r="X3918" s="35"/>
      <c r="Y3918" s="182"/>
      <c r="Z3918" s="175"/>
      <c r="AA3918" s="182"/>
      <c r="AB3918" s="184"/>
    </row>
    <row r="3919" spans="1:28" ht="12.75">
      <c r="A3919" s="173"/>
      <c r="B3919" s="174"/>
      <c r="C3919" s="11"/>
      <c r="D3919" s="175"/>
      <c r="E3919" s="176"/>
      <c r="F3919" s="177"/>
      <c r="G3919" s="178"/>
      <c r="H3919" s="177"/>
      <c r="I3919" s="177"/>
      <c r="J3919" s="179"/>
      <c r="K3919" s="183"/>
      <c r="L3919" s="176"/>
      <c r="M3919" s="177"/>
      <c r="N3919" s="21"/>
      <c r="O3919" s="45"/>
      <c r="P3919" s="24"/>
      <c r="Q3919" s="24"/>
      <c r="R3919" s="180"/>
      <c r="S3919" s="181"/>
      <c r="T3919" s="35"/>
      <c r="U3919" s="35"/>
      <c r="V3919" s="35"/>
      <c r="W3919" s="35"/>
      <c r="X3919" s="35"/>
      <c r="Y3919" s="182"/>
      <c r="Z3919" s="175"/>
      <c r="AA3919" s="182"/>
      <c r="AB3919" s="184"/>
    </row>
    <row r="3920" spans="1:28" ht="12.75">
      <c r="A3920" s="173"/>
      <c r="B3920" s="174"/>
      <c r="C3920" s="11"/>
      <c r="D3920" s="175"/>
      <c r="E3920" s="176"/>
      <c r="F3920" s="177"/>
      <c r="G3920" s="178"/>
      <c r="H3920" s="177"/>
      <c r="I3920" s="177"/>
      <c r="J3920" s="179"/>
      <c r="K3920" s="183"/>
      <c r="L3920" s="176"/>
      <c r="M3920" s="177"/>
      <c r="N3920" s="21"/>
      <c r="O3920" s="45"/>
      <c r="P3920" s="24"/>
      <c r="Q3920" s="24"/>
      <c r="R3920" s="180"/>
      <c r="S3920" s="181"/>
      <c r="T3920" s="35"/>
      <c r="U3920" s="35"/>
      <c r="V3920" s="35"/>
      <c r="W3920" s="35"/>
      <c r="X3920" s="35"/>
      <c r="Y3920" s="182"/>
      <c r="Z3920" s="175"/>
      <c r="AA3920" s="182"/>
      <c r="AB3920" s="184"/>
    </row>
    <row r="3921" spans="1:28" ht="12.75">
      <c r="A3921" s="173"/>
      <c r="B3921" s="174"/>
      <c r="C3921" s="11"/>
      <c r="D3921" s="175"/>
      <c r="E3921" s="176"/>
      <c r="F3921" s="177"/>
      <c r="G3921" s="178"/>
      <c r="H3921" s="177"/>
      <c r="I3921" s="177"/>
      <c r="J3921" s="179"/>
      <c r="K3921" s="183"/>
      <c r="L3921" s="176"/>
      <c r="M3921" s="177"/>
      <c r="N3921" s="21"/>
      <c r="O3921" s="45"/>
      <c r="P3921" s="24"/>
      <c r="Q3921" s="24"/>
      <c r="R3921" s="180"/>
      <c r="S3921" s="181"/>
      <c r="T3921" s="35"/>
      <c r="U3921" s="35"/>
      <c r="V3921" s="35"/>
      <c r="W3921" s="35"/>
      <c r="X3921" s="35"/>
      <c r="Y3921" s="182"/>
      <c r="Z3921" s="175"/>
      <c r="AA3921" s="182"/>
      <c r="AB3921" s="184"/>
    </row>
    <row r="3922" spans="1:28" ht="12.75">
      <c r="A3922" s="173"/>
      <c r="B3922" s="174"/>
      <c r="C3922" s="11"/>
      <c r="D3922" s="175"/>
      <c r="E3922" s="176"/>
      <c r="F3922" s="177"/>
      <c r="G3922" s="178"/>
      <c r="H3922" s="177"/>
      <c r="I3922" s="177"/>
      <c r="J3922" s="179"/>
      <c r="K3922" s="183"/>
      <c r="L3922" s="176"/>
      <c r="M3922" s="177"/>
      <c r="N3922" s="21"/>
      <c r="O3922" s="45"/>
      <c r="P3922" s="24"/>
      <c r="Q3922" s="24"/>
      <c r="R3922" s="180"/>
      <c r="S3922" s="181"/>
      <c r="T3922" s="35"/>
      <c r="U3922" s="35"/>
      <c r="V3922" s="35"/>
      <c r="W3922" s="35"/>
      <c r="X3922" s="35"/>
      <c r="Y3922" s="182"/>
      <c r="Z3922" s="175"/>
      <c r="AA3922" s="182"/>
      <c r="AB3922" s="184"/>
    </row>
    <row r="3923" spans="1:28" ht="12.75">
      <c r="A3923" s="173"/>
      <c r="B3923" s="174"/>
      <c r="C3923" s="11"/>
      <c r="D3923" s="175"/>
      <c r="E3923" s="176"/>
      <c r="F3923" s="177"/>
      <c r="G3923" s="178"/>
      <c r="H3923" s="177"/>
      <c r="I3923" s="177"/>
      <c r="J3923" s="179"/>
      <c r="K3923" s="183"/>
      <c r="L3923" s="176"/>
      <c r="M3923" s="177"/>
      <c r="N3923" s="21"/>
      <c r="O3923" s="45"/>
      <c r="P3923" s="24"/>
      <c r="Q3923" s="24"/>
      <c r="R3923" s="180"/>
      <c r="S3923" s="181"/>
      <c r="T3923" s="35"/>
      <c r="U3923" s="35"/>
      <c r="V3923" s="35"/>
      <c r="W3923" s="35"/>
      <c r="X3923" s="35"/>
      <c r="Y3923" s="182"/>
      <c r="Z3923" s="175"/>
      <c r="AA3923" s="182"/>
      <c r="AB3923" s="184"/>
    </row>
    <row r="3924" spans="1:28" ht="12.75">
      <c r="A3924" s="173"/>
      <c r="B3924" s="174"/>
      <c r="C3924" s="11"/>
      <c r="D3924" s="175"/>
      <c r="E3924" s="176"/>
      <c r="F3924" s="177"/>
      <c r="G3924" s="178"/>
      <c r="H3924" s="177"/>
      <c r="I3924" s="177"/>
      <c r="J3924" s="179"/>
      <c r="K3924" s="183"/>
      <c r="L3924" s="176"/>
      <c r="M3924" s="177"/>
      <c r="N3924" s="21"/>
      <c r="O3924" s="45"/>
      <c r="P3924" s="24"/>
      <c r="Q3924" s="24"/>
      <c r="R3924" s="180"/>
      <c r="S3924" s="181"/>
      <c r="T3924" s="35"/>
      <c r="U3924" s="35"/>
      <c r="V3924" s="35"/>
      <c r="W3924" s="35"/>
      <c r="X3924" s="35"/>
      <c r="Y3924" s="182"/>
      <c r="Z3924" s="175"/>
      <c r="AA3924" s="182"/>
      <c r="AB3924" s="184"/>
    </row>
    <row r="3925" spans="1:28" ht="12.75">
      <c r="A3925" s="173"/>
      <c r="B3925" s="174"/>
      <c r="C3925" s="11"/>
      <c r="D3925" s="175"/>
      <c r="E3925" s="176"/>
      <c r="F3925" s="177"/>
      <c r="G3925" s="178"/>
      <c r="H3925" s="177"/>
      <c r="I3925" s="177"/>
      <c r="J3925" s="179"/>
      <c r="K3925" s="183"/>
      <c r="L3925" s="176"/>
      <c r="M3925" s="177"/>
      <c r="N3925" s="21"/>
      <c r="O3925" s="45"/>
      <c r="P3925" s="24"/>
      <c r="Q3925" s="24"/>
      <c r="R3925" s="180"/>
      <c r="S3925" s="181"/>
      <c r="T3925" s="35"/>
      <c r="U3925" s="35"/>
      <c r="V3925" s="35"/>
      <c r="W3925" s="35"/>
      <c r="X3925" s="35"/>
      <c r="Y3925" s="182"/>
      <c r="Z3925" s="175"/>
      <c r="AA3925" s="182"/>
      <c r="AB3925" s="184"/>
    </row>
    <row r="3926" spans="1:28" ht="12.75">
      <c r="A3926" s="173"/>
      <c r="B3926" s="174"/>
      <c r="C3926" s="11"/>
      <c r="D3926" s="175"/>
      <c r="E3926" s="176"/>
      <c r="F3926" s="177"/>
      <c r="G3926" s="178"/>
      <c r="H3926" s="177"/>
      <c r="I3926" s="177"/>
      <c r="J3926" s="179"/>
      <c r="K3926" s="183"/>
      <c r="L3926" s="176"/>
      <c r="M3926" s="177"/>
      <c r="N3926" s="21"/>
      <c r="O3926" s="45"/>
      <c r="P3926" s="24"/>
      <c r="Q3926" s="24"/>
      <c r="R3926" s="180"/>
      <c r="S3926" s="181"/>
      <c r="T3926" s="35"/>
      <c r="U3926" s="35"/>
      <c r="V3926" s="35"/>
      <c r="W3926" s="35"/>
      <c r="X3926" s="35"/>
      <c r="Y3926" s="182"/>
      <c r="Z3926" s="175"/>
      <c r="AA3926" s="182"/>
      <c r="AB3926" s="184"/>
    </row>
    <row r="3927" spans="1:28" ht="12.75">
      <c r="A3927" s="173"/>
      <c r="B3927" s="174"/>
      <c r="C3927" s="11"/>
      <c r="D3927" s="175"/>
      <c r="E3927" s="176"/>
      <c r="F3927" s="177"/>
      <c r="G3927" s="178"/>
      <c r="H3927" s="177"/>
      <c r="I3927" s="177"/>
      <c r="J3927" s="179"/>
      <c r="K3927" s="183"/>
      <c r="L3927" s="176"/>
      <c r="M3927" s="177"/>
      <c r="N3927" s="21"/>
      <c r="O3927" s="45"/>
      <c r="P3927" s="24"/>
      <c r="Q3927" s="24"/>
      <c r="R3927" s="180"/>
      <c r="S3927" s="181"/>
      <c r="T3927" s="35"/>
      <c r="U3927" s="35"/>
      <c r="V3927" s="35"/>
      <c r="W3927" s="35"/>
      <c r="X3927" s="35"/>
      <c r="Y3927" s="182"/>
      <c r="Z3927" s="175"/>
      <c r="AA3927" s="182"/>
      <c r="AB3927" s="184"/>
    </row>
    <row r="3928" spans="1:28" ht="12.75">
      <c r="A3928" s="173"/>
      <c r="B3928" s="174"/>
      <c r="C3928" s="11"/>
      <c r="D3928" s="175"/>
      <c r="E3928" s="176"/>
      <c r="F3928" s="177"/>
      <c r="G3928" s="178"/>
      <c r="H3928" s="177"/>
      <c r="I3928" s="177"/>
      <c r="J3928" s="179"/>
      <c r="K3928" s="183"/>
      <c r="L3928" s="176"/>
      <c r="M3928" s="177"/>
      <c r="N3928" s="21"/>
      <c r="O3928" s="45"/>
      <c r="P3928" s="24"/>
      <c r="Q3928" s="24"/>
      <c r="R3928" s="180"/>
      <c r="S3928" s="181"/>
      <c r="T3928" s="35"/>
      <c r="U3928" s="35"/>
      <c r="V3928" s="35"/>
      <c r="W3928" s="35"/>
      <c r="X3928" s="35"/>
      <c r="Y3928" s="182"/>
      <c r="Z3928" s="175"/>
      <c r="AA3928" s="182"/>
      <c r="AB3928" s="184"/>
    </row>
    <row r="3929" spans="1:28" ht="12.75">
      <c r="A3929" s="173"/>
      <c r="B3929" s="174"/>
      <c r="C3929" s="11"/>
      <c r="D3929" s="175"/>
      <c r="E3929" s="176"/>
      <c r="F3929" s="177"/>
      <c r="G3929" s="178"/>
      <c r="H3929" s="177"/>
      <c r="I3929" s="177"/>
      <c r="J3929" s="179"/>
      <c r="K3929" s="183"/>
      <c r="L3929" s="176"/>
      <c r="M3929" s="177"/>
      <c r="N3929" s="21"/>
      <c r="O3929" s="45"/>
      <c r="P3929" s="24"/>
      <c r="Q3929" s="24"/>
      <c r="R3929" s="180"/>
      <c r="S3929" s="181"/>
      <c r="T3929" s="35"/>
      <c r="U3929" s="35"/>
      <c r="V3929" s="35"/>
      <c r="W3929" s="35"/>
      <c r="X3929" s="35"/>
      <c r="Y3929" s="182"/>
      <c r="Z3929" s="175"/>
      <c r="AA3929" s="182"/>
      <c r="AB3929" s="184"/>
    </row>
    <row r="3930" spans="1:28" ht="12.75">
      <c r="A3930" s="173"/>
      <c r="B3930" s="174"/>
      <c r="C3930" s="11"/>
      <c r="D3930" s="175"/>
      <c r="E3930" s="176"/>
      <c r="F3930" s="177"/>
      <c r="G3930" s="178"/>
      <c r="H3930" s="177"/>
      <c r="I3930" s="177"/>
      <c r="J3930" s="179"/>
      <c r="K3930" s="183"/>
      <c r="L3930" s="176"/>
      <c r="M3930" s="177"/>
      <c r="N3930" s="21"/>
      <c r="O3930" s="45"/>
      <c r="P3930" s="24"/>
      <c r="Q3930" s="24"/>
      <c r="R3930" s="180"/>
      <c r="S3930" s="181"/>
      <c r="T3930" s="35"/>
      <c r="U3930" s="35"/>
      <c r="V3930" s="35"/>
      <c r="W3930" s="35"/>
      <c r="X3930" s="35"/>
      <c r="Y3930" s="182"/>
      <c r="Z3930" s="175"/>
      <c r="AA3930" s="182"/>
      <c r="AB3930" s="184"/>
    </row>
    <row r="3931" spans="1:28" ht="12.75">
      <c r="A3931" s="173"/>
      <c r="B3931" s="174"/>
      <c r="C3931" s="11"/>
      <c r="D3931" s="175"/>
      <c r="E3931" s="176"/>
      <c r="F3931" s="177"/>
      <c r="G3931" s="178"/>
      <c r="H3931" s="177"/>
      <c r="I3931" s="177"/>
      <c r="J3931" s="179"/>
      <c r="K3931" s="183"/>
      <c r="L3931" s="176"/>
      <c r="M3931" s="177"/>
      <c r="N3931" s="21"/>
      <c r="O3931" s="45"/>
      <c r="P3931" s="24"/>
      <c r="Q3931" s="24"/>
      <c r="R3931" s="180"/>
      <c r="S3931" s="181"/>
      <c r="T3931" s="35"/>
      <c r="U3931" s="35"/>
      <c r="V3931" s="35"/>
      <c r="W3931" s="35"/>
      <c r="X3931" s="35"/>
      <c r="Y3931" s="182"/>
      <c r="Z3931" s="175"/>
      <c r="AA3931" s="182"/>
      <c r="AB3931" s="184"/>
    </row>
    <row r="3932" spans="1:28" ht="12.75">
      <c r="A3932" s="173"/>
      <c r="B3932" s="174"/>
      <c r="C3932" s="11"/>
      <c r="D3932" s="175"/>
      <c r="E3932" s="176"/>
      <c r="F3932" s="177"/>
      <c r="G3932" s="178"/>
      <c r="H3932" s="177"/>
      <c r="I3932" s="177"/>
      <c r="J3932" s="179"/>
      <c r="K3932" s="183"/>
      <c r="L3932" s="176"/>
      <c r="M3932" s="177"/>
      <c r="N3932" s="21"/>
      <c r="O3932" s="45"/>
      <c r="P3932" s="24"/>
      <c r="Q3932" s="24"/>
      <c r="R3932" s="180"/>
      <c r="S3932" s="181"/>
      <c r="T3932" s="35"/>
      <c r="U3932" s="35"/>
      <c r="V3932" s="35"/>
      <c r="W3932" s="35"/>
      <c r="X3932" s="35"/>
      <c r="Y3932" s="182"/>
      <c r="Z3932" s="175"/>
      <c r="AA3932" s="182"/>
      <c r="AB3932" s="184"/>
    </row>
    <row r="3933" spans="1:28" ht="12.75">
      <c r="A3933" s="173"/>
      <c r="B3933" s="174"/>
      <c r="C3933" s="11"/>
      <c r="D3933" s="175"/>
      <c r="E3933" s="176"/>
      <c r="F3933" s="177"/>
      <c r="G3933" s="178"/>
      <c r="H3933" s="177"/>
      <c r="I3933" s="177"/>
      <c r="J3933" s="179"/>
      <c r="K3933" s="183"/>
      <c r="L3933" s="176"/>
      <c r="M3933" s="177"/>
      <c r="N3933" s="21"/>
      <c r="O3933" s="45"/>
      <c r="P3933" s="24"/>
      <c r="Q3933" s="24"/>
      <c r="R3933" s="180"/>
      <c r="S3933" s="181"/>
      <c r="T3933" s="35"/>
      <c r="U3933" s="35"/>
      <c r="V3933" s="35"/>
      <c r="W3933" s="35"/>
      <c r="X3933" s="35"/>
      <c r="Y3933" s="182"/>
      <c r="Z3933" s="175"/>
      <c r="AA3933" s="182"/>
      <c r="AB3933" s="184"/>
    </row>
    <row r="3934" spans="1:28" ht="12.75">
      <c r="A3934" s="173"/>
      <c r="B3934" s="174"/>
      <c r="C3934" s="11"/>
      <c r="D3934" s="175"/>
      <c r="E3934" s="176"/>
      <c r="F3934" s="177"/>
      <c r="G3934" s="178"/>
      <c r="H3934" s="177"/>
      <c r="I3934" s="177"/>
      <c r="J3934" s="179"/>
      <c r="K3934" s="183"/>
      <c r="L3934" s="176"/>
      <c r="M3934" s="177"/>
      <c r="N3934" s="21"/>
      <c r="O3934" s="45"/>
      <c r="P3934" s="24"/>
      <c r="Q3934" s="24"/>
      <c r="R3934" s="180"/>
      <c r="S3934" s="181"/>
      <c r="T3934" s="35"/>
      <c r="U3934" s="35"/>
      <c r="V3934" s="35"/>
      <c r="W3934" s="35"/>
      <c r="X3934" s="35"/>
      <c r="Y3934" s="182"/>
      <c r="Z3934" s="175"/>
      <c r="AA3934" s="182"/>
      <c r="AB3934" s="184"/>
    </row>
    <row r="3935" spans="1:28" ht="12.75">
      <c r="A3935" s="173"/>
      <c r="B3935" s="174"/>
      <c r="C3935" s="11"/>
      <c r="D3935" s="175"/>
      <c r="E3935" s="176"/>
      <c r="F3935" s="177"/>
      <c r="G3935" s="178"/>
      <c r="H3935" s="177"/>
      <c r="I3935" s="177"/>
      <c r="J3935" s="179"/>
      <c r="K3935" s="183"/>
      <c r="L3935" s="176"/>
      <c r="M3935" s="177"/>
      <c r="N3935" s="21"/>
      <c r="O3935" s="45"/>
      <c r="P3935" s="24"/>
      <c r="Q3935" s="24"/>
      <c r="R3935" s="180"/>
      <c r="S3935" s="181"/>
      <c r="T3935" s="35"/>
      <c r="U3935" s="35"/>
      <c r="V3935" s="35"/>
      <c r="W3935" s="35"/>
      <c r="X3935" s="35"/>
      <c r="Y3935" s="182"/>
      <c r="Z3935" s="175"/>
      <c r="AA3935" s="182"/>
      <c r="AB3935" s="184"/>
    </row>
    <row r="3936" spans="1:28" ht="12.75">
      <c r="A3936" s="173"/>
      <c r="B3936" s="174"/>
      <c r="C3936" s="11"/>
      <c r="D3936" s="175"/>
      <c r="E3936" s="176"/>
      <c r="F3936" s="177"/>
      <c r="G3936" s="178"/>
      <c r="H3936" s="177"/>
      <c r="I3936" s="177"/>
      <c r="J3936" s="179"/>
      <c r="K3936" s="183"/>
      <c r="L3936" s="176"/>
      <c r="M3936" s="177"/>
      <c r="N3936" s="21"/>
      <c r="O3936" s="45"/>
      <c r="P3936" s="24"/>
      <c r="Q3936" s="24"/>
      <c r="R3936" s="180"/>
      <c r="S3936" s="181"/>
      <c r="T3936" s="35"/>
      <c r="U3936" s="35"/>
      <c r="V3936" s="35"/>
      <c r="W3936" s="35"/>
      <c r="X3936" s="35"/>
      <c r="Y3936" s="182"/>
      <c r="Z3936" s="175"/>
      <c r="AA3936" s="182"/>
      <c r="AB3936" s="184"/>
    </row>
    <row r="3937" spans="1:28" ht="12.75">
      <c r="A3937" s="173"/>
      <c r="B3937" s="174"/>
      <c r="C3937" s="11"/>
      <c r="D3937" s="175"/>
      <c r="E3937" s="176"/>
      <c r="F3937" s="177"/>
      <c r="G3937" s="178"/>
      <c r="H3937" s="177"/>
      <c r="I3937" s="177"/>
      <c r="J3937" s="179"/>
      <c r="K3937" s="183"/>
      <c r="L3937" s="176"/>
      <c r="M3937" s="177"/>
      <c r="N3937" s="21"/>
      <c r="O3937" s="45"/>
      <c r="P3937" s="24"/>
      <c r="Q3937" s="24"/>
      <c r="R3937" s="180"/>
      <c r="S3937" s="181"/>
      <c r="T3937" s="35"/>
      <c r="U3937" s="35"/>
      <c r="V3937" s="35"/>
      <c r="W3937" s="35"/>
      <c r="X3937" s="35"/>
      <c r="Y3937" s="182"/>
      <c r="Z3937" s="175"/>
      <c r="AA3937" s="182"/>
      <c r="AB3937" s="184"/>
    </row>
    <row r="3938" spans="1:28" ht="12.75">
      <c r="A3938" s="173"/>
      <c r="B3938" s="174"/>
      <c r="C3938" s="11"/>
      <c r="D3938" s="175"/>
      <c r="E3938" s="176"/>
      <c r="F3938" s="177"/>
      <c r="G3938" s="178"/>
      <c r="H3938" s="177"/>
      <c r="I3938" s="177"/>
      <c r="J3938" s="179"/>
      <c r="K3938" s="183"/>
      <c r="L3938" s="176"/>
      <c r="M3938" s="177"/>
      <c r="N3938" s="21"/>
      <c r="O3938" s="45"/>
      <c r="P3938" s="24"/>
      <c r="Q3938" s="24"/>
      <c r="R3938" s="180"/>
      <c r="S3938" s="181"/>
      <c r="T3938" s="35"/>
      <c r="U3938" s="35"/>
      <c r="V3938" s="35"/>
      <c r="W3938" s="35"/>
      <c r="X3938" s="35"/>
      <c r="Y3938" s="182"/>
      <c r="Z3938" s="175"/>
      <c r="AA3938" s="182"/>
      <c r="AB3938" s="184"/>
    </row>
    <row r="3939" spans="1:28" ht="12.75">
      <c r="A3939" s="173"/>
      <c r="B3939" s="174"/>
      <c r="C3939" s="11"/>
      <c r="D3939" s="175"/>
      <c r="E3939" s="176"/>
      <c r="F3939" s="177"/>
      <c r="G3939" s="178"/>
      <c r="H3939" s="177"/>
      <c r="I3939" s="177"/>
      <c r="J3939" s="179"/>
      <c r="K3939" s="183"/>
      <c r="L3939" s="176"/>
      <c r="M3939" s="177"/>
      <c r="N3939" s="21"/>
      <c r="O3939" s="45"/>
      <c r="P3939" s="24"/>
      <c r="Q3939" s="24"/>
      <c r="R3939" s="180"/>
      <c r="S3939" s="181"/>
      <c r="T3939" s="35"/>
      <c r="U3939" s="35"/>
      <c r="V3939" s="35"/>
      <c r="W3939" s="35"/>
      <c r="X3939" s="35"/>
      <c r="Y3939" s="182"/>
      <c r="Z3939" s="175"/>
      <c r="AA3939" s="182"/>
      <c r="AB3939" s="184"/>
    </row>
    <row r="3940" spans="1:28" ht="12.75">
      <c r="A3940" s="173"/>
      <c r="B3940" s="174"/>
      <c r="C3940" s="11"/>
      <c r="D3940" s="175"/>
      <c r="E3940" s="176"/>
      <c r="F3940" s="177"/>
      <c r="G3940" s="178"/>
      <c r="H3940" s="177"/>
      <c r="I3940" s="177"/>
      <c r="J3940" s="179"/>
      <c r="K3940" s="183"/>
      <c r="L3940" s="176"/>
      <c r="M3940" s="177"/>
      <c r="N3940" s="21"/>
      <c r="O3940" s="45"/>
      <c r="P3940" s="24"/>
      <c r="Q3940" s="24"/>
      <c r="R3940" s="180"/>
      <c r="S3940" s="181"/>
      <c r="T3940" s="35"/>
      <c r="U3940" s="35"/>
      <c r="V3940" s="35"/>
      <c r="W3940" s="35"/>
      <c r="X3940" s="35"/>
      <c r="Y3940" s="182"/>
      <c r="Z3940" s="175"/>
      <c r="AA3940" s="182"/>
      <c r="AB3940" s="184"/>
    </row>
    <row r="3941" spans="1:28" ht="12.75">
      <c r="A3941" s="173"/>
      <c r="B3941" s="174"/>
      <c r="C3941" s="11"/>
      <c r="D3941" s="175"/>
      <c r="E3941" s="176"/>
      <c r="F3941" s="177"/>
      <c r="G3941" s="178"/>
      <c r="H3941" s="177"/>
      <c r="I3941" s="177"/>
      <c r="J3941" s="179"/>
      <c r="K3941" s="183"/>
      <c r="L3941" s="176"/>
      <c r="M3941" s="177"/>
      <c r="N3941" s="21"/>
      <c r="O3941" s="45"/>
      <c r="P3941" s="24"/>
      <c r="Q3941" s="24"/>
      <c r="R3941" s="180"/>
      <c r="S3941" s="181"/>
      <c r="T3941" s="35"/>
      <c r="U3941" s="35"/>
      <c r="V3941" s="35"/>
      <c r="W3941" s="35"/>
      <c r="X3941" s="35"/>
      <c r="Y3941" s="182"/>
      <c r="Z3941" s="175"/>
      <c r="AA3941" s="182"/>
      <c r="AB3941" s="184"/>
    </row>
    <row r="3942" spans="1:28" ht="12.75">
      <c r="A3942" s="173"/>
      <c r="B3942" s="174"/>
      <c r="C3942" s="11"/>
      <c r="D3942" s="175"/>
      <c r="E3942" s="176"/>
      <c r="F3942" s="177"/>
      <c r="G3942" s="178"/>
      <c r="H3942" s="177"/>
      <c r="I3942" s="177"/>
      <c r="J3942" s="179"/>
      <c r="K3942" s="183"/>
      <c r="L3942" s="176"/>
      <c r="M3942" s="177"/>
      <c r="N3942" s="21"/>
      <c r="O3942" s="45"/>
      <c r="P3942" s="24"/>
      <c r="Q3942" s="24"/>
      <c r="R3942" s="180"/>
      <c r="S3942" s="181"/>
      <c r="T3942" s="35"/>
      <c r="U3942" s="35"/>
      <c r="V3942" s="35"/>
      <c r="W3942" s="35"/>
      <c r="X3942" s="35"/>
      <c r="Y3942" s="182"/>
      <c r="Z3942" s="175"/>
      <c r="AA3942" s="182"/>
      <c r="AB3942" s="184"/>
    </row>
    <row r="3943" spans="1:28" ht="12.75">
      <c r="A3943" s="173"/>
      <c r="B3943" s="174"/>
      <c r="C3943" s="11"/>
      <c r="D3943" s="175"/>
      <c r="E3943" s="176"/>
      <c r="F3943" s="177"/>
      <c r="G3943" s="178"/>
      <c r="H3943" s="177"/>
      <c r="I3943" s="177"/>
      <c r="J3943" s="179"/>
      <c r="K3943" s="183"/>
      <c r="L3943" s="176"/>
      <c r="M3943" s="177"/>
      <c r="N3943" s="21"/>
      <c r="O3943" s="45"/>
      <c r="P3943" s="24"/>
      <c r="Q3943" s="24"/>
      <c r="R3943" s="180"/>
      <c r="S3943" s="181"/>
      <c r="T3943" s="35"/>
      <c r="U3943" s="35"/>
      <c r="V3943" s="35"/>
      <c r="W3943" s="35"/>
      <c r="X3943" s="35"/>
      <c r="Y3943" s="182"/>
      <c r="Z3943" s="175"/>
      <c r="AA3943" s="182"/>
      <c r="AB3943" s="184"/>
    </row>
    <row r="3944" spans="1:28" ht="12.75">
      <c r="A3944" s="173"/>
      <c r="B3944" s="174"/>
      <c r="C3944" s="11"/>
      <c r="D3944" s="175"/>
      <c r="E3944" s="176"/>
      <c r="F3944" s="177"/>
      <c r="G3944" s="178"/>
      <c r="H3944" s="177"/>
      <c r="I3944" s="177"/>
      <c r="J3944" s="179"/>
      <c r="K3944" s="183"/>
      <c r="L3944" s="176"/>
      <c r="M3944" s="177"/>
      <c r="N3944" s="21"/>
      <c r="O3944" s="45"/>
      <c r="P3944" s="24"/>
      <c r="Q3944" s="24"/>
      <c r="R3944" s="180"/>
      <c r="S3944" s="181"/>
      <c r="T3944" s="35"/>
      <c r="U3944" s="35"/>
      <c r="V3944" s="35"/>
      <c r="W3944" s="35"/>
      <c r="X3944" s="35"/>
      <c r="Y3944" s="182"/>
      <c r="Z3944" s="175"/>
      <c r="AA3944" s="182"/>
      <c r="AB3944" s="184"/>
    </row>
    <row r="3945" spans="1:28" ht="12.75">
      <c r="A3945" s="173"/>
      <c r="B3945" s="174"/>
      <c r="C3945" s="11"/>
      <c r="D3945" s="175"/>
      <c r="E3945" s="176"/>
      <c r="F3945" s="177"/>
      <c r="G3945" s="178"/>
      <c r="H3945" s="177"/>
      <c r="I3945" s="177"/>
      <c r="J3945" s="179"/>
      <c r="K3945" s="183"/>
      <c r="L3945" s="176"/>
      <c r="M3945" s="177"/>
      <c r="N3945" s="21"/>
      <c r="O3945" s="45"/>
      <c r="P3945" s="24"/>
      <c r="Q3945" s="24"/>
      <c r="R3945" s="180"/>
      <c r="S3945" s="181"/>
      <c r="T3945" s="35"/>
      <c r="U3945" s="35"/>
      <c r="V3945" s="35"/>
      <c r="W3945" s="35"/>
      <c r="X3945" s="35"/>
      <c r="Y3945" s="182"/>
      <c r="Z3945" s="175"/>
      <c r="AA3945" s="182"/>
      <c r="AB3945" s="184"/>
    </row>
    <row r="3946" spans="1:28" ht="12.75">
      <c r="A3946" s="173"/>
      <c r="B3946" s="174"/>
      <c r="C3946" s="11"/>
      <c r="D3946" s="175"/>
      <c r="E3946" s="176"/>
      <c r="F3946" s="177"/>
      <c r="G3946" s="178"/>
      <c r="H3946" s="177"/>
      <c r="I3946" s="177"/>
      <c r="J3946" s="179"/>
      <c r="K3946" s="183"/>
      <c r="L3946" s="176"/>
      <c r="M3946" s="177"/>
      <c r="N3946" s="21"/>
      <c r="O3946" s="45"/>
      <c r="P3946" s="24"/>
      <c r="Q3946" s="24"/>
      <c r="R3946" s="180"/>
      <c r="S3946" s="181"/>
      <c r="T3946" s="35"/>
      <c r="U3946" s="35"/>
      <c r="V3946" s="35"/>
      <c r="W3946" s="35"/>
      <c r="X3946" s="35"/>
      <c r="Y3946" s="182"/>
      <c r="Z3946" s="175"/>
      <c r="AA3946" s="182"/>
      <c r="AB3946" s="184"/>
    </row>
    <row r="3947" spans="1:28" ht="12.75">
      <c r="A3947" s="173"/>
      <c r="B3947" s="174"/>
      <c r="C3947" s="11"/>
      <c r="D3947" s="175"/>
      <c r="E3947" s="176"/>
      <c r="F3947" s="177"/>
      <c r="G3947" s="178"/>
      <c r="H3947" s="177"/>
      <c r="I3947" s="177"/>
      <c r="J3947" s="179"/>
      <c r="K3947" s="183"/>
      <c r="L3947" s="176"/>
      <c r="M3947" s="177"/>
      <c r="N3947" s="21"/>
      <c r="O3947" s="45"/>
      <c r="P3947" s="24"/>
      <c r="Q3947" s="24"/>
      <c r="R3947" s="180"/>
      <c r="S3947" s="181"/>
      <c r="T3947" s="35"/>
      <c r="U3947" s="35"/>
      <c r="V3947" s="35"/>
      <c r="W3947" s="35"/>
      <c r="X3947" s="35"/>
      <c r="Y3947" s="182"/>
      <c r="Z3947" s="175"/>
      <c r="AA3947" s="182"/>
      <c r="AB3947" s="184"/>
    </row>
    <row r="3948" spans="1:28" ht="12.75">
      <c r="A3948" s="173"/>
      <c r="B3948" s="174"/>
      <c r="C3948" s="11"/>
      <c r="D3948" s="175"/>
      <c r="E3948" s="176"/>
      <c r="F3948" s="177"/>
      <c r="G3948" s="178"/>
      <c r="H3948" s="177"/>
      <c r="I3948" s="177"/>
      <c r="J3948" s="179"/>
      <c r="K3948" s="183"/>
      <c r="L3948" s="176"/>
      <c r="M3948" s="177"/>
      <c r="N3948" s="21"/>
      <c r="O3948" s="45"/>
      <c r="P3948" s="24"/>
      <c r="Q3948" s="24"/>
      <c r="R3948" s="180"/>
      <c r="S3948" s="181"/>
      <c r="T3948" s="35"/>
      <c r="U3948" s="35"/>
      <c r="V3948" s="35"/>
      <c r="W3948" s="35"/>
      <c r="X3948" s="35"/>
      <c r="Y3948" s="182"/>
      <c r="Z3948" s="175"/>
      <c r="AA3948" s="182"/>
      <c r="AB3948" s="184"/>
    </row>
    <row r="3949" spans="1:28" ht="12.75">
      <c r="A3949" s="173"/>
      <c r="B3949" s="174"/>
      <c r="C3949" s="11"/>
      <c r="D3949" s="175"/>
      <c r="E3949" s="176"/>
      <c r="F3949" s="177"/>
      <c r="G3949" s="178"/>
      <c r="H3949" s="177"/>
      <c r="I3949" s="177"/>
      <c r="J3949" s="179"/>
      <c r="K3949" s="183"/>
      <c r="L3949" s="176"/>
      <c r="M3949" s="177"/>
      <c r="N3949" s="21"/>
      <c r="O3949" s="45"/>
      <c r="P3949" s="24"/>
      <c r="Q3949" s="24"/>
      <c r="R3949" s="180"/>
      <c r="S3949" s="181"/>
      <c r="T3949" s="35"/>
      <c r="U3949" s="35"/>
      <c r="V3949" s="35"/>
      <c r="W3949" s="35"/>
      <c r="X3949" s="35"/>
      <c r="Y3949" s="182"/>
      <c r="Z3949" s="175"/>
      <c r="AA3949" s="182"/>
      <c r="AB3949" s="184"/>
    </row>
    <row r="3950" spans="1:28" ht="12.75">
      <c r="A3950" s="173"/>
      <c r="B3950" s="174"/>
      <c r="C3950" s="11"/>
      <c r="D3950" s="175"/>
      <c r="E3950" s="176"/>
      <c r="F3950" s="177"/>
      <c r="G3950" s="178"/>
      <c r="H3950" s="177"/>
      <c r="I3950" s="177"/>
      <c r="J3950" s="179"/>
      <c r="K3950" s="183"/>
      <c r="L3950" s="176"/>
      <c r="M3950" s="177"/>
      <c r="N3950" s="21"/>
      <c r="O3950" s="45"/>
      <c r="P3950" s="24"/>
      <c r="Q3950" s="24"/>
      <c r="R3950" s="180"/>
      <c r="S3950" s="181"/>
      <c r="T3950" s="35"/>
      <c r="U3950" s="35"/>
      <c r="V3950" s="35"/>
      <c r="W3950" s="35"/>
      <c r="X3950" s="35"/>
      <c r="Y3950" s="182"/>
      <c r="Z3950" s="175"/>
      <c r="AA3950" s="182"/>
      <c r="AB3950" s="184"/>
    </row>
    <row r="3951" spans="1:28" ht="12.75">
      <c r="A3951" s="173"/>
      <c r="B3951" s="174"/>
      <c r="C3951" s="11"/>
      <c r="D3951" s="175"/>
      <c r="E3951" s="176"/>
      <c r="F3951" s="177"/>
      <c r="G3951" s="178"/>
      <c r="H3951" s="177"/>
      <c r="I3951" s="177"/>
      <c r="J3951" s="179"/>
      <c r="K3951" s="183"/>
      <c r="L3951" s="176"/>
      <c r="M3951" s="177"/>
      <c r="N3951" s="21"/>
      <c r="O3951" s="45"/>
      <c r="P3951" s="24"/>
      <c r="Q3951" s="24"/>
      <c r="R3951" s="180"/>
      <c r="S3951" s="181"/>
      <c r="T3951" s="35"/>
      <c r="U3951" s="35"/>
      <c r="V3951" s="35"/>
      <c r="W3951" s="35"/>
      <c r="X3951" s="35"/>
      <c r="Y3951" s="182"/>
      <c r="Z3951" s="175"/>
      <c r="AA3951" s="182"/>
      <c r="AB3951" s="184"/>
    </row>
    <row r="3952" spans="1:28" ht="12.75">
      <c r="A3952" s="173"/>
      <c r="B3952" s="174"/>
      <c r="C3952" s="11"/>
      <c r="D3952" s="175"/>
      <c r="E3952" s="176"/>
      <c r="F3952" s="177"/>
      <c r="G3952" s="178"/>
      <c r="H3952" s="177"/>
      <c r="I3952" s="177"/>
      <c r="J3952" s="179"/>
      <c r="K3952" s="183"/>
      <c r="L3952" s="176"/>
      <c r="M3952" s="177"/>
      <c r="N3952" s="21"/>
      <c r="O3952" s="45"/>
      <c r="P3952" s="24"/>
      <c r="Q3952" s="24"/>
      <c r="R3952" s="180"/>
      <c r="S3952" s="181"/>
      <c r="T3952" s="35"/>
      <c r="U3952" s="35"/>
      <c r="V3952" s="35"/>
      <c r="W3952" s="35"/>
      <c r="X3952" s="35"/>
      <c r="Y3952" s="182"/>
      <c r="Z3952" s="175"/>
      <c r="AA3952" s="182"/>
      <c r="AB3952" s="184"/>
    </row>
    <row r="3953" spans="1:28" ht="12.75">
      <c r="A3953" s="173"/>
      <c r="B3953" s="174"/>
      <c r="C3953" s="11"/>
      <c r="D3953" s="175"/>
      <c r="E3953" s="176"/>
      <c r="F3953" s="177"/>
      <c r="G3953" s="178"/>
      <c r="H3953" s="177"/>
      <c r="I3953" s="177"/>
      <c r="J3953" s="179"/>
      <c r="K3953" s="183"/>
      <c r="L3953" s="176"/>
      <c r="M3953" s="177"/>
      <c r="N3953" s="21"/>
      <c r="O3953" s="45"/>
      <c r="P3953" s="24"/>
      <c r="Q3953" s="24"/>
      <c r="R3953" s="180"/>
      <c r="S3953" s="181"/>
      <c r="T3953" s="35"/>
      <c r="U3953" s="35"/>
      <c r="V3953" s="35"/>
      <c r="W3953" s="35"/>
      <c r="X3953" s="35"/>
      <c r="Y3953" s="182"/>
      <c r="Z3953" s="175"/>
      <c r="AA3953" s="182"/>
      <c r="AB3953" s="184"/>
    </row>
    <row r="3954" spans="1:28" ht="12.75">
      <c r="A3954" s="173"/>
      <c r="B3954" s="174"/>
      <c r="C3954" s="11"/>
      <c r="D3954" s="175"/>
      <c r="E3954" s="176"/>
      <c r="F3954" s="177"/>
      <c r="G3954" s="178"/>
      <c r="H3954" s="177"/>
      <c r="I3954" s="177"/>
      <c r="J3954" s="179"/>
      <c r="K3954" s="183"/>
      <c r="L3954" s="176"/>
      <c r="M3954" s="177"/>
      <c r="N3954" s="21"/>
      <c r="O3954" s="45"/>
      <c r="P3954" s="24"/>
      <c r="Q3954" s="24"/>
      <c r="R3954" s="180"/>
      <c r="S3954" s="181"/>
      <c r="T3954" s="35"/>
      <c r="U3954" s="35"/>
      <c r="V3954" s="35"/>
      <c r="W3954" s="35"/>
      <c r="X3954" s="35"/>
      <c r="Y3954" s="182"/>
      <c r="Z3954" s="175"/>
      <c r="AA3954" s="182"/>
      <c r="AB3954" s="184"/>
    </row>
    <row r="3955" spans="1:28" ht="12.75">
      <c r="A3955" s="173"/>
      <c r="B3955" s="174"/>
      <c r="C3955" s="11"/>
      <c r="D3955" s="175"/>
      <c r="E3955" s="176"/>
      <c r="F3955" s="177"/>
      <c r="G3955" s="178"/>
      <c r="H3955" s="177"/>
      <c r="I3955" s="177"/>
      <c r="J3955" s="179"/>
      <c r="K3955" s="183"/>
      <c r="L3955" s="176"/>
      <c r="M3955" s="177"/>
      <c r="N3955" s="21"/>
      <c r="O3955" s="45"/>
      <c r="P3955" s="24"/>
      <c r="Q3955" s="24"/>
      <c r="R3955" s="180"/>
      <c r="S3955" s="181"/>
      <c r="T3955" s="35"/>
      <c r="U3955" s="35"/>
      <c r="V3955" s="35"/>
      <c r="W3955" s="35"/>
      <c r="X3955" s="35"/>
      <c r="Y3955" s="182"/>
      <c r="Z3955" s="175"/>
      <c r="AA3955" s="182"/>
      <c r="AB3955" s="184"/>
    </row>
    <row r="3956" spans="1:28" ht="12.75">
      <c r="A3956" s="173"/>
      <c r="B3956" s="174"/>
      <c r="C3956" s="11"/>
      <c r="D3956" s="175"/>
      <c r="E3956" s="176"/>
      <c r="F3956" s="177"/>
      <c r="G3956" s="178"/>
      <c r="H3956" s="177"/>
      <c r="I3956" s="177"/>
      <c r="J3956" s="179"/>
      <c r="K3956" s="183"/>
      <c r="L3956" s="176"/>
      <c r="M3956" s="177"/>
      <c r="N3956" s="21"/>
      <c r="O3956" s="45"/>
      <c r="P3956" s="24"/>
      <c r="Q3956" s="24"/>
      <c r="R3956" s="180"/>
      <c r="S3956" s="181"/>
      <c r="T3956" s="35"/>
      <c r="U3956" s="35"/>
      <c r="V3956" s="35"/>
      <c r="W3956" s="35"/>
      <c r="X3956" s="35"/>
      <c r="Y3956" s="182"/>
      <c r="Z3956" s="175"/>
      <c r="AA3956" s="182"/>
      <c r="AB3956" s="184"/>
    </row>
    <row r="3957" spans="1:28" ht="12.75">
      <c r="A3957" s="173"/>
      <c r="B3957" s="174"/>
      <c r="C3957" s="11"/>
      <c r="D3957" s="175"/>
      <c r="E3957" s="176"/>
      <c r="F3957" s="177"/>
      <c r="G3957" s="178"/>
      <c r="H3957" s="177"/>
      <c r="I3957" s="177"/>
      <c r="J3957" s="179"/>
      <c r="K3957" s="183"/>
      <c r="L3957" s="176"/>
      <c r="M3957" s="177"/>
      <c r="N3957" s="21"/>
      <c r="O3957" s="45"/>
      <c r="P3957" s="24"/>
      <c r="Q3957" s="24"/>
      <c r="R3957" s="180"/>
      <c r="S3957" s="181"/>
      <c r="T3957" s="35"/>
      <c r="U3957" s="35"/>
      <c r="V3957" s="35"/>
      <c r="W3957" s="35"/>
      <c r="X3957" s="35"/>
      <c r="Y3957" s="182"/>
      <c r="Z3957" s="175"/>
      <c r="AA3957" s="182"/>
      <c r="AB3957" s="184"/>
    </row>
    <row r="3958" spans="1:28" ht="12.75">
      <c r="A3958" s="173"/>
      <c r="B3958" s="174"/>
      <c r="C3958" s="11"/>
      <c r="D3958" s="175"/>
      <c r="E3958" s="176"/>
      <c r="F3958" s="177"/>
      <c r="G3958" s="178"/>
      <c r="H3958" s="177"/>
      <c r="I3958" s="177"/>
      <c r="J3958" s="179"/>
      <c r="K3958" s="183"/>
      <c r="L3958" s="176"/>
      <c r="M3958" s="177"/>
      <c r="N3958" s="21"/>
      <c r="O3958" s="45"/>
      <c r="P3958" s="24"/>
      <c r="Q3958" s="24"/>
      <c r="R3958" s="180"/>
      <c r="S3958" s="181"/>
      <c r="T3958" s="35"/>
      <c r="U3958" s="35"/>
      <c r="V3958" s="35"/>
      <c r="W3958" s="35"/>
      <c r="X3958" s="35"/>
      <c r="Y3958" s="182"/>
      <c r="Z3958" s="175"/>
      <c r="AA3958" s="182"/>
      <c r="AB3958" s="184"/>
    </row>
    <row r="3959" spans="1:28" ht="12.75">
      <c r="A3959" s="173"/>
      <c r="B3959" s="174"/>
      <c r="C3959" s="11"/>
      <c r="D3959" s="175"/>
      <c r="E3959" s="176"/>
      <c r="F3959" s="177"/>
      <c r="G3959" s="178"/>
      <c r="H3959" s="177"/>
      <c r="I3959" s="177"/>
      <c r="J3959" s="179"/>
      <c r="K3959" s="183"/>
      <c r="L3959" s="176"/>
      <c r="M3959" s="177"/>
      <c r="N3959" s="21"/>
      <c r="O3959" s="45"/>
      <c r="P3959" s="24"/>
      <c r="Q3959" s="24"/>
      <c r="R3959" s="180"/>
      <c r="S3959" s="181"/>
      <c r="T3959" s="35"/>
      <c r="U3959" s="35"/>
      <c r="V3959" s="35"/>
      <c r="W3959" s="35"/>
      <c r="X3959" s="35"/>
      <c r="Y3959" s="182"/>
      <c r="Z3959" s="175"/>
      <c r="AA3959" s="182"/>
      <c r="AB3959" s="184"/>
    </row>
    <row r="3960" spans="1:28" ht="12.75">
      <c r="A3960" s="173"/>
      <c r="B3960" s="174"/>
      <c r="C3960" s="11"/>
      <c r="D3960" s="175"/>
      <c r="E3960" s="176"/>
      <c r="F3960" s="177"/>
      <c r="G3960" s="178"/>
      <c r="H3960" s="177"/>
      <c r="I3960" s="177"/>
      <c r="J3960" s="179"/>
      <c r="K3960" s="183"/>
      <c r="L3960" s="176"/>
      <c r="M3960" s="177"/>
      <c r="N3960" s="21"/>
      <c r="O3960" s="45"/>
      <c r="P3960" s="24"/>
      <c r="Q3960" s="24"/>
      <c r="R3960" s="180"/>
      <c r="S3960" s="181"/>
      <c r="T3960" s="35"/>
      <c r="U3960" s="35"/>
      <c r="V3960" s="35"/>
      <c r="W3960" s="35"/>
      <c r="X3960" s="35"/>
      <c r="Y3960" s="182"/>
      <c r="Z3960" s="175"/>
      <c r="AA3960" s="182"/>
      <c r="AB3960" s="184"/>
    </row>
    <row r="3961" spans="1:28" ht="12.75">
      <c r="A3961" s="173"/>
      <c r="B3961" s="174"/>
      <c r="C3961" s="11"/>
      <c r="D3961" s="175"/>
      <c r="E3961" s="176"/>
      <c r="F3961" s="177"/>
      <c r="G3961" s="178"/>
      <c r="H3961" s="177"/>
      <c r="I3961" s="177"/>
      <c r="J3961" s="179"/>
      <c r="K3961" s="183"/>
      <c r="L3961" s="176"/>
      <c r="M3961" s="177"/>
      <c r="N3961" s="21"/>
      <c r="O3961" s="45"/>
      <c r="P3961" s="24"/>
      <c r="Q3961" s="24"/>
      <c r="R3961" s="180"/>
      <c r="S3961" s="181"/>
      <c r="T3961" s="35"/>
      <c r="U3961" s="35"/>
      <c r="V3961" s="35"/>
      <c r="W3961" s="35"/>
      <c r="X3961" s="35"/>
      <c r="Y3961" s="182"/>
      <c r="Z3961" s="175"/>
      <c r="AA3961" s="182"/>
      <c r="AB3961" s="184"/>
    </row>
    <row r="3962" spans="1:28" ht="12.75">
      <c r="A3962" s="173"/>
      <c r="B3962" s="174"/>
      <c r="C3962" s="11"/>
      <c r="D3962" s="175"/>
      <c r="E3962" s="176"/>
      <c r="F3962" s="177"/>
      <c r="G3962" s="178"/>
      <c r="H3962" s="177"/>
      <c r="I3962" s="177"/>
      <c r="J3962" s="179"/>
      <c r="K3962" s="183"/>
      <c r="L3962" s="176"/>
      <c r="M3962" s="177"/>
      <c r="N3962" s="21"/>
      <c r="O3962" s="45"/>
      <c r="P3962" s="24"/>
      <c r="Q3962" s="24"/>
      <c r="R3962" s="180"/>
      <c r="S3962" s="181"/>
      <c r="T3962" s="35"/>
      <c r="U3962" s="35"/>
      <c r="V3962" s="35"/>
      <c r="W3962" s="35"/>
      <c r="X3962" s="35"/>
      <c r="Y3962" s="182"/>
      <c r="Z3962" s="175"/>
      <c r="AA3962" s="182"/>
      <c r="AB3962" s="184"/>
    </row>
    <row r="3963" spans="1:28" ht="12.75">
      <c r="A3963" s="173"/>
      <c r="B3963" s="174"/>
      <c r="C3963" s="11"/>
      <c r="D3963" s="175"/>
      <c r="E3963" s="176"/>
      <c r="F3963" s="177"/>
      <c r="G3963" s="178"/>
      <c r="H3963" s="177"/>
      <c r="I3963" s="177"/>
      <c r="J3963" s="179"/>
      <c r="K3963" s="183"/>
      <c r="L3963" s="176"/>
      <c r="M3963" s="177"/>
      <c r="N3963" s="21"/>
      <c r="O3963" s="45"/>
      <c r="P3963" s="24"/>
      <c r="Q3963" s="24"/>
      <c r="R3963" s="180"/>
      <c r="S3963" s="181"/>
      <c r="T3963" s="35"/>
      <c r="U3963" s="35"/>
      <c r="V3963" s="35"/>
      <c r="W3963" s="35"/>
      <c r="X3963" s="35"/>
      <c r="Y3963" s="182"/>
      <c r="Z3963" s="175"/>
      <c r="AA3963" s="182"/>
      <c r="AB3963" s="184"/>
    </row>
    <row r="3964" spans="1:28" ht="12.75">
      <c r="A3964" s="173"/>
      <c r="B3964" s="174"/>
      <c r="C3964" s="11"/>
      <c r="D3964" s="175"/>
      <c r="E3964" s="176"/>
      <c r="F3964" s="177"/>
      <c r="G3964" s="178"/>
      <c r="H3964" s="177"/>
      <c r="I3964" s="177"/>
      <c r="J3964" s="179"/>
      <c r="K3964" s="183"/>
      <c r="L3964" s="176"/>
      <c r="M3964" s="177"/>
      <c r="N3964" s="21"/>
      <c r="O3964" s="45"/>
      <c r="P3964" s="24"/>
      <c r="Q3964" s="24"/>
      <c r="R3964" s="180"/>
      <c r="S3964" s="181"/>
      <c r="T3964" s="35"/>
      <c r="U3964" s="35"/>
      <c r="V3964" s="35"/>
      <c r="W3964" s="35"/>
      <c r="X3964" s="35"/>
      <c r="Y3964" s="182"/>
      <c r="Z3964" s="175"/>
      <c r="AA3964" s="182"/>
      <c r="AB3964" s="184"/>
    </row>
    <row r="3965" spans="1:28" ht="12.75">
      <c r="A3965" s="173"/>
      <c r="B3965" s="174"/>
      <c r="C3965" s="11"/>
      <c r="D3965" s="175"/>
      <c r="E3965" s="176"/>
      <c r="F3965" s="177"/>
      <c r="G3965" s="178"/>
      <c r="H3965" s="177"/>
      <c r="I3965" s="177"/>
      <c r="J3965" s="179"/>
      <c r="K3965" s="183"/>
      <c r="L3965" s="176"/>
      <c r="M3965" s="177"/>
      <c r="N3965" s="21"/>
      <c r="O3965" s="45"/>
      <c r="P3965" s="24"/>
      <c r="Q3965" s="24"/>
      <c r="R3965" s="180"/>
      <c r="S3965" s="181"/>
      <c r="T3965" s="35"/>
      <c r="U3965" s="35"/>
      <c r="V3965" s="35"/>
      <c r="W3965" s="35"/>
      <c r="X3965" s="35"/>
      <c r="Y3965" s="182"/>
      <c r="Z3965" s="175"/>
      <c r="AA3965" s="182"/>
      <c r="AB3965" s="184"/>
    </row>
    <row r="3966" spans="1:28" ht="12.75">
      <c r="A3966" s="173"/>
      <c r="B3966" s="174"/>
      <c r="C3966" s="11"/>
      <c r="D3966" s="175"/>
      <c r="E3966" s="176"/>
      <c r="F3966" s="177"/>
      <c r="G3966" s="178"/>
      <c r="H3966" s="177"/>
      <c r="I3966" s="177"/>
      <c r="J3966" s="179"/>
      <c r="K3966" s="183"/>
      <c r="L3966" s="176"/>
      <c r="M3966" s="177"/>
      <c r="N3966" s="21"/>
      <c r="O3966" s="45"/>
      <c r="P3966" s="24"/>
      <c r="Q3966" s="24"/>
      <c r="R3966" s="180"/>
      <c r="S3966" s="181"/>
      <c r="T3966" s="35"/>
      <c r="U3966" s="35"/>
      <c r="V3966" s="35"/>
      <c r="W3966" s="35"/>
      <c r="X3966" s="35"/>
      <c r="Y3966" s="182"/>
      <c r="Z3966" s="175"/>
      <c r="AA3966" s="182"/>
      <c r="AB3966" s="184"/>
    </row>
    <row r="3967" spans="1:28" ht="12.75">
      <c r="A3967" s="173"/>
      <c r="B3967" s="174"/>
      <c r="C3967" s="11"/>
      <c r="D3967" s="175"/>
      <c r="E3967" s="176"/>
      <c r="F3967" s="177"/>
      <c r="G3967" s="178"/>
      <c r="H3967" s="177"/>
      <c r="I3967" s="177"/>
      <c r="J3967" s="179"/>
      <c r="K3967" s="183"/>
      <c r="L3967" s="176"/>
      <c r="M3967" s="177"/>
      <c r="N3967" s="21"/>
      <c r="O3967" s="45"/>
      <c r="P3967" s="24"/>
      <c r="Q3967" s="24"/>
      <c r="R3967" s="180"/>
      <c r="S3967" s="181"/>
      <c r="T3967" s="35"/>
      <c r="U3967" s="35"/>
      <c r="V3967" s="35"/>
      <c r="W3967" s="35"/>
      <c r="X3967" s="35"/>
      <c r="Y3967" s="182"/>
      <c r="Z3967" s="175"/>
      <c r="AA3967" s="182"/>
      <c r="AB3967" s="184"/>
    </row>
    <row r="3968" spans="1:28" ht="12.75">
      <c r="A3968" s="173"/>
      <c r="B3968" s="174"/>
      <c r="C3968" s="11"/>
      <c r="D3968" s="175"/>
      <c r="E3968" s="176"/>
      <c r="F3968" s="177"/>
      <c r="G3968" s="178"/>
      <c r="H3968" s="177"/>
      <c r="I3968" s="177"/>
      <c r="J3968" s="179"/>
      <c r="K3968" s="183"/>
      <c r="L3968" s="176"/>
      <c r="M3968" s="177"/>
      <c r="N3968" s="21"/>
      <c r="O3968" s="45"/>
      <c r="P3968" s="24"/>
      <c r="Q3968" s="24"/>
      <c r="R3968" s="180"/>
      <c r="S3968" s="181"/>
      <c r="T3968" s="35"/>
      <c r="U3968" s="35"/>
      <c r="V3968" s="35"/>
      <c r="W3968" s="35"/>
      <c r="X3968" s="35"/>
      <c r="Y3968" s="182"/>
      <c r="Z3968" s="175"/>
      <c r="AA3968" s="182"/>
      <c r="AB3968" s="184"/>
    </row>
    <row r="3969" spans="1:28" ht="12.75">
      <c r="A3969" s="173"/>
      <c r="B3969" s="174"/>
      <c r="C3969" s="11"/>
      <c r="D3969" s="175"/>
      <c r="E3969" s="176"/>
      <c r="F3969" s="177"/>
      <c r="G3969" s="178"/>
      <c r="H3969" s="177"/>
      <c r="I3969" s="177"/>
      <c r="J3969" s="179"/>
      <c r="K3969" s="183"/>
      <c r="L3969" s="176"/>
      <c r="M3969" s="177"/>
      <c r="N3969" s="21"/>
      <c r="O3969" s="45"/>
      <c r="P3969" s="24"/>
      <c r="Q3969" s="24"/>
      <c r="R3969" s="180"/>
      <c r="S3969" s="181"/>
      <c r="T3969" s="35"/>
      <c r="U3969" s="35"/>
      <c r="V3969" s="35"/>
      <c r="W3969" s="35"/>
      <c r="X3969" s="35"/>
      <c r="Y3969" s="182"/>
      <c r="Z3969" s="175"/>
      <c r="AA3969" s="182"/>
      <c r="AB3969" s="184"/>
    </row>
    <row r="3970" spans="1:28" ht="12.75">
      <c r="A3970" s="173"/>
      <c r="B3970" s="174"/>
      <c r="C3970" s="11"/>
      <c r="D3970" s="175"/>
      <c r="E3970" s="176"/>
      <c r="F3970" s="177"/>
      <c r="G3970" s="178"/>
      <c r="H3970" s="177"/>
      <c r="I3970" s="177"/>
      <c r="J3970" s="179"/>
      <c r="K3970" s="183"/>
      <c r="L3970" s="176"/>
      <c r="M3970" s="177"/>
      <c r="N3970" s="21"/>
      <c r="O3970" s="45"/>
      <c r="P3970" s="24"/>
      <c r="Q3970" s="24"/>
      <c r="R3970" s="180"/>
      <c r="S3970" s="181"/>
      <c r="T3970" s="35"/>
      <c r="U3970" s="35"/>
      <c r="V3970" s="35"/>
      <c r="W3970" s="35"/>
      <c r="X3970" s="35"/>
      <c r="Y3970" s="182"/>
      <c r="Z3970" s="175"/>
      <c r="AA3970" s="182"/>
      <c r="AB3970" s="184"/>
    </row>
    <row r="3971" spans="1:28" ht="12.75">
      <c r="A3971" s="173"/>
      <c r="B3971" s="174"/>
      <c r="C3971" s="11"/>
      <c r="D3971" s="175"/>
      <c r="E3971" s="176"/>
      <c r="F3971" s="177"/>
      <c r="G3971" s="178"/>
      <c r="H3971" s="177"/>
      <c r="I3971" s="177"/>
      <c r="J3971" s="179"/>
      <c r="K3971" s="183"/>
      <c r="L3971" s="176"/>
      <c r="M3971" s="177"/>
      <c r="N3971" s="21"/>
      <c r="O3971" s="45"/>
      <c r="P3971" s="24"/>
      <c r="Q3971" s="24"/>
      <c r="R3971" s="180"/>
      <c r="S3971" s="181"/>
      <c r="T3971" s="35"/>
      <c r="U3971" s="35"/>
      <c r="V3971" s="35"/>
      <c r="W3971" s="35"/>
      <c r="X3971" s="35"/>
      <c r="Y3971" s="182"/>
      <c r="Z3971" s="175"/>
      <c r="AA3971" s="182"/>
      <c r="AB3971" s="184"/>
    </row>
    <row r="3972" spans="1:28" ht="12.75">
      <c r="A3972" s="173"/>
      <c r="B3972" s="174"/>
      <c r="C3972" s="11"/>
      <c r="D3972" s="175"/>
      <c r="E3972" s="176"/>
      <c r="F3972" s="177"/>
      <c r="G3972" s="178"/>
      <c r="H3972" s="177"/>
      <c r="I3972" s="177"/>
      <c r="J3972" s="179"/>
      <c r="K3972" s="183"/>
      <c r="L3972" s="176"/>
      <c r="M3972" s="177"/>
      <c r="N3972" s="21"/>
      <c r="O3972" s="45"/>
      <c r="P3972" s="24"/>
      <c r="Q3972" s="24"/>
      <c r="R3972" s="180"/>
      <c r="S3972" s="181"/>
      <c r="T3972" s="35"/>
      <c r="U3972" s="35"/>
      <c r="V3972" s="35"/>
      <c r="W3972" s="35"/>
      <c r="X3972" s="35"/>
      <c r="Y3972" s="182"/>
      <c r="Z3972" s="175"/>
      <c r="AA3972" s="182"/>
      <c r="AB3972" s="184"/>
    </row>
    <row r="3973" spans="1:28" ht="12.75">
      <c r="A3973" s="173"/>
      <c r="B3973" s="174"/>
      <c r="C3973" s="11"/>
      <c r="D3973" s="175"/>
      <c r="E3973" s="176"/>
      <c r="F3973" s="177"/>
      <c r="G3973" s="178"/>
      <c r="H3973" s="177"/>
      <c r="I3973" s="177"/>
      <c r="J3973" s="179"/>
      <c r="K3973" s="183"/>
      <c r="L3973" s="176"/>
      <c r="M3973" s="177"/>
      <c r="N3973" s="21"/>
      <c r="O3973" s="45"/>
      <c r="P3973" s="24"/>
      <c r="Q3973" s="24"/>
      <c r="R3973" s="180"/>
      <c r="S3973" s="181"/>
      <c r="T3973" s="35"/>
      <c r="U3973" s="35"/>
      <c r="V3973" s="35"/>
      <c r="W3973" s="35"/>
      <c r="X3973" s="35"/>
      <c r="Y3973" s="182"/>
      <c r="Z3973" s="175"/>
      <c r="AA3973" s="182"/>
      <c r="AB3973" s="184"/>
    </row>
    <row r="3974" spans="1:28" ht="12.75">
      <c r="A3974" s="173"/>
      <c r="B3974" s="174"/>
      <c r="C3974" s="11"/>
      <c r="D3974" s="175"/>
      <c r="E3974" s="176"/>
      <c r="F3974" s="177"/>
      <c r="G3974" s="178"/>
      <c r="H3974" s="177"/>
      <c r="I3974" s="177"/>
      <c r="J3974" s="179"/>
      <c r="K3974" s="183"/>
      <c r="L3974" s="176"/>
      <c r="M3974" s="177"/>
      <c r="N3974" s="21"/>
      <c r="O3974" s="45"/>
      <c r="P3974" s="24"/>
      <c r="Q3974" s="24"/>
      <c r="R3974" s="180"/>
      <c r="S3974" s="181"/>
      <c r="T3974" s="35"/>
      <c r="U3974" s="35"/>
      <c r="V3974" s="35"/>
      <c r="W3974" s="35"/>
      <c r="X3974" s="35"/>
      <c r="Y3974" s="182"/>
      <c r="Z3974" s="175"/>
      <c r="AA3974" s="182"/>
      <c r="AB3974" s="184"/>
    </row>
    <row r="3975" spans="1:28" ht="12.75">
      <c r="A3975" s="173"/>
      <c r="B3975" s="174"/>
      <c r="C3975" s="11"/>
      <c r="D3975" s="175"/>
      <c r="E3975" s="176"/>
      <c r="F3975" s="177"/>
      <c r="G3975" s="178"/>
      <c r="H3975" s="177"/>
      <c r="I3975" s="177"/>
      <c r="J3975" s="179"/>
      <c r="K3975" s="183"/>
      <c r="L3975" s="176"/>
      <c r="M3975" s="177"/>
      <c r="N3975" s="21"/>
      <c r="O3975" s="45"/>
      <c r="P3975" s="24"/>
      <c r="Q3975" s="24"/>
      <c r="R3975" s="180"/>
      <c r="S3975" s="181"/>
      <c r="T3975" s="35"/>
      <c r="U3975" s="35"/>
      <c r="V3975" s="35"/>
      <c r="W3975" s="35"/>
      <c r="X3975" s="35"/>
      <c r="Y3975" s="182"/>
      <c r="Z3975" s="175"/>
      <c r="AA3975" s="182"/>
      <c r="AB3975" s="184"/>
    </row>
    <row r="3976" spans="1:28" ht="12.75">
      <c r="A3976" s="173"/>
      <c r="B3976" s="174"/>
      <c r="C3976" s="11"/>
      <c r="D3976" s="175"/>
      <c r="E3976" s="176"/>
      <c r="F3976" s="177"/>
      <c r="G3976" s="178"/>
      <c r="H3976" s="177"/>
      <c r="I3976" s="177"/>
      <c r="J3976" s="179"/>
      <c r="K3976" s="183"/>
      <c r="L3976" s="176"/>
      <c r="M3976" s="177"/>
      <c r="N3976" s="21"/>
      <c r="O3976" s="45"/>
      <c r="P3976" s="24"/>
      <c r="Q3976" s="24"/>
      <c r="R3976" s="180"/>
      <c r="S3976" s="181"/>
      <c r="T3976" s="35"/>
      <c r="U3976" s="35"/>
      <c r="V3976" s="35"/>
      <c r="W3976" s="35"/>
      <c r="X3976" s="35"/>
      <c r="Y3976" s="182"/>
      <c r="Z3976" s="175"/>
      <c r="AA3976" s="182"/>
      <c r="AB3976" s="184"/>
    </row>
    <row r="3977" spans="1:28" ht="12.75">
      <c r="A3977" s="173"/>
      <c r="B3977" s="174"/>
      <c r="C3977" s="11"/>
      <c r="D3977" s="175"/>
      <c r="E3977" s="176"/>
      <c r="F3977" s="177"/>
      <c r="G3977" s="178"/>
      <c r="H3977" s="177"/>
      <c r="I3977" s="177"/>
      <c r="J3977" s="179"/>
      <c r="K3977" s="183"/>
      <c r="L3977" s="176"/>
      <c r="M3977" s="177"/>
      <c r="N3977" s="21"/>
      <c r="O3977" s="45"/>
      <c r="P3977" s="24"/>
      <c r="Q3977" s="24"/>
      <c r="R3977" s="180"/>
      <c r="S3977" s="181"/>
      <c r="T3977" s="35"/>
      <c r="U3977" s="35"/>
      <c r="V3977" s="35"/>
      <c r="W3977" s="35"/>
      <c r="X3977" s="35"/>
      <c r="Y3977" s="182"/>
      <c r="Z3977" s="175"/>
      <c r="AA3977" s="182"/>
      <c r="AB3977" s="184"/>
    </row>
    <row r="3978" spans="1:28" ht="12.75">
      <c r="A3978" s="173"/>
      <c r="B3978" s="174"/>
      <c r="C3978" s="11"/>
      <c r="D3978" s="175"/>
      <c r="E3978" s="176"/>
      <c r="F3978" s="177"/>
      <c r="G3978" s="178"/>
      <c r="H3978" s="177"/>
      <c r="I3978" s="177"/>
      <c r="J3978" s="179"/>
      <c r="K3978" s="183"/>
      <c r="L3978" s="176"/>
      <c r="M3978" s="177"/>
      <c r="N3978" s="21"/>
      <c r="O3978" s="45"/>
      <c r="P3978" s="24"/>
      <c r="Q3978" s="24"/>
      <c r="R3978" s="180"/>
      <c r="S3978" s="181"/>
      <c r="T3978" s="35"/>
      <c r="U3978" s="35"/>
      <c r="V3978" s="35"/>
      <c r="W3978" s="35"/>
      <c r="X3978" s="35"/>
      <c r="Y3978" s="182"/>
      <c r="Z3978" s="175"/>
      <c r="AA3978" s="182"/>
      <c r="AB3978" s="184"/>
    </row>
    <row r="3979" spans="1:28" ht="12.75">
      <c r="A3979" s="173"/>
      <c r="B3979" s="174"/>
      <c r="C3979" s="11"/>
      <c r="D3979" s="175"/>
      <c r="E3979" s="176"/>
      <c r="F3979" s="177"/>
      <c r="G3979" s="178"/>
      <c r="H3979" s="177"/>
      <c r="I3979" s="177"/>
      <c r="J3979" s="179"/>
      <c r="K3979" s="183"/>
      <c r="L3979" s="176"/>
      <c r="M3979" s="177"/>
      <c r="N3979" s="21"/>
      <c r="O3979" s="45"/>
      <c r="P3979" s="24"/>
      <c r="Q3979" s="24"/>
      <c r="R3979" s="180"/>
      <c r="S3979" s="181"/>
      <c r="T3979" s="35"/>
      <c r="U3979" s="35"/>
      <c r="V3979" s="35"/>
      <c r="W3979" s="35"/>
      <c r="X3979" s="35"/>
      <c r="Y3979" s="182"/>
      <c r="Z3979" s="175"/>
      <c r="AA3979" s="182"/>
      <c r="AB3979" s="184"/>
    </row>
    <row r="3980" spans="1:28" ht="12.75">
      <c r="A3980" s="173"/>
      <c r="B3980" s="174"/>
      <c r="C3980" s="11"/>
      <c r="D3980" s="175"/>
      <c r="E3980" s="176"/>
      <c r="F3980" s="177"/>
      <c r="G3980" s="178"/>
      <c r="H3980" s="177"/>
      <c r="I3980" s="177"/>
      <c r="J3980" s="179"/>
      <c r="K3980" s="183"/>
      <c r="L3980" s="176"/>
      <c r="M3980" s="177"/>
      <c r="N3980" s="21"/>
      <c r="O3980" s="45"/>
      <c r="P3980" s="24"/>
      <c r="Q3980" s="24"/>
      <c r="R3980" s="180"/>
      <c r="S3980" s="181"/>
      <c r="T3980" s="35"/>
      <c r="U3980" s="35"/>
      <c r="V3980" s="35"/>
      <c r="W3980" s="35"/>
      <c r="X3980" s="35"/>
      <c r="Y3980" s="182"/>
      <c r="Z3980" s="175"/>
      <c r="AA3980" s="182"/>
      <c r="AB3980" s="184"/>
    </row>
    <row r="3981" spans="1:28" ht="12.75">
      <c r="A3981" s="173"/>
      <c r="B3981" s="174"/>
      <c r="C3981" s="11"/>
      <c r="D3981" s="175"/>
      <c r="E3981" s="176"/>
      <c r="F3981" s="177"/>
      <c r="G3981" s="178"/>
      <c r="H3981" s="177"/>
      <c r="I3981" s="177"/>
      <c r="J3981" s="179"/>
      <c r="K3981" s="183"/>
      <c r="L3981" s="176"/>
      <c r="M3981" s="177"/>
      <c r="N3981" s="21"/>
      <c r="O3981" s="45"/>
      <c r="P3981" s="24"/>
      <c r="Q3981" s="24"/>
      <c r="R3981" s="180"/>
      <c r="S3981" s="181"/>
      <c r="T3981" s="35"/>
      <c r="U3981" s="35"/>
      <c r="V3981" s="35"/>
      <c r="W3981" s="35"/>
      <c r="X3981" s="35"/>
      <c r="Y3981" s="182"/>
      <c r="Z3981" s="175"/>
      <c r="AA3981" s="182"/>
      <c r="AB3981" s="184"/>
    </row>
    <row r="3982" spans="1:28" ht="12.75">
      <c r="A3982" s="173"/>
      <c r="B3982" s="174"/>
      <c r="C3982" s="11"/>
      <c r="D3982" s="175"/>
      <c r="E3982" s="176"/>
      <c r="F3982" s="177"/>
      <c r="G3982" s="178"/>
      <c r="H3982" s="177"/>
      <c r="I3982" s="177"/>
      <c r="J3982" s="179"/>
      <c r="K3982" s="183"/>
      <c r="L3982" s="176"/>
      <c r="M3982" s="177"/>
      <c r="N3982" s="21"/>
      <c r="O3982" s="45"/>
      <c r="P3982" s="24"/>
      <c r="Q3982" s="24"/>
      <c r="R3982" s="180"/>
      <c r="S3982" s="181"/>
      <c r="T3982" s="35"/>
      <c r="U3982" s="35"/>
      <c r="V3982" s="35"/>
      <c r="W3982" s="35"/>
      <c r="X3982" s="35"/>
      <c r="Y3982" s="182"/>
      <c r="Z3982" s="175"/>
      <c r="AA3982" s="182"/>
      <c r="AB3982" s="184"/>
    </row>
    <row r="3983" spans="1:28" ht="12.75">
      <c r="A3983" s="173"/>
      <c r="B3983" s="174"/>
      <c r="C3983" s="11"/>
      <c r="D3983" s="175"/>
      <c r="E3983" s="176"/>
      <c r="F3983" s="177"/>
      <c r="G3983" s="178"/>
      <c r="H3983" s="177"/>
      <c r="I3983" s="177"/>
      <c r="J3983" s="179"/>
      <c r="K3983" s="183"/>
      <c r="L3983" s="176"/>
      <c r="M3983" s="177"/>
      <c r="N3983" s="21"/>
      <c r="O3983" s="45"/>
      <c r="P3983" s="24"/>
      <c r="Q3983" s="24"/>
      <c r="R3983" s="180"/>
      <c r="S3983" s="181"/>
      <c r="T3983" s="35"/>
      <c r="U3983" s="35"/>
      <c r="V3983" s="35"/>
      <c r="W3983" s="35"/>
      <c r="X3983" s="35"/>
      <c r="Y3983" s="182"/>
      <c r="Z3983" s="175"/>
      <c r="AA3983" s="182"/>
      <c r="AB3983" s="184"/>
    </row>
    <row r="3984" spans="1:28" ht="12.75">
      <c r="A3984" s="173"/>
      <c r="B3984" s="174"/>
      <c r="C3984" s="11"/>
      <c r="D3984" s="175"/>
      <c r="E3984" s="176"/>
      <c r="F3984" s="177"/>
      <c r="G3984" s="178"/>
      <c r="H3984" s="177"/>
      <c r="I3984" s="177"/>
      <c r="J3984" s="179"/>
      <c r="K3984" s="183"/>
      <c r="L3984" s="176"/>
      <c r="M3984" s="177"/>
      <c r="N3984" s="21"/>
      <c r="O3984" s="45"/>
      <c r="P3984" s="24"/>
      <c r="Q3984" s="24"/>
      <c r="R3984" s="180"/>
      <c r="S3984" s="181"/>
      <c r="T3984" s="35"/>
      <c r="U3984" s="35"/>
      <c r="V3984" s="35"/>
      <c r="W3984" s="35"/>
      <c r="X3984" s="35"/>
      <c r="Y3984" s="182"/>
      <c r="Z3984" s="175"/>
      <c r="AA3984" s="182"/>
      <c r="AB3984" s="184"/>
    </row>
    <row r="3985" spans="1:28" ht="12.75">
      <c r="A3985" s="173"/>
      <c r="B3985" s="174"/>
      <c r="C3985" s="11"/>
      <c r="D3985" s="175"/>
      <c r="E3985" s="176"/>
      <c r="F3985" s="177"/>
      <c r="G3985" s="178"/>
      <c r="H3985" s="177"/>
      <c r="I3985" s="177"/>
      <c r="J3985" s="179"/>
      <c r="K3985" s="183"/>
      <c r="L3985" s="176"/>
      <c r="M3985" s="177"/>
      <c r="N3985" s="21"/>
      <c r="O3985" s="45"/>
      <c r="P3985" s="24"/>
      <c r="Q3985" s="24"/>
      <c r="R3985" s="180"/>
      <c r="S3985" s="181"/>
      <c r="T3985" s="35"/>
      <c r="U3985" s="35"/>
      <c r="V3985" s="35"/>
      <c r="W3985" s="35"/>
      <c r="X3985" s="35"/>
      <c r="Y3985" s="182"/>
      <c r="Z3985" s="175"/>
      <c r="AA3985" s="182"/>
      <c r="AB3985" s="184"/>
    </row>
    <row r="3986" spans="1:28" ht="12.75">
      <c r="A3986" s="173"/>
      <c r="B3986" s="174"/>
      <c r="C3986" s="11"/>
      <c r="D3986" s="175"/>
      <c r="E3986" s="176"/>
      <c r="F3986" s="177"/>
      <c r="G3986" s="178"/>
      <c r="H3986" s="177"/>
      <c r="I3986" s="177"/>
      <c r="J3986" s="179"/>
      <c r="K3986" s="183"/>
      <c r="L3986" s="176"/>
      <c r="M3986" s="177"/>
      <c r="N3986" s="21"/>
      <c r="O3986" s="45"/>
      <c r="P3986" s="24"/>
      <c r="Q3986" s="24"/>
      <c r="R3986" s="180"/>
      <c r="S3986" s="181"/>
      <c r="T3986" s="35"/>
      <c r="U3986" s="35"/>
      <c r="V3986" s="35"/>
      <c r="W3986" s="35"/>
      <c r="X3986" s="35"/>
      <c r="Y3986" s="182"/>
      <c r="Z3986" s="175"/>
      <c r="AA3986" s="182"/>
      <c r="AB3986" s="184"/>
    </row>
    <row r="3987" spans="1:28" ht="12.75">
      <c r="A3987" s="173"/>
      <c r="B3987" s="174"/>
      <c r="C3987" s="11"/>
      <c r="D3987" s="175"/>
      <c r="E3987" s="176"/>
      <c r="F3987" s="177"/>
      <c r="G3987" s="178"/>
      <c r="H3987" s="177"/>
      <c r="I3987" s="177"/>
      <c r="J3987" s="179"/>
      <c r="K3987" s="183"/>
      <c r="L3987" s="176"/>
      <c r="M3987" s="177"/>
      <c r="N3987" s="21"/>
      <c r="O3987" s="45"/>
      <c r="P3987" s="24"/>
      <c r="Q3987" s="24"/>
      <c r="R3987" s="180"/>
      <c r="S3987" s="181"/>
      <c r="T3987" s="35"/>
      <c r="U3987" s="35"/>
      <c r="V3987" s="35"/>
      <c r="W3987" s="35"/>
      <c r="X3987" s="35"/>
      <c r="Y3987" s="182"/>
      <c r="Z3987" s="175"/>
      <c r="AA3987" s="182"/>
      <c r="AB3987" s="184"/>
    </row>
    <row r="3988" spans="1:28" ht="12.75">
      <c r="A3988" s="173"/>
      <c r="B3988" s="174"/>
      <c r="C3988" s="11"/>
      <c r="D3988" s="175"/>
      <c r="E3988" s="176"/>
      <c r="F3988" s="177"/>
      <c r="G3988" s="178"/>
      <c r="H3988" s="177"/>
      <c r="I3988" s="177"/>
      <c r="J3988" s="179"/>
      <c r="K3988" s="183"/>
      <c r="L3988" s="176"/>
      <c r="M3988" s="177"/>
      <c r="N3988" s="21"/>
      <c r="O3988" s="45"/>
      <c r="P3988" s="24"/>
      <c r="Q3988" s="24"/>
      <c r="R3988" s="180"/>
      <c r="S3988" s="181"/>
      <c r="T3988" s="35"/>
      <c r="U3988" s="35"/>
      <c r="V3988" s="35"/>
      <c r="W3988" s="35"/>
      <c r="X3988" s="35"/>
      <c r="Y3988" s="182"/>
      <c r="Z3988" s="175"/>
      <c r="AA3988" s="182"/>
      <c r="AB3988" s="184"/>
    </row>
    <row r="3989" spans="1:28" ht="12.75">
      <c r="A3989" s="173"/>
      <c r="B3989" s="174"/>
      <c r="C3989" s="11"/>
      <c r="D3989" s="175"/>
      <c r="E3989" s="176"/>
      <c r="F3989" s="177"/>
      <c r="G3989" s="178"/>
      <c r="H3989" s="177"/>
      <c r="I3989" s="177"/>
      <c r="J3989" s="179"/>
      <c r="K3989" s="183"/>
      <c r="L3989" s="176"/>
      <c r="M3989" s="177"/>
      <c r="N3989" s="21"/>
      <c r="O3989" s="45"/>
      <c r="P3989" s="24"/>
      <c r="Q3989" s="24"/>
      <c r="R3989" s="180"/>
      <c r="S3989" s="181"/>
      <c r="T3989" s="35"/>
      <c r="U3989" s="35"/>
      <c r="V3989" s="35"/>
      <c r="W3989" s="35"/>
      <c r="X3989" s="35"/>
      <c r="Y3989" s="182"/>
      <c r="Z3989" s="175"/>
      <c r="AA3989" s="182"/>
      <c r="AB3989" s="184"/>
    </row>
    <row r="3990" spans="1:28" ht="12.75">
      <c r="A3990" s="173"/>
      <c r="B3990" s="174"/>
      <c r="C3990" s="11"/>
      <c r="D3990" s="175"/>
      <c r="E3990" s="176"/>
      <c r="F3990" s="177"/>
      <c r="G3990" s="178"/>
      <c r="H3990" s="177"/>
      <c r="I3990" s="177"/>
      <c r="J3990" s="179"/>
      <c r="K3990" s="183"/>
      <c r="L3990" s="176"/>
      <c r="M3990" s="177"/>
      <c r="N3990" s="21"/>
      <c r="O3990" s="45"/>
      <c r="P3990" s="24"/>
      <c r="Q3990" s="24"/>
      <c r="R3990" s="180"/>
      <c r="S3990" s="181"/>
      <c r="T3990" s="35"/>
      <c r="U3990" s="35"/>
      <c r="V3990" s="35"/>
      <c r="W3990" s="35"/>
      <c r="X3990" s="35"/>
      <c r="Y3990" s="182"/>
      <c r="Z3990" s="175"/>
      <c r="AA3990" s="182"/>
      <c r="AB3990" s="184"/>
    </row>
    <row r="3991" spans="1:28" ht="12.75">
      <c r="A3991" s="173"/>
      <c r="B3991" s="174"/>
      <c r="C3991" s="11"/>
      <c r="D3991" s="175"/>
      <c r="E3991" s="176"/>
      <c r="F3991" s="177"/>
      <c r="G3991" s="178"/>
      <c r="H3991" s="177"/>
      <c r="I3991" s="177"/>
      <c r="J3991" s="179"/>
      <c r="K3991" s="183"/>
      <c r="L3991" s="176"/>
      <c r="M3991" s="177"/>
      <c r="N3991" s="21"/>
      <c r="O3991" s="45"/>
      <c r="P3991" s="24"/>
      <c r="Q3991" s="24"/>
      <c r="R3991" s="180"/>
      <c r="S3991" s="181"/>
      <c r="T3991" s="35"/>
      <c r="U3991" s="35"/>
      <c r="V3991" s="35"/>
      <c r="W3991" s="35"/>
      <c r="X3991" s="35"/>
      <c r="Y3991" s="182"/>
      <c r="Z3991" s="175"/>
      <c r="AA3991" s="182"/>
      <c r="AB3991" s="184"/>
    </row>
    <row r="3992" spans="1:28" ht="12.75">
      <c r="A3992" s="173"/>
      <c r="B3992" s="174"/>
      <c r="C3992" s="11"/>
      <c r="D3992" s="175"/>
      <c r="E3992" s="176"/>
      <c r="F3992" s="177"/>
      <c r="G3992" s="178"/>
      <c r="H3992" s="177"/>
      <c r="I3992" s="177"/>
      <c r="J3992" s="179"/>
      <c r="K3992" s="183"/>
      <c r="L3992" s="176"/>
      <c r="M3992" s="177"/>
      <c r="N3992" s="21"/>
      <c r="O3992" s="45"/>
      <c r="P3992" s="24"/>
      <c r="Q3992" s="24"/>
      <c r="R3992" s="180"/>
      <c r="S3992" s="181"/>
      <c r="T3992" s="35"/>
      <c r="U3992" s="35"/>
      <c r="V3992" s="35"/>
      <c r="W3992" s="35"/>
      <c r="X3992" s="35"/>
      <c r="Y3992" s="182"/>
      <c r="Z3992" s="175"/>
      <c r="AA3992" s="182"/>
      <c r="AB3992" s="184"/>
    </row>
    <row r="3993" spans="1:28" ht="12.75">
      <c r="A3993" s="173"/>
      <c r="B3993" s="174"/>
      <c r="C3993" s="11"/>
      <c r="D3993" s="175"/>
      <c r="E3993" s="176"/>
      <c r="F3993" s="177"/>
      <c r="G3993" s="178"/>
      <c r="H3993" s="177"/>
      <c r="I3993" s="177"/>
      <c r="J3993" s="179"/>
      <c r="K3993" s="183"/>
      <c r="L3993" s="176"/>
      <c r="M3993" s="177"/>
      <c r="N3993" s="21"/>
      <c r="O3993" s="45"/>
      <c r="P3993" s="24"/>
      <c r="Q3993" s="24"/>
      <c r="R3993" s="180"/>
      <c r="S3993" s="181"/>
      <c r="T3993" s="35"/>
      <c r="U3993" s="35"/>
      <c r="V3993" s="35"/>
      <c r="W3993" s="35"/>
      <c r="X3993" s="35"/>
      <c r="Y3993" s="182"/>
      <c r="Z3993" s="175"/>
      <c r="AA3993" s="182"/>
      <c r="AB3993" s="184"/>
    </row>
    <row r="3994" spans="1:28" ht="12.75">
      <c r="A3994" s="173"/>
      <c r="B3994" s="174"/>
      <c r="C3994" s="11"/>
      <c r="D3994" s="175"/>
      <c r="E3994" s="176"/>
      <c r="F3994" s="177"/>
      <c r="G3994" s="178"/>
      <c r="H3994" s="177"/>
      <c r="I3994" s="177"/>
      <c r="J3994" s="179"/>
      <c r="K3994" s="183"/>
      <c r="L3994" s="176"/>
      <c r="M3994" s="177"/>
      <c r="N3994" s="21"/>
      <c r="O3994" s="45"/>
      <c r="P3994" s="24"/>
      <c r="Q3994" s="24"/>
      <c r="R3994" s="180"/>
      <c r="S3994" s="181"/>
      <c r="T3994" s="35"/>
      <c r="U3994" s="35"/>
      <c r="V3994" s="35"/>
      <c r="W3994" s="35"/>
      <c r="X3994" s="35"/>
      <c r="Y3994" s="182"/>
      <c r="Z3994" s="175"/>
      <c r="AA3994" s="182"/>
      <c r="AB3994" s="184"/>
    </row>
    <row r="3995" spans="1:28" ht="12.75">
      <c r="A3995" s="173"/>
      <c r="B3995" s="174"/>
      <c r="C3995" s="11"/>
      <c r="D3995" s="175"/>
      <c r="E3995" s="176"/>
      <c r="F3995" s="177"/>
      <c r="G3995" s="178"/>
      <c r="H3995" s="177"/>
      <c r="I3995" s="177"/>
      <c r="J3995" s="179"/>
      <c r="K3995" s="183"/>
      <c r="L3995" s="176"/>
      <c r="M3995" s="177"/>
      <c r="N3995" s="21"/>
      <c r="O3995" s="45"/>
      <c r="P3995" s="24"/>
      <c r="Q3995" s="24"/>
      <c r="R3995" s="180"/>
      <c r="S3995" s="181"/>
      <c r="T3995" s="35"/>
      <c r="U3995" s="35"/>
      <c r="V3995" s="35"/>
      <c r="W3995" s="35"/>
      <c r="X3995" s="35"/>
      <c r="Y3995" s="182"/>
      <c r="Z3995" s="175"/>
      <c r="AA3995" s="182"/>
      <c r="AB3995" s="184"/>
    </row>
    <row r="3996" spans="1:28" ht="12.75">
      <c r="A3996" s="173"/>
      <c r="B3996" s="174"/>
      <c r="C3996" s="11"/>
      <c r="D3996" s="175"/>
      <c r="E3996" s="176"/>
      <c r="F3996" s="177"/>
      <c r="G3996" s="178"/>
      <c r="H3996" s="177"/>
      <c r="I3996" s="177"/>
      <c r="J3996" s="179"/>
      <c r="K3996" s="183"/>
      <c r="L3996" s="176"/>
      <c r="M3996" s="177"/>
      <c r="N3996" s="21"/>
      <c r="O3996" s="45"/>
      <c r="P3996" s="24"/>
      <c r="Q3996" s="24"/>
      <c r="R3996" s="180"/>
      <c r="S3996" s="181"/>
      <c r="T3996" s="35"/>
      <c r="U3996" s="35"/>
      <c r="V3996" s="35"/>
      <c r="W3996" s="35"/>
      <c r="X3996" s="35"/>
      <c r="Y3996" s="182"/>
      <c r="Z3996" s="175"/>
      <c r="AA3996" s="182"/>
      <c r="AB3996" s="184"/>
    </row>
    <row r="3997" spans="1:28" ht="12.75">
      <c r="A3997" s="173"/>
      <c r="B3997" s="174"/>
      <c r="C3997" s="11"/>
      <c r="D3997" s="175"/>
      <c r="E3997" s="176"/>
      <c r="F3997" s="177"/>
      <c r="G3997" s="178"/>
      <c r="H3997" s="177"/>
      <c r="I3997" s="177"/>
      <c r="J3997" s="179"/>
      <c r="K3997" s="183"/>
      <c r="L3997" s="176"/>
      <c r="M3997" s="177"/>
      <c r="N3997" s="21"/>
      <c r="O3997" s="45"/>
      <c r="P3997" s="24"/>
      <c r="Q3997" s="24"/>
      <c r="R3997" s="180"/>
      <c r="S3997" s="181"/>
      <c r="T3997" s="35"/>
      <c r="U3997" s="35"/>
      <c r="V3997" s="35"/>
      <c r="W3997" s="35"/>
      <c r="X3997" s="35"/>
      <c r="Y3997" s="182"/>
      <c r="Z3997" s="175"/>
      <c r="AA3997" s="182"/>
      <c r="AB3997" s="184"/>
    </row>
    <row r="3998" spans="1:28" ht="12.75">
      <c r="A3998" s="173"/>
      <c r="B3998" s="174"/>
      <c r="C3998" s="11"/>
      <c r="D3998" s="175"/>
      <c r="E3998" s="176"/>
      <c r="F3998" s="177"/>
      <c r="G3998" s="178"/>
      <c r="H3998" s="177"/>
      <c r="I3998" s="177"/>
      <c r="J3998" s="179"/>
      <c r="K3998" s="183"/>
      <c r="L3998" s="176"/>
      <c r="M3998" s="177"/>
      <c r="N3998" s="21"/>
      <c r="O3998" s="45"/>
      <c r="P3998" s="24"/>
      <c r="Q3998" s="24"/>
      <c r="R3998" s="180"/>
      <c r="S3998" s="181"/>
      <c r="T3998" s="35"/>
      <c r="U3998" s="35"/>
      <c r="V3998" s="35"/>
      <c r="W3998" s="35"/>
      <c r="X3998" s="35"/>
      <c r="Y3998" s="182"/>
      <c r="Z3998" s="175"/>
      <c r="AA3998" s="182"/>
      <c r="AB3998" s="184"/>
    </row>
    <row r="3999" spans="1:28" ht="12.75">
      <c r="A3999" s="173"/>
      <c r="B3999" s="174"/>
      <c r="C3999" s="11"/>
      <c r="D3999" s="175"/>
      <c r="E3999" s="176"/>
      <c r="F3999" s="177"/>
      <c r="G3999" s="178"/>
      <c r="H3999" s="177"/>
      <c r="I3999" s="177"/>
      <c r="J3999" s="179"/>
      <c r="K3999" s="183"/>
      <c r="L3999" s="176"/>
      <c r="M3999" s="177"/>
      <c r="N3999" s="21"/>
      <c r="O3999" s="45"/>
      <c r="P3999" s="24"/>
      <c r="Q3999" s="24"/>
      <c r="R3999" s="180"/>
      <c r="S3999" s="181"/>
      <c r="T3999" s="35"/>
      <c r="U3999" s="35"/>
      <c r="V3999" s="35"/>
      <c r="W3999" s="35"/>
      <c r="X3999" s="35"/>
      <c r="Y3999" s="182"/>
      <c r="Z3999" s="175"/>
      <c r="AA3999" s="182"/>
      <c r="AB3999" s="184"/>
    </row>
    <row r="4000" spans="1:28" ht="12.75">
      <c r="A4000" s="173"/>
      <c r="B4000" s="174"/>
      <c r="C4000" s="11"/>
      <c r="D4000" s="175"/>
      <c r="E4000" s="176"/>
      <c r="F4000" s="177"/>
      <c r="G4000" s="178"/>
      <c r="H4000" s="177"/>
      <c r="I4000" s="177"/>
      <c r="J4000" s="179"/>
      <c r="K4000" s="183"/>
      <c r="L4000" s="176"/>
      <c r="M4000" s="177"/>
      <c r="N4000" s="21"/>
      <c r="O4000" s="45"/>
      <c r="P4000" s="24"/>
      <c r="Q4000" s="24"/>
      <c r="R4000" s="180"/>
      <c r="S4000" s="181"/>
      <c r="T4000" s="35"/>
      <c r="U4000" s="35"/>
      <c r="V4000" s="35"/>
      <c r="W4000" s="35"/>
      <c r="X4000" s="35"/>
      <c r="Y4000" s="182"/>
      <c r="Z4000" s="175"/>
      <c r="AA4000" s="182"/>
      <c r="AB4000" s="184"/>
    </row>
    <row r="4001" spans="1:28" ht="12.75">
      <c r="A4001" s="173"/>
      <c r="B4001" s="174"/>
      <c r="C4001" s="11"/>
      <c r="D4001" s="175"/>
      <c r="E4001" s="176"/>
      <c r="F4001" s="177"/>
      <c r="G4001" s="178"/>
      <c r="H4001" s="177"/>
      <c r="I4001" s="177"/>
      <c r="J4001" s="179"/>
      <c r="K4001" s="183"/>
      <c r="L4001" s="176"/>
      <c r="M4001" s="177"/>
      <c r="N4001" s="21"/>
      <c r="O4001" s="45"/>
      <c r="P4001" s="24"/>
      <c r="Q4001" s="24"/>
      <c r="R4001" s="180"/>
      <c r="S4001" s="181"/>
      <c r="T4001" s="35"/>
      <c r="U4001" s="35"/>
      <c r="V4001" s="35"/>
      <c r="W4001" s="35"/>
      <c r="X4001" s="35"/>
      <c r="Y4001" s="182"/>
      <c r="Z4001" s="175"/>
      <c r="AA4001" s="182"/>
      <c r="AB4001" s="184"/>
    </row>
    <row r="4002" spans="1:28" ht="12.75">
      <c r="A4002" s="173"/>
      <c r="B4002" s="174"/>
      <c r="C4002" s="11"/>
      <c r="D4002" s="175"/>
      <c r="E4002" s="176"/>
      <c r="F4002" s="177"/>
      <c r="G4002" s="178"/>
      <c r="H4002" s="177"/>
      <c r="I4002" s="177"/>
      <c r="J4002" s="179"/>
      <c r="K4002" s="183"/>
      <c r="L4002" s="176"/>
      <c r="M4002" s="177"/>
      <c r="N4002" s="21"/>
      <c r="O4002" s="45"/>
      <c r="P4002" s="24"/>
      <c r="Q4002" s="24"/>
      <c r="R4002" s="180"/>
      <c r="S4002" s="181"/>
      <c r="T4002" s="35"/>
      <c r="U4002" s="35"/>
      <c r="V4002" s="35"/>
      <c r="W4002" s="35"/>
      <c r="X4002" s="35"/>
      <c r="Y4002" s="182"/>
      <c r="Z4002" s="175"/>
      <c r="AA4002" s="182"/>
      <c r="AB4002" s="184"/>
    </row>
    <row r="4003" spans="1:28" ht="12.75">
      <c r="A4003" s="173"/>
      <c r="B4003" s="174"/>
      <c r="C4003" s="11"/>
      <c r="D4003" s="175"/>
      <c r="E4003" s="176"/>
      <c r="F4003" s="177"/>
      <c r="G4003" s="178"/>
      <c r="H4003" s="177"/>
      <c r="I4003" s="177"/>
      <c r="J4003" s="179"/>
      <c r="K4003" s="183"/>
      <c r="L4003" s="176"/>
      <c r="M4003" s="177"/>
      <c r="N4003" s="21"/>
      <c r="O4003" s="45"/>
      <c r="P4003" s="24"/>
      <c r="Q4003" s="24"/>
      <c r="R4003" s="180"/>
      <c r="S4003" s="181"/>
      <c r="T4003" s="35"/>
      <c r="U4003" s="35"/>
      <c r="V4003" s="35"/>
      <c r="W4003" s="35"/>
      <c r="X4003" s="35"/>
      <c r="Y4003" s="182"/>
      <c r="Z4003" s="175"/>
      <c r="AA4003" s="182"/>
      <c r="AB4003" s="184"/>
    </row>
    <row r="4004" spans="1:28" ht="12.75">
      <c r="A4004" s="173"/>
      <c r="B4004" s="174"/>
      <c r="C4004" s="11"/>
      <c r="D4004" s="175"/>
      <c r="E4004" s="176"/>
      <c r="F4004" s="177"/>
      <c r="G4004" s="178"/>
      <c r="H4004" s="177"/>
      <c r="I4004" s="177"/>
      <c r="J4004" s="179"/>
      <c r="K4004" s="183"/>
      <c r="L4004" s="176"/>
      <c r="M4004" s="177"/>
      <c r="N4004" s="21"/>
      <c r="O4004" s="45"/>
      <c r="P4004" s="24"/>
      <c r="Q4004" s="24"/>
      <c r="R4004" s="180"/>
      <c r="S4004" s="181"/>
      <c r="T4004" s="35"/>
      <c r="U4004" s="35"/>
      <c r="V4004" s="35"/>
      <c r="W4004" s="35"/>
      <c r="X4004" s="35"/>
      <c r="Y4004" s="182"/>
      <c r="Z4004" s="175"/>
      <c r="AA4004" s="182"/>
      <c r="AB4004" s="184"/>
    </row>
    <row r="4005" spans="1:28" ht="12.75">
      <c r="A4005" s="173"/>
      <c r="B4005" s="174"/>
      <c r="C4005" s="11"/>
      <c r="D4005" s="175"/>
      <c r="E4005" s="176"/>
      <c r="F4005" s="177"/>
      <c r="G4005" s="178"/>
      <c r="H4005" s="177"/>
      <c r="I4005" s="177"/>
      <c r="J4005" s="179"/>
      <c r="K4005" s="183"/>
      <c r="L4005" s="176"/>
      <c r="M4005" s="177"/>
      <c r="N4005" s="21"/>
      <c r="O4005" s="45"/>
      <c r="P4005" s="24"/>
      <c r="Q4005" s="24"/>
      <c r="R4005" s="180"/>
      <c r="S4005" s="181"/>
      <c r="T4005" s="35"/>
      <c r="U4005" s="35"/>
      <c r="V4005" s="35"/>
      <c r="W4005" s="35"/>
      <c r="X4005" s="35"/>
      <c r="Y4005" s="182"/>
      <c r="Z4005" s="175"/>
      <c r="AA4005" s="182"/>
      <c r="AB4005" s="184"/>
    </row>
    <row r="4006" spans="1:28" ht="12.75">
      <c r="A4006" s="173"/>
      <c r="B4006" s="174"/>
      <c r="C4006" s="11"/>
      <c r="D4006" s="175"/>
      <c r="E4006" s="176"/>
      <c r="F4006" s="177"/>
      <c r="G4006" s="178"/>
      <c r="H4006" s="177"/>
      <c r="I4006" s="177"/>
      <c r="J4006" s="179"/>
      <c r="K4006" s="183"/>
      <c r="L4006" s="176"/>
      <c r="M4006" s="177"/>
      <c r="N4006" s="21"/>
      <c r="O4006" s="45"/>
      <c r="P4006" s="24"/>
      <c r="Q4006" s="24"/>
      <c r="R4006" s="180"/>
      <c r="S4006" s="181"/>
      <c r="T4006" s="35"/>
      <c r="U4006" s="35"/>
      <c r="V4006" s="35"/>
      <c r="W4006" s="35"/>
      <c r="X4006" s="35"/>
      <c r="Y4006" s="182"/>
      <c r="Z4006" s="175"/>
      <c r="AA4006" s="182"/>
      <c r="AB4006" s="184"/>
    </row>
    <row r="4007" spans="1:28" ht="12.75">
      <c r="A4007" s="173"/>
      <c r="B4007" s="174"/>
      <c r="C4007" s="11"/>
      <c r="D4007" s="175"/>
      <c r="E4007" s="176"/>
      <c r="F4007" s="177"/>
      <c r="G4007" s="178"/>
      <c r="H4007" s="177"/>
      <c r="I4007" s="177"/>
      <c r="J4007" s="179"/>
      <c r="K4007" s="183"/>
      <c r="L4007" s="176"/>
      <c r="M4007" s="177"/>
      <c r="N4007" s="21"/>
      <c r="O4007" s="45"/>
      <c r="P4007" s="24"/>
      <c r="Q4007" s="24"/>
      <c r="R4007" s="180"/>
      <c r="S4007" s="181"/>
      <c r="T4007" s="35"/>
      <c r="U4007" s="35"/>
      <c r="V4007" s="35"/>
      <c r="W4007" s="35"/>
      <c r="X4007" s="35"/>
      <c r="Y4007" s="182"/>
      <c r="Z4007" s="175"/>
      <c r="AA4007" s="182"/>
      <c r="AB4007" s="184"/>
    </row>
    <row r="4008" spans="1:28" ht="12.75">
      <c r="A4008" s="173"/>
      <c r="B4008" s="174"/>
      <c r="C4008" s="11"/>
      <c r="D4008" s="175"/>
      <c r="E4008" s="176"/>
      <c r="F4008" s="177"/>
      <c r="G4008" s="178"/>
      <c r="H4008" s="177"/>
      <c r="I4008" s="177"/>
      <c r="J4008" s="179"/>
      <c r="K4008" s="183"/>
      <c r="L4008" s="176"/>
      <c r="M4008" s="177"/>
      <c r="N4008" s="21"/>
      <c r="O4008" s="45"/>
      <c r="P4008" s="24"/>
      <c r="Q4008" s="24"/>
      <c r="R4008" s="180"/>
      <c r="S4008" s="181"/>
      <c r="T4008" s="35"/>
      <c r="U4008" s="35"/>
      <c r="V4008" s="35"/>
      <c r="W4008" s="35"/>
      <c r="X4008" s="35"/>
      <c r="Y4008" s="182"/>
      <c r="Z4008" s="175"/>
      <c r="AA4008" s="182"/>
      <c r="AB4008" s="184"/>
    </row>
    <row r="4009" spans="1:28" ht="12.75">
      <c r="A4009" s="173"/>
      <c r="B4009" s="174"/>
      <c r="C4009" s="11"/>
      <c r="D4009" s="175"/>
      <c r="E4009" s="176"/>
      <c r="F4009" s="177"/>
      <c r="G4009" s="178"/>
      <c r="H4009" s="177"/>
      <c r="I4009" s="177"/>
      <c r="J4009" s="179"/>
      <c r="K4009" s="183"/>
      <c r="L4009" s="176"/>
      <c r="M4009" s="177"/>
      <c r="N4009" s="21"/>
      <c r="O4009" s="45"/>
      <c r="P4009" s="24"/>
      <c r="Q4009" s="24"/>
      <c r="R4009" s="180"/>
      <c r="S4009" s="181"/>
      <c r="T4009" s="35"/>
      <c r="U4009" s="35"/>
      <c r="V4009" s="35"/>
      <c r="W4009" s="35"/>
      <c r="X4009" s="35"/>
      <c r="Y4009" s="182"/>
      <c r="Z4009" s="175"/>
      <c r="AA4009" s="182"/>
      <c r="AB4009" s="184"/>
    </row>
    <row r="4010" spans="1:28" ht="12.75">
      <c r="A4010" s="173"/>
      <c r="B4010" s="174"/>
      <c r="C4010" s="11"/>
      <c r="D4010" s="175"/>
      <c r="E4010" s="176"/>
      <c r="F4010" s="177"/>
      <c r="G4010" s="178"/>
      <c r="H4010" s="177"/>
      <c r="I4010" s="177"/>
      <c r="J4010" s="179"/>
      <c r="K4010" s="183"/>
      <c r="L4010" s="176"/>
      <c r="M4010" s="177"/>
      <c r="N4010" s="21"/>
      <c r="O4010" s="45"/>
      <c r="P4010" s="24"/>
      <c r="Q4010" s="24"/>
      <c r="R4010" s="180"/>
      <c r="S4010" s="181"/>
      <c r="T4010" s="35"/>
      <c r="U4010" s="35"/>
      <c r="V4010" s="35"/>
      <c r="W4010" s="35"/>
      <c r="X4010" s="35"/>
      <c r="Y4010" s="182"/>
      <c r="Z4010" s="175"/>
      <c r="AA4010" s="182"/>
      <c r="AB4010" s="184"/>
    </row>
    <row r="4011" spans="1:28" ht="12.75">
      <c r="A4011" s="173"/>
      <c r="B4011" s="174"/>
      <c r="C4011" s="11"/>
      <c r="D4011" s="175"/>
      <c r="E4011" s="176"/>
      <c r="F4011" s="177"/>
      <c r="G4011" s="178"/>
      <c r="H4011" s="177"/>
      <c r="I4011" s="177"/>
      <c r="J4011" s="179"/>
      <c r="K4011" s="183"/>
      <c r="L4011" s="176"/>
      <c r="M4011" s="177"/>
      <c r="N4011" s="21"/>
      <c r="O4011" s="45"/>
      <c r="P4011" s="24"/>
      <c r="Q4011" s="24"/>
      <c r="R4011" s="180"/>
      <c r="S4011" s="181"/>
      <c r="T4011" s="35"/>
      <c r="U4011" s="35"/>
      <c r="V4011" s="35"/>
      <c r="W4011" s="35"/>
      <c r="X4011" s="35"/>
      <c r="Y4011" s="182"/>
      <c r="Z4011" s="175"/>
      <c r="AA4011" s="182"/>
      <c r="AB4011" s="184"/>
    </row>
    <row r="4012" spans="1:28" ht="12.75">
      <c r="A4012" s="173"/>
      <c r="B4012" s="174"/>
      <c r="C4012" s="11"/>
      <c r="D4012" s="175"/>
      <c r="E4012" s="176"/>
      <c r="F4012" s="177"/>
      <c r="G4012" s="178"/>
      <c r="H4012" s="177"/>
      <c r="I4012" s="177"/>
      <c r="J4012" s="179"/>
      <c r="K4012" s="183"/>
      <c r="L4012" s="176"/>
      <c r="M4012" s="177"/>
      <c r="N4012" s="21"/>
      <c r="O4012" s="45"/>
      <c r="P4012" s="24"/>
      <c r="Q4012" s="24"/>
      <c r="R4012" s="180"/>
      <c r="S4012" s="181"/>
      <c r="T4012" s="35"/>
      <c r="U4012" s="35"/>
      <c r="V4012" s="35"/>
      <c r="W4012" s="35"/>
      <c r="X4012" s="35"/>
      <c r="Y4012" s="182"/>
      <c r="Z4012" s="175"/>
      <c r="AA4012" s="182"/>
      <c r="AB4012" s="184"/>
    </row>
    <row r="4013" spans="1:28" ht="12.75">
      <c r="A4013" s="173"/>
      <c r="B4013" s="174"/>
      <c r="C4013" s="11"/>
      <c r="D4013" s="175"/>
      <c r="E4013" s="176"/>
      <c r="F4013" s="177"/>
      <c r="G4013" s="178"/>
      <c r="H4013" s="177"/>
      <c r="I4013" s="177"/>
      <c r="J4013" s="179"/>
      <c r="K4013" s="183"/>
      <c r="L4013" s="176"/>
      <c r="M4013" s="177"/>
      <c r="N4013" s="21"/>
      <c r="O4013" s="45"/>
      <c r="P4013" s="24"/>
      <c r="Q4013" s="24"/>
      <c r="R4013" s="180"/>
      <c r="S4013" s="181"/>
      <c r="T4013" s="35"/>
      <c r="U4013" s="35"/>
      <c r="V4013" s="35"/>
      <c r="W4013" s="35"/>
      <c r="X4013" s="35"/>
      <c r="Y4013" s="182"/>
      <c r="Z4013" s="175"/>
      <c r="AA4013" s="182"/>
      <c r="AB4013" s="184"/>
    </row>
    <row r="4014" spans="1:28" ht="12.75">
      <c r="A4014" s="173"/>
      <c r="B4014" s="174"/>
      <c r="C4014" s="11"/>
      <c r="D4014" s="175"/>
      <c r="E4014" s="176"/>
      <c r="F4014" s="177"/>
      <c r="G4014" s="178"/>
      <c r="H4014" s="177"/>
      <c r="I4014" s="177"/>
      <c r="J4014" s="179"/>
      <c r="K4014" s="183"/>
      <c r="L4014" s="176"/>
      <c r="M4014" s="177"/>
      <c r="N4014" s="21"/>
      <c r="O4014" s="45"/>
      <c r="P4014" s="24"/>
      <c r="Q4014" s="24"/>
      <c r="R4014" s="180"/>
      <c r="S4014" s="181"/>
      <c r="T4014" s="35"/>
      <c r="U4014" s="35"/>
      <c r="V4014" s="35"/>
      <c r="W4014" s="35"/>
      <c r="X4014" s="35"/>
      <c r="Y4014" s="182"/>
      <c r="Z4014" s="175"/>
      <c r="AA4014" s="182"/>
      <c r="AB4014" s="184"/>
    </row>
    <row r="4015" spans="1:28" ht="12.75">
      <c r="A4015" s="173"/>
      <c r="B4015" s="174"/>
      <c r="C4015" s="11"/>
      <c r="D4015" s="175"/>
      <c r="E4015" s="176"/>
      <c r="F4015" s="177"/>
      <c r="G4015" s="178"/>
      <c r="H4015" s="177"/>
      <c r="I4015" s="177"/>
      <c r="J4015" s="179"/>
      <c r="K4015" s="183"/>
      <c r="L4015" s="176"/>
      <c r="M4015" s="177"/>
      <c r="N4015" s="21"/>
      <c r="O4015" s="45"/>
      <c r="P4015" s="24"/>
      <c r="Q4015" s="24"/>
      <c r="R4015" s="180"/>
      <c r="S4015" s="181"/>
      <c r="T4015" s="35"/>
      <c r="U4015" s="35"/>
      <c r="V4015" s="35"/>
      <c r="W4015" s="35"/>
      <c r="X4015" s="35"/>
      <c r="Y4015" s="182"/>
      <c r="Z4015" s="175"/>
      <c r="AA4015" s="182"/>
      <c r="AB4015" s="184"/>
    </row>
    <row r="4016" spans="1:28" ht="12.75">
      <c r="A4016" s="173"/>
      <c r="B4016" s="174"/>
      <c r="C4016" s="11"/>
      <c r="D4016" s="175"/>
      <c r="E4016" s="176"/>
      <c r="F4016" s="177"/>
      <c r="G4016" s="178"/>
      <c r="H4016" s="177"/>
      <c r="I4016" s="177"/>
      <c r="J4016" s="179"/>
      <c r="K4016" s="183"/>
      <c r="L4016" s="176"/>
      <c r="M4016" s="177"/>
      <c r="N4016" s="21"/>
      <c r="O4016" s="45"/>
      <c r="P4016" s="24"/>
      <c r="Q4016" s="24"/>
      <c r="R4016" s="180"/>
      <c r="S4016" s="181"/>
      <c r="T4016" s="35"/>
      <c r="U4016" s="35"/>
      <c r="V4016" s="35"/>
      <c r="W4016" s="35"/>
      <c r="X4016" s="35"/>
      <c r="Y4016" s="182"/>
      <c r="Z4016" s="175"/>
      <c r="AA4016" s="182"/>
      <c r="AB4016" s="184"/>
    </row>
    <row r="4017" spans="1:28" ht="12.75">
      <c r="A4017" s="173"/>
      <c r="B4017" s="174"/>
      <c r="C4017" s="11"/>
      <c r="D4017" s="175"/>
      <c r="E4017" s="176"/>
      <c r="F4017" s="177"/>
      <c r="G4017" s="178"/>
      <c r="H4017" s="177"/>
      <c r="I4017" s="177"/>
      <c r="J4017" s="179"/>
      <c r="K4017" s="183"/>
      <c r="L4017" s="176"/>
      <c r="M4017" s="177"/>
      <c r="N4017" s="21"/>
      <c r="O4017" s="45"/>
      <c r="P4017" s="24"/>
      <c r="Q4017" s="24"/>
      <c r="R4017" s="180"/>
      <c r="S4017" s="181"/>
      <c r="T4017" s="35"/>
      <c r="U4017" s="35"/>
      <c r="V4017" s="35"/>
      <c r="W4017" s="35"/>
      <c r="X4017" s="35"/>
      <c r="Y4017" s="182"/>
      <c r="Z4017" s="175"/>
      <c r="AA4017" s="182"/>
      <c r="AB4017" s="184"/>
    </row>
    <row r="4018" spans="1:28" ht="12.75">
      <c r="A4018" s="173"/>
      <c r="B4018" s="174"/>
      <c r="C4018" s="11"/>
      <c r="D4018" s="175"/>
      <c r="E4018" s="176"/>
      <c r="F4018" s="177"/>
      <c r="G4018" s="178"/>
      <c r="H4018" s="177"/>
      <c r="I4018" s="177"/>
      <c r="J4018" s="179"/>
      <c r="K4018" s="183"/>
      <c r="L4018" s="176"/>
      <c r="M4018" s="177"/>
      <c r="N4018" s="21"/>
      <c r="O4018" s="45"/>
      <c r="P4018" s="24"/>
      <c r="Q4018" s="24"/>
      <c r="R4018" s="180"/>
      <c r="S4018" s="181"/>
      <c r="T4018" s="35"/>
      <c r="U4018" s="35"/>
      <c r="V4018" s="35"/>
      <c r="W4018" s="35"/>
      <c r="X4018" s="35"/>
      <c r="Y4018" s="182"/>
      <c r="Z4018" s="175"/>
      <c r="AA4018" s="182"/>
      <c r="AB4018" s="184"/>
    </row>
    <row r="4019" spans="1:28" ht="12.75">
      <c r="A4019" s="173"/>
      <c r="B4019" s="174"/>
      <c r="C4019" s="11"/>
      <c r="D4019" s="175"/>
      <c r="E4019" s="176"/>
      <c r="F4019" s="177"/>
      <c r="G4019" s="178"/>
      <c r="H4019" s="177"/>
      <c r="I4019" s="177"/>
      <c r="J4019" s="179"/>
      <c r="K4019" s="183"/>
      <c r="L4019" s="176"/>
      <c r="M4019" s="177"/>
      <c r="N4019" s="21"/>
      <c r="O4019" s="45"/>
      <c r="P4019" s="24"/>
      <c r="Q4019" s="24"/>
      <c r="R4019" s="180"/>
      <c r="S4019" s="181"/>
      <c r="T4019" s="35"/>
      <c r="U4019" s="35"/>
      <c r="V4019" s="35"/>
      <c r="W4019" s="35"/>
      <c r="X4019" s="35"/>
      <c r="Y4019" s="182"/>
      <c r="Z4019" s="175"/>
      <c r="AA4019" s="182"/>
      <c r="AB4019" s="184"/>
    </row>
    <row r="4020" spans="1:28" ht="12.75">
      <c r="A4020" s="173"/>
      <c r="B4020" s="174"/>
      <c r="C4020" s="11"/>
      <c r="D4020" s="175"/>
      <c r="E4020" s="176"/>
      <c r="F4020" s="177"/>
      <c r="G4020" s="178"/>
      <c r="H4020" s="177"/>
      <c r="I4020" s="177"/>
      <c r="J4020" s="179"/>
      <c r="K4020" s="183"/>
      <c r="L4020" s="176"/>
      <c r="M4020" s="177"/>
      <c r="N4020" s="21"/>
      <c r="O4020" s="45"/>
      <c r="P4020" s="24"/>
      <c r="Q4020" s="24"/>
      <c r="R4020" s="180"/>
      <c r="S4020" s="181"/>
      <c r="T4020" s="35"/>
      <c r="U4020" s="35"/>
      <c r="V4020" s="35"/>
      <c r="W4020" s="35"/>
      <c r="X4020" s="35"/>
      <c r="Y4020" s="182"/>
      <c r="Z4020" s="175"/>
      <c r="AA4020" s="182"/>
      <c r="AB4020" s="184"/>
    </row>
    <row r="4021" spans="1:28" ht="12.75">
      <c r="A4021" s="173"/>
      <c r="B4021" s="174"/>
      <c r="C4021" s="11"/>
      <c r="D4021" s="175"/>
      <c r="E4021" s="176"/>
      <c r="F4021" s="177"/>
      <c r="G4021" s="178"/>
      <c r="H4021" s="177"/>
      <c r="I4021" s="177"/>
      <c r="J4021" s="179"/>
      <c r="K4021" s="183"/>
      <c r="L4021" s="176"/>
      <c r="M4021" s="177"/>
      <c r="N4021" s="21"/>
      <c r="O4021" s="45"/>
      <c r="P4021" s="24"/>
      <c r="Q4021" s="24"/>
      <c r="R4021" s="180"/>
      <c r="S4021" s="181"/>
      <c r="T4021" s="35"/>
      <c r="U4021" s="35"/>
      <c r="V4021" s="35"/>
      <c r="W4021" s="35"/>
      <c r="X4021" s="35"/>
      <c r="Y4021" s="182"/>
      <c r="Z4021" s="175"/>
      <c r="AA4021" s="182"/>
      <c r="AB4021" s="184"/>
    </row>
    <row r="4022" spans="1:28" ht="12.75">
      <c r="A4022" s="173"/>
      <c r="B4022" s="174"/>
      <c r="C4022" s="11"/>
      <c r="D4022" s="175"/>
      <c r="E4022" s="176"/>
      <c r="F4022" s="177"/>
      <c r="G4022" s="178"/>
      <c r="H4022" s="177"/>
      <c r="I4022" s="177"/>
      <c r="J4022" s="179"/>
      <c r="K4022" s="183"/>
      <c r="L4022" s="176"/>
      <c r="M4022" s="177"/>
      <c r="N4022" s="21"/>
      <c r="O4022" s="45"/>
      <c r="P4022" s="24"/>
      <c r="Q4022" s="24"/>
      <c r="R4022" s="180"/>
      <c r="S4022" s="181"/>
      <c r="T4022" s="35"/>
      <c r="U4022" s="35"/>
      <c r="V4022" s="35"/>
      <c r="W4022" s="35"/>
      <c r="X4022" s="35"/>
      <c r="Y4022" s="182"/>
      <c r="Z4022" s="175"/>
      <c r="AA4022" s="182"/>
      <c r="AB4022" s="184"/>
    </row>
    <row r="4023" spans="1:28" ht="12.75">
      <c r="A4023" s="173"/>
      <c r="B4023" s="174"/>
      <c r="C4023" s="11"/>
      <c r="D4023" s="175"/>
      <c r="E4023" s="176"/>
      <c r="F4023" s="177"/>
      <c r="G4023" s="178"/>
      <c r="H4023" s="177"/>
      <c r="I4023" s="177"/>
      <c r="J4023" s="179"/>
      <c r="K4023" s="183"/>
      <c r="L4023" s="176"/>
      <c r="M4023" s="177"/>
      <c r="N4023" s="21"/>
      <c r="O4023" s="45"/>
      <c r="P4023" s="24"/>
      <c r="Q4023" s="24"/>
      <c r="R4023" s="180"/>
      <c r="S4023" s="181"/>
      <c r="T4023" s="35"/>
      <c r="U4023" s="35"/>
      <c r="V4023" s="35"/>
      <c r="W4023" s="35"/>
      <c r="X4023" s="35"/>
      <c r="Y4023" s="182"/>
      <c r="Z4023" s="175"/>
      <c r="AA4023" s="182"/>
      <c r="AB4023" s="184"/>
    </row>
    <row r="4024" spans="1:28" ht="12.75">
      <c r="A4024" s="173"/>
      <c r="B4024" s="174"/>
      <c r="C4024" s="11"/>
      <c r="D4024" s="175"/>
      <c r="E4024" s="176"/>
      <c r="F4024" s="177"/>
      <c r="G4024" s="178"/>
      <c r="H4024" s="177"/>
      <c r="I4024" s="177"/>
      <c r="J4024" s="179"/>
      <c r="K4024" s="183"/>
      <c r="L4024" s="176"/>
      <c r="M4024" s="177"/>
      <c r="N4024" s="21"/>
      <c r="O4024" s="45"/>
      <c r="P4024" s="24"/>
      <c r="Q4024" s="24"/>
      <c r="R4024" s="180"/>
      <c r="S4024" s="181"/>
      <c r="T4024" s="35"/>
      <c r="U4024" s="35"/>
      <c r="V4024" s="35"/>
      <c r="W4024" s="35"/>
      <c r="X4024" s="35"/>
      <c r="Y4024" s="182"/>
      <c r="Z4024" s="175"/>
      <c r="AA4024" s="182"/>
      <c r="AB4024" s="184"/>
    </row>
    <row r="4025" spans="1:28" ht="12.75">
      <c r="A4025" s="173"/>
      <c r="B4025" s="174"/>
      <c r="C4025" s="11"/>
      <c r="D4025" s="175"/>
      <c r="E4025" s="176"/>
      <c r="F4025" s="177"/>
      <c r="G4025" s="178"/>
      <c r="H4025" s="177"/>
      <c r="I4025" s="177"/>
      <c r="J4025" s="179"/>
      <c r="K4025" s="183"/>
      <c r="L4025" s="176"/>
      <c r="M4025" s="177"/>
      <c r="N4025" s="21"/>
      <c r="O4025" s="45"/>
      <c r="P4025" s="24"/>
      <c r="Q4025" s="24"/>
      <c r="R4025" s="180"/>
      <c r="S4025" s="181"/>
      <c r="T4025" s="35"/>
      <c r="U4025" s="35"/>
      <c r="V4025" s="35"/>
      <c r="W4025" s="35"/>
      <c r="X4025" s="35"/>
      <c r="Y4025" s="182"/>
      <c r="Z4025" s="175"/>
      <c r="AA4025" s="182"/>
      <c r="AB4025" s="184"/>
    </row>
    <row r="4026" spans="1:28" ht="12.75">
      <c r="A4026" s="173"/>
      <c r="B4026" s="174"/>
      <c r="C4026" s="11"/>
      <c r="D4026" s="175"/>
      <c r="E4026" s="176"/>
      <c r="F4026" s="177"/>
      <c r="G4026" s="178"/>
      <c r="H4026" s="177"/>
      <c r="I4026" s="177"/>
      <c r="J4026" s="179"/>
      <c r="K4026" s="183"/>
      <c r="L4026" s="176"/>
      <c r="M4026" s="177"/>
      <c r="N4026" s="21"/>
      <c r="O4026" s="45"/>
      <c r="P4026" s="24"/>
      <c r="Q4026" s="24"/>
      <c r="R4026" s="180"/>
      <c r="S4026" s="181"/>
      <c r="T4026" s="35"/>
      <c r="U4026" s="35"/>
      <c r="V4026" s="35"/>
      <c r="W4026" s="35"/>
      <c r="X4026" s="35"/>
      <c r="Y4026" s="182"/>
      <c r="Z4026" s="175"/>
      <c r="AA4026" s="182"/>
      <c r="AB4026" s="184"/>
    </row>
    <row r="4027" spans="1:28" ht="12.75">
      <c r="A4027" s="173"/>
      <c r="B4027" s="174"/>
      <c r="C4027" s="11"/>
      <c r="D4027" s="175"/>
      <c r="E4027" s="176"/>
      <c r="F4027" s="177"/>
      <c r="G4027" s="178"/>
      <c r="H4027" s="177"/>
      <c r="I4027" s="177"/>
      <c r="J4027" s="179"/>
      <c r="K4027" s="183"/>
      <c r="L4027" s="176"/>
      <c r="M4027" s="177"/>
      <c r="N4027" s="21"/>
      <c r="O4027" s="45"/>
      <c r="P4027" s="24"/>
      <c r="Q4027" s="24"/>
      <c r="R4027" s="180"/>
      <c r="S4027" s="181"/>
      <c r="T4027" s="35"/>
      <c r="U4027" s="35"/>
      <c r="V4027" s="35"/>
      <c r="W4027" s="35"/>
      <c r="X4027" s="35"/>
      <c r="Y4027" s="182"/>
      <c r="Z4027" s="175"/>
      <c r="AA4027" s="182"/>
      <c r="AB4027" s="184"/>
    </row>
    <row r="4028" spans="1:28" ht="12.75">
      <c r="A4028" s="173"/>
      <c r="B4028" s="174"/>
      <c r="C4028" s="11"/>
      <c r="D4028" s="175"/>
      <c r="E4028" s="176"/>
      <c r="F4028" s="177"/>
      <c r="G4028" s="178"/>
      <c r="H4028" s="177"/>
      <c r="I4028" s="177"/>
      <c r="J4028" s="179"/>
      <c r="K4028" s="183"/>
      <c r="L4028" s="176"/>
      <c r="M4028" s="177"/>
      <c r="N4028" s="21"/>
      <c r="O4028" s="45"/>
      <c r="P4028" s="24"/>
      <c r="Q4028" s="24"/>
      <c r="R4028" s="180"/>
      <c r="S4028" s="181"/>
      <c r="T4028" s="35"/>
      <c r="U4028" s="35"/>
      <c r="V4028" s="35"/>
      <c r="W4028" s="35"/>
      <c r="X4028" s="35"/>
      <c r="Y4028" s="182"/>
      <c r="Z4028" s="175"/>
      <c r="AA4028" s="182"/>
      <c r="AB4028" s="184"/>
    </row>
    <row r="4029" spans="1:28" ht="12.75">
      <c r="A4029" s="173"/>
      <c r="B4029" s="174"/>
      <c r="C4029" s="11"/>
      <c r="D4029" s="175"/>
      <c r="E4029" s="176"/>
      <c r="F4029" s="177"/>
      <c r="G4029" s="178"/>
      <c r="H4029" s="177"/>
      <c r="I4029" s="177"/>
      <c r="J4029" s="179"/>
      <c r="K4029" s="183"/>
      <c r="L4029" s="176"/>
      <c r="M4029" s="177"/>
      <c r="N4029" s="21"/>
      <c r="O4029" s="45"/>
      <c r="P4029" s="24"/>
      <c r="Q4029" s="24"/>
      <c r="R4029" s="180"/>
      <c r="S4029" s="181"/>
      <c r="T4029" s="35"/>
      <c r="U4029" s="35"/>
      <c r="V4029" s="35"/>
      <c r="W4029" s="35"/>
      <c r="X4029" s="35"/>
      <c r="Y4029" s="182"/>
      <c r="Z4029" s="175"/>
      <c r="AA4029" s="182"/>
      <c r="AB4029" s="184"/>
    </row>
    <row r="4030" spans="1:28" ht="12.75">
      <c r="A4030" s="173"/>
      <c r="B4030" s="174"/>
      <c r="C4030" s="11"/>
      <c r="D4030" s="175"/>
      <c r="E4030" s="176"/>
      <c r="F4030" s="177"/>
      <c r="G4030" s="178"/>
      <c r="H4030" s="177"/>
      <c r="I4030" s="177"/>
      <c r="J4030" s="179"/>
      <c r="K4030" s="183"/>
      <c r="L4030" s="176"/>
      <c r="M4030" s="177"/>
      <c r="N4030" s="21"/>
      <c r="O4030" s="45"/>
      <c r="P4030" s="24"/>
      <c r="Q4030" s="24"/>
      <c r="R4030" s="180"/>
      <c r="S4030" s="181"/>
      <c r="T4030" s="35"/>
      <c r="U4030" s="35"/>
      <c r="V4030" s="35"/>
      <c r="W4030" s="35"/>
      <c r="X4030" s="35"/>
      <c r="Y4030" s="182"/>
      <c r="Z4030" s="175"/>
      <c r="AA4030" s="182"/>
      <c r="AB4030" s="184"/>
    </row>
    <row r="4031" spans="1:28" ht="12.75">
      <c r="A4031" s="173"/>
      <c r="B4031" s="174"/>
      <c r="C4031" s="11"/>
      <c r="D4031" s="175"/>
      <c r="E4031" s="176"/>
      <c r="F4031" s="177"/>
      <c r="G4031" s="178"/>
      <c r="H4031" s="177"/>
      <c r="I4031" s="177"/>
      <c r="J4031" s="179"/>
      <c r="K4031" s="183"/>
      <c r="L4031" s="176"/>
      <c r="M4031" s="177"/>
      <c r="N4031" s="21"/>
      <c r="O4031" s="45"/>
      <c r="P4031" s="24"/>
      <c r="Q4031" s="24"/>
      <c r="R4031" s="180"/>
      <c r="S4031" s="181"/>
      <c r="T4031" s="35"/>
      <c r="U4031" s="35"/>
      <c r="V4031" s="35"/>
      <c r="W4031" s="35"/>
      <c r="X4031" s="35"/>
      <c r="Y4031" s="182"/>
      <c r="Z4031" s="175"/>
      <c r="AA4031" s="182"/>
      <c r="AB4031" s="184"/>
    </row>
    <row r="4032" spans="1:28" ht="12.75">
      <c r="A4032" s="173"/>
      <c r="B4032" s="174"/>
      <c r="C4032" s="11"/>
      <c r="D4032" s="175"/>
      <c r="E4032" s="176"/>
      <c r="F4032" s="177"/>
      <c r="G4032" s="178"/>
      <c r="H4032" s="177"/>
      <c r="I4032" s="177"/>
      <c r="J4032" s="179"/>
      <c r="K4032" s="183"/>
      <c r="L4032" s="176"/>
      <c r="M4032" s="177"/>
      <c r="N4032" s="21"/>
      <c r="O4032" s="45"/>
      <c r="P4032" s="24"/>
      <c r="Q4032" s="24"/>
      <c r="R4032" s="180"/>
      <c r="S4032" s="181"/>
      <c r="T4032" s="35"/>
      <c r="U4032" s="35"/>
      <c r="V4032" s="35"/>
      <c r="W4032" s="35"/>
      <c r="X4032" s="35"/>
      <c r="Y4032" s="182"/>
      <c r="Z4032" s="175"/>
      <c r="AA4032" s="182"/>
      <c r="AB4032" s="184"/>
    </row>
    <row r="4033" spans="1:28" ht="12.75">
      <c r="A4033" s="173"/>
      <c r="B4033" s="174"/>
      <c r="C4033" s="11"/>
      <c r="D4033" s="175"/>
      <c r="E4033" s="176"/>
      <c r="F4033" s="177"/>
      <c r="G4033" s="178"/>
      <c r="H4033" s="177"/>
      <c r="I4033" s="177"/>
      <c r="J4033" s="179"/>
      <c r="K4033" s="183"/>
      <c r="L4033" s="176"/>
      <c r="M4033" s="177"/>
      <c r="N4033" s="21"/>
      <c r="O4033" s="45"/>
      <c r="P4033" s="24"/>
      <c r="Q4033" s="24"/>
      <c r="R4033" s="180"/>
      <c r="S4033" s="181"/>
      <c r="T4033" s="35"/>
      <c r="U4033" s="35"/>
      <c r="V4033" s="35"/>
      <c r="W4033" s="35"/>
      <c r="X4033" s="35"/>
      <c r="Y4033" s="182"/>
      <c r="Z4033" s="175"/>
      <c r="AA4033" s="182"/>
      <c r="AB4033" s="184"/>
    </row>
    <row r="4034" spans="1:28" ht="12.75">
      <c r="A4034" s="173"/>
      <c r="B4034" s="174"/>
      <c r="C4034" s="11"/>
      <c r="D4034" s="175"/>
      <c r="E4034" s="176"/>
      <c r="F4034" s="177"/>
      <c r="G4034" s="178"/>
      <c r="H4034" s="177"/>
      <c r="I4034" s="177"/>
      <c r="J4034" s="179"/>
      <c r="K4034" s="183"/>
      <c r="L4034" s="176"/>
      <c r="M4034" s="177"/>
      <c r="N4034" s="21"/>
      <c r="O4034" s="45"/>
      <c r="P4034" s="24"/>
      <c r="Q4034" s="24"/>
      <c r="R4034" s="180"/>
      <c r="S4034" s="181"/>
      <c r="T4034" s="35"/>
      <c r="U4034" s="35"/>
      <c r="V4034" s="35"/>
      <c r="W4034" s="35"/>
      <c r="X4034" s="35"/>
      <c r="Y4034" s="182"/>
      <c r="Z4034" s="175"/>
      <c r="AA4034" s="182"/>
      <c r="AB4034" s="184"/>
    </row>
    <row r="4035" spans="1:28" ht="12.75">
      <c r="A4035" s="173"/>
      <c r="B4035" s="174"/>
      <c r="C4035" s="11"/>
      <c r="D4035" s="175"/>
      <c r="E4035" s="176"/>
      <c r="F4035" s="177"/>
      <c r="G4035" s="178"/>
      <c r="H4035" s="177"/>
      <c r="I4035" s="177"/>
      <c r="J4035" s="179"/>
      <c r="K4035" s="183"/>
      <c r="L4035" s="176"/>
      <c r="M4035" s="177"/>
      <c r="N4035" s="21"/>
      <c r="O4035" s="45"/>
      <c r="P4035" s="24"/>
      <c r="Q4035" s="24"/>
      <c r="R4035" s="180"/>
      <c r="S4035" s="181"/>
      <c r="T4035" s="35"/>
      <c r="U4035" s="35"/>
      <c r="V4035" s="35"/>
      <c r="W4035" s="35"/>
      <c r="X4035" s="35"/>
      <c r="Y4035" s="182"/>
      <c r="Z4035" s="175"/>
      <c r="AA4035" s="182"/>
      <c r="AB4035" s="184"/>
    </row>
    <row r="4036" spans="1:28" ht="12.75">
      <c r="A4036" s="173"/>
      <c r="B4036" s="174"/>
      <c r="C4036" s="11"/>
      <c r="D4036" s="175"/>
      <c r="E4036" s="176"/>
      <c r="F4036" s="177"/>
      <c r="G4036" s="178"/>
      <c r="H4036" s="177"/>
      <c r="I4036" s="177"/>
      <c r="J4036" s="179"/>
      <c r="K4036" s="183"/>
      <c r="L4036" s="176"/>
      <c r="M4036" s="177"/>
      <c r="N4036" s="21"/>
      <c r="O4036" s="45"/>
      <c r="P4036" s="24"/>
      <c r="Q4036" s="24"/>
      <c r="R4036" s="180"/>
      <c r="S4036" s="181"/>
      <c r="T4036" s="35"/>
      <c r="U4036" s="35"/>
      <c r="V4036" s="35"/>
      <c r="W4036" s="35"/>
      <c r="X4036" s="35"/>
      <c r="Y4036" s="182"/>
      <c r="Z4036" s="175"/>
      <c r="AA4036" s="182"/>
      <c r="AB4036" s="184"/>
    </row>
    <row r="4037" spans="1:28" ht="12.75">
      <c r="A4037" s="173"/>
      <c r="B4037" s="174"/>
      <c r="C4037" s="11"/>
      <c r="D4037" s="175"/>
      <c r="E4037" s="176"/>
      <c r="F4037" s="177"/>
      <c r="G4037" s="178"/>
      <c r="H4037" s="177"/>
      <c r="I4037" s="177"/>
      <c r="J4037" s="179"/>
      <c r="K4037" s="183"/>
      <c r="L4037" s="176"/>
      <c r="M4037" s="177"/>
      <c r="N4037" s="21"/>
      <c r="O4037" s="45"/>
      <c r="P4037" s="24"/>
      <c r="Q4037" s="24"/>
      <c r="R4037" s="180"/>
      <c r="S4037" s="181"/>
      <c r="T4037" s="35"/>
      <c r="U4037" s="35"/>
      <c r="V4037" s="35"/>
      <c r="W4037" s="35"/>
      <c r="X4037" s="35"/>
      <c r="Y4037" s="182"/>
      <c r="Z4037" s="175"/>
      <c r="AA4037" s="182"/>
      <c r="AB4037" s="184"/>
    </row>
    <row r="4038" spans="1:28" ht="12.75">
      <c r="A4038" s="173"/>
      <c r="B4038" s="174"/>
      <c r="C4038" s="11"/>
      <c r="D4038" s="175"/>
      <c r="E4038" s="176"/>
      <c r="F4038" s="177"/>
      <c r="G4038" s="178"/>
      <c r="H4038" s="177"/>
      <c r="I4038" s="177"/>
      <c r="J4038" s="179"/>
      <c r="K4038" s="183"/>
      <c r="L4038" s="176"/>
      <c r="M4038" s="177"/>
      <c r="N4038" s="21"/>
      <c r="O4038" s="45"/>
      <c r="P4038" s="24"/>
      <c r="Q4038" s="24"/>
      <c r="R4038" s="180"/>
      <c r="S4038" s="181"/>
      <c r="T4038" s="35"/>
      <c r="U4038" s="35"/>
      <c r="V4038" s="35"/>
      <c r="W4038" s="35"/>
      <c r="X4038" s="35"/>
      <c r="Y4038" s="182"/>
      <c r="Z4038" s="175"/>
      <c r="AA4038" s="182"/>
      <c r="AB4038" s="184"/>
    </row>
    <row r="4039" spans="1:28" ht="12.75">
      <c r="A4039" s="173"/>
      <c r="B4039" s="174"/>
      <c r="C4039" s="11"/>
      <c r="D4039" s="175"/>
      <c r="E4039" s="176"/>
      <c r="F4039" s="177"/>
      <c r="G4039" s="178"/>
      <c r="H4039" s="177"/>
      <c r="I4039" s="177"/>
      <c r="J4039" s="179"/>
      <c r="K4039" s="183"/>
      <c r="L4039" s="176"/>
      <c r="M4039" s="177"/>
      <c r="N4039" s="21"/>
      <c r="O4039" s="45"/>
      <c r="P4039" s="24"/>
      <c r="Q4039" s="24"/>
      <c r="R4039" s="180"/>
      <c r="S4039" s="181"/>
      <c r="T4039" s="35"/>
      <c r="U4039" s="35"/>
      <c r="V4039" s="35"/>
      <c r="W4039" s="35"/>
      <c r="X4039" s="35"/>
      <c r="Y4039" s="182"/>
      <c r="Z4039" s="175"/>
      <c r="AA4039" s="182"/>
      <c r="AB4039" s="184"/>
    </row>
    <row r="4040" spans="1:28" ht="12.75">
      <c r="A4040" s="173"/>
      <c r="B4040" s="174"/>
      <c r="C4040" s="11"/>
      <c r="D4040" s="175"/>
      <c r="E4040" s="176"/>
      <c r="F4040" s="177"/>
      <c r="G4040" s="178"/>
      <c r="H4040" s="177"/>
      <c r="I4040" s="177"/>
      <c r="J4040" s="179"/>
      <c r="K4040" s="183"/>
      <c r="L4040" s="176"/>
      <c r="M4040" s="177"/>
      <c r="N4040" s="21"/>
      <c r="O4040" s="45"/>
      <c r="P4040" s="24"/>
      <c r="Q4040" s="24"/>
      <c r="R4040" s="180"/>
      <c r="S4040" s="181"/>
      <c r="T4040" s="35"/>
      <c r="U4040" s="35"/>
      <c r="V4040" s="35"/>
      <c r="W4040" s="35"/>
      <c r="X4040" s="35"/>
      <c r="Y4040" s="182"/>
      <c r="Z4040" s="175"/>
      <c r="AA4040" s="182"/>
      <c r="AB4040" s="184"/>
    </row>
    <row r="4041" spans="1:28" ht="12.75">
      <c r="A4041" s="173"/>
      <c r="B4041" s="174"/>
      <c r="C4041" s="11"/>
      <c r="D4041" s="175"/>
      <c r="E4041" s="176"/>
      <c r="F4041" s="177"/>
      <c r="G4041" s="178"/>
      <c r="H4041" s="177"/>
      <c r="I4041" s="177"/>
      <c r="J4041" s="179"/>
      <c r="K4041" s="183"/>
      <c r="L4041" s="176"/>
      <c r="M4041" s="177"/>
      <c r="N4041" s="21"/>
      <c r="O4041" s="45"/>
      <c r="P4041" s="24"/>
      <c r="Q4041" s="24"/>
      <c r="R4041" s="180"/>
      <c r="S4041" s="181"/>
      <c r="T4041" s="35"/>
      <c r="U4041" s="35"/>
      <c r="V4041" s="35"/>
      <c r="W4041" s="35"/>
      <c r="X4041" s="35"/>
      <c r="Y4041" s="182"/>
      <c r="Z4041" s="175"/>
      <c r="AA4041" s="182"/>
      <c r="AB4041" s="184"/>
    </row>
    <row r="4042" spans="1:28" ht="12.75">
      <c r="A4042" s="173"/>
      <c r="B4042" s="174"/>
      <c r="C4042" s="11"/>
      <c r="D4042" s="175"/>
      <c r="E4042" s="176"/>
      <c r="F4042" s="177"/>
      <c r="G4042" s="178"/>
      <c r="H4042" s="177"/>
      <c r="I4042" s="177"/>
      <c r="J4042" s="179"/>
      <c r="K4042" s="183"/>
      <c r="L4042" s="176"/>
      <c r="M4042" s="177"/>
      <c r="N4042" s="21"/>
      <c r="O4042" s="45"/>
      <c r="P4042" s="24"/>
      <c r="Q4042" s="24"/>
      <c r="R4042" s="180"/>
      <c r="S4042" s="181"/>
      <c r="T4042" s="35"/>
      <c r="U4042" s="35"/>
      <c r="V4042" s="35"/>
      <c r="W4042" s="35"/>
      <c r="X4042" s="35"/>
      <c r="Y4042" s="182"/>
      <c r="Z4042" s="175"/>
      <c r="AA4042" s="182"/>
      <c r="AB4042" s="184"/>
    </row>
    <row r="4043" spans="1:28" ht="12.75">
      <c r="A4043" s="173"/>
      <c r="B4043" s="174"/>
      <c r="C4043" s="11"/>
      <c r="D4043" s="175"/>
      <c r="E4043" s="176"/>
      <c r="F4043" s="177"/>
      <c r="G4043" s="178"/>
      <c r="H4043" s="177"/>
      <c r="I4043" s="177"/>
      <c r="J4043" s="179"/>
      <c r="K4043" s="183"/>
      <c r="L4043" s="176"/>
      <c r="M4043" s="177"/>
      <c r="N4043" s="21"/>
      <c r="O4043" s="45"/>
      <c r="P4043" s="24"/>
      <c r="Q4043" s="24"/>
      <c r="R4043" s="180"/>
      <c r="S4043" s="181"/>
      <c r="T4043" s="35"/>
      <c r="U4043" s="35"/>
      <c r="V4043" s="35"/>
      <c r="W4043" s="35"/>
      <c r="X4043" s="35"/>
      <c r="Y4043" s="182"/>
      <c r="Z4043" s="175"/>
      <c r="AA4043" s="182"/>
      <c r="AB4043" s="184"/>
    </row>
    <row r="4044" spans="1:28" ht="12.75">
      <c r="A4044" s="173"/>
      <c r="B4044" s="174"/>
      <c r="C4044" s="11"/>
      <c r="D4044" s="175"/>
      <c r="E4044" s="176"/>
      <c r="F4044" s="177"/>
      <c r="G4044" s="178"/>
      <c r="H4044" s="177"/>
      <c r="I4044" s="177"/>
      <c r="J4044" s="179"/>
      <c r="K4044" s="183"/>
      <c r="L4044" s="176"/>
      <c r="M4044" s="177"/>
      <c r="N4044" s="21"/>
      <c r="O4044" s="45"/>
      <c r="P4044" s="24"/>
      <c r="Q4044" s="24"/>
      <c r="R4044" s="180"/>
      <c r="S4044" s="181"/>
      <c r="T4044" s="35"/>
      <c r="U4044" s="35"/>
      <c r="V4044" s="35"/>
      <c r="W4044" s="35"/>
      <c r="X4044" s="35"/>
      <c r="Y4044" s="182"/>
      <c r="Z4044" s="175"/>
      <c r="AA4044" s="182"/>
      <c r="AB4044" s="184"/>
    </row>
    <row r="4045" spans="1:28" ht="12.75">
      <c r="A4045" s="173"/>
      <c r="B4045" s="174"/>
      <c r="C4045" s="11"/>
      <c r="D4045" s="175"/>
      <c r="E4045" s="176"/>
      <c r="F4045" s="177"/>
      <c r="G4045" s="178"/>
      <c r="H4045" s="177"/>
      <c r="I4045" s="177"/>
      <c r="J4045" s="179"/>
      <c r="K4045" s="183"/>
      <c r="L4045" s="176"/>
      <c r="M4045" s="177"/>
      <c r="N4045" s="21"/>
      <c r="O4045" s="45"/>
      <c r="P4045" s="24"/>
      <c r="Q4045" s="24"/>
      <c r="R4045" s="180"/>
      <c r="S4045" s="181"/>
      <c r="T4045" s="35"/>
      <c r="U4045" s="35"/>
      <c r="V4045" s="35"/>
      <c r="W4045" s="35"/>
      <c r="X4045" s="35"/>
      <c r="Y4045" s="182"/>
      <c r="Z4045" s="175"/>
      <c r="AA4045" s="182"/>
      <c r="AB4045" s="184"/>
    </row>
    <row r="4046" spans="1:28" ht="12.75">
      <c r="A4046" s="173"/>
      <c r="B4046" s="174"/>
      <c r="C4046" s="11"/>
      <c r="D4046" s="175"/>
      <c r="E4046" s="176"/>
      <c r="F4046" s="177"/>
      <c r="G4046" s="178"/>
      <c r="H4046" s="177"/>
      <c r="I4046" s="177"/>
      <c r="J4046" s="179"/>
      <c r="K4046" s="183"/>
      <c r="L4046" s="176"/>
      <c r="M4046" s="177"/>
      <c r="N4046" s="21"/>
      <c r="O4046" s="45"/>
      <c r="P4046" s="24"/>
      <c r="Q4046" s="24"/>
      <c r="R4046" s="180"/>
      <c r="S4046" s="181"/>
      <c r="T4046" s="35"/>
      <c r="U4046" s="35"/>
      <c r="V4046" s="35"/>
      <c r="W4046" s="35"/>
      <c r="X4046" s="35"/>
      <c r="Y4046" s="182"/>
      <c r="Z4046" s="175"/>
      <c r="AA4046" s="182"/>
      <c r="AB4046" s="184"/>
    </row>
    <row r="4047" spans="1:28" ht="12.75">
      <c r="A4047" s="173"/>
      <c r="B4047" s="174"/>
      <c r="C4047" s="11"/>
      <c r="D4047" s="175"/>
      <c r="E4047" s="176"/>
      <c r="F4047" s="177"/>
      <c r="G4047" s="178"/>
      <c r="H4047" s="177"/>
      <c r="I4047" s="177"/>
      <c r="J4047" s="179"/>
      <c r="K4047" s="183"/>
      <c r="L4047" s="176"/>
      <c r="M4047" s="177"/>
      <c r="N4047" s="21"/>
      <c r="O4047" s="45"/>
      <c r="P4047" s="24"/>
      <c r="Q4047" s="24"/>
      <c r="R4047" s="180"/>
      <c r="S4047" s="181"/>
      <c r="T4047" s="35"/>
      <c r="U4047" s="35"/>
      <c r="V4047" s="35"/>
      <c r="W4047" s="35"/>
      <c r="X4047" s="35"/>
      <c r="Y4047" s="182"/>
      <c r="Z4047" s="175"/>
      <c r="AA4047" s="182"/>
      <c r="AB4047" s="184"/>
    </row>
    <row r="4048" spans="1:28" ht="12.75">
      <c r="A4048" s="173"/>
      <c r="B4048" s="174"/>
      <c r="C4048" s="11"/>
      <c r="D4048" s="175"/>
      <c r="E4048" s="176"/>
      <c r="F4048" s="177"/>
      <c r="G4048" s="178"/>
      <c r="H4048" s="177"/>
      <c r="I4048" s="177"/>
      <c r="J4048" s="179"/>
      <c r="K4048" s="183"/>
      <c r="L4048" s="176"/>
      <c r="M4048" s="177"/>
      <c r="N4048" s="21"/>
      <c r="O4048" s="45"/>
      <c r="P4048" s="24"/>
      <c r="Q4048" s="24"/>
      <c r="R4048" s="180"/>
      <c r="S4048" s="181"/>
      <c r="T4048" s="35"/>
      <c r="U4048" s="35"/>
      <c r="V4048" s="35"/>
      <c r="W4048" s="35"/>
      <c r="X4048" s="35"/>
      <c r="Y4048" s="182"/>
      <c r="Z4048" s="175"/>
      <c r="AA4048" s="182"/>
      <c r="AB4048" s="184"/>
    </row>
    <row r="4049" spans="1:28" ht="12.75">
      <c r="A4049" s="173"/>
      <c r="B4049" s="174"/>
      <c r="C4049" s="11"/>
      <c r="D4049" s="175"/>
      <c r="E4049" s="176"/>
      <c r="F4049" s="177"/>
      <c r="G4049" s="178"/>
      <c r="H4049" s="177"/>
      <c r="I4049" s="177"/>
      <c r="J4049" s="179"/>
      <c r="K4049" s="183"/>
      <c r="L4049" s="176"/>
      <c r="M4049" s="177"/>
      <c r="N4049" s="21"/>
      <c r="O4049" s="45"/>
      <c r="P4049" s="24"/>
      <c r="Q4049" s="24"/>
      <c r="R4049" s="180"/>
      <c r="S4049" s="181"/>
      <c r="T4049" s="35"/>
      <c r="U4049" s="35"/>
      <c r="V4049" s="35"/>
      <c r="W4049" s="35"/>
      <c r="X4049" s="35"/>
      <c r="Y4049" s="182"/>
      <c r="Z4049" s="175"/>
      <c r="AA4049" s="182"/>
      <c r="AB4049" s="184"/>
    </row>
    <row r="4050" spans="1:28" ht="12.75">
      <c r="A4050" s="173"/>
      <c r="B4050" s="174"/>
      <c r="C4050" s="11"/>
      <c r="D4050" s="175"/>
      <c r="E4050" s="176"/>
      <c r="F4050" s="177"/>
      <c r="G4050" s="178"/>
      <c r="H4050" s="177"/>
      <c r="I4050" s="177"/>
      <c r="J4050" s="179"/>
      <c r="K4050" s="183"/>
      <c r="L4050" s="176"/>
      <c r="M4050" s="177"/>
      <c r="N4050" s="21"/>
      <c r="O4050" s="45"/>
      <c r="P4050" s="24"/>
      <c r="Q4050" s="24"/>
      <c r="R4050" s="180"/>
      <c r="S4050" s="181"/>
      <c r="T4050" s="35"/>
      <c r="U4050" s="35"/>
      <c r="V4050" s="35"/>
      <c r="W4050" s="35"/>
      <c r="X4050" s="35"/>
      <c r="Y4050" s="182"/>
      <c r="Z4050" s="175"/>
      <c r="AA4050" s="182"/>
      <c r="AB4050" s="184"/>
    </row>
    <row r="4051" spans="1:28" ht="12.75">
      <c r="A4051" s="173"/>
      <c r="B4051" s="174"/>
      <c r="C4051" s="11"/>
      <c r="D4051" s="175"/>
      <c r="E4051" s="176"/>
      <c r="F4051" s="177"/>
      <c r="G4051" s="178"/>
      <c r="H4051" s="177"/>
      <c r="I4051" s="177"/>
      <c r="J4051" s="179"/>
      <c r="K4051" s="183"/>
      <c r="L4051" s="176"/>
      <c r="M4051" s="177"/>
      <c r="N4051" s="21"/>
      <c r="O4051" s="45"/>
      <c r="P4051" s="24"/>
      <c r="Q4051" s="24"/>
      <c r="R4051" s="180"/>
      <c r="S4051" s="181"/>
      <c r="T4051" s="35"/>
      <c r="U4051" s="35"/>
      <c r="V4051" s="35"/>
      <c r="W4051" s="35"/>
      <c r="X4051" s="35"/>
      <c r="Y4051" s="182"/>
      <c r="Z4051" s="175"/>
      <c r="AA4051" s="182"/>
      <c r="AB4051" s="184"/>
    </row>
    <row r="4052" spans="1:28" ht="12.75">
      <c r="A4052" s="173"/>
      <c r="B4052" s="174"/>
      <c r="C4052" s="11"/>
      <c r="D4052" s="175"/>
      <c r="E4052" s="176"/>
      <c r="F4052" s="177"/>
      <c r="G4052" s="178"/>
      <c r="H4052" s="177"/>
      <c r="I4052" s="177"/>
      <c r="J4052" s="179"/>
      <c r="K4052" s="183"/>
      <c r="L4052" s="176"/>
      <c r="M4052" s="177"/>
      <c r="N4052" s="21"/>
      <c r="O4052" s="45"/>
      <c r="P4052" s="24"/>
      <c r="Q4052" s="24"/>
      <c r="R4052" s="180"/>
      <c r="S4052" s="181"/>
      <c r="T4052" s="35"/>
      <c r="U4052" s="35"/>
      <c r="V4052" s="35"/>
      <c r="W4052" s="35"/>
      <c r="X4052" s="35"/>
      <c r="Y4052" s="182"/>
      <c r="Z4052" s="175"/>
      <c r="AA4052" s="182"/>
      <c r="AB4052" s="184"/>
    </row>
    <row r="4053" spans="1:28" ht="12.75">
      <c r="A4053" s="173"/>
      <c r="B4053" s="174"/>
      <c r="C4053" s="11"/>
      <c r="D4053" s="175"/>
      <c r="E4053" s="176"/>
      <c r="F4053" s="177"/>
      <c r="G4053" s="178"/>
      <c r="H4053" s="177"/>
      <c r="I4053" s="177"/>
      <c r="J4053" s="179"/>
      <c r="K4053" s="183"/>
      <c r="L4053" s="176"/>
      <c r="M4053" s="177"/>
      <c r="N4053" s="21"/>
      <c r="O4053" s="45"/>
      <c r="P4053" s="24"/>
      <c r="Q4053" s="24"/>
      <c r="R4053" s="180"/>
      <c r="S4053" s="181"/>
      <c r="T4053" s="35"/>
      <c r="U4053" s="35"/>
      <c r="V4053" s="35"/>
      <c r="W4053" s="35"/>
      <c r="X4053" s="35"/>
      <c r="Y4053" s="182"/>
      <c r="Z4053" s="175"/>
      <c r="AA4053" s="182"/>
      <c r="AB4053" s="184"/>
    </row>
    <row r="4054" spans="1:28" ht="12.75">
      <c r="A4054" s="173"/>
      <c r="B4054" s="174"/>
      <c r="C4054" s="11"/>
      <c r="D4054" s="175"/>
      <c r="E4054" s="176"/>
      <c r="F4054" s="177"/>
      <c r="G4054" s="178"/>
      <c r="H4054" s="177"/>
      <c r="I4054" s="177"/>
      <c r="J4054" s="179"/>
      <c r="K4054" s="183"/>
      <c r="L4054" s="176"/>
      <c r="M4054" s="177"/>
      <c r="N4054" s="21"/>
      <c r="O4054" s="45"/>
      <c r="P4054" s="24"/>
      <c r="Q4054" s="24"/>
      <c r="R4054" s="180"/>
      <c r="S4054" s="181"/>
      <c r="T4054" s="35"/>
      <c r="U4054" s="35"/>
      <c r="V4054" s="35"/>
      <c r="W4054" s="35"/>
      <c r="X4054" s="35"/>
      <c r="Y4054" s="182"/>
      <c r="Z4054" s="175"/>
      <c r="AA4054" s="182"/>
      <c r="AB4054" s="184"/>
    </row>
    <row r="4055" spans="1:28" ht="12.75">
      <c r="A4055" s="173"/>
      <c r="B4055" s="174"/>
      <c r="C4055" s="11"/>
      <c r="D4055" s="175"/>
      <c r="E4055" s="176"/>
      <c r="F4055" s="177"/>
      <c r="G4055" s="178"/>
      <c r="H4055" s="177"/>
      <c r="I4055" s="177"/>
      <c r="J4055" s="179"/>
      <c r="K4055" s="183"/>
      <c r="L4055" s="176"/>
      <c r="M4055" s="177"/>
      <c r="N4055" s="21"/>
      <c r="O4055" s="45"/>
      <c r="P4055" s="24"/>
      <c r="Q4055" s="24"/>
      <c r="R4055" s="180"/>
      <c r="S4055" s="181"/>
      <c r="T4055" s="35"/>
      <c r="U4055" s="35"/>
      <c r="V4055" s="35"/>
      <c r="W4055" s="35"/>
      <c r="X4055" s="35"/>
      <c r="Y4055" s="182"/>
      <c r="Z4055" s="175"/>
      <c r="AA4055" s="182"/>
      <c r="AB4055" s="184"/>
    </row>
    <row r="4056" spans="1:28" ht="12.75">
      <c r="A4056" s="173"/>
      <c r="B4056" s="174"/>
      <c r="C4056" s="11"/>
      <c r="D4056" s="175"/>
      <c r="E4056" s="176"/>
      <c r="F4056" s="177"/>
      <c r="G4056" s="178"/>
      <c r="H4056" s="177"/>
      <c r="I4056" s="177"/>
      <c r="J4056" s="179"/>
      <c r="K4056" s="183"/>
      <c r="L4056" s="176"/>
      <c r="M4056" s="177"/>
      <c r="N4056" s="21"/>
      <c r="O4056" s="45"/>
      <c r="P4056" s="24"/>
      <c r="Q4056" s="24"/>
      <c r="R4056" s="180"/>
      <c r="S4056" s="181"/>
      <c r="T4056" s="35"/>
      <c r="U4056" s="35"/>
      <c r="V4056" s="35"/>
      <c r="W4056" s="35"/>
      <c r="X4056" s="35"/>
      <c r="Y4056" s="182"/>
      <c r="Z4056" s="175"/>
      <c r="AA4056" s="182"/>
      <c r="AB4056" s="184"/>
    </row>
    <row r="4057" spans="1:28" ht="12.75">
      <c r="A4057" s="173"/>
      <c r="B4057" s="174"/>
      <c r="C4057" s="11"/>
      <c r="D4057" s="175"/>
      <c r="E4057" s="176"/>
      <c r="F4057" s="177"/>
      <c r="G4057" s="178"/>
      <c r="H4057" s="177"/>
      <c r="I4057" s="177"/>
      <c r="J4057" s="179"/>
      <c r="K4057" s="183"/>
      <c r="L4057" s="176"/>
      <c r="M4057" s="177"/>
      <c r="N4057" s="21"/>
      <c r="O4057" s="45"/>
      <c r="P4057" s="24"/>
      <c r="Q4057" s="24"/>
      <c r="R4057" s="180"/>
      <c r="S4057" s="181"/>
      <c r="T4057" s="35"/>
      <c r="U4057" s="35"/>
      <c r="V4057" s="35"/>
      <c r="W4057" s="35"/>
      <c r="X4057" s="35"/>
      <c r="Y4057" s="182"/>
      <c r="Z4057" s="175"/>
      <c r="AA4057" s="182"/>
      <c r="AB4057" s="184"/>
    </row>
    <row r="4058" spans="1:28" ht="12.75">
      <c r="A4058" s="173"/>
      <c r="B4058" s="174"/>
      <c r="C4058" s="11"/>
      <c r="D4058" s="175"/>
      <c r="E4058" s="176"/>
      <c r="F4058" s="177"/>
      <c r="G4058" s="178"/>
      <c r="H4058" s="177"/>
      <c r="I4058" s="177"/>
      <c r="J4058" s="179"/>
      <c r="K4058" s="183"/>
      <c r="L4058" s="176"/>
      <c r="M4058" s="177"/>
      <c r="N4058" s="21"/>
      <c r="O4058" s="45"/>
      <c r="P4058" s="24"/>
      <c r="Q4058" s="24"/>
      <c r="R4058" s="180"/>
      <c r="S4058" s="181"/>
      <c r="T4058" s="35"/>
      <c r="U4058" s="35"/>
      <c r="V4058" s="35"/>
      <c r="W4058" s="35"/>
      <c r="X4058" s="35"/>
      <c r="Y4058" s="182"/>
      <c r="Z4058" s="175"/>
      <c r="AA4058" s="182"/>
      <c r="AB4058" s="184"/>
    </row>
    <row r="4059" spans="1:28" ht="12.75">
      <c r="A4059" s="173"/>
      <c r="B4059" s="174"/>
      <c r="C4059" s="11"/>
      <c r="D4059" s="175"/>
      <c r="E4059" s="176"/>
      <c r="F4059" s="177"/>
      <c r="G4059" s="178"/>
      <c r="H4059" s="177"/>
      <c r="I4059" s="177"/>
      <c r="J4059" s="179"/>
      <c r="K4059" s="183"/>
      <c r="L4059" s="176"/>
      <c r="M4059" s="177"/>
      <c r="N4059" s="21"/>
      <c r="O4059" s="45"/>
      <c r="P4059" s="24"/>
      <c r="Q4059" s="24"/>
      <c r="R4059" s="180"/>
      <c r="S4059" s="181"/>
      <c r="T4059" s="35"/>
      <c r="U4059" s="35"/>
      <c r="V4059" s="35"/>
      <c r="W4059" s="35"/>
      <c r="X4059" s="35"/>
      <c r="Y4059" s="182"/>
      <c r="Z4059" s="175"/>
      <c r="AA4059" s="182"/>
      <c r="AB4059" s="184"/>
    </row>
    <row r="4060" spans="1:28" ht="12.75">
      <c r="A4060" s="173"/>
      <c r="B4060" s="174"/>
      <c r="C4060" s="11"/>
      <c r="D4060" s="175"/>
      <c r="E4060" s="176"/>
      <c r="F4060" s="177"/>
      <c r="G4060" s="178"/>
      <c r="H4060" s="177"/>
      <c r="I4060" s="177"/>
      <c r="J4060" s="179"/>
      <c r="K4060" s="183"/>
      <c r="L4060" s="176"/>
      <c r="M4060" s="177"/>
      <c r="N4060" s="21"/>
      <c r="O4060" s="45"/>
      <c r="P4060" s="24"/>
      <c r="Q4060" s="24"/>
      <c r="R4060" s="180"/>
      <c r="S4060" s="181"/>
      <c r="T4060" s="35"/>
      <c r="U4060" s="35"/>
      <c r="V4060" s="35"/>
      <c r="W4060" s="35"/>
      <c r="X4060" s="35"/>
      <c r="Y4060" s="182"/>
      <c r="Z4060" s="175"/>
      <c r="AA4060" s="182"/>
      <c r="AB4060" s="184"/>
    </row>
    <row r="4061" spans="1:28" ht="12.75">
      <c r="A4061" s="173"/>
      <c r="B4061" s="174"/>
      <c r="C4061" s="11"/>
      <c r="D4061" s="175"/>
      <c r="E4061" s="176"/>
      <c r="F4061" s="177"/>
      <c r="G4061" s="178"/>
      <c r="H4061" s="177"/>
      <c r="I4061" s="177"/>
      <c r="J4061" s="179"/>
      <c r="K4061" s="183"/>
      <c r="L4061" s="176"/>
      <c r="M4061" s="177"/>
      <c r="N4061" s="21"/>
      <c r="O4061" s="45"/>
      <c r="P4061" s="24"/>
      <c r="Q4061" s="24"/>
      <c r="R4061" s="180"/>
      <c r="S4061" s="181"/>
      <c r="T4061" s="35"/>
      <c r="U4061" s="35"/>
      <c r="V4061" s="35"/>
      <c r="W4061" s="35"/>
      <c r="X4061" s="35"/>
      <c r="Y4061" s="182"/>
      <c r="Z4061" s="175"/>
      <c r="AA4061" s="182"/>
      <c r="AB4061" s="184"/>
    </row>
    <row r="4062" spans="1:28" ht="12.75">
      <c r="A4062" s="173"/>
      <c r="B4062" s="174"/>
      <c r="C4062" s="11"/>
      <c r="D4062" s="175"/>
      <c r="E4062" s="176"/>
      <c r="F4062" s="177"/>
      <c r="G4062" s="178"/>
      <c r="H4062" s="177"/>
      <c r="I4062" s="177"/>
      <c r="J4062" s="179"/>
      <c r="K4062" s="183"/>
      <c r="L4062" s="176"/>
      <c r="M4062" s="177"/>
      <c r="N4062" s="21"/>
      <c r="O4062" s="45"/>
      <c r="P4062" s="24"/>
      <c r="Q4062" s="24"/>
      <c r="R4062" s="180"/>
      <c r="S4062" s="181"/>
      <c r="T4062" s="35"/>
      <c r="U4062" s="35"/>
      <c r="V4062" s="35"/>
      <c r="W4062" s="35"/>
      <c r="X4062" s="35"/>
      <c r="Y4062" s="182"/>
      <c r="Z4062" s="175"/>
      <c r="AA4062" s="182"/>
      <c r="AB4062" s="184"/>
    </row>
    <row r="4063" spans="1:28" ht="12.75">
      <c r="A4063" s="173"/>
      <c r="B4063" s="174"/>
      <c r="C4063" s="11"/>
      <c r="D4063" s="175"/>
      <c r="E4063" s="176"/>
      <c r="F4063" s="177"/>
      <c r="G4063" s="178"/>
      <c r="H4063" s="177"/>
      <c r="I4063" s="177"/>
      <c r="J4063" s="179"/>
      <c r="K4063" s="183"/>
      <c r="L4063" s="176"/>
      <c r="M4063" s="177"/>
      <c r="N4063" s="21"/>
      <c r="O4063" s="45"/>
      <c r="P4063" s="24"/>
      <c r="Q4063" s="24"/>
      <c r="R4063" s="180"/>
      <c r="S4063" s="181"/>
      <c r="T4063" s="35"/>
      <c r="U4063" s="35"/>
      <c r="V4063" s="35"/>
      <c r="W4063" s="35"/>
      <c r="X4063" s="35"/>
      <c r="Y4063" s="182"/>
      <c r="Z4063" s="175"/>
      <c r="AA4063" s="182"/>
      <c r="AB4063" s="184"/>
    </row>
    <row r="4064" spans="1:28" ht="12.75">
      <c r="A4064" s="173"/>
      <c r="B4064" s="174"/>
      <c r="C4064" s="11"/>
      <c r="D4064" s="175"/>
      <c r="E4064" s="176"/>
      <c r="F4064" s="177"/>
      <c r="G4064" s="178"/>
      <c r="H4064" s="177"/>
      <c r="I4064" s="177"/>
      <c r="J4064" s="179"/>
      <c r="K4064" s="183"/>
      <c r="L4064" s="176"/>
      <c r="M4064" s="177"/>
      <c r="N4064" s="21"/>
      <c r="O4064" s="45"/>
      <c r="P4064" s="24"/>
      <c r="Q4064" s="24"/>
      <c r="R4064" s="180"/>
      <c r="S4064" s="181"/>
      <c r="T4064" s="35"/>
      <c r="U4064" s="35"/>
      <c r="V4064" s="35"/>
      <c r="W4064" s="35"/>
      <c r="X4064" s="35"/>
      <c r="Y4064" s="182"/>
      <c r="Z4064" s="175"/>
      <c r="AA4064" s="182"/>
      <c r="AB4064" s="184"/>
    </row>
    <row r="4065" spans="1:28" ht="12.75">
      <c r="A4065" s="173"/>
      <c r="B4065" s="174"/>
      <c r="C4065" s="11"/>
      <c r="D4065" s="175"/>
      <c r="E4065" s="176"/>
      <c r="F4065" s="177"/>
      <c r="G4065" s="178"/>
      <c r="H4065" s="177"/>
      <c r="I4065" s="177"/>
      <c r="J4065" s="179"/>
      <c r="K4065" s="183"/>
      <c r="L4065" s="176"/>
      <c r="M4065" s="177"/>
      <c r="N4065" s="21"/>
      <c r="O4065" s="45"/>
      <c r="P4065" s="24"/>
      <c r="Q4065" s="24"/>
      <c r="R4065" s="180"/>
      <c r="S4065" s="181"/>
      <c r="T4065" s="35"/>
      <c r="U4065" s="35"/>
      <c r="V4065" s="35"/>
      <c r="W4065" s="35"/>
      <c r="X4065" s="35"/>
      <c r="Y4065" s="182"/>
      <c r="Z4065" s="175"/>
      <c r="AA4065" s="182"/>
      <c r="AB4065" s="184"/>
    </row>
    <row r="4066" spans="1:28" ht="12.75">
      <c r="A4066" s="173"/>
      <c r="B4066" s="174"/>
      <c r="C4066" s="11"/>
      <c r="D4066" s="175"/>
      <c r="E4066" s="176"/>
      <c r="F4066" s="177"/>
      <c r="G4066" s="178"/>
      <c r="H4066" s="177"/>
      <c r="I4066" s="177"/>
      <c r="J4066" s="179"/>
      <c r="K4066" s="183"/>
      <c r="L4066" s="176"/>
      <c r="M4066" s="177"/>
      <c r="N4066" s="21"/>
      <c r="O4066" s="45"/>
      <c r="P4066" s="24"/>
      <c r="Q4066" s="24"/>
      <c r="R4066" s="180"/>
      <c r="S4066" s="181"/>
      <c r="T4066" s="35"/>
      <c r="U4066" s="35"/>
      <c r="V4066" s="35"/>
      <c r="W4066" s="35"/>
      <c r="X4066" s="35"/>
      <c r="Y4066" s="182"/>
      <c r="Z4066" s="175"/>
      <c r="AA4066" s="182"/>
      <c r="AB4066" s="184"/>
    </row>
    <row r="4067" spans="1:28" ht="12.75">
      <c r="A4067" s="173"/>
      <c r="B4067" s="174"/>
      <c r="C4067" s="11"/>
      <c r="D4067" s="175"/>
      <c r="E4067" s="176"/>
      <c r="F4067" s="177"/>
      <c r="G4067" s="178"/>
      <c r="H4067" s="177"/>
      <c r="I4067" s="177"/>
      <c r="J4067" s="179"/>
      <c r="K4067" s="183"/>
      <c r="L4067" s="176"/>
      <c r="M4067" s="177"/>
      <c r="N4067" s="21"/>
      <c r="O4067" s="45"/>
      <c r="P4067" s="24"/>
      <c r="Q4067" s="24"/>
      <c r="R4067" s="180"/>
      <c r="S4067" s="181"/>
      <c r="T4067" s="35"/>
      <c r="U4067" s="35"/>
      <c r="V4067" s="35"/>
      <c r="W4067" s="35"/>
      <c r="X4067" s="35"/>
      <c r="Y4067" s="182"/>
      <c r="Z4067" s="175"/>
      <c r="AA4067" s="182"/>
      <c r="AB4067" s="184"/>
    </row>
    <row r="4068" spans="1:28" ht="12.75">
      <c r="A4068" s="173"/>
      <c r="B4068" s="174"/>
      <c r="C4068" s="11"/>
      <c r="D4068" s="175"/>
      <c r="E4068" s="176"/>
      <c r="F4068" s="177"/>
      <c r="G4068" s="178"/>
      <c r="H4068" s="177"/>
      <c r="I4068" s="177"/>
      <c r="J4068" s="179"/>
      <c r="K4068" s="183"/>
      <c r="L4068" s="176"/>
      <c r="M4068" s="177"/>
      <c r="N4068" s="21"/>
      <c r="O4068" s="45"/>
      <c r="P4068" s="24"/>
      <c r="Q4068" s="24"/>
      <c r="R4068" s="180"/>
      <c r="S4068" s="181"/>
      <c r="T4068" s="35"/>
      <c r="U4068" s="35"/>
      <c r="V4068" s="35"/>
      <c r="W4068" s="35"/>
      <c r="X4068" s="35"/>
      <c r="Y4068" s="182"/>
      <c r="Z4068" s="175"/>
      <c r="AA4068" s="182"/>
      <c r="AB4068" s="184"/>
    </row>
    <row r="4069" spans="1:28" ht="12.75">
      <c r="A4069" s="173"/>
      <c r="B4069" s="174"/>
      <c r="C4069" s="11"/>
      <c r="D4069" s="175"/>
      <c r="E4069" s="176"/>
      <c r="F4069" s="177"/>
      <c r="G4069" s="178"/>
      <c r="H4069" s="177"/>
      <c r="I4069" s="177"/>
      <c r="J4069" s="179"/>
      <c r="K4069" s="183"/>
      <c r="L4069" s="176"/>
      <c r="M4069" s="177"/>
      <c r="N4069" s="21"/>
      <c r="O4069" s="45"/>
      <c r="P4069" s="24"/>
      <c r="Q4069" s="24"/>
      <c r="R4069" s="180"/>
      <c r="S4069" s="181"/>
      <c r="T4069" s="35"/>
      <c r="U4069" s="35"/>
      <c r="V4069" s="35"/>
      <c r="W4069" s="35"/>
      <c r="X4069" s="35"/>
      <c r="Y4069" s="182"/>
      <c r="Z4069" s="175"/>
      <c r="AA4069" s="182"/>
      <c r="AB4069" s="184"/>
    </row>
    <row r="4070" spans="1:28" ht="12.75">
      <c r="A4070" s="173"/>
      <c r="B4070" s="174"/>
      <c r="C4070" s="11"/>
      <c r="D4070" s="175"/>
      <c r="E4070" s="176"/>
      <c r="F4070" s="177"/>
      <c r="G4070" s="178"/>
      <c r="H4070" s="177"/>
      <c r="I4070" s="177"/>
      <c r="J4070" s="179"/>
      <c r="K4070" s="183"/>
      <c r="L4070" s="176"/>
      <c r="M4070" s="177"/>
      <c r="N4070" s="21"/>
      <c r="O4070" s="45"/>
      <c r="P4070" s="24"/>
      <c r="Q4070" s="24"/>
      <c r="R4070" s="180"/>
      <c r="S4070" s="181"/>
      <c r="T4070" s="35"/>
      <c r="U4070" s="35"/>
      <c r="V4070" s="35"/>
      <c r="W4070" s="35"/>
      <c r="X4070" s="35"/>
      <c r="Y4070" s="182"/>
      <c r="Z4070" s="175"/>
      <c r="AA4070" s="182"/>
      <c r="AB4070" s="184"/>
    </row>
    <row r="4071" spans="1:28" ht="12.75">
      <c r="A4071" s="173"/>
      <c r="B4071" s="174"/>
      <c r="C4071" s="11"/>
      <c r="D4071" s="175"/>
      <c r="E4071" s="176"/>
      <c r="F4071" s="177"/>
      <c r="G4071" s="178"/>
      <c r="H4071" s="177"/>
      <c r="I4071" s="177"/>
      <c r="J4071" s="179"/>
      <c r="K4071" s="183"/>
      <c r="L4071" s="176"/>
      <c r="M4071" s="177"/>
      <c r="N4071" s="21"/>
      <c r="O4071" s="45"/>
      <c r="P4071" s="24"/>
      <c r="Q4071" s="24"/>
      <c r="R4071" s="180"/>
      <c r="S4071" s="181"/>
      <c r="T4071" s="35"/>
      <c r="U4071" s="35"/>
      <c r="V4071" s="35"/>
      <c r="W4071" s="35"/>
      <c r="X4071" s="35"/>
      <c r="Y4071" s="182"/>
      <c r="Z4071" s="175"/>
      <c r="AA4071" s="182"/>
      <c r="AB4071" s="184"/>
    </row>
    <row r="4072" spans="1:28" ht="12.75">
      <c r="A4072" s="173"/>
      <c r="B4072" s="174"/>
      <c r="C4072" s="11"/>
      <c r="D4072" s="175"/>
      <c r="E4072" s="176"/>
      <c r="F4072" s="177"/>
      <c r="G4072" s="178"/>
      <c r="H4072" s="177"/>
      <c r="I4072" s="177"/>
      <c r="J4072" s="179"/>
      <c r="K4072" s="183"/>
      <c r="L4072" s="176"/>
      <c r="M4072" s="177"/>
      <c r="N4072" s="21"/>
      <c r="O4072" s="45"/>
      <c r="P4072" s="24"/>
      <c r="Q4072" s="24"/>
      <c r="R4072" s="180"/>
      <c r="S4072" s="181"/>
      <c r="T4072" s="35"/>
      <c r="U4072" s="35"/>
      <c r="V4072" s="35"/>
      <c r="W4072" s="35"/>
      <c r="X4072" s="35"/>
      <c r="Y4072" s="182"/>
      <c r="Z4072" s="175"/>
      <c r="AA4072" s="182"/>
      <c r="AB4072" s="184"/>
    </row>
    <row r="4073" spans="1:28" ht="12.75">
      <c r="A4073" s="173"/>
      <c r="B4073" s="174"/>
      <c r="C4073" s="11"/>
      <c r="D4073" s="175"/>
      <c r="E4073" s="176"/>
      <c r="F4073" s="177"/>
      <c r="G4073" s="178"/>
      <c r="H4073" s="177"/>
      <c r="I4073" s="177"/>
      <c r="J4073" s="179"/>
      <c r="K4073" s="183"/>
      <c r="L4073" s="176"/>
      <c r="M4073" s="177"/>
      <c r="N4073" s="21"/>
      <c r="O4073" s="45"/>
      <c r="P4073" s="24"/>
      <c r="Q4073" s="24"/>
      <c r="R4073" s="180"/>
      <c r="S4073" s="181"/>
      <c r="T4073" s="35"/>
      <c r="U4073" s="35"/>
      <c r="V4073" s="35"/>
      <c r="W4073" s="35"/>
      <c r="X4073" s="35"/>
      <c r="Y4073" s="182"/>
      <c r="Z4073" s="175"/>
      <c r="AA4073" s="182"/>
      <c r="AB4073" s="184"/>
    </row>
    <row r="4074" spans="1:28" ht="12.75">
      <c r="A4074" s="173"/>
      <c r="B4074" s="174"/>
      <c r="C4074" s="11"/>
      <c r="D4074" s="175"/>
      <c r="E4074" s="176"/>
      <c r="F4074" s="177"/>
      <c r="G4074" s="178"/>
      <c r="H4074" s="177"/>
      <c r="I4074" s="177"/>
      <c r="J4074" s="179"/>
      <c r="K4074" s="183"/>
      <c r="L4074" s="176"/>
      <c r="M4074" s="177"/>
      <c r="N4074" s="21"/>
      <c r="O4074" s="45"/>
      <c r="P4074" s="24"/>
      <c r="Q4074" s="24"/>
      <c r="R4074" s="180"/>
      <c r="S4074" s="181"/>
      <c r="T4074" s="35"/>
      <c r="U4074" s="35"/>
      <c r="V4074" s="35"/>
      <c r="W4074" s="35"/>
      <c r="X4074" s="35"/>
      <c r="Y4074" s="182"/>
      <c r="Z4074" s="175"/>
      <c r="AA4074" s="182"/>
      <c r="AB4074" s="184"/>
    </row>
    <row r="4075" spans="1:28" ht="12.75">
      <c r="A4075" s="173"/>
      <c r="B4075" s="174"/>
      <c r="C4075" s="11"/>
      <c r="D4075" s="175"/>
      <c r="E4075" s="176"/>
      <c r="F4075" s="177"/>
      <c r="G4075" s="178"/>
      <c r="H4075" s="177"/>
      <c r="I4075" s="177"/>
      <c r="J4075" s="179"/>
      <c r="K4075" s="183"/>
      <c r="L4075" s="176"/>
      <c r="M4075" s="177"/>
      <c r="N4075" s="21"/>
      <c r="O4075" s="45"/>
      <c r="P4075" s="24"/>
      <c r="Q4075" s="24"/>
      <c r="R4075" s="180"/>
      <c r="S4075" s="181"/>
      <c r="T4075" s="35"/>
      <c r="U4075" s="35"/>
      <c r="V4075" s="35"/>
      <c r="W4075" s="35"/>
      <c r="X4075" s="35"/>
      <c r="Y4075" s="182"/>
      <c r="Z4075" s="175"/>
      <c r="AA4075" s="182"/>
      <c r="AB4075" s="184"/>
    </row>
    <row r="4076" spans="1:28" ht="12.75">
      <c r="A4076" s="173"/>
      <c r="B4076" s="174"/>
      <c r="C4076" s="11"/>
      <c r="D4076" s="175"/>
      <c r="E4076" s="176"/>
      <c r="F4076" s="177"/>
      <c r="G4076" s="178"/>
      <c r="H4076" s="177"/>
      <c r="I4076" s="177"/>
      <c r="J4076" s="179"/>
      <c r="K4076" s="183"/>
      <c r="L4076" s="176"/>
      <c r="M4076" s="177"/>
      <c r="N4076" s="21"/>
      <c r="O4076" s="45"/>
      <c r="P4076" s="24"/>
      <c r="Q4076" s="24"/>
      <c r="R4076" s="180"/>
      <c r="S4076" s="181"/>
      <c r="T4076" s="35"/>
      <c r="U4076" s="35"/>
      <c r="V4076" s="35"/>
      <c r="W4076" s="35"/>
      <c r="X4076" s="35"/>
      <c r="Y4076" s="182"/>
      <c r="Z4076" s="175"/>
      <c r="AA4076" s="182"/>
      <c r="AB4076" s="184"/>
    </row>
    <row r="4077" spans="1:28" ht="12.75">
      <c r="A4077" s="173"/>
      <c r="B4077" s="174"/>
      <c r="C4077" s="11"/>
      <c r="D4077" s="175"/>
      <c r="E4077" s="176"/>
      <c r="F4077" s="177"/>
      <c r="G4077" s="178"/>
      <c r="H4077" s="177"/>
      <c r="I4077" s="177"/>
      <c r="J4077" s="179"/>
      <c r="K4077" s="183"/>
      <c r="L4077" s="176"/>
      <c r="M4077" s="177"/>
      <c r="N4077" s="21"/>
      <c r="O4077" s="45"/>
      <c r="P4077" s="24"/>
      <c r="Q4077" s="24"/>
      <c r="R4077" s="180"/>
      <c r="S4077" s="181"/>
      <c r="T4077" s="35"/>
      <c r="U4077" s="35"/>
      <c r="V4077" s="35"/>
      <c r="W4077" s="35"/>
      <c r="X4077" s="35"/>
      <c r="Y4077" s="182"/>
      <c r="Z4077" s="175"/>
      <c r="AA4077" s="182"/>
      <c r="AB4077" s="184"/>
    </row>
    <row r="4078" spans="1:28" ht="12.75">
      <c r="A4078" s="173"/>
      <c r="B4078" s="174"/>
      <c r="C4078" s="11"/>
      <c r="D4078" s="175"/>
      <c r="E4078" s="176"/>
      <c r="F4078" s="177"/>
      <c r="G4078" s="178"/>
      <c r="H4078" s="177"/>
      <c r="I4078" s="177"/>
      <c r="J4078" s="179"/>
      <c r="K4078" s="183"/>
      <c r="L4078" s="176"/>
      <c r="M4078" s="177"/>
      <c r="N4078" s="21"/>
      <c r="O4078" s="45"/>
      <c r="P4078" s="24"/>
      <c r="Q4078" s="24"/>
      <c r="R4078" s="180"/>
      <c r="S4078" s="181"/>
      <c r="T4078" s="35"/>
      <c r="U4078" s="35"/>
      <c r="V4078" s="35"/>
      <c r="W4078" s="35"/>
      <c r="X4078" s="35"/>
      <c r="Y4078" s="182"/>
      <c r="Z4078" s="175"/>
      <c r="AA4078" s="182"/>
      <c r="AB4078" s="184"/>
    </row>
    <row r="4079" spans="1:28" ht="12.75">
      <c r="A4079" s="173"/>
      <c r="B4079" s="174"/>
      <c r="C4079" s="11"/>
      <c r="D4079" s="175"/>
      <c r="E4079" s="176"/>
      <c r="F4079" s="177"/>
      <c r="G4079" s="178"/>
      <c r="H4079" s="177"/>
      <c r="I4079" s="177"/>
      <c r="J4079" s="179"/>
      <c r="K4079" s="183"/>
      <c r="L4079" s="176"/>
      <c r="M4079" s="177"/>
      <c r="N4079" s="21"/>
      <c r="O4079" s="45"/>
      <c r="P4079" s="24"/>
      <c r="Q4079" s="24"/>
      <c r="R4079" s="180"/>
      <c r="S4079" s="181"/>
      <c r="T4079" s="35"/>
      <c r="U4079" s="35"/>
      <c r="V4079" s="35"/>
      <c r="W4079" s="35"/>
      <c r="X4079" s="35"/>
      <c r="Y4079" s="182"/>
      <c r="Z4079" s="175"/>
      <c r="AA4079" s="182"/>
      <c r="AB4079" s="184"/>
    </row>
    <row r="4080" spans="1:28" ht="12.75">
      <c r="A4080" s="173"/>
      <c r="B4080" s="174"/>
      <c r="C4080" s="11"/>
      <c r="D4080" s="175"/>
      <c r="E4080" s="176"/>
      <c r="F4080" s="177"/>
      <c r="G4080" s="178"/>
      <c r="H4080" s="177"/>
      <c r="I4080" s="177"/>
      <c r="J4080" s="179"/>
      <c r="K4080" s="183"/>
      <c r="L4080" s="176"/>
      <c r="M4080" s="177"/>
      <c r="N4080" s="21"/>
      <c r="O4080" s="45"/>
      <c r="P4080" s="24"/>
      <c r="Q4080" s="24"/>
      <c r="R4080" s="180"/>
      <c r="S4080" s="181"/>
      <c r="T4080" s="35"/>
      <c r="U4080" s="35"/>
      <c r="V4080" s="35"/>
      <c r="W4080" s="35"/>
      <c r="X4080" s="35"/>
      <c r="Y4080" s="182"/>
      <c r="Z4080" s="175"/>
      <c r="AA4080" s="182"/>
      <c r="AB4080" s="184"/>
    </row>
    <row r="4081" spans="1:28" ht="12.75">
      <c r="A4081" s="173"/>
      <c r="B4081" s="174"/>
      <c r="C4081" s="11"/>
      <c r="D4081" s="175"/>
      <c r="E4081" s="176"/>
      <c r="F4081" s="177"/>
      <c r="G4081" s="178"/>
      <c r="H4081" s="177"/>
      <c r="I4081" s="177"/>
      <c r="J4081" s="179"/>
      <c r="K4081" s="183"/>
      <c r="L4081" s="176"/>
      <c r="M4081" s="177"/>
      <c r="N4081" s="21"/>
      <c r="O4081" s="45"/>
      <c r="P4081" s="24"/>
      <c r="Q4081" s="24"/>
      <c r="R4081" s="180"/>
      <c r="S4081" s="181"/>
      <c r="T4081" s="35"/>
      <c r="U4081" s="35"/>
      <c r="V4081" s="35"/>
      <c r="W4081" s="35"/>
      <c r="X4081" s="35"/>
      <c r="Y4081" s="182"/>
      <c r="Z4081" s="175"/>
      <c r="AA4081" s="182"/>
      <c r="AB4081" s="184"/>
    </row>
    <row r="4082" spans="1:28" ht="12.75">
      <c r="A4082" s="173"/>
      <c r="B4082" s="174"/>
      <c r="C4082" s="11"/>
      <c r="D4082" s="175"/>
      <c r="E4082" s="176"/>
      <c r="F4082" s="177"/>
      <c r="G4082" s="178"/>
      <c r="H4082" s="177"/>
      <c r="I4082" s="177"/>
      <c r="J4082" s="179"/>
      <c r="K4082" s="183"/>
      <c r="L4082" s="176"/>
      <c r="M4082" s="177"/>
      <c r="N4082" s="21"/>
      <c r="O4082" s="45"/>
      <c r="P4082" s="24"/>
      <c r="Q4082" s="24"/>
      <c r="R4082" s="180"/>
      <c r="S4082" s="181"/>
      <c r="T4082" s="35"/>
      <c r="U4082" s="35"/>
      <c r="V4082" s="35"/>
      <c r="W4082" s="35"/>
      <c r="X4082" s="35"/>
      <c r="Y4082" s="182"/>
      <c r="Z4082" s="175"/>
      <c r="AA4082" s="182"/>
      <c r="AB4082" s="184"/>
    </row>
    <row r="4083" spans="1:28" ht="12.75">
      <c r="A4083" s="173"/>
      <c r="B4083" s="174"/>
      <c r="C4083" s="11"/>
      <c r="D4083" s="175"/>
      <c r="E4083" s="176"/>
      <c r="F4083" s="177"/>
      <c r="G4083" s="178"/>
      <c r="H4083" s="177"/>
      <c r="I4083" s="177"/>
      <c r="J4083" s="179"/>
      <c r="K4083" s="183"/>
      <c r="L4083" s="176"/>
      <c r="M4083" s="177"/>
      <c r="N4083" s="21"/>
      <c r="O4083" s="45"/>
      <c r="P4083" s="24"/>
      <c r="Q4083" s="24"/>
      <c r="R4083" s="180"/>
      <c r="S4083" s="181"/>
      <c r="T4083" s="35"/>
      <c r="U4083" s="35"/>
      <c r="V4083" s="35"/>
      <c r="W4083" s="35"/>
      <c r="X4083" s="35"/>
      <c r="Y4083" s="182"/>
      <c r="Z4083" s="175"/>
      <c r="AA4083" s="182"/>
      <c r="AB4083" s="184"/>
    </row>
    <row r="4084" spans="1:28" ht="12.75">
      <c r="A4084" s="173"/>
      <c r="B4084" s="174"/>
      <c r="C4084" s="11"/>
      <c r="D4084" s="175"/>
      <c r="E4084" s="176"/>
      <c r="F4084" s="177"/>
      <c r="G4084" s="178"/>
      <c r="H4084" s="177"/>
      <c r="I4084" s="177"/>
      <c r="J4084" s="179"/>
      <c r="K4084" s="183"/>
      <c r="L4084" s="176"/>
      <c r="M4084" s="177"/>
      <c r="N4084" s="21"/>
      <c r="O4084" s="45"/>
      <c r="P4084" s="24"/>
      <c r="Q4084" s="24"/>
      <c r="R4084" s="180"/>
      <c r="S4084" s="181"/>
      <c r="T4084" s="35"/>
      <c r="U4084" s="35"/>
      <c r="V4084" s="35"/>
      <c r="W4084" s="35"/>
      <c r="X4084" s="35"/>
      <c r="Y4084" s="182"/>
      <c r="Z4084" s="175"/>
      <c r="AA4084" s="182"/>
      <c r="AB4084" s="184"/>
    </row>
    <row r="4085" spans="1:28" ht="12.75">
      <c r="A4085" s="173"/>
      <c r="B4085" s="174"/>
      <c r="C4085" s="11"/>
      <c r="D4085" s="175"/>
      <c r="E4085" s="176"/>
      <c r="F4085" s="177"/>
      <c r="G4085" s="178"/>
      <c r="H4085" s="177"/>
      <c r="I4085" s="177"/>
      <c r="J4085" s="179"/>
      <c r="K4085" s="183"/>
      <c r="L4085" s="176"/>
      <c r="M4085" s="177"/>
      <c r="N4085" s="21"/>
      <c r="O4085" s="45"/>
      <c r="P4085" s="24"/>
      <c r="Q4085" s="24"/>
      <c r="R4085" s="180"/>
      <c r="S4085" s="181"/>
      <c r="T4085" s="35"/>
      <c r="U4085" s="35"/>
      <c r="V4085" s="35"/>
      <c r="W4085" s="35"/>
      <c r="X4085" s="35"/>
      <c r="Y4085" s="182"/>
      <c r="Z4085" s="175"/>
      <c r="AA4085" s="182"/>
      <c r="AB4085" s="184"/>
    </row>
    <row r="4086" spans="1:28" ht="12.75">
      <c r="A4086" s="173"/>
      <c r="B4086" s="174"/>
      <c r="C4086" s="11"/>
      <c r="D4086" s="175"/>
      <c r="E4086" s="176"/>
      <c r="F4086" s="177"/>
      <c r="G4086" s="178"/>
      <c r="H4086" s="177"/>
      <c r="I4086" s="177"/>
      <c r="J4086" s="179"/>
      <c r="K4086" s="183"/>
      <c r="L4086" s="176"/>
      <c r="M4086" s="177"/>
      <c r="N4086" s="21"/>
      <c r="O4086" s="45"/>
      <c r="P4086" s="24"/>
      <c r="Q4086" s="24"/>
      <c r="R4086" s="180"/>
      <c r="S4086" s="181"/>
      <c r="T4086" s="35"/>
      <c r="U4086" s="35"/>
      <c r="V4086" s="35"/>
      <c r="W4086" s="35"/>
      <c r="X4086" s="35"/>
      <c r="Y4086" s="182"/>
      <c r="Z4086" s="175"/>
      <c r="AA4086" s="182"/>
      <c r="AB4086" s="184"/>
    </row>
    <row r="4087" spans="1:28" ht="12.75">
      <c r="A4087" s="173"/>
      <c r="B4087" s="174"/>
      <c r="C4087" s="11"/>
      <c r="D4087" s="175"/>
      <c r="E4087" s="176"/>
      <c r="F4087" s="177"/>
      <c r="G4087" s="178"/>
      <c r="H4087" s="177"/>
      <c r="I4087" s="177"/>
      <c r="J4087" s="179"/>
      <c r="K4087" s="183"/>
      <c r="L4087" s="176"/>
      <c r="M4087" s="177"/>
      <c r="N4087" s="21"/>
      <c r="O4087" s="45"/>
      <c r="P4087" s="24"/>
      <c r="Q4087" s="24"/>
      <c r="R4087" s="180"/>
      <c r="S4087" s="181"/>
      <c r="T4087" s="35"/>
      <c r="U4087" s="35"/>
      <c r="V4087" s="35"/>
      <c r="W4087" s="35"/>
      <c r="X4087" s="35"/>
      <c r="Y4087" s="182"/>
      <c r="Z4087" s="175"/>
      <c r="AA4087" s="182"/>
      <c r="AB4087" s="184"/>
    </row>
    <row r="4088" spans="1:28" ht="12.75">
      <c r="A4088" s="173"/>
      <c r="B4088" s="174"/>
      <c r="C4088" s="11"/>
      <c r="D4088" s="175"/>
      <c r="E4088" s="176"/>
      <c r="F4088" s="177"/>
      <c r="G4088" s="178"/>
      <c r="H4088" s="177"/>
      <c r="I4088" s="177"/>
      <c r="J4088" s="179"/>
      <c r="K4088" s="183"/>
      <c r="L4088" s="176"/>
      <c r="M4088" s="177"/>
      <c r="N4088" s="21"/>
      <c r="O4088" s="45"/>
      <c r="P4088" s="24"/>
      <c r="Q4088" s="24"/>
      <c r="R4088" s="180"/>
      <c r="S4088" s="181"/>
      <c r="T4088" s="35"/>
      <c r="U4088" s="35"/>
      <c r="V4088" s="35"/>
      <c r="W4088" s="35"/>
      <c r="X4088" s="35"/>
      <c r="Y4088" s="182"/>
      <c r="Z4088" s="175"/>
      <c r="AA4088" s="182"/>
      <c r="AB4088" s="184"/>
    </row>
    <row r="4089" spans="1:28" ht="12.75">
      <c r="A4089" s="173"/>
      <c r="B4089" s="174"/>
      <c r="C4089" s="11"/>
      <c r="D4089" s="175"/>
      <c r="E4089" s="176"/>
      <c r="F4089" s="177"/>
      <c r="G4089" s="178"/>
      <c r="H4089" s="177"/>
      <c r="I4089" s="177"/>
      <c r="J4089" s="179"/>
      <c r="K4089" s="183"/>
      <c r="L4089" s="176"/>
      <c r="M4089" s="177"/>
      <c r="N4089" s="21"/>
      <c r="O4089" s="45"/>
      <c r="P4089" s="24"/>
      <c r="Q4089" s="24"/>
      <c r="R4089" s="180"/>
      <c r="S4089" s="181"/>
      <c r="T4089" s="35"/>
      <c r="U4089" s="35"/>
      <c r="V4089" s="35"/>
      <c r="W4089" s="35"/>
      <c r="X4089" s="35"/>
      <c r="Y4089" s="182"/>
      <c r="Z4089" s="175"/>
      <c r="AA4089" s="182"/>
      <c r="AB4089" s="184"/>
    </row>
    <row r="4090" spans="1:28" ht="12.75">
      <c r="A4090" s="173"/>
      <c r="B4090" s="174"/>
      <c r="C4090" s="11"/>
      <c r="D4090" s="175"/>
      <c r="E4090" s="176"/>
      <c r="F4090" s="177"/>
      <c r="G4090" s="178"/>
      <c r="H4090" s="177"/>
      <c r="I4090" s="177"/>
      <c r="J4090" s="179"/>
      <c r="K4090" s="183"/>
      <c r="L4090" s="176"/>
      <c r="M4090" s="177"/>
      <c r="N4090" s="21"/>
      <c r="O4090" s="45"/>
      <c r="P4090" s="24"/>
      <c r="Q4090" s="24"/>
      <c r="R4090" s="180"/>
      <c r="S4090" s="181"/>
      <c r="T4090" s="35"/>
      <c r="U4090" s="35"/>
      <c r="V4090" s="35"/>
      <c r="W4090" s="35"/>
      <c r="X4090" s="35"/>
      <c r="Y4090" s="182"/>
      <c r="Z4090" s="175"/>
      <c r="AA4090" s="182"/>
      <c r="AB4090" s="184"/>
    </row>
    <row r="4091" spans="1:28" ht="12.75">
      <c r="A4091" s="173"/>
      <c r="B4091" s="174"/>
      <c r="C4091" s="11"/>
      <c r="D4091" s="175"/>
      <c r="E4091" s="176"/>
      <c r="F4091" s="177"/>
      <c r="G4091" s="178"/>
      <c r="H4091" s="177"/>
      <c r="I4091" s="177"/>
      <c r="J4091" s="179"/>
      <c r="K4091" s="183"/>
      <c r="L4091" s="176"/>
      <c r="M4091" s="177"/>
      <c r="N4091" s="21"/>
      <c r="O4091" s="45"/>
      <c r="P4091" s="24"/>
      <c r="Q4091" s="24"/>
      <c r="R4091" s="180"/>
      <c r="S4091" s="181"/>
      <c r="T4091" s="35"/>
      <c r="U4091" s="35"/>
      <c r="V4091" s="35"/>
      <c r="W4091" s="35"/>
      <c r="X4091" s="35"/>
      <c r="Y4091" s="182"/>
      <c r="Z4091" s="175"/>
      <c r="AA4091" s="182"/>
      <c r="AB4091" s="184"/>
    </row>
    <row r="4092" spans="1:28" ht="12.75">
      <c r="A4092" s="173"/>
      <c r="B4092" s="174"/>
      <c r="C4092" s="11"/>
      <c r="D4092" s="175"/>
      <c r="E4092" s="176"/>
      <c r="F4092" s="177"/>
      <c r="G4092" s="178"/>
      <c r="H4092" s="177"/>
      <c r="I4092" s="177"/>
      <c r="J4092" s="179"/>
      <c r="K4092" s="183"/>
      <c r="L4092" s="176"/>
      <c r="M4092" s="177"/>
      <c r="N4092" s="21"/>
      <c r="O4092" s="45"/>
      <c r="P4092" s="24"/>
      <c r="Q4092" s="24"/>
      <c r="R4092" s="180"/>
      <c r="S4092" s="181"/>
      <c r="T4092" s="35"/>
      <c r="U4092" s="35"/>
      <c r="V4092" s="35"/>
      <c r="W4092" s="35"/>
      <c r="X4092" s="35"/>
      <c r="Y4092" s="182"/>
      <c r="Z4092" s="175"/>
      <c r="AA4092" s="182"/>
      <c r="AB4092" s="184"/>
    </row>
    <row r="4093" spans="1:28" ht="12.75">
      <c r="A4093" s="173"/>
      <c r="B4093" s="174"/>
      <c r="C4093" s="11"/>
      <c r="D4093" s="175"/>
      <c r="E4093" s="176"/>
      <c r="F4093" s="177"/>
      <c r="G4093" s="178"/>
      <c r="H4093" s="177"/>
      <c r="I4093" s="177"/>
      <c r="J4093" s="179"/>
      <c r="K4093" s="183"/>
      <c r="L4093" s="176"/>
      <c r="M4093" s="177"/>
      <c r="N4093" s="21"/>
      <c r="O4093" s="45"/>
      <c r="P4093" s="24"/>
      <c r="Q4093" s="24"/>
      <c r="R4093" s="180"/>
      <c r="S4093" s="181"/>
      <c r="T4093" s="35"/>
      <c r="U4093" s="35"/>
      <c r="V4093" s="35"/>
      <c r="W4093" s="35"/>
      <c r="X4093" s="35"/>
      <c r="Y4093" s="182"/>
      <c r="Z4093" s="175"/>
      <c r="AA4093" s="182"/>
      <c r="AB4093" s="184"/>
    </row>
    <row r="4094" spans="1:28" ht="12.75">
      <c r="A4094" s="173"/>
      <c r="B4094" s="174"/>
      <c r="C4094" s="11"/>
      <c r="D4094" s="175"/>
      <c r="E4094" s="176"/>
      <c r="F4094" s="177"/>
      <c r="G4094" s="178"/>
      <c r="H4094" s="177"/>
      <c r="I4094" s="177"/>
      <c r="J4094" s="179"/>
      <c r="K4094" s="183"/>
      <c r="L4094" s="176"/>
      <c r="M4094" s="177"/>
      <c r="N4094" s="21"/>
      <c r="O4094" s="45"/>
      <c r="P4094" s="24"/>
      <c r="Q4094" s="24"/>
      <c r="R4094" s="180"/>
      <c r="S4094" s="181"/>
      <c r="T4094" s="35"/>
      <c r="U4094" s="35"/>
      <c r="V4094" s="35"/>
      <c r="W4094" s="35"/>
      <c r="X4094" s="35"/>
      <c r="Y4094" s="182"/>
      <c r="Z4094" s="175"/>
      <c r="AA4094" s="182"/>
      <c r="AB4094" s="184"/>
    </row>
    <row r="4095" spans="1:28" ht="12.75">
      <c r="A4095" s="173"/>
      <c r="B4095" s="174"/>
      <c r="C4095" s="11"/>
      <c r="D4095" s="175"/>
      <c r="E4095" s="176"/>
      <c r="F4095" s="177"/>
      <c r="G4095" s="178"/>
      <c r="H4095" s="177"/>
      <c r="I4095" s="177"/>
      <c r="J4095" s="179"/>
      <c r="K4095" s="183"/>
      <c r="L4095" s="176"/>
      <c r="M4095" s="177"/>
      <c r="N4095" s="21"/>
      <c r="O4095" s="45"/>
      <c r="P4095" s="24"/>
      <c r="Q4095" s="24"/>
      <c r="R4095" s="180"/>
      <c r="S4095" s="181"/>
      <c r="T4095" s="35"/>
      <c r="U4095" s="35"/>
      <c r="V4095" s="35"/>
      <c r="W4095" s="35"/>
      <c r="X4095" s="35"/>
      <c r="Y4095" s="182"/>
      <c r="Z4095" s="175"/>
      <c r="AA4095" s="182"/>
      <c r="AB4095" s="184"/>
    </row>
    <row r="4096" spans="1:28" ht="12.75">
      <c r="A4096" s="173"/>
      <c r="B4096" s="174"/>
      <c r="C4096" s="11"/>
      <c r="D4096" s="175"/>
      <c r="E4096" s="176"/>
      <c r="F4096" s="177"/>
      <c r="G4096" s="178"/>
      <c r="H4096" s="177"/>
      <c r="I4096" s="177"/>
      <c r="J4096" s="179"/>
      <c r="K4096" s="183"/>
      <c r="L4096" s="176"/>
      <c r="M4096" s="177"/>
      <c r="N4096" s="21"/>
      <c r="O4096" s="45"/>
      <c r="P4096" s="24"/>
      <c r="Q4096" s="24"/>
      <c r="R4096" s="180"/>
      <c r="S4096" s="181"/>
      <c r="T4096" s="35"/>
      <c r="U4096" s="35"/>
      <c r="V4096" s="35"/>
      <c r="W4096" s="35"/>
      <c r="X4096" s="35"/>
      <c r="Y4096" s="182"/>
      <c r="Z4096" s="175"/>
      <c r="AA4096" s="182"/>
      <c r="AB4096" s="184"/>
    </row>
    <row r="4097" spans="1:28" ht="12.75">
      <c r="A4097" s="173"/>
      <c r="B4097" s="174"/>
      <c r="C4097" s="11"/>
      <c r="D4097" s="175"/>
      <c r="E4097" s="176"/>
      <c r="F4097" s="177"/>
      <c r="G4097" s="178"/>
      <c r="H4097" s="177"/>
      <c r="I4097" s="177"/>
      <c r="J4097" s="179"/>
      <c r="K4097" s="183"/>
      <c r="L4097" s="176"/>
      <c r="M4097" s="177"/>
      <c r="N4097" s="21"/>
      <c r="O4097" s="45"/>
      <c r="P4097" s="24"/>
      <c r="Q4097" s="24"/>
      <c r="R4097" s="180"/>
      <c r="S4097" s="181"/>
      <c r="T4097" s="35"/>
      <c r="U4097" s="35"/>
      <c r="V4097" s="35"/>
      <c r="W4097" s="35"/>
      <c r="X4097" s="35"/>
      <c r="Y4097" s="182"/>
      <c r="Z4097" s="175"/>
      <c r="AA4097" s="182"/>
      <c r="AB4097" s="184"/>
    </row>
    <row r="4098" spans="1:28" ht="12.75">
      <c r="A4098" s="173"/>
      <c r="B4098" s="174"/>
      <c r="C4098" s="11"/>
      <c r="D4098" s="175"/>
      <c r="E4098" s="176"/>
      <c r="F4098" s="177"/>
      <c r="G4098" s="178"/>
      <c r="H4098" s="177"/>
      <c r="I4098" s="177"/>
      <c r="J4098" s="179"/>
      <c r="K4098" s="183"/>
      <c r="L4098" s="176"/>
      <c r="M4098" s="177"/>
      <c r="N4098" s="21"/>
      <c r="O4098" s="45"/>
      <c r="P4098" s="24"/>
      <c r="Q4098" s="24"/>
      <c r="R4098" s="180"/>
      <c r="S4098" s="181"/>
      <c r="T4098" s="35"/>
      <c r="U4098" s="35"/>
      <c r="V4098" s="35"/>
      <c r="W4098" s="35"/>
      <c r="X4098" s="35"/>
      <c r="Y4098" s="182"/>
      <c r="Z4098" s="175"/>
      <c r="AA4098" s="182"/>
      <c r="AB4098" s="184"/>
    </row>
    <row r="4099" spans="1:28" ht="12.75">
      <c r="A4099" s="173"/>
      <c r="B4099" s="174"/>
      <c r="C4099" s="11"/>
      <c r="D4099" s="175"/>
      <c r="E4099" s="176"/>
      <c r="F4099" s="177"/>
      <c r="G4099" s="178"/>
      <c r="H4099" s="177"/>
      <c r="I4099" s="177"/>
      <c r="J4099" s="179"/>
      <c r="K4099" s="183"/>
      <c r="L4099" s="176"/>
      <c r="M4099" s="177"/>
      <c r="N4099" s="21"/>
      <c r="O4099" s="45"/>
      <c r="P4099" s="24"/>
      <c r="Q4099" s="24"/>
      <c r="R4099" s="180"/>
      <c r="S4099" s="181"/>
      <c r="T4099" s="35"/>
      <c r="U4099" s="35"/>
      <c r="V4099" s="35"/>
      <c r="W4099" s="35"/>
      <c r="X4099" s="35"/>
      <c r="Y4099" s="182"/>
      <c r="Z4099" s="175"/>
      <c r="AA4099" s="182"/>
      <c r="AB4099" s="184"/>
    </row>
    <row r="4100" spans="1:28" ht="12.75">
      <c r="A4100" s="173"/>
      <c r="B4100" s="174"/>
      <c r="C4100" s="11"/>
      <c r="D4100" s="175"/>
      <c r="E4100" s="176"/>
      <c r="F4100" s="177"/>
      <c r="G4100" s="178"/>
      <c r="H4100" s="177"/>
      <c r="I4100" s="177"/>
      <c r="J4100" s="179"/>
      <c r="K4100" s="183"/>
      <c r="L4100" s="176"/>
      <c r="M4100" s="177"/>
      <c r="N4100" s="21"/>
      <c r="O4100" s="45"/>
      <c r="P4100" s="24"/>
      <c r="Q4100" s="24"/>
      <c r="R4100" s="180"/>
      <c r="S4100" s="181"/>
      <c r="T4100" s="35"/>
      <c r="U4100" s="35"/>
      <c r="V4100" s="35"/>
      <c r="W4100" s="35"/>
      <c r="X4100" s="35"/>
      <c r="Y4100" s="182"/>
      <c r="Z4100" s="175"/>
      <c r="AA4100" s="182"/>
      <c r="AB4100" s="184"/>
    </row>
    <row r="4101" spans="1:28" ht="12.75">
      <c r="A4101" s="173"/>
      <c r="B4101" s="174"/>
      <c r="C4101" s="11"/>
      <c r="D4101" s="175"/>
      <c r="E4101" s="176"/>
      <c r="F4101" s="177"/>
      <c r="G4101" s="178"/>
      <c r="H4101" s="177"/>
      <c r="I4101" s="177"/>
      <c r="J4101" s="179"/>
      <c r="K4101" s="183"/>
      <c r="L4101" s="176"/>
      <c r="M4101" s="177"/>
      <c r="N4101" s="21"/>
      <c r="O4101" s="45"/>
      <c r="P4101" s="24"/>
      <c r="Q4101" s="24"/>
      <c r="R4101" s="180"/>
      <c r="S4101" s="181"/>
      <c r="T4101" s="35"/>
      <c r="U4101" s="35"/>
      <c r="V4101" s="35"/>
      <c r="W4101" s="35"/>
      <c r="X4101" s="35"/>
      <c r="Y4101" s="182"/>
      <c r="Z4101" s="175"/>
      <c r="AA4101" s="182"/>
      <c r="AB4101" s="184"/>
    </row>
    <row r="4102" spans="1:28" ht="12.75">
      <c r="A4102" s="173"/>
      <c r="B4102" s="174"/>
      <c r="C4102" s="11"/>
      <c r="D4102" s="175"/>
      <c r="E4102" s="176"/>
      <c r="F4102" s="177"/>
      <c r="G4102" s="178"/>
      <c r="H4102" s="177"/>
      <c r="I4102" s="177"/>
      <c r="J4102" s="179"/>
      <c r="K4102" s="183"/>
      <c r="L4102" s="176"/>
      <c r="M4102" s="177"/>
      <c r="N4102" s="21"/>
      <c r="O4102" s="45"/>
      <c r="P4102" s="24"/>
      <c r="Q4102" s="24"/>
      <c r="R4102" s="180"/>
      <c r="S4102" s="181"/>
      <c r="T4102" s="35"/>
      <c r="U4102" s="35"/>
      <c r="V4102" s="35"/>
      <c r="W4102" s="35"/>
      <c r="X4102" s="35"/>
      <c r="Y4102" s="182"/>
      <c r="Z4102" s="175"/>
      <c r="AA4102" s="182"/>
      <c r="AB4102" s="184"/>
    </row>
    <row r="4103" spans="1:28" ht="12.75">
      <c r="A4103" s="173"/>
      <c r="B4103" s="174"/>
      <c r="C4103" s="11"/>
      <c r="D4103" s="175"/>
      <c r="E4103" s="176"/>
      <c r="F4103" s="177"/>
      <c r="G4103" s="178"/>
      <c r="H4103" s="177"/>
      <c r="I4103" s="177"/>
      <c r="J4103" s="179"/>
      <c r="K4103" s="183"/>
      <c r="L4103" s="176"/>
      <c r="M4103" s="177"/>
      <c r="N4103" s="21"/>
      <c r="O4103" s="45"/>
      <c r="P4103" s="24"/>
      <c r="Q4103" s="24"/>
      <c r="R4103" s="180"/>
      <c r="S4103" s="181"/>
      <c r="T4103" s="35"/>
      <c r="U4103" s="35"/>
      <c r="V4103" s="35"/>
      <c r="W4103" s="35"/>
      <c r="X4103" s="35"/>
      <c r="Y4103" s="182"/>
      <c r="Z4103" s="175"/>
      <c r="AA4103" s="182"/>
      <c r="AB4103" s="184"/>
    </row>
    <row r="4104" spans="1:28" ht="12.75">
      <c r="A4104" s="173"/>
      <c r="B4104" s="174"/>
      <c r="C4104" s="11"/>
      <c r="D4104" s="175"/>
      <c r="E4104" s="176"/>
      <c r="F4104" s="177"/>
      <c r="G4104" s="178"/>
      <c r="H4104" s="177"/>
      <c r="I4104" s="177"/>
      <c r="J4104" s="179"/>
      <c r="K4104" s="183"/>
      <c r="L4104" s="176"/>
      <c r="M4104" s="177"/>
      <c r="N4104" s="21"/>
      <c r="O4104" s="45"/>
      <c r="P4104" s="24"/>
      <c r="Q4104" s="24"/>
      <c r="R4104" s="180"/>
      <c r="S4104" s="181"/>
      <c r="T4104" s="35"/>
      <c r="U4104" s="35"/>
      <c r="V4104" s="35"/>
      <c r="W4104" s="35"/>
      <c r="X4104" s="35"/>
      <c r="Y4104" s="182"/>
      <c r="Z4104" s="175"/>
      <c r="AA4104" s="182"/>
      <c r="AB4104" s="184"/>
    </row>
    <row r="4105" spans="1:28" ht="12.75">
      <c r="A4105" s="173"/>
      <c r="B4105" s="174"/>
      <c r="C4105" s="11"/>
      <c r="D4105" s="175"/>
      <c r="E4105" s="176"/>
      <c r="F4105" s="177"/>
      <c r="G4105" s="178"/>
      <c r="H4105" s="177"/>
      <c r="I4105" s="177"/>
      <c r="J4105" s="179"/>
      <c r="K4105" s="183"/>
      <c r="L4105" s="176"/>
      <c r="M4105" s="177"/>
      <c r="N4105" s="21"/>
      <c r="O4105" s="45"/>
      <c r="P4105" s="24"/>
      <c r="Q4105" s="24"/>
      <c r="R4105" s="180"/>
      <c r="S4105" s="181"/>
      <c r="T4105" s="35"/>
      <c r="U4105" s="35"/>
      <c r="V4105" s="35"/>
      <c r="W4105" s="35"/>
      <c r="X4105" s="35"/>
      <c r="Y4105" s="182"/>
      <c r="Z4105" s="175"/>
      <c r="AA4105" s="182"/>
      <c r="AB4105" s="184"/>
    </row>
    <row r="4106" spans="1:28" ht="12.75">
      <c r="A4106" s="173"/>
      <c r="B4106" s="174"/>
      <c r="C4106" s="11"/>
      <c r="D4106" s="175"/>
      <c r="E4106" s="176"/>
      <c r="F4106" s="177"/>
      <c r="G4106" s="178"/>
      <c r="H4106" s="177"/>
      <c r="I4106" s="177"/>
      <c r="J4106" s="179"/>
      <c r="K4106" s="183"/>
      <c r="L4106" s="176"/>
      <c r="M4106" s="177"/>
      <c r="N4106" s="21"/>
      <c r="O4106" s="45"/>
      <c r="P4106" s="24"/>
      <c r="Q4106" s="24"/>
      <c r="R4106" s="180"/>
      <c r="S4106" s="181"/>
      <c r="T4106" s="35"/>
      <c r="U4106" s="35"/>
      <c r="V4106" s="35"/>
      <c r="W4106" s="35"/>
      <c r="X4106" s="35"/>
      <c r="Y4106" s="182"/>
      <c r="Z4106" s="175"/>
      <c r="AA4106" s="182"/>
      <c r="AB4106" s="184"/>
    </row>
    <row r="4107" spans="1:28" ht="12.75">
      <c r="A4107" s="173"/>
      <c r="B4107" s="174"/>
      <c r="C4107" s="11"/>
      <c r="D4107" s="175"/>
      <c r="E4107" s="176"/>
      <c r="F4107" s="177"/>
      <c r="G4107" s="178"/>
      <c r="H4107" s="177"/>
      <c r="I4107" s="177"/>
      <c r="J4107" s="179"/>
      <c r="K4107" s="183"/>
      <c r="L4107" s="176"/>
      <c r="M4107" s="177"/>
      <c r="N4107" s="21"/>
      <c r="O4107" s="45"/>
      <c r="P4107" s="24"/>
      <c r="Q4107" s="24"/>
      <c r="R4107" s="180"/>
      <c r="S4107" s="181"/>
      <c r="T4107" s="35"/>
      <c r="U4107" s="35"/>
      <c r="V4107" s="35"/>
      <c r="W4107" s="35"/>
      <c r="X4107" s="35"/>
      <c r="Y4107" s="182"/>
      <c r="Z4107" s="175"/>
      <c r="AA4107" s="182"/>
      <c r="AB4107" s="184"/>
    </row>
    <row r="4108" spans="1:28" ht="12.75">
      <c r="A4108" s="173"/>
      <c r="B4108" s="174"/>
      <c r="C4108" s="11"/>
      <c r="D4108" s="175"/>
      <c r="E4108" s="176"/>
      <c r="F4108" s="177"/>
      <c r="G4108" s="178"/>
      <c r="H4108" s="177"/>
      <c r="I4108" s="177"/>
      <c r="J4108" s="179"/>
      <c r="K4108" s="183"/>
      <c r="L4108" s="176"/>
      <c r="M4108" s="177"/>
      <c r="N4108" s="21"/>
      <c r="O4108" s="45"/>
      <c r="P4108" s="24"/>
      <c r="Q4108" s="24"/>
      <c r="R4108" s="180"/>
      <c r="S4108" s="181"/>
      <c r="T4108" s="35"/>
      <c r="U4108" s="35"/>
      <c r="V4108" s="35"/>
      <c r="W4108" s="35"/>
      <c r="X4108" s="35"/>
      <c r="Y4108" s="182"/>
      <c r="Z4108" s="175"/>
      <c r="AA4108" s="182"/>
      <c r="AB4108" s="184"/>
    </row>
    <row r="4109" spans="1:28" ht="12.75">
      <c r="A4109" s="173"/>
      <c r="B4109" s="174"/>
      <c r="C4109" s="11"/>
      <c r="D4109" s="175"/>
      <c r="E4109" s="176"/>
      <c r="F4109" s="177"/>
      <c r="G4109" s="178"/>
      <c r="H4109" s="177"/>
      <c r="I4109" s="177"/>
      <c r="J4109" s="179"/>
      <c r="K4109" s="183"/>
      <c r="L4109" s="176"/>
      <c r="M4109" s="177"/>
      <c r="N4109" s="21"/>
      <c r="O4109" s="45"/>
      <c r="P4109" s="24"/>
      <c r="Q4109" s="24"/>
      <c r="R4109" s="180"/>
      <c r="S4109" s="181"/>
      <c r="T4109" s="35"/>
      <c r="U4109" s="35"/>
      <c r="V4109" s="35"/>
      <c r="W4109" s="35"/>
      <c r="X4109" s="35"/>
      <c r="Y4109" s="182"/>
      <c r="Z4109" s="175"/>
      <c r="AA4109" s="182"/>
      <c r="AB4109" s="184"/>
    </row>
    <row r="4110" spans="1:28" ht="12.75">
      <c r="A4110" s="173"/>
      <c r="B4110" s="174"/>
      <c r="C4110" s="11"/>
      <c r="D4110" s="175"/>
      <c r="E4110" s="176"/>
      <c r="F4110" s="177"/>
      <c r="G4110" s="178"/>
      <c r="H4110" s="177"/>
      <c r="I4110" s="177"/>
      <c r="J4110" s="179"/>
      <c r="K4110" s="183"/>
      <c r="L4110" s="176"/>
      <c r="M4110" s="177"/>
      <c r="N4110" s="21"/>
      <c r="O4110" s="45"/>
      <c r="P4110" s="24"/>
      <c r="Q4110" s="24"/>
      <c r="R4110" s="180"/>
      <c r="S4110" s="181"/>
      <c r="T4110" s="35"/>
      <c r="U4110" s="35"/>
      <c r="V4110" s="35"/>
      <c r="W4110" s="35"/>
      <c r="X4110" s="35"/>
      <c r="Y4110" s="182"/>
      <c r="Z4110" s="175"/>
      <c r="AA4110" s="182"/>
      <c r="AB4110" s="184"/>
    </row>
    <row r="4111" spans="1:28" ht="12.75">
      <c r="A4111" s="173"/>
      <c r="B4111" s="174"/>
      <c r="C4111" s="11"/>
      <c r="D4111" s="175"/>
      <c r="E4111" s="176"/>
      <c r="F4111" s="177"/>
      <c r="G4111" s="178"/>
      <c r="H4111" s="177"/>
      <c r="I4111" s="177"/>
      <c r="J4111" s="179"/>
      <c r="K4111" s="183"/>
      <c r="L4111" s="176"/>
      <c r="M4111" s="177"/>
      <c r="N4111" s="21"/>
      <c r="O4111" s="45"/>
      <c r="P4111" s="24"/>
      <c r="Q4111" s="24"/>
      <c r="R4111" s="180"/>
      <c r="S4111" s="181"/>
      <c r="T4111" s="35"/>
      <c r="U4111" s="35"/>
      <c r="V4111" s="35"/>
      <c r="W4111" s="35"/>
      <c r="X4111" s="35"/>
      <c r="Y4111" s="182"/>
      <c r="Z4111" s="175"/>
      <c r="AA4111" s="182"/>
      <c r="AB4111" s="184"/>
    </row>
    <row r="4112" spans="1:28" ht="12.75">
      <c r="A4112" s="173"/>
      <c r="B4112" s="174"/>
      <c r="C4112" s="11"/>
      <c r="D4112" s="175"/>
      <c r="E4112" s="176"/>
      <c r="F4112" s="177"/>
      <c r="G4112" s="178"/>
      <c r="H4112" s="177"/>
      <c r="I4112" s="177"/>
      <c r="J4112" s="179"/>
      <c r="K4112" s="183"/>
      <c r="L4112" s="176"/>
      <c r="M4112" s="177"/>
      <c r="N4112" s="21"/>
      <c r="O4112" s="45"/>
      <c r="P4112" s="24"/>
      <c r="Q4112" s="24"/>
      <c r="R4112" s="180"/>
      <c r="S4112" s="181"/>
      <c r="T4112" s="35"/>
      <c r="U4112" s="35"/>
      <c r="V4112" s="35"/>
      <c r="W4112" s="35"/>
      <c r="X4112" s="35"/>
      <c r="Y4112" s="182"/>
      <c r="Z4112" s="175"/>
      <c r="AA4112" s="182"/>
      <c r="AB4112" s="184"/>
    </row>
    <row r="4113" spans="1:28" ht="12.75">
      <c r="A4113" s="173"/>
      <c r="B4113" s="174"/>
      <c r="C4113" s="11"/>
      <c r="D4113" s="175"/>
      <c r="E4113" s="176"/>
      <c r="F4113" s="177"/>
      <c r="G4113" s="178"/>
      <c r="H4113" s="177"/>
      <c r="I4113" s="177"/>
      <c r="J4113" s="179"/>
      <c r="K4113" s="183"/>
      <c r="L4113" s="176"/>
      <c r="M4113" s="177"/>
      <c r="N4113" s="21"/>
      <c r="O4113" s="45"/>
      <c r="P4113" s="24"/>
      <c r="Q4113" s="24"/>
      <c r="R4113" s="180"/>
      <c r="S4113" s="181"/>
      <c r="T4113" s="35"/>
      <c r="U4113" s="35"/>
      <c r="V4113" s="35"/>
      <c r="W4113" s="35"/>
      <c r="X4113" s="35"/>
      <c r="Y4113" s="182"/>
      <c r="Z4113" s="175"/>
      <c r="AA4113" s="182"/>
      <c r="AB4113" s="184"/>
    </row>
    <row r="4114" spans="1:28" ht="12.75">
      <c r="A4114" s="173"/>
      <c r="B4114" s="174"/>
      <c r="C4114" s="11"/>
      <c r="D4114" s="175"/>
      <c r="E4114" s="176"/>
      <c r="F4114" s="177"/>
      <c r="G4114" s="178"/>
      <c r="H4114" s="177"/>
      <c r="I4114" s="177"/>
      <c r="J4114" s="179"/>
      <c r="K4114" s="183"/>
      <c r="L4114" s="176"/>
      <c r="M4114" s="177"/>
      <c r="N4114" s="21"/>
      <c r="O4114" s="45"/>
      <c r="P4114" s="24"/>
      <c r="Q4114" s="24"/>
      <c r="R4114" s="180"/>
      <c r="S4114" s="181"/>
      <c r="T4114" s="35"/>
      <c r="U4114" s="35"/>
      <c r="V4114" s="35"/>
      <c r="W4114" s="35"/>
      <c r="X4114" s="35"/>
      <c r="Y4114" s="182"/>
      <c r="Z4114" s="175"/>
      <c r="AA4114" s="182"/>
      <c r="AB4114" s="184"/>
    </row>
    <row r="4115" spans="1:28" ht="12.75">
      <c r="A4115" s="173"/>
      <c r="B4115" s="174"/>
      <c r="C4115" s="11"/>
      <c r="D4115" s="175"/>
      <c r="E4115" s="176"/>
      <c r="F4115" s="177"/>
      <c r="G4115" s="178"/>
      <c r="H4115" s="177"/>
      <c r="I4115" s="177"/>
      <c r="J4115" s="179"/>
      <c r="K4115" s="183"/>
      <c r="L4115" s="176"/>
      <c r="M4115" s="177"/>
      <c r="N4115" s="21"/>
      <c r="O4115" s="45"/>
      <c r="P4115" s="24"/>
      <c r="Q4115" s="24"/>
      <c r="R4115" s="180"/>
      <c r="S4115" s="181"/>
      <c r="T4115" s="35"/>
      <c r="U4115" s="35"/>
      <c r="V4115" s="35"/>
      <c r="W4115" s="35"/>
      <c r="X4115" s="35"/>
      <c r="Y4115" s="182"/>
      <c r="Z4115" s="175"/>
      <c r="AA4115" s="182"/>
      <c r="AB4115" s="184"/>
    </row>
    <row r="4116" spans="1:28" ht="12.75">
      <c r="A4116" s="173"/>
      <c r="B4116" s="174"/>
      <c r="C4116" s="11"/>
      <c r="D4116" s="175"/>
      <c r="E4116" s="176"/>
      <c r="F4116" s="177"/>
      <c r="G4116" s="178"/>
      <c r="H4116" s="177"/>
      <c r="I4116" s="177"/>
      <c r="J4116" s="179"/>
      <c r="K4116" s="183"/>
      <c r="L4116" s="176"/>
      <c r="M4116" s="177"/>
      <c r="N4116" s="21"/>
      <c r="O4116" s="45"/>
      <c r="P4116" s="24"/>
      <c r="Q4116" s="24"/>
      <c r="R4116" s="180"/>
      <c r="S4116" s="181"/>
      <c r="T4116" s="35"/>
      <c r="U4116" s="35"/>
      <c r="V4116" s="35"/>
      <c r="W4116" s="35"/>
      <c r="X4116" s="35"/>
      <c r="Y4116" s="182"/>
      <c r="Z4116" s="175"/>
      <c r="AA4116" s="182"/>
      <c r="AB4116" s="184"/>
    </row>
    <row r="4117" spans="1:28" ht="12.75">
      <c r="A4117" s="173"/>
      <c r="B4117" s="174"/>
      <c r="C4117" s="11"/>
      <c r="D4117" s="175"/>
      <c r="E4117" s="176"/>
      <c r="F4117" s="177"/>
      <c r="G4117" s="178"/>
      <c r="H4117" s="177"/>
      <c r="I4117" s="177"/>
      <c r="J4117" s="179"/>
      <c r="K4117" s="183"/>
      <c r="L4117" s="176"/>
      <c r="M4117" s="177"/>
      <c r="N4117" s="21"/>
      <c r="O4117" s="45"/>
      <c r="P4117" s="24"/>
      <c r="Q4117" s="24"/>
      <c r="R4117" s="180"/>
      <c r="S4117" s="181"/>
      <c r="T4117" s="35"/>
      <c r="U4117" s="35"/>
      <c r="V4117" s="35"/>
      <c r="W4117" s="35"/>
      <c r="X4117" s="35"/>
      <c r="Y4117" s="182"/>
      <c r="Z4117" s="175"/>
      <c r="AA4117" s="182"/>
      <c r="AB4117" s="184"/>
    </row>
    <row r="4118" spans="1:28" ht="12.75">
      <c r="A4118" s="173"/>
      <c r="B4118" s="174"/>
      <c r="C4118" s="11"/>
      <c r="D4118" s="175"/>
      <c r="E4118" s="176"/>
      <c r="F4118" s="177"/>
      <c r="G4118" s="178"/>
      <c r="H4118" s="177"/>
      <c r="I4118" s="177"/>
      <c r="J4118" s="179"/>
      <c r="K4118" s="183"/>
      <c r="L4118" s="176"/>
      <c r="M4118" s="177"/>
      <c r="N4118" s="21"/>
      <c r="O4118" s="45"/>
      <c r="P4118" s="24"/>
      <c r="Q4118" s="24"/>
      <c r="R4118" s="180"/>
      <c r="S4118" s="181"/>
      <c r="T4118" s="35"/>
      <c r="U4118" s="35"/>
      <c r="V4118" s="35"/>
      <c r="W4118" s="35"/>
      <c r="X4118" s="35"/>
      <c r="Y4118" s="182"/>
      <c r="Z4118" s="175"/>
      <c r="AA4118" s="182"/>
      <c r="AB4118" s="184"/>
    </row>
    <row r="4119" spans="1:28" ht="12.75">
      <c r="A4119" s="173"/>
      <c r="B4119" s="174"/>
      <c r="C4119" s="11"/>
      <c r="D4119" s="175"/>
      <c r="E4119" s="176"/>
      <c r="F4119" s="177"/>
      <c r="G4119" s="178"/>
      <c r="H4119" s="177"/>
      <c r="I4119" s="177"/>
      <c r="J4119" s="179"/>
      <c r="K4119" s="183"/>
      <c r="L4119" s="176"/>
      <c r="M4119" s="177"/>
      <c r="N4119" s="21"/>
      <c r="O4119" s="45"/>
      <c r="P4119" s="24"/>
      <c r="Q4119" s="24"/>
      <c r="R4119" s="180"/>
      <c r="S4119" s="181"/>
      <c r="T4119" s="35"/>
      <c r="U4119" s="35"/>
      <c r="V4119" s="35"/>
      <c r="W4119" s="35"/>
      <c r="X4119" s="35"/>
      <c r="Y4119" s="182"/>
      <c r="Z4119" s="175"/>
      <c r="AA4119" s="182"/>
      <c r="AB4119" s="184"/>
    </row>
    <row r="4120" spans="1:28" ht="12.75">
      <c r="A4120" s="173"/>
      <c r="B4120" s="174"/>
      <c r="C4120" s="11"/>
      <c r="D4120" s="175"/>
      <c r="E4120" s="176"/>
      <c r="F4120" s="177"/>
      <c r="G4120" s="178"/>
      <c r="H4120" s="177"/>
      <c r="I4120" s="177"/>
      <c r="J4120" s="179"/>
      <c r="K4120" s="183"/>
      <c r="L4120" s="176"/>
      <c r="M4120" s="177"/>
      <c r="N4120" s="21"/>
      <c r="O4120" s="45"/>
      <c r="P4120" s="24"/>
      <c r="Q4120" s="24"/>
      <c r="R4120" s="180"/>
      <c r="S4120" s="181"/>
      <c r="T4120" s="35"/>
      <c r="U4120" s="35"/>
      <c r="V4120" s="35"/>
      <c r="W4120" s="35"/>
      <c r="X4120" s="35"/>
      <c r="Y4120" s="182"/>
      <c r="Z4120" s="175"/>
      <c r="AA4120" s="182"/>
      <c r="AB4120" s="184"/>
    </row>
    <row r="4121" spans="1:28" ht="12.75">
      <c r="A4121" s="173"/>
      <c r="B4121" s="174"/>
      <c r="C4121" s="11"/>
      <c r="D4121" s="175"/>
      <c r="E4121" s="176"/>
      <c r="F4121" s="177"/>
      <c r="G4121" s="178"/>
      <c r="H4121" s="177"/>
      <c r="I4121" s="177"/>
      <c r="J4121" s="179"/>
      <c r="K4121" s="183"/>
      <c r="L4121" s="176"/>
      <c r="M4121" s="177"/>
      <c r="N4121" s="21"/>
      <c r="O4121" s="45"/>
      <c r="P4121" s="24"/>
      <c r="Q4121" s="24"/>
      <c r="R4121" s="180"/>
      <c r="S4121" s="181"/>
      <c r="T4121" s="35"/>
      <c r="U4121" s="35"/>
      <c r="V4121" s="35"/>
      <c r="W4121" s="35"/>
      <c r="X4121" s="35"/>
      <c r="Y4121" s="182"/>
      <c r="Z4121" s="175"/>
      <c r="AA4121" s="182"/>
      <c r="AB4121" s="184"/>
    </row>
    <row r="4122" spans="1:28" ht="12.75">
      <c r="A4122" s="173"/>
      <c r="B4122" s="174"/>
      <c r="C4122" s="11"/>
      <c r="D4122" s="175"/>
      <c r="E4122" s="176"/>
      <c r="F4122" s="177"/>
      <c r="G4122" s="178"/>
      <c r="H4122" s="177"/>
      <c r="I4122" s="177"/>
      <c r="J4122" s="179"/>
      <c r="K4122" s="183"/>
      <c r="L4122" s="176"/>
      <c r="M4122" s="177"/>
      <c r="N4122" s="21"/>
      <c r="O4122" s="45"/>
      <c r="P4122" s="24"/>
      <c r="Q4122" s="24"/>
      <c r="R4122" s="180"/>
      <c r="S4122" s="181"/>
      <c r="T4122" s="35"/>
      <c r="U4122" s="35"/>
      <c r="V4122" s="35"/>
      <c r="W4122" s="35"/>
      <c r="X4122" s="35"/>
      <c r="Y4122" s="182"/>
      <c r="Z4122" s="175"/>
      <c r="AA4122" s="182"/>
      <c r="AB4122" s="184"/>
    </row>
    <row r="4123" spans="1:28" ht="12.75">
      <c r="A4123" s="173"/>
      <c r="B4123" s="174"/>
      <c r="C4123" s="11"/>
      <c r="D4123" s="175"/>
      <c r="E4123" s="176"/>
      <c r="F4123" s="177"/>
      <c r="G4123" s="178"/>
      <c r="H4123" s="177"/>
      <c r="I4123" s="177"/>
      <c r="J4123" s="179"/>
      <c r="K4123" s="183"/>
      <c r="L4123" s="176"/>
      <c r="M4123" s="177"/>
      <c r="N4123" s="21"/>
      <c r="O4123" s="45"/>
      <c r="P4123" s="24"/>
      <c r="Q4123" s="24"/>
      <c r="R4123" s="180"/>
      <c r="S4123" s="181"/>
      <c r="T4123" s="35"/>
      <c r="U4123" s="35"/>
      <c r="V4123" s="35"/>
      <c r="W4123" s="35"/>
      <c r="X4123" s="35"/>
      <c r="Y4123" s="182"/>
      <c r="Z4123" s="175"/>
      <c r="AA4123" s="182"/>
      <c r="AB4123" s="184"/>
    </row>
    <row r="4124" spans="1:28" ht="12.75">
      <c r="A4124" s="173"/>
      <c r="B4124" s="174"/>
      <c r="C4124" s="11"/>
      <c r="D4124" s="175"/>
      <c r="E4124" s="176"/>
      <c r="F4124" s="177"/>
      <c r="G4124" s="178"/>
      <c r="H4124" s="177"/>
      <c r="I4124" s="177"/>
      <c r="J4124" s="179"/>
      <c r="K4124" s="183"/>
      <c r="L4124" s="176"/>
      <c r="M4124" s="177"/>
      <c r="N4124" s="21"/>
      <c r="O4124" s="45"/>
      <c r="P4124" s="24"/>
      <c r="Q4124" s="24"/>
      <c r="R4124" s="180"/>
      <c r="S4124" s="181"/>
      <c r="T4124" s="35"/>
      <c r="U4124" s="35"/>
      <c r="V4124" s="35"/>
      <c r="W4124" s="35"/>
      <c r="X4124" s="35"/>
      <c r="Y4124" s="182"/>
      <c r="Z4124" s="175"/>
      <c r="AA4124" s="182"/>
      <c r="AB4124" s="184"/>
    </row>
    <row r="4125" spans="1:28" ht="12.75">
      <c r="A4125" s="173"/>
      <c r="B4125" s="174"/>
      <c r="C4125" s="11"/>
      <c r="D4125" s="175"/>
      <c r="E4125" s="176"/>
      <c r="F4125" s="177"/>
      <c r="G4125" s="178"/>
      <c r="H4125" s="177"/>
      <c r="I4125" s="177"/>
      <c r="J4125" s="179"/>
      <c r="K4125" s="183"/>
      <c r="L4125" s="176"/>
      <c r="M4125" s="177"/>
      <c r="N4125" s="21"/>
      <c r="O4125" s="45"/>
      <c r="P4125" s="24"/>
      <c r="Q4125" s="24"/>
      <c r="R4125" s="180"/>
      <c r="S4125" s="181"/>
      <c r="T4125" s="35"/>
      <c r="U4125" s="35"/>
      <c r="V4125" s="35"/>
      <c r="W4125" s="35"/>
      <c r="X4125" s="35"/>
      <c r="Y4125" s="182"/>
      <c r="Z4125" s="175"/>
      <c r="AA4125" s="182"/>
      <c r="AB4125" s="184"/>
    </row>
    <row r="4126" spans="1:28" ht="12.75">
      <c r="A4126" s="173"/>
      <c r="B4126" s="174"/>
      <c r="C4126" s="11"/>
      <c r="D4126" s="175"/>
      <c r="E4126" s="176"/>
      <c r="F4126" s="177"/>
      <c r="G4126" s="178"/>
      <c r="H4126" s="177"/>
      <c r="I4126" s="177"/>
      <c r="J4126" s="179"/>
      <c r="K4126" s="183"/>
      <c r="L4126" s="176"/>
      <c r="M4126" s="177"/>
      <c r="N4126" s="21"/>
      <c r="O4126" s="45"/>
      <c r="P4126" s="24"/>
      <c r="Q4126" s="24"/>
      <c r="R4126" s="180"/>
      <c r="S4126" s="181"/>
      <c r="T4126" s="35"/>
      <c r="U4126" s="35"/>
      <c r="V4126" s="35"/>
      <c r="W4126" s="35"/>
      <c r="X4126" s="35"/>
      <c r="Y4126" s="182"/>
      <c r="Z4126" s="175"/>
      <c r="AA4126" s="182"/>
      <c r="AB4126" s="184"/>
    </row>
    <row r="4127" spans="1:28" ht="12.75">
      <c r="A4127" s="173"/>
      <c r="B4127" s="174"/>
      <c r="C4127" s="11"/>
      <c r="D4127" s="175"/>
      <c r="E4127" s="176"/>
      <c r="F4127" s="177"/>
      <c r="G4127" s="178"/>
      <c r="H4127" s="177"/>
      <c r="I4127" s="177"/>
      <c r="J4127" s="179"/>
      <c r="K4127" s="183"/>
      <c r="L4127" s="176"/>
      <c r="M4127" s="177"/>
      <c r="N4127" s="21"/>
      <c r="O4127" s="45"/>
      <c r="P4127" s="24"/>
      <c r="Q4127" s="24"/>
      <c r="R4127" s="180"/>
      <c r="S4127" s="181"/>
      <c r="T4127" s="35"/>
      <c r="U4127" s="35"/>
      <c r="V4127" s="35"/>
      <c r="W4127" s="35"/>
      <c r="X4127" s="35"/>
      <c r="Y4127" s="182"/>
      <c r="Z4127" s="175"/>
      <c r="AA4127" s="182"/>
      <c r="AB4127" s="184"/>
    </row>
    <row r="4128" spans="1:28" ht="12.75">
      <c r="A4128" s="173"/>
      <c r="B4128" s="174"/>
      <c r="C4128" s="11"/>
      <c r="D4128" s="175"/>
      <c r="E4128" s="176"/>
      <c r="F4128" s="177"/>
      <c r="G4128" s="178"/>
      <c r="H4128" s="177"/>
      <c r="I4128" s="177"/>
      <c r="J4128" s="179"/>
      <c r="K4128" s="183"/>
      <c r="L4128" s="176"/>
      <c r="M4128" s="177"/>
      <c r="N4128" s="21"/>
      <c r="O4128" s="45"/>
      <c r="P4128" s="24"/>
      <c r="Q4128" s="24"/>
      <c r="R4128" s="180"/>
      <c r="S4128" s="181"/>
      <c r="T4128" s="35"/>
      <c r="U4128" s="35"/>
      <c r="V4128" s="35"/>
      <c r="W4128" s="35"/>
      <c r="X4128" s="35"/>
      <c r="Y4128" s="182"/>
      <c r="Z4128" s="175"/>
      <c r="AA4128" s="182"/>
      <c r="AB4128" s="184"/>
    </row>
    <row r="4129" spans="1:28" ht="12.75">
      <c r="A4129" s="173"/>
      <c r="B4129" s="174"/>
      <c r="C4129" s="11"/>
      <c r="D4129" s="175"/>
      <c r="E4129" s="176"/>
      <c r="F4129" s="177"/>
      <c r="G4129" s="178"/>
      <c r="H4129" s="177"/>
      <c r="I4129" s="177"/>
      <c r="J4129" s="179"/>
      <c r="K4129" s="183"/>
      <c r="L4129" s="176"/>
      <c r="M4129" s="177"/>
      <c r="N4129" s="21"/>
      <c r="O4129" s="45"/>
      <c r="P4129" s="24"/>
      <c r="Q4129" s="24"/>
      <c r="R4129" s="180"/>
      <c r="S4129" s="181"/>
      <c r="T4129" s="35"/>
      <c r="U4129" s="35"/>
      <c r="V4129" s="35"/>
      <c r="W4129" s="35"/>
      <c r="X4129" s="35"/>
      <c r="Y4129" s="182"/>
      <c r="Z4129" s="175"/>
      <c r="AA4129" s="182"/>
      <c r="AB4129" s="184"/>
    </row>
    <row r="4130" spans="1:28" ht="12.75">
      <c r="A4130" s="173"/>
      <c r="B4130" s="174"/>
      <c r="C4130" s="11"/>
      <c r="D4130" s="175"/>
      <c r="E4130" s="176"/>
      <c r="F4130" s="177"/>
      <c r="G4130" s="178"/>
      <c r="H4130" s="177"/>
      <c r="I4130" s="177"/>
      <c r="J4130" s="179"/>
      <c r="K4130" s="183"/>
      <c r="L4130" s="176"/>
      <c r="M4130" s="177"/>
      <c r="N4130" s="21"/>
      <c r="O4130" s="45"/>
      <c r="P4130" s="24"/>
      <c r="Q4130" s="24"/>
      <c r="R4130" s="180"/>
      <c r="S4130" s="181"/>
      <c r="T4130" s="35"/>
      <c r="U4130" s="35"/>
      <c r="V4130" s="35"/>
      <c r="W4130" s="35"/>
      <c r="X4130" s="35"/>
      <c r="Y4130" s="182"/>
      <c r="Z4130" s="175"/>
      <c r="AA4130" s="182"/>
      <c r="AB4130" s="184"/>
    </row>
    <row r="4131" spans="1:28" ht="12.75">
      <c r="A4131" s="173"/>
      <c r="B4131" s="174"/>
      <c r="C4131" s="11"/>
      <c r="D4131" s="175"/>
      <c r="E4131" s="176"/>
      <c r="F4131" s="177"/>
      <c r="G4131" s="178"/>
      <c r="H4131" s="177"/>
      <c r="I4131" s="177"/>
      <c r="J4131" s="179"/>
      <c r="K4131" s="183"/>
      <c r="L4131" s="176"/>
      <c r="M4131" s="177"/>
      <c r="N4131" s="21"/>
      <c r="O4131" s="45"/>
      <c r="P4131" s="24"/>
      <c r="Q4131" s="24"/>
      <c r="R4131" s="180"/>
      <c r="S4131" s="181"/>
      <c r="T4131" s="35"/>
      <c r="U4131" s="35"/>
      <c r="V4131" s="35"/>
      <c r="W4131" s="35"/>
      <c r="X4131" s="35"/>
      <c r="Y4131" s="182"/>
      <c r="Z4131" s="175"/>
      <c r="AA4131" s="182"/>
      <c r="AB4131" s="184"/>
    </row>
    <row r="4132" spans="1:28" ht="12.75">
      <c r="A4132" s="173"/>
      <c r="B4132" s="174"/>
      <c r="C4132" s="11"/>
      <c r="D4132" s="175"/>
      <c r="E4132" s="176"/>
      <c r="F4132" s="177"/>
      <c r="G4132" s="178"/>
      <c r="H4132" s="177"/>
      <c r="I4132" s="177"/>
      <c r="J4132" s="179"/>
      <c r="K4132" s="183"/>
      <c r="L4132" s="176"/>
      <c r="M4132" s="177"/>
      <c r="N4132" s="21"/>
      <c r="O4132" s="45"/>
      <c r="P4132" s="24"/>
      <c r="Q4132" s="24"/>
      <c r="R4132" s="180"/>
      <c r="S4132" s="181"/>
      <c r="T4132" s="35"/>
      <c r="U4132" s="35"/>
      <c r="V4132" s="35"/>
      <c r="W4132" s="35"/>
      <c r="X4132" s="35"/>
      <c r="Y4132" s="182"/>
      <c r="Z4132" s="175"/>
      <c r="AA4132" s="182"/>
      <c r="AB4132" s="184"/>
    </row>
    <row r="4133" spans="1:28" ht="12.75">
      <c r="A4133" s="173"/>
      <c r="B4133" s="174"/>
      <c r="C4133" s="11"/>
      <c r="D4133" s="175"/>
      <c r="E4133" s="176"/>
      <c r="F4133" s="177"/>
      <c r="G4133" s="178"/>
      <c r="H4133" s="177"/>
      <c r="I4133" s="177"/>
      <c r="J4133" s="179"/>
      <c r="K4133" s="183"/>
      <c r="L4133" s="176"/>
      <c r="M4133" s="177"/>
      <c r="N4133" s="21"/>
      <c r="O4133" s="45"/>
      <c r="P4133" s="24"/>
      <c r="Q4133" s="24"/>
      <c r="R4133" s="180"/>
      <c r="S4133" s="181"/>
      <c r="T4133" s="35"/>
      <c r="U4133" s="35"/>
      <c r="V4133" s="35"/>
      <c r="W4133" s="35"/>
      <c r="X4133" s="35"/>
      <c r="Y4133" s="182"/>
      <c r="Z4133" s="175"/>
      <c r="AA4133" s="182"/>
      <c r="AB4133" s="184"/>
    </row>
    <row r="4134" spans="1:28" ht="12.75">
      <c r="A4134" s="173"/>
      <c r="B4134" s="174"/>
      <c r="C4134" s="11"/>
      <c r="D4134" s="175"/>
      <c r="E4134" s="176"/>
      <c r="F4134" s="177"/>
      <c r="G4134" s="178"/>
      <c r="H4134" s="177"/>
      <c r="I4134" s="177"/>
      <c r="J4134" s="179"/>
      <c r="K4134" s="183"/>
      <c r="L4134" s="176"/>
      <c r="M4134" s="177"/>
      <c r="N4134" s="21"/>
      <c r="O4134" s="45"/>
      <c r="P4134" s="24"/>
      <c r="Q4134" s="24"/>
      <c r="R4134" s="180"/>
      <c r="S4134" s="181"/>
      <c r="T4134" s="35"/>
      <c r="U4134" s="35"/>
      <c r="V4134" s="35"/>
      <c r="W4134" s="35"/>
      <c r="X4134" s="35"/>
      <c r="Y4134" s="182"/>
      <c r="Z4134" s="175"/>
      <c r="AA4134" s="182"/>
      <c r="AB4134" s="184"/>
    </row>
    <row r="4135" spans="1:28" ht="12.75">
      <c r="A4135" s="173"/>
      <c r="B4135" s="174"/>
      <c r="C4135" s="11"/>
      <c r="D4135" s="175"/>
      <c r="E4135" s="176"/>
      <c r="F4135" s="177"/>
      <c r="G4135" s="178"/>
      <c r="H4135" s="177"/>
      <c r="I4135" s="177"/>
      <c r="J4135" s="179"/>
      <c r="K4135" s="183"/>
      <c r="L4135" s="176"/>
      <c r="M4135" s="177"/>
      <c r="N4135" s="21"/>
      <c r="O4135" s="45"/>
      <c r="P4135" s="24"/>
      <c r="Q4135" s="24"/>
      <c r="R4135" s="180"/>
      <c r="S4135" s="181"/>
      <c r="T4135" s="35"/>
      <c r="U4135" s="35"/>
      <c r="V4135" s="35"/>
      <c r="W4135" s="35"/>
      <c r="X4135" s="35"/>
      <c r="Y4135" s="182"/>
      <c r="Z4135" s="175"/>
      <c r="AA4135" s="182"/>
      <c r="AB4135" s="184"/>
    </row>
    <row r="4136" spans="1:28" ht="12.75">
      <c r="A4136" s="173"/>
      <c r="B4136" s="174"/>
      <c r="C4136" s="11"/>
      <c r="D4136" s="175"/>
      <c r="E4136" s="176"/>
      <c r="F4136" s="177"/>
      <c r="G4136" s="178"/>
      <c r="H4136" s="177"/>
      <c r="I4136" s="177"/>
      <c r="J4136" s="179"/>
      <c r="K4136" s="183"/>
      <c r="L4136" s="176"/>
      <c r="M4136" s="177"/>
      <c r="N4136" s="21"/>
      <c r="O4136" s="45"/>
      <c r="P4136" s="24"/>
      <c r="Q4136" s="24"/>
      <c r="R4136" s="180"/>
      <c r="S4136" s="181"/>
      <c r="T4136" s="35"/>
      <c r="U4136" s="35"/>
      <c r="V4136" s="35"/>
      <c r="W4136" s="35"/>
      <c r="X4136" s="35"/>
      <c r="Y4136" s="182"/>
      <c r="Z4136" s="175"/>
      <c r="AA4136" s="182"/>
      <c r="AB4136" s="184"/>
    </row>
    <row r="4137" spans="1:28" ht="12.75">
      <c r="A4137" s="173"/>
      <c r="B4137" s="174"/>
      <c r="C4137" s="11"/>
      <c r="D4137" s="175"/>
      <c r="E4137" s="176"/>
      <c r="F4137" s="177"/>
      <c r="G4137" s="178"/>
      <c r="H4137" s="177"/>
      <c r="I4137" s="177"/>
      <c r="J4137" s="179"/>
      <c r="K4137" s="183"/>
      <c r="L4137" s="176"/>
      <c r="M4137" s="177"/>
      <c r="N4137" s="21"/>
      <c r="O4137" s="45"/>
      <c r="P4137" s="24"/>
      <c r="Q4137" s="24"/>
      <c r="R4137" s="180"/>
      <c r="S4137" s="181"/>
      <c r="T4137" s="35"/>
      <c r="U4137" s="35"/>
      <c r="V4137" s="35"/>
      <c r="W4137" s="35"/>
      <c r="X4137" s="35"/>
      <c r="Y4137" s="182"/>
      <c r="Z4137" s="175"/>
      <c r="AA4137" s="182"/>
      <c r="AB4137" s="184"/>
    </row>
    <row r="4138" spans="1:28" ht="12.75">
      <c r="A4138" s="173"/>
      <c r="B4138" s="174"/>
      <c r="C4138" s="11"/>
      <c r="D4138" s="175"/>
      <c r="E4138" s="176"/>
      <c r="F4138" s="177"/>
      <c r="G4138" s="178"/>
      <c r="H4138" s="177"/>
      <c r="I4138" s="177"/>
      <c r="J4138" s="179"/>
      <c r="K4138" s="183"/>
      <c r="L4138" s="176"/>
      <c r="M4138" s="177"/>
      <c r="N4138" s="21"/>
      <c r="O4138" s="45"/>
      <c r="P4138" s="24"/>
      <c r="Q4138" s="24"/>
      <c r="R4138" s="180"/>
      <c r="S4138" s="181"/>
      <c r="T4138" s="35"/>
      <c r="U4138" s="35"/>
      <c r="V4138" s="35"/>
      <c r="W4138" s="35"/>
      <c r="X4138" s="35"/>
      <c r="Y4138" s="182"/>
      <c r="Z4138" s="175"/>
      <c r="AA4138" s="182"/>
      <c r="AB4138" s="184"/>
    </row>
    <row r="4139" spans="1:28" ht="12.75">
      <c r="A4139" s="173"/>
      <c r="B4139" s="174"/>
      <c r="C4139" s="11"/>
      <c r="D4139" s="175"/>
      <c r="E4139" s="176"/>
      <c r="F4139" s="177"/>
      <c r="G4139" s="178"/>
      <c r="H4139" s="177"/>
      <c r="I4139" s="177"/>
      <c r="J4139" s="179"/>
      <c r="K4139" s="183"/>
      <c r="L4139" s="176"/>
      <c r="M4139" s="177"/>
      <c r="N4139" s="21"/>
      <c r="O4139" s="45"/>
      <c r="P4139" s="24"/>
      <c r="Q4139" s="24"/>
      <c r="R4139" s="180"/>
      <c r="S4139" s="181"/>
      <c r="T4139" s="35"/>
      <c r="U4139" s="35"/>
      <c r="V4139" s="35"/>
      <c r="W4139" s="35"/>
      <c r="X4139" s="35"/>
      <c r="Y4139" s="182"/>
      <c r="Z4139" s="175"/>
      <c r="AA4139" s="182"/>
      <c r="AB4139" s="184"/>
    </row>
    <row r="4140" spans="1:28" ht="12.75">
      <c r="A4140" s="173"/>
      <c r="B4140" s="174"/>
      <c r="C4140" s="11"/>
      <c r="D4140" s="175"/>
      <c r="E4140" s="176"/>
      <c r="F4140" s="177"/>
      <c r="G4140" s="178"/>
      <c r="H4140" s="177"/>
      <c r="I4140" s="177"/>
      <c r="J4140" s="179"/>
      <c r="K4140" s="183"/>
      <c r="L4140" s="176"/>
      <c r="M4140" s="177"/>
      <c r="N4140" s="21"/>
      <c r="O4140" s="45"/>
      <c r="P4140" s="24"/>
      <c r="Q4140" s="24"/>
      <c r="R4140" s="180"/>
      <c r="S4140" s="181"/>
      <c r="T4140" s="35"/>
      <c r="U4140" s="35"/>
      <c r="V4140" s="35"/>
      <c r="W4140" s="35"/>
      <c r="X4140" s="35"/>
      <c r="Y4140" s="182"/>
      <c r="Z4140" s="175"/>
      <c r="AA4140" s="182"/>
      <c r="AB4140" s="184"/>
    </row>
    <row r="4141" spans="1:28" ht="12.75">
      <c r="A4141" s="173"/>
      <c r="B4141" s="174"/>
      <c r="C4141" s="11"/>
      <c r="D4141" s="175"/>
      <c r="E4141" s="176"/>
      <c r="F4141" s="177"/>
      <c r="G4141" s="178"/>
      <c r="H4141" s="177"/>
      <c r="I4141" s="177"/>
      <c r="J4141" s="179"/>
      <c r="K4141" s="183"/>
      <c r="L4141" s="176"/>
      <c r="M4141" s="177"/>
      <c r="N4141" s="21"/>
      <c r="O4141" s="45"/>
      <c r="P4141" s="24"/>
      <c r="Q4141" s="24"/>
      <c r="R4141" s="180"/>
      <c r="S4141" s="181"/>
      <c r="T4141" s="35"/>
      <c r="U4141" s="35"/>
      <c r="V4141" s="35"/>
      <c r="W4141" s="35"/>
      <c r="X4141" s="35"/>
      <c r="Y4141" s="182"/>
      <c r="Z4141" s="175"/>
      <c r="AA4141" s="182"/>
      <c r="AB4141" s="184"/>
    </row>
    <row r="4142" spans="1:28" ht="12.75">
      <c r="A4142" s="173"/>
      <c r="B4142" s="174"/>
      <c r="C4142" s="11"/>
      <c r="D4142" s="175"/>
      <c r="E4142" s="176"/>
      <c r="F4142" s="177"/>
      <c r="G4142" s="178"/>
      <c r="H4142" s="177"/>
      <c r="I4142" s="177"/>
      <c r="J4142" s="179"/>
      <c r="K4142" s="183"/>
      <c r="L4142" s="176"/>
      <c r="M4142" s="177"/>
      <c r="N4142" s="21"/>
      <c r="O4142" s="45"/>
      <c r="P4142" s="24"/>
      <c r="Q4142" s="24"/>
      <c r="R4142" s="180"/>
      <c r="S4142" s="181"/>
      <c r="T4142" s="35"/>
      <c r="U4142" s="35"/>
      <c r="V4142" s="35"/>
      <c r="W4142" s="35"/>
      <c r="X4142" s="35"/>
      <c r="Y4142" s="182"/>
      <c r="Z4142" s="175"/>
      <c r="AA4142" s="182"/>
      <c r="AB4142" s="184"/>
    </row>
    <row r="4143" spans="1:28" ht="12.75">
      <c r="A4143" s="173"/>
      <c r="B4143" s="174"/>
      <c r="C4143" s="11"/>
      <c r="D4143" s="175"/>
      <c r="E4143" s="176"/>
      <c r="F4143" s="177"/>
      <c r="G4143" s="178"/>
      <c r="H4143" s="177"/>
      <c r="I4143" s="177"/>
      <c r="J4143" s="179"/>
      <c r="K4143" s="183"/>
      <c r="L4143" s="176"/>
      <c r="M4143" s="177"/>
      <c r="N4143" s="21"/>
      <c r="O4143" s="45"/>
      <c r="P4143" s="24"/>
      <c r="Q4143" s="24"/>
      <c r="R4143" s="180"/>
      <c r="S4143" s="181"/>
      <c r="T4143" s="35"/>
      <c r="U4143" s="35"/>
      <c r="V4143" s="35"/>
      <c r="W4143" s="35"/>
      <c r="X4143" s="35"/>
      <c r="Y4143" s="182"/>
      <c r="Z4143" s="175"/>
      <c r="AA4143" s="182"/>
      <c r="AB4143" s="184"/>
    </row>
    <row r="4144" spans="1:28" ht="12.75">
      <c r="A4144" s="173"/>
      <c r="B4144" s="174"/>
      <c r="C4144" s="11"/>
      <c r="D4144" s="175"/>
      <c r="E4144" s="176"/>
      <c r="F4144" s="177"/>
      <c r="G4144" s="178"/>
      <c r="H4144" s="177"/>
      <c r="I4144" s="177"/>
      <c r="J4144" s="179"/>
      <c r="K4144" s="183"/>
      <c r="L4144" s="176"/>
      <c r="M4144" s="177"/>
      <c r="N4144" s="21"/>
      <c r="O4144" s="45"/>
      <c r="P4144" s="24"/>
      <c r="Q4144" s="24"/>
      <c r="R4144" s="180"/>
      <c r="S4144" s="181"/>
      <c r="T4144" s="35"/>
      <c r="U4144" s="35"/>
      <c r="V4144" s="35"/>
      <c r="W4144" s="35"/>
      <c r="X4144" s="35"/>
      <c r="Y4144" s="182"/>
      <c r="Z4144" s="175"/>
      <c r="AA4144" s="182"/>
      <c r="AB4144" s="184"/>
    </row>
    <row r="4145" spans="1:28" ht="12.75">
      <c r="A4145" s="173"/>
      <c r="B4145" s="174"/>
      <c r="C4145" s="11"/>
      <c r="D4145" s="175"/>
      <c r="E4145" s="176"/>
      <c r="F4145" s="177"/>
      <c r="G4145" s="178"/>
      <c r="H4145" s="177"/>
      <c r="I4145" s="177"/>
      <c r="J4145" s="179"/>
      <c r="K4145" s="183"/>
      <c r="L4145" s="176"/>
      <c r="M4145" s="177"/>
      <c r="N4145" s="21"/>
      <c r="O4145" s="45"/>
      <c r="P4145" s="24"/>
      <c r="Q4145" s="24"/>
      <c r="R4145" s="180"/>
      <c r="S4145" s="181"/>
      <c r="T4145" s="35"/>
      <c r="U4145" s="35"/>
      <c r="V4145" s="35"/>
      <c r="W4145" s="35"/>
      <c r="X4145" s="35"/>
      <c r="Y4145" s="182"/>
      <c r="Z4145" s="175"/>
      <c r="AA4145" s="182"/>
      <c r="AB4145" s="184"/>
    </row>
    <row r="4146" spans="1:28" ht="12.75">
      <c r="A4146" s="173"/>
      <c r="B4146" s="174"/>
      <c r="C4146" s="11"/>
      <c r="D4146" s="175"/>
      <c r="E4146" s="176"/>
      <c r="F4146" s="177"/>
      <c r="G4146" s="178"/>
      <c r="H4146" s="177"/>
      <c r="I4146" s="177"/>
      <c r="J4146" s="179"/>
      <c r="K4146" s="183"/>
      <c r="L4146" s="176"/>
      <c r="M4146" s="177"/>
      <c r="N4146" s="21"/>
      <c r="O4146" s="45"/>
      <c r="P4146" s="24"/>
      <c r="Q4146" s="24"/>
      <c r="R4146" s="180"/>
      <c r="S4146" s="181"/>
      <c r="T4146" s="35"/>
      <c r="U4146" s="35"/>
      <c r="V4146" s="35"/>
      <c r="W4146" s="35"/>
      <c r="X4146" s="35"/>
      <c r="Y4146" s="182"/>
      <c r="Z4146" s="175"/>
      <c r="AA4146" s="182"/>
      <c r="AB4146" s="184"/>
    </row>
    <row r="4147" spans="1:28" ht="12.75">
      <c r="A4147" s="173"/>
      <c r="B4147" s="174"/>
      <c r="C4147" s="11"/>
      <c r="D4147" s="175"/>
      <c r="E4147" s="176"/>
      <c r="F4147" s="177"/>
      <c r="G4147" s="178"/>
      <c r="H4147" s="177"/>
      <c r="I4147" s="177"/>
      <c r="J4147" s="179"/>
      <c r="K4147" s="183"/>
      <c r="L4147" s="176"/>
      <c r="M4147" s="177"/>
      <c r="N4147" s="21"/>
      <c r="O4147" s="45"/>
      <c r="P4147" s="24"/>
      <c r="Q4147" s="24"/>
      <c r="R4147" s="180"/>
      <c r="S4147" s="181"/>
      <c r="T4147" s="35"/>
      <c r="U4147" s="35"/>
      <c r="V4147" s="35"/>
      <c r="W4147" s="35"/>
      <c r="X4147" s="35"/>
      <c r="Y4147" s="182"/>
      <c r="Z4147" s="175"/>
      <c r="AA4147" s="182"/>
      <c r="AB4147" s="184"/>
    </row>
    <row r="4148" spans="1:28" ht="12.75">
      <c r="A4148" s="173"/>
      <c r="B4148" s="174"/>
      <c r="C4148" s="11"/>
      <c r="D4148" s="175"/>
      <c r="E4148" s="176"/>
      <c r="F4148" s="177"/>
      <c r="G4148" s="178"/>
      <c r="H4148" s="177"/>
      <c r="I4148" s="177"/>
      <c r="J4148" s="179"/>
      <c r="K4148" s="183"/>
      <c r="L4148" s="176"/>
      <c r="M4148" s="177"/>
      <c r="N4148" s="21"/>
      <c r="O4148" s="45"/>
      <c r="P4148" s="24"/>
      <c r="Q4148" s="24"/>
      <c r="R4148" s="180"/>
      <c r="S4148" s="181"/>
      <c r="T4148" s="35"/>
      <c r="U4148" s="35"/>
      <c r="V4148" s="35"/>
      <c r="W4148" s="35"/>
      <c r="X4148" s="35"/>
      <c r="Y4148" s="182"/>
      <c r="Z4148" s="175"/>
      <c r="AA4148" s="182"/>
      <c r="AB4148" s="184"/>
    </row>
    <row r="4149" spans="1:28" ht="12.75">
      <c r="A4149" s="173"/>
      <c r="B4149" s="174"/>
      <c r="C4149" s="11"/>
      <c r="D4149" s="175"/>
      <c r="E4149" s="176"/>
      <c r="F4149" s="177"/>
      <c r="G4149" s="178"/>
      <c r="H4149" s="177"/>
      <c r="I4149" s="177"/>
      <c r="J4149" s="179"/>
      <c r="K4149" s="183"/>
      <c r="L4149" s="176"/>
      <c r="M4149" s="177"/>
      <c r="N4149" s="21"/>
      <c r="O4149" s="45"/>
      <c r="P4149" s="24"/>
      <c r="Q4149" s="24"/>
      <c r="R4149" s="180"/>
      <c r="S4149" s="181"/>
      <c r="T4149" s="35"/>
      <c r="U4149" s="35"/>
      <c r="V4149" s="35"/>
      <c r="W4149" s="35"/>
      <c r="X4149" s="35"/>
      <c r="Y4149" s="182"/>
      <c r="Z4149" s="175"/>
      <c r="AA4149" s="182"/>
      <c r="AB4149" s="184"/>
    </row>
    <row r="4150" spans="1:28" ht="12.75">
      <c r="A4150" s="173"/>
      <c r="B4150" s="174"/>
      <c r="C4150" s="11"/>
      <c r="D4150" s="175"/>
      <c r="E4150" s="176"/>
      <c r="F4150" s="177"/>
      <c r="G4150" s="178"/>
      <c r="H4150" s="177"/>
      <c r="I4150" s="177"/>
      <c r="J4150" s="179"/>
      <c r="K4150" s="183"/>
      <c r="L4150" s="176"/>
      <c r="M4150" s="177"/>
      <c r="N4150" s="21"/>
      <c r="O4150" s="45"/>
      <c r="P4150" s="24"/>
      <c r="Q4150" s="24"/>
      <c r="R4150" s="180"/>
      <c r="S4150" s="181"/>
      <c r="T4150" s="35"/>
      <c r="U4150" s="35"/>
      <c r="V4150" s="35"/>
      <c r="W4150" s="35"/>
      <c r="X4150" s="35"/>
      <c r="Y4150" s="182"/>
      <c r="Z4150" s="175"/>
      <c r="AA4150" s="182"/>
      <c r="AB4150" s="184"/>
    </row>
    <row r="4151" spans="1:28" ht="12.75">
      <c r="A4151" s="173"/>
      <c r="B4151" s="174"/>
      <c r="C4151" s="11"/>
      <c r="D4151" s="175"/>
      <c r="E4151" s="176"/>
      <c r="F4151" s="177"/>
      <c r="G4151" s="178"/>
      <c r="H4151" s="177"/>
      <c r="I4151" s="177"/>
      <c r="J4151" s="179"/>
      <c r="K4151" s="183"/>
      <c r="L4151" s="176"/>
      <c r="M4151" s="177"/>
      <c r="N4151" s="21"/>
      <c r="O4151" s="45"/>
      <c r="P4151" s="24"/>
      <c r="Q4151" s="24"/>
      <c r="R4151" s="180"/>
      <c r="S4151" s="181"/>
      <c r="T4151" s="35"/>
      <c r="U4151" s="35"/>
      <c r="V4151" s="35"/>
      <c r="W4151" s="35"/>
      <c r="X4151" s="35"/>
      <c r="Y4151" s="182"/>
      <c r="Z4151" s="175"/>
      <c r="AA4151" s="182"/>
      <c r="AB4151" s="184"/>
    </row>
    <row r="4152" spans="1:28" ht="12.75">
      <c r="A4152" s="173"/>
      <c r="B4152" s="174"/>
      <c r="C4152" s="11"/>
      <c r="D4152" s="175"/>
      <c r="E4152" s="176"/>
      <c r="F4152" s="177"/>
      <c r="G4152" s="178"/>
      <c r="H4152" s="177"/>
      <c r="I4152" s="177"/>
      <c r="J4152" s="179"/>
      <c r="K4152" s="183"/>
      <c r="L4152" s="176"/>
      <c r="M4152" s="177"/>
      <c r="N4152" s="21"/>
      <c r="O4152" s="45"/>
      <c r="P4152" s="24"/>
      <c r="Q4152" s="24"/>
      <c r="R4152" s="180"/>
      <c r="S4152" s="181"/>
      <c r="T4152" s="35"/>
      <c r="U4152" s="35"/>
      <c r="V4152" s="35"/>
      <c r="W4152" s="35"/>
      <c r="X4152" s="35"/>
      <c r="Y4152" s="182"/>
      <c r="Z4152" s="175"/>
      <c r="AA4152" s="182"/>
      <c r="AB4152" s="184"/>
    </row>
    <row r="4153" spans="1:28" ht="12.75">
      <c r="A4153" s="173"/>
      <c r="B4153" s="174"/>
      <c r="C4153" s="11"/>
      <c r="D4153" s="175"/>
      <c r="E4153" s="176"/>
      <c r="F4153" s="177"/>
      <c r="G4153" s="178"/>
      <c r="H4153" s="177"/>
      <c r="I4153" s="177"/>
      <c r="J4153" s="179"/>
      <c r="K4153" s="183"/>
      <c r="L4153" s="176"/>
      <c r="M4153" s="177"/>
      <c r="N4153" s="21"/>
      <c r="O4153" s="45"/>
      <c r="P4153" s="24"/>
      <c r="Q4153" s="24"/>
      <c r="R4153" s="180"/>
      <c r="S4153" s="181"/>
      <c r="T4153" s="35"/>
      <c r="U4153" s="35"/>
      <c r="V4153" s="35"/>
      <c r="W4153" s="35"/>
      <c r="X4153" s="35"/>
      <c r="Y4153" s="182"/>
      <c r="Z4153" s="175"/>
      <c r="AA4153" s="182"/>
      <c r="AB4153" s="184"/>
    </row>
    <row r="4154" spans="1:28" ht="12.75">
      <c r="A4154" s="173"/>
      <c r="B4154" s="174"/>
      <c r="C4154" s="11"/>
      <c r="D4154" s="175"/>
      <c r="E4154" s="176"/>
      <c r="F4154" s="177"/>
      <c r="G4154" s="178"/>
      <c r="H4154" s="177"/>
      <c r="I4154" s="177"/>
      <c r="J4154" s="179"/>
      <c r="K4154" s="183"/>
      <c r="L4154" s="176"/>
      <c r="M4154" s="177"/>
      <c r="N4154" s="21"/>
      <c r="O4154" s="45"/>
      <c r="P4154" s="24"/>
      <c r="Q4154" s="24"/>
      <c r="R4154" s="180"/>
      <c r="S4154" s="181"/>
      <c r="T4154" s="35"/>
      <c r="U4154" s="35"/>
      <c r="V4154" s="35"/>
      <c r="W4154" s="35"/>
      <c r="X4154" s="35"/>
      <c r="Y4154" s="182"/>
      <c r="Z4154" s="175"/>
      <c r="AA4154" s="182"/>
      <c r="AB4154" s="184"/>
    </row>
    <row r="4155" spans="1:28" ht="12.75">
      <c r="A4155" s="173"/>
      <c r="B4155" s="174"/>
      <c r="C4155" s="11"/>
      <c r="D4155" s="175"/>
      <c r="E4155" s="176"/>
      <c r="F4155" s="177"/>
      <c r="G4155" s="178"/>
      <c r="H4155" s="177"/>
      <c r="I4155" s="177"/>
      <c r="J4155" s="179"/>
      <c r="K4155" s="183"/>
      <c r="L4155" s="176"/>
      <c r="M4155" s="177"/>
      <c r="N4155" s="21"/>
      <c r="O4155" s="45"/>
      <c r="P4155" s="24"/>
      <c r="Q4155" s="24"/>
      <c r="R4155" s="180"/>
      <c r="S4155" s="181"/>
      <c r="T4155" s="35"/>
      <c r="U4155" s="35"/>
      <c r="V4155" s="35"/>
      <c r="W4155" s="35"/>
      <c r="X4155" s="35"/>
      <c r="Y4155" s="182"/>
      <c r="Z4155" s="175"/>
      <c r="AA4155" s="182"/>
      <c r="AB4155" s="184"/>
    </row>
    <row r="4156" spans="1:28" ht="12.75">
      <c r="A4156" s="173"/>
      <c r="B4156" s="174"/>
      <c r="C4156" s="11"/>
      <c r="D4156" s="175"/>
      <c r="E4156" s="176"/>
      <c r="F4156" s="177"/>
      <c r="G4156" s="178"/>
      <c r="H4156" s="177"/>
      <c r="I4156" s="177"/>
      <c r="J4156" s="179"/>
      <c r="K4156" s="183"/>
      <c r="L4156" s="176"/>
      <c r="M4156" s="177"/>
      <c r="N4156" s="21"/>
      <c r="O4156" s="45"/>
      <c r="P4156" s="24"/>
      <c r="Q4156" s="24"/>
      <c r="R4156" s="180"/>
      <c r="S4156" s="181"/>
      <c r="T4156" s="35"/>
      <c r="U4156" s="35"/>
      <c r="V4156" s="35"/>
      <c r="W4156" s="35"/>
      <c r="X4156" s="35"/>
      <c r="Y4156" s="182"/>
      <c r="Z4156" s="175"/>
      <c r="AA4156" s="182"/>
      <c r="AB4156" s="184"/>
    </row>
    <row r="4157" spans="1:28" ht="12.75">
      <c r="A4157" s="173"/>
      <c r="B4157" s="174"/>
      <c r="C4157" s="11"/>
      <c r="D4157" s="175"/>
      <c r="E4157" s="176"/>
      <c r="F4157" s="177"/>
      <c r="G4157" s="178"/>
      <c r="H4157" s="177"/>
      <c r="I4157" s="177"/>
      <c r="J4157" s="179"/>
      <c r="K4157" s="183"/>
      <c r="L4157" s="176"/>
      <c r="M4157" s="177"/>
      <c r="N4157" s="21"/>
      <c r="O4157" s="45"/>
      <c r="P4157" s="24"/>
      <c r="Q4157" s="24"/>
      <c r="R4157" s="180"/>
      <c r="S4157" s="181"/>
      <c r="T4157" s="35"/>
      <c r="U4157" s="35"/>
      <c r="V4157" s="35"/>
      <c r="W4157" s="35"/>
      <c r="X4157" s="35"/>
      <c r="Y4157" s="182"/>
      <c r="Z4157" s="175"/>
      <c r="AA4157" s="182"/>
      <c r="AB4157" s="184"/>
    </row>
    <row r="4158" spans="1:28" ht="12.75">
      <c r="A4158" s="173"/>
      <c r="B4158" s="174"/>
      <c r="C4158" s="11"/>
      <c r="D4158" s="175"/>
      <c r="E4158" s="176"/>
      <c r="F4158" s="177"/>
      <c r="G4158" s="178"/>
      <c r="H4158" s="177"/>
      <c r="I4158" s="177"/>
      <c r="J4158" s="179"/>
      <c r="K4158" s="183"/>
      <c r="L4158" s="176"/>
      <c r="M4158" s="177"/>
      <c r="N4158" s="21"/>
      <c r="O4158" s="45"/>
      <c r="P4158" s="24"/>
      <c r="Q4158" s="24"/>
      <c r="R4158" s="180"/>
      <c r="S4158" s="181"/>
      <c r="T4158" s="35"/>
      <c r="U4158" s="35"/>
      <c r="V4158" s="35"/>
      <c r="W4158" s="35"/>
      <c r="X4158" s="35"/>
      <c r="Y4158" s="182"/>
      <c r="Z4158" s="175"/>
      <c r="AA4158" s="182"/>
      <c r="AB4158" s="184"/>
    </row>
    <row r="4159" spans="1:28" ht="12.75">
      <c r="A4159" s="173"/>
      <c r="B4159" s="174"/>
      <c r="C4159" s="11"/>
      <c r="D4159" s="175"/>
      <c r="E4159" s="176"/>
      <c r="F4159" s="177"/>
      <c r="G4159" s="178"/>
      <c r="H4159" s="177"/>
      <c r="I4159" s="177"/>
      <c r="J4159" s="179"/>
      <c r="K4159" s="183"/>
      <c r="L4159" s="176"/>
      <c r="M4159" s="177"/>
      <c r="N4159" s="21"/>
      <c r="O4159" s="45"/>
      <c r="P4159" s="24"/>
      <c r="Q4159" s="24"/>
      <c r="R4159" s="180"/>
      <c r="S4159" s="181"/>
      <c r="T4159" s="35"/>
      <c r="U4159" s="35"/>
      <c r="V4159" s="35"/>
      <c r="W4159" s="35"/>
      <c r="X4159" s="35"/>
      <c r="Y4159" s="182"/>
      <c r="Z4159" s="175"/>
      <c r="AA4159" s="182"/>
      <c r="AB4159" s="184"/>
    </row>
    <row r="4160" spans="1:28" ht="12.75">
      <c r="A4160" s="173"/>
      <c r="B4160" s="174"/>
      <c r="C4160" s="11"/>
      <c r="D4160" s="175"/>
      <c r="E4160" s="176"/>
      <c r="F4160" s="177"/>
      <c r="G4160" s="178"/>
      <c r="H4160" s="177"/>
      <c r="I4160" s="177"/>
      <c r="J4160" s="179"/>
      <c r="K4160" s="183"/>
      <c r="L4160" s="176"/>
      <c r="M4160" s="177"/>
      <c r="N4160" s="21"/>
      <c r="O4160" s="45"/>
      <c r="P4160" s="24"/>
      <c r="Q4160" s="24"/>
      <c r="R4160" s="180"/>
      <c r="S4160" s="181"/>
      <c r="T4160" s="35"/>
      <c r="U4160" s="35"/>
      <c r="V4160" s="35"/>
      <c r="W4160" s="35"/>
      <c r="X4160" s="35"/>
      <c r="Y4160" s="182"/>
      <c r="Z4160" s="175"/>
      <c r="AA4160" s="182"/>
      <c r="AB4160" s="184"/>
    </row>
    <row r="4161" spans="1:28" ht="12.75">
      <c r="A4161" s="173"/>
      <c r="B4161" s="174"/>
      <c r="C4161" s="11"/>
      <c r="D4161" s="175"/>
      <c r="E4161" s="176"/>
      <c r="F4161" s="177"/>
      <c r="G4161" s="178"/>
      <c r="H4161" s="177"/>
      <c r="I4161" s="177"/>
      <c r="J4161" s="179"/>
      <c r="K4161" s="183"/>
      <c r="L4161" s="176"/>
      <c r="M4161" s="177"/>
      <c r="N4161" s="21"/>
      <c r="O4161" s="45"/>
      <c r="P4161" s="24"/>
      <c r="Q4161" s="24"/>
      <c r="R4161" s="180"/>
      <c r="S4161" s="181"/>
      <c r="T4161" s="35"/>
      <c r="U4161" s="35"/>
      <c r="V4161" s="35"/>
      <c r="W4161" s="35"/>
      <c r="X4161" s="35"/>
      <c r="Y4161" s="182"/>
      <c r="Z4161" s="175"/>
      <c r="AA4161" s="182"/>
      <c r="AB4161" s="184"/>
    </row>
    <row r="4162" spans="1:28" ht="12.75">
      <c r="A4162" s="173"/>
      <c r="B4162" s="174"/>
      <c r="C4162" s="11"/>
      <c r="D4162" s="175"/>
      <c r="E4162" s="176"/>
      <c r="F4162" s="177"/>
      <c r="G4162" s="178"/>
      <c r="H4162" s="177"/>
      <c r="I4162" s="177"/>
      <c r="J4162" s="179"/>
      <c r="K4162" s="183"/>
      <c r="L4162" s="176"/>
      <c r="M4162" s="177"/>
      <c r="N4162" s="21"/>
      <c r="O4162" s="45"/>
      <c r="P4162" s="24"/>
      <c r="Q4162" s="24"/>
      <c r="R4162" s="180"/>
      <c r="S4162" s="181"/>
      <c r="T4162" s="35"/>
      <c r="U4162" s="35"/>
      <c r="V4162" s="35"/>
      <c r="W4162" s="35"/>
      <c r="X4162" s="35"/>
      <c r="Y4162" s="182"/>
      <c r="Z4162" s="175"/>
      <c r="AA4162" s="182"/>
      <c r="AB4162" s="184"/>
    </row>
    <row r="4163" spans="1:28" ht="12.75">
      <c r="A4163" s="173"/>
      <c r="B4163" s="174"/>
      <c r="C4163" s="11"/>
      <c r="D4163" s="175"/>
      <c r="E4163" s="176"/>
      <c r="F4163" s="177"/>
      <c r="G4163" s="178"/>
      <c r="H4163" s="177"/>
      <c r="I4163" s="177"/>
      <c r="J4163" s="179"/>
      <c r="K4163" s="183"/>
      <c r="L4163" s="176"/>
      <c r="M4163" s="177"/>
      <c r="N4163" s="21"/>
      <c r="O4163" s="45"/>
      <c r="P4163" s="24"/>
      <c r="Q4163" s="24"/>
      <c r="R4163" s="180"/>
      <c r="S4163" s="181"/>
      <c r="T4163" s="35"/>
      <c r="U4163" s="35"/>
      <c r="V4163" s="35"/>
      <c r="W4163" s="35"/>
      <c r="X4163" s="35"/>
      <c r="Y4163" s="182"/>
      <c r="Z4163" s="175"/>
      <c r="AA4163" s="182"/>
      <c r="AB4163" s="184"/>
    </row>
    <row r="4164" spans="1:28" ht="12.75">
      <c r="A4164" s="173"/>
      <c r="B4164" s="174"/>
      <c r="C4164" s="11"/>
      <c r="D4164" s="175"/>
      <c r="E4164" s="176"/>
      <c r="F4164" s="177"/>
      <c r="G4164" s="178"/>
      <c r="H4164" s="177"/>
      <c r="I4164" s="177"/>
      <c r="J4164" s="179"/>
      <c r="K4164" s="183"/>
      <c r="L4164" s="176"/>
      <c r="M4164" s="177"/>
      <c r="N4164" s="21"/>
      <c r="O4164" s="45"/>
      <c r="P4164" s="24"/>
      <c r="Q4164" s="24"/>
      <c r="R4164" s="180"/>
      <c r="S4164" s="181"/>
      <c r="T4164" s="35"/>
      <c r="U4164" s="35"/>
      <c r="V4164" s="35"/>
      <c r="W4164" s="35"/>
      <c r="X4164" s="35"/>
      <c r="Y4164" s="182"/>
      <c r="Z4164" s="175"/>
      <c r="AA4164" s="182"/>
      <c r="AB4164" s="184"/>
    </row>
    <row r="4165" spans="1:28" ht="12.75">
      <c r="A4165" s="173"/>
      <c r="B4165" s="174"/>
      <c r="C4165" s="11"/>
      <c r="D4165" s="175"/>
      <c r="E4165" s="176"/>
      <c r="F4165" s="177"/>
      <c r="G4165" s="178"/>
      <c r="H4165" s="177"/>
      <c r="I4165" s="177"/>
      <c r="J4165" s="179"/>
      <c r="K4165" s="183"/>
      <c r="L4165" s="176"/>
      <c r="M4165" s="177"/>
      <c r="N4165" s="21"/>
      <c r="O4165" s="45"/>
      <c r="P4165" s="24"/>
      <c r="Q4165" s="24"/>
      <c r="R4165" s="180"/>
      <c r="S4165" s="181"/>
      <c r="T4165" s="35"/>
      <c r="U4165" s="35"/>
      <c r="V4165" s="35"/>
      <c r="W4165" s="35"/>
      <c r="X4165" s="35"/>
      <c r="Y4165" s="182"/>
      <c r="Z4165" s="175"/>
      <c r="AA4165" s="182"/>
      <c r="AB4165" s="184"/>
    </row>
    <row r="4166" spans="1:28" ht="12.75">
      <c r="A4166" s="173"/>
      <c r="B4166" s="174"/>
      <c r="C4166" s="11"/>
      <c r="D4166" s="175"/>
      <c r="E4166" s="176"/>
      <c r="F4166" s="177"/>
      <c r="G4166" s="178"/>
      <c r="H4166" s="177"/>
      <c r="I4166" s="177"/>
      <c r="J4166" s="179"/>
      <c r="K4166" s="183"/>
      <c r="L4166" s="176"/>
      <c r="M4166" s="177"/>
      <c r="N4166" s="21"/>
      <c r="O4166" s="45"/>
      <c r="P4166" s="24"/>
      <c r="Q4166" s="24"/>
      <c r="R4166" s="180"/>
      <c r="S4166" s="181"/>
      <c r="T4166" s="35"/>
      <c r="U4166" s="35"/>
      <c r="V4166" s="35"/>
      <c r="W4166" s="35"/>
      <c r="X4166" s="35"/>
      <c r="Y4166" s="182"/>
      <c r="Z4166" s="175"/>
      <c r="AA4166" s="182"/>
      <c r="AB4166" s="184"/>
    </row>
    <row r="4167" spans="1:28" ht="12.75">
      <c r="A4167" s="173"/>
      <c r="B4167" s="174"/>
      <c r="C4167" s="11"/>
      <c r="D4167" s="175"/>
      <c r="E4167" s="176"/>
      <c r="F4167" s="177"/>
      <c r="G4167" s="178"/>
      <c r="H4167" s="177"/>
      <c r="I4167" s="177"/>
      <c r="J4167" s="179"/>
      <c r="K4167" s="183"/>
      <c r="L4167" s="176"/>
      <c r="M4167" s="177"/>
      <c r="N4167" s="21"/>
      <c r="O4167" s="45"/>
      <c r="P4167" s="24"/>
      <c r="Q4167" s="24"/>
      <c r="R4167" s="180"/>
      <c r="S4167" s="181"/>
      <c r="T4167" s="35"/>
      <c r="U4167" s="35"/>
      <c r="V4167" s="35"/>
      <c r="W4167" s="35"/>
      <c r="X4167" s="35"/>
      <c r="Y4167" s="182"/>
      <c r="Z4167" s="175"/>
      <c r="AA4167" s="182"/>
      <c r="AB4167" s="184"/>
    </row>
    <row r="4168" spans="1:28" ht="12.75">
      <c r="A4168" s="173"/>
      <c r="B4168" s="174"/>
      <c r="C4168" s="11"/>
      <c r="D4168" s="175"/>
      <c r="E4168" s="176"/>
      <c r="F4168" s="177"/>
      <c r="G4168" s="178"/>
      <c r="H4168" s="177"/>
      <c r="I4168" s="177"/>
      <c r="J4168" s="179"/>
      <c r="K4168" s="183"/>
      <c r="L4168" s="176"/>
      <c r="M4168" s="177"/>
      <c r="N4168" s="21"/>
      <c r="O4168" s="45"/>
      <c r="P4168" s="24"/>
      <c r="Q4168" s="24"/>
      <c r="R4168" s="180"/>
      <c r="S4168" s="181"/>
      <c r="T4168" s="35"/>
      <c r="U4168" s="35"/>
      <c r="V4168" s="35"/>
      <c r="W4168" s="35"/>
      <c r="X4168" s="35"/>
      <c r="Y4168" s="182"/>
      <c r="Z4168" s="175"/>
      <c r="AA4168" s="182"/>
      <c r="AB4168" s="184"/>
    </row>
    <row r="4169" spans="1:28" ht="12.75">
      <c r="A4169" s="173"/>
      <c r="B4169" s="174"/>
      <c r="C4169" s="11"/>
      <c r="D4169" s="175"/>
      <c r="E4169" s="176"/>
      <c r="F4169" s="177"/>
      <c r="G4169" s="178"/>
      <c r="H4169" s="177"/>
      <c r="I4169" s="177"/>
      <c r="J4169" s="179"/>
      <c r="K4169" s="183"/>
      <c r="L4169" s="176"/>
      <c r="M4169" s="177"/>
      <c r="N4169" s="21"/>
      <c r="O4169" s="45"/>
      <c r="P4169" s="24"/>
      <c r="Q4169" s="24"/>
      <c r="R4169" s="180"/>
      <c r="S4169" s="181"/>
      <c r="T4169" s="35"/>
      <c r="U4169" s="35"/>
      <c r="V4169" s="35"/>
      <c r="W4169" s="35"/>
      <c r="X4169" s="35"/>
      <c r="Y4169" s="182"/>
      <c r="Z4169" s="175"/>
      <c r="AA4169" s="182"/>
      <c r="AB4169" s="184"/>
    </row>
    <row r="4170" spans="1:28" ht="12.75">
      <c r="A4170" s="173"/>
      <c r="B4170" s="174"/>
      <c r="C4170" s="11"/>
      <c r="D4170" s="175"/>
      <c r="E4170" s="176"/>
      <c r="F4170" s="177"/>
      <c r="G4170" s="178"/>
      <c r="H4170" s="177"/>
      <c r="I4170" s="177"/>
      <c r="J4170" s="179"/>
      <c r="K4170" s="183"/>
      <c r="L4170" s="176"/>
      <c r="M4170" s="177"/>
      <c r="N4170" s="21"/>
      <c r="O4170" s="45"/>
      <c r="P4170" s="24"/>
      <c r="Q4170" s="24"/>
      <c r="R4170" s="180"/>
      <c r="S4170" s="181"/>
      <c r="T4170" s="35"/>
      <c r="U4170" s="35"/>
      <c r="V4170" s="35"/>
      <c r="W4170" s="35"/>
      <c r="X4170" s="35"/>
      <c r="Y4170" s="182"/>
      <c r="Z4170" s="175"/>
      <c r="AA4170" s="182"/>
      <c r="AB4170" s="184"/>
    </row>
    <row r="4171" spans="1:28" ht="12.75">
      <c r="A4171" s="173"/>
      <c r="B4171" s="174"/>
      <c r="C4171" s="11"/>
      <c r="D4171" s="175"/>
      <c r="E4171" s="176"/>
      <c r="F4171" s="177"/>
      <c r="G4171" s="178"/>
      <c r="H4171" s="177"/>
      <c r="I4171" s="177"/>
      <c r="J4171" s="179"/>
      <c r="K4171" s="183"/>
      <c r="L4171" s="176"/>
      <c r="M4171" s="177"/>
      <c r="N4171" s="21"/>
      <c r="O4171" s="45"/>
      <c r="P4171" s="24"/>
      <c r="Q4171" s="24"/>
      <c r="R4171" s="180"/>
      <c r="S4171" s="181"/>
      <c r="T4171" s="35"/>
      <c r="U4171" s="35"/>
      <c r="V4171" s="35"/>
      <c r="W4171" s="35"/>
      <c r="X4171" s="35"/>
      <c r="Y4171" s="182"/>
      <c r="Z4171" s="175"/>
      <c r="AA4171" s="182"/>
      <c r="AB4171" s="184"/>
    </row>
    <row r="4172" spans="1:28" ht="12.75">
      <c r="A4172" s="173"/>
      <c r="B4172" s="174"/>
      <c r="C4172" s="11"/>
      <c r="D4172" s="175"/>
      <c r="E4172" s="176"/>
      <c r="F4172" s="177"/>
      <c r="G4172" s="178"/>
      <c r="H4172" s="177"/>
      <c r="I4172" s="177"/>
      <c r="J4172" s="179"/>
      <c r="K4172" s="183"/>
      <c r="L4172" s="176"/>
      <c r="M4172" s="177"/>
      <c r="N4172" s="21"/>
      <c r="O4172" s="45"/>
      <c r="P4172" s="24"/>
      <c r="Q4172" s="24"/>
      <c r="R4172" s="180"/>
      <c r="S4172" s="181"/>
      <c r="T4172" s="35"/>
      <c r="U4172" s="35"/>
      <c r="V4172" s="35"/>
      <c r="W4172" s="35"/>
      <c r="X4172" s="35"/>
      <c r="Y4172" s="182"/>
      <c r="Z4172" s="175"/>
      <c r="AA4172" s="182"/>
      <c r="AB4172" s="184"/>
    </row>
    <row r="4173" spans="1:28" ht="12.75">
      <c r="A4173" s="173"/>
      <c r="B4173" s="174"/>
      <c r="C4173" s="11"/>
      <c r="D4173" s="175"/>
      <c r="E4173" s="176"/>
      <c r="F4173" s="177"/>
      <c r="G4173" s="178"/>
      <c r="H4173" s="177"/>
      <c r="I4173" s="177"/>
      <c r="J4173" s="179"/>
      <c r="K4173" s="183"/>
      <c r="L4173" s="176"/>
      <c r="M4173" s="177"/>
      <c r="N4173" s="21"/>
      <c r="O4173" s="45"/>
      <c r="P4173" s="24"/>
      <c r="Q4173" s="24"/>
      <c r="R4173" s="180"/>
      <c r="S4173" s="181"/>
      <c r="T4173" s="35"/>
      <c r="U4173" s="35"/>
      <c r="V4173" s="35"/>
      <c r="W4173" s="35"/>
      <c r="X4173" s="35"/>
      <c r="Y4173" s="182"/>
      <c r="Z4173" s="175"/>
      <c r="AA4173" s="182"/>
      <c r="AB4173" s="184"/>
    </row>
    <row r="4174" spans="1:28" ht="12.75">
      <c r="A4174" s="173"/>
      <c r="B4174" s="174"/>
      <c r="C4174" s="11"/>
      <c r="D4174" s="175"/>
      <c r="E4174" s="176"/>
      <c r="F4174" s="177"/>
      <c r="G4174" s="178"/>
      <c r="H4174" s="177"/>
      <c r="I4174" s="177"/>
      <c r="J4174" s="179"/>
      <c r="K4174" s="183"/>
      <c r="L4174" s="176"/>
      <c r="M4174" s="177"/>
      <c r="N4174" s="21"/>
      <c r="O4174" s="45"/>
      <c r="P4174" s="24"/>
      <c r="Q4174" s="24"/>
      <c r="R4174" s="180"/>
      <c r="S4174" s="181"/>
      <c r="T4174" s="35"/>
      <c r="U4174" s="35"/>
      <c r="V4174" s="35"/>
      <c r="W4174" s="35"/>
      <c r="X4174" s="35"/>
      <c r="Y4174" s="182"/>
      <c r="Z4174" s="175"/>
      <c r="AA4174" s="182"/>
      <c r="AB4174" s="184"/>
    </row>
    <row r="4175" spans="1:28" ht="12.75">
      <c r="A4175" s="173"/>
      <c r="B4175" s="174"/>
      <c r="C4175" s="11"/>
      <c r="D4175" s="175"/>
      <c r="E4175" s="176"/>
      <c r="F4175" s="177"/>
      <c r="G4175" s="178"/>
      <c r="H4175" s="177"/>
      <c r="I4175" s="177"/>
      <c r="J4175" s="179"/>
      <c r="K4175" s="183"/>
      <c r="L4175" s="176"/>
      <c r="M4175" s="177"/>
      <c r="N4175" s="21"/>
      <c r="O4175" s="45"/>
      <c r="P4175" s="24"/>
      <c r="Q4175" s="24"/>
      <c r="R4175" s="180"/>
      <c r="S4175" s="181"/>
      <c r="T4175" s="35"/>
      <c r="U4175" s="35"/>
      <c r="V4175" s="35"/>
      <c r="W4175" s="35"/>
      <c r="X4175" s="35"/>
      <c r="Y4175" s="182"/>
      <c r="Z4175" s="175"/>
      <c r="AA4175" s="182"/>
      <c r="AB4175" s="184"/>
    </row>
    <row r="4176" spans="1:28" ht="12.75">
      <c r="A4176" s="173"/>
      <c r="B4176" s="174"/>
      <c r="C4176" s="11"/>
      <c r="D4176" s="175"/>
      <c r="E4176" s="176"/>
      <c r="F4176" s="177"/>
      <c r="G4176" s="178"/>
      <c r="H4176" s="177"/>
      <c r="I4176" s="177"/>
      <c r="J4176" s="179"/>
      <c r="K4176" s="183"/>
      <c r="L4176" s="176"/>
      <c r="M4176" s="177"/>
      <c r="N4176" s="21"/>
      <c r="O4176" s="45"/>
      <c r="P4176" s="24"/>
      <c r="Q4176" s="24"/>
      <c r="R4176" s="180"/>
      <c r="S4176" s="181"/>
      <c r="T4176" s="35"/>
      <c r="U4176" s="35"/>
      <c r="V4176" s="35"/>
      <c r="W4176" s="35"/>
      <c r="X4176" s="35"/>
      <c r="Y4176" s="182"/>
      <c r="Z4176" s="175"/>
      <c r="AA4176" s="182"/>
      <c r="AB4176" s="184"/>
    </row>
    <row r="4177" spans="1:28" ht="12.75">
      <c r="A4177" s="173"/>
      <c r="B4177" s="174"/>
      <c r="C4177" s="11"/>
      <c r="D4177" s="175"/>
      <c r="E4177" s="176"/>
      <c r="F4177" s="177"/>
      <c r="G4177" s="178"/>
      <c r="H4177" s="177"/>
      <c r="I4177" s="177"/>
      <c r="J4177" s="179"/>
      <c r="K4177" s="183"/>
      <c r="L4177" s="176"/>
      <c r="M4177" s="177"/>
      <c r="N4177" s="21"/>
      <c r="O4177" s="45"/>
      <c r="P4177" s="24"/>
      <c r="Q4177" s="24"/>
      <c r="R4177" s="180"/>
      <c r="S4177" s="181"/>
      <c r="T4177" s="35"/>
      <c r="U4177" s="35"/>
      <c r="V4177" s="35"/>
      <c r="W4177" s="35"/>
      <c r="X4177" s="35"/>
      <c r="Y4177" s="182"/>
      <c r="Z4177" s="175"/>
      <c r="AA4177" s="182"/>
      <c r="AB4177" s="184"/>
    </row>
    <row r="4178" spans="1:28" ht="12.75">
      <c r="A4178" s="173"/>
      <c r="B4178" s="174"/>
      <c r="C4178" s="11"/>
      <c r="D4178" s="175"/>
      <c r="E4178" s="176"/>
      <c r="F4178" s="177"/>
      <c r="G4178" s="178"/>
      <c r="H4178" s="177"/>
      <c r="I4178" s="177"/>
      <c r="J4178" s="179"/>
      <c r="K4178" s="183"/>
      <c r="L4178" s="176"/>
      <c r="M4178" s="177"/>
      <c r="N4178" s="21"/>
      <c r="O4178" s="45"/>
      <c r="P4178" s="24"/>
      <c r="Q4178" s="24"/>
      <c r="R4178" s="180"/>
      <c r="S4178" s="181"/>
      <c r="T4178" s="35"/>
      <c r="U4178" s="35"/>
      <c r="V4178" s="35"/>
      <c r="W4178" s="35"/>
      <c r="X4178" s="35"/>
      <c r="Y4178" s="182"/>
      <c r="Z4178" s="175"/>
      <c r="AA4178" s="182"/>
      <c r="AB4178" s="184"/>
    </row>
    <row r="4179" spans="1:28" ht="12.75">
      <c r="A4179" s="173"/>
      <c r="B4179" s="174"/>
      <c r="C4179" s="11"/>
      <c r="D4179" s="175"/>
      <c r="E4179" s="176"/>
      <c r="F4179" s="177"/>
      <c r="G4179" s="178"/>
      <c r="H4179" s="177"/>
      <c r="I4179" s="177"/>
      <c r="J4179" s="179"/>
      <c r="K4179" s="183"/>
      <c r="L4179" s="176"/>
      <c r="M4179" s="177"/>
      <c r="N4179" s="21"/>
      <c r="O4179" s="45"/>
      <c r="P4179" s="24"/>
      <c r="Q4179" s="24"/>
      <c r="R4179" s="180"/>
      <c r="S4179" s="181"/>
      <c r="T4179" s="35"/>
      <c r="U4179" s="35"/>
      <c r="V4179" s="35"/>
      <c r="W4179" s="35"/>
      <c r="X4179" s="35"/>
      <c r="Y4179" s="182"/>
      <c r="Z4179" s="175"/>
      <c r="AA4179" s="182"/>
      <c r="AB4179" s="184"/>
    </row>
    <row r="4180" spans="1:28" ht="12.75">
      <c r="A4180" s="173"/>
      <c r="B4180" s="174"/>
      <c r="C4180" s="11"/>
      <c r="D4180" s="175"/>
      <c r="E4180" s="176"/>
      <c r="F4180" s="177"/>
      <c r="G4180" s="178"/>
      <c r="H4180" s="177"/>
      <c r="I4180" s="177"/>
      <c r="J4180" s="179"/>
      <c r="K4180" s="183"/>
      <c r="L4180" s="176"/>
      <c r="M4180" s="177"/>
      <c r="N4180" s="21"/>
      <c r="O4180" s="45"/>
      <c r="P4180" s="24"/>
      <c r="Q4180" s="24"/>
      <c r="R4180" s="180"/>
      <c r="S4180" s="181"/>
      <c r="T4180" s="35"/>
      <c r="U4180" s="35"/>
      <c r="V4180" s="35"/>
      <c r="W4180" s="35"/>
      <c r="X4180" s="35"/>
      <c r="Y4180" s="182"/>
      <c r="Z4180" s="175"/>
      <c r="AA4180" s="182"/>
      <c r="AB4180" s="184"/>
    </row>
    <row r="4181" spans="1:28" ht="12.75">
      <c r="A4181" s="173"/>
      <c r="B4181" s="174"/>
      <c r="C4181" s="11"/>
      <c r="D4181" s="175"/>
      <c r="E4181" s="176"/>
      <c r="F4181" s="177"/>
      <c r="G4181" s="178"/>
      <c r="H4181" s="177"/>
      <c r="I4181" s="177"/>
      <c r="J4181" s="179"/>
      <c r="K4181" s="183"/>
      <c r="L4181" s="176"/>
      <c r="M4181" s="177"/>
      <c r="N4181" s="21"/>
      <c r="O4181" s="45"/>
      <c r="P4181" s="24"/>
      <c r="Q4181" s="24"/>
      <c r="R4181" s="180"/>
      <c r="S4181" s="181"/>
      <c r="T4181" s="35"/>
      <c r="U4181" s="35"/>
      <c r="V4181" s="35"/>
      <c r="W4181" s="35"/>
      <c r="X4181" s="35"/>
      <c r="Y4181" s="182"/>
      <c r="Z4181" s="175"/>
      <c r="AA4181" s="182"/>
      <c r="AB4181" s="184"/>
    </row>
    <row r="4182" spans="1:28" ht="12.75">
      <c r="A4182" s="173"/>
      <c r="B4182" s="174"/>
      <c r="C4182" s="11"/>
      <c r="D4182" s="175"/>
      <c r="E4182" s="176"/>
      <c r="F4182" s="177"/>
      <c r="G4182" s="178"/>
      <c r="H4182" s="177"/>
      <c r="I4182" s="177"/>
      <c r="J4182" s="179"/>
      <c r="K4182" s="183"/>
      <c r="L4182" s="176"/>
      <c r="M4182" s="177"/>
      <c r="N4182" s="21"/>
      <c r="O4182" s="45"/>
      <c r="P4182" s="24"/>
      <c r="Q4182" s="24"/>
      <c r="R4182" s="180"/>
      <c r="S4182" s="181"/>
      <c r="T4182" s="35"/>
      <c r="U4182" s="35"/>
      <c r="V4182" s="35"/>
      <c r="W4182" s="35"/>
      <c r="X4182" s="35"/>
      <c r="Y4182" s="182"/>
      <c r="Z4182" s="175"/>
      <c r="AA4182" s="182"/>
      <c r="AB4182" s="184"/>
    </row>
    <row r="4183" spans="1:28" ht="12.75">
      <c r="A4183" s="173"/>
      <c r="B4183" s="174"/>
      <c r="C4183" s="11"/>
      <c r="D4183" s="175"/>
      <c r="E4183" s="176"/>
      <c r="F4183" s="177"/>
      <c r="G4183" s="178"/>
      <c r="H4183" s="177"/>
      <c r="I4183" s="177"/>
      <c r="J4183" s="179"/>
      <c r="K4183" s="183"/>
      <c r="L4183" s="176"/>
      <c r="M4183" s="177"/>
      <c r="N4183" s="21"/>
      <c r="O4183" s="45"/>
      <c r="P4183" s="24"/>
      <c r="Q4183" s="24"/>
      <c r="R4183" s="180"/>
      <c r="S4183" s="181"/>
      <c r="T4183" s="35"/>
      <c r="U4183" s="35"/>
      <c r="V4183" s="35"/>
      <c r="W4183" s="35"/>
      <c r="X4183" s="35"/>
      <c r="Y4183" s="182"/>
      <c r="Z4183" s="175"/>
      <c r="AA4183" s="182"/>
      <c r="AB4183" s="184"/>
    </row>
    <row r="4184" spans="1:28" ht="12.75">
      <c r="A4184" s="173"/>
      <c r="B4184" s="174"/>
      <c r="C4184" s="11"/>
      <c r="D4184" s="175"/>
      <c r="E4184" s="176"/>
      <c r="F4184" s="177"/>
      <c r="G4184" s="178"/>
      <c r="H4184" s="177"/>
      <c r="I4184" s="177"/>
      <c r="J4184" s="179"/>
      <c r="K4184" s="183"/>
      <c r="L4184" s="176"/>
      <c r="M4184" s="177"/>
      <c r="N4184" s="21"/>
      <c r="O4184" s="45"/>
      <c r="P4184" s="24"/>
      <c r="Q4184" s="24"/>
      <c r="R4184" s="180"/>
      <c r="S4184" s="181"/>
      <c r="T4184" s="35"/>
      <c r="U4184" s="35"/>
      <c r="V4184" s="35"/>
      <c r="W4184" s="35"/>
      <c r="X4184" s="35"/>
      <c r="Y4184" s="182"/>
      <c r="Z4184" s="175"/>
      <c r="AA4184" s="182"/>
      <c r="AB4184" s="184"/>
    </row>
    <row r="4185" spans="1:28" ht="12.75">
      <c r="A4185" s="173"/>
      <c r="B4185" s="174"/>
      <c r="C4185" s="11"/>
      <c r="D4185" s="175"/>
      <c r="E4185" s="176"/>
      <c r="F4185" s="177"/>
      <c r="G4185" s="178"/>
      <c r="H4185" s="177"/>
      <c r="I4185" s="177"/>
      <c r="J4185" s="179"/>
      <c r="K4185" s="183"/>
      <c r="L4185" s="176"/>
      <c r="M4185" s="177"/>
      <c r="N4185" s="21"/>
      <c r="O4185" s="45"/>
      <c r="P4185" s="24"/>
      <c r="Q4185" s="24"/>
      <c r="R4185" s="180"/>
      <c r="S4185" s="181"/>
      <c r="T4185" s="35"/>
      <c r="U4185" s="35"/>
      <c r="V4185" s="35"/>
      <c r="W4185" s="35"/>
      <c r="X4185" s="35"/>
      <c r="Y4185" s="182"/>
      <c r="Z4185" s="175"/>
      <c r="AA4185" s="182"/>
      <c r="AB4185" s="184"/>
    </row>
    <row r="4186" spans="1:28" ht="12.75">
      <c r="A4186" s="173"/>
      <c r="B4186" s="174"/>
      <c r="C4186" s="11"/>
      <c r="D4186" s="175"/>
      <c r="E4186" s="176"/>
      <c r="F4186" s="177"/>
      <c r="G4186" s="178"/>
      <c r="H4186" s="177"/>
      <c r="I4186" s="177"/>
      <c r="J4186" s="179"/>
      <c r="K4186" s="183"/>
      <c r="L4186" s="176"/>
      <c r="M4186" s="177"/>
      <c r="N4186" s="21"/>
      <c r="O4186" s="45"/>
      <c r="P4186" s="24"/>
      <c r="Q4186" s="24"/>
      <c r="R4186" s="180"/>
      <c r="S4186" s="181"/>
      <c r="T4186" s="35"/>
      <c r="U4186" s="35"/>
      <c r="V4186" s="35"/>
      <c r="W4186" s="35"/>
      <c r="X4186" s="35"/>
      <c r="Y4186" s="182"/>
      <c r="Z4186" s="175"/>
      <c r="AA4186" s="182"/>
      <c r="AB4186" s="184"/>
    </row>
    <row r="4187" spans="1:28" ht="12.75">
      <c r="A4187" s="173"/>
      <c r="B4187" s="174"/>
      <c r="C4187" s="11"/>
      <c r="D4187" s="175"/>
      <c r="E4187" s="176"/>
      <c r="F4187" s="177"/>
      <c r="G4187" s="178"/>
      <c r="H4187" s="177"/>
      <c r="I4187" s="177"/>
      <c r="J4187" s="179"/>
      <c r="K4187" s="183"/>
      <c r="L4187" s="176"/>
      <c r="M4187" s="177"/>
      <c r="N4187" s="21"/>
      <c r="O4187" s="45"/>
      <c r="P4187" s="24"/>
      <c r="Q4187" s="24"/>
      <c r="R4187" s="180"/>
      <c r="S4187" s="181"/>
      <c r="T4187" s="35"/>
      <c r="U4187" s="35"/>
      <c r="V4187" s="35"/>
      <c r="W4187" s="35"/>
      <c r="X4187" s="35"/>
      <c r="Y4187" s="182"/>
      <c r="Z4187" s="175"/>
      <c r="AA4187" s="182"/>
      <c r="AB4187" s="184"/>
    </row>
    <row r="4188" spans="1:28" ht="12.75">
      <c r="A4188" s="173"/>
      <c r="B4188" s="174"/>
      <c r="C4188" s="11"/>
      <c r="D4188" s="175"/>
      <c r="E4188" s="176"/>
      <c r="F4188" s="177"/>
      <c r="G4188" s="178"/>
      <c r="H4188" s="177"/>
      <c r="I4188" s="177"/>
      <c r="J4188" s="179"/>
      <c r="K4188" s="183"/>
      <c r="L4188" s="176"/>
      <c r="M4188" s="177"/>
      <c r="N4188" s="21"/>
      <c r="O4188" s="45"/>
      <c r="P4188" s="24"/>
      <c r="Q4188" s="24"/>
      <c r="R4188" s="180"/>
      <c r="S4188" s="181"/>
      <c r="T4188" s="35"/>
      <c r="U4188" s="35"/>
      <c r="V4188" s="35"/>
      <c r="W4188" s="35"/>
      <c r="X4188" s="35"/>
      <c r="Y4188" s="182"/>
      <c r="Z4188" s="175"/>
      <c r="AA4188" s="182"/>
      <c r="AB4188" s="184"/>
    </row>
    <row r="4189" spans="1:28" ht="12.75">
      <c r="A4189" s="173"/>
      <c r="B4189" s="174"/>
      <c r="C4189" s="11"/>
      <c r="D4189" s="175"/>
      <c r="E4189" s="176"/>
      <c r="F4189" s="177"/>
      <c r="G4189" s="178"/>
      <c r="H4189" s="177"/>
      <c r="I4189" s="177"/>
      <c r="J4189" s="179"/>
      <c r="K4189" s="183"/>
      <c r="L4189" s="176"/>
      <c r="M4189" s="177"/>
      <c r="N4189" s="21"/>
      <c r="O4189" s="45"/>
      <c r="P4189" s="24"/>
      <c r="Q4189" s="24"/>
      <c r="R4189" s="180"/>
      <c r="S4189" s="181"/>
      <c r="T4189" s="35"/>
      <c r="U4189" s="35"/>
      <c r="V4189" s="35"/>
      <c r="W4189" s="35"/>
      <c r="X4189" s="35"/>
      <c r="Y4189" s="182"/>
      <c r="Z4189" s="175"/>
      <c r="AA4189" s="182"/>
      <c r="AB4189" s="184"/>
    </row>
    <row r="4190" spans="1:28" ht="12.75">
      <c r="A4190" s="173"/>
      <c r="B4190" s="174"/>
      <c r="C4190" s="11"/>
      <c r="D4190" s="175"/>
      <c r="E4190" s="176"/>
      <c r="F4190" s="177"/>
      <c r="G4190" s="178"/>
      <c r="H4190" s="177"/>
      <c r="I4190" s="177"/>
      <c r="J4190" s="179"/>
      <c r="K4190" s="183"/>
      <c r="L4190" s="176"/>
      <c r="M4190" s="177"/>
      <c r="N4190" s="21"/>
      <c r="O4190" s="45"/>
      <c r="P4190" s="24"/>
      <c r="Q4190" s="24"/>
      <c r="R4190" s="180"/>
      <c r="S4190" s="181"/>
      <c r="T4190" s="35"/>
      <c r="U4190" s="35"/>
      <c r="V4190" s="35"/>
      <c r="W4190" s="35"/>
      <c r="X4190" s="35"/>
      <c r="Y4190" s="182"/>
      <c r="Z4190" s="175"/>
      <c r="AA4190" s="182"/>
      <c r="AB4190" s="184"/>
    </row>
    <row r="4191" spans="1:28" ht="12.75">
      <c r="A4191" s="173"/>
      <c r="B4191" s="174"/>
      <c r="C4191" s="11"/>
      <c r="D4191" s="175"/>
      <c r="E4191" s="176"/>
      <c r="F4191" s="177"/>
      <c r="G4191" s="178"/>
      <c r="H4191" s="177"/>
      <c r="I4191" s="177"/>
      <c r="J4191" s="179"/>
      <c r="K4191" s="183"/>
      <c r="L4191" s="176"/>
      <c r="M4191" s="177"/>
      <c r="N4191" s="21"/>
      <c r="O4191" s="45"/>
      <c r="P4191" s="24"/>
      <c r="Q4191" s="24"/>
      <c r="R4191" s="180"/>
      <c r="S4191" s="181"/>
      <c r="T4191" s="35"/>
      <c r="U4191" s="35"/>
      <c r="V4191" s="35"/>
      <c r="W4191" s="35"/>
      <c r="X4191" s="35"/>
      <c r="Y4191" s="182"/>
      <c r="Z4191" s="175"/>
      <c r="AA4191" s="182"/>
      <c r="AB4191" s="184"/>
    </row>
    <row r="4192" spans="1:28" ht="12.75">
      <c r="A4192" s="173"/>
      <c r="B4192" s="174"/>
      <c r="C4192" s="11"/>
      <c r="D4192" s="175"/>
      <c r="E4192" s="176"/>
      <c r="F4192" s="177"/>
      <c r="G4192" s="178"/>
      <c r="H4192" s="177"/>
      <c r="I4192" s="177"/>
      <c r="J4192" s="179"/>
      <c r="K4192" s="183"/>
      <c r="L4192" s="176"/>
      <c r="M4192" s="177"/>
      <c r="N4192" s="21"/>
      <c r="O4192" s="45"/>
      <c r="P4192" s="24"/>
      <c r="Q4192" s="24"/>
      <c r="R4192" s="180"/>
      <c r="S4192" s="181"/>
      <c r="T4192" s="35"/>
      <c r="U4192" s="35"/>
      <c r="V4192" s="35"/>
      <c r="W4192" s="35"/>
      <c r="X4192" s="35"/>
      <c r="Y4192" s="182"/>
      <c r="Z4192" s="175"/>
      <c r="AA4192" s="182"/>
      <c r="AB4192" s="184"/>
    </row>
    <row r="4193" spans="1:28" ht="12.75">
      <c r="A4193" s="173"/>
      <c r="B4193" s="174"/>
      <c r="C4193" s="11"/>
      <c r="D4193" s="175"/>
      <c r="E4193" s="176"/>
      <c r="F4193" s="177"/>
      <c r="G4193" s="178"/>
      <c r="H4193" s="177"/>
      <c r="I4193" s="177"/>
      <c r="J4193" s="179"/>
      <c r="K4193" s="183"/>
      <c r="L4193" s="176"/>
      <c r="M4193" s="177"/>
      <c r="N4193" s="21"/>
      <c r="O4193" s="45"/>
      <c r="P4193" s="24"/>
      <c r="Q4193" s="24"/>
      <c r="R4193" s="180"/>
      <c r="S4193" s="181"/>
      <c r="T4193" s="35"/>
      <c r="U4193" s="35"/>
      <c r="V4193" s="35"/>
      <c r="W4193" s="35"/>
      <c r="X4193" s="35"/>
      <c r="Y4193" s="182"/>
      <c r="Z4193" s="175"/>
      <c r="AA4193" s="182"/>
      <c r="AB4193" s="184"/>
    </row>
    <row r="4194" spans="1:28" ht="12.75">
      <c r="A4194" s="173"/>
      <c r="B4194" s="174"/>
      <c r="C4194" s="11"/>
      <c r="D4194" s="175"/>
      <c r="E4194" s="176"/>
      <c r="F4194" s="177"/>
      <c r="G4194" s="178"/>
      <c r="H4194" s="177"/>
      <c r="I4194" s="177"/>
      <c r="J4194" s="179"/>
      <c r="K4194" s="183"/>
      <c r="L4194" s="176"/>
      <c r="M4194" s="177"/>
      <c r="N4194" s="21"/>
      <c r="O4194" s="45"/>
      <c r="P4194" s="24"/>
      <c r="Q4194" s="24"/>
      <c r="R4194" s="180"/>
      <c r="S4194" s="181"/>
      <c r="T4194" s="35"/>
      <c r="U4194" s="35"/>
      <c r="V4194" s="35"/>
      <c r="W4194" s="35"/>
      <c r="X4194" s="35"/>
      <c r="Y4194" s="182"/>
      <c r="Z4194" s="175"/>
      <c r="AA4194" s="182"/>
      <c r="AB4194" s="184"/>
    </row>
    <row r="4195" spans="1:28" ht="12.75">
      <c r="A4195" s="173"/>
      <c r="B4195" s="174"/>
      <c r="C4195" s="11"/>
      <c r="D4195" s="175"/>
      <c r="E4195" s="176"/>
      <c r="F4195" s="177"/>
      <c r="G4195" s="178"/>
      <c r="H4195" s="177"/>
      <c r="I4195" s="177"/>
      <c r="J4195" s="179"/>
      <c r="K4195" s="183"/>
      <c r="L4195" s="176"/>
      <c r="M4195" s="177"/>
      <c r="N4195" s="21"/>
      <c r="O4195" s="45"/>
      <c r="P4195" s="24"/>
      <c r="Q4195" s="24"/>
      <c r="R4195" s="180"/>
      <c r="S4195" s="181"/>
      <c r="T4195" s="35"/>
      <c r="U4195" s="35"/>
      <c r="V4195" s="35"/>
      <c r="W4195" s="35"/>
      <c r="X4195" s="35"/>
      <c r="Y4195" s="182"/>
      <c r="Z4195" s="175"/>
      <c r="AA4195" s="182"/>
      <c r="AB4195" s="184"/>
    </row>
    <row r="4196" spans="1:28" ht="12.75">
      <c r="A4196" s="173"/>
      <c r="B4196" s="174"/>
      <c r="C4196" s="11"/>
      <c r="D4196" s="175"/>
      <c r="E4196" s="176"/>
      <c r="F4196" s="177"/>
      <c r="G4196" s="178"/>
      <c r="H4196" s="177"/>
      <c r="I4196" s="177"/>
      <c r="J4196" s="179"/>
      <c r="K4196" s="183"/>
      <c r="L4196" s="176"/>
      <c r="M4196" s="177"/>
      <c r="N4196" s="21"/>
      <c r="O4196" s="45"/>
      <c r="P4196" s="24"/>
      <c r="Q4196" s="24"/>
      <c r="R4196" s="180"/>
      <c r="S4196" s="181"/>
      <c r="T4196" s="35"/>
      <c r="U4196" s="35"/>
      <c r="V4196" s="35"/>
      <c r="W4196" s="35"/>
      <c r="X4196" s="35"/>
      <c r="Y4196" s="182"/>
      <c r="Z4196" s="175"/>
      <c r="AA4196" s="182"/>
      <c r="AB4196" s="184"/>
    </row>
    <row r="4197" spans="1:28" ht="12.75">
      <c r="A4197" s="173"/>
      <c r="B4197" s="174"/>
      <c r="C4197" s="11"/>
      <c r="D4197" s="175"/>
      <c r="E4197" s="176"/>
      <c r="F4197" s="177"/>
      <c r="G4197" s="178"/>
      <c r="H4197" s="177"/>
      <c r="I4197" s="177"/>
      <c r="J4197" s="179"/>
      <c r="K4197" s="183"/>
      <c r="L4197" s="176"/>
      <c r="M4197" s="177"/>
      <c r="N4197" s="21"/>
      <c r="O4197" s="45"/>
      <c r="P4197" s="24"/>
      <c r="Q4197" s="24"/>
      <c r="R4197" s="180"/>
      <c r="S4197" s="181"/>
      <c r="T4197" s="35"/>
      <c r="U4197" s="35"/>
      <c r="V4197" s="35"/>
      <c r="W4197" s="35"/>
      <c r="X4197" s="35"/>
      <c r="Y4197" s="182"/>
      <c r="Z4197" s="175"/>
      <c r="AA4197" s="182"/>
      <c r="AB4197" s="184"/>
    </row>
    <row r="4198" spans="1:28" ht="12.75">
      <c r="A4198" s="173"/>
      <c r="B4198" s="174"/>
      <c r="C4198" s="11"/>
      <c r="D4198" s="175"/>
      <c r="E4198" s="176"/>
      <c r="F4198" s="177"/>
      <c r="G4198" s="178"/>
      <c r="H4198" s="177"/>
      <c r="I4198" s="177"/>
      <c r="J4198" s="179"/>
      <c r="K4198" s="183"/>
      <c r="L4198" s="176"/>
      <c r="M4198" s="177"/>
      <c r="N4198" s="21"/>
      <c r="O4198" s="45"/>
      <c r="P4198" s="24"/>
      <c r="Q4198" s="24"/>
      <c r="R4198" s="180"/>
      <c r="S4198" s="181"/>
      <c r="T4198" s="35"/>
      <c r="U4198" s="35"/>
      <c r="V4198" s="35"/>
      <c r="W4198" s="35"/>
      <c r="X4198" s="35"/>
      <c r="Y4198" s="182"/>
      <c r="Z4198" s="175"/>
      <c r="AA4198" s="182"/>
      <c r="AB4198" s="184"/>
    </row>
    <row r="4199" spans="1:28" ht="12.75">
      <c r="A4199" s="173"/>
      <c r="B4199" s="174"/>
      <c r="C4199" s="11"/>
      <c r="D4199" s="175"/>
      <c r="E4199" s="176"/>
      <c r="F4199" s="177"/>
      <c r="G4199" s="178"/>
      <c r="H4199" s="177"/>
      <c r="I4199" s="177"/>
      <c r="J4199" s="179"/>
      <c r="K4199" s="183"/>
      <c r="L4199" s="176"/>
      <c r="M4199" s="177"/>
      <c r="N4199" s="21"/>
      <c r="O4199" s="45"/>
      <c r="P4199" s="24"/>
      <c r="Q4199" s="24"/>
      <c r="R4199" s="180"/>
      <c r="S4199" s="181"/>
      <c r="T4199" s="35"/>
      <c r="U4199" s="35"/>
      <c r="V4199" s="35"/>
      <c r="W4199" s="35"/>
      <c r="X4199" s="35"/>
      <c r="Y4199" s="182"/>
      <c r="Z4199" s="175"/>
      <c r="AA4199" s="182"/>
      <c r="AB4199" s="184"/>
    </row>
    <row r="4200" spans="1:28" ht="12.75">
      <c r="A4200" s="173"/>
      <c r="B4200" s="174"/>
      <c r="C4200" s="11"/>
      <c r="D4200" s="175"/>
      <c r="E4200" s="176"/>
      <c r="F4200" s="177"/>
      <c r="G4200" s="178"/>
      <c r="H4200" s="177"/>
      <c r="I4200" s="177"/>
      <c r="J4200" s="179"/>
      <c r="K4200" s="183"/>
      <c r="L4200" s="176"/>
      <c r="M4200" s="177"/>
      <c r="N4200" s="21"/>
      <c r="O4200" s="45"/>
      <c r="P4200" s="24"/>
      <c r="Q4200" s="24"/>
      <c r="R4200" s="180"/>
      <c r="S4200" s="181"/>
      <c r="T4200" s="35"/>
      <c r="U4200" s="35"/>
      <c r="V4200" s="35"/>
      <c r="W4200" s="35"/>
      <c r="X4200" s="35"/>
      <c r="Y4200" s="182"/>
      <c r="Z4200" s="175"/>
      <c r="AA4200" s="182"/>
      <c r="AB4200" s="184"/>
    </row>
    <row r="4201" spans="1:28" ht="12.75">
      <c r="A4201" s="173"/>
      <c r="B4201" s="174"/>
      <c r="C4201" s="11"/>
      <c r="D4201" s="175"/>
      <c r="E4201" s="176"/>
      <c r="F4201" s="177"/>
      <c r="G4201" s="178"/>
      <c r="H4201" s="177"/>
      <c r="I4201" s="177"/>
      <c r="J4201" s="179"/>
      <c r="K4201" s="183"/>
      <c r="L4201" s="176"/>
      <c r="M4201" s="177"/>
      <c r="N4201" s="21"/>
      <c r="O4201" s="45"/>
      <c r="P4201" s="24"/>
      <c r="Q4201" s="24"/>
      <c r="R4201" s="180"/>
      <c r="S4201" s="181"/>
      <c r="T4201" s="35"/>
      <c r="U4201" s="35"/>
      <c r="V4201" s="35"/>
      <c r="W4201" s="35"/>
      <c r="X4201" s="35"/>
      <c r="Y4201" s="182"/>
      <c r="Z4201" s="175"/>
      <c r="AA4201" s="182"/>
      <c r="AB4201" s="184"/>
    </row>
    <row r="4202" spans="1:28" ht="12.75">
      <c r="A4202" s="173"/>
      <c r="B4202" s="174"/>
      <c r="C4202" s="11"/>
      <c r="D4202" s="175"/>
      <c r="E4202" s="176"/>
      <c r="F4202" s="177"/>
      <c r="G4202" s="178"/>
      <c r="H4202" s="177"/>
      <c r="I4202" s="177"/>
      <c r="J4202" s="179"/>
      <c r="K4202" s="183"/>
      <c r="L4202" s="176"/>
      <c r="M4202" s="177"/>
      <c r="N4202" s="21"/>
      <c r="O4202" s="45"/>
      <c r="P4202" s="24"/>
      <c r="Q4202" s="24"/>
      <c r="R4202" s="180"/>
      <c r="S4202" s="181"/>
      <c r="T4202" s="35"/>
      <c r="U4202" s="35"/>
      <c r="V4202" s="35"/>
      <c r="W4202" s="35"/>
      <c r="X4202" s="35"/>
      <c r="Y4202" s="182"/>
      <c r="Z4202" s="175"/>
      <c r="AA4202" s="182"/>
      <c r="AB4202" s="184"/>
    </row>
    <row r="4203" spans="1:28" ht="12.75">
      <c r="A4203" s="173"/>
      <c r="B4203" s="174"/>
      <c r="C4203" s="11"/>
      <c r="D4203" s="175"/>
      <c r="E4203" s="176"/>
      <c r="F4203" s="177"/>
      <c r="G4203" s="178"/>
      <c r="H4203" s="177"/>
      <c r="I4203" s="177"/>
      <c r="J4203" s="179"/>
      <c r="K4203" s="183"/>
      <c r="L4203" s="176"/>
      <c r="M4203" s="177"/>
      <c r="N4203" s="21"/>
      <c r="O4203" s="45"/>
      <c r="P4203" s="24"/>
      <c r="Q4203" s="24"/>
      <c r="R4203" s="180"/>
      <c r="S4203" s="181"/>
      <c r="T4203" s="35"/>
      <c r="U4203" s="35"/>
      <c r="V4203" s="35"/>
      <c r="W4203" s="35"/>
      <c r="X4203" s="35"/>
      <c r="Y4203" s="182"/>
      <c r="Z4203" s="175"/>
      <c r="AA4203" s="182"/>
      <c r="AB4203" s="184"/>
    </row>
    <row r="4204" spans="1:28" ht="12.75">
      <c r="A4204" s="173"/>
      <c r="B4204" s="174"/>
      <c r="C4204" s="11"/>
      <c r="D4204" s="175"/>
      <c r="E4204" s="176"/>
      <c r="F4204" s="177"/>
      <c r="G4204" s="178"/>
      <c r="H4204" s="177"/>
      <c r="I4204" s="177"/>
      <c r="J4204" s="179"/>
      <c r="K4204" s="183"/>
      <c r="L4204" s="176"/>
      <c r="M4204" s="177"/>
      <c r="N4204" s="21"/>
      <c r="O4204" s="45"/>
      <c r="P4204" s="24"/>
      <c r="Q4204" s="24"/>
      <c r="R4204" s="180"/>
      <c r="S4204" s="181"/>
      <c r="T4204" s="35"/>
      <c r="U4204" s="35"/>
      <c r="V4204" s="35"/>
      <c r="W4204" s="35"/>
      <c r="X4204" s="35"/>
      <c r="Y4204" s="182"/>
      <c r="Z4204" s="175"/>
      <c r="AA4204" s="182"/>
      <c r="AB4204" s="184"/>
    </row>
    <row r="4205" spans="1:28" ht="12.75">
      <c r="A4205" s="173"/>
      <c r="B4205" s="174"/>
      <c r="C4205" s="11"/>
      <c r="D4205" s="175"/>
      <c r="E4205" s="176"/>
      <c r="F4205" s="177"/>
      <c r="G4205" s="178"/>
      <c r="H4205" s="177"/>
      <c r="I4205" s="177"/>
      <c r="J4205" s="179"/>
      <c r="K4205" s="183"/>
      <c r="L4205" s="176"/>
      <c r="M4205" s="177"/>
      <c r="N4205" s="21"/>
      <c r="O4205" s="45"/>
      <c r="P4205" s="24"/>
      <c r="Q4205" s="24"/>
      <c r="R4205" s="180"/>
      <c r="S4205" s="181"/>
      <c r="T4205" s="35"/>
      <c r="U4205" s="35"/>
      <c r="V4205" s="35"/>
      <c r="W4205" s="35"/>
      <c r="X4205" s="35"/>
      <c r="Y4205" s="182"/>
      <c r="Z4205" s="175"/>
      <c r="AA4205" s="182"/>
      <c r="AB4205" s="184"/>
    </row>
    <row r="4206" spans="1:28" ht="12.75">
      <c r="A4206" s="173"/>
      <c r="B4206" s="174"/>
      <c r="C4206" s="11"/>
      <c r="D4206" s="175"/>
      <c r="E4206" s="176"/>
      <c r="F4206" s="177"/>
      <c r="G4206" s="178"/>
      <c r="H4206" s="177"/>
      <c r="I4206" s="177"/>
      <c r="J4206" s="179"/>
      <c r="K4206" s="183"/>
      <c r="L4206" s="176"/>
      <c r="M4206" s="177"/>
      <c r="N4206" s="21"/>
      <c r="O4206" s="45"/>
      <c r="P4206" s="24"/>
      <c r="Q4206" s="24"/>
      <c r="R4206" s="180"/>
      <c r="S4206" s="181"/>
      <c r="T4206" s="35"/>
      <c r="U4206" s="35"/>
      <c r="V4206" s="35"/>
      <c r="W4206" s="35"/>
      <c r="X4206" s="35"/>
      <c r="Y4206" s="182"/>
      <c r="Z4206" s="175"/>
      <c r="AA4206" s="182"/>
      <c r="AB4206" s="184"/>
    </row>
    <row r="4207" spans="1:28" ht="12.75">
      <c r="A4207" s="173"/>
      <c r="B4207" s="174"/>
      <c r="C4207" s="11"/>
      <c r="D4207" s="175"/>
      <c r="E4207" s="176"/>
      <c r="F4207" s="177"/>
      <c r="G4207" s="178"/>
      <c r="H4207" s="177"/>
      <c r="I4207" s="177"/>
      <c r="J4207" s="179"/>
      <c r="K4207" s="183"/>
      <c r="L4207" s="176"/>
      <c r="M4207" s="177"/>
      <c r="N4207" s="21"/>
      <c r="O4207" s="45"/>
      <c r="P4207" s="24"/>
      <c r="Q4207" s="24"/>
      <c r="R4207" s="180"/>
      <c r="S4207" s="181"/>
      <c r="T4207" s="35"/>
      <c r="U4207" s="35"/>
      <c r="V4207" s="35"/>
      <c r="W4207" s="35"/>
      <c r="X4207" s="35"/>
      <c r="Y4207" s="182"/>
      <c r="Z4207" s="175"/>
      <c r="AA4207" s="182"/>
      <c r="AB4207" s="184"/>
    </row>
    <row r="4208" spans="1:28" ht="12.75">
      <c r="A4208" s="173"/>
      <c r="B4208" s="174"/>
      <c r="C4208" s="11"/>
      <c r="D4208" s="175"/>
      <c r="E4208" s="176"/>
      <c r="F4208" s="177"/>
      <c r="G4208" s="178"/>
      <c r="H4208" s="177"/>
      <c r="I4208" s="177"/>
      <c r="J4208" s="179"/>
      <c r="K4208" s="183"/>
      <c r="L4208" s="176"/>
      <c r="M4208" s="177"/>
      <c r="N4208" s="21"/>
      <c r="O4208" s="45"/>
      <c r="P4208" s="24"/>
      <c r="Q4208" s="24"/>
      <c r="R4208" s="180"/>
      <c r="S4208" s="181"/>
      <c r="T4208" s="35"/>
      <c r="U4208" s="35"/>
      <c r="V4208" s="35"/>
      <c r="W4208" s="35"/>
      <c r="X4208" s="35"/>
      <c r="Y4208" s="182"/>
      <c r="Z4208" s="175"/>
      <c r="AA4208" s="182"/>
      <c r="AB4208" s="184"/>
    </row>
    <row r="4209" spans="1:28" ht="12.75">
      <c r="A4209" s="173"/>
      <c r="B4209" s="174"/>
      <c r="C4209" s="11"/>
      <c r="D4209" s="175"/>
      <c r="E4209" s="176"/>
      <c r="F4209" s="177"/>
      <c r="G4209" s="178"/>
      <c r="H4209" s="177"/>
      <c r="I4209" s="177"/>
      <c r="J4209" s="179"/>
      <c r="K4209" s="183"/>
      <c r="L4209" s="176"/>
      <c r="M4209" s="177"/>
      <c r="N4209" s="21"/>
      <c r="O4209" s="45"/>
      <c r="P4209" s="24"/>
      <c r="Q4209" s="24"/>
      <c r="R4209" s="180"/>
      <c r="S4209" s="181"/>
      <c r="T4209" s="35"/>
      <c r="U4209" s="35"/>
      <c r="V4209" s="35"/>
      <c r="W4209" s="35"/>
      <c r="X4209" s="35"/>
      <c r="Y4209" s="182"/>
      <c r="Z4209" s="175"/>
      <c r="AA4209" s="182"/>
      <c r="AB4209" s="184"/>
    </row>
    <row r="4210" spans="1:28" ht="12.75">
      <c r="A4210" s="173"/>
      <c r="B4210" s="174"/>
      <c r="C4210" s="11"/>
      <c r="D4210" s="175"/>
      <c r="E4210" s="176"/>
      <c r="F4210" s="177"/>
      <c r="G4210" s="178"/>
      <c r="H4210" s="177"/>
      <c r="I4210" s="177"/>
      <c r="J4210" s="179"/>
      <c r="K4210" s="183"/>
      <c r="L4210" s="176"/>
      <c r="M4210" s="177"/>
      <c r="N4210" s="21"/>
      <c r="O4210" s="45"/>
      <c r="P4210" s="24"/>
      <c r="Q4210" s="24"/>
      <c r="R4210" s="180"/>
      <c r="S4210" s="181"/>
      <c r="T4210" s="35"/>
      <c r="U4210" s="35"/>
      <c r="V4210" s="35"/>
      <c r="W4210" s="35"/>
      <c r="X4210" s="35"/>
      <c r="Y4210" s="182"/>
      <c r="Z4210" s="175"/>
      <c r="AA4210" s="182"/>
      <c r="AB4210" s="184"/>
    </row>
    <row r="4211" spans="1:28" ht="12.75">
      <c r="A4211" s="173"/>
      <c r="B4211" s="174"/>
      <c r="C4211" s="11"/>
      <c r="D4211" s="175"/>
      <c r="E4211" s="176"/>
      <c r="F4211" s="177"/>
      <c r="G4211" s="178"/>
      <c r="H4211" s="177"/>
      <c r="I4211" s="177"/>
      <c r="J4211" s="179"/>
      <c r="K4211" s="183"/>
      <c r="L4211" s="176"/>
      <c r="M4211" s="177"/>
      <c r="N4211" s="21"/>
      <c r="O4211" s="45"/>
      <c r="P4211" s="24"/>
      <c r="Q4211" s="24"/>
      <c r="R4211" s="180"/>
      <c r="S4211" s="181"/>
      <c r="T4211" s="35"/>
      <c r="U4211" s="35"/>
      <c r="V4211" s="35"/>
      <c r="W4211" s="35"/>
      <c r="X4211" s="35"/>
      <c r="Y4211" s="182"/>
      <c r="Z4211" s="175"/>
      <c r="AA4211" s="182"/>
      <c r="AB4211" s="184"/>
    </row>
    <row r="4212" spans="1:28" ht="12.75">
      <c r="A4212" s="173"/>
      <c r="B4212" s="174"/>
      <c r="C4212" s="11"/>
      <c r="D4212" s="175"/>
      <c r="E4212" s="176"/>
      <c r="F4212" s="177"/>
      <c r="G4212" s="178"/>
      <c r="H4212" s="177"/>
      <c r="I4212" s="177"/>
      <c r="J4212" s="179"/>
      <c r="K4212" s="183"/>
      <c r="L4212" s="176"/>
      <c r="M4212" s="177"/>
      <c r="N4212" s="21"/>
      <c r="O4212" s="45"/>
      <c r="P4212" s="24"/>
      <c r="Q4212" s="24"/>
      <c r="R4212" s="180"/>
      <c r="S4212" s="181"/>
      <c r="T4212" s="35"/>
      <c r="U4212" s="35"/>
      <c r="V4212" s="35"/>
      <c r="W4212" s="35"/>
      <c r="X4212" s="35"/>
      <c r="Y4212" s="182"/>
      <c r="Z4212" s="175"/>
      <c r="AA4212" s="182"/>
      <c r="AB4212" s="184"/>
    </row>
    <row r="4213" spans="1:28" ht="12.75">
      <c r="A4213" s="173"/>
      <c r="B4213" s="174"/>
      <c r="C4213" s="11"/>
      <c r="D4213" s="175"/>
      <c r="E4213" s="176"/>
      <c r="F4213" s="177"/>
      <c r="G4213" s="178"/>
      <c r="H4213" s="177"/>
      <c r="I4213" s="177"/>
      <c r="J4213" s="179"/>
      <c r="K4213" s="183"/>
      <c r="L4213" s="176"/>
      <c r="M4213" s="177"/>
      <c r="N4213" s="21"/>
      <c r="O4213" s="45"/>
      <c r="P4213" s="24"/>
      <c r="Q4213" s="24"/>
      <c r="R4213" s="180"/>
      <c r="S4213" s="181"/>
      <c r="T4213" s="35"/>
      <c r="U4213" s="35"/>
      <c r="V4213" s="35"/>
      <c r="W4213" s="35"/>
      <c r="X4213" s="35"/>
      <c r="Y4213" s="182"/>
      <c r="Z4213" s="175"/>
      <c r="AA4213" s="182"/>
      <c r="AB4213" s="184"/>
    </row>
    <row r="4214" spans="1:28" ht="12.75">
      <c r="A4214" s="173"/>
      <c r="B4214" s="174"/>
      <c r="C4214" s="11"/>
      <c r="D4214" s="175"/>
      <c r="E4214" s="176"/>
      <c r="F4214" s="177"/>
      <c r="G4214" s="178"/>
      <c r="H4214" s="177"/>
      <c r="I4214" s="177"/>
      <c r="J4214" s="179"/>
      <c r="K4214" s="183"/>
      <c r="L4214" s="176"/>
      <c r="M4214" s="177"/>
      <c r="N4214" s="21"/>
      <c r="O4214" s="45"/>
      <c r="P4214" s="24"/>
      <c r="Q4214" s="24"/>
      <c r="R4214" s="180"/>
      <c r="S4214" s="181"/>
      <c r="T4214" s="35"/>
      <c r="U4214" s="35"/>
      <c r="V4214" s="35"/>
      <c r="W4214" s="35"/>
      <c r="X4214" s="35"/>
      <c r="Y4214" s="182"/>
      <c r="Z4214" s="175"/>
      <c r="AA4214" s="182"/>
      <c r="AB4214" s="184"/>
    </row>
    <row r="4215" spans="1:28" ht="12.75">
      <c r="A4215" s="173"/>
      <c r="B4215" s="174"/>
      <c r="C4215" s="11"/>
      <c r="D4215" s="175"/>
      <c r="E4215" s="176"/>
      <c r="F4215" s="177"/>
      <c r="G4215" s="178"/>
      <c r="H4215" s="177"/>
      <c r="I4215" s="177"/>
      <c r="J4215" s="179"/>
      <c r="K4215" s="183"/>
      <c r="L4215" s="176"/>
      <c r="M4215" s="177"/>
      <c r="N4215" s="21"/>
      <c r="O4215" s="45"/>
      <c r="P4215" s="24"/>
      <c r="Q4215" s="24"/>
      <c r="R4215" s="180"/>
      <c r="S4215" s="181"/>
      <c r="T4215" s="35"/>
      <c r="U4215" s="35"/>
      <c r="V4215" s="35"/>
      <c r="W4215" s="35"/>
      <c r="X4215" s="35"/>
      <c r="Y4215" s="182"/>
      <c r="Z4215" s="175"/>
      <c r="AA4215" s="182"/>
      <c r="AB4215" s="184"/>
    </row>
    <row r="4216" spans="1:28" ht="12.75">
      <c r="A4216" s="173"/>
      <c r="B4216" s="174"/>
      <c r="C4216" s="11"/>
      <c r="D4216" s="175"/>
      <c r="E4216" s="176"/>
      <c r="F4216" s="177"/>
      <c r="G4216" s="178"/>
      <c r="H4216" s="177"/>
      <c r="I4216" s="177"/>
      <c r="J4216" s="179"/>
      <c r="K4216" s="183"/>
      <c r="L4216" s="176"/>
      <c r="M4216" s="177"/>
      <c r="N4216" s="21"/>
      <c r="O4216" s="45"/>
      <c r="P4216" s="24"/>
      <c r="Q4216" s="24"/>
      <c r="R4216" s="180"/>
      <c r="S4216" s="181"/>
      <c r="T4216" s="35"/>
      <c r="U4216" s="35"/>
      <c r="V4216" s="35"/>
      <c r="W4216" s="35"/>
      <c r="X4216" s="35"/>
      <c r="Y4216" s="182"/>
      <c r="Z4216" s="175"/>
      <c r="AA4216" s="182"/>
      <c r="AB4216" s="184"/>
    </row>
    <row r="4217" spans="1:28" ht="12.75">
      <c r="A4217" s="173"/>
      <c r="B4217" s="174"/>
      <c r="C4217" s="11"/>
      <c r="D4217" s="175"/>
      <c r="E4217" s="176"/>
      <c r="F4217" s="177"/>
      <c r="G4217" s="178"/>
      <c r="H4217" s="177"/>
      <c r="I4217" s="177"/>
      <c r="J4217" s="179"/>
      <c r="K4217" s="183"/>
      <c r="L4217" s="176"/>
      <c r="M4217" s="177"/>
      <c r="N4217" s="21"/>
      <c r="O4217" s="45"/>
      <c r="P4217" s="24"/>
      <c r="Q4217" s="24"/>
      <c r="R4217" s="180"/>
      <c r="S4217" s="181"/>
      <c r="T4217" s="35"/>
      <c r="U4217" s="35"/>
      <c r="V4217" s="35"/>
      <c r="W4217" s="35"/>
      <c r="X4217" s="35"/>
      <c r="Y4217" s="182"/>
      <c r="Z4217" s="175"/>
      <c r="AA4217" s="182"/>
      <c r="AB4217" s="184"/>
    </row>
    <row r="4218" spans="1:28" ht="12.75">
      <c r="A4218" s="173"/>
      <c r="B4218" s="174"/>
      <c r="C4218" s="11"/>
      <c r="D4218" s="175"/>
      <c r="E4218" s="176"/>
      <c r="F4218" s="177"/>
      <c r="G4218" s="178"/>
      <c r="H4218" s="177"/>
      <c r="I4218" s="177"/>
      <c r="J4218" s="179"/>
      <c r="K4218" s="183"/>
      <c r="L4218" s="176"/>
      <c r="M4218" s="177"/>
      <c r="N4218" s="21"/>
      <c r="O4218" s="45"/>
      <c r="P4218" s="24"/>
      <c r="Q4218" s="24"/>
      <c r="R4218" s="180"/>
      <c r="S4218" s="181"/>
      <c r="T4218" s="35"/>
      <c r="U4218" s="35"/>
      <c r="V4218" s="35"/>
      <c r="W4218" s="35"/>
      <c r="X4218" s="35"/>
      <c r="Y4218" s="182"/>
      <c r="Z4218" s="175"/>
      <c r="AA4218" s="182"/>
      <c r="AB4218" s="184"/>
    </row>
    <row r="4219" spans="1:28" ht="12.75">
      <c r="A4219" s="173"/>
      <c r="B4219" s="174"/>
      <c r="C4219" s="11"/>
      <c r="D4219" s="175"/>
      <c r="E4219" s="176"/>
      <c r="F4219" s="177"/>
      <c r="G4219" s="178"/>
      <c r="H4219" s="177"/>
      <c r="I4219" s="177"/>
      <c r="J4219" s="179"/>
      <c r="K4219" s="183"/>
      <c r="L4219" s="176"/>
      <c r="M4219" s="177"/>
      <c r="N4219" s="21"/>
      <c r="O4219" s="45"/>
      <c r="P4219" s="24"/>
      <c r="Q4219" s="24"/>
      <c r="R4219" s="180"/>
      <c r="S4219" s="181"/>
      <c r="T4219" s="35"/>
      <c r="U4219" s="35"/>
      <c r="V4219" s="35"/>
      <c r="W4219" s="35"/>
      <c r="X4219" s="35"/>
      <c r="Y4219" s="182"/>
      <c r="Z4219" s="175"/>
      <c r="AA4219" s="182"/>
      <c r="AB4219" s="184"/>
    </row>
    <row r="4220" spans="1:28" ht="12.75">
      <c r="A4220" s="173"/>
      <c r="B4220" s="174"/>
      <c r="C4220" s="11"/>
      <c r="D4220" s="175"/>
      <c r="E4220" s="176"/>
      <c r="F4220" s="177"/>
      <c r="G4220" s="178"/>
      <c r="H4220" s="177"/>
      <c r="I4220" s="177"/>
      <c r="J4220" s="179"/>
      <c r="K4220" s="183"/>
      <c r="L4220" s="176"/>
      <c r="M4220" s="177"/>
      <c r="N4220" s="21"/>
      <c r="O4220" s="45"/>
      <c r="P4220" s="24"/>
      <c r="Q4220" s="24"/>
      <c r="R4220" s="180"/>
      <c r="S4220" s="181"/>
      <c r="T4220" s="35"/>
      <c r="U4220" s="35"/>
      <c r="V4220" s="35"/>
      <c r="W4220" s="35"/>
      <c r="X4220" s="35"/>
      <c r="Y4220" s="182"/>
      <c r="Z4220" s="175"/>
      <c r="AA4220" s="182"/>
      <c r="AB4220" s="184"/>
    </row>
    <row r="4221" spans="1:28" ht="12.75">
      <c r="A4221" s="173"/>
      <c r="B4221" s="174"/>
      <c r="C4221" s="11"/>
      <c r="D4221" s="175"/>
      <c r="E4221" s="176"/>
      <c r="F4221" s="177"/>
      <c r="G4221" s="178"/>
      <c r="H4221" s="177"/>
      <c r="I4221" s="177"/>
      <c r="J4221" s="179"/>
      <c r="K4221" s="183"/>
      <c r="L4221" s="176"/>
      <c r="M4221" s="177"/>
      <c r="N4221" s="21"/>
      <c r="O4221" s="45"/>
      <c r="P4221" s="24"/>
      <c r="Q4221" s="24"/>
      <c r="R4221" s="180"/>
      <c r="S4221" s="181"/>
      <c r="T4221" s="35"/>
      <c r="U4221" s="35"/>
      <c r="V4221" s="35"/>
      <c r="W4221" s="35"/>
      <c r="X4221" s="35"/>
      <c r="Y4221" s="182"/>
      <c r="Z4221" s="175"/>
      <c r="AA4221" s="182"/>
      <c r="AB4221" s="184"/>
    </row>
    <row r="4222" spans="1:28" ht="12.75">
      <c r="A4222" s="173"/>
      <c r="B4222" s="174"/>
      <c r="C4222" s="11"/>
      <c r="D4222" s="175"/>
      <c r="E4222" s="176"/>
      <c r="F4222" s="177"/>
      <c r="G4222" s="178"/>
      <c r="H4222" s="177"/>
      <c r="I4222" s="177"/>
      <c r="J4222" s="179"/>
      <c r="K4222" s="183"/>
      <c r="L4222" s="176"/>
      <c r="M4222" s="177"/>
      <c r="N4222" s="21"/>
      <c r="O4222" s="45"/>
      <c r="P4222" s="24"/>
      <c r="Q4222" s="24"/>
      <c r="R4222" s="180"/>
      <c r="S4222" s="181"/>
      <c r="T4222" s="35"/>
      <c r="U4222" s="35"/>
      <c r="V4222" s="35"/>
      <c r="W4222" s="35"/>
      <c r="X4222" s="35"/>
      <c r="Y4222" s="182"/>
      <c r="Z4222" s="175"/>
      <c r="AA4222" s="182"/>
      <c r="AB4222" s="184"/>
    </row>
    <row r="4223" spans="1:28" ht="12.75">
      <c r="A4223" s="173"/>
      <c r="B4223" s="174"/>
      <c r="C4223" s="11"/>
      <c r="D4223" s="175"/>
      <c r="E4223" s="176"/>
      <c r="F4223" s="177"/>
      <c r="G4223" s="178"/>
      <c r="H4223" s="177"/>
      <c r="I4223" s="177"/>
      <c r="J4223" s="179"/>
      <c r="K4223" s="183"/>
      <c r="L4223" s="176"/>
      <c r="M4223" s="177"/>
      <c r="N4223" s="21"/>
      <c r="O4223" s="45"/>
      <c r="P4223" s="24"/>
      <c r="Q4223" s="24"/>
      <c r="R4223" s="180"/>
      <c r="S4223" s="181"/>
      <c r="T4223" s="35"/>
      <c r="U4223" s="35"/>
      <c r="V4223" s="35"/>
      <c r="W4223" s="35"/>
      <c r="X4223" s="35"/>
      <c r="Y4223" s="182"/>
      <c r="Z4223" s="175"/>
      <c r="AA4223" s="182"/>
      <c r="AB4223" s="184"/>
    </row>
    <row r="4224" spans="1:28" ht="12.75">
      <c r="A4224" s="173"/>
      <c r="B4224" s="174"/>
      <c r="C4224" s="11"/>
      <c r="D4224" s="175"/>
      <c r="E4224" s="176"/>
      <c r="F4224" s="177"/>
      <c r="G4224" s="178"/>
      <c r="H4224" s="177"/>
      <c r="I4224" s="177"/>
      <c r="J4224" s="179"/>
      <c r="K4224" s="183"/>
      <c r="L4224" s="176"/>
      <c r="M4224" s="177"/>
      <c r="N4224" s="21"/>
      <c r="O4224" s="45"/>
      <c r="P4224" s="24"/>
      <c r="Q4224" s="24"/>
      <c r="R4224" s="180"/>
      <c r="S4224" s="181"/>
      <c r="T4224" s="35"/>
      <c r="U4224" s="35"/>
      <c r="V4224" s="35"/>
      <c r="W4224" s="35"/>
      <c r="X4224" s="35"/>
      <c r="Y4224" s="182"/>
      <c r="Z4224" s="175"/>
      <c r="AA4224" s="182"/>
      <c r="AB4224" s="184"/>
    </row>
    <row r="4225" spans="1:28" ht="12.75">
      <c r="A4225" s="173"/>
      <c r="B4225" s="174"/>
      <c r="C4225" s="11"/>
      <c r="D4225" s="175"/>
      <c r="E4225" s="176"/>
      <c r="F4225" s="177"/>
      <c r="G4225" s="178"/>
      <c r="H4225" s="177"/>
      <c r="I4225" s="177"/>
      <c r="J4225" s="179"/>
      <c r="K4225" s="183"/>
      <c r="L4225" s="176"/>
      <c r="M4225" s="177"/>
      <c r="N4225" s="21"/>
      <c r="O4225" s="45"/>
      <c r="P4225" s="24"/>
      <c r="Q4225" s="24"/>
      <c r="R4225" s="180"/>
      <c r="S4225" s="181"/>
      <c r="T4225" s="35"/>
      <c r="U4225" s="35"/>
      <c r="V4225" s="35"/>
      <c r="W4225" s="35"/>
      <c r="X4225" s="35"/>
      <c r="Y4225" s="182"/>
      <c r="Z4225" s="175"/>
      <c r="AA4225" s="182"/>
      <c r="AB4225" s="184"/>
    </row>
    <row r="4226" spans="1:28" ht="12.75">
      <c r="A4226" s="173"/>
      <c r="B4226" s="174"/>
      <c r="C4226" s="11"/>
      <c r="D4226" s="175"/>
      <c r="E4226" s="176"/>
      <c r="F4226" s="177"/>
      <c r="G4226" s="178"/>
      <c r="H4226" s="177"/>
      <c r="I4226" s="177"/>
      <c r="J4226" s="179"/>
      <c r="K4226" s="183"/>
      <c r="L4226" s="176"/>
      <c r="M4226" s="177"/>
      <c r="N4226" s="21"/>
      <c r="O4226" s="45"/>
      <c r="P4226" s="24"/>
      <c r="Q4226" s="24"/>
      <c r="R4226" s="180"/>
      <c r="S4226" s="181"/>
      <c r="T4226" s="35"/>
      <c r="U4226" s="35"/>
      <c r="V4226" s="35"/>
      <c r="W4226" s="35"/>
      <c r="X4226" s="35"/>
      <c r="Y4226" s="182"/>
      <c r="Z4226" s="175"/>
      <c r="AA4226" s="182"/>
      <c r="AB4226" s="184"/>
    </row>
    <row r="4227" spans="1:28" ht="12.75">
      <c r="A4227" s="173"/>
      <c r="B4227" s="174"/>
      <c r="C4227" s="11"/>
      <c r="D4227" s="175"/>
      <c r="E4227" s="176"/>
      <c r="F4227" s="177"/>
      <c r="G4227" s="178"/>
      <c r="H4227" s="177"/>
      <c r="I4227" s="177"/>
      <c r="J4227" s="179"/>
      <c r="K4227" s="183"/>
      <c r="L4227" s="176"/>
      <c r="M4227" s="177"/>
      <c r="N4227" s="21"/>
      <c r="O4227" s="45"/>
      <c r="P4227" s="24"/>
      <c r="Q4227" s="24"/>
      <c r="R4227" s="180"/>
      <c r="S4227" s="181"/>
      <c r="T4227" s="35"/>
      <c r="U4227" s="35"/>
      <c r="V4227" s="35"/>
      <c r="W4227" s="35"/>
      <c r="X4227" s="35"/>
      <c r="Y4227" s="182"/>
      <c r="Z4227" s="175"/>
      <c r="AA4227" s="182"/>
      <c r="AB4227" s="184"/>
    </row>
    <row r="4228" spans="1:28" ht="12.75">
      <c r="A4228" s="173"/>
      <c r="B4228" s="174"/>
      <c r="C4228" s="11"/>
      <c r="D4228" s="175"/>
      <c r="E4228" s="176"/>
      <c r="F4228" s="177"/>
      <c r="G4228" s="178"/>
      <c r="H4228" s="177"/>
      <c r="I4228" s="177"/>
      <c r="J4228" s="179"/>
      <c r="K4228" s="183"/>
      <c r="L4228" s="176"/>
      <c r="M4228" s="177"/>
      <c r="N4228" s="21"/>
      <c r="O4228" s="45"/>
      <c r="P4228" s="24"/>
      <c r="Q4228" s="24"/>
      <c r="R4228" s="180"/>
      <c r="S4228" s="181"/>
      <c r="T4228" s="35"/>
      <c r="U4228" s="35"/>
      <c r="V4228" s="35"/>
      <c r="W4228" s="35"/>
      <c r="X4228" s="35"/>
      <c r="Y4228" s="182"/>
      <c r="Z4228" s="175"/>
      <c r="AA4228" s="182"/>
      <c r="AB4228" s="184"/>
    </row>
    <row r="4229" spans="1:28" ht="12.75">
      <c r="A4229" s="173"/>
      <c r="B4229" s="174"/>
      <c r="C4229" s="11"/>
      <c r="D4229" s="175"/>
      <c r="E4229" s="176"/>
      <c r="F4229" s="177"/>
      <c r="G4229" s="178"/>
      <c r="H4229" s="177"/>
      <c r="I4229" s="177"/>
      <c r="J4229" s="179"/>
      <c r="K4229" s="183"/>
      <c r="L4229" s="176"/>
      <c r="M4229" s="177"/>
      <c r="N4229" s="21"/>
      <c r="O4229" s="45"/>
      <c r="P4229" s="24"/>
      <c r="Q4229" s="24"/>
      <c r="R4229" s="180"/>
      <c r="S4229" s="181"/>
      <c r="T4229" s="35"/>
      <c r="U4229" s="35"/>
      <c r="V4229" s="35"/>
      <c r="W4229" s="35"/>
      <c r="X4229" s="35"/>
      <c r="Y4229" s="182"/>
      <c r="Z4229" s="175"/>
      <c r="AA4229" s="182"/>
      <c r="AB4229" s="184"/>
    </row>
    <row r="4230" spans="1:28" ht="12.75">
      <c r="A4230" s="173"/>
      <c r="B4230" s="174"/>
      <c r="C4230" s="11"/>
      <c r="D4230" s="175"/>
      <c r="E4230" s="176"/>
      <c r="F4230" s="177"/>
      <c r="G4230" s="178"/>
      <c r="H4230" s="177"/>
      <c r="I4230" s="177"/>
      <c r="J4230" s="179"/>
      <c r="K4230" s="183"/>
      <c r="L4230" s="176"/>
      <c r="M4230" s="177"/>
      <c r="N4230" s="21"/>
      <c r="O4230" s="45"/>
      <c r="P4230" s="24"/>
      <c r="Q4230" s="24"/>
      <c r="R4230" s="180"/>
      <c r="S4230" s="181"/>
      <c r="T4230" s="35"/>
      <c r="U4230" s="35"/>
      <c r="V4230" s="35"/>
      <c r="W4230" s="35"/>
      <c r="X4230" s="35"/>
      <c r="Y4230" s="182"/>
      <c r="Z4230" s="175"/>
      <c r="AA4230" s="182"/>
      <c r="AB4230" s="184"/>
    </row>
    <row r="4231" spans="1:28" ht="12.75">
      <c r="A4231" s="173"/>
      <c r="B4231" s="174"/>
      <c r="C4231" s="11"/>
      <c r="D4231" s="175"/>
      <c r="E4231" s="176"/>
      <c r="F4231" s="177"/>
      <c r="G4231" s="178"/>
      <c r="H4231" s="177"/>
      <c r="I4231" s="177"/>
      <c r="J4231" s="179"/>
      <c r="K4231" s="183"/>
      <c r="L4231" s="176"/>
      <c r="M4231" s="177"/>
      <c r="N4231" s="21"/>
      <c r="O4231" s="45"/>
      <c r="P4231" s="24"/>
      <c r="Q4231" s="24"/>
      <c r="R4231" s="180"/>
      <c r="S4231" s="181"/>
      <c r="T4231" s="35"/>
      <c r="U4231" s="35"/>
      <c r="V4231" s="35"/>
      <c r="W4231" s="35"/>
      <c r="X4231" s="35"/>
      <c r="Y4231" s="182"/>
      <c r="Z4231" s="175"/>
      <c r="AA4231" s="182"/>
      <c r="AB4231" s="184"/>
    </row>
    <row r="4232" spans="1:28" ht="12.75">
      <c r="A4232" s="173"/>
      <c r="B4232" s="174"/>
      <c r="C4232" s="11"/>
      <c r="D4232" s="175"/>
      <c r="E4232" s="176"/>
      <c r="F4232" s="177"/>
      <c r="G4232" s="178"/>
      <c r="H4232" s="177"/>
      <c r="I4232" s="177"/>
      <c r="J4232" s="179"/>
      <c r="K4232" s="183"/>
      <c r="L4232" s="176"/>
      <c r="M4232" s="177"/>
      <c r="N4232" s="21"/>
      <c r="O4232" s="45"/>
      <c r="P4232" s="24"/>
      <c r="Q4232" s="24"/>
      <c r="R4232" s="180"/>
      <c r="S4232" s="181"/>
      <c r="T4232" s="35"/>
      <c r="U4232" s="35"/>
      <c r="V4232" s="35"/>
      <c r="W4232" s="35"/>
      <c r="X4232" s="35"/>
      <c r="Y4232" s="182"/>
      <c r="Z4232" s="175"/>
      <c r="AA4232" s="182"/>
      <c r="AB4232" s="184"/>
    </row>
    <row r="4233" spans="1:28" ht="12.75">
      <c r="A4233" s="173"/>
      <c r="B4233" s="174"/>
      <c r="C4233" s="11"/>
      <c r="D4233" s="175"/>
      <c r="E4233" s="176"/>
      <c r="F4233" s="177"/>
      <c r="G4233" s="178"/>
      <c r="H4233" s="177"/>
      <c r="I4233" s="177"/>
      <c r="J4233" s="179"/>
      <c r="K4233" s="183"/>
      <c r="L4233" s="176"/>
      <c r="M4233" s="177"/>
      <c r="N4233" s="21"/>
      <c r="O4233" s="45"/>
      <c r="P4233" s="24"/>
      <c r="Q4233" s="24"/>
      <c r="R4233" s="180"/>
      <c r="S4233" s="181"/>
      <c r="T4233" s="35"/>
      <c r="U4233" s="35"/>
      <c r="V4233" s="35"/>
      <c r="W4233" s="35"/>
      <c r="X4233" s="35"/>
      <c r="Y4233" s="182"/>
      <c r="Z4233" s="175"/>
      <c r="AA4233" s="182"/>
      <c r="AB4233" s="184"/>
    </row>
    <row r="4234" spans="1:28" ht="12.75">
      <c r="A4234" s="173"/>
      <c r="B4234" s="174"/>
      <c r="C4234" s="11"/>
      <c r="D4234" s="175"/>
      <c r="E4234" s="176"/>
      <c r="F4234" s="177"/>
      <c r="G4234" s="178"/>
      <c r="H4234" s="177"/>
      <c r="I4234" s="177"/>
      <c r="J4234" s="179"/>
      <c r="K4234" s="183"/>
      <c r="L4234" s="176"/>
      <c r="M4234" s="177"/>
      <c r="N4234" s="21"/>
      <c r="O4234" s="45"/>
      <c r="P4234" s="24"/>
      <c r="Q4234" s="24"/>
      <c r="R4234" s="180"/>
      <c r="S4234" s="181"/>
      <c r="T4234" s="35"/>
      <c r="U4234" s="35"/>
      <c r="V4234" s="35"/>
      <c r="W4234" s="35"/>
      <c r="X4234" s="35"/>
      <c r="Y4234" s="182"/>
      <c r="Z4234" s="175"/>
      <c r="AA4234" s="182"/>
      <c r="AB4234" s="184"/>
    </row>
    <row r="4235" spans="1:28" ht="12.75">
      <c r="A4235" s="173"/>
      <c r="B4235" s="174"/>
      <c r="C4235" s="11"/>
      <c r="D4235" s="175"/>
      <c r="E4235" s="176"/>
      <c r="F4235" s="177"/>
      <c r="G4235" s="178"/>
      <c r="H4235" s="177"/>
      <c r="I4235" s="177"/>
      <c r="J4235" s="179"/>
      <c r="K4235" s="183"/>
      <c r="L4235" s="176"/>
      <c r="M4235" s="177"/>
      <c r="N4235" s="21"/>
      <c r="O4235" s="45"/>
      <c r="P4235" s="24"/>
      <c r="Q4235" s="24"/>
      <c r="R4235" s="180"/>
      <c r="S4235" s="181"/>
      <c r="T4235" s="35"/>
      <c r="U4235" s="35"/>
      <c r="V4235" s="35"/>
      <c r="W4235" s="35"/>
      <c r="X4235" s="35"/>
      <c r="Y4235" s="182"/>
      <c r="Z4235" s="175"/>
      <c r="AA4235" s="182"/>
      <c r="AB4235" s="184"/>
    </row>
    <row r="4236" spans="1:28" ht="12.75">
      <c r="A4236" s="173"/>
      <c r="B4236" s="174"/>
      <c r="C4236" s="11"/>
      <c r="D4236" s="175"/>
      <c r="E4236" s="176"/>
      <c r="F4236" s="177"/>
      <c r="G4236" s="178"/>
      <c r="H4236" s="177"/>
      <c r="I4236" s="177"/>
      <c r="J4236" s="179"/>
      <c r="K4236" s="183"/>
      <c r="L4236" s="176"/>
      <c r="M4236" s="177"/>
      <c r="N4236" s="21"/>
      <c r="O4236" s="45"/>
      <c r="P4236" s="24"/>
      <c r="Q4236" s="24"/>
      <c r="R4236" s="180"/>
      <c r="S4236" s="181"/>
      <c r="T4236" s="35"/>
      <c r="U4236" s="35"/>
      <c r="V4236" s="35"/>
      <c r="W4236" s="35"/>
      <c r="X4236" s="35"/>
      <c r="Y4236" s="182"/>
      <c r="Z4236" s="175"/>
      <c r="AA4236" s="182"/>
      <c r="AB4236" s="184"/>
    </row>
    <row r="4237" spans="1:28" ht="12.75">
      <c r="A4237" s="173"/>
      <c r="B4237" s="174"/>
      <c r="C4237" s="11"/>
      <c r="D4237" s="175"/>
      <c r="E4237" s="176"/>
      <c r="F4237" s="177"/>
      <c r="G4237" s="178"/>
      <c r="H4237" s="177"/>
      <c r="I4237" s="177"/>
      <c r="J4237" s="179"/>
      <c r="K4237" s="183"/>
      <c r="L4237" s="176"/>
      <c r="M4237" s="177"/>
      <c r="N4237" s="21"/>
      <c r="O4237" s="45"/>
      <c r="P4237" s="24"/>
      <c r="Q4237" s="24"/>
      <c r="R4237" s="180"/>
      <c r="S4237" s="181"/>
      <c r="T4237" s="35"/>
      <c r="U4237" s="35"/>
      <c r="V4237" s="35"/>
      <c r="W4237" s="35"/>
      <c r="X4237" s="35"/>
      <c r="Y4237" s="182"/>
      <c r="Z4237" s="175"/>
      <c r="AA4237" s="182"/>
      <c r="AB4237" s="184"/>
    </row>
    <row r="4238" spans="1:28" ht="12.75">
      <c r="A4238" s="173"/>
      <c r="B4238" s="174"/>
      <c r="C4238" s="11"/>
      <c r="D4238" s="175"/>
      <c r="E4238" s="176"/>
      <c r="F4238" s="177"/>
      <c r="G4238" s="178"/>
      <c r="H4238" s="177"/>
      <c r="I4238" s="177"/>
      <c r="J4238" s="179"/>
      <c r="K4238" s="183"/>
      <c r="L4238" s="176"/>
      <c r="M4238" s="177"/>
      <c r="N4238" s="21"/>
      <c r="O4238" s="45"/>
      <c r="P4238" s="24"/>
      <c r="Q4238" s="24"/>
      <c r="R4238" s="180"/>
      <c r="S4238" s="181"/>
      <c r="T4238" s="35"/>
      <c r="U4238" s="35"/>
      <c r="V4238" s="35"/>
      <c r="W4238" s="35"/>
      <c r="X4238" s="35"/>
      <c r="Y4238" s="182"/>
      <c r="Z4238" s="175"/>
      <c r="AA4238" s="182"/>
      <c r="AB4238" s="184"/>
    </row>
    <row r="4239" spans="1:28" ht="12.75">
      <c r="A4239" s="173"/>
      <c r="B4239" s="174"/>
      <c r="C4239" s="11"/>
      <c r="D4239" s="175"/>
      <c r="E4239" s="176"/>
      <c r="F4239" s="177"/>
      <c r="G4239" s="178"/>
      <c r="H4239" s="177"/>
      <c r="I4239" s="177"/>
      <c r="J4239" s="179"/>
      <c r="K4239" s="183"/>
      <c r="L4239" s="176"/>
      <c r="M4239" s="177"/>
      <c r="N4239" s="21"/>
      <c r="O4239" s="45"/>
      <c r="P4239" s="24"/>
      <c r="Q4239" s="24"/>
      <c r="R4239" s="180"/>
      <c r="S4239" s="181"/>
      <c r="T4239" s="35"/>
      <c r="U4239" s="35"/>
      <c r="V4239" s="35"/>
      <c r="W4239" s="35"/>
      <c r="X4239" s="35"/>
      <c r="Y4239" s="182"/>
      <c r="Z4239" s="175"/>
      <c r="AA4239" s="182"/>
      <c r="AB4239" s="184"/>
    </row>
    <row r="4240" spans="1:28" ht="12.75">
      <c r="A4240" s="173"/>
      <c r="B4240" s="174"/>
      <c r="C4240" s="11"/>
      <c r="D4240" s="175"/>
      <c r="E4240" s="176"/>
      <c r="F4240" s="177"/>
      <c r="G4240" s="178"/>
      <c r="H4240" s="177"/>
      <c r="I4240" s="177"/>
      <c r="J4240" s="179"/>
      <c r="K4240" s="183"/>
      <c r="L4240" s="176"/>
      <c r="M4240" s="177"/>
      <c r="N4240" s="21"/>
      <c r="O4240" s="45"/>
      <c r="P4240" s="24"/>
      <c r="Q4240" s="24"/>
      <c r="R4240" s="180"/>
      <c r="S4240" s="181"/>
      <c r="T4240" s="35"/>
      <c r="U4240" s="35"/>
      <c r="V4240" s="35"/>
      <c r="W4240" s="35"/>
      <c r="X4240" s="35"/>
      <c r="Y4240" s="182"/>
      <c r="Z4240" s="175"/>
      <c r="AA4240" s="182"/>
      <c r="AB4240" s="184"/>
    </row>
    <row r="4241" spans="1:28" ht="12.75">
      <c r="A4241" s="173"/>
      <c r="B4241" s="174"/>
      <c r="C4241" s="11"/>
      <c r="D4241" s="175"/>
      <c r="E4241" s="176"/>
      <c r="F4241" s="177"/>
      <c r="G4241" s="178"/>
      <c r="H4241" s="177"/>
      <c r="I4241" s="177"/>
      <c r="J4241" s="179"/>
      <c r="K4241" s="183"/>
      <c r="L4241" s="176"/>
      <c r="M4241" s="177"/>
      <c r="N4241" s="21"/>
      <c r="O4241" s="45"/>
      <c r="P4241" s="24"/>
      <c r="Q4241" s="24"/>
      <c r="R4241" s="180"/>
      <c r="S4241" s="181"/>
      <c r="T4241" s="35"/>
      <c r="U4241" s="35"/>
      <c r="V4241" s="35"/>
      <c r="W4241" s="35"/>
      <c r="X4241" s="35"/>
      <c r="Y4241" s="182"/>
      <c r="Z4241" s="175"/>
      <c r="AA4241" s="182"/>
      <c r="AB4241" s="184"/>
    </row>
    <row r="4242" spans="1:28" ht="12.75">
      <c r="A4242" s="173"/>
      <c r="B4242" s="174"/>
      <c r="C4242" s="11"/>
      <c r="D4242" s="175"/>
      <c r="E4242" s="176"/>
      <c r="F4242" s="177"/>
      <c r="G4242" s="178"/>
      <c r="H4242" s="177"/>
      <c r="I4242" s="177"/>
      <c r="J4242" s="179"/>
      <c r="K4242" s="183"/>
      <c r="L4242" s="176"/>
      <c r="M4242" s="177"/>
      <c r="N4242" s="21"/>
      <c r="O4242" s="45"/>
      <c r="P4242" s="24"/>
      <c r="Q4242" s="24"/>
      <c r="R4242" s="180"/>
      <c r="S4242" s="181"/>
      <c r="T4242" s="35"/>
      <c r="U4242" s="35"/>
      <c r="V4242" s="35"/>
      <c r="W4242" s="35"/>
      <c r="X4242" s="35"/>
      <c r="Y4242" s="182"/>
      <c r="Z4242" s="175"/>
      <c r="AA4242" s="182"/>
      <c r="AB4242" s="184"/>
    </row>
    <row r="4243" spans="1:28" ht="12.75">
      <c r="A4243" s="173"/>
      <c r="B4243" s="174"/>
      <c r="C4243" s="11"/>
      <c r="D4243" s="175"/>
      <c r="E4243" s="176"/>
      <c r="F4243" s="177"/>
      <c r="G4243" s="178"/>
      <c r="H4243" s="177"/>
      <c r="I4243" s="177"/>
      <c r="J4243" s="179"/>
      <c r="K4243" s="183"/>
      <c r="L4243" s="176"/>
      <c r="M4243" s="177"/>
      <c r="N4243" s="21"/>
      <c r="O4243" s="45"/>
      <c r="P4243" s="24"/>
      <c r="Q4243" s="24"/>
      <c r="R4243" s="180"/>
      <c r="S4243" s="181"/>
      <c r="T4243" s="35"/>
      <c r="U4243" s="35"/>
      <c r="V4243" s="35"/>
      <c r="W4243" s="35"/>
      <c r="X4243" s="35"/>
      <c r="Y4243" s="182"/>
      <c r="Z4243" s="175"/>
      <c r="AA4243" s="182"/>
      <c r="AB4243" s="184"/>
    </row>
    <row r="4244" spans="1:28" ht="12.75">
      <c r="A4244" s="173"/>
      <c r="B4244" s="174"/>
      <c r="C4244" s="11"/>
      <c r="D4244" s="175"/>
      <c r="E4244" s="176"/>
      <c r="F4244" s="177"/>
      <c r="G4244" s="178"/>
      <c r="H4244" s="177"/>
      <c r="I4244" s="177"/>
      <c r="J4244" s="179"/>
      <c r="K4244" s="183"/>
      <c r="L4244" s="176"/>
      <c r="M4244" s="177"/>
      <c r="N4244" s="21"/>
      <c r="O4244" s="45"/>
      <c r="P4244" s="24"/>
      <c r="Q4244" s="24"/>
      <c r="R4244" s="180"/>
      <c r="S4244" s="181"/>
      <c r="T4244" s="35"/>
      <c r="U4244" s="35"/>
      <c r="V4244" s="35"/>
      <c r="W4244" s="35"/>
      <c r="X4244" s="35"/>
      <c r="Y4244" s="182"/>
      <c r="Z4244" s="175"/>
      <c r="AA4244" s="182"/>
      <c r="AB4244" s="184"/>
    </row>
    <row r="4245" spans="1:28" ht="12.75">
      <c r="A4245" s="173"/>
      <c r="B4245" s="174"/>
      <c r="C4245" s="11"/>
      <c r="D4245" s="175"/>
      <c r="E4245" s="176"/>
      <c r="F4245" s="177"/>
      <c r="G4245" s="178"/>
      <c r="H4245" s="177"/>
      <c r="I4245" s="177"/>
      <c r="J4245" s="179"/>
      <c r="K4245" s="183"/>
      <c r="L4245" s="176"/>
      <c r="M4245" s="177"/>
      <c r="N4245" s="21"/>
      <c r="O4245" s="45"/>
      <c r="P4245" s="24"/>
      <c r="Q4245" s="24"/>
      <c r="R4245" s="180"/>
      <c r="S4245" s="181"/>
      <c r="T4245" s="35"/>
      <c r="U4245" s="35"/>
      <c r="V4245" s="35"/>
      <c r="W4245" s="35"/>
      <c r="X4245" s="35"/>
      <c r="Y4245" s="182"/>
      <c r="Z4245" s="175"/>
      <c r="AA4245" s="182"/>
      <c r="AB4245" s="184"/>
    </row>
    <row r="4246" spans="1:28" ht="12.75">
      <c r="A4246" s="173"/>
      <c r="B4246" s="174"/>
      <c r="C4246" s="11"/>
      <c r="D4246" s="175"/>
      <c r="E4246" s="176"/>
      <c r="F4246" s="177"/>
      <c r="G4246" s="178"/>
      <c r="H4246" s="177"/>
      <c r="I4246" s="177"/>
      <c r="J4246" s="179"/>
      <c r="K4246" s="183"/>
      <c r="L4246" s="176"/>
      <c r="M4246" s="177"/>
      <c r="N4246" s="21"/>
      <c r="O4246" s="45"/>
      <c r="P4246" s="24"/>
      <c r="Q4246" s="24"/>
      <c r="R4246" s="180"/>
      <c r="S4246" s="181"/>
      <c r="T4246" s="35"/>
      <c r="U4246" s="35"/>
      <c r="V4246" s="35"/>
      <c r="W4246" s="35"/>
      <c r="X4246" s="35"/>
      <c r="Y4246" s="182"/>
      <c r="Z4246" s="175"/>
      <c r="AA4246" s="182"/>
      <c r="AB4246" s="184"/>
    </row>
    <row r="4247" spans="1:28" ht="12.75">
      <c r="A4247" s="173"/>
      <c r="B4247" s="174"/>
      <c r="C4247" s="11"/>
      <c r="D4247" s="175"/>
      <c r="E4247" s="176"/>
      <c r="F4247" s="177"/>
      <c r="G4247" s="178"/>
      <c r="H4247" s="177"/>
      <c r="I4247" s="177"/>
      <c r="J4247" s="179"/>
      <c r="K4247" s="183"/>
      <c r="L4247" s="176"/>
      <c r="M4247" s="177"/>
      <c r="N4247" s="21"/>
      <c r="O4247" s="45"/>
      <c r="P4247" s="24"/>
      <c r="Q4247" s="24"/>
      <c r="R4247" s="180"/>
      <c r="S4247" s="181"/>
      <c r="T4247" s="35"/>
      <c r="U4247" s="35"/>
      <c r="V4247" s="35"/>
      <c r="W4247" s="35"/>
      <c r="X4247" s="35"/>
      <c r="Y4247" s="182"/>
      <c r="Z4247" s="175"/>
      <c r="AA4247" s="182"/>
      <c r="AB4247" s="184"/>
    </row>
    <row r="4248" spans="1:28" ht="12.75">
      <c r="A4248" s="173"/>
      <c r="B4248" s="174"/>
      <c r="C4248" s="11"/>
      <c r="D4248" s="175"/>
      <c r="E4248" s="176"/>
      <c r="F4248" s="177"/>
      <c r="G4248" s="178"/>
      <c r="H4248" s="177"/>
      <c r="I4248" s="177"/>
      <c r="J4248" s="179"/>
      <c r="K4248" s="183"/>
      <c r="L4248" s="176"/>
      <c r="M4248" s="177"/>
      <c r="N4248" s="21"/>
      <c r="O4248" s="45"/>
      <c r="P4248" s="24"/>
      <c r="Q4248" s="24"/>
      <c r="R4248" s="180"/>
      <c r="S4248" s="181"/>
      <c r="T4248" s="35"/>
      <c r="U4248" s="35"/>
      <c r="V4248" s="35"/>
      <c r="W4248" s="35"/>
      <c r="X4248" s="35"/>
      <c r="Y4248" s="182"/>
      <c r="Z4248" s="175"/>
      <c r="AA4248" s="182"/>
      <c r="AB4248" s="184"/>
    </row>
    <row r="4249" spans="1:28" ht="12.75">
      <c r="A4249" s="173"/>
      <c r="B4249" s="174"/>
      <c r="C4249" s="11"/>
      <c r="D4249" s="175"/>
      <c r="E4249" s="176"/>
      <c r="F4249" s="177"/>
      <c r="G4249" s="178"/>
      <c r="H4249" s="177"/>
      <c r="I4249" s="177"/>
      <c r="J4249" s="179"/>
      <c r="K4249" s="183"/>
      <c r="L4249" s="176"/>
      <c r="M4249" s="177"/>
      <c r="N4249" s="21"/>
      <c r="O4249" s="45"/>
      <c r="P4249" s="24"/>
      <c r="Q4249" s="24"/>
      <c r="R4249" s="180"/>
      <c r="S4249" s="181"/>
      <c r="T4249" s="35"/>
      <c r="U4249" s="35"/>
      <c r="V4249" s="35"/>
      <c r="W4249" s="35"/>
      <c r="X4249" s="35"/>
      <c r="Y4249" s="182"/>
      <c r="Z4249" s="175"/>
      <c r="AA4249" s="182"/>
      <c r="AB4249" s="184"/>
    </row>
    <row r="4250" spans="1:28" ht="12.75">
      <c r="A4250" s="173"/>
      <c r="B4250" s="174"/>
      <c r="C4250" s="11"/>
      <c r="D4250" s="175"/>
      <c r="E4250" s="176"/>
      <c r="F4250" s="177"/>
      <c r="G4250" s="178"/>
      <c r="H4250" s="177"/>
      <c r="I4250" s="177"/>
      <c r="J4250" s="179"/>
      <c r="K4250" s="183"/>
      <c r="L4250" s="176"/>
      <c r="M4250" s="177"/>
      <c r="N4250" s="21"/>
      <c r="O4250" s="45"/>
      <c r="P4250" s="24"/>
      <c r="Q4250" s="24"/>
      <c r="R4250" s="180"/>
      <c r="S4250" s="181"/>
      <c r="T4250" s="35"/>
      <c r="U4250" s="35"/>
      <c r="V4250" s="35"/>
      <c r="W4250" s="35"/>
      <c r="X4250" s="35"/>
      <c r="Y4250" s="182"/>
      <c r="Z4250" s="175"/>
      <c r="AA4250" s="182"/>
      <c r="AB4250" s="184"/>
    </row>
    <row r="4251" spans="1:28" ht="12.75">
      <c r="A4251" s="173"/>
      <c r="B4251" s="174"/>
      <c r="C4251" s="11"/>
      <c r="D4251" s="175"/>
      <c r="E4251" s="176"/>
      <c r="F4251" s="177"/>
      <c r="G4251" s="178"/>
      <c r="H4251" s="177"/>
      <c r="I4251" s="177"/>
      <c r="J4251" s="179"/>
      <c r="K4251" s="183"/>
      <c r="L4251" s="176"/>
      <c r="M4251" s="177"/>
      <c r="N4251" s="21"/>
      <c r="O4251" s="45"/>
      <c r="P4251" s="24"/>
      <c r="Q4251" s="24"/>
      <c r="R4251" s="180"/>
      <c r="S4251" s="181"/>
      <c r="T4251" s="35"/>
      <c r="U4251" s="35"/>
      <c r="V4251" s="35"/>
      <c r="W4251" s="35"/>
      <c r="X4251" s="35"/>
      <c r="Y4251" s="182"/>
      <c r="Z4251" s="175"/>
      <c r="AA4251" s="182"/>
      <c r="AB4251" s="184"/>
    </row>
    <row r="4252" spans="1:28" ht="12.75">
      <c r="A4252" s="173"/>
      <c r="B4252" s="174"/>
      <c r="C4252" s="11"/>
      <c r="D4252" s="175"/>
      <c r="E4252" s="176"/>
      <c r="F4252" s="177"/>
      <c r="G4252" s="178"/>
      <c r="H4252" s="177"/>
      <c r="I4252" s="177"/>
      <c r="J4252" s="179"/>
      <c r="K4252" s="183"/>
      <c r="L4252" s="176"/>
      <c r="M4252" s="177"/>
      <c r="N4252" s="21"/>
      <c r="O4252" s="45"/>
      <c r="P4252" s="24"/>
      <c r="Q4252" s="24"/>
      <c r="R4252" s="180"/>
      <c r="S4252" s="181"/>
      <c r="T4252" s="35"/>
      <c r="U4252" s="35"/>
      <c r="V4252" s="35"/>
      <c r="W4252" s="35"/>
      <c r="X4252" s="35"/>
      <c r="Y4252" s="182"/>
      <c r="Z4252" s="175"/>
      <c r="AA4252" s="182"/>
      <c r="AB4252" s="184"/>
    </row>
    <row r="4253" spans="1:28" ht="12.75">
      <c r="A4253" s="173"/>
      <c r="B4253" s="174"/>
      <c r="C4253" s="11"/>
      <c r="D4253" s="175"/>
      <c r="E4253" s="176"/>
      <c r="F4253" s="177"/>
      <c r="G4253" s="178"/>
      <c r="H4253" s="177"/>
      <c r="I4253" s="177"/>
      <c r="J4253" s="179"/>
      <c r="K4253" s="183"/>
      <c r="L4253" s="176"/>
      <c r="M4253" s="177"/>
      <c r="N4253" s="21"/>
      <c r="O4253" s="45"/>
      <c r="P4253" s="24"/>
      <c r="Q4253" s="24"/>
      <c r="R4253" s="180"/>
      <c r="S4253" s="181"/>
      <c r="T4253" s="35"/>
      <c r="U4253" s="35"/>
      <c r="V4253" s="35"/>
      <c r="W4253" s="35"/>
      <c r="X4253" s="35"/>
      <c r="Y4253" s="182"/>
      <c r="Z4253" s="175"/>
      <c r="AA4253" s="182"/>
      <c r="AB4253" s="184"/>
    </row>
    <row r="4254" spans="1:28" ht="12.75">
      <c r="A4254" s="173"/>
      <c r="B4254" s="174"/>
      <c r="C4254" s="11"/>
      <c r="D4254" s="175"/>
      <c r="E4254" s="176"/>
      <c r="F4254" s="177"/>
      <c r="G4254" s="178"/>
      <c r="H4254" s="177"/>
      <c r="I4254" s="177"/>
      <c r="J4254" s="179"/>
      <c r="K4254" s="183"/>
      <c r="L4254" s="176"/>
      <c r="M4254" s="177"/>
      <c r="N4254" s="21"/>
      <c r="O4254" s="45"/>
      <c r="P4254" s="24"/>
      <c r="Q4254" s="24"/>
      <c r="R4254" s="180"/>
      <c r="S4254" s="181"/>
      <c r="T4254" s="35"/>
      <c r="U4254" s="35"/>
      <c r="V4254" s="35"/>
      <c r="W4254" s="35"/>
      <c r="X4254" s="35"/>
      <c r="Y4254" s="182"/>
      <c r="Z4254" s="175"/>
      <c r="AA4254" s="182"/>
      <c r="AB4254" s="184"/>
    </row>
    <row r="4255" spans="1:28" ht="12.75">
      <c r="A4255" s="173"/>
      <c r="B4255" s="174"/>
      <c r="C4255" s="11"/>
      <c r="D4255" s="175"/>
      <c r="E4255" s="176"/>
      <c r="F4255" s="177"/>
      <c r="G4255" s="178"/>
      <c r="H4255" s="177"/>
      <c r="I4255" s="177"/>
      <c r="J4255" s="179"/>
      <c r="K4255" s="183"/>
      <c r="L4255" s="176"/>
      <c r="M4255" s="177"/>
      <c r="N4255" s="21"/>
      <c r="O4255" s="45"/>
      <c r="P4255" s="24"/>
      <c r="Q4255" s="24"/>
      <c r="R4255" s="180"/>
      <c r="S4255" s="181"/>
      <c r="T4255" s="35"/>
      <c r="U4255" s="35"/>
      <c r="V4255" s="35"/>
      <c r="W4255" s="35"/>
      <c r="X4255" s="35"/>
      <c r="Y4255" s="182"/>
      <c r="Z4255" s="175"/>
      <c r="AA4255" s="182"/>
      <c r="AB4255" s="184"/>
    </row>
    <row r="4256" spans="1:28" ht="12.75">
      <c r="A4256" s="173"/>
      <c r="B4256" s="174"/>
      <c r="C4256" s="11"/>
      <c r="D4256" s="175"/>
      <c r="E4256" s="176"/>
      <c r="F4256" s="177"/>
      <c r="G4256" s="178"/>
      <c r="H4256" s="177"/>
      <c r="I4256" s="177"/>
      <c r="J4256" s="179"/>
      <c r="K4256" s="183"/>
      <c r="L4256" s="176"/>
      <c r="M4256" s="177"/>
      <c r="N4256" s="21"/>
      <c r="O4256" s="45"/>
      <c r="P4256" s="24"/>
      <c r="Q4256" s="24"/>
      <c r="R4256" s="180"/>
      <c r="S4256" s="181"/>
      <c r="T4256" s="35"/>
      <c r="U4256" s="35"/>
      <c r="V4256" s="35"/>
      <c r="W4256" s="35"/>
      <c r="X4256" s="35"/>
      <c r="Y4256" s="182"/>
      <c r="Z4256" s="175"/>
      <c r="AA4256" s="182"/>
      <c r="AB4256" s="184"/>
    </row>
    <row r="4257" spans="1:28" ht="12.75">
      <c r="A4257" s="173"/>
      <c r="B4257" s="174"/>
      <c r="C4257" s="11"/>
      <c r="D4257" s="175"/>
      <c r="E4257" s="176"/>
      <c r="F4257" s="177"/>
      <c r="G4257" s="178"/>
      <c r="H4257" s="177"/>
      <c r="I4257" s="177"/>
      <c r="J4257" s="179"/>
      <c r="K4257" s="183"/>
      <c r="L4257" s="176"/>
      <c r="M4257" s="177"/>
      <c r="N4257" s="21"/>
      <c r="O4257" s="45"/>
      <c r="P4257" s="24"/>
      <c r="Q4257" s="24"/>
      <c r="R4257" s="180"/>
      <c r="S4257" s="181"/>
      <c r="T4257" s="35"/>
      <c r="U4257" s="35"/>
      <c r="V4257" s="35"/>
      <c r="W4257" s="35"/>
      <c r="X4257" s="35"/>
      <c r="Y4257" s="182"/>
      <c r="Z4257" s="175"/>
      <c r="AA4257" s="182"/>
      <c r="AB4257" s="184"/>
    </row>
    <row r="4258" spans="1:28" ht="12.75">
      <c r="A4258" s="173"/>
      <c r="B4258" s="174"/>
      <c r="C4258" s="11"/>
      <c r="D4258" s="175"/>
      <c r="E4258" s="176"/>
      <c r="F4258" s="177"/>
      <c r="G4258" s="178"/>
      <c r="H4258" s="177"/>
      <c r="I4258" s="177"/>
      <c r="J4258" s="179"/>
      <c r="K4258" s="183"/>
      <c r="L4258" s="176"/>
      <c r="M4258" s="177"/>
      <c r="N4258" s="21"/>
      <c r="O4258" s="45"/>
      <c r="P4258" s="24"/>
      <c r="Q4258" s="24"/>
      <c r="R4258" s="180"/>
      <c r="S4258" s="181"/>
      <c r="T4258" s="35"/>
      <c r="U4258" s="35"/>
      <c r="V4258" s="35"/>
      <c r="W4258" s="35"/>
      <c r="X4258" s="35"/>
      <c r="Y4258" s="182"/>
      <c r="Z4258" s="175"/>
      <c r="AA4258" s="182"/>
      <c r="AB4258" s="184"/>
    </row>
    <row r="4259" spans="1:28" ht="12.75">
      <c r="A4259" s="173"/>
      <c r="B4259" s="174"/>
      <c r="C4259" s="11"/>
      <c r="D4259" s="175"/>
      <c r="E4259" s="176"/>
      <c r="F4259" s="177"/>
      <c r="G4259" s="178"/>
      <c r="H4259" s="177"/>
      <c r="I4259" s="177"/>
      <c r="J4259" s="179"/>
      <c r="K4259" s="183"/>
      <c r="L4259" s="176"/>
      <c r="M4259" s="177"/>
      <c r="N4259" s="21"/>
      <c r="O4259" s="45"/>
      <c r="P4259" s="24"/>
      <c r="Q4259" s="24"/>
      <c r="R4259" s="180"/>
      <c r="S4259" s="181"/>
      <c r="T4259" s="35"/>
      <c r="U4259" s="35"/>
      <c r="V4259" s="35"/>
      <c r="W4259" s="35"/>
      <c r="X4259" s="35"/>
      <c r="Y4259" s="182"/>
      <c r="Z4259" s="175"/>
      <c r="AA4259" s="182"/>
      <c r="AB4259" s="184"/>
    </row>
    <row r="4260" spans="1:28" ht="12.75">
      <c r="A4260" s="173"/>
      <c r="B4260" s="174"/>
      <c r="C4260" s="11"/>
      <c r="D4260" s="175"/>
      <c r="E4260" s="176"/>
      <c r="F4260" s="177"/>
      <c r="G4260" s="178"/>
      <c r="H4260" s="177"/>
      <c r="I4260" s="177"/>
      <c r="J4260" s="179"/>
      <c r="K4260" s="183"/>
      <c r="L4260" s="176"/>
      <c r="M4260" s="177"/>
      <c r="N4260" s="21"/>
      <c r="O4260" s="45"/>
      <c r="P4260" s="24"/>
      <c r="Q4260" s="24"/>
      <c r="R4260" s="180"/>
      <c r="S4260" s="181"/>
      <c r="T4260" s="35"/>
      <c r="U4260" s="35"/>
      <c r="V4260" s="35"/>
      <c r="W4260" s="35"/>
      <c r="X4260" s="35"/>
      <c r="Y4260" s="182"/>
      <c r="Z4260" s="175"/>
      <c r="AA4260" s="182"/>
      <c r="AB4260" s="184"/>
    </row>
    <row r="4261" spans="1:28" ht="12.75">
      <c r="A4261" s="173"/>
      <c r="B4261" s="174"/>
      <c r="C4261" s="11"/>
      <c r="D4261" s="175"/>
      <c r="E4261" s="176"/>
      <c r="F4261" s="177"/>
      <c r="G4261" s="178"/>
      <c r="H4261" s="177"/>
      <c r="I4261" s="177"/>
      <c r="J4261" s="179"/>
      <c r="K4261" s="183"/>
      <c r="L4261" s="176"/>
      <c r="M4261" s="177"/>
      <c r="N4261" s="21"/>
      <c r="O4261" s="45"/>
      <c r="P4261" s="24"/>
      <c r="Q4261" s="24"/>
      <c r="R4261" s="180"/>
      <c r="S4261" s="181"/>
      <c r="T4261" s="35"/>
      <c r="U4261" s="35"/>
      <c r="V4261" s="35"/>
      <c r="W4261" s="35"/>
      <c r="X4261" s="35"/>
      <c r="Y4261" s="182"/>
      <c r="Z4261" s="175"/>
      <c r="AA4261" s="182"/>
      <c r="AB4261" s="184"/>
    </row>
    <row r="4262" spans="1:28" ht="12.75">
      <c r="A4262" s="173"/>
      <c r="B4262" s="174"/>
      <c r="C4262" s="11"/>
      <c r="D4262" s="175"/>
      <c r="E4262" s="176"/>
      <c r="F4262" s="177"/>
      <c r="G4262" s="178"/>
      <c r="H4262" s="177"/>
      <c r="I4262" s="177"/>
      <c r="J4262" s="179"/>
      <c r="K4262" s="183"/>
      <c r="L4262" s="176"/>
      <c r="M4262" s="177"/>
      <c r="N4262" s="21"/>
      <c r="O4262" s="45"/>
      <c r="P4262" s="24"/>
      <c r="Q4262" s="24"/>
      <c r="R4262" s="180"/>
      <c r="S4262" s="181"/>
      <c r="T4262" s="35"/>
      <c r="U4262" s="35"/>
      <c r="V4262" s="35"/>
      <c r="W4262" s="35"/>
      <c r="X4262" s="35"/>
      <c r="Y4262" s="182"/>
      <c r="Z4262" s="175"/>
      <c r="AA4262" s="182"/>
      <c r="AB4262" s="184"/>
    </row>
    <row r="4263" spans="1:28" ht="12.75">
      <c r="A4263" s="173"/>
      <c r="B4263" s="174"/>
      <c r="C4263" s="11"/>
      <c r="D4263" s="175"/>
      <c r="E4263" s="176"/>
      <c r="F4263" s="177"/>
      <c r="G4263" s="178"/>
      <c r="H4263" s="177"/>
      <c r="I4263" s="177"/>
      <c r="J4263" s="179"/>
      <c r="K4263" s="183"/>
      <c r="L4263" s="176"/>
      <c r="M4263" s="177"/>
      <c r="N4263" s="21"/>
      <c r="O4263" s="45"/>
      <c r="P4263" s="24"/>
      <c r="Q4263" s="24"/>
      <c r="R4263" s="180"/>
      <c r="S4263" s="181"/>
      <c r="T4263" s="35"/>
      <c r="U4263" s="35"/>
      <c r="V4263" s="35"/>
      <c r="W4263" s="35"/>
      <c r="X4263" s="35"/>
      <c r="Y4263" s="182"/>
      <c r="Z4263" s="175"/>
      <c r="AA4263" s="182"/>
      <c r="AB4263" s="184"/>
    </row>
    <row r="4264" spans="1:28" ht="12.75">
      <c r="A4264" s="173"/>
      <c r="B4264" s="174"/>
      <c r="C4264" s="11"/>
      <c r="D4264" s="175"/>
      <c r="E4264" s="176"/>
      <c r="F4264" s="177"/>
      <c r="G4264" s="178"/>
      <c r="H4264" s="177"/>
      <c r="I4264" s="177"/>
      <c r="J4264" s="179"/>
      <c r="K4264" s="183"/>
      <c r="L4264" s="176"/>
      <c r="M4264" s="177"/>
      <c r="N4264" s="21"/>
      <c r="O4264" s="45"/>
      <c r="P4264" s="24"/>
      <c r="Q4264" s="24"/>
      <c r="R4264" s="180"/>
      <c r="S4264" s="181"/>
      <c r="T4264" s="35"/>
      <c r="U4264" s="35"/>
      <c r="V4264" s="35"/>
      <c r="W4264" s="35"/>
      <c r="X4264" s="35"/>
      <c r="Y4264" s="182"/>
      <c r="Z4264" s="175"/>
      <c r="AA4264" s="182"/>
      <c r="AB4264" s="184"/>
    </row>
    <row r="4265" spans="1:28" ht="12.75">
      <c r="A4265" s="173"/>
      <c r="B4265" s="174"/>
      <c r="C4265" s="11"/>
      <c r="D4265" s="175"/>
      <c r="E4265" s="176"/>
      <c r="F4265" s="177"/>
      <c r="G4265" s="178"/>
      <c r="H4265" s="177"/>
      <c r="I4265" s="177"/>
      <c r="J4265" s="179"/>
      <c r="K4265" s="183"/>
      <c r="L4265" s="176"/>
      <c r="M4265" s="177"/>
      <c r="N4265" s="21"/>
      <c r="O4265" s="45"/>
      <c r="P4265" s="24"/>
      <c r="Q4265" s="24"/>
      <c r="R4265" s="180"/>
      <c r="S4265" s="181"/>
      <c r="T4265" s="35"/>
      <c r="U4265" s="35"/>
      <c r="V4265" s="35"/>
      <c r="W4265" s="35"/>
      <c r="X4265" s="35"/>
      <c r="Y4265" s="182"/>
      <c r="Z4265" s="175"/>
      <c r="AA4265" s="182"/>
      <c r="AB4265" s="184"/>
    </row>
    <row r="4266" spans="1:28" ht="12.75">
      <c r="A4266" s="173"/>
      <c r="B4266" s="174"/>
      <c r="C4266" s="11"/>
      <c r="D4266" s="175"/>
      <c r="E4266" s="176"/>
      <c r="F4266" s="177"/>
      <c r="G4266" s="178"/>
      <c r="H4266" s="177"/>
      <c r="I4266" s="177"/>
      <c r="J4266" s="179"/>
      <c r="K4266" s="183"/>
      <c r="L4266" s="176"/>
      <c r="M4266" s="177"/>
      <c r="N4266" s="21"/>
      <c r="O4266" s="45"/>
      <c r="P4266" s="24"/>
      <c r="Q4266" s="24"/>
      <c r="R4266" s="180"/>
      <c r="S4266" s="181"/>
      <c r="T4266" s="35"/>
      <c r="U4266" s="35"/>
      <c r="V4266" s="35"/>
      <c r="W4266" s="35"/>
      <c r="X4266" s="35"/>
      <c r="Y4266" s="182"/>
      <c r="Z4266" s="175"/>
      <c r="AA4266" s="182"/>
      <c r="AB4266" s="184"/>
    </row>
    <row r="4267" spans="1:28" ht="12.75">
      <c r="A4267" s="173"/>
      <c r="B4267" s="174"/>
      <c r="C4267" s="11"/>
      <c r="D4267" s="175"/>
      <c r="E4267" s="176"/>
      <c r="F4267" s="177"/>
      <c r="G4267" s="178"/>
      <c r="H4267" s="177"/>
      <c r="I4267" s="177"/>
      <c r="J4267" s="179"/>
      <c r="K4267" s="183"/>
      <c r="L4267" s="176"/>
      <c r="M4267" s="177"/>
      <c r="N4267" s="21"/>
      <c r="O4267" s="45"/>
      <c r="P4267" s="24"/>
      <c r="Q4267" s="24"/>
      <c r="R4267" s="180"/>
      <c r="S4267" s="181"/>
      <c r="T4267" s="35"/>
      <c r="U4267" s="35"/>
      <c r="V4267" s="35"/>
      <c r="W4267" s="35"/>
      <c r="X4267" s="35"/>
      <c r="Y4267" s="182"/>
      <c r="Z4267" s="175"/>
      <c r="AA4267" s="182"/>
      <c r="AB4267" s="184"/>
    </row>
    <row r="4268" spans="1:28" ht="12.75">
      <c r="A4268" s="173"/>
      <c r="B4268" s="174"/>
      <c r="C4268" s="11"/>
      <c r="D4268" s="175"/>
      <c r="E4268" s="176"/>
      <c r="F4268" s="177"/>
      <c r="G4268" s="178"/>
      <c r="H4268" s="177"/>
      <c r="I4268" s="177"/>
      <c r="J4268" s="179"/>
      <c r="K4268" s="183"/>
      <c r="L4268" s="176"/>
      <c r="M4268" s="177"/>
      <c r="N4268" s="21"/>
      <c r="O4268" s="45"/>
      <c r="P4268" s="24"/>
      <c r="Q4268" s="24"/>
      <c r="R4268" s="180"/>
      <c r="S4268" s="181"/>
      <c r="T4268" s="35"/>
      <c r="U4268" s="35"/>
      <c r="V4268" s="35"/>
      <c r="W4268" s="35"/>
      <c r="X4268" s="35"/>
      <c r="Y4268" s="182"/>
      <c r="Z4268" s="175"/>
      <c r="AA4268" s="182"/>
      <c r="AB4268" s="184"/>
    </row>
    <row r="4269" spans="1:28" ht="12.75">
      <c r="A4269" s="173"/>
      <c r="B4269" s="174"/>
      <c r="C4269" s="11"/>
      <c r="D4269" s="175"/>
      <c r="E4269" s="176"/>
      <c r="F4269" s="177"/>
      <c r="G4269" s="178"/>
      <c r="H4269" s="177"/>
      <c r="I4269" s="177"/>
      <c r="J4269" s="179"/>
      <c r="K4269" s="183"/>
      <c r="L4269" s="176"/>
      <c r="M4269" s="177"/>
      <c r="N4269" s="21"/>
      <c r="O4269" s="45"/>
      <c r="P4269" s="24"/>
      <c r="Q4269" s="24"/>
      <c r="R4269" s="180"/>
      <c r="S4269" s="181"/>
      <c r="T4269" s="35"/>
      <c r="U4269" s="35"/>
      <c r="V4269" s="35"/>
      <c r="W4269" s="35"/>
      <c r="X4269" s="35"/>
      <c r="Y4269" s="182"/>
      <c r="Z4269" s="175"/>
      <c r="AA4269" s="182"/>
      <c r="AB4269" s="184"/>
    </row>
    <row r="4270" spans="1:28" ht="12.75">
      <c r="A4270" s="173"/>
      <c r="B4270" s="174"/>
      <c r="C4270" s="11"/>
      <c r="D4270" s="175"/>
      <c r="E4270" s="176"/>
      <c r="F4270" s="177"/>
      <c r="G4270" s="178"/>
      <c r="H4270" s="177"/>
      <c r="I4270" s="177"/>
      <c r="J4270" s="179"/>
      <c r="K4270" s="183"/>
      <c r="L4270" s="176"/>
      <c r="M4270" s="177"/>
      <c r="N4270" s="21"/>
      <c r="O4270" s="45"/>
      <c r="P4270" s="24"/>
      <c r="Q4270" s="24"/>
      <c r="R4270" s="180"/>
      <c r="S4270" s="181"/>
      <c r="T4270" s="35"/>
      <c r="U4270" s="35"/>
      <c r="V4270" s="35"/>
      <c r="W4270" s="35"/>
      <c r="X4270" s="35"/>
      <c r="Y4270" s="182"/>
      <c r="Z4270" s="175"/>
      <c r="AA4270" s="182"/>
      <c r="AB4270" s="184"/>
    </row>
    <row r="4271" spans="1:28" ht="12.75">
      <c r="A4271" s="173"/>
      <c r="B4271" s="174"/>
      <c r="C4271" s="11"/>
      <c r="D4271" s="175"/>
      <c r="E4271" s="176"/>
      <c r="F4271" s="177"/>
      <c r="G4271" s="178"/>
      <c r="H4271" s="177"/>
      <c r="I4271" s="177"/>
      <c r="J4271" s="179"/>
      <c r="K4271" s="183"/>
      <c r="L4271" s="176"/>
      <c r="M4271" s="177"/>
      <c r="N4271" s="21"/>
      <c r="O4271" s="45"/>
      <c r="P4271" s="24"/>
      <c r="Q4271" s="24"/>
      <c r="R4271" s="180"/>
      <c r="S4271" s="181"/>
      <c r="T4271" s="35"/>
      <c r="U4271" s="35"/>
      <c r="V4271" s="35"/>
      <c r="W4271" s="35"/>
      <c r="X4271" s="35"/>
      <c r="Y4271" s="182"/>
      <c r="Z4271" s="175"/>
      <c r="AA4271" s="182"/>
      <c r="AB4271" s="184"/>
    </row>
    <row r="4272" spans="1:28" ht="12.75">
      <c r="A4272" s="173"/>
      <c r="B4272" s="174"/>
      <c r="C4272" s="11"/>
      <c r="D4272" s="175"/>
      <c r="E4272" s="176"/>
      <c r="F4272" s="177"/>
      <c r="G4272" s="178"/>
      <c r="H4272" s="177"/>
      <c r="I4272" s="177"/>
      <c r="J4272" s="179"/>
      <c r="K4272" s="183"/>
      <c r="L4272" s="176"/>
      <c r="M4272" s="177"/>
      <c r="N4272" s="21"/>
      <c r="O4272" s="45"/>
      <c r="P4272" s="24"/>
      <c r="Q4272" s="24"/>
      <c r="R4272" s="180"/>
      <c r="S4272" s="181"/>
      <c r="T4272" s="35"/>
      <c r="U4272" s="35"/>
      <c r="V4272" s="35"/>
      <c r="W4272" s="35"/>
      <c r="X4272" s="35"/>
      <c r="Y4272" s="182"/>
      <c r="Z4272" s="175"/>
      <c r="AA4272" s="182"/>
      <c r="AB4272" s="184"/>
    </row>
    <row r="4273" spans="1:28" ht="12.75">
      <c r="A4273" s="173"/>
      <c r="B4273" s="174"/>
      <c r="C4273" s="11"/>
      <c r="D4273" s="175"/>
      <c r="E4273" s="176"/>
      <c r="F4273" s="177"/>
      <c r="G4273" s="178"/>
      <c r="H4273" s="177"/>
      <c r="I4273" s="177"/>
      <c r="J4273" s="179"/>
      <c r="K4273" s="183"/>
      <c r="L4273" s="176"/>
      <c r="M4273" s="177"/>
      <c r="N4273" s="21"/>
      <c r="O4273" s="45"/>
      <c r="P4273" s="24"/>
      <c r="Q4273" s="24"/>
      <c r="R4273" s="180"/>
      <c r="S4273" s="181"/>
      <c r="T4273" s="35"/>
      <c r="U4273" s="35"/>
      <c r="V4273" s="35"/>
      <c r="W4273" s="35"/>
      <c r="X4273" s="35"/>
      <c r="Y4273" s="182"/>
      <c r="Z4273" s="175"/>
      <c r="AA4273" s="182"/>
      <c r="AB4273" s="184"/>
    </row>
    <row r="4274" spans="1:28" ht="12.75">
      <c r="A4274" s="173"/>
      <c r="B4274" s="174"/>
      <c r="C4274" s="11"/>
      <c r="D4274" s="175"/>
      <c r="E4274" s="176"/>
      <c r="F4274" s="177"/>
      <c r="G4274" s="178"/>
      <c r="H4274" s="177"/>
      <c r="I4274" s="177"/>
      <c r="J4274" s="179"/>
      <c r="K4274" s="183"/>
      <c r="L4274" s="176"/>
      <c r="M4274" s="177"/>
      <c r="N4274" s="21"/>
      <c r="O4274" s="45"/>
      <c r="P4274" s="24"/>
      <c r="Q4274" s="24"/>
      <c r="R4274" s="180"/>
      <c r="S4274" s="181"/>
      <c r="T4274" s="35"/>
      <c r="U4274" s="35"/>
      <c r="V4274" s="35"/>
      <c r="W4274" s="35"/>
      <c r="X4274" s="35"/>
      <c r="Y4274" s="182"/>
      <c r="Z4274" s="175"/>
      <c r="AA4274" s="182"/>
      <c r="AB4274" s="184"/>
    </row>
    <row r="4275" spans="1:28" ht="12.75">
      <c r="A4275" s="173"/>
      <c r="B4275" s="174"/>
      <c r="C4275" s="11"/>
      <c r="D4275" s="175"/>
      <c r="E4275" s="176"/>
      <c r="F4275" s="177"/>
      <c r="G4275" s="178"/>
      <c r="H4275" s="177"/>
      <c r="I4275" s="177"/>
      <c r="J4275" s="179"/>
      <c r="K4275" s="183"/>
      <c r="L4275" s="176"/>
      <c r="M4275" s="177"/>
      <c r="N4275" s="21"/>
      <c r="O4275" s="45"/>
      <c r="P4275" s="24"/>
      <c r="Q4275" s="24"/>
      <c r="R4275" s="180"/>
      <c r="S4275" s="181"/>
      <c r="T4275" s="35"/>
      <c r="U4275" s="35"/>
      <c r="V4275" s="35"/>
      <c r="W4275" s="35"/>
      <c r="X4275" s="35"/>
      <c r="Y4275" s="182"/>
      <c r="Z4275" s="175"/>
      <c r="AA4275" s="182"/>
      <c r="AB4275" s="184"/>
    </row>
    <row r="4276" spans="1:28" ht="12.75">
      <c r="A4276" s="173"/>
      <c r="B4276" s="174"/>
      <c r="C4276" s="11"/>
      <c r="D4276" s="175"/>
      <c r="E4276" s="176"/>
      <c r="F4276" s="177"/>
      <c r="G4276" s="178"/>
      <c r="H4276" s="177"/>
      <c r="I4276" s="177"/>
      <c r="J4276" s="179"/>
      <c r="K4276" s="183"/>
      <c r="L4276" s="176"/>
      <c r="M4276" s="177"/>
      <c r="N4276" s="21"/>
      <c r="O4276" s="45"/>
      <c r="P4276" s="24"/>
      <c r="Q4276" s="24"/>
      <c r="R4276" s="180"/>
      <c r="S4276" s="181"/>
      <c r="T4276" s="35"/>
      <c r="U4276" s="35"/>
      <c r="V4276" s="35"/>
      <c r="W4276" s="35"/>
      <c r="X4276" s="35"/>
      <c r="Y4276" s="182"/>
      <c r="Z4276" s="175"/>
      <c r="AA4276" s="182"/>
      <c r="AB4276" s="184"/>
    </row>
    <row r="4277" spans="1:28" ht="12.75">
      <c r="A4277" s="173"/>
      <c r="B4277" s="174"/>
      <c r="C4277" s="11"/>
      <c r="D4277" s="175"/>
      <c r="E4277" s="176"/>
      <c r="F4277" s="177"/>
      <c r="G4277" s="178"/>
      <c r="H4277" s="177"/>
      <c r="I4277" s="177"/>
      <c r="J4277" s="179"/>
      <c r="K4277" s="183"/>
      <c r="L4277" s="176"/>
      <c r="M4277" s="177"/>
      <c r="N4277" s="21"/>
      <c r="O4277" s="45"/>
      <c r="P4277" s="24"/>
      <c r="Q4277" s="24"/>
      <c r="R4277" s="180"/>
      <c r="S4277" s="181"/>
      <c r="T4277" s="35"/>
      <c r="U4277" s="35"/>
      <c r="V4277" s="35"/>
      <c r="W4277" s="35"/>
      <c r="X4277" s="35"/>
      <c r="Y4277" s="182"/>
      <c r="Z4277" s="175"/>
      <c r="AA4277" s="182"/>
      <c r="AB4277" s="184"/>
    </row>
    <row r="4278" spans="1:28" ht="12.75">
      <c r="A4278" s="173"/>
      <c r="B4278" s="174"/>
      <c r="C4278" s="11"/>
      <c r="D4278" s="175"/>
      <c r="E4278" s="176"/>
      <c r="F4278" s="177"/>
      <c r="G4278" s="178"/>
      <c r="H4278" s="177"/>
      <c r="I4278" s="177"/>
      <c r="J4278" s="179"/>
      <c r="K4278" s="183"/>
      <c r="L4278" s="176"/>
      <c r="M4278" s="177"/>
      <c r="N4278" s="21"/>
      <c r="O4278" s="45"/>
      <c r="P4278" s="24"/>
      <c r="Q4278" s="24"/>
      <c r="R4278" s="180"/>
      <c r="S4278" s="181"/>
      <c r="T4278" s="35"/>
      <c r="U4278" s="35"/>
      <c r="V4278" s="35"/>
      <c r="W4278" s="35"/>
      <c r="X4278" s="35"/>
      <c r="Y4278" s="182"/>
      <c r="Z4278" s="175"/>
      <c r="AA4278" s="182"/>
      <c r="AB4278" s="184"/>
    </row>
    <row r="4279" spans="1:28" ht="12.75">
      <c r="A4279" s="173"/>
      <c r="B4279" s="174"/>
      <c r="C4279" s="11"/>
      <c r="D4279" s="175"/>
      <c r="E4279" s="176"/>
      <c r="F4279" s="177"/>
      <c r="G4279" s="178"/>
      <c r="H4279" s="177"/>
      <c r="I4279" s="177"/>
      <c r="J4279" s="179"/>
      <c r="K4279" s="183"/>
      <c r="L4279" s="176"/>
      <c r="M4279" s="177"/>
      <c r="N4279" s="21"/>
      <c r="O4279" s="45"/>
      <c r="P4279" s="24"/>
      <c r="Q4279" s="24"/>
      <c r="R4279" s="180"/>
      <c r="S4279" s="181"/>
      <c r="T4279" s="35"/>
      <c r="U4279" s="35"/>
      <c r="V4279" s="35"/>
      <c r="W4279" s="35"/>
      <c r="X4279" s="35"/>
      <c r="Y4279" s="182"/>
      <c r="Z4279" s="175"/>
      <c r="AA4279" s="182"/>
      <c r="AB4279" s="184"/>
    </row>
    <row r="4280" spans="1:28" ht="12.75">
      <c r="A4280" s="173"/>
      <c r="B4280" s="174"/>
      <c r="C4280" s="11"/>
      <c r="D4280" s="175"/>
      <c r="E4280" s="176"/>
      <c r="F4280" s="177"/>
      <c r="G4280" s="178"/>
      <c r="H4280" s="177"/>
      <c r="I4280" s="177"/>
      <c r="J4280" s="179"/>
      <c r="K4280" s="183"/>
      <c r="L4280" s="176"/>
      <c r="M4280" s="177"/>
      <c r="N4280" s="21"/>
      <c r="O4280" s="45"/>
      <c r="P4280" s="24"/>
      <c r="Q4280" s="24"/>
      <c r="R4280" s="180"/>
      <c r="S4280" s="181"/>
      <c r="T4280" s="35"/>
      <c r="U4280" s="35"/>
      <c r="V4280" s="35"/>
      <c r="W4280" s="35"/>
      <c r="X4280" s="35"/>
      <c r="Y4280" s="182"/>
      <c r="Z4280" s="175"/>
      <c r="AA4280" s="182"/>
      <c r="AB4280" s="184"/>
    </row>
    <row r="4281" spans="1:28" ht="12.75">
      <c r="A4281" s="173"/>
      <c r="B4281" s="174"/>
      <c r="C4281" s="11"/>
      <c r="D4281" s="175"/>
      <c r="E4281" s="176"/>
      <c r="F4281" s="177"/>
      <c r="G4281" s="178"/>
      <c r="H4281" s="177"/>
      <c r="I4281" s="177"/>
      <c r="J4281" s="179"/>
      <c r="K4281" s="183"/>
      <c r="L4281" s="176"/>
      <c r="M4281" s="177"/>
      <c r="N4281" s="21"/>
      <c r="O4281" s="45"/>
      <c r="P4281" s="24"/>
      <c r="Q4281" s="24"/>
      <c r="R4281" s="180"/>
      <c r="S4281" s="181"/>
      <c r="T4281" s="35"/>
      <c r="U4281" s="35"/>
      <c r="V4281" s="35"/>
      <c r="W4281" s="35"/>
      <c r="X4281" s="35"/>
      <c r="Y4281" s="182"/>
      <c r="Z4281" s="175"/>
      <c r="AA4281" s="182"/>
      <c r="AB4281" s="184"/>
    </row>
    <row r="4282" spans="1:28" ht="12.75">
      <c r="A4282" s="173"/>
      <c r="B4282" s="174"/>
      <c r="C4282" s="11"/>
      <c r="D4282" s="175"/>
      <c r="E4282" s="176"/>
      <c r="F4282" s="177"/>
      <c r="G4282" s="178"/>
      <c r="H4282" s="177"/>
      <c r="I4282" s="177"/>
      <c r="J4282" s="179"/>
      <c r="K4282" s="183"/>
      <c r="L4282" s="176"/>
      <c r="M4282" s="177"/>
      <c r="N4282" s="21"/>
      <c r="O4282" s="45"/>
      <c r="P4282" s="24"/>
      <c r="Q4282" s="24"/>
      <c r="R4282" s="180"/>
      <c r="S4282" s="181"/>
      <c r="T4282" s="35"/>
      <c r="U4282" s="35"/>
      <c r="V4282" s="35"/>
      <c r="W4282" s="35"/>
      <c r="X4282" s="35"/>
      <c r="Y4282" s="182"/>
      <c r="Z4282" s="175"/>
      <c r="AA4282" s="182"/>
      <c r="AB4282" s="184"/>
    </row>
    <row r="4283" spans="1:28" ht="12.75">
      <c r="A4283" s="173"/>
      <c r="B4283" s="174"/>
      <c r="C4283" s="11"/>
      <c r="D4283" s="175"/>
      <c r="E4283" s="176"/>
      <c r="F4283" s="177"/>
      <c r="G4283" s="178"/>
      <c r="H4283" s="177"/>
      <c r="I4283" s="177"/>
      <c r="J4283" s="179"/>
      <c r="K4283" s="183"/>
      <c r="L4283" s="176"/>
      <c r="M4283" s="177"/>
      <c r="N4283" s="21"/>
      <c r="O4283" s="45"/>
      <c r="P4283" s="24"/>
      <c r="Q4283" s="24"/>
      <c r="R4283" s="180"/>
      <c r="S4283" s="181"/>
      <c r="T4283" s="35"/>
      <c r="U4283" s="35"/>
      <c r="V4283" s="35"/>
      <c r="W4283" s="35"/>
      <c r="X4283" s="35"/>
      <c r="Y4283" s="182"/>
      <c r="Z4283" s="175"/>
      <c r="AA4283" s="182"/>
      <c r="AB4283" s="184"/>
    </row>
    <row r="4284" spans="1:28" ht="12.75">
      <c r="A4284" s="173"/>
      <c r="B4284" s="174"/>
      <c r="C4284" s="11"/>
      <c r="D4284" s="175"/>
      <c r="E4284" s="176"/>
      <c r="F4284" s="177"/>
      <c r="G4284" s="178"/>
      <c r="H4284" s="177"/>
      <c r="I4284" s="177"/>
      <c r="J4284" s="179"/>
      <c r="K4284" s="183"/>
      <c r="L4284" s="176"/>
      <c r="M4284" s="177"/>
      <c r="N4284" s="21"/>
      <c r="O4284" s="45"/>
      <c r="P4284" s="24"/>
      <c r="Q4284" s="24"/>
      <c r="R4284" s="180"/>
      <c r="S4284" s="181"/>
      <c r="T4284" s="35"/>
      <c r="U4284" s="35"/>
      <c r="V4284" s="35"/>
      <c r="W4284" s="35"/>
      <c r="X4284" s="35"/>
      <c r="Y4284" s="182"/>
      <c r="Z4284" s="175"/>
      <c r="AA4284" s="182"/>
      <c r="AB4284" s="184"/>
    </row>
    <row r="4285" spans="1:28" ht="12.75">
      <c r="A4285" s="173"/>
      <c r="B4285" s="174"/>
      <c r="C4285" s="11"/>
      <c r="D4285" s="175"/>
      <c r="E4285" s="176"/>
      <c r="F4285" s="177"/>
      <c r="G4285" s="178"/>
      <c r="H4285" s="177"/>
      <c r="I4285" s="177"/>
      <c r="J4285" s="179"/>
      <c r="K4285" s="183"/>
      <c r="L4285" s="176"/>
      <c r="M4285" s="177"/>
      <c r="N4285" s="21"/>
      <c r="O4285" s="45"/>
      <c r="P4285" s="24"/>
      <c r="Q4285" s="24"/>
      <c r="R4285" s="180"/>
      <c r="S4285" s="181"/>
      <c r="T4285" s="35"/>
      <c r="U4285" s="35"/>
      <c r="V4285" s="35"/>
      <c r="W4285" s="35"/>
      <c r="X4285" s="35"/>
      <c r="Y4285" s="182"/>
      <c r="Z4285" s="175"/>
      <c r="AA4285" s="182"/>
      <c r="AB4285" s="184"/>
    </row>
    <row r="4286" spans="1:28" ht="12.75">
      <c r="A4286" s="173"/>
      <c r="B4286" s="174"/>
      <c r="C4286" s="11"/>
      <c r="D4286" s="175"/>
      <c r="E4286" s="176"/>
      <c r="F4286" s="177"/>
      <c r="G4286" s="178"/>
      <c r="H4286" s="177"/>
      <c r="I4286" s="177"/>
      <c r="J4286" s="179"/>
      <c r="K4286" s="183"/>
      <c r="L4286" s="176"/>
      <c r="M4286" s="177"/>
      <c r="N4286" s="21"/>
      <c r="O4286" s="45"/>
      <c r="P4286" s="24"/>
      <c r="Q4286" s="24"/>
      <c r="R4286" s="180"/>
      <c r="S4286" s="181"/>
      <c r="T4286" s="35"/>
      <c r="U4286" s="35"/>
      <c r="V4286" s="35"/>
      <c r="W4286" s="35"/>
      <c r="X4286" s="35"/>
      <c r="Y4286" s="182"/>
      <c r="Z4286" s="175"/>
      <c r="AA4286" s="182"/>
      <c r="AB4286" s="184"/>
    </row>
    <row r="4287" spans="1:28" ht="12.75">
      <c r="A4287" s="173"/>
      <c r="B4287" s="174"/>
      <c r="C4287" s="11"/>
      <c r="D4287" s="175"/>
      <c r="E4287" s="176"/>
      <c r="F4287" s="177"/>
      <c r="G4287" s="178"/>
      <c r="H4287" s="177"/>
      <c r="I4287" s="177"/>
      <c r="J4287" s="179"/>
      <c r="K4287" s="183"/>
      <c r="L4287" s="176"/>
      <c r="M4287" s="177"/>
      <c r="N4287" s="21"/>
      <c r="O4287" s="45"/>
      <c r="P4287" s="24"/>
      <c r="Q4287" s="24"/>
      <c r="R4287" s="180"/>
      <c r="S4287" s="181"/>
      <c r="T4287" s="35"/>
      <c r="U4287" s="35"/>
      <c r="V4287" s="35"/>
      <c r="W4287" s="35"/>
      <c r="X4287" s="35"/>
      <c r="Y4287" s="182"/>
      <c r="Z4287" s="175"/>
      <c r="AA4287" s="182"/>
      <c r="AB4287" s="184"/>
    </row>
    <row r="4288" spans="1:28" ht="12.75">
      <c r="A4288" s="173"/>
      <c r="B4288" s="174"/>
      <c r="C4288" s="11"/>
      <c r="D4288" s="175"/>
      <c r="E4288" s="176"/>
      <c r="F4288" s="177"/>
      <c r="G4288" s="178"/>
      <c r="H4288" s="177"/>
      <c r="I4288" s="177"/>
      <c r="J4288" s="179"/>
      <c r="K4288" s="183"/>
      <c r="L4288" s="176"/>
      <c r="M4288" s="177"/>
      <c r="N4288" s="21"/>
      <c r="O4288" s="45"/>
      <c r="P4288" s="24"/>
      <c r="Q4288" s="24"/>
      <c r="R4288" s="180"/>
      <c r="S4288" s="181"/>
      <c r="T4288" s="35"/>
      <c r="U4288" s="35"/>
      <c r="V4288" s="35"/>
      <c r="W4288" s="35"/>
      <c r="X4288" s="35"/>
      <c r="Y4288" s="182"/>
      <c r="Z4288" s="175"/>
      <c r="AA4288" s="182"/>
      <c r="AB4288" s="184"/>
    </row>
    <row r="4289" spans="1:28" ht="12.75">
      <c r="A4289" s="173"/>
      <c r="B4289" s="174"/>
      <c r="C4289" s="11"/>
      <c r="D4289" s="175"/>
      <c r="E4289" s="176"/>
      <c r="F4289" s="177"/>
      <c r="G4289" s="178"/>
      <c r="H4289" s="177"/>
      <c r="I4289" s="177"/>
      <c r="J4289" s="179"/>
      <c r="K4289" s="183"/>
      <c r="L4289" s="176"/>
      <c r="M4289" s="177"/>
      <c r="N4289" s="21"/>
      <c r="O4289" s="45"/>
      <c r="P4289" s="24"/>
      <c r="Q4289" s="24"/>
      <c r="R4289" s="180"/>
      <c r="S4289" s="181"/>
      <c r="T4289" s="35"/>
      <c r="U4289" s="35"/>
      <c r="V4289" s="35"/>
      <c r="W4289" s="35"/>
      <c r="X4289" s="35"/>
      <c r="Y4289" s="182"/>
      <c r="Z4289" s="175"/>
      <c r="AA4289" s="182"/>
      <c r="AB4289" s="184"/>
    </row>
    <row r="4290" spans="1:28" ht="12.75">
      <c r="A4290" s="173"/>
      <c r="B4290" s="174"/>
      <c r="C4290" s="11"/>
      <c r="D4290" s="175"/>
      <c r="E4290" s="176"/>
      <c r="F4290" s="177"/>
      <c r="G4290" s="178"/>
      <c r="H4290" s="177"/>
      <c r="I4290" s="177"/>
      <c r="J4290" s="179"/>
      <c r="K4290" s="183"/>
      <c r="L4290" s="176"/>
      <c r="M4290" s="177"/>
      <c r="N4290" s="21"/>
      <c r="O4290" s="45"/>
      <c r="P4290" s="24"/>
      <c r="Q4290" s="24"/>
      <c r="R4290" s="180"/>
      <c r="S4290" s="181"/>
      <c r="T4290" s="35"/>
      <c r="U4290" s="35"/>
      <c r="V4290" s="35"/>
      <c r="W4290" s="35"/>
      <c r="X4290" s="35"/>
      <c r="Y4290" s="182"/>
      <c r="Z4290" s="175"/>
      <c r="AA4290" s="182"/>
      <c r="AB4290" s="184"/>
    </row>
    <row r="4291" spans="1:28" ht="12.75">
      <c r="A4291" s="173"/>
      <c r="B4291" s="174"/>
      <c r="C4291" s="11"/>
      <c r="D4291" s="175"/>
      <c r="E4291" s="176"/>
      <c r="F4291" s="177"/>
      <c r="G4291" s="178"/>
      <c r="H4291" s="177"/>
      <c r="I4291" s="177"/>
      <c r="J4291" s="179"/>
      <c r="K4291" s="183"/>
      <c r="L4291" s="176"/>
      <c r="M4291" s="177"/>
      <c r="N4291" s="21"/>
      <c r="O4291" s="45"/>
      <c r="P4291" s="24"/>
      <c r="Q4291" s="24"/>
      <c r="R4291" s="180"/>
      <c r="S4291" s="181"/>
      <c r="T4291" s="35"/>
      <c r="U4291" s="35"/>
      <c r="V4291" s="35"/>
      <c r="W4291" s="35"/>
      <c r="X4291" s="35"/>
      <c r="Y4291" s="182"/>
      <c r="Z4291" s="175"/>
      <c r="AA4291" s="182"/>
      <c r="AB4291" s="184"/>
    </row>
    <row r="4292" spans="1:28" ht="12.75">
      <c r="A4292" s="173"/>
      <c r="B4292" s="174"/>
      <c r="C4292" s="11"/>
      <c r="D4292" s="175"/>
      <c r="E4292" s="176"/>
      <c r="F4292" s="177"/>
      <c r="G4292" s="178"/>
      <c r="H4292" s="177"/>
      <c r="I4292" s="177"/>
      <c r="J4292" s="179"/>
      <c r="K4292" s="183"/>
      <c r="L4292" s="176"/>
      <c r="M4292" s="177"/>
      <c r="N4292" s="21"/>
      <c r="O4292" s="45"/>
      <c r="P4292" s="24"/>
      <c r="Q4292" s="24"/>
      <c r="R4292" s="180"/>
      <c r="S4292" s="181"/>
      <c r="T4292" s="35"/>
      <c r="U4292" s="35"/>
      <c r="V4292" s="35"/>
      <c r="W4292" s="35"/>
      <c r="X4292" s="35"/>
      <c r="Y4292" s="182"/>
      <c r="Z4292" s="175"/>
      <c r="AA4292" s="182"/>
      <c r="AB4292" s="184"/>
    </row>
    <row r="4293" spans="1:28" ht="12.75">
      <c r="A4293" s="173"/>
      <c r="B4293" s="174"/>
      <c r="C4293" s="11"/>
      <c r="D4293" s="175"/>
      <c r="E4293" s="176"/>
      <c r="F4293" s="177"/>
      <c r="G4293" s="178"/>
      <c r="H4293" s="177"/>
      <c r="I4293" s="177"/>
      <c r="J4293" s="179"/>
      <c r="K4293" s="183"/>
      <c r="L4293" s="176"/>
      <c r="M4293" s="177"/>
      <c r="N4293" s="21"/>
      <c r="O4293" s="45"/>
      <c r="P4293" s="24"/>
      <c r="Q4293" s="24"/>
      <c r="R4293" s="180"/>
      <c r="S4293" s="181"/>
      <c r="T4293" s="35"/>
      <c r="U4293" s="35"/>
      <c r="V4293" s="35"/>
      <c r="W4293" s="35"/>
      <c r="X4293" s="35"/>
      <c r="Y4293" s="182"/>
      <c r="Z4293" s="175"/>
      <c r="AA4293" s="182"/>
      <c r="AB4293" s="184"/>
    </row>
    <row r="4294" spans="1:28" ht="12.75">
      <c r="A4294" s="173"/>
      <c r="B4294" s="174"/>
      <c r="C4294" s="11"/>
      <c r="D4294" s="175"/>
      <c r="E4294" s="176"/>
      <c r="F4294" s="177"/>
      <c r="G4294" s="178"/>
      <c r="H4294" s="177"/>
      <c r="I4294" s="177"/>
      <c r="J4294" s="179"/>
      <c r="K4294" s="183"/>
      <c r="L4294" s="176"/>
      <c r="M4294" s="177"/>
      <c r="N4294" s="21"/>
      <c r="O4294" s="45"/>
      <c r="P4294" s="24"/>
      <c r="Q4294" s="24"/>
      <c r="R4294" s="180"/>
      <c r="S4294" s="181"/>
      <c r="T4294" s="35"/>
      <c r="U4294" s="35"/>
      <c r="V4294" s="35"/>
      <c r="W4294" s="35"/>
      <c r="X4294" s="35"/>
      <c r="Y4294" s="182"/>
      <c r="Z4294" s="175"/>
      <c r="AA4294" s="182"/>
      <c r="AB4294" s="184"/>
    </row>
    <row r="4295" spans="1:28" ht="12.75">
      <c r="A4295" s="173"/>
      <c r="B4295" s="174"/>
      <c r="C4295" s="11"/>
      <c r="D4295" s="175"/>
      <c r="E4295" s="176"/>
      <c r="F4295" s="177"/>
      <c r="G4295" s="178"/>
      <c r="H4295" s="177"/>
      <c r="I4295" s="177"/>
      <c r="J4295" s="179"/>
      <c r="K4295" s="183"/>
      <c r="L4295" s="176"/>
      <c r="M4295" s="177"/>
      <c r="N4295" s="21"/>
      <c r="O4295" s="45"/>
      <c r="P4295" s="24"/>
      <c r="Q4295" s="24"/>
      <c r="R4295" s="180"/>
      <c r="S4295" s="181"/>
      <c r="T4295" s="35"/>
      <c r="U4295" s="35"/>
      <c r="V4295" s="35"/>
      <c r="W4295" s="35"/>
      <c r="X4295" s="35"/>
      <c r="Y4295" s="182"/>
      <c r="Z4295" s="175"/>
      <c r="AA4295" s="182"/>
      <c r="AB4295" s="184"/>
    </row>
    <row r="4296" spans="1:28" ht="12.75">
      <c r="A4296" s="173"/>
      <c r="B4296" s="174"/>
      <c r="C4296" s="11"/>
      <c r="D4296" s="175"/>
      <c r="E4296" s="176"/>
      <c r="F4296" s="177"/>
      <c r="G4296" s="178"/>
      <c r="H4296" s="177"/>
      <c r="I4296" s="177"/>
      <c r="J4296" s="179"/>
      <c r="K4296" s="183"/>
      <c r="L4296" s="176"/>
      <c r="M4296" s="177"/>
      <c r="N4296" s="21"/>
      <c r="O4296" s="45"/>
      <c r="P4296" s="24"/>
      <c r="Q4296" s="24"/>
      <c r="R4296" s="180"/>
      <c r="S4296" s="181"/>
      <c r="T4296" s="35"/>
      <c r="U4296" s="35"/>
      <c r="V4296" s="35"/>
      <c r="W4296" s="35"/>
      <c r="X4296" s="35"/>
      <c r="Y4296" s="182"/>
      <c r="Z4296" s="175"/>
      <c r="AA4296" s="182"/>
      <c r="AB4296" s="184"/>
    </row>
    <row r="4297" spans="1:28" ht="12.75">
      <c r="A4297" s="173"/>
      <c r="B4297" s="174"/>
      <c r="C4297" s="11"/>
      <c r="D4297" s="175"/>
      <c r="E4297" s="176"/>
      <c r="F4297" s="177"/>
      <c r="G4297" s="178"/>
      <c r="H4297" s="177"/>
      <c r="I4297" s="177"/>
      <c r="J4297" s="179"/>
      <c r="K4297" s="183"/>
      <c r="L4297" s="176"/>
      <c r="M4297" s="177"/>
      <c r="N4297" s="21"/>
      <c r="O4297" s="45"/>
      <c r="P4297" s="24"/>
      <c r="Q4297" s="24"/>
      <c r="R4297" s="180"/>
      <c r="S4297" s="181"/>
      <c r="T4297" s="35"/>
      <c r="U4297" s="35"/>
      <c r="V4297" s="35"/>
      <c r="W4297" s="35"/>
      <c r="X4297" s="35"/>
      <c r="Y4297" s="182"/>
      <c r="Z4297" s="175"/>
      <c r="AA4297" s="182"/>
      <c r="AB4297" s="184"/>
    </row>
    <row r="4298" spans="1:28" ht="12.75">
      <c r="A4298" s="173"/>
      <c r="B4298" s="174"/>
      <c r="C4298" s="11"/>
      <c r="D4298" s="175"/>
      <c r="E4298" s="176"/>
      <c r="F4298" s="177"/>
      <c r="G4298" s="178"/>
      <c r="H4298" s="177"/>
      <c r="I4298" s="177"/>
      <c r="J4298" s="179"/>
      <c r="K4298" s="183"/>
      <c r="L4298" s="176"/>
      <c r="M4298" s="177"/>
      <c r="N4298" s="21"/>
      <c r="O4298" s="45"/>
      <c r="P4298" s="24"/>
      <c r="Q4298" s="24"/>
      <c r="R4298" s="180"/>
      <c r="S4298" s="181"/>
      <c r="T4298" s="35"/>
      <c r="U4298" s="35"/>
      <c r="V4298" s="35"/>
      <c r="W4298" s="35"/>
      <c r="X4298" s="35"/>
      <c r="Y4298" s="182"/>
      <c r="Z4298" s="175"/>
      <c r="AA4298" s="182"/>
      <c r="AB4298" s="184"/>
    </row>
    <row r="4299" spans="1:28" ht="12.75">
      <c r="A4299" s="173"/>
      <c r="B4299" s="174"/>
      <c r="C4299" s="11"/>
      <c r="D4299" s="175"/>
      <c r="E4299" s="176"/>
      <c r="F4299" s="177"/>
      <c r="G4299" s="178"/>
      <c r="H4299" s="177"/>
      <c r="I4299" s="177"/>
      <c r="J4299" s="179"/>
      <c r="K4299" s="183"/>
      <c r="L4299" s="176"/>
      <c r="M4299" s="177"/>
      <c r="N4299" s="21"/>
      <c r="O4299" s="45"/>
      <c r="P4299" s="24"/>
      <c r="Q4299" s="24"/>
      <c r="R4299" s="180"/>
      <c r="S4299" s="181"/>
      <c r="T4299" s="35"/>
      <c r="U4299" s="35"/>
      <c r="V4299" s="35"/>
      <c r="W4299" s="35"/>
      <c r="X4299" s="35"/>
      <c r="Y4299" s="182"/>
      <c r="Z4299" s="175"/>
      <c r="AA4299" s="182"/>
      <c r="AB4299" s="184"/>
    </row>
    <row r="4300" spans="1:28" ht="12.75">
      <c r="A4300" s="173"/>
      <c r="B4300" s="174"/>
      <c r="C4300" s="11"/>
      <c r="D4300" s="175"/>
      <c r="E4300" s="176"/>
      <c r="F4300" s="177"/>
      <c r="G4300" s="178"/>
      <c r="H4300" s="177"/>
      <c r="I4300" s="177"/>
      <c r="J4300" s="179"/>
      <c r="K4300" s="183"/>
      <c r="L4300" s="176"/>
      <c r="M4300" s="177"/>
      <c r="N4300" s="21"/>
      <c r="O4300" s="45"/>
      <c r="P4300" s="24"/>
      <c r="Q4300" s="24"/>
      <c r="R4300" s="180"/>
      <c r="S4300" s="181"/>
      <c r="T4300" s="35"/>
      <c r="U4300" s="35"/>
      <c r="V4300" s="35"/>
      <c r="W4300" s="35"/>
      <c r="X4300" s="35"/>
      <c r="Y4300" s="182"/>
      <c r="Z4300" s="175"/>
      <c r="AA4300" s="182"/>
      <c r="AB4300" s="184"/>
    </row>
    <row r="4301" spans="1:28" ht="12.75">
      <c r="A4301" s="173"/>
      <c r="B4301" s="174"/>
      <c r="C4301" s="11"/>
      <c r="D4301" s="175"/>
      <c r="E4301" s="176"/>
      <c r="F4301" s="177"/>
      <c r="G4301" s="178"/>
      <c r="H4301" s="177"/>
      <c r="I4301" s="177"/>
      <c r="J4301" s="179"/>
      <c r="K4301" s="183"/>
      <c r="L4301" s="176"/>
      <c r="M4301" s="177"/>
      <c r="N4301" s="21"/>
      <c r="O4301" s="45"/>
      <c r="P4301" s="24"/>
      <c r="Q4301" s="24"/>
      <c r="R4301" s="180"/>
      <c r="S4301" s="181"/>
      <c r="T4301" s="35"/>
      <c r="U4301" s="35"/>
      <c r="V4301" s="35"/>
      <c r="W4301" s="35"/>
      <c r="X4301" s="35"/>
      <c r="Y4301" s="182"/>
      <c r="Z4301" s="175"/>
      <c r="AA4301" s="182"/>
      <c r="AB4301" s="184"/>
    </row>
    <row r="4302" spans="1:28" ht="12.75">
      <c r="A4302" s="173"/>
      <c r="B4302" s="174"/>
      <c r="C4302" s="11"/>
      <c r="D4302" s="175"/>
      <c r="E4302" s="176"/>
      <c r="F4302" s="177"/>
      <c r="G4302" s="178"/>
      <c r="H4302" s="177"/>
      <c r="I4302" s="177"/>
      <c r="J4302" s="179"/>
      <c r="K4302" s="183"/>
      <c r="L4302" s="176"/>
      <c r="M4302" s="177"/>
      <c r="N4302" s="21"/>
      <c r="O4302" s="45"/>
      <c r="P4302" s="24"/>
      <c r="Q4302" s="24"/>
      <c r="R4302" s="180"/>
      <c r="S4302" s="181"/>
      <c r="T4302" s="35"/>
      <c r="U4302" s="35"/>
      <c r="V4302" s="35"/>
      <c r="W4302" s="35"/>
      <c r="X4302" s="35"/>
      <c r="Y4302" s="182"/>
      <c r="Z4302" s="175"/>
      <c r="AA4302" s="182"/>
      <c r="AB4302" s="184"/>
    </row>
    <row r="4303" spans="1:28" ht="12.75">
      <c r="A4303" s="173"/>
      <c r="B4303" s="174"/>
      <c r="C4303" s="11"/>
      <c r="D4303" s="175"/>
      <c r="E4303" s="176"/>
      <c r="F4303" s="177"/>
      <c r="G4303" s="178"/>
      <c r="H4303" s="177"/>
      <c r="I4303" s="177"/>
      <c r="J4303" s="179"/>
      <c r="K4303" s="183"/>
      <c r="L4303" s="176"/>
      <c r="M4303" s="177"/>
      <c r="N4303" s="21"/>
      <c r="O4303" s="45"/>
      <c r="P4303" s="24"/>
      <c r="Q4303" s="24"/>
      <c r="R4303" s="180"/>
      <c r="S4303" s="181"/>
      <c r="T4303" s="35"/>
      <c r="U4303" s="35"/>
      <c r="V4303" s="35"/>
      <c r="W4303" s="35"/>
      <c r="X4303" s="35"/>
      <c r="Y4303" s="182"/>
      <c r="Z4303" s="175"/>
      <c r="AA4303" s="182"/>
      <c r="AB4303" s="184"/>
    </row>
    <row r="4304" spans="1:28" ht="12.75">
      <c r="A4304" s="173"/>
      <c r="B4304" s="174"/>
      <c r="C4304" s="11"/>
      <c r="D4304" s="175"/>
      <c r="E4304" s="176"/>
      <c r="F4304" s="177"/>
      <c r="G4304" s="178"/>
      <c r="H4304" s="177"/>
      <c r="I4304" s="177"/>
      <c r="J4304" s="179"/>
      <c r="K4304" s="183"/>
      <c r="L4304" s="176"/>
      <c r="M4304" s="177"/>
      <c r="N4304" s="21"/>
      <c r="O4304" s="45"/>
      <c r="P4304" s="24"/>
      <c r="Q4304" s="24"/>
      <c r="R4304" s="180"/>
      <c r="S4304" s="181"/>
      <c r="T4304" s="35"/>
      <c r="U4304" s="35"/>
      <c r="V4304" s="35"/>
      <c r="W4304" s="35"/>
      <c r="X4304" s="35"/>
      <c r="Y4304" s="182"/>
      <c r="Z4304" s="175"/>
      <c r="AA4304" s="182"/>
      <c r="AB4304" s="184"/>
    </row>
    <row r="4305" spans="1:28" ht="12.75">
      <c r="A4305" s="173"/>
      <c r="B4305" s="174"/>
      <c r="C4305" s="11"/>
      <c r="D4305" s="175"/>
      <c r="E4305" s="176"/>
      <c r="F4305" s="177"/>
      <c r="G4305" s="178"/>
      <c r="H4305" s="177"/>
      <c r="I4305" s="177"/>
      <c r="J4305" s="179"/>
      <c r="K4305" s="183"/>
      <c r="L4305" s="176"/>
      <c r="M4305" s="177"/>
      <c r="N4305" s="21"/>
      <c r="O4305" s="45"/>
      <c r="P4305" s="24"/>
      <c r="Q4305" s="24"/>
      <c r="R4305" s="180"/>
      <c r="S4305" s="181"/>
      <c r="T4305" s="35"/>
      <c r="U4305" s="35"/>
      <c r="V4305" s="35"/>
      <c r="W4305" s="35"/>
      <c r="X4305" s="35"/>
      <c r="Y4305" s="182"/>
      <c r="Z4305" s="175"/>
      <c r="AA4305" s="182"/>
      <c r="AB4305" s="184"/>
    </row>
    <row r="4306" spans="1:28" ht="12.75">
      <c r="A4306" s="173"/>
      <c r="B4306" s="174"/>
      <c r="C4306" s="11"/>
      <c r="D4306" s="175"/>
      <c r="E4306" s="176"/>
      <c r="F4306" s="177"/>
      <c r="G4306" s="178"/>
      <c r="H4306" s="177"/>
      <c r="I4306" s="177"/>
      <c r="J4306" s="179"/>
      <c r="K4306" s="183"/>
      <c r="L4306" s="176"/>
      <c r="M4306" s="177"/>
      <c r="N4306" s="21"/>
      <c r="O4306" s="45"/>
      <c r="P4306" s="24"/>
      <c r="Q4306" s="24"/>
      <c r="R4306" s="180"/>
      <c r="S4306" s="181"/>
      <c r="T4306" s="35"/>
      <c r="U4306" s="35"/>
      <c r="V4306" s="35"/>
      <c r="W4306" s="35"/>
      <c r="X4306" s="35"/>
      <c r="Y4306" s="182"/>
      <c r="Z4306" s="175"/>
      <c r="AA4306" s="182"/>
      <c r="AB4306" s="184"/>
    </row>
    <row r="4307" spans="1:28" ht="12.75">
      <c r="A4307" s="173"/>
      <c r="B4307" s="174"/>
      <c r="C4307" s="11"/>
      <c r="D4307" s="175"/>
      <c r="E4307" s="176"/>
      <c r="F4307" s="177"/>
      <c r="G4307" s="178"/>
      <c r="H4307" s="177"/>
      <c r="I4307" s="177"/>
      <c r="J4307" s="179"/>
      <c r="K4307" s="183"/>
      <c r="L4307" s="176"/>
      <c r="M4307" s="177"/>
      <c r="N4307" s="21"/>
      <c r="O4307" s="45"/>
      <c r="P4307" s="24"/>
      <c r="Q4307" s="24"/>
      <c r="R4307" s="180"/>
      <c r="S4307" s="181"/>
      <c r="T4307" s="35"/>
      <c r="U4307" s="35"/>
      <c r="V4307" s="35"/>
      <c r="W4307" s="35"/>
      <c r="X4307" s="35"/>
      <c r="Y4307" s="182"/>
      <c r="Z4307" s="175"/>
      <c r="AA4307" s="182"/>
      <c r="AB4307" s="184"/>
    </row>
    <row r="4308" spans="1:28" ht="12.75">
      <c r="A4308" s="173"/>
      <c r="B4308" s="174"/>
      <c r="C4308" s="11"/>
      <c r="D4308" s="175"/>
      <c r="E4308" s="176"/>
      <c r="F4308" s="177"/>
      <c r="G4308" s="178"/>
      <c r="H4308" s="177"/>
      <c r="I4308" s="177"/>
      <c r="J4308" s="179"/>
      <c r="K4308" s="183"/>
      <c r="L4308" s="176"/>
      <c r="M4308" s="177"/>
      <c r="N4308" s="21"/>
      <c r="O4308" s="45"/>
      <c r="P4308" s="24"/>
      <c r="Q4308" s="24"/>
      <c r="R4308" s="180"/>
      <c r="S4308" s="181"/>
      <c r="T4308" s="35"/>
      <c r="U4308" s="35"/>
      <c r="V4308" s="35"/>
      <c r="W4308" s="35"/>
      <c r="X4308" s="35"/>
      <c r="Y4308" s="182"/>
      <c r="Z4308" s="175"/>
      <c r="AA4308" s="182"/>
      <c r="AB4308" s="184"/>
    </row>
    <row r="4309" spans="1:28" ht="12.75">
      <c r="A4309" s="173"/>
      <c r="B4309" s="174"/>
      <c r="C4309" s="11"/>
      <c r="D4309" s="175"/>
      <c r="E4309" s="176"/>
      <c r="F4309" s="177"/>
      <c r="G4309" s="178"/>
      <c r="H4309" s="177"/>
      <c r="I4309" s="177"/>
      <c r="J4309" s="179"/>
      <c r="K4309" s="183"/>
      <c r="L4309" s="176"/>
      <c r="M4309" s="177"/>
      <c r="N4309" s="21"/>
      <c r="O4309" s="45"/>
      <c r="P4309" s="24"/>
      <c r="Q4309" s="24"/>
      <c r="R4309" s="180"/>
      <c r="S4309" s="181"/>
      <c r="T4309" s="35"/>
      <c r="U4309" s="35"/>
      <c r="V4309" s="35"/>
      <c r="W4309" s="35"/>
      <c r="X4309" s="35"/>
      <c r="Y4309" s="182"/>
      <c r="Z4309" s="175"/>
      <c r="AA4309" s="182"/>
      <c r="AB4309" s="184"/>
    </row>
    <row r="4310" spans="1:28" ht="12.75">
      <c r="A4310" s="173"/>
      <c r="B4310" s="174"/>
      <c r="C4310" s="11"/>
      <c r="D4310" s="175"/>
      <c r="E4310" s="176"/>
      <c r="F4310" s="177"/>
      <c r="G4310" s="178"/>
      <c r="H4310" s="177"/>
      <c r="I4310" s="177"/>
      <c r="J4310" s="179"/>
      <c r="K4310" s="183"/>
      <c r="L4310" s="176"/>
      <c r="M4310" s="177"/>
      <c r="N4310" s="21"/>
      <c r="O4310" s="45"/>
      <c r="P4310" s="24"/>
      <c r="Q4310" s="24"/>
      <c r="R4310" s="180"/>
      <c r="S4310" s="181"/>
      <c r="T4310" s="35"/>
      <c r="U4310" s="35"/>
      <c r="V4310" s="35"/>
      <c r="W4310" s="35"/>
      <c r="X4310" s="35"/>
      <c r="Y4310" s="182"/>
      <c r="Z4310" s="175"/>
      <c r="AA4310" s="182"/>
      <c r="AB4310" s="184"/>
    </row>
    <row r="4311" spans="1:28" ht="12.75">
      <c r="A4311" s="173"/>
      <c r="B4311" s="174"/>
      <c r="C4311" s="11"/>
      <c r="D4311" s="175"/>
      <c r="E4311" s="176"/>
      <c r="F4311" s="177"/>
      <c r="G4311" s="178"/>
      <c r="H4311" s="177"/>
      <c r="I4311" s="177"/>
      <c r="J4311" s="179"/>
      <c r="K4311" s="183"/>
      <c r="L4311" s="176"/>
      <c r="M4311" s="177"/>
      <c r="N4311" s="21"/>
      <c r="O4311" s="45"/>
      <c r="P4311" s="24"/>
      <c r="Q4311" s="24"/>
      <c r="R4311" s="180"/>
      <c r="S4311" s="181"/>
      <c r="T4311" s="35"/>
      <c r="U4311" s="35"/>
      <c r="V4311" s="35"/>
      <c r="W4311" s="35"/>
      <c r="X4311" s="35"/>
      <c r="Y4311" s="182"/>
      <c r="Z4311" s="175"/>
      <c r="AA4311" s="182"/>
      <c r="AB4311" s="184"/>
    </row>
    <row r="4312" spans="1:28" ht="12.75">
      <c r="A4312" s="173"/>
      <c r="B4312" s="174"/>
      <c r="C4312" s="11"/>
      <c r="D4312" s="175"/>
      <c r="E4312" s="176"/>
      <c r="F4312" s="177"/>
      <c r="G4312" s="178"/>
      <c r="H4312" s="177"/>
      <c r="I4312" s="177"/>
      <c r="J4312" s="179"/>
      <c r="K4312" s="183"/>
      <c r="L4312" s="176"/>
      <c r="M4312" s="177"/>
      <c r="N4312" s="21"/>
      <c r="O4312" s="45"/>
      <c r="P4312" s="24"/>
      <c r="Q4312" s="24"/>
      <c r="R4312" s="180"/>
      <c r="S4312" s="181"/>
      <c r="T4312" s="35"/>
      <c r="U4312" s="35"/>
      <c r="V4312" s="35"/>
      <c r="W4312" s="35"/>
      <c r="X4312" s="35"/>
      <c r="Y4312" s="182"/>
      <c r="Z4312" s="175"/>
      <c r="AA4312" s="182"/>
      <c r="AB4312" s="184"/>
    </row>
    <row r="4313" spans="1:28" ht="12.75">
      <c r="A4313" s="173"/>
      <c r="B4313" s="174"/>
      <c r="C4313" s="11"/>
      <c r="D4313" s="175"/>
      <c r="E4313" s="176"/>
      <c r="F4313" s="177"/>
      <c r="G4313" s="178"/>
      <c r="H4313" s="177"/>
      <c r="I4313" s="177"/>
      <c r="J4313" s="179"/>
      <c r="K4313" s="183"/>
      <c r="L4313" s="176"/>
      <c r="M4313" s="177"/>
      <c r="N4313" s="21"/>
      <c r="O4313" s="45"/>
      <c r="P4313" s="24"/>
      <c r="Q4313" s="24"/>
      <c r="R4313" s="180"/>
      <c r="S4313" s="181"/>
      <c r="T4313" s="35"/>
      <c r="U4313" s="35"/>
      <c r="V4313" s="35"/>
      <c r="W4313" s="35"/>
      <c r="X4313" s="35"/>
      <c r="Y4313" s="182"/>
      <c r="Z4313" s="175"/>
      <c r="AA4313" s="182"/>
      <c r="AB4313" s="184"/>
    </row>
    <row r="4314" spans="1:28" ht="12.75">
      <c r="A4314" s="173"/>
      <c r="B4314" s="174"/>
      <c r="C4314" s="11"/>
      <c r="D4314" s="175"/>
      <c r="E4314" s="176"/>
      <c r="F4314" s="177"/>
      <c r="G4314" s="178"/>
      <c r="H4314" s="177"/>
      <c r="I4314" s="177"/>
      <c r="J4314" s="179"/>
      <c r="K4314" s="183"/>
      <c r="L4314" s="176"/>
      <c r="M4314" s="177"/>
      <c r="N4314" s="21"/>
      <c r="O4314" s="45"/>
      <c r="P4314" s="24"/>
      <c r="Q4314" s="24"/>
      <c r="R4314" s="180"/>
      <c r="S4314" s="181"/>
      <c r="T4314" s="35"/>
      <c r="U4314" s="35"/>
      <c r="V4314" s="35"/>
      <c r="W4314" s="35"/>
      <c r="X4314" s="35"/>
      <c r="Y4314" s="182"/>
      <c r="Z4314" s="175"/>
      <c r="AA4314" s="182"/>
      <c r="AB4314" s="184"/>
    </row>
    <row r="4315" spans="1:28" ht="12.75">
      <c r="A4315" s="173"/>
      <c r="B4315" s="174"/>
      <c r="C4315" s="11"/>
      <c r="D4315" s="175"/>
      <c r="E4315" s="176"/>
      <c r="F4315" s="177"/>
      <c r="G4315" s="178"/>
      <c r="H4315" s="177"/>
      <c r="I4315" s="177"/>
      <c r="J4315" s="179"/>
      <c r="K4315" s="183"/>
      <c r="L4315" s="176"/>
      <c r="M4315" s="177"/>
      <c r="N4315" s="21"/>
      <c r="O4315" s="45"/>
      <c r="P4315" s="24"/>
      <c r="Q4315" s="24"/>
      <c r="R4315" s="180"/>
      <c r="S4315" s="181"/>
      <c r="T4315" s="35"/>
      <c r="U4315" s="35"/>
      <c r="V4315" s="35"/>
      <c r="W4315" s="35"/>
      <c r="X4315" s="35"/>
      <c r="Y4315" s="182"/>
      <c r="Z4315" s="175"/>
      <c r="AA4315" s="182"/>
      <c r="AB4315" s="184"/>
    </row>
    <row r="4316" spans="1:28" ht="12.75">
      <c r="A4316" s="173"/>
      <c r="B4316" s="174"/>
      <c r="C4316" s="11"/>
      <c r="D4316" s="175"/>
      <c r="E4316" s="176"/>
      <c r="F4316" s="177"/>
      <c r="G4316" s="178"/>
      <c r="H4316" s="177"/>
      <c r="I4316" s="177"/>
      <c r="J4316" s="179"/>
      <c r="K4316" s="183"/>
      <c r="L4316" s="176"/>
      <c r="M4316" s="177"/>
      <c r="N4316" s="21"/>
      <c r="O4316" s="45"/>
      <c r="P4316" s="24"/>
      <c r="Q4316" s="24"/>
      <c r="R4316" s="180"/>
      <c r="S4316" s="181"/>
      <c r="T4316" s="35"/>
      <c r="U4316" s="35"/>
      <c r="V4316" s="35"/>
      <c r="W4316" s="35"/>
      <c r="X4316" s="35"/>
      <c r="Y4316" s="182"/>
      <c r="Z4316" s="175"/>
      <c r="AA4316" s="182"/>
      <c r="AB4316" s="184"/>
    </row>
    <row r="4317" spans="1:28" ht="12.75">
      <c r="A4317" s="173"/>
      <c r="B4317" s="174"/>
      <c r="C4317" s="11"/>
      <c r="D4317" s="175"/>
      <c r="E4317" s="176"/>
      <c r="F4317" s="177"/>
      <c r="G4317" s="178"/>
      <c r="H4317" s="177"/>
      <c r="I4317" s="177"/>
      <c r="J4317" s="179"/>
      <c r="K4317" s="183"/>
      <c r="L4317" s="176"/>
      <c r="M4317" s="177"/>
      <c r="N4317" s="21"/>
      <c r="O4317" s="45"/>
      <c r="P4317" s="24"/>
      <c r="Q4317" s="24"/>
      <c r="R4317" s="180"/>
      <c r="S4317" s="181"/>
      <c r="T4317" s="35"/>
      <c r="U4317" s="35"/>
      <c r="V4317" s="35"/>
      <c r="W4317" s="35"/>
      <c r="X4317" s="35"/>
      <c r="Y4317" s="182"/>
      <c r="Z4317" s="175"/>
      <c r="AA4317" s="182"/>
      <c r="AB4317" s="184"/>
    </row>
    <row r="4318" spans="1:28" ht="12.75">
      <c r="A4318" s="173"/>
      <c r="B4318" s="174"/>
      <c r="C4318" s="11"/>
      <c r="D4318" s="175"/>
      <c r="E4318" s="176"/>
      <c r="F4318" s="177"/>
      <c r="G4318" s="178"/>
      <c r="H4318" s="177"/>
      <c r="I4318" s="177"/>
      <c r="J4318" s="179"/>
      <c r="K4318" s="183"/>
      <c r="L4318" s="176"/>
      <c r="M4318" s="177"/>
      <c r="N4318" s="21"/>
      <c r="O4318" s="45"/>
      <c r="P4318" s="24"/>
      <c r="Q4318" s="24"/>
      <c r="R4318" s="180"/>
      <c r="S4318" s="181"/>
      <c r="T4318" s="35"/>
      <c r="U4318" s="35"/>
      <c r="V4318" s="35"/>
      <c r="W4318" s="35"/>
      <c r="X4318" s="35"/>
      <c r="Y4318" s="182"/>
      <c r="Z4318" s="175"/>
      <c r="AA4318" s="182"/>
      <c r="AB4318" s="184"/>
    </row>
    <row r="4319" spans="1:28" ht="12.75">
      <c r="A4319" s="173"/>
      <c r="B4319" s="174"/>
      <c r="C4319" s="11"/>
      <c r="D4319" s="175"/>
      <c r="E4319" s="176"/>
      <c r="F4319" s="177"/>
      <c r="G4319" s="178"/>
      <c r="H4319" s="177"/>
      <c r="I4319" s="177"/>
      <c r="J4319" s="179"/>
      <c r="K4319" s="183"/>
      <c r="L4319" s="176"/>
      <c r="M4319" s="177"/>
      <c r="N4319" s="21"/>
      <c r="O4319" s="45"/>
      <c r="P4319" s="24"/>
      <c r="Q4319" s="24"/>
      <c r="R4319" s="180"/>
      <c r="S4319" s="181"/>
      <c r="T4319" s="35"/>
      <c r="U4319" s="35"/>
      <c r="V4319" s="35"/>
      <c r="W4319" s="35"/>
      <c r="X4319" s="35"/>
      <c r="Y4319" s="182"/>
      <c r="Z4319" s="175"/>
      <c r="AA4319" s="182"/>
      <c r="AB4319" s="184"/>
    </row>
    <row r="4320" spans="1:28" ht="12.75">
      <c r="A4320" s="173"/>
      <c r="B4320" s="174"/>
      <c r="C4320" s="11"/>
      <c r="D4320" s="175"/>
      <c r="E4320" s="176"/>
      <c r="F4320" s="177"/>
      <c r="G4320" s="178"/>
      <c r="H4320" s="177"/>
      <c r="I4320" s="177"/>
      <c r="J4320" s="179"/>
      <c r="K4320" s="183"/>
      <c r="L4320" s="176"/>
      <c r="M4320" s="177"/>
      <c r="N4320" s="21"/>
      <c r="O4320" s="45"/>
      <c r="P4320" s="24"/>
      <c r="Q4320" s="24"/>
      <c r="R4320" s="180"/>
      <c r="S4320" s="181"/>
      <c r="T4320" s="35"/>
      <c r="U4320" s="35"/>
      <c r="V4320" s="35"/>
      <c r="W4320" s="35"/>
      <c r="X4320" s="35"/>
      <c r="Y4320" s="182"/>
      <c r="Z4320" s="175"/>
      <c r="AA4320" s="182"/>
      <c r="AB4320" s="184"/>
    </row>
    <row r="4321" spans="1:28" ht="12.75">
      <c r="A4321" s="173"/>
      <c r="B4321" s="174"/>
      <c r="C4321" s="11"/>
      <c r="D4321" s="175"/>
      <c r="E4321" s="176"/>
      <c r="F4321" s="177"/>
      <c r="G4321" s="178"/>
      <c r="H4321" s="177"/>
      <c r="I4321" s="177"/>
      <c r="J4321" s="179"/>
      <c r="K4321" s="183"/>
      <c r="L4321" s="176"/>
      <c r="M4321" s="177"/>
      <c r="N4321" s="21"/>
      <c r="O4321" s="45"/>
      <c r="P4321" s="24"/>
      <c r="Q4321" s="24"/>
      <c r="R4321" s="180"/>
      <c r="S4321" s="181"/>
      <c r="T4321" s="35"/>
      <c r="U4321" s="35"/>
      <c r="V4321" s="35"/>
      <c r="W4321" s="35"/>
      <c r="X4321" s="35"/>
      <c r="Y4321" s="182"/>
      <c r="Z4321" s="175"/>
      <c r="AA4321" s="182"/>
      <c r="AB4321" s="184"/>
    </row>
    <row r="4322" spans="1:28" ht="12.75">
      <c r="A4322" s="173"/>
      <c r="B4322" s="174"/>
      <c r="C4322" s="11"/>
      <c r="D4322" s="175"/>
      <c r="E4322" s="176"/>
      <c r="F4322" s="177"/>
      <c r="G4322" s="178"/>
      <c r="H4322" s="177"/>
      <c r="I4322" s="177"/>
      <c r="J4322" s="179"/>
      <c r="K4322" s="183"/>
      <c r="L4322" s="176"/>
      <c r="M4322" s="177"/>
      <c r="N4322" s="21"/>
      <c r="O4322" s="45"/>
      <c r="P4322" s="24"/>
      <c r="Q4322" s="24"/>
      <c r="R4322" s="180"/>
      <c r="S4322" s="181"/>
      <c r="T4322" s="35"/>
      <c r="U4322" s="35"/>
      <c r="V4322" s="35"/>
      <c r="W4322" s="35"/>
      <c r="X4322" s="35"/>
      <c r="Y4322" s="182"/>
      <c r="Z4322" s="175"/>
      <c r="AA4322" s="182"/>
      <c r="AB4322" s="184"/>
    </row>
    <row r="4323" spans="1:28" ht="12.75">
      <c r="A4323" s="173"/>
      <c r="B4323" s="174"/>
      <c r="C4323" s="11"/>
      <c r="D4323" s="175"/>
      <c r="E4323" s="176"/>
      <c r="F4323" s="177"/>
      <c r="G4323" s="178"/>
      <c r="H4323" s="177"/>
      <c r="I4323" s="177"/>
      <c r="J4323" s="179"/>
      <c r="K4323" s="183"/>
      <c r="L4323" s="176"/>
      <c r="M4323" s="177"/>
      <c r="N4323" s="21"/>
      <c r="O4323" s="45"/>
      <c r="P4323" s="24"/>
      <c r="Q4323" s="24"/>
      <c r="R4323" s="180"/>
      <c r="S4323" s="181"/>
      <c r="T4323" s="35"/>
      <c r="U4323" s="35"/>
      <c r="V4323" s="35"/>
      <c r="W4323" s="35"/>
      <c r="X4323" s="35"/>
      <c r="Y4323" s="182"/>
      <c r="Z4323" s="175"/>
      <c r="AA4323" s="182"/>
      <c r="AB4323" s="184"/>
    </row>
    <row r="4324" spans="1:28" ht="12.75">
      <c r="A4324" s="173"/>
      <c r="B4324" s="174"/>
      <c r="C4324" s="11"/>
      <c r="D4324" s="175"/>
      <c r="E4324" s="176"/>
      <c r="F4324" s="177"/>
      <c r="G4324" s="178"/>
      <c r="H4324" s="177"/>
      <c r="I4324" s="177"/>
      <c r="J4324" s="179"/>
      <c r="K4324" s="183"/>
      <c r="L4324" s="176"/>
      <c r="M4324" s="177"/>
      <c r="N4324" s="21"/>
      <c r="O4324" s="45"/>
      <c r="P4324" s="24"/>
      <c r="Q4324" s="24"/>
      <c r="R4324" s="180"/>
      <c r="S4324" s="181"/>
      <c r="T4324" s="35"/>
      <c r="U4324" s="35"/>
      <c r="V4324" s="35"/>
      <c r="W4324" s="35"/>
      <c r="X4324" s="35"/>
      <c r="Y4324" s="182"/>
      <c r="Z4324" s="175"/>
      <c r="AA4324" s="182"/>
      <c r="AB4324" s="184"/>
    </row>
    <row r="4325" spans="1:28" ht="12.75">
      <c r="A4325" s="173"/>
      <c r="B4325" s="174"/>
      <c r="C4325" s="11"/>
      <c r="D4325" s="175"/>
      <c r="E4325" s="176"/>
      <c r="F4325" s="177"/>
      <c r="G4325" s="178"/>
      <c r="H4325" s="177"/>
      <c r="I4325" s="177"/>
      <c r="J4325" s="179"/>
      <c r="K4325" s="183"/>
      <c r="L4325" s="176"/>
      <c r="M4325" s="177"/>
      <c r="N4325" s="21"/>
      <c r="O4325" s="45"/>
      <c r="P4325" s="24"/>
      <c r="Q4325" s="24"/>
      <c r="R4325" s="180"/>
      <c r="S4325" s="181"/>
      <c r="T4325" s="35"/>
      <c r="U4325" s="35"/>
      <c r="V4325" s="35"/>
      <c r="W4325" s="35"/>
      <c r="X4325" s="35"/>
      <c r="Y4325" s="182"/>
      <c r="Z4325" s="175"/>
      <c r="AA4325" s="182"/>
      <c r="AB4325" s="184"/>
    </row>
    <row r="4326" spans="1:28" ht="12.75">
      <c r="A4326" s="173"/>
      <c r="B4326" s="174"/>
      <c r="C4326" s="11"/>
      <c r="D4326" s="175"/>
      <c r="E4326" s="176"/>
      <c r="F4326" s="177"/>
      <c r="G4326" s="178"/>
      <c r="H4326" s="177"/>
      <c r="I4326" s="177"/>
      <c r="J4326" s="179"/>
      <c r="K4326" s="183"/>
      <c r="L4326" s="176"/>
      <c r="M4326" s="177"/>
      <c r="N4326" s="21"/>
      <c r="O4326" s="45"/>
      <c r="P4326" s="24"/>
      <c r="Q4326" s="24"/>
      <c r="R4326" s="180"/>
      <c r="S4326" s="181"/>
      <c r="T4326" s="35"/>
      <c r="U4326" s="35"/>
      <c r="V4326" s="35"/>
      <c r="W4326" s="35"/>
      <c r="X4326" s="35"/>
      <c r="Y4326" s="182"/>
      <c r="Z4326" s="175"/>
      <c r="AA4326" s="182"/>
      <c r="AB4326" s="184"/>
    </row>
    <row r="4327" spans="1:28" ht="12.75">
      <c r="A4327" s="173"/>
      <c r="B4327" s="174"/>
      <c r="C4327" s="11"/>
      <c r="D4327" s="175"/>
      <c r="E4327" s="176"/>
      <c r="F4327" s="177"/>
      <c r="G4327" s="178"/>
      <c r="H4327" s="177"/>
      <c r="I4327" s="177"/>
      <c r="J4327" s="179"/>
      <c r="K4327" s="183"/>
      <c r="L4327" s="176"/>
      <c r="M4327" s="177"/>
      <c r="N4327" s="21"/>
      <c r="O4327" s="45"/>
      <c r="P4327" s="24"/>
      <c r="Q4327" s="24"/>
      <c r="R4327" s="180"/>
      <c r="S4327" s="181"/>
      <c r="T4327" s="35"/>
      <c r="U4327" s="35"/>
      <c r="V4327" s="35"/>
      <c r="W4327" s="35"/>
      <c r="X4327" s="35"/>
      <c r="Y4327" s="182"/>
      <c r="Z4327" s="175"/>
      <c r="AA4327" s="182"/>
      <c r="AB4327" s="184"/>
    </row>
    <row r="4328" spans="1:28" ht="12.75">
      <c r="A4328" s="173"/>
      <c r="B4328" s="174"/>
      <c r="C4328" s="11"/>
      <c r="D4328" s="175"/>
      <c r="E4328" s="176"/>
      <c r="F4328" s="177"/>
      <c r="G4328" s="178"/>
      <c r="H4328" s="177"/>
      <c r="I4328" s="177"/>
      <c r="J4328" s="179"/>
      <c r="K4328" s="183"/>
      <c r="L4328" s="176"/>
      <c r="M4328" s="177"/>
      <c r="N4328" s="21"/>
      <c r="O4328" s="45"/>
      <c r="P4328" s="24"/>
      <c r="Q4328" s="24"/>
      <c r="R4328" s="180"/>
      <c r="S4328" s="181"/>
      <c r="T4328" s="35"/>
      <c r="U4328" s="35"/>
      <c r="V4328" s="35"/>
      <c r="W4328" s="35"/>
      <c r="X4328" s="35"/>
      <c r="Y4328" s="182"/>
      <c r="Z4328" s="175"/>
      <c r="AA4328" s="182"/>
      <c r="AB4328" s="184"/>
    </row>
    <row r="4329" spans="1:28" ht="12.75">
      <c r="A4329" s="173"/>
      <c r="B4329" s="174"/>
      <c r="C4329" s="11"/>
      <c r="D4329" s="175"/>
      <c r="E4329" s="176"/>
      <c r="F4329" s="177"/>
      <c r="G4329" s="178"/>
      <c r="H4329" s="177"/>
      <c r="I4329" s="177"/>
      <c r="J4329" s="179"/>
      <c r="K4329" s="183"/>
      <c r="L4329" s="176"/>
      <c r="M4329" s="177"/>
      <c r="N4329" s="21"/>
      <c r="O4329" s="45"/>
      <c r="P4329" s="24"/>
      <c r="Q4329" s="24"/>
      <c r="R4329" s="180"/>
      <c r="S4329" s="181"/>
      <c r="T4329" s="35"/>
      <c r="U4329" s="35"/>
      <c r="V4329" s="35"/>
      <c r="W4329" s="35"/>
      <c r="X4329" s="35"/>
      <c r="Y4329" s="182"/>
      <c r="Z4329" s="175"/>
      <c r="AA4329" s="182"/>
      <c r="AB4329" s="184"/>
    </row>
    <row r="4330" spans="1:28" ht="12.75">
      <c r="A4330" s="173"/>
      <c r="B4330" s="174"/>
      <c r="C4330" s="11"/>
      <c r="D4330" s="175"/>
      <c r="E4330" s="176"/>
      <c r="F4330" s="177"/>
      <c r="G4330" s="178"/>
      <c r="H4330" s="177"/>
      <c r="I4330" s="177"/>
      <c r="J4330" s="179"/>
      <c r="K4330" s="183"/>
      <c r="L4330" s="176"/>
      <c r="M4330" s="177"/>
      <c r="N4330" s="21"/>
      <c r="O4330" s="45"/>
      <c r="P4330" s="24"/>
      <c r="Q4330" s="24"/>
      <c r="R4330" s="180"/>
      <c r="S4330" s="181"/>
      <c r="T4330" s="35"/>
      <c r="U4330" s="35"/>
      <c r="V4330" s="35"/>
      <c r="W4330" s="35"/>
      <c r="X4330" s="35"/>
      <c r="Y4330" s="182"/>
      <c r="Z4330" s="175"/>
      <c r="AA4330" s="182"/>
      <c r="AB4330" s="184"/>
    </row>
    <row r="4331" spans="1:28" ht="12.75">
      <c r="A4331" s="173"/>
      <c r="B4331" s="174"/>
      <c r="C4331" s="11"/>
      <c r="D4331" s="175"/>
      <c r="E4331" s="176"/>
      <c r="F4331" s="177"/>
      <c r="G4331" s="178"/>
      <c r="H4331" s="177"/>
      <c r="I4331" s="177"/>
      <c r="J4331" s="179"/>
      <c r="K4331" s="183"/>
      <c r="L4331" s="176"/>
      <c r="M4331" s="177"/>
      <c r="N4331" s="21"/>
      <c r="O4331" s="45"/>
      <c r="P4331" s="24"/>
      <c r="Q4331" s="24"/>
      <c r="R4331" s="180"/>
      <c r="S4331" s="181"/>
      <c r="T4331" s="35"/>
      <c r="U4331" s="35"/>
      <c r="V4331" s="35"/>
      <c r="W4331" s="35"/>
      <c r="X4331" s="35"/>
      <c r="Y4331" s="182"/>
      <c r="Z4331" s="175"/>
      <c r="AA4331" s="182"/>
      <c r="AB4331" s="184"/>
    </row>
    <row r="4332" spans="1:28" ht="12.75">
      <c r="A4332" s="173"/>
      <c r="B4332" s="174"/>
      <c r="C4332" s="11"/>
      <c r="D4332" s="175"/>
      <c r="E4332" s="176"/>
      <c r="F4332" s="177"/>
      <c r="G4332" s="178"/>
      <c r="H4332" s="177"/>
      <c r="I4332" s="177"/>
      <c r="J4332" s="179"/>
      <c r="K4332" s="183"/>
      <c r="L4332" s="176"/>
      <c r="M4332" s="177"/>
      <c r="N4332" s="21"/>
      <c r="O4332" s="45"/>
      <c r="P4332" s="24"/>
      <c r="Q4332" s="24"/>
      <c r="R4332" s="180"/>
      <c r="S4332" s="181"/>
      <c r="T4332" s="35"/>
      <c r="U4332" s="35"/>
      <c r="V4332" s="35"/>
      <c r="W4332" s="35"/>
      <c r="X4332" s="35"/>
      <c r="Y4332" s="182"/>
      <c r="Z4332" s="175"/>
      <c r="AA4332" s="182"/>
      <c r="AB4332" s="184"/>
    </row>
    <row r="4333" spans="1:28" ht="12.75">
      <c r="A4333" s="173"/>
      <c r="B4333" s="174"/>
      <c r="C4333" s="11"/>
      <c r="D4333" s="175"/>
      <c r="E4333" s="176"/>
      <c r="F4333" s="177"/>
      <c r="G4333" s="178"/>
      <c r="H4333" s="177"/>
      <c r="I4333" s="177"/>
      <c r="J4333" s="179"/>
      <c r="K4333" s="183"/>
      <c r="L4333" s="176"/>
      <c r="M4333" s="177"/>
      <c r="N4333" s="21"/>
      <c r="O4333" s="45"/>
      <c r="P4333" s="24"/>
      <c r="Q4333" s="24"/>
      <c r="R4333" s="180"/>
      <c r="S4333" s="181"/>
      <c r="T4333" s="35"/>
      <c r="U4333" s="35"/>
      <c r="V4333" s="35"/>
      <c r="W4333" s="35"/>
      <c r="X4333" s="35"/>
      <c r="Y4333" s="182"/>
      <c r="Z4333" s="175"/>
      <c r="AA4333" s="182"/>
      <c r="AB4333" s="184"/>
    </row>
    <row r="4334" spans="1:28" ht="12.75">
      <c r="A4334" s="173"/>
      <c r="B4334" s="174"/>
      <c r="C4334" s="11"/>
      <c r="D4334" s="175"/>
      <c r="E4334" s="176"/>
      <c r="F4334" s="177"/>
      <c r="G4334" s="178"/>
      <c r="H4334" s="177"/>
      <c r="I4334" s="177"/>
      <c r="J4334" s="179"/>
      <c r="K4334" s="183"/>
      <c r="L4334" s="176"/>
      <c r="M4334" s="177"/>
      <c r="N4334" s="21"/>
      <c r="O4334" s="45"/>
      <c r="P4334" s="24"/>
      <c r="Q4334" s="24"/>
      <c r="R4334" s="180"/>
      <c r="S4334" s="181"/>
      <c r="T4334" s="35"/>
      <c r="U4334" s="35"/>
      <c r="V4334" s="35"/>
      <c r="W4334" s="35"/>
      <c r="X4334" s="35"/>
      <c r="Y4334" s="182"/>
      <c r="Z4334" s="175"/>
      <c r="AA4334" s="182"/>
      <c r="AB4334" s="184"/>
    </row>
    <row r="4335" spans="1:28" ht="12.75">
      <c r="A4335" s="173"/>
      <c r="B4335" s="174"/>
      <c r="C4335" s="11"/>
      <c r="D4335" s="175"/>
      <c r="E4335" s="176"/>
      <c r="F4335" s="177"/>
      <c r="G4335" s="178"/>
      <c r="H4335" s="177"/>
      <c r="I4335" s="177"/>
      <c r="J4335" s="179"/>
      <c r="K4335" s="183"/>
      <c r="L4335" s="176"/>
      <c r="M4335" s="177"/>
      <c r="N4335" s="21"/>
      <c r="O4335" s="45"/>
      <c r="P4335" s="24"/>
      <c r="Q4335" s="24"/>
      <c r="R4335" s="180"/>
      <c r="S4335" s="181"/>
      <c r="T4335" s="35"/>
      <c r="U4335" s="35"/>
      <c r="V4335" s="35"/>
      <c r="W4335" s="35"/>
      <c r="X4335" s="35"/>
      <c r="Y4335" s="182"/>
      <c r="Z4335" s="175"/>
      <c r="AA4335" s="182"/>
      <c r="AB4335" s="184"/>
    </row>
    <row r="4336" spans="1:28" ht="12.75">
      <c r="A4336" s="173"/>
      <c r="B4336" s="174"/>
      <c r="C4336" s="11"/>
      <c r="D4336" s="175"/>
      <c r="E4336" s="176"/>
      <c r="F4336" s="177"/>
      <c r="G4336" s="178"/>
      <c r="H4336" s="177"/>
      <c r="I4336" s="177"/>
      <c r="J4336" s="179"/>
      <c r="K4336" s="183"/>
      <c r="L4336" s="176"/>
      <c r="M4336" s="177"/>
      <c r="N4336" s="21"/>
      <c r="O4336" s="45"/>
      <c r="P4336" s="24"/>
      <c r="Q4336" s="24"/>
      <c r="R4336" s="180"/>
      <c r="S4336" s="181"/>
      <c r="T4336" s="35"/>
      <c r="U4336" s="35"/>
      <c r="V4336" s="35"/>
      <c r="W4336" s="35"/>
      <c r="X4336" s="35"/>
      <c r="Y4336" s="182"/>
      <c r="Z4336" s="175"/>
      <c r="AA4336" s="182"/>
      <c r="AB4336" s="184"/>
    </row>
    <row r="4337" spans="1:28" ht="12.75">
      <c r="A4337" s="173"/>
      <c r="B4337" s="174"/>
      <c r="C4337" s="11"/>
      <c r="D4337" s="175"/>
      <c r="E4337" s="176"/>
      <c r="F4337" s="177"/>
      <c r="G4337" s="178"/>
      <c r="H4337" s="177"/>
      <c r="I4337" s="177"/>
      <c r="J4337" s="179"/>
      <c r="K4337" s="183"/>
      <c r="L4337" s="176"/>
      <c r="M4337" s="177"/>
      <c r="N4337" s="21"/>
      <c r="O4337" s="45"/>
      <c r="P4337" s="24"/>
      <c r="Q4337" s="24"/>
      <c r="R4337" s="180"/>
      <c r="S4337" s="181"/>
      <c r="T4337" s="35"/>
      <c r="U4337" s="35"/>
      <c r="V4337" s="35"/>
      <c r="W4337" s="35"/>
      <c r="X4337" s="35"/>
      <c r="Y4337" s="182"/>
      <c r="Z4337" s="175"/>
      <c r="AA4337" s="182"/>
      <c r="AB4337" s="184"/>
    </row>
    <row r="4338" spans="1:28" ht="12.75">
      <c r="A4338" s="173"/>
      <c r="B4338" s="174"/>
      <c r="C4338" s="11"/>
      <c r="D4338" s="175"/>
      <c r="E4338" s="176"/>
      <c r="F4338" s="177"/>
      <c r="G4338" s="178"/>
      <c r="H4338" s="177"/>
      <c r="I4338" s="177"/>
      <c r="J4338" s="179"/>
      <c r="K4338" s="183"/>
      <c r="L4338" s="176"/>
      <c r="M4338" s="177"/>
      <c r="N4338" s="21"/>
      <c r="O4338" s="45"/>
      <c r="P4338" s="24"/>
      <c r="Q4338" s="24"/>
      <c r="R4338" s="180"/>
      <c r="S4338" s="181"/>
      <c r="T4338" s="35"/>
      <c r="U4338" s="35"/>
      <c r="V4338" s="35"/>
      <c r="W4338" s="35"/>
      <c r="X4338" s="35"/>
      <c r="Y4338" s="182"/>
      <c r="Z4338" s="175"/>
      <c r="AA4338" s="182"/>
      <c r="AB4338" s="184"/>
    </row>
    <row r="4339" spans="1:28" ht="12.75">
      <c r="A4339" s="173"/>
      <c r="B4339" s="174"/>
      <c r="C4339" s="11"/>
      <c r="D4339" s="175"/>
      <c r="E4339" s="176"/>
      <c r="F4339" s="177"/>
      <c r="G4339" s="178"/>
      <c r="H4339" s="177"/>
      <c r="I4339" s="177"/>
      <c r="J4339" s="179"/>
      <c r="K4339" s="183"/>
      <c r="L4339" s="176"/>
      <c r="M4339" s="177"/>
      <c r="N4339" s="21"/>
      <c r="O4339" s="45"/>
      <c r="P4339" s="24"/>
      <c r="Q4339" s="24"/>
      <c r="R4339" s="180"/>
      <c r="S4339" s="181"/>
      <c r="T4339" s="35"/>
      <c r="U4339" s="35"/>
      <c r="V4339" s="35"/>
      <c r="W4339" s="35"/>
      <c r="X4339" s="35"/>
      <c r="Y4339" s="182"/>
      <c r="Z4339" s="175"/>
      <c r="AA4339" s="182"/>
      <c r="AB4339" s="184"/>
    </row>
    <row r="4340" spans="1:28" ht="12.75">
      <c r="A4340" s="173"/>
      <c r="B4340" s="174"/>
      <c r="C4340" s="11"/>
      <c r="D4340" s="175"/>
      <c r="E4340" s="176"/>
      <c r="F4340" s="177"/>
      <c r="G4340" s="178"/>
      <c r="H4340" s="177"/>
      <c r="I4340" s="177"/>
      <c r="J4340" s="179"/>
      <c r="K4340" s="183"/>
      <c r="L4340" s="176"/>
      <c r="M4340" s="177"/>
      <c r="N4340" s="21"/>
      <c r="O4340" s="45"/>
      <c r="P4340" s="24"/>
      <c r="Q4340" s="24"/>
      <c r="R4340" s="180"/>
      <c r="S4340" s="181"/>
      <c r="T4340" s="35"/>
      <c r="U4340" s="35"/>
      <c r="V4340" s="35"/>
      <c r="W4340" s="35"/>
      <c r="X4340" s="35"/>
      <c r="Y4340" s="182"/>
      <c r="Z4340" s="175"/>
      <c r="AA4340" s="182"/>
      <c r="AB4340" s="184"/>
    </row>
    <row r="4341" spans="1:28" ht="12.75">
      <c r="A4341" s="173"/>
      <c r="B4341" s="174"/>
      <c r="C4341" s="11"/>
      <c r="D4341" s="175"/>
      <c r="E4341" s="176"/>
      <c r="F4341" s="177"/>
      <c r="G4341" s="178"/>
      <c r="H4341" s="177"/>
      <c r="I4341" s="177"/>
      <c r="J4341" s="179"/>
      <c r="K4341" s="183"/>
      <c r="L4341" s="176"/>
      <c r="M4341" s="177"/>
      <c r="N4341" s="21"/>
      <c r="O4341" s="45"/>
      <c r="P4341" s="24"/>
      <c r="Q4341" s="24"/>
      <c r="R4341" s="180"/>
      <c r="S4341" s="181"/>
      <c r="T4341" s="35"/>
      <c r="U4341" s="35"/>
      <c r="V4341" s="35"/>
      <c r="W4341" s="35"/>
      <c r="X4341" s="35"/>
      <c r="Y4341" s="182"/>
      <c r="Z4341" s="175"/>
      <c r="AA4341" s="182"/>
      <c r="AB4341" s="184"/>
    </row>
    <row r="4342" spans="1:28" ht="12.75">
      <c r="A4342" s="173"/>
      <c r="B4342" s="174"/>
      <c r="C4342" s="11"/>
      <c r="D4342" s="175"/>
      <c r="E4342" s="176"/>
      <c r="F4342" s="177"/>
      <c r="G4342" s="178"/>
      <c r="H4342" s="177"/>
      <c r="I4342" s="177"/>
      <c r="J4342" s="179"/>
      <c r="K4342" s="183"/>
      <c r="L4342" s="176"/>
      <c r="M4342" s="177"/>
      <c r="N4342" s="21"/>
      <c r="O4342" s="45"/>
      <c r="P4342" s="24"/>
      <c r="Q4342" s="24"/>
      <c r="R4342" s="180"/>
      <c r="S4342" s="181"/>
      <c r="T4342" s="35"/>
      <c r="U4342" s="35"/>
      <c r="V4342" s="35"/>
      <c r="W4342" s="35"/>
      <c r="X4342" s="35"/>
      <c r="Y4342" s="182"/>
      <c r="Z4342" s="175"/>
      <c r="AA4342" s="182"/>
      <c r="AB4342" s="184"/>
    </row>
    <row r="4343" spans="1:28" ht="12.75">
      <c r="A4343" s="173"/>
      <c r="B4343" s="174"/>
      <c r="C4343" s="11"/>
      <c r="D4343" s="175"/>
      <c r="E4343" s="176"/>
      <c r="F4343" s="177"/>
      <c r="G4343" s="178"/>
      <c r="H4343" s="177"/>
      <c r="I4343" s="177"/>
      <c r="J4343" s="179"/>
      <c r="K4343" s="183"/>
      <c r="L4343" s="176"/>
      <c r="M4343" s="177"/>
      <c r="N4343" s="21"/>
      <c r="O4343" s="45"/>
      <c r="P4343" s="24"/>
      <c r="Q4343" s="24"/>
      <c r="R4343" s="180"/>
      <c r="S4343" s="181"/>
      <c r="T4343" s="35"/>
      <c r="U4343" s="35"/>
      <c r="V4343" s="35"/>
      <c r="W4343" s="35"/>
      <c r="X4343" s="35"/>
      <c r="Y4343" s="182"/>
      <c r="Z4343" s="175"/>
      <c r="AA4343" s="182"/>
      <c r="AB4343" s="184"/>
    </row>
    <row r="4344" spans="1:28" ht="12.75">
      <c r="A4344" s="173"/>
      <c r="B4344" s="174"/>
      <c r="C4344" s="11"/>
      <c r="D4344" s="175"/>
      <c r="E4344" s="176"/>
      <c r="F4344" s="177"/>
      <c r="G4344" s="178"/>
      <c r="H4344" s="177"/>
      <c r="I4344" s="177"/>
      <c r="J4344" s="179"/>
      <c r="K4344" s="183"/>
      <c r="L4344" s="176"/>
      <c r="M4344" s="177"/>
      <c r="N4344" s="21"/>
      <c r="O4344" s="45"/>
      <c r="P4344" s="24"/>
      <c r="Q4344" s="24"/>
      <c r="R4344" s="180"/>
      <c r="S4344" s="181"/>
      <c r="T4344" s="35"/>
      <c r="U4344" s="35"/>
      <c r="V4344" s="35"/>
      <c r="W4344" s="35"/>
      <c r="X4344" s="35"/>
      <c r="Y4344" s="182"/>
      <c r="Z4344" s="175"/>
      <c r="AA4344" s="182"/>
      <c r="AB4344" s="184"/>
    </row>
    <row r="4345" spans="1:28" ht="12.75">
      <c r="A4345" s="173"/>
      <c r="B4345" s="174"/>
      <c r="C4345" s="11"/>
      <c r="D4345" s="175"/>
      <c r="E4345" s="176"/>
      <c r="F4345" s="177"/>
      <c r="G4345" s="178"/>
      <c r="H4345" s="177"/>
      <c r="I4345" s="177"/>
      <c r="J4345" s="179"/>
      <c r="K4345" s="183"/>
      <c r="L4345" s="176"/>
      <c r="M4345" s="177"/>
      <c r="N4345" s="21"/>
      <c r="O4345" s="45"/>
      <c r="P4345" s="24"/>
      <c r="Q4345" s="24"/>
      <c r="R4345" s="180"/>
      <c r="S4345" s="181"/>
      <c r="T4345" s="35"/>
      <c r="U4345" s="35"/>
      <c r="V4345" s="35"/>
      <c r="W4345" s="35"/>
      <c r="X4345" s="35"/>
      <c r="Y4345" s="182"/>
      <c r="Z4345" s="175"/>
      <c r="AA4345" s="182"/>
      <c r="AB4345" s="184"/>
    </row>
    <row r="4346" spans="1:28" ht="12.75">
      <c r="A4346" s="173"/>
      <c r="B4346" s="174"/>
      <c r="C4346" s="11"/>
      <c r="D4346" s="175"/>
      <c r="E4346" s="176"/>
      <c r="F4346" s="177"/>
      <c r="G4346" s="178"/>
      <c r="H4346" s="177"/>
      <c r="I4346" s="177"/>
      <c r="J4346" s="179"/>
      <c r="K4346" s="183"/>
      <c r="L4346" s="176"/>
      <c r="M4346" s="177"/>
      <c r="N4346" s="21"/>
      <c r="O4346" s="45"/>
      <c r="P4346" s="24"/>
      <c r="Q4346" s="24"/>
      <c r="R4346" s="180"/>
      <c r="S4346" s="181"/>
      <c r="T4346" s="35"/>
      <c r="U4346" s="35"/>
      <c r="V4346" s="35"/>
      <c r="W4346" s="35"/>
      <c r="X4346" s="35"/>
      <c r="Y4346" s="182"/>
      <c r="Z4346" s="175"/>
      <c r="AA4346" s="182"/>
      <c r="AB4346" s="184"/>
    </row>
    <row r="4347" spans="1:28" ht="12.75">
      <c r="A4347" s="173"/>
      <c r="B4347" s="174"/>
      <c r="C4347" s="11"/>
      <c r="D4347" s="175"/>
      <c r="E4347" s="176"/>
      <c r="F4347" s="177"/>
      <c r="G4347" s="178"/>
      <c r="H4347" s="177"/>
      <c r="I4347" s="177"/>
      <c r="J4347" s="179"/>
      <c r="K4347" s="183"/>
      <c r="L4347" s="176"/>
      <c r="M4347" s="177"/>
      <c r="N4347" s="21"/>
      <c r="O4347" s="45"/>
      <c r="P4347" s="24"/>
      <c r="Q4347" s="24"/>
      <c r="R4347" s="180"/>
      <c r="S4347" s="181"/>
      <c r="T4347" s="35"/>
      <c r="U4347" s="35"/>
      <c r="V4347" s="35"/>
      <c r="W4347" s="35"/>
      <c r="X4347" s="35"/>
      <c r="Y4347" s="182"/>
      <c r="Z4347" s="175"/>
      <c r="AA4347" s="182"/>
      <c r="AB4347" s="184"/>
    </row>
    <row r="4348" spans="1:28" ht="12.75">
      <c r="A4348" s="173"/>
      <c r="B4348" s="174"/>
      <c r="C4348" s="11"/>
      <c r="D4348" s="175"/>
      <c r="E4348" s="176"/>
      <c r="F4348" s="177"/>
      <c r="G4348" s="178"/>
      <c r="H4348" s="177"/>
      <c r="I4348" s="177"/>
      <c r="J4348" s="179"/>
      <c r="K4348" s="183"/>
      <c r="L4348" s="176"/>
      <c r="M4348" s="177"/>
      <c r="N4348" s="21"/>
      <c r="O4348" s="45"/>
      <c r="P4348" s="24"/>
      <c r="Q4348" s="24"/>
      <c r="R4348" s="180"/>
      <c r="S4348" s="181"/>
      <c r="T4348" s="35"/>
      <c r="U4348" s="35"/>
      <c r="V4348" s="35"/>
      <c r="W4348" s="35"/>
      <c r="X4348" s="35"/>
      <c r="Y4348" s="182"/>
      <c r="Z4348" s="175"/>
      <c r="AA4348" s="182"/>
      <c r="AB4348" s="184"/>
    </row>
    <row r="4349" spans="1:28" ht="12.75">
      <c r="A4349" s="173"/>
      <c r="B4349" s="174"/>
      <c r="C4349" s="11"/>
      <c r="D4349" s="175"/>
      <c r="E4349" s="176"/>
      <c r="F4349" s="177"/>
      <c r="G4349" s="178"/>
      <c r="H4349" s="177"/>
      <c r="I4349" s="177"/>
      <c r="J4349" s="179"/>
      <c r="K4349" s="183"/>
      <c r="L4349" s="176"/>
      <c r="M4349" s="177"/>
      <c r="N4349" s="21"/>
      <c r="O4349" s="45"/>
      <c r="P4349" s="24"/>
      <c r="Q4349" s="24"/>
      <c r="R4349" s="180"/>
      <c r="S4349" s="181"/>
      <c r="T4349" s="35"/>
      <c r="U4349" s="35"/>
      <c r="V4349" s="35"/>
      <c r="W4349" s="35"/>
      <c r="X4349" s="35"/>
      <c r="Y4349" s="182"/>
      <c r="Z4349" s="175"/>
      <c r="AA4349" s="182"/>
      <c r="AB4349" s="184"/>
    </row>
    <row r="4350" spans="1:28" ht="12.75">
      <c r="A4350" s="173"/>
      <c r="B4350" s="174"/>
      <c r="C4350" s="11"/>
      <c r="D4350" s="175"/>
      <c r="E4350" s="176"/>
      <c r="F4350" s="177"/>
      <c r="G4350" s="178"/>
      <c r="H4350" s="177"/>
      <c r="I4350" s="177"/>
      <c r="J4350" s="179"/>
      <c r="K4350" s="183"/>
      <c r="L4350" s="176"/>
      <c r="M4350" s="177"/>
      <c r="N4350" s="21"/>
      <c r="O4350" s="45"/>
      <c r="P4350" s="24"/>
      <c r="Q4350" s="24"/>
      <c r="R4350" s="180"/>
      <c r="S4350" s="181"/>
      <c r="T4350" s="35"/>
      <c r="U4350" s="35"/>
      <c r="V4350" s="35"/>
      <c r="W4350" s="35"/>
      <c r="X4350" s="35"/>
      <c r="Y4350" s="182"/>
      <c r="Z4350" s="175"/>
      <c r="AA4350" s="182"/>
      <c r="AB4350" s="184"/>
    </row>
    <row r="4351" spans="1:28" ht="12.75">
      <c r="A4351" s="173"/>
      <c r="B4351" s="174"/>
      <c r="C4351" s="11"/>
      <c r="D4351" s="175"/>
      <c r="E4351" s="176"/>
      <c r="F4351" s="177"/>
      <c r="G4351" s="178"/>
      <c r="H4351" s="177"/>
      <c r="I4351" s="177"/>
      <c r="J4351" s="179"/>
      <c r="K4351" s="183"/>
      <c r="L4351" s="176"/>
      <c r="M4351" s="177"/>
      <c r="N4351" s="21"/>
      <c r="O4351" s="45"/>
      <c r="P4351" s="24"/>
      <c r="Q4351" s="24"/>
      <c r="R4351" s="180"/>
      <c r="S4351" s="181"/>
      <c r="T4351" s="35"/>
      <c r="U4351" s="35"/>
      <c r="V4351" s="35"/>
      <c r="W4351" s="35"/>
      <c r="X4351" s="35"/>
      <c r="Y4351" s="182"/>
      <c r="Z4351" s="175"/>
      <c r="AA4351" s="182"/>
      <c r="AB4351" s="184"/>
    </row>
    <row r="4352" spans="1:28" ht="12.75">
      <c r="A4352" s="173"/>
      <c r="B4352" s="174"/>
      <c r="C4352" s="11"/>
      <c r="D4352" s="175"/>
      <c r="E4352" s="176"/>
      <c r="F4352" s="177"/>
      <c r="G4352" s="178"/>
      <c r="H4352" s="177"/>
      <c r="I4352" s="177"/>
      <c r="J4352" s="179"/>
      <c r="K4352" s="183"/>
      <c r="L4352" s="176"/>
      <c r="M4352" s="177"/>
      <c r="N4352" s="21"/>
      <c r="O4352" s="45"/>
      <c r="P4352" s="24"/>
      <c r="Q4352" s="24"/>
      <c r="R4352" s="180"/>
      <c r="S4352" s="181"/>
      <c r="T4352" s="35"/>
      <c r="U4352" s="35"/>
      <c r="V4352" s="35"/>
      <c r="W4352" s="35"/>
      <c r="X4352" s="35"/>
      <c r="Y4352" s="182"/>
      <c r="Z4352" s="175"/>
      <c r="AA4352" s="182"/>
      <c r="AB4352" s="184"/>
    </row>
    <row r="4353" spans="1:28" ht="12.75">
      <c r="A4353" s="173"/>
      <c r="B4353" s="174"/>
      <c r="C4353" s="11"/>
      <c r="D4353" s="175"/>
      <c r="E4353" s="176"/>
      <c r="F4353" s="177"/>
      <c r="G4353" s="178"/>
      <c r="H4353" s="177"/>
      <c r="I4353" s="177"/>
      <c r="J4353" s="179"/>
      <c r="K4353" s="183"/>
      <c r="L4353" s="176"/>
      <c r="M4353" s="177"/>
      <c r="N4353" s="21"/>
      <c r="O4353" s="45"/>
      <c r="P4353" s="24"/>
      <c r="Q4353" s="24"/>
      <c r="R4353" s="180"/>
      <c r="S4353" s="181"/>
      <c r="T4353" s="35"/>
      <c r="U4353" s="35"/>
      <c r="V4353" s="35"/>
      <c r="W4353" s="35"/>
      <c r="X4353" s="35"/>
      <c r="Y4353" s="182"/>
      <c r="Z4353" s="175"/>
      <c r="AA4353" s="182"/>
      <c r="AB4353" s="184"/>
    </row>
    <row r="4354" spans="1:28" ht="12.75">
      <c r="A4354" s="173"/>
      <c r="B4354" s="174"/>
      <c r="C4354" s="11"/>
      <c r="D4354" s="175"/>
      <c r="E4354" s="176"/>
      <c r="F4354" s="177"/>
      <c r="G4354" s="178"/>
      <c r="H4354" s="177"/>
      <c r="I4354" s="177"/>
      <c r="J4354" s="179"/>
      <c r="K4354" s="183"/>
      <c r="L4354" s="176"/>
      <c r="M4354" s="177"/>
      <c r="N4354" s="21"/>
      <c r="O4354" s="45"/>
      <c r="P4354" s="24"/>
      <c r="Q4354" s="24"/>
      <c r="R4354" s="180"/>
      <c r="S4354" s="181"/>
      <c r="T4354" s="35"/>
      <c r="U4354" s="35"/>
      <c r="V4354" s="35"/>
      <c r="W4354" s="35"/>
      <c r="X4354" s="35"/>
      <c r="Y4354" s="182"/>
      <c r="Z4354" s="175"/>
      <c r="AA4354" s="182"/>
      <c r="AB4354" s="184"/>
    </row>
    <row r="4355" spans="1:28" ht="12.75">
      <c r="A4355" s="173"/>
      <c r="B4355" s="174"/>
      <c r="C4355" s="11"/>
      <c r="D4355" s="175"/>
      <c r="E4355" s="176"/>
      <c r="F4355" s="177"/>
      <c r="G4355" s="178"/>
      <c r="H4355" s="177"/>
      <c r="I4355" s="177"/>
      <c r="J4355" s="179"/>
      <c r="K4355" s="183"/>
      <c r="L4355" s="176"/>
      <c r="M4355" s="177"/>
      <c r="N4355" s="21"/>
      <c r="O4355" s="45"/>
      <c r="P4355" s="24"/>
      <c r="Q4355" s="24"/>
      <c r="R4355" s="180"/>
      <c r="S4355" s="181"/>
      <c r="T4355" s="35"/>
      <c r="U4355" s="35"/>
      <c r="V4355" s="35"/>
      <c r="W4355" s="35"/>
      <c r="X4355" s="35"/>
      <c r="Y4355" s="182"/>
      <c r="Z4355" s="175"/>
      <c r="AA4355" s="182"/>
      <c r="AB4355" s="184"/>
    </row>
    <row r="4356" spans="1:28" ht="12.75">
      <c r="A4356" s="173"/>
      <c r="B4356" s="174"/>
      <c r="C4356" s="11"/>
      <c r="D4356" s="175"/>
      <c r="E4356" s="176"/>
      <c r="F4356" s="177"/>
      <c r="G4356" s="178"/>
      <c r="H4356" s="177"/>
      <c r="I4356" s="177"/>
      <c r="J4356" s="179"/>
      <c r="K4356" s="183"/>
      <c r="L4356" s="176"/>
      <c r="M4356" s="177"/>
      <c r="N4356" s="21"/>
      <c r="O4356" s="45"/>
      <c r="P4356" s="24"/>
      <c r="Q4356" s="24"/>
      <c r="R4356" s="180"/>
      <c r="S4356" s="181"/>
      <c r="T4356" s="35"/>
      <c r="U4356" s="35"/>
      <c r="V4356" s="35"/>
      <c r="W4356" s="35"/>
      <c r="X4356" s="35"/>
      <c r="Y4356" s="182"/>
      <c r="Z4356" s="175"/>
      <c r="AA4356" s="182"/>
      <c r="AB4356" s="184"/>
    </row>
    <row r="4357" spans="1:28" ht="12.75">
      <c r="A4357" s="173"/>
      <c r="B4357" s="174"/>
      <c r="C4357" s="11"/>
      <c r="D4357" s="175"/>
      <c r="E4357" s="176"/>
      <c r="F4357" s="177"/>
      <c r="G4357" s="178"/>
      <c r="H4357" s="177"/>
      <c r="I4357" s="177"/>
      <c r="J4357" s="179"/>
      <c r="K4357" s="183"/>
      <c r="L4357" s="176"/>
      <c r="M4357" s="177"/>
      <c r="N4357" s="21"/>
      <c r="O4357" s="45"/>
      <c r="P4357" s="24"/>
      <c r="Q4357" s="24"/>
      <c r="R4357" s="180"/>
      <c r="S4357" s="181"/>
      <c r="T4357" s="35"/>
      <c r="U4357" s="35"/>
      <c r="V4357" s="35"/>
      <c r="W4357" s="35"/>
      <c r="X4357" s="35"/>
      <c r="Y4357" s="182"/>
      <c r="Z4357" s="175"/>
      <c r="AA4357" s="182"/>
      <c r="AB4357" s="184"/>
    </row>
    <row r="4358" spans="1:28" ht="12.75">
      <c r="A4358" s="173"/>
      <c r="B4358" s="174"/>
      <c r="C4358" s="11"/>
      <c r="D4358" s="175"/>
      <c r="E4358" s="176"/>
      <c r="F4358" s="177"/>
      <c r="G4358" s="178"/>
      <c r="H4358" s="177"/>
      <c r="I4358" s="177"/>
      <c r="J4358" s="179"/>
      <c r="K4358" s="183"/>
      <c r="L4358" s="176"/>
      <c r="M4358" s="177"/>
      <c r="N4358" s="21"/>
      <c r="O4358" s="45"/>
      <c r="P4358" s="24"/>
      <c r="Q4358" s="24"/>
      <c r="R4358" s="180"/>
      <c r="S4358" s="181"/>
      <c r="T4358" s="35"/>
      <c r="U4358" s="35"/>
      <c r="V4358" s="35"/>
      <c r="W4358" s="35"/>
      <c r="X4358" s="35"/>
      <c r="Y4358" s="182"/>
      <c r="Z4358" s="175"/>
      <c r="AA4358" s="182"/>
      <c r="AB4358" s="184"/>
    </row>
    <row r="4359" spans="1:28" ht="12.75">
      <c r="A4359" s="173"/>
      <c r="B4359" s="174"/>
      <c r="C4359" s="11"/>
      <c r="D4359" s="175"/>
      <c r="E4359" s="176"/>
      <c r="F4359" s="177"/>
      <c r="G4359" s="178"/>
      <c r="H4359" s="177"/>
      <c r="I4359" s="177"/>
      <c r="J4359" s="179"/>
      <c r="K4359" s="183"/>
      <c r="L4359" s="176"/>
      <c r="M4359" s="177"/>
      <c r="N4359" s="21"/>
      <c r="O4359" s="45"/>
      <c r="P4359" s="24"/>
      <c r="Q4359" s="24"/>
      <c r="R4359" s="180"/>
      <c r="S4359" s="181"/>
      <c r="T4359" s="35"/>
      <c r="U4359" s="35"/>
      <c r="V4359" s="35"/>
      <c r="W4359" s="35"/>
      <c r="X4359" s="35"/>
      <c r="Y4359" s="182"/>
      <c r="Z4359" s="175"/>
      <c r="AA4359" s="182"/>
      <c r="AB4359" s="184"/>
    </row>
    <row r="4360" spans="1:28" ht="12.75">
      <c r="A4360" s="173"/>
      <c r="B4360" s="174"/>
      <c r="C4360" s="11"/>
      <c r="D4360" s="175"/>
      <c r="E4360" s="176"/>
      <c r="F4360" s="177"/>
      <c r="G4360" s="178"/>
      <c r="H4360" s="177"/>
      <c r="I4360" s="177"/>
      <c r="J4360" s="179"/>
      <c r="K4360" s="183"/>
      <c r="L4360" s="176"/>
      <c r="M4360" s="177"/>
      <c r="N4360" s="21"/>
      <c r="O4360" s="45"/>
      <c r="P4360" s="24"/>
      <c r="Q4360" s="24"/>
      <c r="R4360" s="180"/>
      <c r="S4360" s="181"/>
      <c r="T4360" s="35"/>
      <c r="U4360" s="35"/>
      <c r="V4360" s="35"/>
      <c r="W4360" s="35"/>
      <c r="X4360" s="35"/>
      <c r="Y4360" s="182"/>
      <c r="Z4360" s="175"/>
      <c r="AA4360" s="182"/>
      <c r="AB4360" s="184"/>
    </row>
    <row r="4361" spans="1:28" ht="12.75">
      <c r="A4361" s="173"/>
      <c r="B4361" s="174"/>
      <c r="C4361" s="11"/>
      <c r="D4361" s="175"/>
      <c r="E4361" s="176"/>
      <c r="F4361" s="177"/>
      <c r="G4361" s="178"/>
      <c r="H4361" s="177"/>
      <c r="I4361" s="177"/>
      <c r="J4361" s="179"/>
      <c r="K4361" s="183"/>
      <c r="L4361" s="176"/>
      <c r="M4361" s="177"/>
      <c r="N4361" s="21"/>
      <c r="O4361" s="45"/>
      <c r="P4361" s="24"/>
      <c r="Q4361" s="24"/>
      <c r="R4361" s="180"/>
      <c r="S4361" s="181"/>
      <c r="T4361" s="35"/>
      <c r="U4361" s="35"/>
      <c r="V4361" s="35"/>
      <c r="W4361" s="35"/>
      <c r="X4361" s="35"/>
      <c r="Y4361" s="182"/>
      <c r="Z4361" s="175"/>
      <c r="AA4361" s="182"/>
      <c r="AB4361" s="184"/>
    </row>
    <row r="4362" spans="1:28" ht="12.75">
      <c r="A4362" s="173"/>
      <c r="B4362" s="174"/>
      <c r="C4362" s="11"/>
      <c r="D4362" s="175"/>
      <c r="E4362" s="176"/>
      <c r="F4362" s="177"/>
      <c r="G4362" s="178"/>
      <c r="H4362" s="177"/>
      <c r="I4362" s="177"/>
      <c r="J4362" s="179"/>
      <c r="K4362" s="183"/>
      <c r="L4362" s="176"/>
      <c r="M4362" s="177"/>
      <c r="N4362" s="21"/>
      <c r="O4362" s="45"/>
      <c r="P4362" s="24"/>
      <c r="Q4362" s="24"/>
      <c r="R4362" s="180"/>
      <c r="S4362" s="181"/>
      <c r="T4362" s="35"/>
      <c r="U4362" s="35"/>
      <c r="V4362" s="35"/>
      <c r="W4362" s="35"/>
      <c r="X4362" s="35"/>
      <c r="Y4362" s="182"/>
      <c r="Z4362" s="175"/>
      <c r="AA4362" s="182"/>
      <c r="AB4362" s="184"/>
    </row>
    <row r="4363" spans="1:28" ht="12.75">
      <c r="A4363" s="173"/>
      <c r="B4363" s="174"/>
      <c r="C4363" s="11"/>
      <c r="D4363" s="175"/>
      <c r="E4363" s="176"/>
      <c r="F4363" s="177"/>
      <c r="G4363" s="178"/>
      <c r="H4363" s="177"/>
      <c r="I4363" s="177"/>
      <c r="J4363" s="179"/>
      <c r="K4363" s="183"/>
      <c r="L4363" s="176"/>
      <c r="M4363" s="177"/>
      <c r="N4363" s="21"/>
      <c r="O4363" s="45"/>
      <c r="P4363" s="24"/>
      <c r="Q4363" s="24"/>
      <c r="R4363" s="180"/>
      <c r="S4363" s="181"/>
      <c r="T4363" s="35"/>
      <c r="U4363" s="35"/>
      <c r="V4363" s="35"/>
      <c r="W4363" s="35"/>
      <c r="X4363" s="35"/>
      <c r="Y4363" s="182"/>
      <c r="Z4363" s="175"/>
      <c r="AA4363" s="182"/>
      <c r="AB4363" s="184"/>
    </row>
    <row r="4364" spans="1:28" ht="12.75">
      <c r="A4364" s="173"/>
      <c r="B4364" s="174"/>
      <c r="C4364" s="11"/>
      <c r="D4364" s="175"/>
      <c r="E4364" s="176"/>
      <c r="F4364" s="177"/>
      <c r="G4364" s="178"/>
      <c r="H4364" s="177"/>
      <c r="I4364" s="177"/>
      <c r="J4364" s="179"/>
      <c r="K4364" s="183"/>
      <c r="L4364" s="176"/>
      <c r="M4364" s="177"/>
      <c r="N4364" s="21"/>
      <c r="O4364" s="45"/>
      <c r="P4364" s="24"/>
      <c r="Q4364" s="24"/>
      <c r="R4364" s="180"/>
      <c r="S4364" s="181"/>
      <c r="T4364" s="35"/>
      <c r="U4364" s="35"/>
      <c r="V4364" s="35"/>
      <c r="W4364" s="35"/>
      <c r="X4364" s="35"/>
      <c r="Y4364" s="182"/>
      <c r="Z4364" s="175"/>
      <c r="AA4364" s="182"/>
      <c r="AB4364" s="184"/>
    </row>
    <row r="4365" spans="1:28" ht="12.75">
      <c r="A4365" s="173"/>
      <c r="B4365" s="174"/>
      <c r="C4365" s="11"/>
      <c r="D4365" s="175"/>
      <c r="E4365" s="176"/>
      <c r="F4365" s="177"/>
      <c r="G4365" s="178"/>
      <c r="H4365" s="177"/>
      <c r="I4365" s="177"/>
      <c r="J4365" s="179"/>
      <c r="K4365" s="183"/>
      <c r="L4365" s="176"/>
      <c r="M4365" s="177"/>
      <c r="N4365" s="21"/>
      <c r="O4365" s="45"/>
      <c r="P4365" s="24"/>
      <c r="Q4365" s="24"/>
      <c r="R4365" s="180"/>
      <c r="S4365" s="181"/>
      <c r="T4365" s="35"/>
      <c r="U4365" s="35"/>
      <c r="V4365" s="35"/>
      <c r="W4365" s="35"/>
      <c r="X4365" s="35"/>
      <c r="Y4365" s="182"/>
      <c r="Z4365" s="175"/>
      <c r="AA4365" s="182"/>
      <c r="AB4365" s="184"/>
    </row>
    <row r="4366" spans="1:28" ht="12.75">
      <c r="A4366" s="173"/>
      <c r="B4366" s="174"/>
      <c r="C4366" s="11"/>
      <c r="D4366" s="175"/>
      <c r="E4366" s="176"/>
      <c r="F4366" s="177"/>
      <c r="G4366" s="178"/>
      <c r="H4366" s="177"/>
      <c r="I4366" s="177"/>
      <c r="J4366" s="179"/>
      <c r="K4366" s="183"/>
      <c r="L4366" s="176"/>
      <c r="M4366" s="177"/>
      <c r="N4366" s="21"/>
      <c r="O4366" s="45"/>
      <c r="P4366" s="24"/>
      <c r="Q4366" s="24"/>
      <c r="R4366" s="180"/>
      <c r="S4366" s="181"/>
      <c r="T4366" s="35"/>
      <c r="U4366" s="35"/>
      <c r="V4366" s="35"/>
      <c r="W4366" s="35"/>
      <c r="X4366" s="35"/>
      <c r="Y4366" s="182"/>
      <c r="Z4366" s="175"/>
      <c r="AA4366" s="182"/>
      <c r="AB4366" s="184"/>
    </row>
    <row r="4367" spans="1:28" ht="12.75">
      <c r="A4367" s="173"/>
      <c r="B4367" s="174"/>
      <c r="C4367" s="11"/>
      <c r="D4367" s="175"/>
      <c r="E4367" s="176"/>
      <c r="F4367" s="177"/>
      <c r="G4367" s="178"/>
      <c r="H4367" s="177"/>
      <c r="I4367" s="177"/>
      <c r="J4367" s="179"/>
      <c r="K4367" s="183"/>
      <c r="L4367" s="176"/>
      <c r="M4367" s="177"/>
      <c r="N4367" s="21"/>
      <c r="O4367" s="45"/>
      <c r="P4367" s="24"/>
      <c r="Q4367" s="24"/>
      <c r="R4367" s="180"/>
      <c r="S4367" s="181"/>
      <c r="T4367" s="35"/>
      <c r="U4367" s="35"/>
      <c r="V4367" s="35"/>
      <c r="W4367" s="35"/>
      <c r="X4367" s="35"/>
      <c r="Y4367" s="182"/>
      <c r="Z4367" s="175"/>
      <c r="AA4367" s="182"/>
      <c r="AB4367" s="184"/>
    </row>
    <row r="4368" spans="1:28" ht="12.75">
      <c r="A4368" s="173"/>
      <c r="B4368" s="174"/>
      <c r="C4368" s="11"/>
      <c r="D4368" s="175"/>
      <c r="E4368" s="176"/>
      <c r="F4368" s="177"/>
      <c r="G4368" s="178"/>
      <c r="H4368" s="177"/>
      <c r="I4368" s="177"/>
      <c r="J4368" s="179"/>
      <c r="K4368" s="183"/>
      <c r="L4368" s="176"/>
      <c r="M4368" s="177"/>
      <c r="N4368" s="21"/>
      <c r="O4368" s="45"/>
      <c r="P4368" s="24"/>
      <c r="Q4368" s="24"/>
      <c r="R4368" s="180"/>
      <c r="S4368" s="181"/>
      <c r="T4368" s="35"/>
      <c r="U4368" s="35"/>
      <c r="V4368" s="35"/>
      <c r="W4368" s="35"/>
      <c r="X4368" s="35"/>
      <c r="Y4368" s="182"/>
      <c r="Z4368" s="175"/>
      <c r="AA4368" s="182"/>
      <c r="AB4368" s="184"/>
    </row>
    <row r="4369" spans="1:28" ht="12.75">
      <c r="A4369" s="173"/>
      <c r="B4369" s="174"/>
      <c r="C4369" s="11"/>
      <c r="D4369" s="175"/>
      <c r="E4369" s="176"/>
      <c r="F4369" s="177"/>
      <c r="G4369" s="178"/>
      <c r="H4369" s="177"/>
      <c r="I4369" s="177"/>
      <c r="J4369" s="179"/>
      <c r="K4369" s="183"/>
      <c r="L4369" s="176"/>
      <c r="M4369" s="177"/>
      <c r="N4369" s="21"/>
      <c r="O4369" s="45"/>
      <c r="P4369" s="24"/>
      <c r="Q4369" s="24"/>
      <c r="R4369" s="180"/>
      <c r="S4369" s="181"/>
      <c r="T4369" s="35"/>
      <c r="U4369" s="35"/>
      <c r="V4369" s="35"/>
      <c r="W4369" s="35"/>
      <c r="X4369" s="35"/>
      <c r="Y4369" s="182"/>
      <c r="Z4369" s="175"/>
      <c r="AA4369" s="182"/>
      <c r="AB4369" s="184"/>
    </row>
    <row r="4370" spans="1:28" ht="12.75">
      <c r="A4370" s="173"/>
      <c r="B4370" s="174"/>
      <c r="C4370" s="11"/>
      <c r="D4370" s="175"/>
      <c r="E4370" s="176"/>
      <c r="F4370" s="177"/>
      <c r="G4370" s="178"/>
      <c r="H4370" s="177"/>
      <c r="I4370" s="177"/>
      <c r="J4370" s="179"/>
      <c r="K4370" s="183"/>
      <c r="L4370" s="176"/>
      <c r="M4370" s="177"/>
      <c r="N4370" s="21"/>
      <c r="O4370" s="45"/>
      <c r="P4370" s="24"/>
      <c r="Q4370" s="24"/>
      <c r="R4370" s="180"/>
      <c r="S4370" s="181"/>
      <c r="T4370" s="35"/>
      <c r="U4370" s="35"/>
      <c r="V4370" s="35"/>
      <c r="W4370" s="35"/>
      <c r="X4370" s="35"/>
      <c r="Y4370" s="182"/>
      <c r="Z4370" s="175"/>
      <c r="AA4370" s="182"/>
      <c r="AB4370" s="184"/>
    </row>
    <row r="4371" spans="1:28" ht="12.75">
      <c r="A4371" s="173"/>
      <c r="B4371" s="174"/>
      <c r="C4371" s="11"/>
      <c r="D4371" s="175"/>
      <c r="E4371" s="176"/>
      <c r="F4371" s="177"/>
      <c r="G4371" s="178"/>
      <c r="H4371" s="177"/>
      <c r="I4371" s="177"/>
      <c r="J4371" s="179"/>
      <c r="K4371" s="183"/>
      <c r="L4371" s="176"/>
      <c r="M4371" s="177"/>
      <c r="N4371" s="21"/>
      <c r="O4371" s="45"/>
      <c r="P4371" s="24"/>
      <c r="Q4371" s="24"/>
      <c r="R4371" s="180"/>
      <c r="S4371" s="181"/>
      <c r="T4371" s="35"/>
      <c r="U4371" s="35"/>
      <c r="V4371" s="35"/>
      <c r="W4371" s="35"/>
      <c r="X4371" s="35"/>
      <c r="Y4371" s="182"/>
      <c r="Z4371" s="175"/>
      <c r="AA4371" s="182"/>
      <c r="AB4371" s="184"/>
    </row>
    <row r="4372" spans="1:28" ht="12.75">
      <c r="A4372" s="173"/>
      <c r="B4372" s="174"/>
      <c r="C4372" s="11"/>
      <c r="D4372" s="175"/>
      <c r="E4372" s="176"/>
      <c r="F4372" s="177"/>
      <c r="G4372" s="178"/>
      <c r="H4372" s="177"/>
      <c r="I4372" s="177"/>
      <c r="J4372" s="179"/>
      <c r="K4372" s="183"/>
      <c r="L4372" s="176"/>
      <c r="M4372" s="177"/>
      <c r="N4372" s="21"/>
      <c r="O4372" s="45"/>
      <c r="P4372" s="24"/>
      <c r="Q4372" s="24"/>
      <c r="R4372" s="180"/>
      <c r="S4372" s="181"/>
      <c r="T4372" s="35"/>
      <c r="U4372" s="35"/>
      <c r="V4372" s="35"/>
      <c r="W4372" s="35"/>
      <c r="X4372" s="35"/>
      <c r="Y4372" s="182"/>
      <c r="Z4372" s="175"/>
      <c r="AA4372" s="182"/>
      <c r="AB4372" s="184"/>
    </row>
    <row r="4373" spans="1:28" ht="12.75">
      <c r="A4373" s="173"/>
      <c r="B4373" s="174"/>
      <c r="C4373" s="11"/>
      <c r="D4373" s="175"/>
      <c r="E4373" s="176"/>
      <c r="F4373" s="177"/>
      <c r="G4373" s="178"/>
      <c r="H4373" s="177"/>
      <c r="I4373" s="177"/>
      <c r="J4373" s="179"/>
      <c r="K4373" s="183"/>
      <c r="L4373" s="176"/>
      <c r="M4373" s="177"/>
      <c r="N4373" s="21"/>
      <c r="O4373" s="45"/>
      <c r="P4373" s="24"/>
      <c r="Q4373" s="24"/>
      <c r="R4373" s="180"/>
      <c r="S4373" s="181"/>
      <c r="T4373" s="35"/>
      <c r="U4373" s="35"/>
      <c r="V4373" s="35"/>
      <c r="W4373" s="35"/>
      <c r="X4373" s="35"/>
      <c r="Y4373" s="182"/>
      <c r="Z4373" s="175"/>
      <c r="AA4373" s="182"/>
      <c r="AB4373" s="184"/>
    </row>
    <row r="4374" spans="1:28" ht="12.75">
      <c r="A4374" s="173"/>
      <c r="B4374" s="174"/>
      <c r="C4374" s="11"/>
      <c r="D4374" s="175"/>
      <c r="E4374" s="176"/>
      <c r="F4374" s="177"/>
      <c r="G4374" s="178"/>
      <c r="H4374" s="177"/>
      <c r="I4374" s="177"/>
      <c r="J4374" s="179"/>
      <c r="K4374" s="183"/>
      <c r="L4374" s="176"/>
      <c r="M4374" s="177"/>
      <c r="N4374" s="21"/>
      <c r="O4374" s="45"/>
      <c r="P4374" s="24"/>
      <c r="Q4374" s="24"/>
      <c r="R4374" s="180"/>
      <c r="S4374" s="181"/>
      <c r="T4374" s="35"/>
      <c r="U4374" s="35"/>
      <c r="V4374" s="35"/>
      <c r="W4374" s="35"/>
      <c r="X4374" s="35"/>
      <c r="Y4374" s="182"/>
      <c r="Z4374" s="175"/>
      <c r="AA4374" s="182"/>
      <c r="AB4374" s="184"/>
    </row>
    <row r="4375" spans="1:28" ht="12.75">
      <c r="A4375" s="173"/>
      <c r="B4375" s="174"/>
      <c r="C4375" s="11"/>
      <c r="D4375" s="175"/>
      <c r="E4375" s="176"/>
      <c r="F4375" s="177"/>
      <c r="G4375" s="178"/>
      <c r="H4375" s="177"/>
      <c r="I4375" s="177"/>
      <c r="J4375" s="179"/>
      <c r="K4375" s="183"/>
      <c r="L4375" s="176"/>
      <c r="M4375" s="177"/>
      <c r="N4375" s="21"/>
      <c r="O4375" s="45"/>
      <c r="P4375" s="24"/>
      <c r="Q4375" s="24"/>
      <c r="R4375" s="180"/>
      <c r="S4375" s="181"/>
      <c r="T4375" s="35"/>
      <c r="U4375" s="35"/>
      <c r="V4375" s="35"/>
      <c r="W4375" s="35"/>
      <c r="X4375" s="35"/>
      <c r="Y4375" s="182"/>
      <c r="Z4375" s="175"/>
      <c r="AA4375" s="182"/>
      <c r="AB4375" s="184"/>
    </row>
    <row r="4376" spans="1:28" ht="12.75">
      <c r="A4376" s="173"/>
      <c r="B4376" s="174"/>
      <c r="C4376" s="11"/>
      <c r="D4376" s="175"/>
      <c r="E4376" s="176"/>
      <c r="F4376" s="177"/>
      <c r="G4376" s="178"/>
      <c r="H4376" s="177"/>
      <c r="I4376" s="177"/>
      <c r="J4376" s="179"/>
      <c r="K4376" s="183"/>
      <c r="L4376" s="176"/>
      <c r="M4376" s="177"/>
      <c r="N4376" s="21"/>
      <c r="O4376" s="45"/>
      <c r="P4376" s="24"/>
      <c r="Q4376" s="24"/>
      <c r="R4376" s="180"/>
      <c r="S4376" s="181"/>
      <c r="T4376" s="35"/>
      <c r="U4376" s="35"/>
      <c r="V4376" s="35"/>
      <c r="W4376" s="35"/>
      <c r="X4376" s="35"/>
      <c r="Y4376" s="182"/>
      <c r="Z4376" s="175"/>
      <c r="AA4376" s="182"/>
      <c r="AB4376" s="184"/>
    </row>
    <row r="4377" spans="1:28" ht="12.75">
      <c r="A4377" s="173"/>
      <c r="B4377" s="174"/>
      <c r="C4377" s="11"/>
      <c r="D4377" s="175"/>
      <c r="E4377" s="176"/>
      <c r="F4377" s="177"/>
      <c r="G4377" s="178"/>
      <c r="H4377" s="177"/>
      <c r="I4377" s="177"/>
      <c r="J4377" s="179"/>
      <c r="K4377" s="183"/>
      <c r="L4377" s="176"/>
      <c r="M4377" s="177"/>
      <c r="N4377" s="21"/>
      <c r="O4377" s="45"/>
      <c r="P4377" s="24"/>
      <c r="Q4377" s="24"/>
      <c r="R4377" s="180"/>
      <c r="S4377" s="181"/>
      <c r="T4377" s="35"/>
      <c r="U4377" s="35"/>
      <c r="V4377" s="35"/>
      <c r="W4377" s="35"/>
      <c r="X4377" s="35"/>
      <c r="Y4377" s="182"/>
      <c r="Z4377" s="175"/>
      <c r="AA4377" s="182"/>
      <c r="AB4377" s="184"/>
    </row>
    <row r="4378" spans="1:28" ht="12.75">
      <c r="A4378" s="173"/>
      <c r="B4378" s="174"/>
      <c r="C4378" s="11"/>
      <c r="D4378" s="175"/>
      <c r="E4378" s="176"/>
      <c r="F4378" s="177"/>
      <c r="G4378" s="178"/>
      <c r="H4378" s="177"/>
      <c r="I4378" s="177"/>
      <c r="J4378" s="179"/>
      <c r="K4378" s="183"/>
      <c r="L4378" s="176"/>
      <c r="M4378" s="177"/>
      <c r="N4378" s="21"/>
      <c r="O4378" s="45"/>
      <c r="P4378" s="24"/>
      <c r="Q4378" s="24"/>
      <c r="R4378" s="180"/>
      <c r="S4378" s="181"/>
      <c r="T4378" s="35"/>
      <c r="U4378" s="35"/>
      <c r="V4378" s="35"/>
      <c r="W4378" s="35"/>
      <c r="X4378" s="35"/>
      <c r="Y4378" s="182"/>
      <c r="Z4378" s="175"/>
      <c r="AA4378" s="182"/>
      <c r="AB4378" s="184"/>
    </row>
    <row r="4379" spans="1:28" ht="12.75">
      <c r="A4379" s="173"/>
      <c r="B4379" s="174"/>
      <c r="C4379" s="11"/>
      <c r="D4379" s="175"/>
      <c r="E4379" s="176"/>
      <c r="F4379" s="177"/>
      <c r="G4379" s="178"/>
      <c r="H4379" s="177"/>
      <c r="I4379" s="177"/>
      <c r="J4379" s="179"/>
      <c r="K4379" s="183"/>
      <c r="L4379" s="176"/>
      <c r="M4379" s="177"/>
      <c r="N4379" s="21"/>
      <c r="O4379" s="45"/>
      <c r="P4379" s="24"/>
      <c r="Q4379" s="24"/>
      <c r="R4379" s="180"/>
      <c r="S4379" s="181"/>
      <c r="T4379" s="35"/>
      <c r="U4379" s="35"/>
      <c r="V4379" s="35"/>
      <c r="W4379" s="35"/>
      <c r="X4379" s="35"/>
      <c r="Y4379" s="182"/>
      <c r="Z4379" s="175"/>
      <c r="AA4379" s="182"/>
      <c r="AB4379" s="184"/>
    </row>
    <row r="4380" spans="1:28" ht="12.75">
      <c r="A4380" s="173"/>
      <c r="B4380" s="174"/>
      <c r="C4380" s="11"/>
      <c r="D4380" s="175"/>
      <c r="E4380" s="176"/>
      <c r="F4380" s="177"/>
      <c r="G4380" s="178"/>
      <c r="H4380" s="177"/>
      <c r="I4380" s="177"/>
      <c r="J4380" s="179"/>
      <c r="K4380" s="183"/>
      <c r="L4380" s="176"/>
      <c r="M4380" s="177"/>
      <c r="N4380" s="21"/>
      <c r="O4380" s="45"/>
      <c r="P4380" s="24"/>
      <c r="Q4380" s="24"/>
      <c r="R4380" s="180"/>
      <c r="S4380" s="181"/>
      <c r="T4380" s="35"/>
      <c r="U4380" s="35"/>
      <c r="V4380" s="35"/>
      <c r="W4380" s="35"/>
      <c r="X4380" s="35"/>
      <c r="Y4380" s="182"/>
      <c r="Z4380" s="175"/>
      <c r="AA4380" s="182"/>
      <c r="AB4380" s="184"/>
    </row>
    <row r="4381" spans="1:28" ht="12.75">
      <c r="A4381" s="173"/>
      <c r="B4381" s="174"/>
      <c r="C4381" s="11"/>
      <c r="D4381" s="175"/>
      <c r="E4381" s="176"/>
      <c r="F4381" s="177"/>
      <c r="G4381" s="178"/>
      <c r="H4381" s="177"/>
      <c r="I4381" s="177"/>
      <c r="J4381" s="179"/>
      <c r="K4381" s="183"/>
      <c r="L4381" s="176"/>
      <c r="M4381" s="177"/>
      <c r="N4381" s="21"/>
      <c r="O4381" s="45"/>
      <c r="P4381" s="24"/>
      <c r="Q4381" s="24"/>
      <c r="R4381" s="180"/>
      <c r="S4381" s="181"/>
      <c r="T4381" s="35"/>
      <c r="U4381" s="35"/>
      <c r="V4381" s="35"/>
      <c r="W4381" s="35"/>
      <c r="X4381" s="35"/>
      <c r="Y4381" s="182"/>
      <c r="Z4381" s="175"/>
      <c r="AA4381" s="182"/>
      <c r="AB4381" s="184"/>
    </row>
    <row r="4382" spans="1:28" ht="12.75">
      <c r="A4382" s="173"/>
      <c r="B4382" s="174"/>
      <c r="C4382" s="11"/>
      <c r="D4382" s="175"/>
      <c r="E4382" s="176"/>
      <c r="F4382" s="177"/>
      <c r="G4382" s="178"/>
      <c r="H4382" s="177"/>
      <c r="I4382" s="177"/>
      <c r="J4382" s="179"/>
      <c r="K4382" s="183"/>
      <c r="L4382" s="176"/>
      <c r="M4382" s="177"/>
      <c r="N4382" s="21"/>
      <c r="O4382" s="45"/>
      <c r="P4382" s="24"/>
      <c r="Q4382" s="24"/>
      <c r="R4382" s="180"/>
      <c r="S4382" s="181"/>
      <c r="T4382" s="35"/>
      <c r="U4382" s="35"/>
      <c r="V4382" s="35"/>
      <c r="W4382" s="35"/>
      <c r="X4382" s="35"/>
      <c r="Y4382" s="182"/>
      <c r="Z4382" s="175"/>
      <c r="AA4382" s="182"/>
      <c r="AB4382" s="184"/>
    </row>
    <row r="4383" spans="1:28" ht="12.75">
      <c r="A4383" s="173"/>
      <c r="B4383" s="174"/>
      <c r="C4383" s="11"/>
      <c r="D4383" s="175"/>
      <c r="E4383" s="176"/>
      <c r="F4383" s="177"/>
      <c r="G4383" s="178"/>
      <c r="H4383" s="177"/>
      <c r="I4383" s="177"/>
      <c r="J4383" s="179"/>
      <c r="K4383" s="183"/>
      <c r="L4383" s="176"/>
      <c r="M4383" s="177"/>
      <c r="N4383" s="21"/>
      <c r="O4383" s="45"/>
      <c r="P4383" s="24"/>
      <c r="Q4383" s="24"/>
      <c r="R4383" s="180"/>
      <c r="S4383" s="181"/>
      <c r="T4383" s="35"/>
      <c r="U4383" s="35"/>
      <c r="V4383" s="35"/>
      <c r="W4383" s="35"/>
      <c r="X4383" s="35"/>
      <c r="Y4383" s="182"/>
      <c r="Z4383" s="175"/>
      <c r="AA4383" s="182"/>
      <c r="AB4383" s="184"/>
    </row>
    <row r="4384" spans="1:28" ht="12.75">
      <c r="A4384" s="173"/>
      <c r="B4384" s="174"/>
      <c r="C4384" s="11"/>
      <c r="D4384" s="175"/>
      <c r="E4384" s="176"/>
      <c r="F4384" s="177"/>
      <c r="G4384" s="178"/>
      <c r="H4384" s="177"/>
      <c r="I4384" s="177"/>
      <c r="J4384" s="179"/>
      <c r="K4384" s="183"/>
      <c r="L4384" s="176"/>
      <c r="M4384" s="177"/>
      <c r="N4384" s="21"/>
      <c r="O4384" s="45"/>
      <c r="P4384" s="24"/>
      <c r="Q4384" s="24"/>
      <c r="R4384" s="180"/>
      <c r="S4384" s="181"/>
      <c r="T4384" s="35"/>
      <c r="U4384" s="35"/>
      <c r="V4384" s="35"/>
      <c r="W4384" s="35"/>
      <c r="X4384" s="35"/>
      <c r="Y4384" s="182"/>
      <c r="Z4384" s="175"/>
      <c r="AA4384" s="182"/>
      <c r="AB4384" s="184"/>
    </row>
    <row r="4385" spans="1:28" ht="12.75">
      <c r="A4385" s="173"/>
      <c r="B4385" s="174"/>
      <c r="C4385" s="11"/>
      <c r="D4385" s="175"/>
      <c r="E4385" s="176"/>
      <c r="F4385" s="177"/>
      <c r="G4385" s="178"/>
      <c r="H4385" s="177"/>
      <c r="I4385" s="177"/>
      <c r="J4385" s="179"/>
      <c r="K4385" s="183"/>
      <c r="L4385" s="176"/>
      <c r="M4385" s="177"/>
      <c r="N4385" s="21"/>
      <c r="O4385" s="45"/>
      <c r="P4385" s="24"/>
      <c r="Q4385" s="24"/>
      <c r="R4385" s="180"/>
      <c r="S4385" s="181"/>
      <c r="T4385" s="35"/>
      <c r="U4385" s="35"/>
      <c r="V4385" s="35"/>
      <c r="W4385" s="35"/>
      <c r="X4385" s="35"/>
      <c r="Y4385" s="182"/>
      <c r="Z4385" s="175"/>
      <c r="AA4385" s="182"/>
      <c r="AB4385" s="184"/>
    </row>
    <row r="4386" spans="1:28" ht="12.75">
      <c r="A4386" s="173"/>
      <c r="B4386" s="174"/>
      <c r="C4386" s="11"/>
      <c r="D4386" s="175"/>
      <c r="E4386" s="176"/>
      <c r="F4386" s="177"/>
      <c r="G4386" s="178"/>
      <c r="H4386" s="177"/>
      <c r="I4386" s="177"/>
      <c r="J4386" s="179"/>
      <c r="K4386" s="183"/>
      <c r="L4386" s="176"/>
      <c r="M4386" s="177"/>
      <c r="N4386" s="21"/>
      <c r="O4386" s="45"/>
      <c r="P4386" s="24"/>
      <c r="Q4386" s="24"/>
      <c r="R4386" s="180"/>
      <c r="S4386" s="181"/>
      <c r="T4386" s="35"/>
      <c r="U4386" s="35"/>
      <c r="V4386" s="35"/>
      <c r="W4386" s="35"/>
      <c r="X4386" s="35"/>
      <c r="Y4386" s="182"/>
      <c r="Z4386" s="175"/>
      <c r="AA4386" s="182"/>
      <c r="AB4386" s="184"/>
    </row>
    <row r="4387" spans="1:28" ht="12.75">
      <c r="A4387" s="173"/>
      <c r="B4387" s="174"/>
      <c r="C4387" s="11"/>
      <c r="D4387" s="175"/>
      <c r="E4387" s="176"/>
      <c r="F4387" s="177"/>
      <c r="G4387" s="178"/>
      <c r="H4387" s="177"/>
      <c r="I4387" s="177"/>
      <c r="J4387" s="179"/>
      <c r="K4387" s="183"/>
      <c r="L4387" s="176"/>
      <c r="M4387" s="177"/>
      <c r="N4387" s="21"/>
      <c r="O4387" s="45"/>
      <c r="P4387" s="24"/>
      <c r="Q4387" s="24"/>
      <c r="R4387" s="180"/>
      <c r="S4387" s="181"/>
      <c r="T4387" s="35"/>
      <c r="U4387" s="35"/>
      <c r="V4387" s="35"/>
      <c r="W4387" s="35"/>
      <c r="X4387" s="35"/>
      <c r="Y4387" s="182"/>
      <c r="Z4387" s="175"/>
      <c r="AA4387" s="182"/>
      <c r="AB4387" s="184"/>
    </row>
    <row r="4388" spans="1:28" ht="12.75">
      <c r="A4388" s="173"/>
      <c r="B4388" s="174"/>
      <c r="C4388" s="11"/>
      <c r="D4388" s="175"/>
      <c r="E4388" s="176"/>
      <c r="F4388" s="177"/>
      <c r="G4388" s="178"/>
      <c r="H4388" s="177"/>
      <c r="I4388" s="177"/>
      <c r="J4388" s="179"/>
      <c r="K4388" s="183"/>
      <c r="L4388" s="176"/>
      <c r="M4388" s="177"/>
      <c r="N4388" s="21"/>
      <c r="O4388" s="45"/>
      <c r="P4388" s="24"/>
      <c r="Q4388" s="24"/>
      <c r="R4388" s="180"/>
      <c r="S4388" s="181"/>
      <c r="T4388" s="35"/>
      <c r="U4388" s="35"/>
      <c r="V4388" s="35"/>
      <c r="W4388" s="35"/>
      <c r="X4388" s="35"/>
      <c r="Y4388" s="182"/>
      <c r="Z4388" s="175"/>
      <c r="AA4388" s="182"/>
      <c r="AB4388" s="184"/>
    </row>
    <row r="4389" spans="1:28" ht="12.75">
      <c r="A4389" s="173"/>
      <c r="B4389" s="174"/>
      <c r="C4389" s="11"/>
      <c r="D4389" s="175"/>
      <c r="E4389" s="176"/>
      <c r="F4389" s="177"/>
      <c r="G4389" s="178"/>
      <c r="H4389" s="177"/>
      <c r="I4389" s="177"/>
      <c r="J4389" s="179"/>
      <c r="K4389" s="183"/>
      <c r="L4389" s="176"/>
      <c r="M4389" s="177"/>
      <c r="N4389" s="21"/>
      <c r="O4389" s="45"/>
      <c r="P4389" s="24"/>
      <c r="Q4389" s="24"/>
      <c r="R4389" s="180"/>
      <c r="S4389" s="181"/>
      <c r="T4389" s="35"/>
      <c r="U4389" s="35"/>
      <c r="V4389" s="35"/>
      <c r="W4389" s="35"/>
      <c r="X4389" s="35"/>
      <c r="Y4389" s="182"/>
      <c r="Z4389" s="175"/>
      <c r="AA4389" s="182"/>
      <c r="AB4389" s="184"/>
    </row>
    <row r="4390" spans="1:28" ht="12.75">
      <c r="A4390" s="173"/>
      <c r="B4390" s="174"/>
      <c r="C4390" s="11"/>
      <c r="D4390" s="175"/>
      <c r="E4390" s="176"/>
      <c r="F4390" s="177"/>
      <c r="G4390" s="178"/>
      <c r="H4390" s="177"/>
      <c r="I4390" s="177"/>
      <c r="J4390" s="179"/>
      <c r="K4390" s="183"/>
      <c r="L4390" s="176"/>
      <c r="M4390" s="177"/>
      <c r="N4390" s="21"/>
      <c r="O4390" s="45"/>
      <c r="P4390" s="24"/>
      <c r="Q4390" s="24"/>
      <c r="R4390" s="180"/>
      <c r="S4390" s="181"/>
      <c r="T4390" s="35"/>
      <c r="U4390" s="35"/>
      <c r="V4390" s="35"/>
      <c r="W4390" s="35"/>
      <c r="X4390" s="35"/>
      <c r="Y4390" s="182"/>
      <c r="Z4390" s="175"/>
      <c r="AA4390" s="182"/>
      <c r="AB4390" s="184"/>
    </row>
    <row r="4391" spans="1:28" ht="12.75">
      <c r="A4391" s="173"/>
      <c r="B4391" s="174"/>
      <c r="C4391" s="11"/>
      <c r="D4391" s="175"/>
      <c r="E4391" s="176"/>
      <c r="F4391" s="177"/>
      <c r="G4391" s="178"/>
      <c r="H4391" s="177"/>
      <c r="I4391" s="177"/>
      <c r="J4391" s="179"/>
      <c r="K4391" s="183"/>
      <c r="L4391" s="176"/>
      <c r="M4391" s="177"/>
      <c r="N4391" s="21"/>
      <c r="O4391" s="45"/>
      <c r="P4391" s="24"/>
      <c r="Q4391" s="24"/>
      <c r="R4391" s="180"/>
      <c r="S4391" s="181"/>
      <c r="T4391" s="35"/>
      <c r="U4391" s="35"/>
      <c r="V4391" s="35"/>
      <c r="W4391" s="35"/>
      <c r="X4391" s="35"/>
      <c r="Y4391" s="182"/>
      <c r="Z4391" s="175"/>
      <c r="AA4391" s="182"/>
      <c r="AB4391" s="184"/>
    </row>
    <row r="4392" spans="1:28" ht="12.75">
      <c r="A4392" s="173"/>
      <c r="B4392" s="174"/>
      <c r="C4392" s="11"/>
      <c r="D4392" s="175"/>
      <c r="E4392" s="176"/>
      <c r="F4392" s="177"/>
      <c r="G4392" s="178"/>
      <c r="H4392" s="177"/>
      <c r="I4392" s="177"/>
      <c r="J4392" s="179"/>
      <c r="K4392" s="183"/>
      <c r="L4392" s="176"/>
      <c r="M4392" s="177"/>
      <c r="N4392" s="21"/>
      <c r="O4392" s="45"/>
      <c r="P4392" s="24"/>
      <c r="Q4392" s="24"/>
      <c r="R4392" s="180"/>
      <c r="S4392" s="181"/>
      <c r="T4392" s="35"/>
      <c r="U4392" s="35"/>
      <c r="V4392" s="35"/>
      <c r="W4392" s="35"/>
      <c r="X4392" s="35"/>
      <c r="Y4392" s="182"/>
      <c r="Z4392" s="175"/>
      <c r="AA4392" s="182"/>
      <c r="AB4392" s="184"/>
    </row>
    <row r="4393" spans="1:28" ht="12.75">
      <c r="A4393" s="173"/>
      <c r="B4393" s="174"/>
      <c r="C4393" s="11"/>
      <c r="D4393" s="175"/>
      <c r="E4393" s="176"/>
      <c r="F4393" s="177"/>
      <c r="G4393" s="178"/>
      <c r="H4393" s="177"/>
      <c r="I4393" s="177"/>
      <c r="J4393" s="179"/>
      <c r="K4393" s="183"/>
      <c r="L4393" s="176"/>
      <c r="M4393" s="177"/>
      <c r="N4393" s="21"/>
      <c r="O4393" s="45"/>
      <c r="P4393" s="24"/>
      <c r="Q4393" s="24"/>
      <c r="R4393" s="180"/>
      <c r="S4393" s="181"/>
      <c r="T4393" s="35"/>
      <c r="U4393" s="35"/>
      <c r="V4393" s="35"/>
      <c r="W4393" s="35"/>
      <c r="X4393" s="35"/>
      <c r="Y4393" s="182"/>
      <c r="Z4393" s="175"/>
      <c r="AA4393" s="182"/>
      <c r="AB4393" s="184"/>
    </row>
    <row r="4394" spans="1:28" ht="12.75">
      <c r="A4394" s="173"/>
      <c r="B4394" s="174"/>
      <c r="C4394" s="11"/>
      <c r="D4394" s="175"/>
      <c r="E4394" s="176"/>
      <c r="F4394" s="177"/>
      <c r="G4394" s="178"/>
      <c r="H4394" s="177"/>
      <c r="I4394" s="177"/>
      <c r="J4394" s="179"/>
      <c r="K4394" s="183"/>
      <c r="L4394" s="176"/>
      <c r="M4394" s="177"/>
      <c r="N4394" s="21"/>
      <c r="O4394" s="45"/>
      <c r="P4394" s="24"/>
      <c r="Q4394" s="24"/>
      <c r="R4394" s="180"/>
      <c r="S4394" s="181"/>
      <c r="T4394" s="35"/>
      <c r="U4394" s="35"/>
      <c r="V4394" s="35"/>
      <c r="W4394" s="35"/>
      <c r="X4394" s="35"/>
      <c r="Y4394" s="182"/>
      <c r="Z4394" s="175"/>
      <c r="AA4394" s="182"/>
      <c r="AB4394" s="184"/>
    </row>
    <row r="4395" spans="1:28" ht="12.75">
      <c r="A4395" s="173"/>
      <c r="B4395" s="174"/>
      <c r="C4395" s="11"/>
      <c r="D4395" s="175"/>
      <c r="E4395" s="176"/>
      <c r="F4395" s="177"/>
      <c r="G4395" s="178"/>
      <c r="H4395" s="177"/>
      <c r="I4395" s="177"/>
      <c r="J4395" s="179"/>
      <c r="K4395" s="183"/>
      <c r="L4395" s="176"/>
      <c r="M4395" s="177"/>
      <c r="N4395" s="21"/>
      <c r="O4395" s="45"/>
      <c r="P4395" s="24"/>
      <c r="Q4395" s="24"/>
      <c r="R4395" s="180"/>
      <c r="S4395" s="181"/>
      <c r="T4395" s="35"/>
      <c r="U4395" s="35"/>
      <c r="V4395" s="35"/>
      <c r="W4395" s="35"/>
      <c r="X4395" s="35"/>
      <c r="Y4395" s="182"/>
      <c r="Z4395" s="175"/>
      <c r="AA4395" s="182"/>
      <c r="AB4395" s="184"/>
    </row>
    <row r="4396" spans="1:28" ht="12.75">
      <c r="A4396" s="173"/>
      <c r="B4396" s="174"/>
      <c r="C4396" s="11"/>
      <c r="D4396" s="175"/>
      <c r="E4396" s="176"/>
      <c r="F4396" s="177"/>
      <c r="G4396" s="178"/>
      <c r="H4396" s="177"/>
      <c r="I4396" s="177"/>
      <c r="J4396" s="179"/>
      <c r="K4396" s="183"/>
      <c r="L4396" s="176"/>
      <c r="M4396" s="177"/>
      <c r="N4396" s="21"/>
      <c r="O4396" s="45"/>
      <c r="P4396" s="24"/>
      <c r="Q4396" s="24"/>
      <c r="R4396" s="180"/>
      <c r="S4396" s="181"/>
      <c r="T4396" s="35"/>
      <c r="U4396" s="35"/>
      <c r="V4396" s="35"/>
      <c r="W4396" s="35"/>
      <c r="X4396" s="35"/>
      <c r="Y4396" s="182"/>
      <c r="Z4396" s="175"/>
      <c r="AA4396" s="182"/>
      <c r="AB4396" s="184"/>
    </row>
    <row r="4397" spans="1:28" ht="12.75">
      <c r="A4397" s="173"/>
      <c r="B4397" s="174"/>
      <c r="C4397" s="11"/>
      <c r="D4397" s="175"/>
      <c r="E4397" s="176"/>
      <c r="F4397" s="177"/>
      <c r="G4397" s="178"/>
      <c r="H4397" s="177"/>
      <c r="I4397" s="177"/>
      <c r="J4397" s="179"/>
      <c r="K4397" s="183"/>
      <c r="L4397" s="176"/>
      <c r="M4397" s="177"/>
      <c r="N4397" s="21"/>
      <c r="O4397" s="45"/>
      <c r="P4397" s="24"/>
      <c r="Q4397" s="24"/>
      <c r="R4397" s="180"/>
      <c r="S4397" s="181"/>
      <c r="T4397" s="35"/>
      <c r="U4397" s="35"/>
      <c r="V4397" s="35"/>
      <c r="W4397" s="35"/>
      <c r="X4397" s="35"/>
      <c r="Y4397" s="182"/>
      <c r="Z4397" s="175"/>
      <c r="AA4397" s="182"/>
      <c r="AB4397" s="184"/>
    </row>
    <row r="4398" spans="1:28" ht="12.75">
      <c r="A4398" s="173"/>
      <c r="B4398" s="174"/>
      <c r="C4398" s="11"/>
      <c r="D4398" s="175"/>
      <c r="E4398" s="176"/>
      <c r="F4398" s="177"/>
      <c r="G4398" s="178"/>
      <c r="H4398" s="177"/>
      <c r="I4398" s="177"/>
      <c r="J4398" s="179"/>
      <c r="K4398" s="183"/>
      <c r="L4398" s="176"/>
      <c r="M4398" s="177"/>
      <c r="N4398" s="21"/>
      <c r="O4398" s="45"/>
      <c r="P4398" s="24"/>
      <c r="Q4398" s="24"/>
      <c r="R4398" s="180"/>
      <c r="S4398" s="181"/>
      <c r="T4398" s="35"/>
      <c r="U4398" s="35"/>
      <c r="V4398" s="35"/>
      <c r="W4398" s="35"/>
      <c r="X4398" s="35"/>
      <c r="Y4398" s="182"/>
      <c r="Z4398" s="175"/>
      <c r="AA4398" s="182"/>
      <c r="AB4398" s="184"/>
    </row>
    <row r="4399" spans="1:28" ht="12.75">
      <c r="A4399" s="173"/>
      <c r="B4399" s="174"/>
      <c r="C4399" s="11"/>
      <c r="D4399" s="175"/>
      <c r="E4399" s="176"/>
      <c r="F4399" s="177"/>
      <c r="G4399" s="178"/>
      <c r="H4399" s="177"/>
      <c r="I4399" s="177"/>
      <c r="J4399" s="179"/>
      <c r="K4399" s="183"/>
      <c r="L4399" s="176"/>
      <c r="M4399" s="177"/>
      <c r="N4399" s="21"/>
      <c r="O4399" s="45"/>
      <c r="P4399" s="24"/>
      <c r="Q4399" s="24"/>
      <c r="R4399" s="180"/>
      <c r="S4399" s="181"/>
      <c r="T4399" s="35"/>
      <c r="U4399" s="35"/>
      <c r="V4399" s="35"/>
      <c r="W4399" s="35"/>
      <c r="X4399" s="35"/>
      <c r="Y4399" s="182"/>
      <c r="Z4399" s="175"/>
      <c r="AA4399" s="182"/>
      <c r="AB4399" s="184"/>
    </row>
    <row r="4400" spans="1:28" ht="12.75">
      <c r="A4400" s="173"/>
      <c r="B4400" s="174"/>
      <c r="C4400" s="11"/>
      <c r="D4400" s="175"/>
      <c r="E4400" s="176"/>
      <c r="F4400" s="177"/>
      <c r="G4400" s="178"/>
      <c r="H4400" s="177"/>
      <c r="I4400" s="177"/>
      <c r="J4400" s="179"/>
      <c r="K4400" s="183"/>
      <c r="L4400" s="176"/>
      <c r="M4400" s="177"/>
      <c r="N4400" s="21"/>
      <c r="O4400" s="45"/>
      <c r="P4400" s="24"/>
      <c r="Q4400" s="24"/>
      <c r="R4400" s="180"/>
      <c r="S4400" s="181"/>
      <c r="T4400" s="35"/>
      <c r="U4400" s="35"/>
      <c r="V4400" s="35"/>
      <c r="W4400" s="35"/>
      <c r="X4400" s="35"/>
      <c r="Y4400" s="182"/>
      <c r="Z4400" s="175"/>
      <c r="AA4400" s="182"/>
      <c r="AB4400" s="184"/>
    </row>
    <row r="4401" spans="1:28" ht="12.75">
      <c r="A4401" s="173"/>
      <c r="B4401" s="174"/>
      <c r="C4401" s="11"/>
      <c r="D4401" s="175"/>
      <c r="E4401" s="176"/>
      <c r="F4401" s="177"/>
      <c r="G4401" s="178"/>
      <c r="H4401" s="177"/>
      <c r="I4401" s="177"/>
      <c r="J4401" s="179"/>
      <c r="K4401" s="183"/>
      <c r="L4401" s="176"/>
      <c r="M4401" s="177"/>
      <c r="N4401" s="21"/>
      <c r="O4401" s="45"/>
      <c r="P4401" s="24"/>
      <c r="Q4401" s="24"/>
      <c r="R4401" s="180"/>
      <c r="S4401" s="181"/>
      <c r="T4401" s="35"/>
      <c r="U4401" s="35"/>
      <c r="V4401" s="35"/>
      <c r="W4401" s="35"/>
      <c r="X4401" s="35"/>
      <c r="Y4401" s="182"/>
      <c r="Z4401" s="175"/>
      <c r="AA4401" s="182"/>
      <c r="AB4401" s="184"/>
    </row>
    <row r="4402" spans="1:28" ht="12.75">
      <c r="A4402" s="173"/>
      <c r="B4402" s="174"/>
      <c r="C4402" s="11"/>
      <c r="D4402" s="175"/>
      <c r="E4402" s="176"/>
      <c r="F4402" s="177"/>
      <c r="G4402" s="178"/>
      <c r="H4402" s="177"/>
      <c r="I4402" s="177"/>
      <c r="J4402" s="179"/>
      <c r="K4402" s="183"/>
      <c r="L4402" s="176"/>
      <c r="M4402" s="177"/>
      <c r="N4402" s="21"/>
      <c r="O4402" s="45"/>
      <c r="P4402" s="24"/>
      <c r="Q4402" s="24"/>
      <c r="R4402" s="180"/>
      <c r="S4402" s="181"/>
      <c r="T4402" s="35"/>
      <c r="U4402" s="35"/>
      <c r="V4402" s="35"/>
      <c r="W4402" s="35"/>
      <c r="X4402" s="35"/>
      <c r="Y4402" s="182"/>
      <c r="Z4402" s="175"/>
      <c r="AA4402" s="182"/>
      <c r="AB4402" s="184"/>
    </row>
    <row r="4403" spans="1:28" ht="12.75">
      <c r="A4403" s="173"/>
      <c r="B4403" s="174"/>
      <c r="C4403" s="11"/>
      <c r="D4403" s="175"/>
      <c r="E4403" s="176"/>
      <c r="F4403" s="177"/>
      <c r="G4403" s="178"/>
      <c r="H4403" s="177"/>
      <c r="I4403" s="177"/>
      <c r="J4403" s="179"/>
      <c r="K4403" s="183"/>
      <c r="L4403" s="176"/>
      <c r="M4403" s="177"/>
      <c r="N4403" s="21"/>
      <c r="O4403" s="45"/>
      <c r="P4403" s="24"/>
      <c r="Q4403" s="24"/>
      <c r="R4403" s="180"/>
      <c r="S4403" s="181"/>
      <c r="T4403" s="35"/>
      <c r="U4403" s="35"/>
      <c r="V4403" s="35"/>
      <c r="W4403" s="35"/>
      <c r="X4403" s="35"/>
      <c r="Y4403" s="182"/>
      <c r="Z4403" s="175"/>
      <c r="AA4403" s="182"/>
      <c r="AB4403" s="184"/>
    </row>
    <row r="4404" spans="1:28" ht="12.75">
      <c r="A4404" s="173"/>
      <c r="B4404" s="174"/>
      <c r="C4404" s="11"/>
      <c r="D4404" s="175"/>
      <c r="E4404" s="176"/>
      <c r="F4404" s="177"/>
      <c r="G4404" s="178"/>
      <c r="H4404" s="177"/>
      <c r="I4404" s="177"/>
      <c r="J4404" s="179"/>
      <c r="K4404" s="183"/>
      <c r="L4404" s="176"/>
      <c r="M4404" s="177"/>
      <c r="N4404" s="21"/>
      <c r="O4404" s="45"/>
      <c r="P4404" s="24"/>
      <c r="Q4404" s="24"/>
      <c r="R4404" s="180"/>
      <c r="S4404" s="181"/>
      <c r="T4404" s="35"/>
      <c r="U4404" s="35"/>
      <c r="V4404" s="35"/>
      <c r="W4404" s="35"/>
      <c r="X4404" s="35"/>
      <c r="Y4404" s="182"/>
      <c r="Z4404" s="175"/>
      <c r="AA4404" s="182"/>
      <c r="AB4404" s="184"/>
    </row>
    <row r="4405" spans="1:28" ht="12.75">
      <c r="A4405" s="173"/>
      <c r="B4405" s="174"/>
      <c r="C4405" s="11"/>
      <c r="D4405" s="175"/>
      <c r="E4405" s="176"/>
      <c r="F4405" s="177"/>
      <c r="G4405" s="178"/>
      <c r="H4405" s="177"/>
      <c r="I4405" s="177"/>
      <c r="J4405" s="179"/>
      <c r="K4405" s="183"/>
      <c r="L4405" s="176"/>
      <c r="M4405" s="177"/>
      <c r="N4405" s="21"/>
      <c r="O4405" s="45"/>
      <c r="P4405" s="24"/>
      <c r="Q4405" s="24"/>
      <c r="R4405" s="180"/>
      <c r="S4405" s="181"/>
      <c r="T4405" s="35"/>
      <c r="U4405" s="35"/>
      <c r="V4405" s="35"/>
      <c r="W4405" s="35"/>
      <c r="X4405" s="35"/>
      <c r="Y4405" s="182"/>
      <c r="Z4405" s="175"/>
      <c r="AA4405" s="182"/>
      <c r="AB4405" s="184"/>
    </row>
    <row r="4406" spans="1:28" ht="12.75">
      <c r="A4406" s="173"/>
      <c r="B4406" s="174"/>
      <c r="C4406" s="11"/>
      <c r="D4406" s="175"/>
      <c r="E4406" s="176"/>
      <c r="F4406" s="177"/>
      <c r="G4406" s="178"/>
      <c r="H4406" s="177"/>
      <c r="I4406" s="177"/>
      <c r="J4406" s="179"/>
      <c r="K4406" s="183"/>
      <c r="L4406" s="176"/>
      <c r="M4406" s="177"/>
      <c r="N4406" s="21"/>
      <c r="O4406" s="45"/>
      <c r="P4406" s="24"/>
      <c r="Q4406" s="24"/>
      <c r="R4406" s="180"/>
      <c r="S4406" s="181"/>
      <c r="T4406" s="35"/>
      <c r="U4406" s="35"/>
      <c r="V4406" s="35"/>
      <c r="W4406" s="35"/>
      <c r="X4406" s="35"/>
      <c r="Y4406" s="182"/>
      <c r="Z4406" s="175"/>
      <c r="AA4406" s="182"/>
      <c r="AB4406" s="184"/>
    </row>
    <row r="4407" spans="1:28" ht="12.75">
      <c r="A4407" s="173"/>
      <c r="B4407" s="174"/>
      <c r="C4407" s="11"/>
      <c r="D4407" s="175"/>
      <c r="E4407" s="176"/>
      <c r="F4407" s="177"/>
      <c r="G4407" s="178"/>
      <c r="H4407" s="177"/>
      <c r="I4407" s="177"/>
      <c r="J4407" s="179"/>
      <c r="K4407" s="183"/>
      <c r="L4407" s="176"/>
      <c r="M4407" s="177"/>
      <c r="N4407" s="21"/>
      <c r="O4407" s="45"/>
      <c r="P4407" s="24"/>
      <c r="Q4407" s="24"/>
      <c r="R4407" s="180"/>
      <c r="S4407" s="181"/>
      <c r="T4407" s="35"/>
      <c r="U4407" s="35"/>
      <c r="V4407" s="35"/>
      <c r="W4407" s="35"/>
      <c r="X4407" s="35"/>
      <c r="Y4407" s="182"/>
      <c r="Z4407" s="175"/>
      <c r="AA4407" s="182"/>
      <c r="AB4407" s="184"/>
    </row>
    <row r="4408" spans="1:28" ht="12.75">
      <c r="A4408" s="173"/>
      <c r="B4408" s="174"/>
      <c r="C4408" s="11"/>
      <c r="D4408" s="175"/>
      <c r="E4408" s="176"/>
      <c r="F4408" s="177"/>
      <c r="G4408" s="178"/>
      <c r="H4408" s="177"/>
      <c r="I4408" s="177"/>
      <c r="J4408" s="179"/>
      <c r="K4408" s="183"/>
      <c r="L4408" s="176"/>
      <c r="M4408" s="177"/>
      <c r="N4408" s="21"/>
      <c r="O4408" s="45"/>
      <c r="P4408" s="24"/>
      <c r="Q4408" s="24"/>
      <c r="R4408" s="180"/>
      <c r="S4408" s="181"/>
      <c r="T4408" s="35"/>
      <c r="U4408" s="35"/>
      <c r="V4408" s="35"/>
      <c r="W4408" s="35"/>
      <c r="X4408" s="35"/>
      <c r="Y4408" s="182"/>
      <c r="Z4408" s="175"/>
      <c r="AA4408" s="182"/>
      <c r="AB4408" s="184"/>
    </row>
    <row r="4409" spans="1:28" ht="12.75">
      <c r="A4409" s="173"/>
      <c r="B4409" s="174"/>
      <c r="C4409" s="11"/>
      <c r="D4409" s="175"/>
      <c r="E4409" s="176"/>
      <c r="F4409" s="177"/>
      <c r="G4409" s="178"/>
      <c r="H4409" s="177"/>
      <c r="I4409" s="177"/>
      <c r="J4409" s="179"/>
      <c r="K4409" s="183"/>
      <c r="L4409" s="176"/>
      <c r="M4409" s="177"/>
      <c r="N4409" s="21"/>
      <c r="O4409" s="45"/>
      <c r="P4409" s="24"/>
      <c r="Q4409" s="24"/>
      <c r="R4409" s="180"/>
      <c r="S4409" s="181"/>
      <c r="T4409" s="35"/>
      <c r="U4409" s="35"/>
      <c r="V4409" s="35"/>
      <c r="W4409" s="35"/>
      <c r="X4409" s="35"/>
      <c r="Y4409" s="182"/>
      <c r="Z4409" s="175"/>
      <c r="AA4409" s="182"/>
      <c r="AB4409" s="184"/>
    </row>
    <row r="4410" spans="1:28" ht="12.75">
      <c r="A4410" s="173"/>
      <c r="B4410" s="174"/>
      <c r="C4410" s="11"/>
      <c r="D4410" s="175"/>
      <c r="E4410" s="176"/>
      <c r="F4410" s="177"/>
      <c r="G4410" s="178"/>
      <c r="H4410" s="177"/>
      <c r="I4410" s="177"/>
      <c r="J4410" s="179"/>
      <c r="K4410" s="183"/>
      <c r="L4410" s="176"/>
      <c r="M4410" s="177"/>
      <c r="N4410" s="21"/>
      <c r="O4410" s="45"/>
      <c r="P4410" s="24"/>
      <c r="Q4410" s="24"/>
      <c r="R4410" s="180"/>
      <c r="S4410" s="181"/>
      <c r="T4410" s="35"/>
      <c r="U4410" s="35"/>
      <c r="V4410" s="35"/>
      <c r="W4410" s="35"/>
      <c r="X4410" s="35"/>
      <c r="Y4410" s="182"/>
      <c r="Z4410" s="175"/>
      <c r="AA4410" s="182"/>
      <c r="AB4410" s="184"/>
    </row>
    <row r="4411" spans="1:28" ht="12.75">
      <c r="A4411" s="173"/>
      <c r="B4411" s="174"/>
      <c r="C4411" s="11"/>
      <c r="D4411" s="175"/>
      <c r="E4411" s="176"/>
      <c r="F4411" s="177"/>
      <c r="G4411" s="178"/>
      <c r="H4411" s="177"/>
      <c r="I4411" s="177"/>
      <c r="J4411" s="179"/>
      <c r="K4411" s="183"/>
      <c r="L4411" s="176"/>
      <c r="M4411" s="177"/>
      <c r="N4411" s="21"/>
      <c r="O4411" s="45"/>
      <c r="P4411" s="24"/>
      <c r="Q4411" s="24"/>
      <c r="R4411" s="180"/>
      <c r="S4411" s="181"/>
      <c r="T4411" s="35"/>
      <c r="U4411" s="35"/>
      <c r="V4411" s="35"/>
      <c r="W4411" s="35"/>
      <c r="X4411" s="35"/>
      <c r="Y4411" s="182"/>
      <c r="Z4411" s="175"/>
      <c r="AA4411" s="182"/>
      <c r="AB4411" s="184"/>
    </row>
    <row r="4412" spans="1:28" ht="12.75">
      <c r="A4412" s="173"/>
      <c r="B4412" s="174"/>
      <c r="C4412" s="11"/>
      <c r="D4412" s="175"/>
      <c r="E4412" s="176"/>
      <c r="F4412" s="177"/>
      <c r="G4412" s="178"/>
      <c r="H4412" s="177"/>
      <c r="I4412" s="177"/>
      <c r="J4412" s="179"/>
      <c r="K4412" s="183"/>
      <c r="L4412" s="176"/>
      <c r="M4412" s="177"/>
      <c r="N4412" s="21"/>
      <c r="O4412" s="45"/>
      <c r="P4412" s="24"/>
      <c r="Q4412" s="24"/>
      <c r="R4412" s="180"/>
      <c r="S4412" s="181"/>
      <c r="T4412" s="35"/>
      <c r="U4412" s="35"/>
      <c r="V4412" s="35"/>
      <c r="W4412" s="35"/>
      <c r="X4412" s="35"/>
      <c r="Y4412" s="182"/>
      <c r="Z4412" s="175"/>
      <c r="AA4412" s="182"/>
      <c r="AB4412" s="184"/>
    </row>
    <row r="4413" spans="1:28" ht="12.75">
      <c r="A4413" s="173"/>
      <c r="B4413" s="174"/>
      <c r="C4413" s="11"/>
      <c r="D4413" s="175"/>
      <c r="E4413" s="176"/>
      <c r="F4413" s="177"/>
      <c r="G4413" s="178"/>
      <c r="H4413" s="177"/>
      <c r="I4413" s="177"/>
      <c r="J4413" s="179"/>
      <c r="K4413" s="183"/>
      <c r="L4413" s="176"/>
      <c r="M4413" s="177"/>
      <c r="N4413" s="21"/>
      <c r="O4413" s="45"/>
      <c r="P4413" s="24"/>
      <c r="Q4413" s="24"/>
      <c r="R4413" s="180"/>
      <c r="S4413" s="181"/>
      <c r="T4413" s="35"/>
      <c r="U4413" s="35"/>
      <c r="V4413" s="35"/>
      <c r="W4413" s="35"/>
      <c r="X4413" s="35"/>
      <c r="Y4413" s="182"/>
      <c r="Z4413" s="175"/>
      <c r="AA4413" s="182"/>
      <c r="AB4413" s="184"/>
    </row>
    <row r="4414" spans="1:28" ht="12.75">
      <c r="A4414" s="173"/>
      <c r="B4414" s="174"/>
      <c r="C4414" s="11"/>
      <c r="D4414" s="175"/>
      <c r="E4414" s="176"/>
      <c r="F4414" s="177"/>
      <c r="G4414" s="178"/>
      <c r="H4414" s="177"/>
      <c r="I4414" s="177"/>
      <c r="J4414" s="179"/>
      <c r="K4414" s="183"/>
      <c r="L4414" s="176"/>
      <c r="M4414" s="177"/>
      <c r="N4414" s="21"/>
      <c r="O4414" s="45"/>
      <c r="P4414" s="24"/>
      <c r="Q4414" s="24"/>
      <c r="R4414" s="180"/>
      <c r="S4414" s="181"/>
      <c r="T4414" s="35"/>
      <c r="U4414" s="35"/>
      <c r="V4414" s="35"/>
      <c r="W4414" s="35"/>
      <c r="X4414" s="35"/>
      <c r="Y4414" s="182"/>
      <c r="Z4414" s="175"/>
      <c r="AA4414" s="182"/>
      <c r="AB4414" s="184"/>
    </row>
    <row r="4415" spans="1:28" ht="12.75">
      <c r="A4415" s="173"/>
      <c r="B4415" s="174"/>
      <c r="C4415" s="11"/>
      <c r="D4415" s="175"/>
      <c r="E4415" s="176"/>
      <c r="F4415" s="177"/>
      <c r="G4415" s="178"/>
      <c r="H4415" s="177"/>
      <c r="I4415" s="177"/>
      <c r="J4415" s="179"/>
      <c r="K4415" s="183"/>
      <c r="L4415" s="176"/>
      <c r="M4415" s="177"/>
      <c r="N4415" s="21"/>
      <c r="O4415" s="45"/>
      <c r="P4415" s="24"/>
      <c r="Q4415" s="24"/>
      <c r="R4415" s="180"/>
      <c r="S4415" s="181"/>
      <c r="T4415" s="35"/>
      <c r="U4415" s="35"/>
      <c r="V4415" s="35"/>
      <c r="W4415" s="35"/>
      <c r="X4415" s="35"/>
      <c r="Y4415" s="182"/>
      <c r="Z4415" s="175"/>
      <c r="AA4415" s="182"/>
      <c r="AB4415" s="184"/>
    </row>
    <row r="4416" spans="1:28" ht="12.75">
      <c r="A4416" s="173"/>
      <c r="B4416" s="174"/>
      <c r="C4416" s="11"/>
      <c r="D4416" s="175"/>
      <c r="E4416" s="176"/>
      <c r="F4416" s="177"/>
      <c r="G4416" s="178"/>
      <c r="H4416" s="177"/>
      <c r="I4416" s="177"/>
      <c r="J4416" s="179"/>
      <c r="K4416" s="183"/>
      <c r="L4416" s="176"/>
      <c r="M4416" s="177"/>
      <c r="N4416" s="21"/>
      <c r="O4416" s="45"/>
      <c r="P4416" s="24"/>
      <c r="Q4416" s="24"/>
      <c r="R4416" s="180"/>
      <c r="S4416" s="181"/>
      <c r="T4416" s="35"/>
      <c r="U4416" s="35"/>
      <c r="V4416" s="35"/>
      <c r="W4416" s="35"/>
      <c r="X4416" s="35"/>
      <c r="Y4416" s="182"/>
      <c r="Z4416" s="175"/>
      <c r="AA4416" s="182"/>
      <c r="AB4416" s="184"/>
    </row>
    <row r="4417" spans="1:28" ht="12.75">
      <c r="A4417" s="173"/>
      <c r="B4417" s="174"/>
      <c r="C4417" s="11"/>
      <c r="D4417" s="175"/>
      <c r="E4417" s="176"/>
      <c r="F4417" s="177"/>
      <c r="G4417" s="178"/>
      <c r="H4417" s="177"/>
      <c r="I4417" s="177"/>
      <c r="J4417" s="179"/>
      <c r="K4417" s="183"/>
      <c r="L4417" s="176"/>
      <c r="M4417" s="177"/>
      <c r="N4417" s="21"/>
      <c r="O4417" s="45"/>
      <c r="P4417" s="24"/>
      <c r="Q4417" s="24"/>
      <c r="R4417" s="180"/>
      <c r="S4417" s="181"/>
      <c r="T4417" s="35"/>
      <c r="U4417" s="35"/>
      <c r="V4417" s="35"/>
      <c r="W4417" s="35"/>
      <c r="X4417" s="35"/>
      <c r="Y4417" s="182"/>
      <c r="Z4417" s="175"/>
      <c r="AA4417" s="182"/>
      <c r="AB4417" s="184"/>
    </row>
    <row r="4418" spans="1:28" ht="12.75">
      <c r="A4418" s="173"/>
      <c r="B4418" s="174"/>
      <c r="C4418" s="11"/>
      <c r="D4418" s="175"/>
      <c r="E4418" s="176"/>
      <c r="F4418" s="177"/>
      <c r="G4418" s="178"/>
      <c r="H4418" s="177"/>
      <c r="I4418" s="177"/>
      <c r="J4418" s="179"/>
      <c r="K4418" s="183"/>
      <c r="L4418" s="176"/>
      <c r="M4418" s="177"/>
      <c r="N4418" s="21"/>
      <c r="O4418" s="45"/>
      <c r="P4418" s="24"/>
      <c r="Q4418" s="24"/>
      <c r="R4418" s="180"/>
      <c r="S4418" s="181"/>
      <c r="T4418" s="35"/>
      <c r="U4418" s="35"/>
      <c r="V4418" s="35"/>
      <c r="W4418" s="35"/>
      <c r="X4418" s="35"/>
      <c r="Y4418" s="182"/>
      <c r="Z4418" s="175"/>
      <c r="AA4418" s="182"/>
      <c r="AB4418" s="184"/>
    </row>
    <row r="4419" spans="1:28" ht="12.75">
      <c r="A4419" s="173"/>
      <c r="B4419" s="174"/>
      <c r="C4419" s="11"/>
      <c r="D4419" s="175"/>
      <c r="E4419" s="176"/>
      <c r="F4419" s="177"/>
      <c r="G4419" s="178"/>
      <c r="H4419" s="177"/>
      <c r="I4419" s="177"/>
      <c r="J4419" s="179"/>
      <c r="K4419" s="183"/>
      <c r="L4419" s="176"/>
      <c r="M4419" s="177"/>
      <c r="N4419" s="21"/>
      <c r="O4419" s="45"/>
      <c r="P4419" s="24"/>
      <c r="Q4419" s="24"/>
      <c r="R4419" s="180"/>
      <c r="S4419" s="181"/>
      <c r="T4419" s="35"/>
      <c r="U4419" s="35"/>
      <c r="V4419" s="35"/>
      <c r="W4419" s="35"/>
      <c r="X4419" s="35"/>
      <c r="Y4419" s="182"/>
      <c r="Z4419" s="175"/>
      <c r="AA4419" s="182"/>
      <c r="AB4419" s="184"/>
    </row>
    <row r="4420" spans="1:28" ht="12.75">
      <c r="A4420" s="173"/>
      <c r="B4420" s="174"/>
      <c r="C4420" s="11"/>
      <c r="D4420" s="175"/>
      <c r="E4420" s="176"/>
      <c r="F4420" s="177"/>
      <c r="G4420" s="178"/>
      <c r="H4420" s="177"/>
      <c r="I4420" s="177"/>
      <c r="J4420" s="179"/>
      <c r="K4420" s="183"/>
      <c r="L4420" s="176"/>
      <c r="M4420" s="177"/>
      <c r="N4420" s="21"/>
      <c r="O4420" s="45"/>
      <c r="P4420" s="24"/>
      <c r="Q4420" s="24"/>
      <c r="R4420" s="180"/>
      <c r="S4420" s="181"/>
      <c r="T4420" s="35"/>
      <c r="U4420" s="35"/>
      <c r="V4420" s="35"/>
      <c r="W4420" s="35"/>
      <c r="X4420" s="35"/>
      <c r="Y4420" s="182"/>
      <c r="Z4420" s="175"/>
      <c r="AA4420" s="182"/>
      <c r="AB4420" s="184"/>
    </row>
    <row r="4421" spans="1:28" ht="12.75">
      <c r="A4421" s="173"/>
      <c r="B4421" s="174"/>
      <c r="C4421" s="11"/>
      <c r="D4421" s="175"/>
      <c r="E4421" s="176"/>
      <c r="F4421" s="177"/>
      <c r="G4421" s="178"/>
      <c r="H4421" s="177"/>
      <c r="I4421" s="177"/>
      <c r="J4421" s="179"/>
      <c r="K4421" s="183"/>
      <c r="L4421" s="176"/>
      <c r="M4421" s="177"/>
      <c r="N4421" s="21"/>
      <c r="O4421" s="45"/>
      <c r="P4421" s="24"/>
      <c r="Q4421" s="24"/>
      <c r="R4421" s="180"/>
      <c r="S4421" s="181"/>
      <c r="T4421" s="35"/>
      <c r="U4421" s="35"/>
      <c r="V4421" s="35"/>
      <c r="W4421" s="35"/>
      <c r="X4421" s="35"/>
      <c r="Y4421" s="182"/>
      <c r="Z4421" s="175"/>
      <c r="AA4421" s="182"/>
      <c r="AB4421" s="184"/>
    </row>
    <row r="4422" spans="1:28" ht="12.75">
      <c r="A4422" s="173"/>
      <c r="B4422" s="174"/>
      <c r="C4422" s="11"/>
      <c r="D4422" s="175"/>
      <c r="E4422" s="176"/>
      <c r="F4422" s="177"/>
      <c r="G4422" s="178"/>
      <c r="H4422" s="177"/>
      <c r="I4422" s="177"/>
      <c r="J4422" s="179"/>
      <c r="K4422" s="183"/>
      <c r="L4422" s="176"/>
      <c r="M4422" s="177"/>
      <c r="N4422" s="21"/>
      <c r="O4422" s="45"/>
      <c r="P4422" s="24"/>
      <c r="Q4422" s="24"/>
      <c r="R4422" s="180"/>
      <c r="S4422" s="181"/>
      <c r="T4422" s="35"/>
      <c r="U4422" s="35"/>
      <c r="V4422" s="35"/>
      <c r="W4422" s="35"/>
      <c r="X4422" s="35"/>
      <c r="Y4422" s="182"/>
      <c r="Z4422" s="175"/>
      <c r="AA4422" s="182"/>
      <c r="AB4422" s="184"/>
    </row>
    <row r="4423" spans="1:28" ht="12.75">
      <c r="A4423" s="173"/>
      <c r="B4423" s="174"/>
      <c r="C4423" s="11"/>
      <c r="D4423" s="175"/>
      <c r="E4423" s="176"/>
      <c r="F4423" s="177"/>
      <c r="G4423" s="178"/>
      <c r="H4423" s="177"/>
      <c r="I4423" s="177"/>
      <c r="J4423" s="179"/>
      <c r="K4423" s="183"/>
      <c r="L4423" s="176"/>
      <c r="M4423" s="177"/>
      <c r="N4423" s="21"/>
      <c r="O4423" s="45"/>
      <c r="P4423" s="24"/>
      <c r="Q4423" s="24"/>
      <c r="R4423" s="180"/>
      <c r="S4423" s="181"/>
      <c r="T4423" s="35"/>
      <c r="U4423" s="35"/>
      <c r="V4423" s="35"/>
      <c r="W4423" s="35"/>
      <c r="X4423" s="35"/>
      <c r="Y4423" s="182"/>
      <c r="Z4423" s="175"/>
      <c r="AA4423" s="182"/>
      <c r="AB4423" s="184"/>
    </row>
    <row r="4424" spans="1:28" ht="12.75">
      <c r="A4424" s="173"/>
      <c r="B4424" s="174"/>
      <c r="C4424" s="11"/>
      <c r="D4424" s="175"/>
      <c r="E4424" s="176"/>
      <c r="F4424" s="177"/>
      <c r="G4424" s="178"/>
      <c r="H4424" s="177"/>
      <c r="I4424" s="177"/>
      <c r="J4424" s="179"/>
      <c r="K4424" s="183"/>
      <c r="L4424" s="176"/>
      <c r="M4424" s="177"/>
      <c r="N4424" s="21"/>
      <c r="O4424" s="45"/>
      <c r="P4424" s="24"/>
      <c r="Q4424" s="24"/>
      <c r="R4424" s="180"/>
      <c r="S4424" s="181"/>
      <c r="T4424" s="35"/>
      <c r="U4424" s="35"/>
      <c r="V4424" s="35"/>
      <c r="W4424" s="35"/>
      <c r="X4424" s="35"/>
      <c r="Y4424" s="182"/>
      <c r="Z4424" s="175"/>
      <c r="AA4424" s="182"/>
      <c r="AB4424" s="184"/>
    </row>
    <row r="4425" spans="1:28" ht="12.75">
      <c r="A4425" s="173"/>
      <c r="B4425" s="174"/>
      <c r="C4425" s="11"/>
      <c r="D4425" s="175"/>
      <c r="E4425" s="176"/>
      <c r="F4425" s="177"/>
      <c r="G4425" s="178"/>
      <c r="H4425" s="177"/>
      <c r="I4425" s="177"/>
      <c r="J4425" s="179"/>
      <c r="K4425" s="183"/>
      <c r="L4425" s="176"/>
      <c r="M4425" s="177"/>
      <c r="N4425" s="21"/>
      <c r="O4425" s="45"/>
      <c r="P4425" s="24"/>
      <c r="Q4425" s="24"/>
      <c r="R4425" s="180"/>
      <c r="S4425" s="181"/>
      <c r="T4425" s="35"/>
      <c r="U4425" s="35"/>
      <c r="V4425" s="35"/>
      <c r="W4425" s="35"/>
      <c r="X4425" s="35"/>
      <c r="Y4425" s="182"/>
      <c r="Z4425" s="175"/>
      <c r="AA4425" s="182"/>
      <c r="AB4425" s="184"/>
    </row>
    <row r="4426" spans="1:28" ht="12.75">
      <c r="A4426" s="173"/>
      <c r="B4426" s="174"/>
      <c r="C4426" s="11"/>
      <c r="D4426" s="175"/>
      <c r="E4426" s="176"/>
      <c r="F4426" s="177"/>
      <c r="G4426" s="178"/>
      <c r="H4426" s="177"/>
      <c r="I4426" s="177"/>
      <c r="J4426" s="179"/>
      <c r="K4426" s="183"/>
      <c r="L4426" s="176"/>
      <c r="M4426" s="177"/>
      <c r="N4426" s="21"/>
      <c r="O4426" s="45"/>
      <c r="P4426" s="24"/>
      <c r="Q4426" s="24"/>
      <c r="R4426" s="180"/>
      <c r="S4426" s="181"/>
      <c r="T4426" s="35"/>
      <c r="U4426" s="35"/>
      <c r="V4426" s="35"/>
      <c r="W4426" s="35"/>
      <c r="X4426" s="35"/>
      <c r="Y4426" s="182"/>
      <c r="Z4426" s="175"/>
      <c r="AA4426" s="182"/>
      <c r="AB4426" s="184"/>
    </row>
    <row r="4427" spans="1:28" ht="12.75">
      <c r="A4427" s="173"/>
      <c r="B4427" s="174"/>
      <c r="C4427" s="11"/>
      <c r="D4427" s="175"/>
      <c r="E4427" s="176"/>
      <c r="F4427" s="177"/>
      <c r="G4427" s="178"/>
      <c r="H4427" s="177"/>
      <c r="I4427" s="177"/>
      <c r="J4427" s="179"/>
      <c r="K4427" s="183"/>
      <c r="L4427" s="176"/>
      <c r="M4427" s="177"/>
      <c r="N4427" s="21"/>
      <c r="O4427" s="45"/>
      <c r="P4427" s="24"/>
      <c r="Q4427" s="24"/>
      <c r="R4427" s="180"/>
      <c r="S4427" s="181"/>
      <c r="T4427" s="35"/>
      <c r="U4427" s="35"/>
      <c r="V4427" s="35"/>
      <c r="W4427" s="35"/>
      <c r="X4427" s="35"/>
      <c r="Y4427" s="182"/>
      <c r="Z4427" s="175"/>
      <c r="AA4427" s="182"/>
      <c r="AB4427" s="184"/>
    </row>
    <row r="4428" spans="1:28" ht="12.75">
      <c r="A4428" s="173"/>
      <c r="B4428" s="174"/>
      <c r="C4428" s="11"/>
      <c r="D4428" s="175"/>
      <c r="E4428" s="176"/>
      <c r="F4428" s="177"/>
      <c r="G4428" s="178"/>
      <c r="H4428" s="177"/>
      <c r="I4428" s="177"/>
      <c r="J4428" s="179"/>
      <c r="K4428" s="183"/>
      <c r="L4428" s="176"/>
      <c r="M4428" s="177"/>
      <c r="N4428" s="21"/>
      <c r="O4428" s="45"/>
      <c r="P4428" s="24"/>
      <c r="Q4428" s="24"/>
      <c r="R4428" s="180"/>
      <c r="S4428" s="181"/>
      <c r="T4428" s="35"/>
      <c r="U4428" s="35"/>
      <c r="V4428" s="35"/>
      <c r="W4428" s="35"/>
      <c r="X4428" s="35"/>
      <c r="Y4428" s="182"/>
      <c r="Z4428" s="175"/>
      <c r="AA4428" s="182"/>
      <c r="AB4428" s="184"/>
    </row>
    <row r="4429" spans="1:28" ht="12.75">
      <c r="A4429" s="173"/>
      <c r="B4429" s="174"/>
      <c r="C4429" s="11"/>
      <c r="D4429" s="175"/>
      <c r="E4429" s="176"/>
      <c r="F4429" s="177"/>
      <c r="G4429" s="178"/>
      <c r="H4429" s="177"/>
      <c r="I4429" s="177"/>
      <c r="J4429" s="179"/>
      <c r="K4429" s="183"/>
      <c r="L4429" s="176"/>
      <c r="M4429" s="177"/>
      <c r="N4429" s="21"/>
      <c r="O4429" s="45"/>
      <c r="P4429" s="24"/>
      <c r="Q4429" s="24"/>
      <c r="R4429" s="180"/>
      <c r="S4429" s="181"/>
      <c r="T4429" s="35"/>
      <c r="U4429" s="35"/>
      <c r="V4429" s="35"/>
      <c r="W4429" s="35"/>
      <c r="X4429" s="35"/>
      <c r="Y4429" s="182"/>
      <c r="Z4429" s="175"/>
      <c r="AA4429" s="182"/>
      <c r="AB4429" s="184"/>
    </row>
    <row r="4430" spans="1:28" ht="12.75">
      <c r="A4430" s="173"/>
      <c r="B4430" s="174"/>
      <c r="C4430" s="11"/>
      <c r="D4430" s="175"/>
      <c r="E4430" s="176"/>
      <c r="F4430" s="177"/>
      <c r="G4430" s="178"/>
      <c r="H4430" s="177"/>
      <c r="I4430" s="177"/>
      <c r="J4430" s="179"/>
      <c r="K4430" s="183"/>
      <c r="L4430" s="176"/>
      <c r="M4430" s="177"/>
      <c r="N4430" s="21"/>
      <c r="O4430" s="45"/>
      <c r="P4430" s="24"/>
      <c r="Q4430" s="24"/>
      <c r="R4430" s="180"/>
      <c r="S4430" s="181"/>
      <c r="T4430" s="35"/>
      <c r="U4430" s="35"/>
      <c r="V4430" s="35"/>
      <c r="W4430" s="35"/>
      <c r="X4430" s="35"/>
      <c r="Y4430" s="182"/>
      <c r="Z4430" s="175"/>
      <c r="AA4430" s="182"/>
      <c r="AB4430" s="184"/>
    </row>
    <row r="4431" spans="1:28" ht="12.75">
      <c r="A4431" s="173"/>
      <c r="B4431" s="174"/>
      <c r="C4431" s="11"/>
      <c r="D4431" s="175"/>
      <c r="E4431" s="176"/>
      <c r="F4431" s="177"/>
      <c r="G4431" s="178"/>
      <c r="H4431" s="177"/>
      <c r="I4431" s="177"/>
      <c r="J4431" s="179"/>
      <c r="K4431" s="183"/>
      <c r="L4431" s="176"/>
      <c r="M4431" s="177"/>
      <c r="N4431" s="21"/>
      <c r="O4431" s="45"/>
      <c r="P4431" s="24"/>
      <c r="Q4431" s="24"/>
      <c r="R4431" s="180"/>
      <c r="S4431" s="181"/>
      <c r="T4431" s="35"/>
      <c r="U4431" s="35"/>
      <c r="V4431" s="35"/>
      <c r="W4431" s="35"/>
      <c r="X4431" s="35"/>
      <c r="Y4431" s="182"/>
      <c r="Z4431" s="175"/>
      <c r="AA4431" s="182"/>
      <c r="AB4431" s="184"/>
    </row>
    <row r="4432" spans="1:28" ht="12.75">
      <c r="A4432" s="173"/>
      <c r="B4432" s="174"/>
      <c r="C4432" s="11"/>
      <c r="D4432" s="175"/>
      <c r="E4432" s="176"/>
      <c r="F4432" s="177"/>
      <c r="G4432" s="178"/>
      <c r="H4432" s="177"/>
      <c r="I4432" s="177"/>
      <c r="J4432" s="179"/>
      <c r="K4432" s="183"/>
      <c r="L4432" s="176"/>
      <c r="M4432" s="177"/>
      <c r="N4432" s="21"/>
      <c r="O4432" s="45"/>
      <c r="P4432" s="24"/>
      <c r="Q4432" s="24"/>
      <c r="R4432" s="180"/>
      <c r="S4432" s="181"/>
      <c r="T4432" s="35"/>
      <c r="U4432" s="35"/>
      <c r="V4432" s="35"/>
      <c r="W4432" s="35"/>
      <c r="X4432" s="35"/>
      <c r="Y4432" s="182"/>
      <c r="Z4432" s="175"/>
      <c r="AA4432" s="182"/>
      <c r="AB4432" s="184"/>
    </row>
    <row r="4433" spans="1:28" ht="12.75">
      <c r="A4433" s="173"/>
      <c r="B4433" s="174"/>
      <c r="C4433" s="11"/>
      <c r="D4433" s="175"/>
      <c r="E4433" s="176"/>
      <c r="F4433" s="177"/>
      <c r="G4433" s="178"/>
      <c r="H4433" s="177"/>
      <c r="I4433" s="177"/>
      <c r="J4433" s="179"/>
      <c r="K4433" s="183"/>
      <c r="L4433" s="176"/>
      <c r="M4433" s="177"/>
      <c r="N4433" s="21"/>
      <c r="O4433" s="45"/>
      <c r="P4433" s="24"/>
      <c r="Q4433" s="24"/>
      <c r="R4433" s="180"/>
      <c r="S4433" s="181"/>
      <c r="T4433" s="35"/>
      <c r="U4433" s="35"/>
      <c r="V4433" s="35"/>
      <c r="W4433" s="35"/>
      <c r="X4433" s="35"/>
      <c r="Y4433" s="182"/>
      <c r="Z4433" s="175"/>
      <c r="AA4433" s="182"/>
      <c r="AB4433" s="184"/>
    </row>
    <row r="4434" spans="1:28" ht="12.75">
      <c r="A4434" s="173"/>
      <c r="B4434" s="174"/>
      <c r="C4434" s="11"/>
      <c r="D4434" s="175"/>
      <c r="E4434" s="176"/>
      <c r="F4434" s="177"/>
      <c r="G4434" s="178"/>
      <c r="H4434" s="177"/>
      <c r="I4434" s="177"/>
      <c r="J4434" s="179"/>
      <c r="K4434" s="183"/>
      <c r="L4434" s="176"/>
      <c r="M4434" s="177"/>
      <c r="N4434" s="21"/>
      <c r="O4434" s="45"/>
      <c r="P4434" s="24"/>
      <c r="Q4434" s="24"/>
      <c r="R4434" s="180"/>
      <c r="S4434" s="181"/>
      <c r="T4434" s="35"/>
      <c r="U4434" s="35"/>
      <c r="V4434" s="35"/>
      <c r="W4434" s="35"/>
      <c r="X4434" s="35"/>
      <c r="Y4434" s="182"/>
      <c r="Z4434" s="175"/>
      <c r="AA4434" s="182"/>
      <c r="AB4434" s="184"/>
    </row>
    <row r="4435" spans="1:28" ht="12.75">
      <c r="A4435" s="173"/>
      <c r="B4435" s="174"/>
      <c r="C4435" s="11"/>
      <c r="D4435" s="175"/>
      <c r="E4435" s="176"/>
      <c r="F4435" s="177"/>
      <c r="G4435" s="178"/>
      <c r="H4435" s="177"/>
      <c r="I4435" s="177"/>
      <c r="J4435" s="179"/>
      <c r="K4435" s="183"/>
      <c r="L4435" s="176"/>
      <c r="M4435" s="177"/>
      <c r="N4435" s="21"/>
      <c r="O4435" s="45"/>
      <c r="P4435" s="24"/>
      <c r="Q4435" s="24"/>
      <c r="R4435" s="180"/>
      <c r="S4435" s="181"/>
      <c r="T4435" s="35"/>
      <c r="U4435" s="35"/>
      <c r="V4435" s="35"/>
      <c r="W4435" s="35"/>
      <c r="X4435" s="35"/>
      <c r="Y4435" s="182"/>
      <c r="Z4435" s="175"/>
      <c r="AA4435" s="182"/>
      <c r="AB4435" s="184"/>
    </row>
    <row r="4436" spans="1:28" ht="12.75">
      <c r="A4436" s="173"/>
      <c r="B4436" s="174"/>
      <c r="C4436" s="11"/>
      <c r="D4436" s="175"/>
      <c r="E4436" s="176"/>
      <c r="F4436" s="177"/>
      <c r="G4436" s="178"/>
      <c r="H4436" s="177"/>
      <c r="I4436" s="177"/>
      <c r="J4436" s="179"/>
      <c r="K4436" s="183"/>
      <c r="L4436" s="176"/>
      <c r="M4436" s="177"/>
      <c r="N4436" s="21"/>
      <c r="O4436" s="45"/>
      <c r="P4436" s="24"/>
      <c r="Q4436" s="24"/>
      <c r="R4436" s="180"/>
      <c r="S4436" s="181"/>
      <c r="T4436" s="35"/>
      <c r="U4436" s="35"/>
      <c r="V4436" s="35"/>
      <c r="W4436" s="35"/>
      <c r="X4436" s="35"/>
      <c r="Y4436" s="182"/>
      <c r="Z4436" s="175"/>
      <c r="AA4436" s="182"/>
      <c r="AB4436" s="184"/>
    </row>
    <row r="4437" spans="1:28" ht="12.75">
      <c r="A4437" s="173"/>
      <c r="B4437" s="174"/>
      <c r="C4437" s="11"/>
      <c r="D4437" s="175"/>
      <c r="E4437" s="176"/>
      <c r="F4437" s="177"/>
      <c r="G4437" s="178"/>
      <c r="H4437" s="177"/>
      <c r="I4437" s="177"/>
      <c r="J4437" s="179"/>
      <c r="K4437" s="183"/>
      <c r="L4437" s="176"/>
      <c r="M4437" s="177"/>
      <c r="N4437" s="21"/>
      <c r="O4437" s="45"/>
      <c r="P4437" s="24"/>
      <c r="Q4437" s="24"/>
      <c r="R4437" s="180"/>
      <c r="S4437" s="181"/>
      <c r="T4437" s="35"/>
      <c r="U4437" s="35"/>
      <c r="V4437" s="35"/>
      <c r="W4437" s="35"/>
      <c r="X4437" s="35"/>
      <c r="Y4437" s="182"/>
      <c r="Z4437" s="175"/>
      <c r="AA4437" s="182"/>
      <c r="AB4437" s="184"/>
    </row>
    <row r="4438" spans="1:28" ht="12.75">
      <c r="A4438" s="173"/>
      <c r="B4438" s="174"/>
      <c r="C4438" s="11"/>
      <c r="D4438" s="175"/>
      <c r="E4438" s="176"/>
      <c r="F4438" s="177"/>
      <c r="G4438" s="178"/>
      <c r="H4438" s="177"/>
      <c r="I4438" s="177"/>
      <c r="J4438" s="179"/>
      <c r="K4438" s="183"/>
      <c r="L4438" s="176"/>
      <c r="M4438" s="177"/>
      <c r="N4438" s="21"/>
      <c r="O4438" s="45"/>
      <c r="P4438" s="24"/>
      <c r="Q4438" s="24"/>
      <c r="R4438" s="180"/>
      <c r="S4438" s="181"/>
      <c r="T4438" s="35"/>
      <c r="U4438" s="35"/>
      <c r="V4438" s="35"/>
      <c r="W4438" s="35"/>
      <c r="X4438" s="35"/>
      <c r="Y4438" s="182"/>
      <c r="Z4438" s="175"/>
      <c r="AA4438" s="182"/>
      <c r="AB4438" s="184"/>
    </row>
    <row r="4439" spans="1:28" ht="12.75">
      <c r="A4439" s="173"/>
      <c r="B4439" s="174"/>
      <c r="C4439" s="11"/>
      <c r="D4439" s="175"/>
      <c r="E4439" s="176"/>
      <c r="F4439" s="177"/>
      <c r="G4439" s="178"/>
      <c r="H4439" s="177"/>
      <c r="I4439" s="177"/>
      <c r="J4439" s="179"/>
      <c r="K4439" s="183"/>
      <c r="L4439" s="176"/>
      <c r="M4439" s="177"/>
      <c r="N4439" s="21"/>
      <c r="O4439" s="45"/>
      <c r="P4439" s="24"/>
      <c r="Q4439" s="24"/>
      <c r="R4439" s="180"/>
      <c r="S4439" s="181"/>
      <c r="T4439" s="35"/>
      <c r="U4439" s="35"/>
      <c r="V4439" s="35"/>
      <c r="W4439" s="35"/>
      <c r="X4439" s="35"/>
      <c r="Y4439" s="182"/>
      <c r="Z4439" s="175"/>
      <c r="AA4439" s="182"/>
      <c r="AB4439" s="184"/>
    </row>
    <row r="4440" spans="1:28" ht="12.75">
      <c r="A4440" s="173"/>
      <c r="B4440" s="174"/>
      <c r="C4440" s="11"/>
      <c r="D4440" s="175"/>
      <c r="E4440" s="176"/>
      <c r="F4440" s="177"/>
      <c r="G4440" s="178"/>
      <c r="H4440" s="177"/>
      <c r="I4440" s="177"/>
      <c r="J4440" s="179"/>
      <c r="K4440" s="183"/>
      <c r="L4440" s="176"/>
      <c r="M4440" s="177"/>
      <c r="N4440" s="21"/>
      <c r="O4440" s="45"/>
      <c r="P4440" s="24"/>
      <c r="Q4440" s="24"/>
      <c r="R4440" s="180"/>
      <c r="S4440" s="181"/>
      <c r="T4440" s="35"/>
      <c r="U4440" s="35"/>
      <c r="V4440" s="35"/>
      <c r="W4440" s="35"/>
      <c r="X4440" s="35"/>
      <c r="Y4440" s="182"/>
      <c r="Z4440" s="175"/>
      <c r="AA4440" s="182"/>
      <c r="AB4440" s="184"/>
    </row>
    <row r="4441" spans="1:28" ht="12.75">
      <c r="A4441" s="173"/>
      <c r="B4441" s="174"/>
      <c r="C4441" s="11"/>
      <c r="D4441" s="175"/>
      <c r="E4441" s="176"/>
      <c r="F4441" s="177"/>
      <c r="G4441" s="178"/>
      <c r="H4441" s="177"/>
      <c r="I4441" s="177"/>
      <c r="J4441" s="179"/>
      <c r="K4441" s="183"/>
      <c r="L4441" s="176"/>
      <c r="M4441" s="177"/>
      <c r="N4441" s="21"/>
      <c r="O4441" s="45"/>
      <c r="P4441" s="24"/>
      <c r="Q4441" s="24"/>
      <c r="R4441" s="180"/>
      <c r="S4441" s="181"/>
      <c r="T4441" s="35"/>
      <c r="U4441" s="35"/>
      <c r="V4441" s="35"/>
      <c r="W4441" s="35"/>
      <c r="X4441" s="35"/>
      <c r="Y4441" s="182"/>
      <c r="Z4441" s="175"/>
      <c r="AA4441" s="182"/>
      <c r="AB4441" s="184"/>
    </row>
    <row r="4442" spans="1:28" ht="12.75">
      <c r="A4442" s="173"/>
      <c r="B4442" s="174"/>
      <c r="C4442" s="11"/>
      <c r="D4442" s="175"/>
      <c r="E4442" s="176"/>
      <c r="F4442" s="177"/>
      <c r="G4442" s="178"/>
      <c r="H4442" s="177"/>
      <c r="I4442" s="177"/>
      <c r="J4442" s="179"/>
      <c r="K4442" s="183"/>
      <c r="L4442" s="176"/>
      <c r="M4442" s="177"/>
      <c r="N4442" s="21"/>
      <c r="O4442" s="45"/>
      <c r="P4442" s="24"/>
      <c r="Q4442" s="24"/>
      <c r="R4442" s="180"/>
      <c r="S4442" s="181"/>
      <c r="T4442" s="35"/>
      <c r="U4442" s="35"/>
      <c r="V4442" s="35"/>
      <c r="W4442" s="35"/>
      <c r="X4442" s="35"/>
      <c r="Y4442" s="182"/>
      <c r="Z4442" s="175"/>
      <c r="AA4442" s="182"/>
      <c r="AB4442" s="184"/>
    </row>
    <row r="4443" spans="1:28" ht="12.75">
      <c r="A4443" s="173"/>
      <c r="B4443" s="174"/>
      <c r="C4443" s="11"/>
      <c r="D4443" s="175"/>
      <c r="E4443" s="176"/>
      <c r="F4443" s="177"/>
      <c r="G4443" s="178"/>
      <c r="H4443" s="177"/>
      <c r="I4443" s="177"/>
      <c r="J4443" s="179"/>
      <c r="K4443" s="183"/>
      <c r="L4443" s="176"/>
      <c r="M4443" s="177"/>
      <c r="N4443" s="21"/>
      <c r="O4443" s="45"/>
      <c r="P4443" s="24"/>
      <c r="Q4443" s="24"/>
      <c r="R4443" s="180"/>
      <c r="S4443" s="181"/>
      <c r="T4443" s="35"/>
      <c r="U4443" s="35"/>
      <c r="V4443" s="35"/>
      <c r="W4443" s="35"/>
      <c r="X4443" s="35"/>
      <c r="Y4443" s="182"/>
      <c r="Z4443" s="175"/>
      <c r="AA4443" s="182"/>
      <c r="AB4443" s="184"/>
    </row>
    <row r="4444" spans="1:28" ht="12.75">
      <c r="A4444" s="173"/>
      <c r="B4444" s="174"/>
      <c r="C4444" s="11"/>
      <c r="D4444" s="175"/>
      <c r="E4444" s="176"/>
      <c r="F4444" s="177"/>
      <c r="G4444" s="178"/>
      <c r="H4444" s="177"/>
      <c r="I4444" s="177"/>
      <c r="J4444" s="179"/>
      <c r="K4444" s="183"/>
      <c r="L4444" s="176"/>
      <c r="M4444" s="177"/>
      <c r="N4444" s="21"/>
      <c r="O4444" s="45"/>
      <c r="P4444" s="24"/>
      <c r="Q4444" s="24"/>
      <c r="R4444" s="180"/>
      <c r="S4444" s="181"/>
      <c r="T4444" s="35"/>
      <c r="U4444" s="35"/>
      <c r="V4444" s="35"/>
      <c r="W4444" s="35"/>
      <c r="X4444" s="35"/>
      <c r="Y4444" s="182"/>
      <c r="Z4444" s="175"/>
      <c r="AA4444" s="182"/>
      <c r="AB4444" s="184"/>
    </row>
    <row r="4445" spans="1:28" ht="12.75">
      <c r="A4445" s="173"/>
      <c r="B4445" s="174"/>
      <c r="C4445" s="11"/>
      <c r="D4445" s="175"/>
      <c r="E4445" s="176"/>
      <c r="F4445" s="177"/>
      <c r="G4445" s="178"/>
      <c r="H4445" s="177"/>
      <c r="I4445" s="177"/>
      <c r="J4445" s="179"/>
      <c r="K4445" s="183"/>
      <c r="L4445" s="176"/>
      <c r="M4445" s="177"/>
      <c r="N4445" s="21"/>
      <c r="O4445" s="45"/>
      <c r="P4445" s="24"/>
      <c r="Q4445" s="24"/>
      <c r="R4445" s="180"/>
      <c r="S4445" s="181"/>
      <c r="T4445" s="35"/>
      <c r="U4445" s="35"/>
      <c r="V4445" s="35"/>
      <c r="W4445" s="35"/>
      <c r="X4445" s="35"/>
      <c r="Y4445" s="182"/>
      <c r="Z4445" s="175"/>
      <c r="AA4445" s="182"/>
      <c r="AB4445" s="184"/>
    </row>
    <row r="4446" spans="1:28" ht="12.75">
      <c r="A4446" s="173"/>
      <c r="B4446" s="174"/>
      <c r="C4446" s="11"/>
      <c r="D4446" s="175"/>
      <c r="E4446" s="176"/>
      <c r="F4446" s="177"/>
      <c r="G4446" s="178"/>
      <c r="H4446" s="177"/>
      <c r="I4446" s="177"/>
      <c r="J4446" s="179"/>
      <c r="K4446" s="183"/>
      <c r="L4446" s="176"/>
      <c r="M4446" s="177"/>
      <c r="N4446" s="21"/>
      <c r="O4446" s="45"/>
      <c r="P4446" s="24"/>
      <c r="Q4446" s="24"/>
      <c r="R4446" s="180"/>
      <c r="S4446" s="181"/>
      <c r="T4446" s="35"/>
      <c r="U4446" s="35"/>
      <c r="V4446" s="35"/>
      <c r="W4446" s="35"/>
      <c r="X4446" s="35"/>
      <c r="Y4446" s="182"/>
      <c r="Z4446" s="175"/>
      <c r="AA4446" s="182"/>
      <c r="AB4446" s="184"/>
    </row>
    <row r="4447" spans="1:28" ht="12.75">
      <c r="A4447" s="173"/>
      <c r="B4447" s="174"/>
      <c r="C4447" s="11"/>
      <c r="D4447" s="175"/>
      <c r="E4447" s="176"/>
      <c r="F4447" s="177"/>
      <c r="G4447" s="178"/>
      <c r="H4447" s="177"/>
      <c r="I4447" s="177"/>
      <c r="J4447" s="179"/>
      <c r="K4447" s="183"/>
      <c r="L4447" s="176"/>
      <c r="M4447" s="177"/>
      <c r="N4447" s="21"/>
      <c r="O4447" s="45"/>
      <c r="P4447" s="24"/>
      <c r="Q4447" s="24"/>
      <c r="R4447" s="180"/>
      <c r="S4447" s="181"/>
      <c r="T4447" s="35"/>
      <c r="U4447" s="35"/>
      <c r="V4447" s="35"/>
      <c r="W4447" s="35"/>
      <c r="X4447" s="35"/>
      <c r="Y4447" s="182"/>
      <c r="Z4447" s="175"/>
      <c r="AA4447" s="182"/>
      <c r="AB4447" s="184"/>
    </row>
    <row r="4448" spans="1:28" ht="12.75">
      <c r="A4448" s="173"/>
      <c r="B4448" s="174"/>
      <c r="C4448" s="11"/>
      <c r="D4448" s="175"/>
      <c r="E4448" s="176"/>
      <c r="F4448" s="177"/>
      <c r="G4448" s="178"/>
      <c r="H4448" s="177"/>
      <c r="I4448" s="177"/>
      <c r="J4448" s="179"/>
      <c r="K4448" s="183"/>
      <c r="L4448" s="176"/>
      <c r="M4448" s="177"/>
      <c r="N4448" s="21"/>
      <c r="O4448" s="45"/>
      <c r="P4448" s="24"/>
      <c r="Q4448" s="24"/>
      <c r="R4448" s="180"/>
      <c r="S4448" s="181"/>
      <c r="T4448" s="35"/>
      <c r="U4448" s="35"/>
      <c r="V4448" s="35"/>
      <c r="W4448" s="35"/>
      <c r="X4448" s="35"/>
      <c r="Y4448" s="182"/>
      <c r="Z4448" s="175"/>
      <c r="AA4448" s="182"/>
      <c r="AB4448" s="184"/>
    </row>
    <row r="4449" spans="1:28" ht="12.75">
      <c r="A4449" s="173"/>
      <c r="B4449" s="174"/>
      <c r="C4449" s="11"/>
      <c r="D4449" s="175"/>
      <c r="E4449" s="176"/>
      <c r="F4449" s="177"/>
      <c r="G4449" s="178"/>
      <c r="H4449" s="177"/>
      <c r="I4449" s="177"/>
      <c r="J4449" s="179"/>
      <c r="K4449" s="183"/>
      <c r="L4449" s="176"/>
      <c r="M4449" s="177"/>
      <c r="N4449" s="21"/>
      <c r="O4449" s="45"/>
      <c r="P4449" s="24"/>
      <c r="Q4449" s="24"/>
      <c r="R4449" s="180"/>
      <c r="S4449" s="181"/>
      <c r="T4449" s="35"/>
      <c r="U4449" s="35"/>
      <c r="V4449" s="35"/>
      <c r="W4449" s="35"/>
      <c r="X4449" s="35"/>
      <c r="Y4449" s="182"/>
      <c r="Z4449" s="175"/>
      <c r="AA4449" s="182"/>
      <c r="AB4449" s="184"/>
    </row>
    <row r="4450" spans="1:28" ht="12.75">
      <c r="A4450" s="173"/>
      <c r="B4450" s="174"/>
      <c r="C4450" s="11"/>
      <c r="D4450" s="175"/>
      <c r="E4450" s="176"/>
      <c r="F4450" s="177"/>
      <c r="G4450" s="178"/>
      <c r="H4450" s="177"/>
      <c r="I4450" s="177"/>
      <c r="J4450" s="179"/>
      <c r="K4450" s="183"/>
      <c r="L4450" s="176"/>
      <c r="M4450" s="177"/>
      <c r="N4450" s="21"/>
      <c r="O4450" s="45"/>
      <c r="P4450" s="24"/>
      <c r="Q4450" s="24"/>
      <c r="R4450" s="180"/>
      <c r="S4450" s="181"/>
      <c r="T4450" s="35"/>
      <c r="U4450" s="35"/>
      <c r="V4450" s="35"/>
      <c r="W4450" s="35"/>
      <c r="X4450" s="35"/>
      <c r="Y4450" s="182"/>
      <c r="Z4450" s="175"/>
      <c r="AA4450" s="182"/>
      <c r="AB4450" s="184"/>
    </row>
    <row r="4451" spans="1:28" ht="12.75">
      <c r="A4451" s="173"/>
      <c r="B4451" s="174"/>
      <c r="C4451" s="11"/>
      <c r="D4451" s="175"/>
      <c r="E4451" s="176"/>
      <c r="F4451" s="177"/>
      <c r="G4451" s="178"/>
      <c r="H4451" s="177"/>
      <c r="I4451" s="177"/>
      <c r="J4451" s="179"/>
      <c r="K4451" s="183"/>
      <c r="L4451" s="176"/>
      <c r="M4451" s="177"/>
      <c r="N4451" s="21"/>
      <c r="O4451" s="45"/>
      <c r="P4451" s="24"/>
      <c r="Q4451" s="24"/>
      <c r="R4451" s="180"/>
      <c r="S4451" s="181"/>
      <c r="T4451" s="35"/>
      <c r="U4451" s="35"/>
      <c r="V4451" s="35"/>
      <c r="W4451" s="35"/>
      <c r="X4451" s="35"/>
      <c r="Y4451" s="182"/>
      <c r="Z4451" s="175"/>
      <c r="AA4451" s="182"/>
      <c r="AB4451" s="184"/>
    </row>
    <row r="4452" spans="1:28" ht="12.75">
      <c r="A4452" s="173"/>
      <c r="B4452" s="174"/>
      <c r="C4452" s="11"/>
      <c r="D4452" s="175"/>
      <c r="E4452" s="176"/>
      <c r="F4452" s="177"/>
      <c r="G4452" s="178"/>
      <c r="H4452" s="177"/>
      <c r="I4452" s="177"/>
      <c r="J4452" s="179"/>
      <c r="K4452" s="183"/>
      <c r="L4452" s="176"/>
      <c r="M4452" s="177"/>
      <c r="N4452" s="21"/>
      <c r="O4452" s="45"/>
      <c r="P4452" s="24"/>
      <c r="Q4452" s="24"/>
      <c r="R4452" s="180"/>
      <c r="S4452" s="181"/>
      <c r="T4452" s="35"/>
      <c r="U4452" s="35"/>
      <c r="V4452" s="35"/>
      <c r="W4452" s="35"/>
      <c r="X4452" s="35"/>
      <c r="Y4452" s="182"/>
      <c r="Z4452" s="175"/>
      <c r="AA4452" s="182"/>
      <c r="AB4452" s="184"/>
    </row>
    <row r="4453" spans="1:28" ht="12.75">
      <c r="A4453" s="173"/>
      <c r="B4453" s="174"/>
      <c r="C4453" s="11"/>
      <c r="D4453" s="175"/>
      <c r="E4453" s="176"/>
      <c r="F4453" s="177"/>
      <c r="G4453" s="178"/>
      <c r="H4453" s="177"/>
      <c r="I4453" s="177"/>
      <c r="J4453" s="179"/>
      <c r="K4453" s="183"/>
      <c r="L4453" s="176"/>
      <c r="M4453" s="177"/>
      <c r="N4453" s="21"/>
      <c r="O4453" s="45"/>
      <c r="P4453" s="24"/>
      <c r="Q4453" s="24"/>
      <c r="R4453" s="180"/>
      <c r="S4453" s="181"/>
      <c r="T4453" s="35"/>
      <c r="U4453" s="35"/>
      <c r="V4453" s="35"/>
      <c r="W4453" s="35"/>
      <c r="X4453" s="35"/>
      <c r="Y4453" s="182"/>
      <c r="Z4453" s="175"/>
      <c r="AA4453" s="182"/>
      <c r="AB4453" s="184"/>
    </row>
    <row r="4454" spans="1:28" ht="12.75">
      <c r="A4454" s="173"/>
      <c r="B4454" s="174"/>
      <c r="C4454" s="11"/>
      <c r="D4454" s="175"/>
      <c r="E4454" s="176"/>
      <c r="F4454" s="177"/>
      <c r="G4454" s="178"/>
      <c r="H4454" s="177"/>
      <c r="I4454" s="177"/>
      <c r="J4454" s="179"/>
      <c r="K4454" s="183"/>
      <c r="L4454" s="176"/>
      <c r="M4454" s="177"/>
      <c r="N4454" s="21"/>
      <c r="O4454" s="45"/>
      <c r="P4454" s="24"/>
      <c r="Q4454" s="24"/>
      <c r="R4454" s="180"/>
      <c r="S4454" s="181"/>
      <c r="T4454" s="35"/>
      <c r="U4454" s="35"/>
      <c r="V4454" s="35"/>
      <c r="W4454" s="35"/>
      <c r="X4454" s="35"/>
      <c r="Y4454" s="182"/>
      <c r="Z4454" s="175"/>
      <c r="AA4454" s="182"/>
      <c r="AB4454" s="184"/>
    </row>
    <row r="4455" spans="1:28" ht="12.75">
      <c r="A4455" s="173"/>
      <c r="B4455" s="174"/>
      <c r="C4455" s="11"/>
      <c r="D4455" s="175"/>
      <c r="E4455" s="176"/>
      <c r="F4455" s="177"/>
      <c r="G4455" s="178"/>
      <c r="H4455" s="177"/>
      <c r="I4455" s="177"/>
      <c r="J4455" s="179"/>
      <c r="K4455" s="183"/>
      <c r="L4455" s="176"/>
      <c r="M4455" s="177"/>
      <c r="N4455" s="21"/>
      <c r="O4455" s="45"/>
      <c r="P4455" s="24"/>
      <c r="Q4455" s="24"/>
      <c r="R4455" s="180"/>
      <c r="S4455" s="181"/>
      <c r="T4455" s="35"/>
      <c r="U4455" s="35"/>
      <c r="V4455" s="35"/>
      <c r="W4455" s="35"/>
      <c r="X4455" s="35"/>
      <c r="Y4455" s="182"/>
      <c r="Z4455" s="175"/>
      <c r="AA4455" s="182"/>
      <c r="AB4455" s="184"/>
    </row>
    <row r="4456" spans="1:28" ht="12.75">
      <c r="A4456" s="173"/>
      <c r="B4456" s="174"/>
      <c r="C4456" s="11"/>
      <c r="D4456" s="175"/>
      <c r="E4456" s="176"/>
      <c r="F4456" s="177"/>
      <c r="G4456" s="178"/>
      <c r="H4456" s="177"/>
      <c r="I4456" s="177"/>
      <c r="J4456" s="179"/>
      <c r="K4456" s="183"/>
      <c r="L4456" s="176"/>
      <c r="M4456" s="177"/>
      <c r="N4456" s="21"/>
      <c r="O4456" s="45"/>
      <c r="P4456" s="24"/>
      <c r="Q4456" s="24"/>
      <c r="R4456" s="180"/>
      <c r="S4456" s="181"/>
      <c r="T4456" s="35"/>
      <c r="U4456" s="35"/>
      <c r="V4456" s="35"/>
      <c r="W4456" s="35"/>
      <c r="X4456" s="35"/>
      <c r="Y4456" s="182"/>
      <c r="Z4456" s="175"/>
      <c r="AA4456" s="182"/>
      <c r="AB4456" s="184"/>
    </row>
    <row r="4457" spans="1:28" ht="12.75">
      <c r="A4457" s="173"/>
      <c r="B4457" s="174"/>
      <c r="C4457" s="11"/>
      <c r="D4457" s="175"/>
      <c r="E4457" s="176"/>
      <c r="F4457" s="177"/>
      <c r="G4457" s="178"/>
      <c r="H4457" s="177"/>
      <c r="I4457" s="177"/>
      <c r="J4457" s="179"/>
      <c r="K4457" s="183"/>
      <c r="L4457" s="176"/>
      <c r="M4457" s="177"/>
      <c r="N4457" s="21"/>
      <c r="O4457" s="45"/>
      <c r="P4457" s="24"/>
      <c r="Q4457" s="24"/>
      <c r="R4457" s="180"/>
      <c r="S4457" s="181"/>
      <c r="T4457" s="35"/>
      <c r="U4457" s="35"/>
      <c r="V4457" s="35"/>
      <c r="W4457" s="35"/>
      <c r="X4457" s="35"/>
      <c r="Y4457" s="182"/>
      <c r="Z4457" s="175"/>
      <c r="AA4457" s="182"/>
      <c r="AB4457" s="184"/>
    </row>
    <row r="4458" spans="1:28" ht="12.75">
      <c r="A4458" s="173"/>
      <c r="B4458" s="174"/>
      <c r="C4458" s="11"/>
      <c r="D4458" s="175"/>
      <c r="E4458" s="176"/>
      <c r="F4458" s="177"/>
      <c r="G4458" s="178"/>
      <c r="H4458" s="177"/>
      <c r="I4458" s="177"/>
      <c r="J4458" s="179"/>
      <c r="K4458" s="183"/>
      <c r="L4458" s="176"/>
      <c r="M4458" s="177"/>
      <c r="N4458" s="21"/>
      <c r="O4458" s="45"/>
      <c r="P4458" s="24"/>
      <c r="Q4458" s="24"/>
      <c r="R4458" s="180"/>
      <c r="S4458" s="181"/>
      <c r="T4458" s="35"/>
      <c r="U4458" s="35"/>
      <c r="V4458" s="35"/>
      <c r="W4458" s="35"/>
      <c r="X4458" s="35"/>
      <c r="Y4458" s="182"/>
      <c r="Z4458" s="175"/>
      <c r="AA4458" s="182"/>
      <c r="AB4458" s="184"/>
    </row>
    <row r="4459" spans="1:28" ht="12.75">
      <c r="A4459" s="173"/>
      <c r="B4459" s="174"/>
      <c r="C4459" s="11"/>
      <c r="D4459" s="175"/>
      <c r="E4459" s="176"/>
      <c r="F4459" s="177"/>
      <c r="G4459" s="178"/>
      <c r="H4459" s="177"/>
      <c r="I4459" s="177"/>
      <c r="J4459" s="179"/>
      <c r="K4459" s="183"/>
      <c r="L4459" s="176"/>
      <c r="M4459" s="177"/>
      <c r="N4459" s="21"/>
      <c r="O4459" s="45"/>
      <c r="P4459" s="24"/>
      <c r="Q4459" s="24"/>
      <c r="R4459" s="180"/>
      <c r="S4459" s="181"/>
      <c r="T4459" s="35"/>
      <c r="U4459" s="35"/>
      <c r="V4459" s="35"/>
      <c r="W4459" s="35"/>
      <c r="X4459" s="35"/>
      <c r="Y4459" s="182"/>
      <c r="Z4459" s="175"/>
      <c r="AA4459" s="182"/>
      <c r="AB4459" s="184"/>
    </row>
    <row r="4460" spans="1:28" ht="12.75">
      <c r="A4460" s="173"/>
      <c r="B4460" s="174"/>
      <c r="C4460" s="11"/>
      <c r="D4460" s="175"/>
      <c r="E4460" s="176"/>
      <c r="F4460" s="177"/>
      <c r="G4460" s="178"/>
      <c r="H4460" s="177"/>
      <c r="I4460" s="177"/>
      <c r="J4460" s="179"/>
      <c r="K4460" s="183"/>
      <c r="L4460" s="176"/>
      <c r="M4460" s="177"/>
      <c r="N4460" s="21"/>
      <c r="O4460" s="45"/>
      <c r="P4460" s="24"/>
      <c r="Q4460" s="24"/>
      <c r="R4460" s="180"/>
      <c r="S4460" s="181"/>
      <c r="T4460" s="35"/>
      <c r="U4460" s="35"/>
      <c r="V4460" s="35"/>
      <c r="W4460" s="35"/>
      <c r="X4460" s="35"/>
      <c r="Y4460" s="182"/>
      <c r="Z4460" s="175"/>
      <c r="AA4460" s="182"/>
      <c r="AB4460" s="184"/>
    </row>
    <row r="4461" spans="1:28" ht="12.75">
      <c r="A4461" s="173"/>
      <c r="B4461" s="174"/>
      <c r="C4461" s="11"/>
      <c r="D4461" s="175"/>
      <c r="E4461" s="176"/>
      <c r="F4461" s="177"/>
      <c r="G4461" s="178"/>
      <c r="H4461" s="177"/>
      <c r="I4461" s="177"/>
      <c r="J4461" s="179"/>
      <c r="K4461" s="183"/>
      <c r="L4461" s="176"/>
      <c r="M4461" s="177"/>
      <c r="N4461" s="21"/>
      <c r="O4461" s="45"/>
      <c r="P4461" s="24"/>
      <c r="Q4461" s="24"/>
      <c r="R4461" s="180"/>
      <c r="S4461" s="181"/>
      <c r="T4461" s="35"/>
      <c r="U4461" s="35"/>
      <c r="V4461" s="35"/>
      <c r="W4461" s="35"/>
      <c r="X4461" s="35"/>
      <c r="Y4461" s="182"/>
      <c r="Z4461" s="175"/>
      <c r="AA4461" s="182"/>
      <c r="AB4461" s="184"/>
    </row>
    <row r="4462" spans="1:28" ht="12.75">
      <c r="A4462" s="173"/>
      <c r="B4462" s="174"/>
      <c r="C4462" s="11"/>
      <c r="D4462" s="175"/>
      <c r="E4462" s="176"/>
      <c r="F4462" s="177"/>
      <c r="G4462" s="178"/>
      <c r="H4462" s="177"/>
      <c r="I4462" s="177"/>
      <c r="J4462" s="179"/>
      <c r="K4462" s="183"/>
      <c r="L4462" s="176"/>
      <c r="M4462" s="177"/>
      <c r="N4462" s="21"/>
      <c r="O4462" s="45"/>
      <c r="P4462" s="24"/>
      <c r="Q4462" s="24"/>
      <c r="R4462" s="180"/>
      <c r="S4462" s="181"/>
      <c r="T4462" s="35"/>
      <c r="U4462" s="35"/>
      <c r="V4462" s="35"/>
      <c r="W4462" s="35"/>
      <c r="X4462" s="35"/>
      <c r="Y4462" s="182"/>
      <c r="Z4462" s="175"/>
      <c r="AA4462" s="182"/>
      <c r="AB4462" s="184"/>
    </row>
    <row r="4463" spans="1:28" ht="12.75">
      <c r="A4463" s="173"/>
      <c r="B4463" s="174"/>
      <c r="C4463" s="11"/>
      <c r="D4463" s="175"/>
      <c r="E4463" s="176"/>
      <c r="F4463" s="177"/>
      <c r="G4463" s="178"/>
      <c r="H4463" s="177"/>
      <c r="I4463" s="177"/>
      <c r="J4463" s="179"/>
      <c r="K4463" s="183"/>
      <c r="L4463" s="176"/>
      <c r="M4463" s="177"/>
      <c r="N4463" s="21"/>
      <c r="O4463" s="45"/>
      <c r="P4463" s="24"/>
      <c r="Q4463" s="24"/>
      <c r="R4463" s="180"/>
      <c r="S4463" s="181"/>
      <c r="T4463" s="35"/>
      <c r="U4463" s="35"/>
      <c r="V4463" s="35"/>
      <c r="W4463" s="35"/>
      <c r="X4463" s="35"/>
      <c r="Y4463" s="182"/>
      <c r="Z4463" s="175"/>
      <c r="AA4463" s="182"/>
      <c r="AB4463" s="184"/>
    </row>
    <row r="4464" spans="1:28" ht="12.75">
      <c r="A4464" s="173"/>
      <c r="B4464" s="174"/>
      <c r="C4464" s="11"/>
      <c r="D4464" s="175"/>
      <c r="E4464" s="176"/>
      <c r="F4464" s="177"/>
      <c r="G4464" s="178"/>
      <c r="H4464" s="177"/>
      <c r="I4464" s="177"/>
      <c r="J4464" s="179"/>
      <c r="K4464" s="183"/>
      <c r="L4464" s="176"/>
      <c r="M4464" s="177"/>
      <c r="N4464" s="21"/>
      <c r="O4464" s="45"/>
      <c r="P4464" s="24"/>
      <c r="Q4464" s="24"/>
      <c r="R4464" s="180"/>
      <c r="S4464" s="181"/>
      <c r="T4464" s="35"/>
      <c r="U4464" s="35"/>
      <c r="V4464" s="35"/>
      <c r="W4464" s="35"/>
      <c r="X4464" s="35"/>
      <c r="Y4464" s="182"/>
      <c r="Z4464" s="175"/>
      <c r="AA4464" s="182"/>
      <c r="AB4464" s="184"/>
    </row>
    <row r="4465" spans="1:28" ht="12.75">
      <c r="A4465" s="173"/>
      <c r="B4465" s="174"/>
      <c r="C4465" s="11"/>
      <c r="D4465" s="175"/>
      <c r="E4465" s="176"/>
      <c r="F4465" s="177"/>
      <c r="G4465" s="178"/>
      <c r="H4465" s="177"/>
      <c r="I4465" s="177"/>
      <c r="J4465" s="179"/>
      <c r="K4465" s="183"/>
      <c r="L4465" s="176"/>
      <c r="M4465" s="177"/>
      <c r="N4465" s="21"/>
      <c r="O4465" s="45"/>
      <c r="P4465" s="24"/>
      <c r="Q4465" s="24"/>
      <c r="R4465" s="180"/>
      <c r="S4465" s="181"/>
      <c r="T4465" s="35"/>
      <c r="U4465" s="35"/>
      <c r="V4465" s="35"/>
      <c r="W4465" s="35"/>
      <c r="X4465" s="35"/>
      <c r="Y4465" s="182"/>
      <c r="Z4465" s="175"/>
      <c r="AA4465" s="182"/>
      <c r="AB4465" s="184"/>
    </row>
    <row r="4466" spans="1:28" ht="12.75">
      <c r="A4466" s="173"/>
      <c r="B4466" s="174"/>
      <c r="C4466" s="11"/>
      <c r="D4466" s="175"/>
      <c r="E4466" s="176"/>
      <c r="F4466" s="177"/>
      <c r="G4466" s="178"/>
      <c r="H4466" s="177"/>
      <c r="I4466" s="177"/>
      <c r="J4466" s="179"/>
      <c r="K4466" s="183"/>
      <c r="L4466" s="176"/>
      <c r="M4466" s="177"/>
      <c r="N4466" s="21"/>
      <c r="O4466" s="45"/>
      <c r="P4466" s="24"/>
      <c r="Q4466" s="24"/>
      <c r="R4466" s="180"/>
      <c r="S4466" s="181"/>
      <c r="T4466" s="35"/>
      <c r="U4466" s="35"/>
      <c r="V4466" s="35"/>
      <c r="W4466" s="35"/>
      <c r="X4466" s="35"/>
      <c r="Y4466" s="182"/>
      <c r="Z4466" s="175"/>
      <c r="AA4466" s="182"/>
      <c r="AB4466" s="184"/>
    </row>
    <row r="4467" spans="1:28" ht="12.75">
      <c r="A4467" s="173"/>
      <c r="B4467" s="174"/>
      <c r="C4467" s="11"/>
      <c r="D4467" s="175"/>
      <c r="E4467" s="176"/>
      <c r="F4467" s="177"/>
      <c r="G4467" s="178"/>
      <c r="H4467" s="177"/>
      <c r="I4467" s="177"/>
      <c r="J4467" s="179"/>
      <c r="K4467" s="183"/>
      <c r="L4467" s="176"/>
      <c r="M4467" s="177"/>
      <c r="N4467" s="21"/>
      <c r="O4467" s="45"/>
      <c r="P4467" s="24"/>
      <c r="Q4467" s="24"/>
      <c r="R4467" s="180"/>
      <c r="S4467" s="181"/>
      <c r="T4467" s="35"/>
      <c r="U4467" s="35"/>
      <c r="V4467" s="35"/>
      <c r="W4467" s="35"/>
      <c r="X4467" s="35"/>
      <c r="Y4467" s="182"/>
      <c r="Z4467" s="175"/>
      <c r="AA4467" s="182"/>
      <c r="AB4467" s="184"/>
    </row>
    <row r="4468" spans="1:28" ht="12.75">
      <c r="A4468" s="173"/>
      <c r="B4468" s="174"/>
      <c r="C4468" s="11"/>
      <c r="D4468" s="175"/>
      <c r="E4468" s="176"/>
      <c r="F4468" s="177"/>
      <c r="G4468" s="178"/>
      <c r="H4468" s="177"/>
      <c r="I4468" s="177"/>
      <c r="J4468" s="179"/>
      <c r="K4468" s="183"/>
      <c r="L4468" s="176"/>
      <c r="M4468" s="177"/>
      <c r="N4468" s="21"/>
      <c r="O4468" s="45"/>
      <c r="P4468" s="24"/>
      <c r="Q4468" s="24"/>
      <c r="R4468" s="180"/>
      <c r="S4468" s="181"/>
      <c r="T4468" s="35"/>
      <c r="U4468" s="35"/>
      <c r="V4468" s="35"/>
      <c r="W4468" s="35"/>
      <c r="X4468" s="35"/>
      <c r="Y4468" s="182"/>
      <c r="Z4468" s="175"/>
      <c r="AA4468" s="182"/>
      <c r="AB4468" s="184"/>
    </row>
    <row r="4469" spans="1:28" ht="12.75">
      <c r="A4469" s="173"/>
      <c r="B4469" s="174"/>
      <c r="C4469" s="11"/>
      <c r="D4469" s="175"/>
      <c r="E4469" s="176"/>
      <c r="F4469" s="177"/>
      <c r="G4469" s="178"/>
      <c r="H4469" s="177"/>
      <c r="I4469" s="177"/>
      <c r="J4469" s="179"/>
      <c r="K4469" s="183"/>
      <c r="L4469" s="176"/>
      <c r="M4469" s="177"/>
      <c r="N4469" s="21"/>
      <c r="O4469" s="45"/>
      <c r="P4469" s="24"/>
      <c r="Q4469" s="24"/>
      <c r="R4469" s="180"/>
      <c r="S4469" s="181"/>
      <c r="T4469" s="35"/>
      <c r="U4469" s="35"/>
      <c r="V4469" s="35"/>
      <c r="W4469" s="35"/>
      <c r="X4469" s="35"/>
      <c r="Y4469" s="182"/>
      <c r="Z4469" s="175"/>
      <c r="AA4469" s="182"/>
      <c r="AB4469" s="184"/>
    </row>
    <row r="4470" spans="1:28" ht="12.75">
      <c r="A4470" s="173"/>
      <c r="B4470" s="174"/>
      <c r="C4470" s="11"/>
      <c r="D4470" s="175"/>
      <c r="E4470" s="176"/>
      <c r="F4470" s="177"/>
      <c r="G4470" s="178"/>
      <c r="H4470" s="177"/>
      <c r="I4470" s="177"/>
      <c r="J4470" s="179"/>
      <c r="K4470" s="183"/>
      <c r="L4470" s="176"/>
      <c r="M4470" s="177"/>
      <c r="N4470" s="21"/>
      <c r="O4470" s="45"/>
      <c r="P4470" s="24"/>
      <c r="Q4470" s="24"/>
      <c r="R4470" s="180"/>
      <c r="S4470" s="181"/>
      <c r="T4470" s="35"/>
      <c r="U4470" s="35"/>
      <c r="V4470" s="35"/>
      <c r="W4470" s="35"/>
      <c r="X4470" s="35"/>
      <c r="Y4470" s="182"/>
      <c r="Z4470" s="175"/>
      <c r="AA4470" s="182"/>
      <c r="AB4470" s="184"/>
    </row>
    <row r="4471" spans="1:28" ht="12.75">
      <c r="A4471" s="173"/>
      <c r="B4471" s="174"/>
      <c r="C4471" s="11"/>
      <c r="D4471" s="175"/>
      <c r="E4471" s="176"/>
      <c r="F4471" s="177"/>
      <c r="G4471" s="178"/>
      <c r="H4471" s="177"/>
      <c r="I4471" s="177"/>
      <c r="J4471" s="179"/>
      <c r="K4471" s="183"/>
      <c r="L4471" s="176"/>
      <c r="M4471" s="177"/>
      <c r="N4471" s="21"/>
      <c r="O4471" s="45"/>
      <c r="P4471" s="24"/>
      <c r="Q4471" s="24"/>
      <c r="R4471" s="180"/>
      <c r="S4471" s="181"/>
      <c r="T4471" s="35"/>
      <c r="U4471" s="35"/>
      <c r="V4471" s="35"/>
      <c r="W4471" s="35"/>
      <c r="X4471" s="35"/>
      <c r="Y4471" s="182"/>
      <c r="Z4471" s="175"/>
      <c r="AA4471" s="182"/>
      <c r="AB4471" s="184"/>
    </row>
    <row r="4472" spans="1:28" ht="12.75">
      <c r="A4472" s="173"/>
      <c r="B4472" s="174"/>
      <c r="C4472" s="11"/>
      <c r="D4472" s="175"/>
      <c r="E4472" s="176"/>
      <c r="F4472" s="177"/>
      <c r="G4472" s="178"/>
      <c r="H4472" s="177"/>
      <c r="I4472" s="177"/>
      <c r="J4472" s="179"/>
      <c r="K4472" s="183"/>
      <c r="L4472" s="176"/>
      <c r="M4472" s="177"/>
      <c r="N4472" s="21"/>
      <c r="O4472" s="45"/>
      <c r="P4472" s="24"/>
      <c r="Q4472" s="24"/>
      <c r="R4472" s="180"/>
      <c r="S4472" s="181"/>
      <c r="T4472" s="35"/>
      <c r="U4472" s="35"/>
      <c r="V4472" s="35"/>
      <c r="W4472" s="35"/>
      <c r="X4472" s="35"/>
      <c r="Y4472" s="182"/>
      <c r="Z4472" s="175"/>
      <c r="AA4472" s="182"/>
      <c r="AB4472" s="184"/>
    </row>
    <row r="4473" spans="1:28" ht="12.75">
      <c r="A4473" s="173"/>
      <c r="B4473" s="174"/>
      <c r="C4473" s="11"/>
      <c r="D4473" s="175"/>
      <c r="E4473" s="176"/>
      <c r="F4473" s="177"/>
      <c r="G4473" s="178"/>
      <c r="H4473" s="177"/>
      <c r="I4473" s="177"/>
      <c r="J4473" s="179"/>
      <c r="K4473" s="183"/>
      <c r="L4473" s="176"/>
      <c r="M4473" s="177"/>
      <c r="N4473" s="21"/>
      <c r="O4473" s="45"/>
      <c r="P4473" s="24"/>
      <c r="Q4473" s="24"/>
      <c r="R4473" s="180"/>
      <c r="S4473" s="181"/>
      <c r="T4473" s="35"/>
      <c r="U4473" s="35"/>
      <c r="V4473" s="35"/>
      <c r="W4473" s="35"/>
      <c r="X4473" s="35"/>
      <c r="Y4473" s="182"/>
      <c r="Z4473" s="175"/>
      <c r="AA4473" s="182"/>
      <c r="AB4473" s="184"/>
    </row>
    <row r="4474" spans="1:28" ht="12.75">
      <c r="A4474" s="173"/>
      <c r="B4474" s="174"/>
      <c r="C4474" s="11"/>
      <c r="D4474" s="175"/>
      <c r="E4474" s="176"/>
      <c r="F4474" s="177"/>
      <c r="G4474" s="178"/>
      <c r="H4474" s="177"/>
      <c r="I4474" s="177"/>
      <c r="J4474" s="179"/>
      <c r="K4474" s="183"/>
      <c r="L4474" s="176"/>
      <c r="M4474" s="177"/>
      <c r="N4474" s="21"/>
      <c r="O4474" s="45"/>
      <c r="P4474" s="24"/>
      <c r="Q4474" s="24"/>
      <c r="R4474" s="180"/>
      <c r="S4474" s="181"/>
      <c r="T4474" s="35"/>
      <c r="U4474" s="35"/>
      <c r="V4474" s="35"/>
      <c r="W4474" s="35"/>
      <c r="X4474" s="35"/>
      <c r="Y4474" s="182"/>
      <c r="Z4474" s="175"/>
      <c r="AA4474" s="182"/>
      <c r="AB4474" s="184"/>
    </row>
    <row r="4475" spans="1:28" ht="12.75">
      <c r="A4475" s="173"/>
      <c r="B4475" s="174"/>
      <c r="C4475" s="11"/>
      <c r="D4475" s="175"/>
      <c r="E4475" s="176"/>
      <c r="F4475" s="177"/>
      <c r="G4475" s="178"/>
      <c r="H4475" s="177"/>
      <c r="I4475" s="177"/>
      <c r="J4475" s="179"/>
      <c r="K4475" s="183"/>
      <c r="L4475" s="176"/>
      <c r="M4475" s="177"/>
      <c r="N4475" s="21"/>
      <c r="O4475" s="45"/>
      <c r="P4475" s="24"/>
      <c r="Q4475" s="24"/>
      <c r="R4475" s="180"/>
      <c r="S4475" s="181"/>
      <c r="T4475" s="35"/>
      <c r="U4475" s="35"/>
      <c r="V4475" s="35"/>
      <c r="W4475" s="35"/>
      <c r="X4475" s="35"/>
      <c r="Y4475" s="182"/>
      <c r="Z4475" s="175"/>
      <c r="AA4475" s="182"/>
      <c r="AB4475" s="184"/>
    </row>
    <row r="4476" spans="1:28" ht="12.75">
      <c r="A4476" s="173"/>
      <c r="B4476" s="174"/>
      <c r="C4476" s="11"/>
      <c r="D4476" s="175"/>
      <c r="E4476" s="176"/>
      <c r="F4476" s="177"/>
      <c r="G4476" s="178"/>
      <c r="H4476" s="177"/>
      <c r="I4476" s="177"/>
      <c r="J4476" s="179"/>
      <c r="K4476" s="183"/>
      <c r="L4476" s="176"/>
      <c r="M4476" s="177"/>
      <c r="N4476" s="21"/>
      <c r="O4476" s="45"/>
      <c r="P4476" s="24"/>
      <c r="Q4476" s="24"/>
      <c r="R4476" s="180"/>
      <c r="S4476" s="181"/>
      <c r="T4476" s="35"/>
      <c r="U4476" s="35"/>
      <c r="V4476" s="35"/>
      <c r="W4476" s="35"/>
      <c r="X4476" s="35"/>
      <c r="Y4476" s="182"/>
      <c r="Z4476" s="175"/>
      <c r="AA4476" s="182"/>
      <c r="AB4476" s="184"/>
    </row>
    <row r="4477" spans="1:28" ht="12.75">
      <c r="A4477" s="173"/>
      <c r="B4477" s="174"/>
      <c r="C4477" s="11"/>
      <c r="D4477" s="175"/>
      <c r="E4477" s="176"/>
      <c r="F4477" s="177"/>
      <c r="G4477" s="178"/>
      <c r="H4477" s="177"/>
      <c r="I4477" s="177"/>
      <c r="J4477" s="179"/>
      <c r="K4477" s="183"/>
      <c r="L4477" s="176"/>
      <c r="M4477" s="177"/>
      <c r="N4477" s="21"/>
      <c r="O4477" s="45"/>
      <c r="P4477" s="24"/>
      <c r="Q4477" s="24"/>
      <c r="R4477" s="180"/>
      <c r="S4477" s="181"/>
      <c r="T4477" s="35"/>
      <c r="U4477" s="35"/>
      <c r="V4477" s="35"/>
      <c r="W4477" s="35"/>
      <c r="X4477" s="35"/>
      <c r="Y4477" s="182"/>
      <c r="Z4477" s="175"/>
      <c r="AA4477" s="182"/>
      <c r="AB4477" s="184"/>
    </row>
    <row r="4478" spans="1:28" ht="12.75">
      <c r="A4478" s="173"/>
      <c r="B4478" s="174"/>
      <c r="C4478" s="11"/>
      <c r="D4478" s="175"/>
      <c r="E4478" s="176"/>
      <c r="F4478" s="177"/>
      <c r="G4478" s="178"/>
      <c r="H4478" s="177"/>
      <c r="I4478" s="177"/>
      <c r="J4478" s="179"/>
      <c r="K4478" s="183"/>
      <c r="L4478" s="176"/>
      <c r="M4478" s="177"/>
      <c r="N4478" s="21"/>
      <c r="O4478" s="45"/>
      <c r="P4478" s="24"/>
      <c r="Q4478" s="24"/>
      <c r="R4478" s="180"/>
      <c r="S4478" s="181"/>
      <c r="T4478" s="35"/>
      <c r="U4478" s="35"/>
      <c r="V4478" s="35"/>
      <c r="W4478" s="35"/>
      <c r="X4478" s="35"/>
      <c r="Y4478" s="182"/>
      <c r="Z4478" s="175"/>
      <c r="AA4478" s="182"/>
      <c r="AB4478" s="184"/>
    </row>
    <row r="4479" spans="1:28" ht="12.75">
      <c r="A4479" s="173"/>
      <c r="B4479" s="174"/>
      <c r="C4479" s="11"/>
      <c r="D4479" s="175"/>
      <c r="E4479" s="176"/>
      <c r="F4479" s="177"/>
      <c r="G4479" s="178"/>
      <c r="H4479" s="177"/>
      <c r="I4479" s="177"/>
      <c r="J4479" s="179"/>
      <c r="K4479" s="183"/>
      <c r="L4479" s="176"/>
      <c r="M4479" s="177"/>
      <c r="N4479" s="21"/>
      <c r="O4479" s="45"/>
      <c r="P4479" s="24"/>
      <c r="Q4479" s="24"/>
      <c r="R4479" s="180"/>
      <c r="S4479" s="181"/>
      <c r="T4479" s="35"/>
      <c r="U4479" s="35"/>
      <c r="V4479" s="35"/>
      <c r="W4479" s="35"/>
      <c r="X4479" s="35"/>
      <c r="Y4479" s="182"/>
      <c r="Z4479" s="175"/>
      <c r="AA4479" s="182"/>
      <c r="AB4479" s="184"/>
    </row>
    <row r="4480" spans="1:28" ht="12.75">
      <c r="A4480" s="173"/>
      <c r="B4480" s="174"/>
      <c r="C4480" s="11"/>
      <c r="D4480" s="175"/>
      <c r="E4480" s="176"/>
      <c r="F4480" s="177"/>
      <c r="G4480" s="178"/>
      <c r="H4480" s="177"/>
      <c r="I4480" s="177"/>
      <c r="J4480" s="179"/>
      <c r="K4480" s="183"/>
      <c r="L4480" s="176"/>
      <c r="M4480" s="177"/>
      <c r="N4480" s="21"/>
      <c r="O4480" s="45"/>
      <c r="P4480" s="24"/>
      <c r="Q4480" s="24"/>
      <c r="R4480" s="180"/>
      <c r="S4480" s="181"/>
      <c r="T4480" s="35"/>
      <c r="U4480" s="35"/>
      <c r="V4480" s="35"/>
      <c r="W4480" s="35"/>
      <c r="X4480" s="35"/>
      <c r="Y4480" s="182"/>
      <c r="Z4480" s="175"/>
      <c r="AA4480" s="182"/>
      <c r="AB4480" s="184"/>
    </row>
    <row r="4481" spans="1:28" ht="12.75">
      <c r="A4481" s="173"/>
      <c r="B4481" s="174"/>
      <c r="C4481" s="11"/>
      <c r="D4481" s="175"/>
      <c r="E4481" s="176"/>
      <c r="F4481" s="177"/>
      <c r="G4481" s="178"/>
      <c r="H4481" s="177"/>
      <c r="I4481" s="177"/>
      <c r="J4481" s="179"/>
      <c r="K4481" s="183"/>
      <c r="L4481" s="176"/>
      <c r="M4481" s="177"/>
      <c r="N4481" s="21"/>
      <c r="O4481" s="45"/>
      <c r="P4481" s="24"/>
      <c r="Q4481" s="24"/>
      <c r="R4481" s="180"/>
      <c r="S4481" s="181"/>
      <c r="T4481" s="35"/>
      <c r="U4481" s="35"/>
      <c r="V4481" s="35"/>
      <c r="W4481" s="35"/>
      <c r="X4481" s="35"/>
      <c r="Y4481" s="182"/>
      <c r="Z4481" s="175"/>
      <c r="AA4481" s="182"/>
      <c r="AB4481" s="184"/>
    </row>
    <row r="4482" spans="1:28" ht="12.75">
      <c r="A4482" s="173"/>
      <c r="B4482" s="174"/>
      <c r="C4482" s="11"/>
      <c r="D4482" s="175"/>
      <c r="E4482" s="176"/>
      <c r="F4482" s="177"/>
      <c r="G4482" s="178"/>
      <c r="H4482" s="177"/>
      <c r="I4482" s="177"/>
      <c r="J4482" s="179"/>
      <c r="K4482" s="183"/>
      <c r="L4482" s="176"/>
      <c r="M4482" s="177"/>
      <c r="N4482" s="21"/>
      <c r="O4482" s="45"/>
      <c r="P4482" s="24"/>
      <c r="Q4482" s="24"/>
      <c r="R4482" s="180"/>
      <c r="S4482" s="181"/>
      <c r="T4482" s="35"/>
      <c r="U4482" s="35"/>
      <c r="V4482" s="35"/>
      <c r="W4482" s="35"/>
      <c r="X4482" s="35"/>
      <c r="Y4482" s="182"/>
      <c r="Z4482" s="175"/>
      <c r="AA4482" s="182"/>
      <c r="AB4482" s="184"/>
    </row>
    <row r="4483" spans="1:28" ht="12.75">
      <c r="A4483" s="173"/>
      <c r="B4483" s="174"/>
      <c r="C4483" s="11"/>
      <c r="D4483" s="175"/>
      <c r="E4483" s="176"/>
      <c r="F4483" s="177"/>
      <c r="G4483" s="178"/>
      <c r="H4483" s="177"/>
      <c r="I4483" s="177"/>
      <c r="J4483" s="179"/>
      <c r="K4483" s="183"/>
      <c r="L4483" s="176"/>
      <c r="M4483" s="177"/>
      <c r="N4483" s="21"/>
      <c r="O4483" s="45"/>
      <c r="P4483" s="24"/>
      <c r="Q4483" s="24"/>
      <c r="R4483" s="180"/>
      <c r="S4483" s="181"/>
      <c r="T4483" s="35"/>
      <c r="U4483" s="35"/>
      <c r="V4483" s="35"/>
      <c r="W4483" s="35"/>
      <c r="X4483" s="35"/>
      <c r="Y4483" s="182"/>
      <c r="Z4483" s="175"/>
      <c r="AA4483" s="182"/>
      <c r="AB4483" s="184"/>
    </row>
    <row r="4484" spans="1:28" ht="12.75">
      <c r="A4484" s="173"/>
      <c r="B4484" s="174"/>
      <c r="C4484" s="11"/>
      <c r="D4484" s="175"/>
      <c r="E4484" s="176"/>
      <c r="F4484" s="177"/>
      <c r="G4484" s="178"/>
      <c r="H4484" s="177"/>
      <c r="I4484" s="177"/>
      <c r="J4484" s="179"/>
      <c r="K4484" s="183"/>
      <c r="L4484" s="176"/>
      <c r="M4484" s="177"/>
      <c r="N4484" s="21"/>
      <c r="O4484" s="45"/>
      <c r="P4484" s="24"/>
      <c r="Q4484" s="24"/>
      <c r="R4484" s="180"/>
      <c r="S4484" s="181"/>
      <c r="T4484" s="35"/>
      <c r="U4484" s="35"/>
      <c r="V4484" s="35"/>
      <c r="W4484" s="35"/>
      <c r="X4484" s="35"/>
      <c r="Y4484" s="182"/>
      <c r="Z4484" s="175"/>
      <c r="AA4484" s="182"/>
      <c r="AB4484" s="184"/>
    </row>
    <row r="4485" spans="1:28" ht="12.75">
      <c r="A4485" s="173"/>
      <c r="B4485" s="174"/>
      <c r="C4485" s="11"/>
      <c r="D4485" s="175"/>
      <c r="E4485" s="176"/>
      <c r="F4485" s="177"/>
      <c r="G4485" s="178"/>
      <c r="H4485" s="177"/>
      <c r="I4485" s="177"/>
      <c r="J4485" s="179"/>
      <c r="K4485" s="183"/>
      <c r="L4485" s="176"/>
      <c r="M4485" s="177"/>
      <c r="N4485" s="21"/>
      <c r="O4485" s="45"/>
      <c r="P4485" s="24"/>
      <c r="Q4485" s="24"/>
      <c r="R4485" s="180"/>
      <c r="S4485" s="181"/>
      <c r="T4485" s="35"/>
      <c r="U4485" s="35"/>
      <c r="V4485" s="35"/>
      <c r="W4485" s="35"/>
      <c r="X4485" s="35"/>
      <c r="Y4485" s="182"/>
      <c r="Z4485" s="175"/>
      <c r="AA4485" s="182"/>
      <c r="AB4485" s="184"/>
    </row>
    <row r="4486" spans="1:28" ht="12.75">
      <c r="A4486" s="173"/>
      <c r="B4486" s="174"/>
      <c r="C4486" s="11"/>
      <c r="D4486" s="175"/>
      <c r="E4486" s="176"/>
      <c r="F4486" s="177"/>
      <c r="G4486" s="178"/>
      <c r="H4486" s="177"/>
      <c r="I4486" s="177"/>
      <c r="J4486" s="179"/>
      <c r="K4486" s="183"/>
      <c r="L4486" s="176"/>
      <c r="M4486" s="177"/>
      <c r="N4486" s="21"/>
      <c r="O4486" s="45"/>
      <c r="P4486" s="24"/>
      <c r="Q4486" s="24"/>
      <c r="R4486" s="180"/>
      <c r="S4486" s="181"/>
      <c r="T4486" s="35"/>
      <c r="U4486" s="35"/>
      <c r="V4486" s="35"/>
      <c r="W4486" s="35"/>
      <c r="X4486" s="35"/>
      <c r="Y4486" s="182"/>
      <c r="Z4486" s="175"/>
      <c r="AA4486" s="182"/>
      <c r="AB4486" s="184"/>
    </row>
    <row r="4487" spans="1:28" ht="12.75">
      <c r="A4487" s="173"/>
      <c r="B4487" s="174"/>
      <c r="C4487" s="11"/>
      <c r="D4487" s="175"/>
      <c r="E4487" s="176"/>
      <c r="F4487" s="177"/>
      <c r="G4487" s="178"/>
      <c r="H4487" s="177"/>
      <c r="I4487" s="177"/>
      <c r="J4487" s="179"/>
      <c r="K4487" s="183"/>
      <c r="L4487" s="176"/>
      <c r="M4487" s="177"/>
      <c r="N4487" s="21"/>
      <c r="O4487" s="45"/>
      <c r="P4487" s="24"/>
      <c r="Q4487" s="24"/>
      <c r="R4487" s="180"/>
      <c r="S4487" s="181"/>
      <c r="T4487" s="35"/>
      <c r="U4487" s="35"/>
      <c r="V4487" s="35"/>
      <c r="W4487" s="35"/>
      <c r="X4487" s="35"/>
      <c r="Y4487" s="182"/>
      <c r="Z4487" s="175"/>
      <c r="AA4487" s="182"/>
      <c r="AB4487" s="184"/>
    </row>
    <row r="4488" spans="1:28" ht="12.75">
      <c r="A4488" s="173"/>
      <c r="B4488" s="174"/>
      <c r="C4488" s="11"/>
      <c r="D4488" s="175"/>
      <c r="E4488" s="176"/>
      <c r="F4488" s="177"/>
      <c r="G4488" s="178"/>
      <c r="H4488" s="177"/>
      <c r="I4488" s="177"/>
      <c r="J4488" s="179"/>
      <c r="K4488" s="183"/>
      <c r="L4488" s="176"/>
      <c r="M4488" s="177"/>
      <c r="N4488" s="21"/>
      <c r="O4488" s="45"/>
      <c r="P4488" s="24"/>
      <c r="Q4488" s="24"/>
      <c r="R4488" s="180"/>
      <c r="S4488" s="181"/>
      <c r="T4488" s="35"/>
      <c r="U4488" s="35"/>
      <c r="V4488" s="35"/>
      <c r="W4488" s="35"/>
      <c r="X4488" s="35"/>
      <c r="Y4488" s="182"/>
      <c r="Z4488" s="175"/>
      <c r="AA4488" s="182"/>
      <c r="AB4488" s="184"/>
    </row>
    <row r="4489" spans="1:28" ht="12.75">
      <c r="A4489" s="173"/>
      <c r="B4489" s="174"/>
      <c r="C4489" s="11"/>
      <c r="D4489" s="175"/>
      <c r="E4489" s="176"/>
      <c r="F4489" s="177"/>
      <c r="G4489" s="178"/>
      <c r="H4489" s="177"/>
      <c r="I4489" s="177"/>
      <c r="J4489" s="179"/>
      <c r="K4489" s="183"/>
      <c r="L4489" s="176"/>
      <c r="M4489" s="177"/>
      <c r="N4489" s="21"/>
      <c r="O4489" s="45"/>
      <c r="P4489" s="24"/>
      <c r="Q4489" s="24"/>
      <c r="R4489" s="180"/>
      <c r="S4489" s="181"/>
      <c r="T4489" s="35"/>
      <c r="U4489" s="35"/>
      <c r="V4489" s="35"/>
      <c r="W4489" s="35"/>
      <c r="X4489" s="35"/>
      <c r="Y4489" s="182"/>
      <c r="Z4489" s="175"/>
      <c r="AA4489" s="182"/>
      <c r="AB4489" s="184"/>
    </row>
    <row r="4490" spans="1:28" ht="12.75">
      <c r="A4490" s="173"/>
      <c r="B4490" s="174"/>
      <c r="C4490" s="11"/>
      <c r="D4490" s="175"/>
      <c r="E4490" s="176"/>
      <c r="F4490" s="177"/>
      <c r="G4490" s="178"/>
      <c r="H4490" s="177"/>
      <c r="I4490" s="177"/>
      <c r="J4490" s="179"/>
      <c r="K4490" s="183"/>
      <c r="L4490" s="176"/>
      <c r="M4490" s="177"/>
      <c r="N4490" s="21"/>
      <c r="O4490" s="45"/>
      <c r="P4490" s="24"/>
      <c r="Q4490" s="24"/>
      <c r="R4490" s="180"/>
      <c r="S4490" s="181"/>
      <c r="T4490" s="35"/>
      <c r="U4490" s="35"/>
      <c r="V4490" s="35"/>
      <c r="W4490" s="35"/>
      <c r="X4490" s="35"/>
      <c r="Y4490" s="182"/>
      <c r="Z4490" s="175"/>
      <c r="AA4490" s="182"/>
      <c r="AB4490" s="184"/>
    </row>
    <row r="4491" spans="1:28" ht="12.75">
      <c r="A4491" s="173"/>
      <c r="B4491" s="174"/>
      <c r="C4491" s="11"/>
      <c r="D4491" s="175"/>
      <c r="E4491" s="176"/>
      <c r="F4491" s="177"/>
      <c r="G4491" s="178"/>
      <c r="H4491" s="177"/>
      <c r="I4491" s="177"/>
      <c r="J4491" s="179"/>
      <c r="K4491" s="183"/>
      <c r="L4491" s="176"/>
      <c r="M4491" s="177"/>
      <c r="N4491" s="21"/>
      <c r="O4491" s="45"/>
      <c r="P4491" s="24"/>
      <c r="Q4491" s="24"/>
      <c r="R4491" s="180"/>
      <c r="S4491" s="181"/>
      <c r="T4491" s="35"/>
      <c r="U4491" s="35"/>
      <c r="V4491" s="35"/>
      <c r="W4491" s="35"/>
      <c r="X4491" s="35"/>
      <c r="Y4491" s="182"/>
      <c r="Z4491" s="175"/>
      <c r="AA4491" s="182"/>
      <c r="AB4491" s="184"/>
    </row>
    <row r="4492" spans="1:28" ht="12.75">
      <c r="A4492" s="173"/>
      <c r="B4492" s="174"/>
      <c r="C4492" s="11"/>
      <c r="D4492" s="175"/>
      <c r="E4492" s="176"/>
      <c r="F4492" s="177"/>
      <c r="G4492" s="178"/>
      <c r="H4492" s="177"/>
      <c r="I4492" s="177"/>
      <c r="J4492" s="179"/>
      <c r="K4492" s="183"/>
      <c r="L4492" s="176"/>
      <c r="M4492" s="177"/>
      <c r="N4492" s="21"/>
      <c r="O4492" s="45"/>
      <c r="P4492" s="24"/>
      <c r="Q4492" s="24"/>
      <c r="R4492" s="180"/>
      <c r="S4492" s="181"/>
      <c r="T4492" s="35"/>
      <c r="U4492" s="35"/>
      <c r="V4492" s="35"/>
      <c r="W4492" s="35"/>
      <c r="X4492" s="35"/>
      <c r="Y4492" s="182"/>
      <c r="Z4492" s="175"/>
      <c r="AA4492" s="182"/>
      <c r="AB4492" s="184"/>
    </row>
    <row r="4493" spans="1:28" ht="12.75">
      <c r="A4493" s="173"/>
      <c r="B4493" s="174"/>
      <c r="C4493" s="11"/>
      <c r="D4493" s="175"/>
      <c r="E4493" s="176"/>
      <c r="F4493" s="177"/>
      <c r="G4493" s="178"/>
      <c r="H4493" s="177"/>
      <c r="I4493" s="177"/>
      <c r="J4493" s="179"/>
      <c r="K4493" s="183"/>
      <c r="L4493" s="176"/>
      <c r="M4493" s="177"/>
      <c r="N4493" s="21"/>
      <c r="O4493" s="45"/>
      <c r="P4493" s="24"/>
      <c r="Q4493" s="24"/>
      <c r="R4493" s="180"/>
      <c r="S4493" s="181"/>
      <c r="T4493" s="35"/>
      <c r="U4493" s="35"/>
      <c r="V4493" s="35"/>
      <c r="W4493" s="35"/>
      <c r="X4493" s="35"/>
      <c r="Y4493" s="182"/>
      <c r="Z4493" s="175"/>
      <c r="AA4493" s="182"/>
      <c r="AB4493" s="184"/>
    </row>
    <row r="4494" spans="1:28" ht="12.75">
      <c r="A4494" s="173"/>
      <c r="B4494" s="174"/>
      <c r="C4494" s="11"/>
      <c r="D4494" s="175"/>
      <c r="E4494" s="176"/>
      <c r="F4494" s="177"/>
      <c r="G4494" s="178"/>
      <c r="H4494" s="177"/>
      <c r="I4494" s="177"/>
      <c r="J4494" s="179"/>
      <c r="K4494" s="183"/>
      <c r="L4494" s="176"/>
      <c r="M4494" s="177"/>
      <c r="N4494" s="21"/>
      <c r="O4494" s="45"/>
      <c r="P4494" s="24"/>
      <c r="Q4494" s="24"/>
      <c r="R4494" s="180"/>
      <c r="S4494" s="181"/>
      <c r="T4494" s="35"/>
      <c r="U4494" s="35"/>
      <c r="V4494" s="35"/>
      <c r="W4494" s="35"/>
      <c r="X4494" s="35"/>
      <c r="Y4494" s="182"/>
      <c r="Z4494" s="175"/>
      <c r="AA4494" s="182"/>
      <c r="AB4494" s="184"/>
    </row>
    <row r="4495" spans="1:28" ht="12.75">
      <c r="A4495" s="173"/>
      <c r="B4495" s="174"/>
      <c r="C4495" s="11"/>
      <c r="D4495" s="175"/>
      <c r="E4495" s="176"/>
      <c r="F4495" s="177"/>
      <c r="G4495" s="178"/>
      <c r="H4495" s="177"/>
      <c r="I4495" s="177"/>
      <c r="J4495" s="179"/>
      <c r="K4495" s="183"/>
      <c r="L4495" s="176"/>
      <c r="M4495" s="177"/>
      <c r="N4495" s="21"/>
      <c r="O4495" s="45"/>
      <c r="P4495" s="24"/>
      <c r="Q4495" s="24"/>
      <c r="R4495" s="180"/>
      <c r="S4495" s="181"/>
      <c r="T4495" s="35"/>
      <c r="U4495" s="35"/>
      <c r="V4495" s="35"/>
      <c r="W4495" s="35"/>
      <c r="X4495" s="35"/>
      <c r="Y4495" s="182"/>
      <c r="Z4495" s="175"/>
      <c r="AA4495" s="182"/>
      <c r="AB4495" s="184"/>
    </row>
    <row r="4496" spans="1:28" ht="12.75">
      <c r="A4496" s="173"/>
      <c r="B4496" s="174"/>
      <c r="C4496" s="11"/>
      <c r="D4496" s="175"/>
      <c r="E4496" s="176"/>
      <c r="F4496" s="177"/>
      <c r="G4496" s="178"/>
      <c r="H4496" s="177"/>
      <c r="I4496" s="177"/>
      <c r="J4496" s="179"/>
      <c r="K4496" s="183"/>
      <c r="L4496" s="176"/>
      <c r="M4496" s="177"/>
      <c r="N4496" s="21"/>
      <c r="O4496" s="45"/>
      <c r="P4496" s="24"/>
      <c r="Q4496" s="24"/>
      <c r="R4496" s="180"/>
      <c r="S4496" s="181"/>
      <c r="T4496" s="35"/>
      <c r="U4496" s="35"/>
      <c r="V4496" s="35"/>
      <c r="W4496" s="35"/>
      <c r="X4496" s="35"/>
      <c r="Y4496" s="182"/>
      <c r="Z4496" s="175"/>
      <c r="AA4496" s="182"/>
      <c r="AB4496" s="184"/>
    </row>
    <row r="4497" spans="1:28" ht="12.75">
      <c r="A4497" s="173"/>
      <c r="B4497" s="174"/>
      <c r="C4497" s="11"/>
      <c r="D4497" s="175"/>
      <c r="E4497" s="176"/>
      <c r="F4497" s="177"/>
      <c r="G4497" s="178"/>
      <c r="H4497" s="177"/>
      <c r="I4497" s="177"/>
      <c r="J4497" s="179"/>
      <c r="K4497" s="183"/>
      <c r="L4497" s="176"/>
      <c r="M4497" s="177"/>
      <c r="N4497" s="21"/>
      <c r="O4497" s="45"/>
      <c r="P4497" s="24"/>
      <c r="Q4497" s="24"/>
      <c r="R4497" s="180"/>
      <c r="S4497" s="181"/>
      <c r="T4497" s="35"/>
      <c r="U4497" s="35"/>
      <c r="V4497" s="35"/>
      <c r="W4497" s="35"/>
      <c r="X4497" s="35"/>
      <c r="Y4497" s="182"/>
      <c r="Z4497" s="175"/>
      <c r="AA4497" s="182"/>
      <c r="AB4497" s="184"/>
    </row>
    <row r="4498" spans="1:28" ht="12.75">
      <c r="A4498" s="173"/>
      <c r="B4498" s="174"/>
      <c r="C4498" s="11"/>
      <c r="D4498" s="175"/>
      <c r="E4498" s="176"/>
      <c r="F4498" s="177"/>
      <c r="G4498" s="178"/>
      <c r="H4498" s="177"/>
      <c r="I4498" s="177"/>
      <c r="J4498" s="179"/>
      <c r="K4498" s="183"/>
      <c r="L4498" s="176"/>
      <c r="M4498" s="177"/>
      <c r="N4498" s="21"/>
      <c r="O4498" s="45"/>
      <c r="P4498" s="24"/>
      <c r="Q4498" s="24"/>
      <c r="R4498" s="180"/>
      <c r="S4498" s="181"/>
      <c r="T4498" s="35"/>
      <c r="U4498" s="35"/>
      <c r="V4498" s="35"/>
      <c r="W4498" s="35"/>
      <c r="X4498" s="35"/>
      <c r="Y4498" s="182"/>
      <c r="Z4498" s="175"/>
      <c r="AA4498" s="182"/>
      <c r="AB4498" s="184"/>
    </row>
    <row r="4499" spans="1:28" ht="12.75">
      <c r="A4499" s="173"/>
      <c r="B4499" s="174"/>
      <c r="C4499" s="11"/>
      <c r="D4499" s="175"/>
      <c r="E4499" s="176"/>
      <c r="F4499" s="177"/>
      <c r="G4499" s="178"/>
      <c r="H4499" s="177"/>
      <c r="I4499" s="177"/>
      <c r="J4499" s="179"/>
      <c r="K4499" s="183"/>
      <c r="L4499" s="176"/>
      <c r="M4499" s="177"/>
      <c r="N4499" s="21"/>
      <c r="O4499" s="45"/>
      <c r="P4499" s="24"/>
      <c r="Q4499" s="24"/>
      <c r="R4499" s="180"/>
      <c r="S4499" s="181"/>
      <c r="T4499" s="35"/>
      <c r="U4499" s="35"/>
      <c r="V4499" s="35"/>
      <c r="W4499" s="35"/>
      <c r="X4499" s="35"/>
      <c r="Y4499" s="182"/>
      <c r="Z4499" s="175"/>
      <c r="AA4499" s="182"/>
      <c r="AB4499" s="184"/>
    </row>
    <row r="4500" spans="1:28" ht="12.75">
      <c r="A4500" s="173"/>
      <c r="B4500" s="174"/>
      <c r="C4500" s="11"/>
      <c r="D4500" s="175"/>
      <c r="E4500" s="176"/>
      <c r="F4500" s="177"/>
      <c r="G4500" s="178"/>
      <c r="H4500" s="177"/>
      <c r="I4500" s="177"/>
      <c r="J4500" s="179"/>
      <c r="K4500" s="183"/>
      <c r="L4500" s="176"/>
      <c r="M4500" s="177"/>
      <c r="N4500" s="21"/>
      <c r="O4500" s="45"/>
      <c r="P4500" s="24"/>
      <c r="Q4500" s="24"/>
      <c r="R4500" s="180"/>
      <c r="S4500" s="181"/>
      <c r="T4500" s="35"/>
      <c r="U4500" s="35"/>
      <c r="V4500" s="35"/>
      <c r="W4500" s="35"/>
      <c r="X4500" s="35"/>
      <c r="Y4500" s="182"/>
      <c r="Z4500" s="175"/>
      <c r="AA4500" s="182"/>
      <c r="AB4500" s="184"/>
    </row>
    <row r="4501" spans="1:28" ht="12.75">
      <c r="A4501" s="173"/>
      <c r="B4501" s="174"/>
      <c r="C4501" s="11"/>
      <c r="D4501" s="175"/>
      <c r="E4501" s="176"/>
      <c r="F4501" s="177"/>
      <c r="G4501" s="178"/>
      <c r="H4501" s="177"/>
      <c r="I4501" s="177"/>
      <c r="J4501" s="179"/>
      <c r="K4501" s="183"/>
      <c r="L4501" s="176"/>
      <c r="M4501" s="177"/>
      <c r="N4501" s="21"/>
      <c r="O4501" s="45"/>
      <c r="P4501" s="24"/>
      <c r="Q4501" s="24"/>
      <c r="R4501" s="180"/>
      <c r="S4501" s="181"/>
      <c r="T4501" s="35"/>
      <c r="U4501" s="35"/>
      <c r="V4501" s="35"/>
      <c r="W4501" s="35"/>
      <c r="X4501" s="35"/>
      <c r="Y4501" s="182"/>
      <c r="Z4501" s="175"/>
      <c r="AA4501" s="182"/>
      <c r="AB4501" s="184"/>
    </row>
    <row r="4502" spans="1:28" ht="12.75">
      <c r="A4502" s="173"/>
      <c r="B4502" s="174"/>
      <c r="C4502" s="11"/>
      <c r="D4502" s="175"/>
      <c r="E4502" s="176"/>
      <c r="F4502" s="177"/>
      <c r="G4502" s="178"/>
      <c r="H4502" s="177"/>
      <c r="I4502" s="177"/>
      <c r="J4502" s="179"/>
      <c r="K4502" s="183"/>
      <c r="L4502" s="176"/>
      <c r="M4502" s="177"/>
      <c r="N4502" s="21"/>
      <c r="O4502" s="45"/>
      <c r="P4502" s="24"/>
      <c r="Q4502" s="24"/>
      <c r="R4502" s="180"/>
      <c r="S4502" s="181"/>
      <c r="T4502" s="35"/>
      <c r="U4502" s="35"/>
      <c r="V4502" s="35"/>
      <c r="W4502" s="35"/>
      <c r="X4502" s="35"/>
      <c r="Y4502" s="182"/>
      <c r="Z4502" s="175"/>
      <c r="AA4502" s="182"/>
      <c r="AB4502" s="184"/>
    </row>
    <row r="4503" spans="1:28" ht="12.75">
      <c r="A4503" s="173"/>
      <c r="B4503" s="174"/>
      <c r="C4503" s="11"/>
      <c r="D4503" s="175"/>
      <c r="E4503" s="176"/>
      <c r="F4503" s="177"/>
      <c r="G4503" s="178"/>
      <c r="H4503" s="177"/>
      <c r="I4503" s="177"/>
      <c r="J4503" s="179"/>
      <c r="K4503" s="183"/>
      <c r="L4503" s="176"/>
      <c r="M4503" s="177"/>
      <c r="N4503" s="21"/>
      <c r="O4503" s="45"/>
      <c r="P4503" s="24"/>
      <c r="Q4503" s="24"/>
      <c r="R4503" s="180"/>
      <c r="S4503" s="181"/>
      <c r="T4503" s="35"/>
      <c r="U4503" s="35"/>
      <c r="V4503" s="35"/>
      <c r="W4503" s="35"/>
      <c r="X4503" s="35"/>
      <c r="Y4503" s="182"/>
      <c r="Z4503" s="175"/>
      <c r="AA4503" s="182"/>
      <c r="AB4503" s="184"/>
    </row>
    <row r="4504" spans="1:28" ht="12.75">
      <c r="A4504" s="173"/>
      <c r="B4504" s="174"/>
      <c r="C4504" s="11"/>
      <c r="D4504" s="175"/>
      <c r="E4504" s="176"/>
      <c r="F4504" s="177"/>
      <c r="G4504" s="178"/>
      <c r="H4504" s="177"/>
      <c r="I4504" s="177"/>
      <c r="J4504" s="179"/>
      <c r="K4504" s="183"/>
      <c r="L4504" s="176"/>
      <c r="M4504" s="177"/>
      <c r="N4504" s="21"/>
      <c r="O4504" s="45"/>
      <c r="P4504" s="24"/>
      <c r="Q4504" s="24"/>
      <c r="R4504" s="180"/>
      <c r="S4504" s="181"/>
      <c r="T4504" s="35"/>
      <c r="U4504" s="35"/>
      <c r="V4504" s="35"/>
      <c r="W4504" s="35"/>
      <c r="X4504" s="35"/>
      <c r="Y4504" s="182"/>
      <c r="Z4504" s="175"/>
      <c r="AA4504" s="182"/>
      <c r="AB4504" s="184"/>
    </row>
    <row r="4505" spans="1:28" ht="12.75">
      <c r="A4505" s="173"/>
      <c r="B4505" s="174"/>
      <c r="C4505" s="11"/>
      <c r="D4505" s="175"/>
      <c r="E4505" s="176"/>
      <c r="F4505" s="177"/>
      <c r="G4505" s="178"/>
      <c r="H4505" s="177"/>
      <c r="I4505" s="177"/>
      <c r="J4505" s="179"/>
      <c r="K4505" s="183"/>
      <c r="L4505" s="176"/>
      <c r="M4505" s="177"/>
      <c r="N4505" s="21"/>
      <c r="O4505" s="45"/>
      <c r="P4505" s="24"/>
      <c r="Q4505" s="24"/>
      <c r="R4505" s="180"/>
      <c r="S4505" s="181"/>
      <c r="T4505" s="35"/>
      <c r="U4505" s="35"/>
      <c r="V4505" s="35"/>
      <c r="W4505" s="35"/>
      <c r="X4505" s="35"/>
      <c r="Y4505" s="182"/>
      <c r="Z4505" s="175"/>
      <c r="AA4505" s="182"/>
      <c r="AB4505" s="184"/>
    </row>
    <row r="4506" spans="1:28" ht="12.75">
      <c r="A4506" s="173"/>
      <c r="B4506" s="174"/>
      <c r="C4506" s="11"/>
      <c r="D4506" s="175"/>
      <c r="E4506" s="176"/>
      <c r="F4506" s="177"/>
      <c r="G4506" s="178"/>
      <c r="H4506" s="177"/>
      <c r="I4506" s="177"/>
      <c r="J4506" s="179"/>
      <c r="K4506" s="183"/>
      <c r="L4506" s="176"/>
      <c r="M4506" s="177"/>
      <c r="N4506" s="21"/>
      <c r="O4506" s="45"/>
      <c r="P4506" s="24"/>
      <c r="Q4506" s="24"/>
      <c r="R4506" s="180"/>
      <c r="S4506" s="181"/>
      <c r="T4506" s="35"/>
      <c r="U4506" s="35"/>
      <c r="V4506" s="35"/>
      <c r="W4506" s="35"/>
      <c r="X4506" s="35"/>
      <c r="Y4506" s="182"/>
      <c r="Z4506" s="175"/>
      <c r="AA4506" s="182"/>
      <c r="AB4506" s="184"/>
    </row>
    <row r="4507" spans="1:28" ht="12.75">
      <c r="A4507" s="173"/>
      <c r="B4507" s="174"/>
      <c r="C4507" s="11"/>
      <c r="D4507" s="175"/>
      <c r="E4507" s="176"/>
      <c r="F4507" s="177"/>
      <c r="G4507" s="178"/>
      <c r="H4507" s="177"/>
      <c r="I4507" s="177"/>
      <c r="J4507" s="179"/>
      <c r="K4507" s="183"/>
      <c r="L4507" s="176"/>
      <c r="M4507" s="177"/>
      <c r="N4507" s="21"/>
      <c r="O4507" s="45"/>
      <c r="P4507" s="24"/>
      <c r="Q4507" s="24"/>
      <c r="R4507" s="180"/>
      <c r="S4507" s="181"/>
      <c r="T4507" s="35"/>
      <c r="U4507" s="35"/>
      <c r="V4507" s="35"/>
      <c r="W4507" s="35"/>
      <c r="X4507" s="35"/>
      <c r="Y4507" s="182"/>
      <c r="Z4507" s="175"/>
      <c r="AA4507" s="182"/>
      <c r="AB4507" s="184"/>
    </row>
    <row r="4508" spans="1:28" ht="12.75">
      <c r="A4508" s="173"/>
      <c r="B4508" s="174"/>
      <c r="C4508" s="11"/>
      <c r="D4508" s="175"/>
      <c r="E4508" s="176"/>
      <c r="F4508" s="177"/>
      <c r="G4508" s="178"/>
      <c r="H4508" s="177"/>
      <c r="I4508" s="177"/>
      <c r="J4508" s="179"/>
      <c r="K4508" s="183"/>
      <c r="L4508" s="176"/>
      <c r="M4508" s="177"/>
      <c r="N4508" s="21"/>
      <c r="O4508" s="45"/>
      <c r="P4508" s="24"/>
      <c r="Q4508" s="24"/>
      <c r="R4508" s="180"/>
      <c r="S4508" s="181"/>
      <c r="T4508" s="35"/>
      <c r="U4508" s="35"/>
      <c r="V4508" s="35"/>
      <c r="W4508" s="35"/>
      <c r="X4508" s="35"/>
      <c r="Y4508" s="182"/>
      <c r="Z4508" s="175"/>
      <c r="AA4508" s="182"/>
      <c r="AB4508" s="184"/>
    </row>
    <row r="4509" spans="1:28" ht="12.75">
      <c r="A4509" s="173"/>
      <c r="B4509" s="174"/>
      <c r="C4509" s="11"/>
      <c r="D4509" s="175"/>
      <c r="E4509" s="176"/>
      <c r="F4509" s="177"/>
      <c r="G4509" s="178"/>
      <c r="H4509" s="177"/>
      <c r="I4509" s="177"/>
      <c r="J4509" s="179"/>
      <c r="K4509" s="183"/>
      <c r="L4509" s="176"/>
      <c r="M4509" s="177"/>
      <c r="N4509" s="21"/>
      <c r="O4509" s="45"/>
      <c r="P4509" s="24"/>
      <c r="Q4509" s="24"/>
      <c r="R4509" s="180"/>
      <c r="S4509" s="181"/>
      <c r="T4509" s="35"/>
      <c r="U4509" s="35"/>
      <c r="V4509" s="35"/>
      <c r="W4509" s="35"/>
      <c r="X4509" s="35"/>
      <c r="Y4509" s="182"/>
      <c r="Z4509" s="175"/>
      <c r="AA4509" s="182"/>
      <c r="AB4509" s="184"/>
    </row>
    <row r="4510" spans="1:28" ht="12.75">
      <c r="A4510" s="173"/>
      <c r="B4510" s="174"/>
      <c r="C4510" s="11"/>
      <c r="D4510" s="175"/>
      <c r="E4510" s="176"/>
      <c r="F4510" s="177"/>
      <c r="G4510" s="178"/>
      <c r="H4510" s="177"/>
      <c r="I4510" s="177"/>
      <c r="J4510" s="179"/>
      <c r="K4510" s="183"/>
      <c r="L4510" s="176"/>
      <c r="M4510" s="177"/>
      <c r="N4510" s="21"/>
      <c r="O4510" s="45"/>
      <c r="P4510" s="24"/>
      <c r="Q4510" s="24"/>
      <c r="R4510" s="180"/>
      <c r="S4510" s="181"/>
      <c r="T4510" s="35"/>
      <c r="U4510" s="35"/>
      <c r="V4510" s="35"/>
      <c r="W4510" s="35"/>
      <c r="X4510" s="35"/>
      <c r="Y4510" s="182"/>
      <c r="Z4510" s="175"/>
      <c r="AA4510" s="182"/>
      <c r="AB4510" s="184"/>
    </row>
    <row r="4511" spans="1:28" ht="12.75">
      <c r="A4511" s="173"/>
      <c r="B4511" s="174"/>
      <c r="C4511" s="11"/>
      <c r="D4511" s="175"/>
      <c r="E4511" s="176"/>
      <c r="F4511" s="177"/>
      <c r="G4511" s="178"/>
      <c r="H4511" s="177"/>
      <c r="I4511" s="177"/>
      <c r="J4511" s="179"/>
      <c r="K4511" s="183"/>
      <c r="L4511" s="176"/>
      <c r="M4511" s="177"/>
      <c r="N4511" s="21"/>
      <c r="O4511" s="45"/>
      <c r="P4511" s="24"/>
      <c r="Q4511" s="24"/>
      <c r="R4511" s="180"/>
      <c r="S4511" s="181"/>
      <c r="T4511" s="35"/>
      <c r="U4511" s="35"/>
      <c r="V4511" s="35"/>
      <c r="W4511" s="35"/>
      <c r="X4511" s="35"/>
      <c r="Y4511" s="182"/>
      <c r="Z4511" s="175"/>
      <c r="AA4511" s="182"/>
      <c r="AB4511" s="184"/>
    </row>
    <row r="4512" spans="1:28" ht="12.75">
      <c r="A4512" s="173"/>
      <c r="B4512" s="174"/>
      <c r="C4512" s="11"/>
      <c r="D4512" s="175"/>
      <c r="E4512" s="176"/>
      <c r="F4512" s="177"/>
      <c r="G4512" s="178"/>
      <c r="H4512" s="177"/>
      <c r="I4512" s="177"/>
      <c r="J4512" s="179"/>
      <c r="K4512" s="183"/>
      <c r="L4512" s="176"/>
      <c r="M4512" s="177"/>
      <c r="N4512" s="21"/>
      <c r="O4512" s="45"/>
      <c r="P4512" s="24"/>
      <c r="Q4512" s="24"/>
      <c r="R4512" s="180"/>
      <c r="S4512" s="181"/>
      <c r="T4512" s="35"/>
      <c r="U4512" s="35"/>
      <c r="V4512" s="35"/>
      <c r="W4512" s="35"/>
      <c r="X4512" s="35"/>
      <c r="Y4512" s="182"/>
      <c r="Z4512" s="175"/>
      <c r="AA4512" s="182"/>
      <c r="AB4512" s="184"/>
    </row>
    <row r="4513" spans="1:28" ht="12.75">
      <c r="A4513" s="173"/>
      <c r="B4513" s="174"/>
      <c r="C4513" s="11"/>
      <c r="D4513" s="175"/>
      <c r="E4513" s="176"/>
      <c r="F4513" s="177"/>
      <c r="G4513" s="178"/>
      <c r="H4513" s="177"/>
      <c r="I4513" s="177"/>
      <c r="J4513" s="179"/>
      <c r="K4513" s="183"/>
      <c r="L4513" s="176"/>
      <c r="M4513" s="177"/>
      <c r="N4513" s="21"/>
      <c r="O4513" s="45"/>
      <c r="P4513" s="24"/>
      <c r="Q4513" s="24"/>
      <c r="R4513" s="180"/>
      <c r="S4513" s="181"/>
      <c r="T4513" s="35"/>
      <c r="U4513" s="35"/>
      <c r="V4513" s="35"/>
      <c r="W4513" s="35"/>
      <c r="X4513" s="35"/>
      <c r="Y4513" s="182"/>
      <c r="Z4513" s="175"/>
      <c r="AA4513" s="182"/>
      <c r="AB4513" s="184"/>
    </row>
    <row r="4514" spans="1:28" ht="12.75">
      <c r="A4514" s="173"/>
      <c r="B4514" s="174"/>
      <c r="C4514" s="11"/>
      <c r="D4514" s="175"/>
      <c r="E4514" s="176"/>
      <c r="F4514" s="177"/>
      <c r="G4514" s="178"/>
      <c r="H4514" s="177"/>
      <c r="I4514" s="177"/>
      <c r="J4514" s="179"/>
      <c r="K4514" s="183"/>
      <c r="L4514" s="176"/>
      <c r="M4514" s="177"/>
      <c r="N4514" s="21"/>
      <c r="O4514" s="45"/>
      <c r="P4514" s="24"/>
      <c r="Q4514" s="24"/>
      <c r="R4514" s="180"/>
      <c r="S4514" s="181"/>
      <c r="T4514" s="35"/>
      <c r="U4514" s="35"/>
      <c r="V4514" s="35"/>
      <c r="W4514" s="35"/>
      <c r="X4514" s="35"/>
      <c r="Y4514" s="182"/>
      <c r="Z4514" s="175"/>
      <c r="AA4514" s="182"/>
      <c r="AB4514" s="184"/>
    </row>
    <row r="4515" spans="1:28" ht="12.75">
      <c r="A4515" s="173"/>
      <c r="B4515" s="174"/>
      <c r="C4515" s="11"/>
      <c r="D4515" s="175"/>
      <c r="E4515" s="176"/>
      <c r="F4515" s="177"/>
      <c r="G4515" s="178"/>
      <c r="H4515" s="177"/>
      <c r="I4515" s="177"/>
      <c r="J4515" s="179"/>
      <c r="K4515" s="183"/>
      <c r="L4515" s="176"/>
      <c r="M4515" s="177"/>
      <c r="N4515" s="21"/>
      <c r="O4515" s="45"/>
      <c r="P4515" s="24"/>
      <c r="Q4515" s="24"/>
      <c r="R4515" s="180"/>
      <c r="S4515" s="181"/>
      <c r="T4515" s="35"/>
      <c r="U4515" s="35"/>
      <c r="V4515" s="35"/>
      <c r="W4515" s="35"/>
      <c r="X4515" s="35"/>
      <c r="Y4515" s="182"/>
      <c r="Z4515" s="175"/>
      <c r="AA4515" s="182"/>
      <c r="AB4515" s="184"/>
    </row>
    <row r="4516" spans="1:28" ht="12.75">
      <c r="A4516" s="173"/>
      <c r="B4516" s="174"/>
      <c r="C4516" s="11"/>
      <c r="D4516" s="175"/>
      <c r="E4516" s="176"/>
      <c r="F4516" s="177"/>
      <c r="G4516" s="178"/>
      <c r="H4516" s="177"/>
      <c r="I4516" s="177"/>
      <c r="J4516" s="179"/>
      <c r="K4516" s="183"/>
      <c r="L4516" s="176"/>
      <c r="M4516" s="177"/>
      <c r="N4516" s="21"/>
      <c r="O4516" s="45"/>
      <c r="P4516" s="24"/>
      <c r="Q4516" s="24"/>
      <c r="R4516" s="180"/>
      <c r="S4516" s="181"/>
      <c r="T4516" s="35"/>
      <c r="U4516" s="35"/>
      <c r="V4516" s="35"/>
      <c r="W4516" s="35"/>
      <c r="X4516" s="35"/>
      <c r="Y4516" s="182"/>
      <c r="Z4516" s="175"/>
      <c r="AA4516" s="182"/>
      <c r="AB4516" s="184"/>
    </row>
    <row r="4517" spans="1:28" ht="12.75">
      <c r="A4517" s="173"/>
      <c r="B4517" s="174"/>
      <c r="C4517" s="11"/>
      <c r="D4517" s="175"/>
      <c r="E4517" s="176"/>
      <c r="F4517" s="177"/>
      <c r="G4517" s="178"/>
      <c r="H4517" s="177"/>
      <c r="I4517" s="177"/>
      <c r="J4517" s="179"/>
      <c r="K4517" s="183"/>
      <c r="L4517" s="176"/>
      <c r="M4517" s="177"/>
      <c r="N4517" s="21"/>
      <c r="O4517" s="45"/>
      <c r="P4517" s="24"/>
      <c r="Q4517" s="24"/>
      <c r="R4517" s="180"/>
      <c r="S4517" s="181"/>
      <c r="T4517" s="35"/>
      <c r="U4517" s="35"/>
      <c r="V4517" s="35"/>
      <c r="W4517" s="35"/>
      <c r="X4517" s="35"/>
      <c r="Y4517" s="182"/>
      <c r="Z4517" s="175"/>
      <c r="AA4517" s="182"/>
      <c r="AB4517" s="184"/>
    </row>
    <row r="4518" spans="1:28" ht="12.75">
      <c r="A4518" s="173"/>
      <c r="B4518" s="174"/>
      <c r="C4518" s="11"/>
      <c r="D4518" s="175"/>
      <c r="E4518" s="176"/>
      <c r="F4518" s="177"/>
      <c r="G4518" s="178"/>
      <c r="H4518" s="177"/>
      <c r="I4518" s="177"/>
      <c r="J4518" s="179"/>
      <c r="K4518" s="183"/>
      <c r="L4518" s="176"/>
      <c r="M4518" s="177"/>
      <c r="N4518" s="21"/>
      <c r="O4518" s="45"/>
      <c r="P4518" s="24"/>
      <c r="Q4518" s="24"/>
      <c r="R4518" s="180"/>
      <c r="S4518" s="181"/>
      <c r="T4518" s="35"/>
      <c r="U4518" s="35"/>
      <c r="V4518" s="35"/>
      <c r="W4518" s="35"/>
      <c r="X4518" s="35"/>
      <c r="Y4518" s="182"/>
      <c r="Z4518" s="175"/>
      <c r="AA4518" s="182"/>
      <c r="AB4518" s="184"/>
    </row>
    <row r="4519" spans="1:28" ht="12.75">
      <c r="A4519" s="173"/>
      <c r="B4519" s="174"/>
      <c r="C4519" s="11"/>
      <c r="D4519" s="175"/>
      <c r="E4519" s="176"/>
      <c r="F4519" s="177"/>
      <c r="G4519" s="178"/>
      <c r="H4519" s="177"/>
      <c r="I4519" s="177"/>
      <c r="J4519" s="179"/>
      <c r="K4519" s="183"/>
      <c r="L4519" s="176"/>
      <c r="M4519" s="177"/>
      <c r="N4519" s="21"/>
      <c r="O4519" s="45"/>
      <c r="P4519" s="24"/>
      <c r="Q4519" s="24"/>
      <c r="R4519" s="180"/>
      <c r="S4519" s="181"/>
      <c r="T4519" s="35"/>
      <c r="U4519" s="35"/>
      <c r="V4519" s="35"/>
      <c r="W4519" s="35"/>
      <c r="X4519" s="35"/>
      <c r="Y4519" s="182"/>
      <c r="Z4519" s="175"/>
      <c r="AA4519" s="182"/>
      <c r="AB4519" s="184"/>
    </row>
    <row r="4520" spans="1:28" ht="12.75">
      <c r="A4520" s="173"/>
      <c r="B4520" s="174"/>
      <c r="C4520" s="11"/>
      <c r="D4520" s="175"/>
      <c r="E4520" s="176"/>
      <c r="F4520" s="177"/>
      <c r="G4520" s="178"/>
      <c r="H4520" s="177"/>
      <c r="I4520" s="177"/>
      <c r="J4520" s="179"/>
      <c r="K4520" s="183"/>
      <c r="L4520" s="176"/>
      <c r="M4520" s="177"/>
      <c r="N4520" s="21"/>
      <c r="O4520" s="45"/>
      <c r="P4520" s="24"/>
      <c r="Q4520" s="24"/>
      <c r="R4520" s="180"/>
      <c r="S4520" s="181"/>
      <c r="T4520" s="35"/>
      <c r="U4520" s="35"/>
      <c r="V4520" s="35"/>
      <c r="W4520" s="35"/>
      <c r="X4520" s="35"/>
      <c r="Y4520" s="182"/>
      <c r="Z4520" s="175"/>
      <c r="AA4520" s="182"/>
      <c r="AB4520" s="184"/>
    </row>
    <row r="4521" spans="1:28" ht="12.75">
      <c r="A4521" s="173"/>
      <c r="B4521" s="174"/>
      <c r="C4521" s="11"/>
      <c r="D4521" s="175"/>
      <c r="E4521" s="176"/>
      <c r="F4521" s="177"/>
      <c r="G4521" s="178"/>
      <c r="H4521" s="177"/>
      <c r="I4521" s="177"/>
      <c r="J4521" s="179"/>
      <c r="K4521" s="183"/>
      <c r="L4521" s="176"/>
      <c r="M4521" s="177"/>
      <c r="N4521" s="21"/>
      <c r="O4521" s="45"/>
      <c r="P4521" s="24"/>
      <c r="Q4521" s="24"/>
      <c r="R4521" s="180"/>
      <c r="S4521" s="181"/>
      <c r="T4521" s="35"/>
      <c r="U4521" s="35"/>
      <c r="V4521" s="35"/>
      <c r="W4521" s="35"/>
      <c r="X4521" s="35"/>
      <c r="Y4521" s="182"/>
      <c r="Z4521" s="175"/>
      <c r="AA4521" s="182"/>
      <c r="AB4521" s="184"/>
    </row>
    <row r="4522" spans="1:28" ht="12.75">
      <c r="A4522" s="173"/>
      <c r="B4522" s="174"/>
      <c r="C4522" s="11"/>
      <c r="D4522" s="175"/>
      <c r="E4522" s="176"/>
      <c r="F4522" s="177"/>
      <c r="G4522" s="178"/>
      <c r="H4522" s="177"/>
      <c r="I4522" s="177"/>
      <c r="J4522" s="179"/>
      <c r="K4522" s="183"/>
      <c r="L4522" s="176"/>
      <c r="M4522" s="177"/>
      <c r="N4522" s="21"/>
      <c r="O4522" s="45"/>
      <c r="P4522" s="24"/>
      <c r="Q4522" s="24"/>
      <c r="R4522" s="180"/>
      <c r="S4522" s="181"/>
      <c r="T4522" s="35"/>
      <c r="U4522" s="35"/>
      <c r="V4522" s="35"/>
      <c r="W4522" s="35"/>
      <c r="X4522" s="35"/>
      <c r="Y4522" s="182"/>
      <c r="Z4522" s="175"/>
      <c r="AA4522" s="182"/>
      <c r="AB4522" s="184"/>
    </row>
    <row r="4523" spans="1:28" ht="12.75">
      <c r="A4523" s="173"/>
      <c r="B4523" s="174"/>
      <c r="C4523" s="11"/>
      <c r="D4523" s="175"/>
      <c r="E4523" s="176"/>
      <c r="F4523" s="177"/>
      <c r="G4523" s="178"/>
      <c r="H4523" s="177"/>
      <c r="I4523" s="177"/>
      <c r="J4523" s="179"/>
      <c r="K4523" s="183"/>
      <c r="L4523" s="176"/>
      <c r="M4523" s="177"/>
      <c r="N4523" s="21"/>
      <c r="O4523" s="45"/>
      <c r="P4523" s="24"/>
      <c r="Q4523" s="24"/>
      <c r="R4523" s="180"/>
      <c r="S4523" s="181"/>
      <c r="T4523" s="35"/>
      <c r="U4523" s="35"/>
      <c r="V4523" s="35"/>
      <c r="W4523" s="35"/>
      <c r="X4523" s="35"/>
      <c r="Y4523" s="182"/>
      <c r="Z4523" s="175"/>
      <c r="AA4523" s="182"/>
      <c r="AB4523" s="184"/>
    </row>
    <row r="4524" spans="1:28" ht="12.75">
      <c r="A4524" s="173"/>
      <c r="B4524" s="174"/>
      <c r="C4524" s="11"/>
      <c r="D4524" s="175"/>
      <c r="E4524" s="176"/>
      <c r="F4524" s="177"/>
      <c r="G4524" s="178"/>
      <c r="H4524" s="177"/>
      <c r="I4524" s="177"/>
      <c r="J4524" s="179"/>
      <c r="K4524" s="183"/>
      <c r="L4524" s="176"/>
      <c r="M4524" s="177"/>
      <c r="N4524" s="21"/>
      <c r="O4524" s="45"/>
      <c r="P4524" s="24"/>
      <c r="Q4524" s="24"/>
      <c r="R4524" s="180"/>
      <c r="S4524" s="181"/>
      <c r="T4524" s="35"/>
      <c r="U4524" s="35"/>
      <c r="V4524" s="35"/>
      <c r="W4524" s="35"/>
      <c r="X4524" s="35"/>
      <c r="Y4524" s="182"/>
      <c r="Z4524" s="175"/>
      <c r="AA4524" s="182"/>
      <c r="AB4524" s="184"/>
    </row>
    <row r="4525" spans="1:28" ht="12.75">
      <c r="A4525" s="173"/>
      <c r="B4525" s="174"/>
      <c r="C4525" s="11"/>
      <c r="D4525" s="175"/>
      <c r="E4525" s="176"/>
      <c r="F4525" s="177"/>
      <c r="G4525" s="178"/>
      <c r="H4525" s="177"/>
      <c r="I4525" s="177"/>
      <c r="J4525" s="179"/>
      <c r="K4525" s="183"/>
      <c r="L4525" s="176"/>
      <c r="M4525" s="177"/>
      <c r="N4525" s="21"/>
      <c r="O4525" s="45"/>
      <c r="P4525" s="24"/>
      <c r="Q4525" s="24"/>
      <c r="R4525" s="180"/>
      <c r="S4525" s="181"/>
      <c r="T4525" s="35"/>
      <c r="U4525" s="35"/>
      <c r="V4525" s="35"/>
      <c r="W4525" s="35"/>
      <c r="X4525" s="35"/>
      <c r="Y4525" s="182"/>
      <c r="Z4525" s="175"/>
      <c r="AA4525" s="182"/>
      <c r="AB4525" s="184"/>
    </row>
    <row r="4526" spans="1:28" ht="12.75">
      <c r="A4526" s="173"/>
      <c r="B4526" s="174"/>
      <c r="C4526" s="11"/>
      <c r="D4526" s="175"/>
      <c r="E4526" s="176"/>
      <c r="F4526" s="177"/>
      <c r="G4526" s="178"/>
      <c r="H4526" s="177"/>
      <c r="I4526" s="177"/>
      <c r="J4526" s="179"/>
      <c r="K4526" s="183"/>
      <c r="L4526" s="176"/>
      <c r="M4526" s="177"/>
      <c r="N4526" s="21"/>
      <c r="O4526" s="45"/>
      <c r="P4526" s="24"/>
      <c r="Q4526" s="24"/>
      <c r="R4526" s="180"/>
      <c r="S4526" s="181"/>
      <c r="T4526" s="35"/>
      <c r="U4526" s="35"/>
      <c r="V4526" s="35"/>
      <c r="W4526" s="35"/>
      <c r="X4526" s="35"/>
      <c r="Y4526" s="182"/>
      <c r="Z4526" s="175"/>
      <c r="AA4526" s="182"/>
      <c r="AB4526" s="184"/>
    </row>
    <row r="4527" spans="1:28" ht="12.75">
      <c r="A4527" s="173"/>
      <c r="B4527" s="174"/>
      <c r="C4527" s="11"/>
      <c r="D4527" s="175"/>
      <c r="E4527" s="176"/>
      <c r="F4527" s="177"/>
      <c r="G4527" s="178"/>
      <c r="H4527" s="177"/>
      <c r="I4527" s="177"/>
      <c r="J4527" s="179"/>
      <c r="K4527" s="183"/>
      <c r="L4527" s="176"/>
      <c r="M4527" s="177"/>
      <c r="N4527" s="21"/>
      <c r="O4527" s="45"/>
      <c r="P4527" s="24"/>
      <c r="Q4527" s="24"/>
      <c r="R4527" s="180"/>
      <c r="S4527" s="181"/>
      <c r="T4527" s="35"/>
      <c r="U4527" s="35"/>
      <c r="V4527" s="35"/>
      <c r="W4527" s="35"/>
      <c r="X4527" s="35"/>
      <c r="Y4527" s="182"/>
      <c r="Z4527" s="175"/>
      <c r="AA4527" s="182"/>
      <c r="AB4527" s="184"/>
    </row>
    <row r="4528" spans="1:28" ht="12.75">
      <c r="A4528" s="173"/>
      <c r="B4528" s="174"/>
      <c r="C4528" s="11"/>
      <c r="D4528" s="175"/>
      <c r="E4528" s="176"/>
      <c r="F4528" s="177"/>
      <c r="G4528" s="178"/>
      <c r="H4528" s="177"/>
      <c r="I4528" s="177"/>
      <c r="J4528" s="179"/>
      <c r="K4528" s="183"/>
      <c r="L4528" s="176"/>
      <c r="M4528" s="177"/>
      <c r="N4528" s="21"/>
      <c r="O4528" s="45"/>
      <c r="P4528" s="24"/>
      <c r="Q4528" s="24"/>
      <c r="R4528" s="180"/>
      <c r="S4528" s="181"/>
      <c r="T4528" s="35"/>
      <c r="U4528" s="35"/>
      <c r="V4528" s="35"/>
      <c r="W4528" s="35"/>
      <c r="X4528" s="35"/>
      <c r="Y4528" s="182"/>
      <c r="Z4528" s="175"/>
      <c r="AA4528" s="182"/>
      <c r="AB4528" s="184"/>
    </row>
    <row r="4529" spans="1:28" ht="12.75">
      <c r="A4529" s="173"/>
      <c r="B4529" s="174"/>
      <c r="C4529" s="11"/>
      <c r="D4529" s="175"/>
      <c r="E4529" s="176"/>
      <c r="F4529" s="177"/>
      <c r="G4529" s="178"/>
      <c r="H4529" s="177"/>
      <c r="I4529" s="177"/>
      <c r="J4529" s="179"/>
      <c r="K4529" s="183"/>
      <c r="L4529" s="176"/>
      <c r="M4529" s="177"/>
      <c r="N4529" s="21"/>
      <c r="O4529" s="45"/>
      <c r="P4529" s="24"/>
      <c r="Q4529" s="24"/>
      <c r="R4529" s="180"/>
      <c r="S4529" s="181"/>
      <c r="T4529" s="35"/>
      <c r="U4529" s="35"/>
      <c r="V4529" s="35"/>
      <c r="W4529" s="35"/>
      <c r="X4529" s="35"/>
      <c r="Y4529" s="182"/>
      <c r="Z4529" s="175"/>
      <c r="AA4529" s="182"/>
      <c r="AB4529" s="184"/>
    </row>
    <row r="4530" spans="1:28" ht="12.75">
      <c r="A4530" s="173"/>
      <c r="B4530" s="174"/>
      <c r="C4530" s="11"/>
      <c r="D4530" s="175"/>
      <c r="E4530" s="176"/>
      <c r="F4530" s="177"/>
      <c r="G4530" s="178"/>
      <c r="H4530" s="177"/>
      <c r="I4530" s="177"/>
      <c r="J4530" s="179"/>
      <c r="K4530" s="183"/>
      <c r="L4530" s="176"/>
      <c r="M4530" s="177"/>
      <c r="N4530" s="21"/>
      <c r="O4530" s="45"/>
      <c r="P4530" s="24"/>
      <c r="Q4530" s="24"/>
      <c r="R4530" s="180"/>
      <c r="S4530" s="181"/>
      <c r="T4530" s="35"/>
      <c r="U4530" s="35"/>
      <c r="V4530" s="35"/>
      <c r="W4530" s="35"/>
      <c r="X4530" s="35"/>
      <c r="Y4530" s="182"/>
      <c r="Z4530" s="175"/>
      <c r="AA4530" s="182"/>
      <c r="AB4530" s="184"/>
    </row>
    <row r="4531" spans="1:28" ht="12.75">
      <c r="A4531" s="173"/>
      <c r="B4531" s="174"/>
      <c r="C4531" s="11"/>
      <c r="D4531" s="175"/>
      <c r="E4531" s="176"/>
      <c r="F4531" s="177"/>
      <c r="G4531" s="178"/>
      <c r="H4531" s="177"/>
      <c r="I4531" s="177"/>
      <c r="J4531" s="179"/>
      <c r="K4531" s="183"/>
      <c r="L4531" s="176"/>
      <c r="M4531" s="177"/>
      <c r="N4531" s="21"/>
      <c r="O4531" s="45"/>
      <c r="P4531" s="24"/>
      <c r="Q4531" s="24"/>
      <c r="R4531" s="180"/>
      <c r="S4531" s="181"/>
      <c r="T4531" s="35"/>
      <c r="U4531" s="35"/>
      <c r="V4531" s="35"/>
      <c r="W4531" s="35"/>
      <c r="X4531" s="35"/>
      <c r="Y4531" s="182"/>
      <c r="Z4531" s="175"/>
      <c r="AA4531" s="182"/>
      <c r="AB4531" s="184"/>
    </row>
    <row r="4532" spans="1:28" ht="12.75">
      <c r="A4532" s="173"/>
      <c r="B4532" s="174"/>
      <c r="C4532" s="11"/>
      <c r="D4532" s="175"/>
      <c r="E4532" s="176"/>
      <c r="F4532" s="177"/>
      <c r="G4532" s="178"/>
      <c r="H4532" s="177"/>
      <c r="I4532" s="177"/>
      <c r="J4532" s="179"/>
      <c r="K4532" s="183"/>
      <c r="L4532" s="176"/>
      <c r="M4532" s="177"/>
      <c r="N4532" s="21"/>
      <c r="O4532" s="45"/>
      <c r="P4532" s="24"/>
      <c r="Q4532" s="24"/>
      <c r="R4532" s="180"/>
      <c r="S4532" s="181"/>
      <c r="T4532" s="35"/>
      <c r="U4532" s="35"/>
      <c r="V4532" s="35"/>
      <c r="W4532" s="35"/>
      <c r="X4532" s="35"/>
      <c r="Y4532" s="182"/>
      <c r="Z4532" s="175"/>
      <c r="AA4532" s="182"/>
      <c r="AB4532" s="184"/>
    </row>
    <row r="4533" spans="1:28" ht="12.75">
      <c r="A4533" s="173"/>
      <c r="B4533" s="174"/>
      <c r="C4533" s="11"/>
      <c r="D4533" s="175"/>
      <c r="E4533" s="176"/>
      <c r="F4533" s="177"/>
      <c r="G4533" s="178"/>
      <c r="H4533" s="177"/>
      <c r="I4533" s="177"/>
      <c r="J4533" s="179"/>
      <c r="K4533" s="183"/>
      <c r="L4533" s="176"/>
      <c r="M4533" s="177"/>
      <c r="N4533" s="21"/>
      <c r="O4533" s="45"/>
      <c r="P4533" s="24"/>
      <c r="Q4533" s="24"/>
      <c r="R4533" s="180"/>
      <c r="S4533" s="181"/>
      <c r="T4533" s="35"/>
      <c r="U4533" s="35"/>
      <c r="V4533" s="35"/>
      <c r="W4533" s="35"/>
      <c r="X4533" s="35"/>
      <c r="Y4533" s="182"/>
      <c r="Z4533" s="175"/>
      <c r="AA4533" s="182"/>
      <c r="AB4533" s="184"/>
    </row>
    <row r="4534" spans="1:28" ht="12.75">
      <c r="A4534" s="173"/>
      <c r="B4534" s="174"/>
      <c r="C4534" s="11"/>
      <c r="D4534" s="175"/>
      <c r="E4534" s="176"/>
      <c r="F4534" s="177"/>
      <c r="G4534" s="178"/>
      <c r="H4534" s="177"/>
      <c r="I4534" s="177"/>
      <c r="J4534" s="179"/>
      <c r="K4534" s="183"/>
      <c r="L4534" s="176"/>
      <c r="M4534" s="177"/>
      <c r="N4534" s="21"/>
      <c r="O4534" s="45"/>
      <c r="P4534" s="24"/>
      <c r="Q4534" s="24"/>
      <c r="R4534" s="180"/>
      <c r="S4534" s="181"/>
      <c r="T4534" s="35"/>
      <c r="U4534" s="35"/>
      <c r="V4534" s="35"/>
      <c r="W4534" s="35"/>
      <c r="X4534" s="35"/>
      <c r="Y4534" s="182"/>
      <c r="Z4534" s="175"/>
      <c r="AA4534" s="182"/>
      <c r="AB4534" s="184"/>
    </row>
    <row r="4535" spans="1:28" ht="12.75">
      <c r="A4535" s="173"/>
      <c r="B4535" s="174"/>
      <c r="C4535" s="11"/>
      <c r="D4535" s="175"/>
      <c r="E4535" s="176"/>
      <c r="F4535" s="177"/>
      <c r="G4535" s="178"/>
      <c r="H4535" s="177"/>
      <c r="I4535" s="177"/>
      <c r="J4535" s="179"/>
      <c r="K4535" s="183"/>
      <c r="L4535" s="176"/>
      <c r="M4535" s="177"/>
      <c r="N4535" s="21"/>
      <c r="O4535" s="45"/>
      <c r="P4535" s="24"/>
      <c r="Q4535" s="24"/>
      <c r="R4535" s="180"/>
      <c r="S4535" s="181"/>
      <c r="T4535" s="35"/>
      <c r="U4535" s="35"/>
      <c r="V4535" s="35"/>
      <c r="W4535" s="35"/>
      <c r="X4535" s="35"/>
      <c r="Y4535" s="182"/>
      <c r="Z4535" s="175"/>
      <c r="AA4535" s="182"/>
      <c r="AB4535" s="184"/>
    </row>
    <row r="4536" spans="1:28" ht="12.75">
      <c r="A4536" s="173"/>
      <c r="B4536" s="174"/>
      <c r="C4536" s="11"/>
      <c r="D4536" s="175"/>
      <c r="E4536" s="176"/>
      <c r="F4536" s="177"/>
      <c r="G4536" s="178"/>
      <c r="H4536" s="177"/>
      <c r="I4536" s="177"/>
      <c r="J4536" s="179"/>
      <c r="K4536" s="183"/>
      <c r="L4536" s="176"/>
      <c r="M4536" s="177"/>
      <c r="N4536" s="21"/>
      <c r="O4536" s="45"/>
      <c r="P4536" s="24"/>
      <c r="Q4536" s="24"/>
      <c r="R4536" s="180"/>
      <c r="S4536" s="181"/>
      <c r="T4536" s="35"/>
      <c r="U4536" s="35"/>
      <c r="V4536" s="35"/>
      <c r="W4536" s="35"/>
      <c r="X4536" s="35"/>
      <c r="Y4536" s="182"/>
      <c r="Z4536" s="175"/>
      <c r="AA4536" s="182"/>
      <c r="AB4536" s="184"/>
    </row>
    <row r="4537" spans="1:28" ht="12.75">
      <c r="A4537" s="173"/>
      <c r="B4537" s="174"/>
      <c r="C4537" s="11"/>
      <c r="D4537" s="175"/>
      <c r="E4537" s="176"/>
      <c r="F4537" s="177"/>
      <c r="G4537" s="178"/>
      <c r="H4537" s="177"/>
      <c r="I4537" s="177"/>
      <c r="J4537" s="179"/>
      <c r="K4537" s="183"/>
      <c r="L4537" s="176"/>
      <c r="M4537" s="177"/>
      <c r="N4537" s="21"/>
      <c r="O4537" s="45"/>
      <c r="P4537" s="24"/>
      <c r="Q4537" s="24"/>
      <c r="R4537" s="180"/>
      <c r="S4537" s="181"/>
      <c r="T4537" s="35"/>
      <c r="U4537" s="35"/>
      <c r="V4537" s="35"/>
      <c r="W4537" s="35"/>
      <c r="X4537" s="35"/>
      <c r="Y4537" s="182"/>
      <c r="Z4537" s="175"/>
      <c r="AA4537" s="182"/>
      <c r="AB4537" s="184"/>
    </row>
    <row r="4538" spans="1:28" ht="12.75">
      <c r="A4538" s="173"/>
      <c r="B4538" s="174"/>
      <c r="C4538" s="11"/>
      <c r="D4538" s="175"/>
      <c r="E4538" s="176"/>
      <c r="F4538" s="177"/>
      <c r="G4538" s="178"/>
      <c r="H4538" s="177"/>
      <c r="I4538" s="177"/>
      <c r="J4538" s="179"/>
      <c r="K4538" s="183"/>
      <c r="L4538" s="176"/>
      <c r="M4538" s="177"/>
      <c r="N4538" s="21"/>
      <c r="O4538" s="45"/>
      <c r="P4538" s="24"/>
      <c r="Q4538" s="24"/>
      <c r="R4538" s="180"/>
      <c r="S4538" s="181"/>
      <c r="T4538" s="35"/>
      <c r="U4538" s="35"/>
      <c r="V4538" s="35"/>
      <c r="W4538" s="35"/>
      <c r="X4538" s="35"/>
      <c r="Y4538" s="182"/>
      <c r="Z4538" s="175"/>
      <c r="AA4538" s="182"/>
      <c r="AB4538" s="184"/>
    </row>
    <row r="4539" spans="1:28" ht="12.75">
      <c r="A4539" s="173"/>
      <c r="B4539" s="174"/>
      <c r="C4539" s="11"/>
      <c r="D4539" s="175"/>
      <c r="E4539" s="176"/>
      <c r="F4539" s="177"/>
      <c r="G4539" s="178"/>
      <c r="H4539" s="177"/>
      <c r="I4539" s="177"/>
      <c r="J4539" s="179"/>
      <c r="K4539" s="183"/>
      <c r="L4539" s="176"/>
      <c r="M4539" s="177"/>
      <c r="N4539" s="21"/>
      <c r="O4539" s="45"/>
      <c r="P4539" s="24"/>
      <c r="Q4539" s="24"/>
      <c r="R4539" s="180"/>
      <c r="S4539" s="181"/>
      <c r="T4539" s="35"/>
      <c r="U4539" s="35"/>
      <c r="V4539" s="35"/>
      <c r="W4539" s="35"/>
      <c r="X4539" s="35"/>
      <c r="Y4539" s="182"/>
      <c r="Z4539" s="175"/>
      <c r="AA4539" s="182"/>
      <c r="AB4539" s="184"/>
    </row>
    <row r="4540" spans="1:28" ht="12.75">
      <c r="A4540" s="173"/>
      <c r="B4540" s="174"/>
      <c r="C4540" s="11"/>
      <c r="D4540" s="175"/>
      <c r="E4540" s="176"/>
      <c r="F4540" s="177"/>
      <c r="G4540" s="178"/>
      <c r="H4540" s="177"/>
      <c r="I4540" s="177"/>
      <c r="J4540" s="179"/>
      <c r="K4540" s="183"/>
      <c r="L4540" s="176"/>
      <c r="M4540" s="177"/>
      <c r="N4540" s="21"/>
      <c r="O4540" s="45"/>
      <c r="P4540" s="24"/>
      <c r="Q4540" s="24"/>
      <c r="R4540" s="180"/>
      <c r="S4540" s="181"/>
      <c r="T4540" s="35"/>
      <c r="U4540" s="35"/>
      <c r="V4540" s="35"/>
      <c r="W4540" s="35"/>
      <c r="X4540" s="35"/>
      <c r="Y4540" s="182"/>
      <c r="Z4540" s="175"/>
      <c r="AA4540" s="182"/>
      <c r="AB4540" s="184"/>
    </row>
    <row r="4541" spans="1:28" ht="12.75">
      <c r="A4541" s="173"/>
      <c r="B4541" s="174"/>
      <c r="C4541" s="11"/>
      <c r="D4541" s="175"/>
      <c r="E4541" s="176"/>
      <c r="F4541" s="177"/>
      <c r="G4541" s="178"/>
      <c r="H4541" s="177"/>
      <c r="I4541" s="177"/>
      <c r="J4541" s="179"/>
      <c r="K4541" s="183"/>
      <c r="L4541" s="176"/>
      <c r="M4541" s="177"/>
      <c r="N4541" s="21"/>
      <c r="O4541" s="45"/>
      <c r="P4541" s="24"/>
      <c r="Q4541" s="24"/>
      <c r="R4541" s="180"/>
      <c r="S4541" s="181"/>
      <c r="T4541" s="35"/>
      <c r="U4541" s="35"/>
      <c r="V4541" s="35"/>
      <c r="W4541" s="35"/>
      <c r="X4541" s="35"/>
      <c r="Y4541" s="182"/>
      <c r="Z4541" s="175"/>
      <c r="AA4541" s="182"/>
      <c r="AB4541" s="184"/>
    </row>
    <row r="4542" spans="1:28" ht="12.75">
      <c r="A4542" s="173"/>
      <c r="B4542" s="174"/>
      <c r="C4542" s="11"/>
      <c r="D4542" s="175"/>
      <c r="E4542" s="176"/>
      <c r="F4542" s="177"/>
      <c r="G4542" s="178"/>
      <c r="H4542" s="177"/>
      <c r="I4542" s="177"/>
      <c r="J4542" s="179"/>
      <c r="K4542" s="183"/>
      <c r="L4542" s="176"/>
      <c r="M4542" s="177"/>
      <c r="N4542" s="21"/>
      <c r="O4542" s="45"/>
      <c r="P4542" s="24"/>
      <c r="Q4542" s="24"/>
      <c r="R4542" s="180"/>
      <c r="S4542" s="181"/>
      <c r="T4542" s="35"/>
      <c r="U4542" s="35"/>
      <c r="V4542" s="35"/>
      <c r="W4542" s="35"/>
      <c r="X4542" s="35"/>
      <c r="Y4542" s="182"/>
      <c r="Z4542" s="175"/>
      <c r="AA4542" s="182"/>
      <c r="AB4542" s="184"/>
    </row>
    <row r="4543" spans="1:28" ht="12.75">
      <c r="A4543" s="173"/>
      <c r="B4543" s="174"/>
      <c r="C4543" s="11"/>
      <c r="D4543" s="175"/>
      <c r="E4543" s="176"/>
      <c r="F4543" s="177"/>
      <c r="G4543" s="178"/>
      <c r="H4543" s="177"/>
      <c r="I4543" s="177"/>
      <c r="J4543" s="179"/>
      <c r="K4543" s="183"/>
      <c r="L4543" s="176"/>
      <c r="M4543" s="177"/>
      <c r="N4543" s="21"/>
      <c r="O4543" s="45"/>
      <c r="P4543" s="24"/>
      <c r="Q4543" s="24"/>
      <c r="R4543" s="180"/>
      <c r="S4543" s="181"/>
      <c r="T4543" s="35"/>
      <c r="U4543" s="35"/>
      <c r="V4543" s="35"/>
      <c r="W4543" s="35"/>
      <c r="X4543" s="35"/>
      <c r="Y4543" s="182"/>
      <c r="Z4543" s="175"/>
      <c r="AA4543" s="182"/>
      <c r="AB4543" s="184"/>
    </row>
    <row r="4544" spans="1:28" ht="12.75">
      <c r="A4544" s="173"/>
      <c r="B4544" s="174"/>
      <c r="C4544" s="11"/>
      <c r="D4544" s="175"/>
      <c r="E4544" s="176"/>
      <c r="F4544" s="177"/>
      <c r="G4544" s="178"/>
      <c r="H4544" s="177"/>
      <c r="I4544" s="177"/>
      <c r="J4544" s="179"/>
      <c r="K4544" s="183"/>
      <c r="L4544" s="176"/>
      <c r="M4544" s="177"/>
      <c r="N4544" s="21"/>
      <c r="O4544" s="45"/>
      <c r="P4544" s="24"/>
      <c r="Q4544" s="24"/>
      <c r="R4544" s="180"/>
      <c r="S4544" s="181"/>
      <c r="T4544" s="35"/>
      <c r="U4544" s="35"/>
      <c r="V4544" s="35"/>
      <c r="W4544" s="35"/>
      <c r="X4544" s="35"/>
      <c r="Y4544" s="182"/>
      <c r="Z4544" s="175"/>
      <c r="AA4544" s="182"/>
      <c r="AB4544" s="184"/>
    </row>
    <row r="4545" spans="1:28" ht="12.75">
      <c r="A4545" s="173"/>
      <c r="B4545" s="174"/>
      <c r="C4545" s="11"/>
      <c r="D4545" s="175"/>
      <c r="E4545" s="176"/>
      <c r="F4545" s="177"/>
      <c r="G4545" s="178"/>
      <c r="H4545" s="177"/>
      <c r="I4545" s="177"/>
      <c r="J4545" s="179"/>
      <c r="K4545" s="183"/>
      <c r="L4545" s="176"/>
      <c r="M4545" s="177"/>
      <c r="N4545" s="21"/>
      <c r="O4545" s="45"/>
      <c r="P4545" s="24"/>
      <c r="Q4545" s="24"/>
      <c r="R4545" s="180"/>
      <c r="S4545" s="181"/>
      <c r="T4545" s="35"/>
      <c r="U4545" s="35"/>
      <c r="V4545" s="35"/>
      <c r="W4545" s="35"/>
      <c r="X4545" s="35"/>
      <c r="Y4545" s="182"/>
      <c r="Z4545" s="175"/>
      <c r="AA4545" s="182"/>
      <c r="AB4545" s="184"/>
    </row>
    <row r="4546" spans="1:28" ht="12.75">
      <c r="A4546" s="173"/>
      <c r="B4546" s="174"/>
      <c r="C4546" s="11"/>
      <c r="D4546" s="175"/>
      <c r="E4546" s="176"/>
      <c r="F4546" s="177"/>
      <c r="G4546" s="178"/>
      <c r="H4546" s="177"/>
      <c r="I4546" s="177"/>
      <c r="J4546" s="179"/>
      <c r="K4546" s="183"/>
      <c r="L4546" s="176"/>
      <c r="M4546" s="177"/>
      <c r="N4546" s="21"/>
      <c r="O4546" s="45"/>
      <c r="P4546" s="24"/>
      <c r="Q4546" s="24"/>
      <c r="R4546" s="180"/>
      <c r="S4546" s="181"/>
      <c r="T4546" s="35"/>
      <c r="U4546" s="35"/>
      <c r="V4546" s="35"/>
      <c r="W4546" s="35"/>
      <c r="X4546" s="35"/>
      <c r="Y4546" s="182"/>
      <c r="Z4546" s="175"/>
      <c r="AA4546" s="182"/>
      <c r="AB4546" s="184"/>
    </row>
    <row r="4547" spans="1:28" ht="12.75">
      <c r="A4547" s="173"/>
      <c r="B4547" s="174"/>
      <c r="C4547" s="11"/>
      <c r="D4547" s="175"/>
      <c r="E4547" s="176"/>
      <c r="F4547" s="177"/>
      <c r="G4547" s="178"/>
      <c r="H4547" s="177"/>
      <c r="I4547" s="177"/>
      <c r="J4547" s="179"/>
      <c r="K4547" s="183"/>
      <c r="L4547" s="176"/>
      <c r="M4547" s="177"/>
      <c r="N4547" s="21"/>
      <c r="O4547" s="45"/>
      <c r="P4547" s="24"/>
      <c r="Q4547" s="24"/>
      <c r="R4547" s="180"/>
      <c r="S4547" s="181"/>
      <c r="T4547" s="35"/>
      <c r="U4547" s="35"/>
      <c r="V4547" s="35"/>
      <c r="W4547" s="35"/>
      <c r="X4547" s="35"/>
      <c r="Y4547" s="182"/>
      <c r="Z4547" s="175"/>
      <c r="AA4547" s="182"/>
      <c r="AB4547" s="184"/>
    </row>
    <row r="4548" spans="1:28" ht="12.75">
      <c r="A4548" s="173"/>
      <c r="B4548" s="174"/>
      <c r="C4548" s="11"/>
      <c r="D4548" s="175"/>
      <c r="E4548" s="176"/>
      <c r="F4548" s="177"/>
      <c r="G4548" s="178"/>
      <c r="H4548" s="177"/>
      <c r="I4548" s="177"/>
      <c r="J4548" s="179"/>
      <c r="K4548" s="183"/>
      <c r="L4548" s="176"/>
      <c r="M4548" s="177"/>
      <c r="N4548" s="21"/>
      <c r="O4548" s="45"/>
      <c r="P4548" s="24"/>
      <c r="Q4548" s="24"/>
      <c r="R4548" s="180"/>
      <c r="S4548" s="181"/>
      <c r="T4548" s="35"/>
      <c r="U4548" s="35"/>
      <c r="V4548" s="35"/>
      <c r="W4548" s="35"/>
      <c r="X4548" s="35"/>
      <c r="Y4548" s="182"/>
      <c r="Z4548" s="175"/>
      <c r="AA4548" s="182"/>
      <c r="AB4548" s="184"/>
    </row>
    <row r="4549" spans="1:28" ht="12.75">
      <c r="A4549" s="173"/>
      <c r="B4549" s="174"/>
      <c r="C4549" s="11"/>
      <c r="D4549" s="175"/>
      <c r="E4549" s="176"/>
      <c r="F4549" s="177"/>
      <c r="G4549" s="178"/>
      <c r="H4549" s="177"/>
      <c r="I4549" s="177"/>
      <c r="J4549" s="179"/>
      <c r="K4549" s="183"/>
      <c r="L4549" s="176"/>
      <c r="M4549" s="177"/>
      <c r="N4549" s="21"/>
      <c r="O4549" s="45"/>
      <c r="P4549" s="24"/>
      <c r="Q4549" s="24"/>
      <c r="R4549" s="180"/>
      <c r="S4549" s="181"/>
      <c r="T4549" s="35"/>
      <c r="U4549" s="35"/>
      <c r="V4549" s="35"/>
      <c r="W4549" s="35"/>
      <c r="X4549" s="35"/>
      <c r="Y4549" s="182"/>
      <c r="Z4549" s="175"/>
      <c r="AA4549" s="182"/>
      <c r="AB4549" s="184"/>
    </row>
    <row r="4550" spans="1:28" ht="12.75">
      <c r="A4550" s="173"/>
      <c r="B4550" s="174"/>
      <c r="C4550" s="11"/>
      <c r="D4550" s="175"/>
      <c r="E4550" s="176"/>
      <c r="F4550" s="177"/>
      <c r="G4550" s="178"/>
      <c r="H4550" s="177"/>
      <c r="I4550" s="177"/>
      <c r="J4550" s="179"/>
      <c r="K4550" s="183"/>
      <c r="L4550" s="176"/>
      <c r="M4550" s="177"/>
      <c r="N4550" s="21"/>
      <c r="O4550" s="45"/>
      <c r="P4550" s="24"/>
      <c r="Q4550" s="24"/>
      <c r="R4550" s="180"/>
      <c r="S4550" s="181"/>
      <c r="T4550" s="35"/>
      <c r="U4550" s="35"/>
      <c r="V4550" s="35"/>
      <c r="W4550" s="35"/>
      <c r="X4550" s="35"/>
      <c r="Y4550" s="182"/>
      <c r="Z4550" s="175"/>
      <c r="AA4550" s="182"/>
      <c r="AB4550" s="184"/>
    </row>
    <row r="4551" spans="1:28" ht="12.75">
      <c r="A4551" s="173"/>
      <c r="B4551" s="174"/>
      <c r="C4551" s="11"/>
      <c r="D4551" s="175"/>
      <c r="E4551" s="176"/>
      <c r="F4551" s="177"/>
      <c r="G4551" s="178"/>
      <c r="H4551" s="177"/>
      <c r="I4551" s="177"/>
      <c r="J4551" s="179"/>
      <c r="K4551" s="183"/>
      <c r="L4551" s="176"/>
      <c r="M4551" s="177"/>
      <c r="N4551" s="21"/>
      <c r="O4551" s="45"/>
      <c r="P4551" s="24"/>
      <c r="Q4551" s="24"/>
      <c r="R4551" s="180"/>
      <c r="S4551" s="181"/>
      <c r="T4551" s="35"/>
      <c r="U4551" s="35"/>
      <c r="V4551" s="35"/>
      <c r="W4551" s="35"/>
      <c r="X4551" s="35"/>
      <c r="Y4551" s="182"/>
      <c r="Z4551" s="175"/>
      <c r="AA4551" s="182"/>
      <c r="AB4551" s="184"/>
    </row>
    <row r="4552" spans="1:28" ht="12.75">
      <c r="A4552" s="173"/>
      <c r="B4552" s="174"/>
      <c r="C4552" s="11"/>
      <c r="D4552" s="175"/>
      <c r="E4552" s="176"/>
      <c r="F4552" s="177"/>
      <c r="G4552" s="178"/>
      <c r="H4552" s="177"/>
      <c r="I4552" s="177"/>
      <c r="J4552" s="179"/>
      <c r="K4552" s="183"/>
      <c r="L4552" s="176"/>
      <c r="M4552" s="177"/>
      <c r="N4552" s="21"/>
      <c r="O4552" s="45"/>
      <c r="P4552" s="24"/>
      <c r="Q4552" s="24"/>
      <c r="R4552" s="180"/>
      <c r="S4552" s="181"/>
      <c r="T4552" s="35"/>
      <c r="U4552" s="35"/>
      <c r="V4552" s="35"/>
      <c r="W4552" s="35"/>
      <c r="X4552" s="35"/>
      <c r="Y4552" s="182"/>
      <c r="Z4552" s="175"/>
      <c r="AA4552" s="182"/>
      <c r="AB4552" s="184"/>
    </row>
    <row r="4553" spans="1:28" ht="12.75">
      <c r="A4553" s="173"/>
      <c r="B4553" s="174"/>
      <c r="C4553" s="11"/>
      <c r="D4553" s="175"/>
      <c r="E4553" s="176"/>
      <c r="F4553" s="177"/>
      <c r="G4553" s="178"/>
      <c r="H4553" s="177"/>
      <c r="I4553" s="177"/>
      <c r="J4553" s="179"/>
      <c r="K4553" s="183"/>
      <c r="L4553" s="176"/>
      <c r="M4553" s="177"/>
      <c r="N4553" s="21"/>
      <c r="O4553" s="45"/>
      <c r="P4553" s="24"/>
      <c r="Q4553" s="24"/>
      <c r="R4553" s="180"/>
      <c r="S4553" s="181"/>
      <c r="T4553" s="35"/>
      <c r="U4553" s="35"/>
      <c r="V4553" s="35"/>
      <c r="W4553" s="35"/>
      <c r="X4553" s="35"/>
      <c r="Y4553" s="182"/>
      <c r="Z4553" s="175"/>
      <c r="AA4553" s="182"/>
      <c r="AB4553" s="184"/>
    </row>
    <row r="4554" spans="1:28" ht="12.75">
      <c r="A4554" s="173"/>
      <c r="B4554" s="174"/>
      <c r="C4554" s="11"/>
      <c r="D4554" s="175"/>
      <c r="E4554" s="176"/>
      <c r="F4554" s="177"/>
      <c r="G4554" s="178"/>
      <c r="H4554" s="177"/>
      <c r="I4554" s="177"/>
      <c r="J4554" s="179"/>
      <c r="K4554" s="183"/>
      <c r="L4554" s="176"/>
      <c r="M4554" s="177"/>
      <c r="N4554" s="21"/>
      <c r="O4554" s="45"/>
      <c r="P4554" s="24"/>
      <c r="Q4554" s="24"/>
      <c r="R4554" s="180"/>
      <c r="S4554" s="181"/>
      <c r="T4554" s="35"/>
      <c r="U4554" s="35"/>
      <c r="V4554" s="35"/>
      <c r="W4554" s="35"/>
      <c r="X4554" s="35"/>
      <c r="Y4554" s="182"/>
      <c r="Z4554" s="175"/>
      <c r="AA4554" s="182"/>
      <c r="AB4554" s="184"/>
    </row>
    <row r="4555" spans="1:28" ht="12.75">
      <c r="A4555" s="173"/>
      <c r="B4555" s="174"/>
      <c r="C4555" s="11"/>
      <c r="D4555" s="175"/>
      <c r="E4555" s="176"/>
      <c r="F4555" s="177"/>
      <c r="G4555" s="178"/>
      <c r="H4555" s="177"/>
      <c r="I4555" s="177"/>
      <c r="J4555" s="179"/>
      <c r="K4555" s="183"/>
      <c r="L4555" s="176"/>
      <c r="M4555" s="177"/>
      <c r="N4555" s="21"/>
      <c r="O4555" s="45"/>
      <c r="P4555" s="24"/>
      <c r="Q4555" s="24"/>
      <c r="R4555" s="180"/>
      <c r="S4555" s="181"/>
      <c r="T4555" s="35"/>
      <c r="U4555" s="35"/>
      <c r="V4555" s="35"/>
      <c r="W4555" s="35"/>
      <c r="X4555" s="35"/>
      <c r="Y4555" s="182"/>
      <c r="Z4555" s="175"/>
      <c r="AA4555" s="182"/>
      <c r="AB4555" s="184"/>
    </row>
    <row r="4556" spans="1:28" ht="12.75">
      <c r="A4556" s="173"/>
      <c r="B4556" s="174"/>
      <c r="C4556" s="11"/>
      <c r="D4556" s="175"/>
      <c r="E4556" s="176"/>
      <c r="F4556" s="177"/>
      <c r="G4556" s="178"/>
      <c r="H4556" s="177"/>
      <c r="I4556" s="177"/>
      <c r="J4556" s="179"/>
      <c r="K4556" s="183"/>
      <c r="L4556" s="176"/>
      <c r="M4556" s="177"/>
      <c r="N4556" s="21"/>
      <c r="O4556" s="45"/>
      <c r="P4556" s="24"/>
      <c r="Q4556" s="24"/>
      <c r="R4556" s="180"/>
      <c r="S4556" s="181"/>
      <c r="T4556" s="35"/>
      <c r="U4556" s="35"/>
      <c r="V4556" s="35"/>
      <c r="W4556" s="35"/>
      <c r="X4556" s="35"/>
      <c r="Y4556" s="182"/>
      <c r="Z4556" s="175"/>
      <c r="AA4556" s="182"/>
      <c r="AB4556" s="184"/>
    </row>
    <row r="4557" spans="1:28" ht="12.75">
      <c r="A4557" s="173"/>
      <c r="B4557" s="174"/>
      <c r="C4557" s="11"/>
      <c r="D4557" s="175"/>
      <c r="E4557" s="176"/>
      <c r="F4557" s="177"/>
      <c r="G4557" s="178"/>
      <c r="H4557" s="177"/>
      <c r="I4557" s="177"/>
      <c r="J4557" s="179"/>
      <c r="K4557" s="183"/>
      <c r="L4557" s="176"/>
      <c r="M4557" s="177"/>
      <c r="N4557" s="21"/>
      <c r="O4557" s="45"/>
      <c r="P4557" s="24"/>
      <c r="Q4557" s="24"/>
      <c r="R4557" s="180"/>
      <c r="S4557" s="181"/>
      <c r="T4557" s="35"/>
      <c r="U4557" s="35"/>
      <c r="V4557" s="35"/>
      <c r="W4557" s="35"/>
      <c r="X4557" s="35"/>
      <c r="Y4557" s="182"/>
      <c r="Z4557" s="175"/>
      <c r="AA4557" s="182"/>
      <c r="AB4557" s="184"/>
    </row>
    <row r="4558" spans="1:28" ht="12.75">
      <c r="A4558" s="173"/>
      <c r="B4558" s="174"/>
      <c r="C4558" s="11"/>
      <c r="D4558" s="175"/>
      <c r="E4558" s="176"/>
      <c r="F4558" s="177"/>
      <c r="G4558" s="178"/>
      <c r="H4558" s="177"/>
      <c r="I4558" s="177"/>
      <c r="J4558" s="179"/>
      <c r="K4558" s="183"/>
      <c r="L4558" s="176"/>
      <c r="M4558" s="177"/>
      <c r="N4558" s="21"/>
      <c r="O4558" s="45"/>
      <c r="P4558" s="24"/>
      <c r="Q4558" s="24"/>
      <c r="R4558" s="180"/>
      <c r="S4558" s="181"/>
      <c r="T4558" s="35"/>
      <c r="U4558" s="35"/>
      <c r="V4558" s="35"/>
      <c r="W4558" s="35"/>
      <c r="X4558" s="35"/>
      <c r="Y4558" s="182"/>
      <c r="Z4558" s="175"/>
      <c r="AA4558" s="182"/>
      <c r="AB4558" s="184"/>
    </row>
    <row r="4559" spans="1:28" ht="12.75">
      <c r="A4559" s="173"/>
      <c r="B4559" s="174"/>
      <c r="C4559" s="11"/>
      <c r="D4559" s="175"/>
      <c r="E4559" s="176"/>
      <c r="F4559" s="177"/>
      <c r="G4559" s="178"/>
      <c r="H4559" s="177"/>
      <c r="I4559" s="177"/>
      <c r="J4559" s="179"/>
      <c r="K4559" s="183"/>
      <c r="L4559" s="176"/>
      <c r="M4559" s="177"/>
      <c r="N4559" s="21"/>
      <c r="O4559" s="45"/>
      <c r="P4559" s="24"/>
      <c r="Q4559" s="24"/>
      <c r="R4559" s="180"/>
      <c r="S4559" s="181"/>
      <c r="T4559" s="35"/>
      <c r="U4559" s="35"/>
      <c r="V4559" s="35"/>
      <c r="W4559" s="35"/>
      <c r="X4559" s="35"/>
      <c r="Y4559" s="182"/>
      <c r="Z4559" s="175"/>
      <c r="AA4559" s="182"/>
      <c r="AB4559" s="184"/>
    </row>
    <row r="4560" spans="1:28" ht="12.75">
      <c r="A4560" s="173"/>
      <c r="B4560" s="174"/>
      <c r="C4560" s="11"/>
      <c r="D4560" s="175"/>
      <c r="E4560" s="176"/>
      <c r="F4560" s="177"/>
      <c r="G4560" s="178"/>
      <c r="H4560" s="177"/>
      <c r="I4560" s="177"/>
      <c r="J4560" s="179"/>
      <c r="K4560" s="183"/>
      <c r="L4560" s="176"/>
      <c r="M4560" s="177"/>
      <c r="N4560" s="21"/>
      <c r="O4560" s="45"/>
      <c r="P4560" s="24"/>
      <c r="Q4560" s="24"/>
      <c r="R4560" s="180"/>
      <c r="S4560" s="181"/>
      <c r="T4560" s="35"/>
      <c r="U4560" s="35"/>
      <c r="V4560" s="35"/>
      <c r="W4560" s="35"/>
      <c r="X4560" s="35"/>
      <c r="Y4560" s="182"/>
      <c r="Z4560" s="175"/>
      <c r="AA4560" s="182"/>
      <c r="AB4560" s="184"/>
    </row>
    <row r="4561" spans="1:28" ht="12.75">
      <c r="A4561" s="173"/>
      <c r="B4561" s="174"/>
      <c r="C4561" s="11"/>
      <c r="D4561" s="175"/>
      <c r="E4561" s="176"/>
      <c r="F4561" s="177"/>
      <c r="G4561" s="178"/>
      <c r="H4561" s="177"/>
      <c r="I4561" s="177"/>
      <c r="J4561" s="179"/>
      <c r="K4561" s="183"/>
      <c r="L4561" s="176"/>
      <c r="M4561" s="177"/>
      <c r="N4561" s="21"/>
      <c r="O4561" s="45"/>
      <c r="P4561" s="24"/>
      <c r="Q4561" s="24"/>
      <c r="R4561" s="180"/>
      <c r="S4561" s="181"/>
      <c r="T4561" s="35"/>
      <c r="U4561" s="35"/>
      <c r="V4561" s="35"/>
      <c r="W4561" s="35"/>
      <c r="X4561" s="35"/>
      <c r="Y4561" s="182"/>
      <c r="Z4561" s="175"/>
      <c r="AA4561" s="182"/>
      <c r="AB4561" s="184"/>
    </row>
    <row r="4562" spans="1:28" ht="12.75">
      <c r="A4562" s="173"/>
      <c r="B4562" s="174"/>
      <c r="C4562" s="11"/>
      <c r="D4562" s="175"/>
      <c r="E4562" s="176"/>
      <c r="F4562" s="177"/>
      <c r="G4562" s="178"/>
      <c r="H4562" s="177"/>
      <c r="I4562" s="177"/>
      <c r="J4562" s="179"/>
      <c r="K4562" s="183"/>
      <c r="L4562" s="176"/>
      <c r="M4562" s="177"/>
      <c r="N4562" s="21"/>
      <c r="O4562" s="45"/>
      <c r="P4562" s="24"/>
      <c r="Q4562" s="24"/>
      <c r="R4562" s="180"/>
      <c r="S4562" s="181"/>
      <c r="T4562" s="35"/>
      <c r="U4562" s="35"/>
      <c r="V4562" s="35"/>
      <c r="W4562" s="35"/>
      <c r="X4562" s="35"/>
      <c r="Y4562" s="182"/>
      <c r="Z4562" s="175"/>
      <c r="AA4562" s="182"/>
      <c r="AB4562" s="184"/>
    </row>
    <row r="4563" spans="1:28" ht="12.75">
      <c r="A4563" s="173"/>
      <c r="B4563" s="174"/>
      <c r="C4563" s="11"/>
      <c r="D4563" s="175"/>
      <c r="E4563" s="176"/>
      <c r="F4563" s="177"/>
      <c r="G4563" s="178"/>
      <c r="H4563" s="177"/>
      <c r="I4563" s="177"/>
      <c r="J4563" s="179"/>
      <c r="K4563" s="183"/>
      <c r="L4563" s="176"/>
      <c r="M4563" s="177"/>
      <c r="N4563" s="21"/>
      <c r="O4563" s="45"/>
      <c r="P4563" s="24"/>
      <c r="Q4563" s="24"/>
      <c r="R4563" s="180"/>
      <c r="S4563" s="181"/>
      <c r="T4563" s="35"/>
      <c r="U4563" s="35"/>
      <c r="V4563" s="35"/>
      <c r="W4563" s="35"/>
      <c r="X4563" s="35"/>
      <c r="Y4563" s="182"/>
      <c r="Z4563" s="175"/>
      <c r="AA4563" s="182"/>
      <c r="AB4563" s="184"/>
    </row>
    <row r="4564" spans="1:28" ht="12.75">
      <c r="A4564" s="173"/>
      <c r="B4564" s="174"/>
      <c r="C4564" s="11"/>
      <c r="D4564" s="175"/>
      <c r="E4564" s="176"/>
      <c r="F4564" s="177"/>
      <c r="G4564" s="178"/>
      <c r="H4564" s="177"/>
      <c r="I4564" s="177"/>
      <c r="J4564" s="179"/>
      <c r="K4564" s="183"/>
      <c r="L4564" s="176"/>
      <c r="M4564" s="177"/>
      <c r="N4564" s="21"/>
      <c r="O4564" s="45"/>
      <c r="P4564" s="24"/>
      <c r="Q4564" s="24"/>
      <c r="R4564" s="180"/>
      <c r="S4564" s="181"/>
      <c r="T4564" s="35"/>
      <c r="U4564" s="35"/>
      <c r="V4564" s="35"/>
      <c r="W4564" s="35"/>
      <c r="X4564" s="35"/>
      <c r="Y4564" s="182"/>
      <c r="Z4564" s="175"/>
      <c r="AA4564" s="182"/>
      <c r="AB4564" s="184"/>
    </row>
    <row r="4565" spans="1:28" ht="12.75">
      <c r="A4565" s="173"/>
      <c r="B4565" s="174"/>
      <c r="C4565" s="11"/>
      <c r="D4565" s="175"/>
      <c r="E4565" s="176"/>
      <c r="F4565" s="177"/>
      <c r="G4565" s="178"/>
      <c r="H4565" s="177"/>
      <c r="I4565" s="177"/>
      <c r="J4565" s="179"/>
      <c r="K4565" s="183"/>
      <c r="L4565" s="176"/>
      <c r="M4565" s="177"/>
      <c r="N4565" s="21"/>
      <c r="O4565" s="45"/>
      <c r="P4565" s="24"/>
      <c r="Q4565" s="24"/>
      <c r="R4565" s="180"/>
      <c r="S4565" s="181"/>
      <c r="T4565" s="35"/>
      <c r="U4565" s="35"/>
      <c r="V4565" s="35"/>
      <c r="W4565" s="35"/>
      <c r="X4565" s="35"/>
      <c r="Y4565" s="182"/>
      <c r="Z4565" s="175"/>
      <c r="AA4565" s="182"/>
      <c r="AB4565" s="184"/>
    </row>
    <row r="4566" spans="1:28" ht="12.75">
      <c r="A4566" s="173"/>
      <c r="B4566" s="174"/>
      <c r="C4566" s="11"/>
      <c r="D4566" s="175"/>
      <c r="E4566" s="176"/>
      <c r="F4566" s="177"/>
      <c r="G4566" s="178"/>
      <c r="H4566" s="177"/>
      <c r="I4566" s="177"/>
      <c r="J4566" s="179"/>
      <c r="K4566" s="183"/>
      <c r="L4566" s="176"/>
      <c r="M4566" s="177"/>
      <c r="N4566" s="21"/>
      <c r="O4566" s="45"/>
      <c r="P4566" s="24"/>
      <c r="Q4566" s="24"/>
      <c r="R4566" s="180"/>
      <c r="S4566" s="181"/>
      <c r="T4566" s="35"/>
      <c r="U4566" s="35"/>
      <c r="V4566" s="35"/>
      <c r="W4566" s="35"/>
      <c r="X4566" s="35"/>
      <c r="Y4566" s="182"/>
      <c r="Z4566" s="175"/>
      <c r="AA4566" s="182"/>
      <c r="AB4566" s="184"/>
    </row>
    <row r="4567" spans="1:28" ht="12.75">
      <c r="A4567" s="173"/>
      <c r="B4567" s="174"/>
      <c r="C4567" s="11"/>
      <c r="D4567" s="175"/>
      <c r="E4567" s="176"/>
      <c r="F4567" s="177"/>
      <c r="G4567" s="178"/>
      <c r="H4567" s="177"/>
      <c r="I4567" s="177"/>
      <c r="J4567" s="179"/>
      <c r="K4567" s="183"/>
      <c r="L4567" s="176"/>
      <c r="M4567" s="177"/>
      <c r="N4567" s="21"/>
      <c r="O4567" s="45"/>
      <c r="P4567" s="24"/>
      <c r="Q4567" s="24"/>
      <c r="R4567" s="180"/>
      <c r="S4567" s="181"/>
      <c r="T4567" s="35"/>
      <c r="U4567" s="35"/>
      <c r="V4567" s="35"/>
      <c r="W4567" s="35"/>
      <c r="X4567" s="35"/>
      <c r="Y4567" s="182"/>
      <c r="Z4567" s="175"/>
      <c r="AA4567" s="182"/>
      <c r="AB4567" s="184"/>
    </row>
    <row r="4568" spans="1:28" ht="12.75">
      <c r="A4568" s="173"/>
      <c r="B4568" s="174"/>
      <c r="C4568" s="11"/>
      <c r="D4568" s="175"/>
      <c r="E4568" s="176"/>
      <c r="F4568" s="177"/>
      <c r="G4568" s="178"/>
      <c r="H4568" s="177"/>
      <c r="I4568" s="177"/>
      <c r="J4568" s="179"/>
      <c r="K4568" s="183"/>
      <c r="L4568" s="176"/>
      <c r="M4568" s="177"/>
      <c r="N4568" s="21"/>
      <c r="O4568" s="45"/>
      <c r="P4568" s="24"/>
      <c r="Q4568" s="24"/>
      <c r="R4568" s="180"/>
      <c r="S4568" s="181"/>
      <c r="T4568" s="35"/>
      <c r="U4568" s="35"/>
      <c r="V4568" s="35"/>
      <c r="W4568" s="35"/>
      <c r="X4568" s="35"/>
      <c r="Y4568" s="182"/>
      <c r="Z4568" s="175"/>
      <c r="AA4568" s="182"/>
      <c r="AB4568" s="184"/>
    </row>
    <row r="4569" spans="1:28" ht="12.75">
      <c r="A4569" s="173"/>
      <c r="B4569" s="174"/>
      <c r="C4569" s="11"/>
      <c r="D4569" s="175"/>
      <c r="E4569" s="176"/>
      <c r="F4569" s="177"/>
      <c r="G4569" s="178"/>
      <c r="H4569" s="177"/>
      <c r="I4569" s="177"/>
      <c r="J4569" s="179"/>
      <c r="K4569" s="183"/>
      <c r="L4569" s="176"/>
      <c r="M4569" s="177"/>
      <c r="N4569" s="21"/>
      <c r="O4569" s="45"/>
      <c r="P4569" s="24"/>
      <c r="Q4569" s="24"/>
      <c r="R4569" s="180"/>
      <c r="S4569" s="181"/>
      <c r="T4569" s="35"/>
      <c r="U4569" s="35"/>
      <c r="V4569" s="35"/>
      <c r="W4569" s="35"/>
      <c r="X4569" s="35"/>
      <c r="Y4569" s="182"/>
      <c r="Z4569" s="175"/>
      <c r="AA4569" s="182"/>
      <c r="AB4569" s="184"/>
    </row>
    <row r="4570" spans="1:28" ht="12.75">
      <c r="A4570" s="173"/>
      <c r="B4570" s="174"/>
      <c r="C4570" s="11"/>
      <c r="D4570" s="175"/>
      <c r="E4570" s="176"/>
      <c r="F4570" s="177"/>
      <c r="G4570" s="178"/>
      <c r="H4570" s="177"/>
      <c r="I4570" s="177"/>
      <c r="J4570" s="179"/>
      <c r="K4570" s="183"/>
      <c r="L4570" s="176"/>
      <c r="M4570" s="177"/>
      <c r="N4570" s="21"/>
      <c r="O4570" s="45"/>
      <c r="P4570" s="24"/>
      <c r="Q4570" s="24"/>
      <c r="R4570" s="180"/>
      <c r="S4570" s="181"/>
      <c r="T4570" s="35"/>
      <c r="U4570" s="35"/>
      <c r="V4570" s="35"/>
      <c r="W4570" s="35"/>
      <c r="X4570" s="35"/>
      <c r="Y4570" s="182"/>
      <c r="Z4570" s="175"/>
      <c r="AA4570" s="182"/>
      <c r="AB4570" s="184"/>
    </row>
    <row r="4571" spans="1:28" ht="12.75">
      <c r="A4571" s="173"/>
      <c r="B4571" s="174"/>
      <c r="C4571" s="11"/>
      <c r="D4571" s="175"/>
      <c r="E4571" s="176"/>
      <c r="F4571" s="177"/>
      <c r="G4571" s="178"/>
      <c r="H4571" s="177"/>
      <c r="I4571" s="177"/>
      <c r="J4571" s="179"/>
      <c r="K4571" s="183"/>
      <c r="L4571" s="176"/>
      <c r="M4571" s="177"/>
      <c r="N4571" s="21"/>
      <c r="O4571" s="45"/>
      <c r="P4571" s="24"/>
      <c r="Q4571" s="24"/>
      <c r="R4571" s="180"/>
      <c r="S4571" s="181"/>
      <c r="T4571" s="35"/>
      <c r="U4571" s="35"/>
      <c r="V4571" s="35"/>
      <c r="W4571" s="35"/>
      <c r="X4571" s="35"/>
      <c r="Y4571" s="182"/>
      <c r="Z4571" s="175"/>
      <c r="AA4571" s="182"/>
      <c r="AB4571" s="184"/>
    </row>
    <row r="4572" spans="1:28" ht="12.75">
      <c r="A4572" s="173"/>
      <c r="B4572" s="174"/>
      <c r="C4572" s="11"/>
      <c r="D4572" s="175"/>
      <c r="E4572" s="176"/>
      <c r="F4572" s="177"/>
      <c r="G4572" s="178"/>
      <c r="H4572" s="177"/>
      <c r="I4572" s="177"/>
      <c r="J4572" s="179"/>
      <c r="K4572" s="183"/>
      <c r="L4572" s="176"/>
      <c r="M4572" s="177"/>
      <c r="N4572" s="21"/>
      <c r="O4572" s="45"/>
      <c r="P4572" s="24"/>
      <c r="Q4572" s="24"/>
      <c r="R4572" s="180"/>
      <c r="S4572" s="181"/>
      <c r="T4572" s="35"/>
      <c r="U4572" s="35"/>
      <c r="V4572" s="35"/>
      <c r="W4572" s="35"/>
      <c r="X4572" s="35"/>
      <c r="Y4572" s="182"/>
      <c r="Z4572" s="175"/>
      <c r="AA4572" s="182"/>
      <c r="AB4572" s="184"/>
    </row>
    <row r="4573" spans="1:28" ht="12.75">
      <c r="A4573" s="173"/>
      <c r="B4573" s="174"/>
      <c r="C4573" s="11"/>
      <c r="D4573" s="175"/>
      <c r="E4573" s="176"/>
      <c r="F4573" s="177"/>
      <c r="G4573" s="178"/>
      <c r="H4573" s="177"/>
      <c r="I4573" s="177"/>
      <c r="J4573" s="179"/>
      <c r="K4573" s="183"/>
      <c r="L4573" s="176"/>
      <c r="M4573" s="177"/>
      <c r="N4573" s="21"/>
      <c r="O4573" s="45"/>
      <c r="P4573" s="24"/>
      <c r="Q4573" s="24"/>
      <c r="R4573" s="180"/>
      <c r="S4573" s="181"/>
      <c r="T4573" s="35"/>
      <c r="U4573" s="35"/>
      <c r="V4573" s="35"/>
      <c r="W4573" s="35"/>
      <c r="X4573" s="35"/>
      <c r="Y4573" s="182"/>
      <c r="Z4573" s="175"/>
      <c r="AA4573" s="182"/>
      <c r="AB4573" s="184"/>
    </row>
    <row r="4574" spans="1:28" ht="12.75">
      <c r="A4574" s="173"/>
      <c r="B4574" s="174"/>
      <c r="C4574" s="11"/>
      <c r="D4574" s="175"/>
      <c r="E4574" s="176"/>
      <c r="F4574" s="177"/>
      <c r="G4574" s="178"/>
      <c r="H4574" s="177"/>
      <c r="I4574" s="177"/>
      <c r="J4574" s="179"/>
      <c r="K4574" s="183"/>
      <c r="L4574" s="176"/>
      <c r="M4574" s="177"/>
      <c r="N4574" s="21"/>
      <c r="O4574" s="45"/>
      <c r="P4574" s="24"/>
      <c r="Q4574" s="24"/>
      <c r="R4574" s="180"/>
      <c r="S4574" s="181"/>
      <c r="T4574" s="35"/>
      <c r="U4574" s="35"/>
      <c r="V4574" s="35"/>
      <c r="W4574" s="35"/>
      <c r="X4574" s="35"/>
      <c r="Y4574" s="182"/>
      <c r="Z4574" s="175"/>
      <c r="AA4574" s="182"/>
      <c r="AB4574" s="184"/>
    </row>
    <row r="4575" spans="1:28" ht="12.75">
      <c r="A4575" s="173"/>
      <c r="B4575" s="174"/>
      <c r="C4575" s="11"/>
      <c r="D4575" s="175"/>
      <c r="E4575" s="176"/>
      <c r="F4575" s="177"/>
      <c r="G4575" s="178"/>
      <c r="H4575" s="177"/>
      <c r="I4575" s="177"/>
      <c r="J4575" s="179"/>
      <c r="K4575" s="183"/>
      <c r="L4575" s="176"/>
      <c r="M4575" s="177"/>
      <c r="N4575" s="21"/>
      <c r="O4575" s="45"/>
      <c r="P4575" s="24"/>
      <c r="Q4575" s="24"/>
      <c r="R4575" s="180"/>
      <c r="S4575" s="181"/>
      <c r="T4575" s="35"/>
      <c r="U4575" s="35"/>
      <c r="V4575" s="35"/>
      <c r="W4575" s="35"/>
      <c r="X4575" s="35"/>
      <c r="Y4575" s="182"/>
      <c r="Z4575" s="175"/>
      <c r="AA4575" s="182"/>
      <c r="AB4575" s="184"/>
    </row>
    <row r="4576" spans="1:28" ht="12.75">
      <c r="A4576" s="173"/>
      <c r="B4576" s="174"/>
      <c r="C4576" s="11"/>
      <c r="D4576" s="175"/>
      <c r="E4576" s="176"/>
      <c r="F4576" s="177"/>
      <c r="G4576" s="178"/>
      <c r="H4576" s="177"/>
      <c r="I4576" s="177"/>
      <c r="J4576" s="179"/>
      <c r="K4576" s="183"/>
      <c r="L4576" s="176"/>
      <c r="M4576" s="177"/>
      <c r="N4576" s="21"/>
      <c r="O4576" s="45"/>
      <c r="P4576" s="24"/>
      <c r="Q4576" s="24"/>
      <c r="R4576" s="180"/>
      <c r="S4576" s="181"/>
      <c r="T4576" s="35"/>
      <c r="U4576" s="35"/>
      <c r="V4576" s="35"/>
      <c r="W4576" s="35"/>
      <c r="X4576" s="35"/>
      <c r="Y4576" s="182"/>
      <c r="Z4576" s="175"/>
      <c r="AA4576" s="182"/>
      <c r="AB4576" s="184"/>
    </row>
    <row r="4577" spans="1:28" ht="12.75">
      <c r="A4577" s="173"/>
      <c r="B4577" s="174"/>
      <c r="C4577" s="11"/>
      <c r="D4577" s="175"/>
      <c r="E4577" s="176"/>
      <c r="F4577" s="177"/>
      <c r="G4577" s="178"/>
      <c r="H4577" s="177"/>
      <c r="I4577" s="177"/>
      <c r="J4577" s="179"/>
      <c r="K4577" s="183"/>
      <c r="L4577" s="176"/>
      <c r="M4577" s="177"/>
      <c r="N4577" s="21"/>
      <c r="O4577" s="45"/>
      <c r="P4577" s="24"/>
      <c r="Q4577" s="24"/>
      <c r="R4577" s="180"/>
      <c r="S4577" s="181"/>
      <c r="T4577" s="35"/>
      <c r="U4577" s="35"/>
      <c r="V4577" s="35"/>
      <c r="W4577" s="35"/>
      <c r="X4577" s="35"/>
      <c r="Y4577" s="182"/>
      <c r="Z4577" s="175"/>
      <c r="AA4577" s="182"/>
      <c r="AB4577" s="184"/>
    </row>
    <row r="4578" spans="1:28" ht="12.75">
      <c r="A4578" s="173"/>
      <c r="B4578" s="174"/>
      <c r="C4578" s="11"/>
      <c r="D4578" s="175"/>
      <c r="E4578" s="176"/>
      <c r="F4578" s="177"/>
      <c r="G4578" s="178"/>
      <c r="H4578" s="177"/>
      <c r="I4578" s="177"/>
      <c r="J4578" s="179"/>
      <c r="K4578" s="183"/>
      <c r="L4578" s="176"/>
      <c r="M4578" s="177"/>
      <c r="N4578" s="21"/>
      <c r="O4578" s="45"/>
      <c r="P4578" s="24"/>
      <c r="Q4578" s="24"/>
      <c r="R4578" s="180"/>
      <c r="S4578" s="181"/>
      <c r="T4578" s="35"/>
      <c r="U4578" s="35"/>
      <c r="V4578" s="35"/>
      <c r="W4578" s="35"/>
      <c r="X4578" s="35"/>
      <c r="Y4578" s="182"/>
      <c r="Z4578" s="175"/>
      <c r="AA4578" s="182"/>
      <c r="AB4578" s="184"/>
    </row>
    <row r="4579" spans="1:28" ht="12.75">
      <c r="A4579" s="173"/>
      <c r="B4579" s="174"/>
      <c r="C4579" s="11"/>
      <c r="D4579" s="175"/>
      <c r="E4579" s="176"/>
      <c r="F4579" s="177"/>
      <c r="G4579" s="178"/>
      <c r="H4579" s="177"/>
      <c r="I4579" s="177"/>
      <c r="J4579" s="179"/>
      <c r="K4579" s="183"/>
      <c r="L4579" s="176"/>
      <c r="M4579" s="177"/>
      <c r="N4579" s="21"/>
      <c r="O4579" s="45"/>
      <c r="P4579" s="24"/>
      <c r="Q4579" s="24"/>
      <c r="R4579" s="180"/>
      <c r="S4579" s="181"/>
      <c r="T4579" s="35"/>
      <c r="U4579" s="35"/>
      <c r="V4579" s="35"/>
      <c r="W4579" s="35"/>
      <c r="X4579" s="35"/>
      <c r="Y4579" s="182"/>
      <c r="Z4579" s="175"/>
      <c r="AA4579" s="182"/>
      <c r="AB4579" s="184"/>
    </row>
    <row r="4580" spans="1:28" ht="12.75">
      <c r="A4580" s="173"/>
      <c r="B4580" s="174"/>
      <c r="C4580" s="11"/>
      <c r="D4580" s="175"/>
      <c r="E4580" s="176"/>
      <c r="F4580" s="177"/>
      <c r="G4580" s="178"/>
      <c r="H4580" s="177"/>
      <c r="I4580" s="177"/>
      <c r="J4580" s="179"/>
      <c r="K4580" s="183"/>
      <c r="L4580" s="176"/>
      <c r="M4580" s="177"/>
      <c r="N4580" s="21"/>
      <c r="O4580" s="45"/>
      <c r="P4580" s="24"/>
      <c r="Q4580" s="24"/>
      <c r="R4580" s="180"/>
      <c r="S4580" s="181"/>
      <c r="T4580" s="35"/>
      <c r="U4580" s="35"/>
      <c r="V4580" s="35"/>
      <c r="W4580" s="35"/>
      <c r="X4580" s="35"/>
      <c r="Y4580" s="182"/>
      <c r="Z4580" s="175"/>
      <c r="AA4580" s="182"/>
      <c r="AB4580" s="184"/>
    </row>
    <row r="4581" spans="1:28" ht="12.75">
      <c r="A4581" s="173"/>
      <c r="B4581" s="174"/>
      <c r="C4581" s="11"/>
      <c r="D4581" s="175"/>
      <c r="E4581" s="176"/>
      <c r="F4581" s="177"/>
      <c r="G4581" s="178"/>
      <c r="H4581" s="177"/>
      <c r="I4581" s="177"/>
      <c r="J4581" s="179"/>
      <c r="K4581" s="183"/>
      <c r="L4581" s="176"/>
      <c r="M4581" s="177"/>
      <c r="N4581" s="21"/>
      <c r="O4581" s="45"/>
      <c r="P4581" s="24"/>
      <c r="Q4581" s="24"/>
      <c r="R4581" s="180"/>
      <c r="S4581" s="181"/>
      <c r="T4581" s="35"/>
      <c r="U4581" s="35"/>
      <c r="V4581" s="35"/>
      <c r="W4581" s="35"/>
      <c r="X4581" s="35"/>
      <c r="Y4581" s="182"/>
      <c r="Z4581" s="175"/>
      <c r="AA4581" s="182"/>
      <c r="AB4581" s="184"/>
    </row>
    <row r="4582" spans="1:28" ht="12.75">
      <c r="A4582" s="173"/>
      <c r="B4582" s="174"/>
      <c r="C4582" s="11"/>
      <c r="D4582" s="175"/>
      <c r="E4582" s="176"/>
      <c r="F4582" s="177"/>
      <c r="G4582" s="178"/>
      <c r="H4582" s="177"/>
      <c r="I4582" s="177"/>
      <c r="J4582" s="179"/>
      <c r="K4582" s="183"/>
      <c r="L4582" s="176"/>
      <c r="M4582" s="177"/>
      <c r="N4582" s="21"/>
      <c r="O4582" s="45"/>
      <c r="P4582" s="24"/>
      <c r="Q4582" s="24"/>
      <c r="R4582" s="180"/>
      <c r="S4582" s="181"/>
      <c r="T4582" s="35"/>
      <c r="U4582" s="35"/>
      <c r="V4582" s="35"/>
      <c r="W4582" s="35"/>
      <c r="X4582" s="35"/>
      <c r="Y4582" s="182"/>
      <c r="Z4582" s="175"/>
      <c r="AA4582" s="182"/>
      <c r="AB4582" s="184"/>
    </row>
    <row r="4583" spans="1:28" ht="12.75">
      <c r="A4583" s="173"/>
      <c r="B4583" s="174"/>
      <c r="C4583" s="11"/>
      <c r="D4583" s="175"/>
      <c r="E4583" s="176"/>
      <c r="F4583" s="177"/>
      <c r="G4583" s="178"/>
      <c r="H4583" s="177"/>
      <c r="I4583" s="177"/>
      <c r="J4583" s="179"/>
      <c r="K4583" s="183"/>
      <c r="L4583" s="176"/>
      <c r="M4583" s="177"/>
      <c r="N4583" s="21"/>
      <c r="O4583" s="45"/>
      <c r="P4583" s="24"/>
      <c r="Q4583" s="24"/>
      <c r="R4583" s="180"/>
      <c r="S4583" s="181"/>
      <c r="T4583" s="35"/>
      <c r="U4583" s="35"/>
      <c r="V4583" s="35"/>
      <c r="W4583" s="35"/>
      <c r="X4583" s="35"/>
      <c r="Y4583" s="182"/>
      <c r="Z4583" s="175"/>
      <c r="AA4583" s="182"/>
      <c r="AB4583" s="184"/>
    </row>
    <row r="4584" spans="1:28" ht="12.75">
      <c r="A4584" s="173"/>
      <c r="B4584" s="174"/>
      <c r="C4584" s="11"/>
      <c r="D4584" s="175"/>
      <c r="E4584" s="176"/>
      <c r="F4584" s="177"/>
      <c r="G4584" s="178"/>
      <c r="H4584" s="177"/>
      <c r="I4584" s="177"/>
      <c r="J4584" s="179"/>
      <c r="K4584" s="183"/>
      <c r="L4584" s="176"/>
      <c r="M4584" s="177"/>
      <c r="N4584" s="21"/>
      <c r="O4584" s="45"/>
      <c r="P4584" s="24"/>
      <c r="Q4584" s="24"/>
      <c r="R4584" s="180"/>
      <c r="S4584" s="181"/>
      <c r="T4584" s="35"/>
      <c r="U4584" s="35"/>
      <c r="V4584" s="35"/>
      <c r="W4584" s="35"/>
      <c r="X4584" s="35"/>
      <c r="Y4584" s="182"/>
      <c r="Z4584" s="175"/>
      <c r="AA4584" s="182"/>
      <c r="AB4584" s="184"/>
    </row>
    <row r="4585" spans="1:28" ht="12.75">
      <c r="A4585" s="173"/>
      <c r="B4585" s="174"/>
      <c r="C4585" s="11"/>
      <c r="D4585" s="175"/>
      <c r="E4585" s="176"/>
      <c r="F4585" s="177"/>
      <c r="G4585" s="178"/>
      <c r="H4585" s="177"/>
      <c r="I4585" s="177"/>
      <c r="J4585" s="179"/>
      <c r="K4585" s="183"/>
      <c r="L4585" s="176"/>
      <c r="M4585" s="177"/>
      <c r="N4585" s="21"/>
      <c r="O4585" s="45"/>
      <c r="P4585" s="24"/>
      <c r="Q4585" s="24"/>
      <c r="R4585" s="180"/>
      <c r="S4585" s="181"/>
      <c r="T4585" s="35"/>
      <c r="U4585" s="35"/>
      <c r="V4585" s="35"/>
      <c r="W4585" s="35"/>
      <c r="X4585" s="35"/>
      <c r="Y4585" s="182"/>
      <c r="Z4585" s="175"/>
      <c r="AA4585" s="182"/>
      <c r="AB4585" s="184"/>
    </row>
    <row r="4586" spans="1:28" ht="12.75">
      <c r="A4586" s="173"/>
      <c r="B4586" s="174"/>
      <c r="C4586" s="11"/>
      <c r="D4586" s="175"/>
      <c r="E4586" s="176"/>
      <c r="F4586" s="177"/>
      <c r="G4586" s="178"/>
      <c r="H4586" s="177"/>
      <c r="I4586" s="177"/>
      <c r="J4586" s="179"/>
      <c r="K4586" s="183"/>
      <c r="L4586" s="176"/>
      <c r="M4586" s="177"/>
      <c r="N4586" s="21"/>
      <c r="O4586" s="45"/>
      <c r="P4586" s="24"/>
      <c r="Q4586" s="24"/>
      <c r="R4586" s="180"/>
      <c r="S4586" s="181"/>
      <c r="T4586" s="35"/>
      <c r="U4586" s="35"/>
      <c r="V4586" s="35"/>
      <c r="W4586" s="35"/>
      <c r="X4586" s="35"/>
      <c r="Y4586" s="182"/>
      <c r="Z4586" s="175"/>
      <c r="AA4586" s="182"/>
      <c r="AB4586" s="184"/>
    </row>
    <row r="4587" spans="1:28" ht="12.75">
      <c r="A4587" s="173"/>
      <c r="B4587" s="174"/>
      <c r="C4587" s="11"/>
      <c r="D4587" s="175"/>
      <c r="E4587" s="176"/>
      <c r="F4587" s="177"/>
      <c r="G4587" s="178"/>
      <c r="H4587" s="177"/>
      <c r="I4587" s="177"/>
      <c r="J4587" s="179"/>
      <c r="K4587" s="183"/>
      <c r="L4587" s="176"/>
      <c r="M4587" s="177"/>
      <c r="N4587" s="21"/>
      <c r="O4587" s="45"/>
      <c r="P4587" s="24"/>
      <c r="Q4587" s="24"/>
      <c r="R4587" s="180"/>
      <c r="S4587" s="181"/>
      <c r="T4587" s="35"/>
      <c r="U4587" s="35"/>
      <c r="V4587" s="35"/>
      <c r="W4587" s="35"/>
      <c r="X4587" s="35"/>
      <c r="Y4587" s="182"/>
      <c r="Z4587" s="175"/>
      <c r="AA4587" s="182"/>
      <c r="AB4587" s="184"/>
    </row>
    <row r="4588" spans="1:28" ht="12.75">
      <c r="A4588" s="173"/>
      <c r="B4588" s="174"/>
      <c r="C4588" s="11"/>
      <c r="D4588" s="175"/>
      <c r="E4588" s="176"/>
      <c r="F4588" s="177"/>
      <c r="G4588" s="178"/>
      <c r="H4588" s="177"/>
      <c r="I4588" s="177"/>
      <c r="J4588" s="179"/>
      <c r="K4588" s="183"/>
      <c r="L4588" s="176"/>
      <c r="M4588" s="177"/>
      <c r="N4588" s="21"/>
      <c r="O4588" s="45"/>
      <c r="P4588" s="24"/>
      <c r="Q4588" s="24"/>
      <c r="R4588" s="180"/>
      <c r="S4588" s="181"/>
      <c r="T4588" s="35"/>
      <c r="U4588" s="35"/>
      <c r="V4588" s="35"/>
      <c r="W4588" s="35"/>
      <c r="X4588" s="35"/>
      <c r="Y4588" s="182"/>
      <c r="Z4588" s="175"/>
      <c r="AA4588" s="182"/>
      <c r="AB4588" s="184"/>
    </row>
    <row r="4589" spans="1:28" ht="12.75">
      <c r="A4589" s="173"/>
      <c r="B4589" s="174"/>
      <c r="C4589" s="11"/>
      <c r="D4589" s="175"/>
      <c r="E4589" s="176"/>
      <c r="F4589" s="177"/>
      <c r="G4589" s="178"/>
      <c r="H4589" s="177"/>
      <c r="I4589" s="177"/>
      <c r="J4589" s="179"/>
      <c r="K4589" s="183"/>
      <c r="L4589" s="176"/>
      <c r="M4589" s="177"/>
      <c r="N4589" s="21"/>
      <c r="O4589" s="45"/>
      <c r="P4589" s="24"/>
      <c r="Q4589" s="24"/>
      <c r="R4589" s="180"/>
      <c r="S4589" s="181"/>
      <c r="T4589" s="35"/>
      <c r="U4589" s="35"/>
      <c r="V4589" s="35"/>
      <c r="W4589" s="35"/>
      <c r="X4589" s="35"/>
      <c r="Y4589" s="182"/>
      <c r="Z4589" s="175"/>
      <c r="AA4589" s="182"/>
      <c r="AB4589" s="184"/>
    </row>
    <row r="4590" spans="1:28" ht="12.75">
      <c r="A4590" s="173"/>
      <c r="B4590" s="174"/>
      <c r="C4590" s="11"/>
      <c r="D4590" s="175"/>
      <c r="E4590" s="176"/>
      <c r="F4590" s="177"/>
      <c r="G4590" s="178"/>
      <c r="H4590" s="177"/>
      <c r="I4590" s="177"/>
      <c r="J4590" s="179"/>
      <c r="K4590" s="183"/>
      <c r="L4590" s="176"/>
      <c r="M4590" s="177"/>
      <c r="N4590" s="21"/>
      <c r="O4590" s="45"/>
      <c r="P4590" s="24"/>
      <c r="Q4590" s="24"/>
      <c r="R4590" s="180"/>
      <c r="S4590" s="181"/>
      <c r="T4590" s="35"/>
      <c r="U4590" s="35"/>
      <c r="V4590" s="35"/>
      <c r="W4590" s="35"/>
      <c r="X4590" s="35"/>
      <c r="Y4590" s="182"/>
      <c r="Z4590" s="175"/>
      <c r="AA4590" s="182"/>
      <c r="AB4590" s="184"/>
    </row>
    <row r="4591" spans="1:28" ht="12.75">
      <c r="A4591" s="173"/>
      <c r="B4591" s="174"/>
      <c r="C4591" s="11"/>
      <c r="D4591" s="175"/>
      <c r="E4591" s="176"/>
      <c r="F4591" s="177"/>
      <c r="G4591" s="178"/>
      <c r="H4591" s="177"/>
      <c r="I4591" s="177"/>
      <c r="J4591" s="179"/>
      <c r="K4591" s="183"/>
      <c r="L4591" s="176"/>
      <c r="M4591" s="177"/>
      <c r="N4591" s="21"/>
      <c r="O4591" s="45"/>
      <c r="P4591" s="24"/>
      <c r="Q4591" s="24"/>
      <c r="R4591" s="180"/>
      <c r="S4591" s="181"/>
      <c r="T4591" s="35"/>
      <c r="U4591" s="35"/>
      <c r="V4591" s="35"/>
      <c r="W4591" s="35"/>
      <c r="X4591" s="35"/>
      <c r="Y4591" s="182"/>
      <c r="Z4591" s="175"/>
      <c r="AA4591" s="182"/>
      <c r="AB4591" s="184"/>
    </row>
    <row r="4592" spans="1:28" ht="12.75">
      <c r="A4592" s="173"/>
      <c r="B4592" s="174"/>
      <c r="C4592" s="11"/>
      <c r="D4592" s="175"/>
      <c r="E4592" s="176"/>
      <c r="F4592" s="177"/>
      <c r="G4592" s="178"/>
      <c r="H4592" s="177"/>
      <c r="I4592" s="177"/>
      <c r="J4592" s="179"/>
      <c r="K4592" s="183"/>
      <c r="L4592" s="176"/>
      <c r="M4592" s="177"/>
      <c r="N4592" s="21"/>
      <c r="O4592" s="45"/>
      <c r="P4592" s="24"/>
      <c r="Q4592" s="24"/>
      <c r="R4592" s="180"/>
      <c r="S4592" s="181"/>
      <c r="T4592" s="35"/>
      <c r="U4592" s="35"/>
      <c r="V4592" s="35"/>
      <c r="W4592" s="35"/>
      <c r="X4592" s="35"/>
      <c r="Y4592" s="182"/>
      <c r="Z4592" s="175"/>
      <c r="AA4592" s="182"/>
      <c r="AB4592" s="184"/>
    </row>
    <row r="4593" spans="1:28" ht="12.75">
      <c r="A4593" s="173"/>
      <c r="B4593" s="174"/>
      <c r="C4593" s="11"/>
      <c r="D4593" s="175"/>
      <c r="E4593" s="176"/>
      <c r="F4593" s="177"/>
      <c r="G4593" s="178"/>
      <c r="H4593" s="177"/>
      <c r="I4593" s="177"/>
      <c r="J4593" s="179"/>
      <c r="K4593" s="183"/>
      <c r="L4593" s="176"/>
      <c r="M4593" s="177"/>
      <c r="N4593" s="21"/>
      <c r="O4593" s="45"/>
      <c r="P4593" s="24"/>
      <c r="Q4593" s="24"/>
      <c r="R4593" s="180"/>
      <c r="S4593" s="181"/>
      <c r="T4593" s="35"/>
      <c r="U4593" s="35"/>
      <c r="V4593" s="35"/>
      <c r="W4593" s="35"/>
      <c r="X4593" s="35"/>
      <c r="Y4593" s="182"/>
      <c r="Z4593" s="175"/>
      <c r="AA4593" s="182"/>
      <c r="AB4593" s="184"/>
    </row>
    <row r="4594" spans="1:28" ht="12.75">
      <c r="A4594" s="173"/>
      <c r="B4594" s="174"/>
      <c r="C4594" s="11"/>
      <c r="D4594" s="175"/>
      <c r="E4594" s="176"/>
      <c r="F4594" s="177"/>
      <c r="G4594" s="178"/>
      <c r="H4594" s="177"/>
      <c r="I4594" s="177"/>
      <c r="J4594" s="179"/>
      <c r="K4594" s="183"/>
      <c r="L4594" s="176"/>
      <c r="M4594" s="177"/>
      <c r="N4594" s="21"/>
      <c r="O4594" s="45"/>
      <c r="P4594" s="24"/>
      <c r="Q4594" s="24"/>
      <c r="R4594" s="180"/>
      <c r="S4594" s="181"/>
      <c r="T4594" s="35"/>
      <c r="U4594" s="35"/>
      <c r="V4594" s="35"/>
      <c r="W4594" s="35"/>
      <c r="X4594" s="35"/>
      <c r="Y4594" s="182"/>
      <c r="Z4594" s="175"/>
      <c r="AA4594" s="182"/>
      <c r="AB4594" s="184"/>
    </row>
    <row r="4595" spans="1:28" ht="12.75">
      <c r="A4595" s="173"/>
      <c r="B4595" s="174"/>
      <c r="C4595" s="11"/>
      <c r="D4595" s="175"/>
      <c r="E4595" s="176"/>
      <c r="F4595" s="177"/>
      <c r="G4595" s="178"/>
      <c r="H4595" s="177"/>
      <c r="I4595" s="177"/>
      <c r="J4595" s="179"/>
      <c r="K4595" s="183"/>
      <c r="L4595" s="176"/>
      <c r="M4595" s="177"/>
      <c r="N4595" s="21"/>
      <c r="O4595" s="45"/>
      <c r="P4595" s="24"/>
      <c r="Q4595" s="24"/>
      <c r="R4595" s="180"/>
      <c r="S4595" s="181"/>
      <c r="T4595" s="35"/>
      <c r="U4595" s="35"/>
      <c r="V4595" s="35"/>
      <c r="W4595" s="35"/>
      <c r="X4595" s="35"/>
      <c r="Y4595" s="182"/>
      <c r="Z4595" s="175"/>
      <c r="AA4595" s="182"/>
      <c r="AB4595" s="184"/>
    </row>
    <row r="4596" spans="1:28" ht="12.75">
      <c r="A4596" s="173"/>
      <c r="B4596" s="174"/>
      <c r="C4596" s="11"/>
      <c r="D4596" s="175"/>
      <c r="E4596" s="176"/>
      <c r="F4596" s="177"/>
      <c r="G4596" s="178"/>
      <c r="H4596" s="177"/>
      <c r="I4596" s="177"/>
      <c r="J4596" s="179"/>
      <c r="K4596" s="183"/>
      <c r="L4596" s="176"/>
      <c r="M4596" s="177"/>
      <c r="N4596" s="21"/>
      <c r="O4596" s="45"/>
      <c r="P4596" s="24"/>
      <c r="Q4596" s="24"/>
      <c r="R4596" s="180"/>
      <c r="S4596" s="181"/>
      <c r="T4596" s="35"/>
      <c r="U4596" s="35"/>
      <c r="V4596" s="35"/>
      <c r="W4596" s="35"/>
      <c r="X4596" s="35"/>
      <c r="Y4596" s="182"/>
      <c r="Z4596" s="175"/>
      <c r="AA4596" s="182"/>
      <c r="AB4596" s="184"/>
    </row>
    <row r="4597" spans="1:28" ht="12.75">
      <c r="A4597" s="173"/>
      <c r="B4597" s="174"/>
      <c r="C4597" s="11"/>
      <c r="D4597" s="175"/>
      <c r="E4597" s="176"/>
      <c r="F4597" s="177"/>
      <c r="G4597" s="178"/>
      <c r="H4597" s="177"/>
      <c r="I4597" s="177"/>
      <c r="J4597" s="179"/>
      <c r="K4597" s="183"/>
      <c r="L4597" s="176"/>
      <c r="M4597" s="177"/>
      <c r="N4597" s="21"/>
      <c r="O4597" s="45"/>
      <c r="P4597" s="24"/>
      <c r="Q4597" s="24"/>
      <c r="R4597" s="180"/>
      <c r="S4597" s="181"/>
      <c r="T4597" s="35"/>
      <c r="U4597" s="35"/>
      <c r="V4597" s="35"/>
      <c r="W4597" s="35"/>
      <c r="X4597" s="35"/>
      <c r="Y4597" s="182"/>
      <c r="Z4597" s="175"/>
      <c r="AA4597" s="182"/>
      <c r="AB4597" s="184"/>
    </row>
    <row r="4598" spans="1:28" ht="12.75">
      <c r="A4598" s="173"/>
      <c r="B4598" s="174"/>
      <c r="C4598" s="11"/>
      <c r="D4598" s="175"/>
      <c r="E4598" s="176"/>
      <c r="F4598" s="177"/>
      <c r="G4598" s="178"/>
      <c r="H4598" s="177"/>
      <c r="I4598" s="177"/>
      <c r="J4598" s="179"/>
      <c r="K4598" s="183"/>
      <c r="L4598" s="176"/>
      <c r="M4598" s="177"/>
      <c r="N4598" s="21"/>
      <c r="O4598" s="45"/>
      <c r="P4598" s="24"/>
      <c r="Q4598" s="24"/>
      <c r="R4598" s="180"/>
      <c r="S4598" s="181"/>
      <c r="T4598" s="35"/>
      <c r="U4598" s="35"/>
      <c r="V4598" s="35"/>
      <c r="W4598" s="35"/>
      <c r="X4598" s="35"/>
      <c r="Y4598" s="182"/>
      <c r="Z4598" s="175"/>
      <c r="AA4598" s="182"/>
      <c r="AB4598" s="184"/>
    </row>
    <row r="4599" spans="1:28" ht="12.75">
      <c r="A4599" s="173"/>
      <c r="B4599" s="174"/>
      <c r="C4599" s="11"/>
      <c r="D4599" s="175"/>
      <c r="E4599" s="176"/>
      <c r="F4599" s="177"/>
      <c r="G4599" s="178"/>
      <c r="H4599" s="177"/>
      <c r="I4599" s="177"/>
      <c r="J4599" s="179"/>
      <c r="K4599" s="183"/>
      <c r="L4599" s="176"/>
      <c r="M4599" s="177"/>
      <c r="N4599" s="21"/>
      <c r="O4599" s="45"/>
      <c r="P4599" s="24"/>
      <c r="Q4599" s="24"/>
      <c r="R4599" s="180"/>
      <c r="S4599" s="181"/>
      <c r="T4599" s="35"/>
      <c r="U4599" s="35"/>
      <c r="V4599" s="35"/>
      <c r="W4599" s="35"/>
      <c r="X4599" s="35"/>
      <c r="Y4599" s="182"/>
      <c r="Z4599" s="175"/>
      <c r="AA4599" s="182"/>
      <c r="AB4599" s="184"/>
    </row>
    <row r="4600" spans="1:28" ht="12.75">
      <c r="A4600" s="173"/>
      <c r="B4600" s="174"/>
      <c r="C4600" s="11"/>
      <c r="D4600" s="175"/>
      <c r="E4600" s="176"/>
      <c r="F4600" s="177"/>
      <c r="G4600" s="178"/>
      <c r="H4600" s="177"/>
      <c r="I4600" s="177"/>
      <c r="J4600" s="179"/>
      <c r="K4600" s="183"/>
      <c r="L4600" s="176"/>
      <c r="M4600" s="177"/>
      <c r="N4600" s="21"/>
      <c r="O4600" s="45"/>
      <c r="P4600" s="24"/>
      <c r="Q4600" s="24"/>
      <c r="R4600" s="180"/>
      <c r="S4600" s="181"/>
      <c r="T4600" s="35"/>
      <c r="U4600" s="35"/>
      <c r="V4600" s="35"/>
      <c r="W4600" s="35"/>
      <c r="X4600" s="35"/>
      <c r="Y4600" s="182"/>
      <c r="Z4600" s="175"/>
      <c r="AA4600" s="182"/>
      <c r="AB4600" s="184"/>
    </row>
    <row r="4601" spans="1:28" ht="12.75">
      <c r="A4601" s="173"/>
      <c r="B4601" s="174"/>
      <c r="C4601" s="11"/>
      <c r="D4601" s="175"/>
      <c r="E4601" s="176"/>
      <c r="F4601" s="177"/>
      <c r="G4601" s="178"/>
      <c r="H4601" s="177"/>
      <c r="I4601" s="177"/>
      <c r="J4601" s="179"/>
      <c r="K4601" s="183"/>
      <c r="L4601" s="176"/>
      <c r="M4601" s="177"/>
      <c r="N4601" s="21"/>
      <c r="O4601" s="45"/>
      <c r="P4601" s="24"/>
      <c r="Q4601" s="24"/>
      <c r="R4601" s="180"/>
      <c r="S4601" s="181"/>
      <c r="T4601" s="35"/>
      <c r="U4601" s="35"/>
      <c r="V4601" s="35"/>
      <c r="W4601" s="35"/>
      <c r="X4601" s="35"/>
      <c r="Y4601" s="182"/>
      <c r="Z4601" s="175"/>
      <c r="AA4601" s="182"/>
      <c r="AB4601" s="184"/>
    </row>
    <row r="4602" spans="1:28" ht="12.75">
      <c r="A4602" s="173"/>
      <c r="B4602" s="174"/>
      <c r="C4602" s="11"/>
      <c r="D4602" s="175"/>
      <c r="E4602" s="176"/>
      <c r="F4602" s="177"/>
      <c r="G4602" s="178"/>
      <c r="H4602" s="177"/>
      <c r="I4602" s="177"/>
      <c r="J4602" s="179"/>
      <c r="K4602" s="183"/>
      <c r="L4602" s="176"/>
      <c r="M4602" s="177"/>
      <c r="N4602" s="21"/>
      <c r="O4602" s="45"/>
      <c r="P4602" s="24"/>
      <c r="Q4602" s="24"/>
      <c r="R4602" s="180"/>
      <c r="S4602" s="181"/>
      <c r="T4602" s="35"/>
      <c r="U4602" s="35"/>
      <c r="V4602" s="35"/>
      <c r="W4602" s="35"/>
      <c r="X4602" s="35"/>
      <c r="Y4602" s="182"/>
      <c r="Z4602" s="175"/>
      <c r="AA4602" s="182"/>
      <c r="AB4602" s="184"/>
    </row>
    <row r="4603" spans="1:28" ht="12.75">
      <c r="A4603" s="173"/>
      <c r="B4603" s="174"/>
      <c r="C4603" s="11"/>
      <c r="D4603" s="175"/>
      <c r="E4603" s="176"/>
      <c r="F4603" s="177"/>
      <c r="G4603" s="178"/>
      <c r="H4603" s="177"/>
      <c r="I4603" s="177"/>
      <c r="J4603" s="179"/>
      <c r="K4603" s="183"/>
      <c r="L4603" s="176"/>
      <c r="M4603" s="177"/>
      <c r="N4603" s="21"/>
      <c r="O4603" s="45"/>
      <c r="P4603" s="24"/>
      <c r="Q4603" s="24"/>
      <c r="R4603" s="180"/>
      <c r="S4603" s="181"/>
      <c r="T4603" s="35"/>
      <c r="U4603" s="35"/>
      <c r="V4603" s="35"/>
      <c r="W4603" s="35"/>
      <c r="X4603" s="35"/>
      <c r="Y4603" s="182"/>
      <c r="Z4603" s="175"/>
      <c r="AA4603" s="182"/>
      <c r="AB4603" s="184"/>
    </row>
    <row r="4604" spans="1:28" ht="12.75">
      <c r="A4604" s="173"/>
      <c r="B4604" s="174"/>
      <c r="C4604" s="11"/>
      <c r="D4604" s="175"/>
      <c r="E4604" s="176"/>
      <c r="F4604" s="177"/>
      <c r="G4604" s="178"/>
      <c r="H4604" s="177"/>
      <c r="I4604" s="177"/>
      <c r="J4604" s="179"/>
      <c r="K4604" s="183"/>
      <c r="L4604" s="176"/>
      <c r="M4604" s="177"/>
      <c r="N4604" s="21"/>
      <c r="O4604" s="45"/>
      <c r="P4604" s="24"/>
      <c r="Q4604" s="24"/>
      <c r="R4604" s="180"/>
      <c r="S4604" s="181"/>
      <c r="T4604" s="35"/>
      <c r="U4604" s="35"/>
      <c r="V4604" s="35"/>
      <c r="W4604" s="35"/>
      <c r="X4604" s="35"/>
      <c r="Y4604" s="182"/>
      <c r="Z4604" s="175"/>
      <c r="AA4604" s="182"/>
      <c r="AB4604" s="184"/>
    </row>
    <row r="4605" spans="1:28" ht="12.75">
      <c r="A4605" s="173"/>
      <c r="B4605" s="174"/>
      <c r="C4605" s="11"/>
      <c r="D4605" s="175"/>
      <c r="E4605" s="176"/>
      <c r="F4605" s="177"/>
      <c r="G4605" s="178"/>
      <c r="H4605" s="177"/>
      <c r="I4605" s="177"/>
      <c r="J4605" s="179"/>
      <c r="K4605" s="183"/>
      <c r="L4605" s="176"/>
      <c r="M4605" s="177"/>
      <c r="N4605" s="21"/>
      <c r="O4605" s="45"/>
      <c r="P4605" s="24"/>
      <c r="Q4605" s="24"/>
      <c r="R4605" s="180"/>
      <c r="S4605" s="181"/>
      <c r="T4605" s="35"/>
      <c r="U4605" s="35"/>
      <c r="V4605" s="35"/>
      <c r="W4605" s="35"/>
      <c r="X4605" s="35"/>
      <c r="Y4605" s="182"/>
      <c r="Z4605" s="175"/>
      <c r="AA4605" s="182"/>
      <c r="AB4605" s="184"/>
    </row>
    <row r="4606" spans="1:28" ht="12.75">
      <c r="A4606" s="173"/>
      <c r="B4606" s="174"/>
      <c r="C4606" s="11"/>
      <c r="D4606" s="175"/>
      <c r="E4606" s="176"/>
      <c r="F4606" s="177"/>
      <c r="G4606" s="178"/>
      <c r="H4606" s="177"/>
      <c r="I4606" s="177"/>
      <c r="J4606" s="179"/>
      <c r="K4606" s="183"/>
      <c r="L4606" s="176"/>
      <c r="M4606" s="177"/>
      <c r="N4606" s="21"/>
      <c r="O4606" s="45"/>
      <c r="P4606" s="24"/>
      <c r="Q4606" s="24"/>
      <c r="R4606" s="180"/>
      <c r="S4606" s="181"/>
      <c r="T4606" s="35"/>
      <c r="U4606" s="35"/>
      <c r="V4606" s="35"/>
      <c r="W4606" s="35"/>
      <c r="X4606" s="35"/>
      <c r="Y4606" s="182"/>
      <c r="Z4606" s="175"/>
      <c r="AA4606" s="182"/>
      <c r="AB4606" s="184"/>
    </row>
    <row r="4607" spans="1:28" ht="12.75">
      <c r="A4607" s="173"/>
      <c r="B4607" s="174"/>
      <c r="C4607" s="11"/>
      <c r="D4607" s="175"/>
      <c r="E4607" s="176"/>
      <c r="F4607" s="177"/>
      <c r="G4607" s="178"/>
      <c r="H4607" s="177"/>
      <c r="I4607" s="177"/>
      <c r="J4607" s="179"/>
      <c r="K4607" s="183"/>
      <c r="L4607" s="176"/>
      <c r="M4607" s="177"/>
      <c r="N4607" s="21"/>
      <c r="O4607" s="45"/>
      <c r="P4607" s="24"/>
      <c r="Q4607" s="24"/>
      <c r="R4607" s="180"/>
      <c r="S4607" s="181"/>
      <c r="T4607" s="35"/>
      <c r="U4607" s="35"/>
      <c r="V4607" s="35"/>
      <c r="W4607" s="35"/>
      <c r="X4607" s="35"/>
      <c r="Y4607" s="182"/>
      <c r="Z4607" s="175"/>
      <c r="AA4607" s="182"/>
      <c r="AB4607" s="184"/>
    </row>
    <row r="4608" spans="1:28" ht="12.75">
      <c r="A4608" s="173"/>
      <c r="B4608" s="174"/>
      <c r="C4608" s="11"/>
      <c r="D4608" s="175"/>
      <c r="E4608" s="176"/>
      <c r="F4608" s="177"/>
      <c r="G4608" s="178"/>
      <c r="H4608" s="177"/>
      <c r="I4608" s="177"/>
      <c r="J4608" s="179"/>
      <c r="K4608" s="183"/>
      <c r="L4608" s="176"/>
      <c r="M4608" s="177"/>
      <c r="N4608" s="21"/>
      <c r="O4608" s="45"/>
      <c r="P4608" s="24"/>
      <c r="Q4608" s="24"/>
      <c r="R4608" s="180"/>
      <c r="S4608" s="181"/>
      <c r="T4608" s="35"/>
      <c r="U4608" s="35"/>
      <c r="V4608" s="35"/>
      <c r="W4608" s="35"/>
      <c r="X4608" s="35"/>
      <c r="Y4608" s="182"/>
      <c r="Z4608" s="175"/>
      <c r="AA4608" s="182"/>
      <c r="AB4608" s="184"/>
    </row>
    <row r="4609" spans="1:28" ht="12.75">
      <c r="A4609" s="173"/>
      <c r="B4609" s="174"/>
      <c r="C4609" s="11"/>
      <c r="D4609" s="175"/>
      <c r="E4609" s="176"/>
      <c r="F4609" s="177"/>
      <c r="G4609" s="178"/>
      <c r="H4609" s="177"/>
      <c r="I4609" s="177"/>
      <c r="J4609" s="179"/>
      <c r="K4609" s="183"/>
      <c r="L4609" s="176"/>
      <c r="M4609" s="177"/>
      <c r="N4609" s="21"/>
      <c r="O4609" s="45"/>
      <c r="P4609" s="24"/>
      <c r="Q4609" s="24"/>
      <c r="R4609" s="180"/>
      <c r="S4609" s="181"/>
      <c r="T4609" s="35"/>
      <c r="U4609" s="35"/>
      <c r="V4609" s="35"/>
      <c r="W4609" s="35"/>
      <c r="X4609" s="35"/>
      <c r="Y4609" s="182"/>
      <c r="Z4609" s="175"/>
      <c r="AA4609" s="182"/>
      <c r="AB4609" s="184"/>
    </row>
    <row r="4610" spans="1:28" ht="12.75">
      <c r="A4610" s="173"/>
      <c r="B4610" s="174"/>
      <c r="C4610" s="11"/>
      <c r="D4610" s="175"/>
      <c r="E4610" s="176"/>
      <c r="F4610" s="177"/>
      <c r="G4610" s="178"/>
      <c r="H4610" s="177"/>
      <c r="I4610" s="177"/>
      <c r="J4610" s="179"/>
      <c r="K4610" s="183"/>
      <c r="L4610" s="176"/>
      <c r="M4610" s="177"/>
      <c r="N4610" s="21"/>
      <c r="O4610" s="45"/>
      <c r="P4610" s="24"/>
      <c r="Q4610" s="24"/>
      <c r="R4610" s="180"/>
      <c r="S4610" s="181"/>
      <c r="T4610" s="35"/>
      <c r="U4610" s="35"/>
      <c r="V4610" s="35"/>
      <c r="W4610" s="35"/>
      <c r="X4610" s="35"/>
      <c r="Y4610" s="182"/>
      <c r="Z4610" s="175"/>
      <c r="AA4610" s="182"/>
      <c r="AB4610" s="184"/>
    </row>
    <row r="4611" spans="1:28" ht="12.75">
      <c r="A4611" s="173"/>
      <c r="B4611" s="174"/>
      <c r="C4611" s="11"/>
      <c r="D4611" s="175"/>
      <c r="E4611" s="176"/>
      <c r="F4611" s="177"/>
      <c r="G4611" s="178"/>
      <c r="H4611" s="177"/>
      <c r="I4611" s="177"/>
      <c r="J4611" s="179"/>
      <c r="K4611" s="183"/>
      <c r="L4611" s="176"/>
      <c r="M4611" s="177"/>
      <c r="N4611" s="21"/>
      <c r="O4611" s="45"/>
      <c r="P4611" s="24"/>
      <c r="Q4611" s="24"/>
      <c r="R4611" s="180"/>
      <c r="S4611" s="181"/>
      <c r="T4611" s="35"/>
      <c r="U4611" s="35"/>
      <c r="V4611" s="35"/>
      <c r="W4611" s="35"/>
      <c r="X4611" s="35"/>
      <c r="Y4611" s="182"/>
      <c r="Z4611" s="175"/>
      <c r="AA4611" s="182"/>
      <c r="AB4611" s="184"/>
    </row>
    <row r="4612" spans="1:28" ht="12.75">
      <c r="A4612" s="173"/>
      <c r="B4612" s="174"/>
      <c r="C4612" s="11"/>
      <c r="D4612" s="175"/>
      <c r="E4612" s="176"/>
      <c r="F4612" s="177"/>
      <c r="G4612" s="178"/>
      <c r="H4612" s="177"/>
      <c r="I4612" s="177"/>
      <c r="J4612" s="179"/>
      <c r="K4612" s="183"/>
      <c r="L4612" s="176"/>
      <c r="M4612" s="177"/>
      <c r="N4612" s="21"/>
      <c r="O4612" s="45"/>
      <c r="P4612" s="24"/>
      <c r="Q4612" s="24"/>
      <c r="R4612" s="180"/>
      <c r="S4612" s="181"/>
      <c r="T4612" s="35"/>
      <c r="U4612" s="35"/>
      <c r="V4612" s="35"/>
      <c r="W4612" s="35"/>
      <c r="X4612" s="35"/>
      <c r="Y4612" s="182"/>
      <c r="Z4612" s="175"/>
      <c r="AA4612" s="182"/>
      <c r="AB4612" s="184"/>
    </row>
    <row r="4613" spans="1:28" ht="12.75">
      <c r="A4613" s="173"/>
      <c r="B4613" s="174"/>
      <c r="C4613" s="11"/>
      <c r="D4613" s="175"/>
      <c r="E4613" s="176"/>
      <c r="F4613" s="177"/>
      <c r="G4613" s="178"/>
      <c r="H4613" s="177"/>
      <c r="I4613" s="177"/>
      <c r="J4613" s="179"/>
      <c r="K4613" s="183"/>
      <c r="L4613" s="176"/>
      <c r="M4613" s="177"/>
      <c r="N4613" s="21"/>
      <c r="O4613" s="45"/>
      <c r="P4613" s="24"/>
      <c r="Q4613" s="24"/>
      <c r="R4613" s="180"/>
      <c r="S4613" s="181"/>
      <c r="T4613" s="35"/>
      <c r="U4613" s="35"/>
      <c r="V4613" s="35"/>
      <c r="W4613" s="35"/>
      <c r="X4613" s="35"/>
      <c r="Y4613" s="182"/>
      <c r="Z4613" s="175"/>
      <c r="AA4613" s="182"/>
      <c r="AB4613" s="184"/>
    </row>
    <row r="4614" spans="1:28" ht="12.75">
      <c r="A4614" s="173"/>
      <c r="B4614" s="174"/>
      <c r="C4614" s="11"/>
      <c r="D4614" s="175"/>
      <c r="E4614" s="176"/>
      <c r="F4614" s="177"/>
      <c r="G4614" s="178"/>
      <c r="H4614" s="177"/>
      <c r="I4614" s="177"/>
      <c r="J4614" s="179"/>
      <c r="K4614" s="183"/>
      <c r="L4614" s="176"/>
      <c r="M4614" s="177"/>
      <c r="N4614" s="21"/>
      <c r="O4614" s="45"/>
      <c r="P4614" s="24"/>
      <c r="Q4614" s="24"/>
      <c r="R4614" s="180"/>
      <c r="S4614" s="181"/>
      <c r="T4614" s="35"/>
      <c r="U4614" s="35"/>
      <c r="V4614" s="35"/>
      <c r="W4614" s="35"/>
      <c r="X4614" s="35"/>
      <c r="Y4614" s="182"/>
      <c r="Z4614" s="175"/>
      <c r="AA4614" s="182"/>
      <c r="AB4614" s="184"/>
    </row>
    <row r="4615" spans="1:28" ht="12.75">
      <c r="A4615" s="173"/>
      <c r="B4615" s="174"/>
      <c r="C4615" s="11"/>
      <c r="D4615" s="175"/>
      <c r="E4615" s="176"/>
      <c r="F4615" s="177"/>
      <c r="G4615" s="178"/>
      <c r="H4615" s="177"/>
      <c r="I4615" s="177"/>
      <c r="J4615" s="179"/>
      <c r="K4615" s="183"/>
      <c r="L4615" s="176"/>
      <c r="M4615" s="177"/>
      <c r="N4615" s="21"/>
      <c r="O4615" s="45"/>
      <c r="P4615" s="24"/>
      <c r="Q4615" s="24"/>
      <c r="R4615" s="180"/>
      <c r="S4615" s="181"/>
      <c r="T4615" s="35"/>
      <c r="U4615" s="35"/>
      <c r="V4615" s="35"/>
      <c r="W4615" s="35"/>
      <c r="X4615" s="35"/>
      <c r="Y4615" s="182"/>
      <c r="Z4615" s="175"/>
      <c r="AA4615" s="182"/>
      <c r="AB4615" s="184"/>
    </row>
    <row r="4616" spans="1:28" ht="12.75">
      <c r="A4616" s="173"/>
      <c r="B4616" s="174"/>
      <c r="C4616" s="11"/>
      <c r="D4616" s="175"/>
      <c r="E4616" s="176"/>
      <c r="F4616" s="177"/>
      <c r="G4616" s="178"/>
      <c r="H4616" s="177"/>
      <c r="I4616" s="177"/>
      <c r="J4616" s="179"/>
      <c r="K4616" s="183"/>
      <c r="L4616" s="176"/>
      <c r="M4616" s="177"/>
      <c r="N4616" s="21"/>
      <c r="O4616" s="45"/>
      <c r="P4616" s="24"/>
      <c r="Q4616" s="24"/>
      <c r="R4616" s="180"/>
      <c r="S4616" s="181"/>
      <c r="T4616" s="35"/>
      <c r="U4616" s="35"/>
      <c r="V4616" s="35"/>
      <c r="W4616" s="35"/>
      <c r="X4616" s="35"/>
      <c r="Y4616" s="182"/>
      <c r="Z4616" s="175"/>
      <c r="AA4616" s="182"/>
      <c r="AB4616" s="184"/>
    </row>
    <row r="4617" spans="1:28" ht="12.75">
      <c r="A4617" s="173"/>
      <c r="B4617" s="174"/>
      <c r="C4617" s="11"/>
      <c r="D4617" s="175"/>
      <c r="E4617" s="176"/>
      <c r="F4617" s="177"/>
      <c r="G4617" s="178"/>
      <c r="H4617" s="177"/>
      <c r="I4617" s="177"/>
      <c r="J4617" s="179"/>
      <c r="K4617" s="183"/>
      <c r="L4617" s="176"/>
      <c r="M4617" s="177"/>
      <c r="N4617" s="21"/>
      <c r="O4617" s="45"/>
      <c r="P4617" s="24"/>
      <c r="Q4617" s="24"/>
      <c r="R4617" s="180"/>
      <c r="S4617" s="181"/>
      <c r="T4617" s="35"/>
      <c r="U4617" s="35"/>
      <c r="V4617" s="35"/>
      <c r="W4617" s="35"/>
      <c r="X4617" s="35"/>
      <c r="Y4617" s="182"/>
      <c r="Z4617" s="175"/>
      <c r="AA4617" s="182"/>
      <c r="AB4617" s="184"/>
    </row>
    <row r="4618" spans="1:28" ht="12.75">
      <c r="A4618" s="173"/>
      <c r="B4618" s="174"/>
      <c r="C4618" s="11"/>
      <c r="D4618" s="175"/>
      <c r="E4618" s="176"/>
      <c r="F4618" s="177"/>
      <c r="G4618" s="178"/>
      <c r="H4618" s="177"/>
      <c r="I4618" s="177"/>
      <c r="J4618" s="179"/>
      <c r="K4618" s="183"/>
      <c r="L4618" s="176"/>
      <c r="M4618" s="177"/>
      <c r="N4618" s="21"/>
      <c r="O4618" s="45"/>
      <c r="P4618" s="24"/>
      <c r="Q4618" s="24"/>
      <c r="R4618" s="180"/>
      <c r="S4618" s="181"/>
      <c r="T4618" s="35"/>
      <c r="U4618" s="35"/>
      <c r="V4618" s="35"/>
      <c r="W4618" s="35"/>
      <c r="X4618" s="35"/>
      <c r="Y4618" s="182"/>
      <c r="Z4618" s="175"/>
      <c r="AA4618" s="182"/>
      <c r="AB4618" s="184"/>
    </row>
    <row r="4619" spans="1:28" ht="12.75">
      <c r="A4619" s="173"/>
      <c r="B4619" s="174"/>
      <c r="C4619" s="11"/>
      <c r="D4619" s="175"/>
      <c r="E4619" s="176"/>
      <c r="F4619" s="177"/>
      <c r="G4619" s="178"/>
      <c r="H4619" s="177"/>
      <c r="I4619" s="177"/>
      <c r="J4619" s="179"/>
      <c r="K4619" s="183"/>
      <c r="L4619" s="176"/>
      <c r="M4619" s="177"/>
      <c r="N4619" s="21"/>
      <c r="O4619" s="45"/>
      <c r="P4619" s="24"/>
      <c r="Q4619" s="24"/>
      <c r="R4619" s="180"/>
      <c r="S4619" s="181"/>
      <c r="T4619" s="35"/>
      <c r="U4619" s="35"/>
      <c r="V4619" s="35"/>
      <c r="W4619" s="35"/>
      <c r="X4619" s="35"/>
      <c r="Y4619" s="182"/>
      <c r="Z4619" s="175"/>
      <c r="AA4619" s="182"/>
      <c r="AB4619" s="184"/>
    </row>
    <row r="4620" spans="1:28" ht="12.75">
      <c r="A4620" s="173"/>
      <c r="B4620" s="174"/>
      <c r="C4620" s="11"/>
      <c r="D4620" s="175"/>
      <c r="E4620" s="176"/>
      <c r="F4620" s="177"/>
      <c r="G4620" s="178"/>
      <c r="H4620" s="177"/>
      <c r="I4620" s="177"/>
      <c r="J4620" s="179"/>
      <c r="K4620" s="183"/>
      <c r="L4620" s="176"/>
      <c r="M4620" s="177"/>
      <c r="N4620" s="21"/>
      <c r="O4620" s="45"/>
      <c r="P4620" s="24"/>
      <c r="Q4620" s="24"/>
      <c r="R4620" s="180"/>
      <c r="S4620" s="181"/>
      <c r="T4620" s="35"/>
      <c r="U4620" s="35"/>
      <c r="V4620" s="35"/>
      <c r="W4620" s="35"/>
      <c r="X4620" s="35"/>
      <c r="Y4620" s="182"/>
      <c r="Z4620" s="175"/>
      <c r="AA4620" s="182"/>
      <c r="AB4620" s="184"/>
    </row>
    <row r="4621" spans="1:28" ht="12.75">
      <c r="A4621" s="173"/>
      <c r="B4621" s="174"/>
      <c r="C4621" s="11"/>
      <c r="D4621" s="175"/>
      <c r="E4621" s="176"/>
      <c r="F4621" s="177"/>
      <c r="G4621" s="178"/>
      <c r="H4621" s="177"/>
      <c r="I4621" s="177"/>
      <c r="J4621" s="179"/>
      <c r="K4621" s="183"/>
      <c r="L4621" s="176"/>
      <c r="M4621" s="177"/>
      <c r="N4621" s="21"/>
      <c r="O4621" s="45"/>
      <c r="P4621" s="24"/>
      <c r="Q4621" s="24"/>
      <c r="R4621" s="180"/>
      <c r="S4621" s="181"/>
      <c r="T4621" s="35"/>
      <c r="U4621" s="35"/>
      <c r="V4621" s="35"/>
      <c r="W4621" s="35"/>
      <c r="X4621" s="35"/>
      <c r="Y4621" s="182"/>
      <c r="Z4621" s="175"/>
      <c r="AA4621" s="182"/>
      <c r="AB4621" s="184"/>
    </row>
    <row r="4622" spans="1:28" ht="12.75">
      <c r="A4622" s="173"/>
      <c r="B4622" s="174"/>
      <c r="C4622" s="11"/>
      <c r="D4622" s="175"/>
      <c r="E4622" s="176"/>
      <c r="F4622" s="177"/>
      <c r="G4622" s="178"/>
      <c r="H4622" s="177"/>
      <c r="I4622" s="177"/>
      <c r="J4622" s="179"/>
      <c r="K4622" s="183"/>
      <c r="L4622" s="176"/>
      <c r="M4622" s="177"/>
      <c r="N4622" s="21"/>
      <c r="O4622" s="45"/>
      <c r="P4622" s="24"/>
      <c r="Q4622" s="24"/>
      <c r="R4622" s="180"/>
      <c r="S4622" s="181"/>
      <c r="T4622" s="35"/>
      <c r="U4622" s="35"/>
      <c r="V4622" s="35"/>
      <c r="W4622" s="35"/>
      <c r="X4622" s="35"/>
      <c r="Y4622" s="182"/>
      <c r="Z4622" s="175"/>
      <c r="AA4622" s="182"/>
      <c r="AB4622" s="184"/>
    </row>
    <row r="4623" spans="1:28" ht="12.75">
      <c r="A4623" s="173"/>
      <c r="B4623" s="174"/>
      <c r="C4623" s="11"/>
      <c r="D4623" s="175"/>
      <c r="E4623" s="176"/>
      <c r="F4623" s="177"/>
      <c r="G4623" s="178"/>
      <c r="H4623" s="177"/>
      <c r="I4623" s="177"/>
      <c r="J4623" s="179"/>
      <c r="K4623" s="183"/>
      <c r="L4623" s="176"/>
      <c r="M4623" s="177"/>
      <c r="N4623" s="21"/>
      <c r="O4623" s="45"/>
      <c r="P4623" s="24"/>
      <c r="Q4623" s="24"/>
      <c r="R4623" s="180"/>
      <c r="S4623" s="181"/>
      <c r="T4623" s="35"/>
      <c r="U4623" s="35"/>
      <c r="V4623" s="35"/>
      <c r="W4623" s="35"/>
      <c r="X4623" s="35"/>
      <c r="Y4623" s="182"/>
      <c r="Z4623" s="175"/>
      <c r="AA4623" s="182"/>
      <c r="AB4623" s="184"/>
    </row>
    <row r="4624" spans="1:28" ht="12.75">
      <c r="A4624" s="173"/>
      <c r="B4624" s="174"/>
      <c r="C4624" s="11"/>
      <c r="D4624" s="175"/>
      <c r="E4624" s="176"/>
      <c r="F4624" s="177"/>
      <c r="G4624" s="178"/>
      <c r="H4624" s="177"/>
      <c r="I4624" s="177"/>
      <c r="J4624" s="179"/>
      <c r="K4624" s="183"/>
      <c r="L4624" s="176"/>
      <c r="M4624" s="177"/>
      <c r="N4624" s="21"/>
      <c r="O4624" s="45"/>
      <c r="P4624" s="24"/>
      <c r="Q4624" s="24"/>
      <c r="R4624" s="180"/>
      <c r="S4624" s="181"/>
      <c r="T4624" s="35"/>
      <c r="U4624" s="35"/>
      <c r="V4624" s="35"/>
      <c r="W4624" s="35"/>
      <c r="X4624" s="35"/>
      <c r="Y4624" s="182"/>
      <c r="Z4624" s="175"/>
      <c r="AA4624" s="182"/>
      <c r="AB4624" s="184"/>
    </row>
    <row r="4625" spans="1:28" ht="12.75">
      <c r="A4625" s="173"/>
      <c r="B4625" s="174"/>
      <c r="C4625" s="11"/>
      <c r="D4625" s="175"/>
      <c r="E4625" s="176"/>
      <c r="F4625" s="177"/>
      <c r="G4625" s="178"/>
      <c r="H4625" s="177"/>
      <c r="I4625" s="177"/>
      <c r="J4625" s="179"/>
      <c r="K4625" s="183"/>
      <c r="L4625" s="176"/>
      <c r="M4625" s="177"/>
      <c r="N4625" s="21"/>
      <c r="O4625" s="45"/>
      <c r="P4625" s="24"/>
      <c r="Q4625" s="24"/>
      <c r="R4625" s="180"/>
      <c r="S4625" s="181"/>
      <c r="T4625" s="35"/>
      <c r="U4625" s="35"/>
      <c r="V4625" s="35"/>
      <c r="W4625" s="35"/>
      <c r="X4625" s="35"/>
      <c r="Y4625" s="182"/>
      <c r="Z4625" s="175"/>
      <c r="AA4625" s="182"/>
      <c r="AB4625" s="184"/>
    </row>
    <row r="4626" spans="1:28" ht="12.75">
      <c r="A4626" s="173"/>
      <c r="B4626" s="174"/>
      <c r="C4626" s="11"/>
      <c r="D4626" s="175"/>
      <c r="E4626" s="176"/>
      <c r="F4626" s="177"/>
      <c r="G4626" s="178"/>
      <c r="H4626" s="177"/>
      <c r="I4626" s="177"/>
      <c r="J4626" s="179"/>
      <c r="K4626" s="183"/>
      <c r="L4626" s="176"/>
      <c r="M4626" s="177"/>
      <c r="N4626" s="21"/>
      <c r="O4626" s="45"/>
      <c r="P4626" s="24"/>
      <c r="Q4626" s="24"/>
      <c r="R4626" s="180"/>
      <c r="S4626" s="181"/>
      <c r="T4626" s="35"/>
      <c r="U4626" s="35"/>
      <c r="V4626" s="35"/>
      <c r="W4626" s="35"/>
      <c r="X4626" s="35"/>
      <c r="Y4626" s="182"/>
      <c r="Z4626" s="175"/>
      <c r="AA4626" s="182"/>
      <c r="AB4626" s="184"/>
    </row>
    <row r="4627" spans="1:28" ht="12.75">
      <c r="A4627" s="173"/>
      <c r="B4627" s="174"/>
      <c r="C4627" s="11"/>
      <c r="D4627" s="175"/>
      <c r="E4627" s="176"/>
      <c r="F4627" s="177"/>
      <c r="G4627" s="178"/>
      <c r="H4627" s="177"/>
      <c r="I4627" s="177"/>
      <c r="J4627" s="179"/>
      <c r="K4627" s="183"/>
      <c r="L4627" s="176"/>
      <c r="M4627" s="177"/>
      <c r="N4627" s="21"/>
      <c r="O4627" s="45"/>
      <c r="P4627" s="24"/>
      <c r="Q4627" s="24"/>
      <c r="R4627" s="180"/>
      <c r="S4627" s="181"/>
      <c r="T4627" s="35"/>
      <c r="U4627" s="35"/>
      <c r="V4627" s="35"/>
      <c r="W4627" s="35"/>
      <c r="X4627" s="35"/>
      <c r="Y4627" s="182"/>
      <c r="Z4627" s="175"/>
      <c r="AA4627" s="182"/>
      <c r="AB4627" s="184"/>
    </row>
    <row r="4628" spans="1:28" ht="12.75">
      <c r="A4628" s="173"/>
      <c r="B4628" s="174"/>
      <c r="C4628" s="11"/>
      <c r="D4628" s="175"/>
      <c r="E4628" s="176"/>
      <c r="F4628" s="177"/>
      <c r="G4628" s="178"/>
      <c r="H4628" s="177"/>
      <c r="I4628" s="177"/>
      <c r="J4628" s="179"/>
      <c r="K4628" s="183"/>
      <c r="L4628" s="176"/>
      <c r="M4628" s="177"/>
      <c r="N4628" s="21"/>
      <c r="O4628" s="45"/>
      <c r="P4628" s="24"/>
      <c r="Q4628" s="24"/>
      <c r="R4628" s="180"/>
      <c r="S4628" s="181"/>
      <c r="T4628" s="35"/>
      <c r="U4628" s="35"/>
      <c r="V4628" s="35"/>
      <c r="W4628" s="35"/>
      <c r="X4628" s="35"/>
      <c r="Y4628" s="182"/>
      <c r="Z4628" s="175"/>
      <c r="AA4628" s="182"/>
      <c r="AB4628" s="184"/>
    </row>
    <row r="4629" spans="1:28" ht="12.75">
      <c r="A4629" s="173"/>
      <c r="B4629" s="174"/>
      <c r="C4629" s="11"/>
      <c r="D4629" s="175"/>
      <c r="E4629" s="176"/>
      <c r="F4629" s="177"/>
      <c r="G4629" s="178"/>
      <c r="H4629" s="177"/>
      <c r="I4629" s="177"/>
      <c r="J4629" s="179"/>
      <c r="K4629" s="183"/>
      <c r="L4629" s="176"/>
      <c r="M4629" s="177"/>
      <c r="N4629" s="21"/>
      <c r="O4629" s="45"/>
      <c r="P4629" s="24"/>
      <c r="Q4629" s="24"/>
      <c r="R4629" s="180"/>
      <c r="S4629" s="181"/>
      <c r="T4629" s="35"/>
      <c r="U4629" s="35"/>
      <c r="V4629" s="35"/>
      <c r="W4629" s="35"/>
      <c r="X4629" s="35"/>
      <c r="Y4629" s="182"/>
      <c r="Z4629" s="175"/>
      <c r="AA4629" s="182"/>
      <c r="AB4629" s="184"/>
    </row>
    <row r="4630" spans="1:28" ht="12.75">
      <c r="A4630" s="173"/>
      <c r="B4630" s="174"/>
      <c r="C4630" s="11"/>
      <c r="D4630" s="175"/>
      <c r="E4630" s="176"/>
      <c r="F4630" s="177"/>
      <c r="G4630" s="178"/>
      <c r="H4630" s="177"/>
      <c r="I4630" s="177"/>
      <c r="J4630" s="179"/>
      <c r="K4630" s="183"/>
      <c r="L4630" s="176"/>
      <c r="M4630" s="177"/>
      <c r="N4630" s="21"/>
      <c r="O4630" s="45"/>
      <c r="P4630" s="24"/>
      <c r="Q4630" s="24"/>
      <c r="R4630" s="180"/>
      <c r="S4630" s="181"/>
      <c r="T4630" s="35"/>
      <c r="U4630" s="35"/>
      <c r="V4630" s="35"/>
      <c r="W4630" s="35"/>
      <c r="X4630" s="35"/>
      <c r="Y4630" s="182"/>
      <c r="Z4630" s="175"/>
      <c r="AA4630" s="182"/>
      <c r="AB4630" s="184"/>
    </row>
    <row r="4631" spans="1:28" ht="12.75">
      <c r="A4631" s="173"/>
      <c r="B4631" s="174"/>
      <c r="C4631" s="11"/>
      <c r="D4631" s="175"/>
      <c r="E4631" s="176"/>
      <c r="F4631" s="177"/>
      <c r="G4631" s="178"/>
      <c r="H4631" s="177"/>
      <c r="I4631" s="177"/>
      <c r="J4631" s="179"/>
      <c r="K4631" s="183"/>
      <c r="L4631" s="176"/>
      <c r="M4631" s="177"/>
      <c r="N4631" s="21"/>
      <c r="O4631" s="45"/>
      <c r="P4631" s="24"/>
      <c r="Q4631" s="24"/>
      <c r="R4631" s="180"/>
      <c r="S4631" s="181"/>
      <c r="T4631" s="35"/>
      <c r="U4631" s="35"/>
      <c r="V4631" s="35"/>
      <c r="W4631" s="35"/>
      <c r="X4631" s="35"/>
      <c r="Y4631" s="182"/>
      <c r="Z4631" s="175"/>
      <c r="AA4631" s="182"/>
      <c r="AB4631" s="184"/>
    </row>
    <row r="4632" spans="1:28" ht="12.75">
      <c r="A4632" s="173"/>
      <c r="B4632" s="174"/>
      <c r="C4632" s="11"/>
      <c r="D4632" s="175"/>
      <c r="E4632" s="176"/>
      <c r="F4632" s="177"/>
      <c r="G4632" s="178"/>
      <c r="H4632" s="177"/>
      <c r="I4632" s="177"/>
      <c r="J4632" s="179"/>
      <c r="K4632" s="183"/>
      <c r="L4632" s="176"/>
      <c r="M4632" s="177"/>
      <c r="N4632" s="21"/>
      <c r="O4632" s="45"/>
      <c r="P4632" s="24"/>
      <c r="Q4632" s="24"/>
      <c r="R4632" s="180"/>
      <c r="S4632" s="181"/>
      <c r="T4632" s="35"/>
      <c r="U4632" s="35"/>
      <c r="V4632" s="35"/>
      <c r="W4632" s="35"/>
      <c r="X4632" s="35"/>
      <c r="Y4632" s="182"/>
      <c r="Z4632" s="175"/>
      <c r="AA4632" s="182"/>
      <c r="AB4632" s="184"/>
    </row>
    <row r="4633" spans="1:28" ht="12.75">
      <c r="A4633" s="173"/>
      <c r="B4633" s="174"/>
      <c r="C4633" s="11"/>
      <c r="D4633" s="175"/>
      <c r="E4633" s="176"/>
      <c r="F4633" s="177"/>
      <c r="G4633" s="178"/>
      <c r="H4633" s="177"/>
      <c r="I4633" s="177"/>
      <c r="J4633" s="179"/>
      <c r="K4633" s="183"/>
      <c r="L4633" s="176"/>
      <c r="M4633" s="177"/>
      <c r="N4633" s="21"/>
      <c r="O4633" s="45"/>
      <c r="P4633" s="24"/>
      <c r="Q4633" s="24"/>
      <c r="R4633" s="180"/>
      <c r="S4633" s="181"/>
      <c r="T4633" s="35"/>
      <c r="U4633" s="35"/>
      <c r="V4633" s="35"/>
      <c r="W4633" s="35"/>
      <c r="X4633" s="35"/>
      <c r="Y4633" s="182"/>
      <c r="Z4633" s="175"/>
      <c r="AA4633" s="182"/>
      <c r="AB4633" s="184"/>
    </row>
    <row r="4634" spans="1:28" ht="12.75">
      <c r="A4634" s="173"/>
      <c r="B4634" s="174"/>
      <c r="C4634" s="11"/>
      <c r="D4634" s="175"/>
      <c r="E4634" s="176"/>
      <c r="F4634" s="177"/>
      <c r="G4634" s="178"/>
      <c r="H4634" s="177"/>
      <c r="I4634" s="177"/>
      <c r="J4634" s="179"/>
      <c r="K4634" s="183"/>
      <c r="L4634" s="176"/>
      <c r="M4634" s="177"/>
      <c r="N4634" s="21"/>
      <c r="O4634" s="45"/>
      <c r="P4634" s="24"/>
      <c r="Q4634" s="24"/>
      <c r="R4634" s="180"/>
      <c r="S4634" s="181"/>
      <c r="T4634" s="35"/>
      <c r="U4634" s="35"/>
      <c r="V4634" s="35"/>
      <c r="W4634" s="35"/>
      <c r="X4634" s="35"/>
      <c r="Y4634" s="182"/>
      <c r="Z4634" s="175"/>
      <c r="AA4634" s="182"/>
      <c r="AB4634" s="184"/>
    </row>
    <row r="4635" spans="1:28" ht="12.75">
      <c r="A4635" s="173"/>
      <c r="B4635" s="174"/>
      <c r="C4635" s="11"/>
      <c r="D4635" s="175"/>
      <c r="E4635" s="176"/>
      <c r="F4635" s="177"/>
      <c r="G4635" s="178"/>
      <c r="H4635" s="177"/>
      <c r="I4635" s="177"/>
      <c r="J4635" s="179"/>
      <c r="K4635" s="183"/>
      <c r="L4635" s="176"/>
      <c r="M4635" s="177"/>
      <c r="N4635" s="21"/>
      <c r="O4635" s="45"/>
      <c r="P4635" s="24"/>
      <c r="Q4635" s="24"/>
      <c r="R4635" s="180"/>
      <c r="S4635" s="181"/>
      <c r="T4635" s="35"/>
      <c r="U4635" s="35"/>
      <c r="V4635" s="35"/>
      <c r="W4635" s="35"/>
      <c r="X4635" s="35"/>
      <c r="Y4635" s="182"/>
      <c r="Z4635" s="175"/>
      <c r="AA4635" s="182"/>
      <c r="AB4635" s="184"/>
    </row>
    <row r="4636" spans="1:28" ht="12.75">
      <c r="A4636" s="173"/>
      <c r="B4636" s="174"/>
      <c r="C4636" s="11"/>
      <c r="D4636" s="175"/>
      <c r="E4636" s="176"/>
      <c r="F4636" s="177"/>
      <c r="G4636" s="178"/>
      <c r="H4636" s="177"/>
      <c r="I4636" s="177"/>
      <c r="J4636" s="179"/>
      <c r="K4636" s="183"/>
      <c r="L4636" s="176"/>
      <c r="M4636" s="177"/>
      <c r="N4636" s="21"/>
      <c r="O4636" s="45"/>
      <c r="P4636" s="24"/>
      <c r="Q4636" s="24"/>
      <c r="R4636" s="180"/>
      <c r="S4636" s="181"/>
      <c r="T4636" s="35"/>
      <c r="U4636" s="35"/>
      <c r="V4636" s="35"/>
      <c r="W4636" s="35"/>
      <c r="X4636" s="35"/>
      <c r="Y4636" s="182"/>
      <c r="Z4636" s="175"/>
      <c r="AA4636" s="182"/>
      <c r="AB4636" s="184"/>
    </row>
    <row r="4637" spans="1:28" ht="12.75">
      <c r="A4637" s="173"/>
      <c r="B4637" s="174"/>
      <c r="C4637" s="11"/>
      <c r="D4637" s="175"/>
      <c r="E4637" s="176"/>
      <c r="F4637" s="177"/>
      <c r="G4637" s="178"/>
      <c r="H4637" s="177"/>
      <c r="I4637" s="177"/>
      <c r="J4637" s="179"/>
      <c r="K4637" s="183"/>
      <c r="L4637" s="176"/>
      <c r="M4637" s="177"/>
      <c r="N4637" s="21"/>
      <c r="O4637" s="45"/>
      <c r="P4637" s="24"/>
      <c r="Q4637" s="24"/>
      <c r="R4637" s="180"/>
      <c r="S4637" s="181"/>
      <c r="T4637" s="35"/>
      <c r="U4637" s="35"/>
      <c r="V4637" s="35"/>
      <c r="W4637" s="35"/>
      <c r="X4637" s="35"/>
      <c r="Y4637" s="182"/>
      <c r="Z4637" s="175"/>
      <c r="AA4637" s="182"/>
      <c r="AB4637" s="184"/>
    </row>
    <row r="4638" spans="1:28" ht="12.75">
      <c r="A4638" s="173"/>
      <c r="B4638" s="174"/>
      <c r="C4638" s="11"/>
      <c r="D4638" s="175"/>
      <c r="E4638" s="176"/>
      <c r="F4638" s="177"/>
      <c r="G4638" s="178"/>
      <c r="H4638" s="177"/>
      <c r="I4638" s="177"/>
      <c r="J4638" s="179"/>
      <c r="K4638" s="183"/>
      <c r="L4638" s="176"/>
      <c r="M4638" s="177"/>
      <c r="N4638" s="21"/>
      <c r="O4638" s="45"/>
      <c r="P4638" s="24"/>
      <c r="Q4638" s="24"/>
      <c r="R4638" s="180"/>
      <c r="S4638" s="181"/>
      <c r="T4638" s="35"/>
      <c r="U4638" s="35"/>
      <c r="V4638" s="35"/>
      <c r="W4638" s="35"/>
      <c r="X4638" s="35"/>
      <c r="Y4638" s="182"/>
      <c r="Z4638" s="175"/>
      <c r="AA4638" s="182"/>
      <c r="AB4638" s="184"/>
    </row>
    <row r="4639" spans="1:28" ht="12.75">
      <c r="A4639" s="173"/>
      <c r="B4639" s="174"/>
      <c r="C4639" s="11"/>
      <c r="D4639" s="175"/>
      <c r="E4639" s="176"/>
      <c r="F4639" s="177"/>
      <c r="G4639" s="178"/>
      <c r="H4639" s="177"/>
      <c r="I4639" s="177"/>
      <c r="J4639" s="179"/>
      <c r="K4639" s="183"/>
      <c r="L4639" s="176"/>
      <c r="M4639" s="177"/>
      <c r="N4639" s="21"/>
      <c r="O4639" s="45"/>
      <c r="P4639" s="24"/>
      <c r="Q4639" s="24"/>
      <c r="R4639" s="180"/>
      <c r="S4639" s="181"/>
      <c r="T4639" s="35"/>
      <c r="U4639" s="35"/>
      <c r="V4639" s="35"/>
      <c r="W4639" s="35"/>
      <c r="X4639" s="35"/>
      <c r="Y4639" s="182"/>
      <c r="Z4639" s="175"/>
      <c r="AA4639" s="182"/>
      <c r="AB4639" s="184"/>
    </row>
    <row r="4640" spans="1:28" ht="12.75">
      <c r="A4640" s="173"/>
      <c r="B4640" s="174"/>
      <c r="C4640" s="11"/>
      <c r="D4640" s="175"/>
      <c r="E4640" s="176"/>
      <c r="F4640" s="177"/>
      <c r="G4640" s="178"/>
      <c r="H4640" s="177"/>
      <c r="I4640" s="177"/>
      <c r="J4640" s="179"/>
      <c r="K4640" s="183"/>
      <c r="L4640" s="176"/>
      <c r="M4640" s="177"/>
      <c r="N4640" s="21"/>
      <c r="O4640" s="45"/>
      <c r="P4640" s="24"/>
      <c r="Q4640" s="24"/>
      <c r="R4640" s="180"/>
      <c r="S4640" s="181"/>
      <c r="T4640" s="35"/>
      <c r="U4640" s="35"/>
      <c r="V4640" s="35"/>
      <c r="W4640" s="35"/>
      <c r="X4640" s="35"/>
      <c r="Y4640" s="182"/>
      <c r="Z4640" s="175"/>
      <c r="AA4640" s="182"/>
      <c r="AB4640" s="184"/>
    </row>
    <row r="4641" spans="1:28" ht="12.75">
      <c r="A4641" s="173"/>
      <c r="B4641" s="174"/>
      <c r="C4641" s="11"/>
      <c r="D4641" s="175"/>
      <c r="E4641" s="176"/>
      <c r="F4641" s="177"/>
      <c r="G4641" s="178"/>
      <c r="H4641" s="177"/>
      <c r="I4641" s="177"/>
      <c r="J4641" s="179"/>
      <c r="K4641" s="183"/>
      <c r="L4641" s="176"/>
      <c r="M4641" s="177"/>
      <c r="N4641" s="21"/>
      <c r="O4641" s="45"/>
      <c r="P4641" s="24"/>
      <c r="Q4641" s="24"/>
      <c r="R4641" s="180"/>
      <c r="S4641" s="181"/>
      <c r="T4641" s="35"/>
      <c r="U4641" s="35"/>
      <c r="V4641" s="35"/>
      <c r="W4641" s="35"/>
      <c r="X4641" s="35"/>
      <c r="Y4641" s="182"/>
      <c r="Z4641" s="175"/>
      <c r="AA4641" s="182"/>
      <c r="AB4641" s="184"/>
    </row>
    <row r="4642" spans="1:28" ht="12.75">
      <c r="A4642" s="173"/>
      <c r="B4642" s="174"/>
      <c r="C4642" s="11"/>
      <c r="D4642" s="175"/>
      <c r="E4642" s="176"/>
      <c r="F4642" s="177"/>
      <c r="G4642" s="178"/>
      <c r="H4642" s="177"/>
      <c r="I4642" s="177"/>
      <c r="J4642" s="179"/>
      <c r="K4642" s="183"/>
      <c r="L4642" s="176"/>
      <c r="M4642" s="177"/>
      <c r="N4642" s="21"/>
      <c r="O4642" s="45"/>
      <c r="P4642" s="24"/>
      <c r="Q4642" s="24"/>
      <c r="R4642" s="180"/>
      <c r="S4642" s="181"/>
      <c r="T4642" s="35"/>
      <c r="U4642" s="35"/>
      <c r="V4642" s="35"/>
      <c r="W4642" s="35"/>
      <c r="X4642" s="35"/>
      <c r="Y4642" s="182"/>
      <c r="Z4642" s="175"/>
      <c r="AA4642" s="182"/>
      <c r="AB4642" s="184"/>
    </row>
    <row r="4643" spans="1:28" ht="12.75">
      <c r="A4643" s="173"/>
      <c r="B4643" s="174"/>
      <c r="C4643" s="11"/>
      <c r="D4643" s="175"/>
      <c r="E4643" s="176"/>
      <c r="F4643" s="177"/>
      <c r="G4643" s="178"/>
      <c r="H4643" s="177"/>
      <c r="I4643" s="177"/>
      <c r="J4643" s="179"/>
      <c r="K4643" s="183"/>
      <c r="L4643" s="176"/>
      <c r="M4643" s="177"/>
      <c r="N4643" s="21"/>
      <c r="O4643" s="45"/>
      <c r="P4643" s="24"/>
      <c r="Q4643" s="24"/>
      <c r="R4643" s="180"/>
      <c r="S4643" s="181"/>
      <c r="T4643" s="35"/>
      <c r="U4643" s="35"/>
      <c r="V4643" s="35"/>
      <c r="W4643" s="35"/>
      <c r="X4643" s="35"/>
      <c r="Y4643" s="182"/>
      <c r="Z4643" s="175"/>
      <c r="AA4643" s="182"/>
      <c r="AB4643" s="184"/>
    </row>
    <row r="4644" spans="1:28" ht="12.75">
      <c r="A4644" s="173"/>
      <c r="B4644" s="174"/>
      <c r="C4644" s="11"/>
      <c r="D4644" s="175"/>
      <c r="E4644" s="176"/>
      <c r="F4644" s="177"/>
      <c r="G4644" s="178"/>
      <c r="H4644" s="177"/>
      <c r="I4644" s="177"/>
      <c r="J4644" s="179"/>
      <c r="K4644" s="183"/>
      <c r="L4644" s="176"/>
      <c r="M4644" s="177"/>
      <c r="N4644" s="21"/>
      <c r="O4644" s="45"/>
      <c r="P4644" s="24"/>
      <c r="Q4644" s="24"/>
      <c r="R4644" s="180"/>
      <c r="S4644" s="181"/>
      <c r="T4644" s="35"/>
      <c r="U4644" s="35"/>
      <c r="V4644" s="35"/>
      <c r="W4644" s="35"/>
      <c r="X4644" s="35"/>
      <c r="Y4644" s="182"/>
      <c r="Z4644" s="175"/>
      <c r="AA4644" s="182"/>
      <c r="AB4644" s="184"/>
    </row>
    <row r="4645" spans="1:28" ht="12.75">
      <c r="A4645" s="173"/>
      <c r="B4645" s="174"/>
      <c r="C4645" s="11"/>
      <c r="D4645" s="175"/>
      <c r="E4645" s="176"/>
      <c r="F4645" s="177"/>
      <c r="G4645" s="178"/>
      <c r="H4645" s="177"/>
      <c r="I4645" s="177"/>
      <c r="J4645" s="179"/>
      <c r="K4645" s="183"/>
      <c r="L4645" s="176"/>
      <c r="M4645" s="177"/>
      <c r="N4645" s="21"/>
      <c r="O4645" s="45"/>
      <c r="P4645" s="24"/>
      <c r="Q4645" s="24"/>
      <c r="R4645" s="180"/>
      <c r="S4645" s="181"/>
      <c r="T4645" s="35"/>
      <c r="U4645" s="35"/>
      <c r="V4645" s="35"/>
      <c r="W4645" s="35"/>
      <c r="X4645" s="35"/>
      <c r="Y4645" s="182"/>
      <c r="Z4645" s="175"/>
      <c r="AA4645" s="182"/>
      <c r="AB4645" s="184"/>
    </row>
    <row r="4646" spans="1:28" ht="12.75">
      <c r="A4646" s="173"/>
      <c r="B4646" s="174"/>
      <c r="C4646" s="11"/>
      <c r="D4646" s="175"/>
      <c r="E4646" s="176"/>
      <c r="F4646" s="177"/>
      <c r="G4646" s="178"/>
      <c r="H4646" s="177"/>
      <c r="I4646" s="177"/>
      <c r="J4646" s="179"/>
      <c r="K4646" s="183"/>
      <c r="L4646" s="176"/>
      <c r="M4646" s="177"/>
      <c r="N4646" s="21"/>
      <c r="O4646" s="45"/>
      <c r="P4646" s="24"/>
      <c r="Q4646" s="24"/>
      <c r="R4646" s="180"/>
      <c r="S4646" s="181"/>
      <c r="T4646" s="35"/>
      <c r="U4646" s="35"/>
      <c r="V4646" s="35"/>
      <c r="W4646" s="35"/>
      <c r="X4646" s="35"/>
      <c r="Y4646" s="182"/>
      <c r="Z4646" s="175"/>
      <c r="AA4646" s="182"/>
      <c r="AB4646" s="184"/>
    </row>
    <row r="4647" spans="1:28" ht="12.75">
      <c r="A4647" s="173"/>
      <c r="B4647" s="174"/>
      <c r="C4647" s="11"/>
      <c r="D4647" s="175"/>
      <c r="E4647" s="176"/>
      <c r="F4647" s="177"/>
      <c r="G4647" s="178"/>
      <c r="H4647" s="177"/>
      <c r="I4647" s="177"/>
      <c r="J4647" s="179"/>
      <c r="K4647" s="183"/>
      <c r="L4647" s="176"/>
      <c r="M4647" s="177"/>
      <c r="N4647" s="21"/>
      <c r="O4647" s="45"/>
      <c r="P4647" s="24"/>
      <c r="Q4647" s="24"/>
      <c r="R4647" s="180"/>
      <c r="S4647" s="181"/>
      <c r="T4647" s="35"/>
      <c r="U4647" s="35"/>
      <c r="V4647" s="35"/>
      <c r="W4647" s="35"/>
      <c r="X4647" s="35"/>
      <c r="Y4647" s="182"/>
      <c r="Z4647" s="175"/>
      <c r="AA4647" s="182"/>
      <c r="AB4647" s="184"/>
    </row>
    <row r="4648" spans="1:28" ht="12.75">
      <c r="A4648" s="173"/>
      <c r="B4648" s="174"/>
      <c r="C4648" s="11"/>
      <c r="D4648" s="175"/>
      <c r="E4648" s="176"/>
      <c r="F4648" s="177"/>
      <c r="G4648" s="178"/>
      <c r="H4648" s="177"/>
      <c r="I4648" s="177"/>
      <c r="J4648" s="179"/>
      <c r="K4648" s="183"/>
      <c r="L4648" s="176"/>
      <c r="M4648" s="177"/>
      <c r="N4648" s="21"/>
      <c r="O4648" s="45"/>
      <c r="P4648" s="24"/>
      <c r="Q4648" s="24"/>
      <c r="R4648" s="180"/>
      <c r="S4648" s="181"/>
      <c r="T4648" s="35"/>
      <c r="U4648" s="35"/>
      <c r="V4648" s="35"/>
      <c r="W4648" s="35"/>
      <c r="X4648" s="35"/>
      <c r="Y4648" s="182"/>
      <c r="Z4648" s="175"/>
      <c r="AA4648" s="182"/>
      <c r="AB4648" s="184"/>
    </row>
    <row r="4649" spans="1:28" ht="12.75">
      <c r="A4649" s="173"/>
      <c r="B4649" s="174"/>
      <c r="C4649" s="11"/>
      <c r="D4649" s="175"/>
      <c r="E4649" s="176"/>
      <c r="F4649" s="177"/>
      <c r="G4649" s="178"/>
      <c r="H4649" s="177"/>
      <c r="I4649" s="177"/>
      <c r="J4649" s="179"/>
      <c r="K4649" s="183"/>
      <c r="L4649" s="176"/>
      <c r="M4649" s="177"/>
      <c r="N4649" s="21"/>
      <c r="O4649" s="45"/>
      <c r="P4649" s="24"/>
      <c r="Q4649" s="24"/>
      <c r="R4649" s="180"/>
      <c r="S4649" s="181"/>
      <c r="T4649" s="35"/>
      <c r="U4649" s="35"/>
      <c r="V4649" s="35"/>
      <c r="W4649" s="35"/>
      <c r="X4649" s="35"/>
      <c r="Y4649" s="182"/>
      <c r="Z4649" s="175"/>
      <c r="AA4649" s="182"/>
      <c r="AB4649" s="184"/>
    </row>
    <row r="4650" spans="1:28" ht="12.75">
      <c r="A4650" s="173"/>
      <c r="B4650" s="174"/>
      <c r="C4650" s="11"/>
      <c r="D4650" s="175"/>
      <c r="E4650" s="176"/>
      <c r="F4650" s="177"/>
      <c r="G4650" s="178"/>
      <c r="H4650" s="177"/>
      <c r="I4650" s="177"/>
      <c r="J4650" s="179"/>
      <c r="K4650" s="183"/>
      <c r="L4650" s="176"/>
      <c r="M4650" s="177"/>
      <c r="N4650" s="21"/>
      <c r="O4650" s="45"/>
      <c r="P4650" s="24"/>
      <c r="Q4650" s="24"/>
      <c r="R4650" s="180"/>
      <c r="S4650" s="181"/>
      <c r="T4650" s="35"/>
      <c r="U4650" s="35"/>
      <c r="V4650" s="35"/>
      <c r="W4650" s="35"/>
      <c r="X4650" s="35"/>
      <c r="Y4650" s="182"/>
      <c r="Z4650" s="175"/>
      <c r="AA4650" s="182"/>
      <c r="AB4650" s="184"/>
    </row>
    <row r="4651" spans="1:28" ht="12.75">
      <c r="A4651" s="173"/>
      <c r="B4651" s="174"/>
      <c r="C4651" s="11"/>
      <c r="D4651" s="175"/>
      <c r="E4651" s="176"/>
      <c r="F4651" s="177"/>
      <c r="G4651" s="178"/>
      <c r="H4651" s="177"/>
      <c r="I4651" s="177"/>
      <c r="J4651" s="179"/>
      <c r="K4651" s="183"/>
      <c r="L4651" s="176"/>
      <c r="M4651" s="177"/>
      <c r="N4651" s="21"/>
      <c r="O4651" s="45"/>
      <c r="P4651" s="24"/>
      <c r="Q4651" s="24"/>
      <c r="R4651" s="180"/>
      <c r="S4651" s="181"/>
      <c r="T4651" s="35"/>
      <c r="U4651" s="35"/>
      <c r="V4651" s="35"/>
      <c r="W4651" s="35"/>
      <c r="X4651" s="35"/>
      <c r="Y4651" s="182"/>
      <c r="Z4651" s="175"/>
      <c r="AA4651" s="182"/>
      <c r="AB4651" s="184"/>
    </row>
    <row r="4652" spans="1:28" ht="12.75">
      <c r="A4652" s="173"/>
      <c r="B4652" s="174"/>
      <c r="C4652" s="11"/>
      <c r="D4652" s="175"/>
      <c r="E4652" s="176"/>
      <c r="F4652" s="177"/>
      <c r="G4652" s="178"/>
      <c r="H4652" s="177"/>
      <c r="I4652" s="177"/>
      <c r="J4652" s="179"/>
      <c r="K4652" s="183"/>
      <c r="L4652" s="176"/>
      <c r="M4652" s="177"/>
      <c r="N4652" s="21"/>
      <c r="O4652" s="45"/>
      <c r="P4652" s="24"/>
      <c r="Q4652" s="24"/>
      <c r="R4652" s="180"/>
      <c r="S4652" s="181"/>
      <c r="T4652" s="35"/>
      <c r="U4652" s="35"/>
      <c r="V4652" s="35"/>
      <c r="W4652" s="35"/>
      <c r="X4652" s="35"/>
      <c r="Y4652" s="182"/>
      <c r="Z4652" s="175"/>
      <c r="AA4652" s="182"/>
      <c r="AB4652" s="184"/>
    </row>
    <row r="4653" spans="1:28" ht="12.75">
      <c r="A4653" s="173"/>
      <c r="B4653" s="174"/>
      <c r="C4653" s="11"/>
      <c r="D4653" s="175"/>
      <c r="E4653" s="176"/>
      <c r="F4653" s="177"/>
      <c r="G4653" s="178"/>
      <c r="H4653" s="177"/>
      <c r="I4653" s="177"/>
      <c r="J4653" s="179"/>
      <c r="K4653" s="183"/>
      <c r="L4653" s="176"/>
      <c r="M4653" s="177"/>
      <c r="N4653" s="21"/>
      <c r="O4653" s="45"/>
      <c r="P4653" s="24"/>
      <c r="Q4653" s="24"/>
      <c r="R4653" s="180"/>
      <c r="S4653" s="181"/>
      <c r="T4653" s="35"/>
      <c r="U4653" s="35"/>
      <c r="V4653" s="35"/>
      <c r="W4653" s="35"/>
      <c r="X4653" s="35"/>
      <c r="Y4653" s="182"/>
      <c r="Z4653" s="175"/>
      <c r="AA4653" s="182"/>
      <c r="AB4653" s="184"/>
    </row>
    <row r="4654" spans="1:28" ht="12.75">
      <c r="A4654" s="173"/>
      <c r="B4654" s="174"/>
      <c r="C4654" s="11"/>
      <c r="D4654" s="175"/>
      <c r="E4654" s="176"/>
      <c r="F4654" s="177"/>
      <c r="G4654" s="178"/>
      <c r="H4654" s="177"/>
      <c r="I4654" s="177"/>
      <c r="J4654" s="179"/>
      <c r="K4654" s="183"/>
      <c r="L4654" s="176"/>
      <c r="M4654" s="177"/>
      <c r="N4654" s="21"/>
      <c r="O4654" s="45"/>
      <c r="P4654" s="24"/>
      <c r="Q4654" s="24"/>
      <c r="R4654" s="180"/>
      <c r="S4654" s="181"/>
      <c r="T4654" s="35"/>
      <c r="U4654" s="35"/>
      <c r="V4654" s="35"/>
      <c r="W4654" s="35"/>
      <c r="X4654" s="35"/>
      <c r="Y4654" s="182"/>
      <c r="Z4654" s="175"/>
      <c r="AA4654" s="182"/>
      <c r="AB4654" s="184"/>
    </row>
    <row r="4655" spans="1:28" ht="12.75">
      <c r="A4655" s="173"/>
      <c r="B4655" s="174"/>
      <c r="C4655" s="11"/>
      <c r="D4655" s="175"/>
      <c r="E4655" s="176"/>
      <c r="F4655" s="177"/>
      <c r="G4655" s="178"/>
      <c r="H4655" s="177"/>
      <c r="I4655" s="177"/>
      <c r="J4655" s="179"/>
      <c r="K4655" s="183"/>
      <c r="L4655" s="176"/>
      <c r="M4655" s="177"/>
      <c r="N4655" s="21"/>
      <c r="O4655" s="45"/>
      <c r="P4655" s="24"/>
      <c r="Q4655" s="24"/>
      <c r="R4655" s="180"/>
      <c r="S4655" s="181"/>
      <c r="T4655" s="35"/>
      <c r="U4655" s="35"/>
      <c r="V4655" s="35"/>
      <c r="W4655" s="35"/>
      <c r="X4655" s="35"/>
      <c r="Y4655" s="182"/>
      <c r="Z4655" s="175"/>
      <c r="AA4655" s="182"/>
      <c r="AB4655" s="184"/>
    </row>
    <row r="4656" spans="1:28" ht="12.75">
      <c r="A4656" s="173"/>
      <c r="B4656" s="174"/>
      <c r="C4656" s="11"/>
      <c r="D4656" s="175"/>
      <c r="E4656" s="176"/>
      <c r="F4656" s="177"/>
      <c r="G4656" s="178"/>
      <c r="H4656" s="177"/>
      <c r="I4656" s="177"/>
      <c r="J4656" s="179"/>
      <c r="K4656" s="183"/>
      <c r="L4656" s="176"/>
      <c r="M4656" s="177"/>
      <c r="N4656" s="21"/>
      <c r="O4656" s="45"/>
      <c r="P4656" s="24"/>
      <c r="Q4656" s="24"/>
      <c r="R4656" s="180"/>
      <c r="S4656" s="181"/>
      <c r="T4656" s="35"/>
      <c r="U4656" s="35"/>
      <c r="V4656" s="35"/>
      <c r="W4656" s="35"/>
      <c r="X4656" s="35"/>
      <c r="Y4656" s="182"/>
      <c r="Z4656" s="175"/>
      <c r="AA4656" s="182"/>
      <c r="AB4656" s="184"/>
    </row>
    <row r="4657" spans="1:28" ht="12.75">
      <c r="A4657" s="173"/>
      <c r="B4657" s="174"/>
      <c r="C4657" s="11"/>
      <c r="D4657" s="175"/>
      <c r="E4657" s="176"/>
      <c r="F4657" s="177"/>
      <c r="G4657" s="178"/>
      <c r="H4657" s="177"/>
      <c r="I4657" s="177"/>
      <c r="J4657" s="179"/>
      <c r="K4657" s="183"/>
      <c r="L4657" s="176"/>
      <c r="M4657" s="177"/>
      <c r="N4657" s="21"/>
      <c r="O4657" s="45"/>
      <c r="P4657" s="24"/>
      <c r="Q4657" s="24"/>
      <c r="R4657" s="180"/>
      <c r="S4657" s="181"/>
      <c r="T4657" s="35"/>
      <c r="U4657" s="35"/>
      <c r="V4657" s="35"/>
      <c r="W4657" s="35"/>
      <c r="X4657" s="35"/>
      <c r="Y4657" s="182"/>
      <c r="Z4657" s="175"/>
      <c r="AA4657" s="182"/>
      <c r="AB4657" s="184"/>
    </row>
    <row r="4658" spans="1:28" ht="12.75">
      <c r="A4658" s="173"/>
      <c r="B4658" s="174"/>
      <c r="C4658" s="11"/>
      <c r="D4658" s="175"/>
      <c r="E4658" s="176"/>
      <c r="F4658" s="177"/>
      <c r="G4658" s="178"/>
      <c r="H4658" s="177"/>
      <c r="I4658" s="177"/>
      <c r="J4658" s="179"/>
      <c r="K4658" s="183"/>
      <c r="L4658" s="176"/>
      <c r="M4658" s="177"/>
      <c r="N4658" s="21"/>
      <c r="O4658" s="45"/>
      <c r="P4658" s="24"/>
      <c r="Q4658" s="24"/>
      <c r="R4658" s="180"/>
      <c r="S4658" s="181"/>
      <c r="T4658" s="35"/>
      <c r="U4658" s="35"/>
      <c r="V4658" s="35"/>
      <c r="W4658" s="35"/>
      <c r="X4658" s="35"/>
      <c r="Y4658" s="182"/>
      <c r="Z4658" s="175"/>
      <c r="AA4658" s="182"/>
      <c r="AB4658" s="184"/>
    </row>
    <row r="4659" spans="1:28" ht="12.75">
      <c r="A4659" s="173"/>
      <c r="B4659" s="174"/>
      <c r="C4659" s="11"/>
      <c r="D4659" s="175"/>
      <c r="E4659" s="176"/>
      <c r="F4659" s="177"/>
      <c r="G4659" s="178"/>
      <c r="H4659" s="177"/>
      <c r="I4659" s="177"/>
      <c r="J4659" s="179"/>
      <c r="K4659" s="183"/>
      <c r="L4659" s="176"/>
      <c r="M4659" s="177"/>
      <c r="N4659" s="21"/>
      <c r="O4659" s="45"/>
      <c r="P4659" s="24"/>
      <c r="Q4659" s="24"/>
      <c r="R4659" s="180"/>
      <c r="S4659" s="181"/>
      <c r="T4659" s="35"/>
      <c r="U4659" s="35"/>
      <c r="V4659" s="35"/>
      <c r="W4659" s="35"/>
      <c r="X4659" s="35"/>
      <c r="Y4659" s="182"/>
      <c r="Z4659" s="175"/>
      <c r="AA4659" s="182"/>
      <c r="AB4659" s="184"/>
    </row>
    <row r="4660" spans="1:28" ht="12.75">
      <c r="A4660" s="173"/>
      <c r="B4660" s="174"/>
      <c r="C4660" s="11"/>
      <c r="D4660" s="175"/>
      <c r="E4660" s="176"/>
      <c r="F4660" s="177"/>
      <c r="G4660" s="178"/>
      <c r="H4660" s="177"/>
      <c r="I4660" s="177"/>
      <c r="J4660" s="179"/>
      <c r="K4660" s="183"/>
      <c r="L4660" s="176"/>
      <c r="M4660" s="177"/>
      <c r="N4660" s="21"/>
      <c r="O4660" s="45"/>
      <c r="P4660" s="24"/>
      <c r="Q4660" s="24"/>
      <c r="R4660" s="180"/>
      <c r="S4660" s="181"/>
      <c r="T4660" s="35"/>
      <c r="U4660" s="35"/>
      <c r="V4660" s="35"/>
      <c r="W4660" s="35"/>
      <c r="X4660" s="35"/>
      <c r="Y4660" s="182"/>
      <c r="Z4660" s="175"/>
      <c r="AA4660" s="182"/>
      <c r="AB4660" s="184"/>
    </row>
    <row r="4661" spans="1:28" ht="12.75">
      <c r="A4661" s="173"/>
      <c r="B4661" s="174"/>
      <c r="C4661" s="11"/>
      <c r="D4661" s="175"/>
      <c r="E4661" s="176"/>
      <c r="F4661" s="177"/>
      <c r="G4661" s="178"/>
      <c r="H4661" s="177"/>
      <c r="I4661" s="177"/>
      <c r="J4661" s="179"/>
      <c r="K4661" s="183"/>
      <c r="L4661" s="176"/>
      <c r="M4661" s="177"/>
      <c r="N4661" s="21"/>
      <c r="O4661" s="45"/>
      <c r="P4661" s="24"/>
      <c r="Q4661" s="24"/>
      <c r="R4661" s="180"/>
      <c r="S4661" s="181"/>
      <c r="T4661" s="35"/>
      <c r="U4661" s="35"/>
      <c r="V4661" s="35"/>
      <c r="W4661" s="35"/>
      <c r="X4661" s="35"/>
      <c r="Y4661" s="182"/>
      <c r="Z4661" s="175"/>
      <c r="AA4661" s="182"/>
      <c r="AB4661" s="184"/>
    </row>
    <row r="4662" spans="1:28" ht="12.75">
      <c r="A4662" s="173"/>
      <c r="B4662" s="174"/>
      <c r="C4662" s="11"/>
      <c r="D4662" s="175"/>
      <c r="E4662" s="176"/>
      <c r="F4662" s="177"/>
      <c r="G4662" s="178"/>
      <c r="H4662" s="177"/>
      <c r="I4662" s="177"/>
      <c r="J4662" s="179"/>
      <c r="K4662" s="183"/>
      <c r="L4662" s="176"/>
      <c r="M4662" s="177"/>
      <c r="N4662" s="21"/>
      <c r="O4662" s="45"/>
      <c r="P4662" s="24"/>
      <c r="Q4662" s="24"/>
      <c r="R4662" s="180"/>
      <c r="S4662" s="181"/>
      <c r="T4662" s="35"/>
      <c r="U4662" s="35"/>
      <c r="V4662" s="35"/>
      <c r="W4662" s="35"/>
      <c r="X4662" s="35"/>
      <c r="Y4662" s="182"/>
      <c r="Z4662" s="175"/>
      <c r="AA4662" s="182"/>
      <c r="AB4662" s="184"/>
    </row>
    <row r="4663" spans="1:28" ht="12.75">
      <c r="A4663" s="173"/>
      <c r="B4663" s="174"/>
      <c r="C4663" s="11"/>
      <c r="D4663" s="175"/>
      <c r="E4663" s="176"/>
      <c r="F4663" s="177"/>
      <c r="G4663" s="178"/>
      <c r="H4663" s="177"/>
      <c r="I4663" s="177"/>
      <c r="J4663" s="179"/>
      <c r="K4663" s="183"/>
      <c r="L4663" s="176"/>
      <c r="M4663" s="177"/>
      <c r="N4663" s="21"/>
      <c r="O4663" s="45"/>
      <c r="P4663" s="24"/>
      <c r="Q4663" s="24"/>
      <c r="R4663" s="180"/>
      <c r="S4663" s="181"/>
      <c r="T4663" s="35"/>
      <c r="U4663" s="35"/>
      <c r="V4663" s="35"/>
      <c r="W4663" s="35"/>
      <c r="X4663" s="35"/>
      <c r="Y4663" s="182"/>
      <c r="Z4663" s="175"/>
      <c r="AA4663" s="182"/>
      <c r="AB4663" s="184"/>
    </row>
    <row r="4664" spans="1:28" ht="12.75">
      <c r="A4664" s="173"/>
      <c r="B4664" s="174"/>
      <c r="C4664" s="11"/>
      <c r="D4664" s="175"/>
      <c r="E4664" s="176"/>
      <c r="F4664" s="177"/>
      <c r="G4664" s="178"/>
      <c r="H4664" s="177"/>
      <c r="I4664" s="177"/>
      <c r="J4664" s="179"/>
      <c r="K4664" s="183"/>
      <c r="L4664" s="176"/>
      <c r="M4664" s="177"/>
      <c r="N4664" s="21"/>
      <c r="O4664" s="45"/>
      <c r="P4664" s="24"/>
      <c r="Q4664" s="24"/>
      <c r="R4664" s="180"/>
      <c r="S4664" s="181"/>
      <c r="T4664" s="35"/>
      <c r="U4664" s="35"/>
      <c r="V4664" s="35"/>
      <c r="W4664" s="35"/>
      <c r="X4664" s="35"/>
      <c r="Y4664" s="182"/>
      <c r="Z4664" s="175"/>
      <c r="AA4664" s="182"/>
      <c r="AB4664" s="184"/>
    </row>
    <row r="4665" spans="1:28" ht="12.75">
      <c r="A4665" s="173"/>
      <c r="B4665" s="174"/>
      <c r="C4665" s="11"/>
      <c r="D4665" s="175"/>
      <c r="E4665" s="176"/>
      <c r="F4665" s="177"/>
      <c r="G4665" s="178"/>
      <c r="H4665" s="177"/>
      <c r="I4665" s="177"/>
      <c r="J4665" s="179"/>
      <c r="K4665" s="183"/>
      <c r="L4665" s="176"/>
      <c r="M4665" s="177"/>
      <c r="N4665" s="21"/>
      <c r="O4665" s="45"/>
      <c r="P4665" s="24"/>
      <c r="Q4665" s="24"/>
      <c r="R4665" s="180"/>
      <c r="S4665" s="181"/>
      <c r="T4665" s="35"/>
      <c r="U4665" s="35"/>
      <c r="V4665" s="35"/>
      <c r="W4665" s="35"/>
      <c r="X4665" s="35"/>
      <c r="Y4665" s="182"/>
      <c r="Z4665" s="175"/>
      <c r="AA4665" s="182"/>
      <c r="AB4665" s="184"/>
    </row>
    <row r="4666" spans="1:28" ht="12.75">
      <c r="A4666" s="173"/>
      <c r="B4666" s="174"/>
      <c r="C4666" s="11"/>
      <c r="D4666" s="175"/>
      <c r="E4666" s="176"/>
      <c r="F4666" s="177"/>
      <c r="G4666" s="178"/>
      <c r="H4666" s="177"/>
      <c r="I4666" s="177"/>
      <c r="J4666" s="179"/>
      <c r="K4666" s="183"/>
      <c r="L4666" s="176"/>
      <c r="M4666" s="177"/>
      <c r="N4666" s="21"/>
      <c r="O4666" s="45"/>
      <c r="P4666" s="24"/>
      <c r="Q4666" s="24"/>
      <c r="R4666" s="180"/>
      <c r="S4666" s="181"/>
      <c r="T4666" s="35"/>
      <c r="U4666" s="35"/>
      <c r="V4666" s="35"/>
      <c r="W4666" s="35"/>
      <c r="X4666" s="35"/>
      <c r="Y4666" s="182"/>
      <c r="Z4666" s="175"/>
      <c r="AA4666" s="182"/>
      <c r="AB4666" s="184"/>
    </row>
    <row r="4667" spans="1:28" ht="12.75">
      <c r="A4667" s="173"/>
      <c r="B4667" s="174"/>
      <c r="C4667" s="11"/>
      <c r="D4667" s="175"/>
      <c r="E4667" s="176"/>
      <c r="F4667" s="177"/>
      <c r="G4667" s="178"/>
      <c r="H4667" s="177"/>
      <c r="I4667" s="177"/>
      <c r="J4667" s="179"/>
      <c r="K4667" s="183"/>
      <c r="L4667" s="176"/>
      <c r="M4667" s="177"/>
      <c r="N4667" s="21"/>
      <c r="O4667" s="45"/>
      <c r="P4667" s="24"/>
      <c r="Q4667" s="24"/>
      <c r="R4667" s="180"/>
      <c r="S4667" s="181"/>
      <c r="T4667" s="35"/>
      <c r="U4667" s="35"/>
      <c r="V4667" s="35"/>
      <c r="W4667" s="35"/>
      <c r="X4667" s="35"/>
      <c r="Y4667" s="182"/>
      <c r="Z4667" s="175"/>
      <c r="AA4667" s="182"/>
      <c r="AB4667" s="184"/>
    </row>
    <row r="4668" spans="1:28" ht="12.75">
      <c r="A4668" s="173"/>
      <c r="B4668" s="174"/>
      <c r="C4668" s="11"/>
      <c r="D4668" s="175"/>
      <c r="E4668" s="176"/>
      <c r="F4668" s="177"/>
      <c r="G4668" s="178"/>
      <c r="H4668" s="177"/>
      <c r="I4668" s="177"/>
      <c r="J4668" s="179"/>
      <c r="K4668" s="183"/>
      <c r="L4668" s="176"/>
      <c r="M4668" s="177"/>
      <c r="N4668" s="21"/>
      <c r="O4668" s="45"/>
      <c r="P4668" s="24"/>
      <c r="Q4668" s="24"/>
      <c r="R4668" s="180"/>
      <c r="S4668" s="181"/>
      <c r="T4668" s="35"/>
      <c r="U4668" s="35"/>
      <c r="V4668" s="35"/>
      <c r="W4668" s="35"/>
      <c r="X4668" s="35"/>
      <c r="Y4668" s="182"/>
      <c r="Z4668" s="175"/>
      <c r="AA4668" s="182"/>
      <c r="AB4668" s="184"/>
    </row>
    <row r="4669" spans="1:28" ht="12.75">
      <c r="A4669" s="173"/>
      <c r="B4669" s="174"/>
      <c r="C4669" s="11"/>
      <c r="D4669" s="175"/>
      <c r="E4669" s="176"/>
      <c r="F4669" s="177"/>
      <c r="G4669" s="178"/>
      <c r="H4669" s="177"/>
      <c r="I4669" s="177"/>
      <c r="J4669" s="179"/>
      <c r="K4669" s="183"/>
      <c r="L4669" s="176"/>
      <c r="M4669" s="177"/>
      <c r="N4669" s="21"/>
      <c r="O4669" s="45"/>
      <c r="P4669" s="24"/>
      <c r="Q4669" s="24"/>
      <c r="R4669" s="180"/>
      <c r="S4669" s="181"/>
      <c r="T4669" s="35"/>
      <c r="U4669" s="35"/>
      <c r="V4669" s="35"/>
      <c r="W4669" s="35"/>
      <c r="X4669" s="35"/>
      <c r="Y4669" s="182"/>
      <c r="Z4669" s="175"/>
      <c r="AA4669" s="182"/>
      <c r="AB4669" s="184"/>
    </row>
    <row r="4670" spans="1:28" ht="12.75">
      <c r="A4670" s="173"/>
      <c r="B4670" s="174"/>
      <c r="C4670" s="11"/>
      <c r="D4670" s="175"/>
      <c r="E4670" s="176"/>
      <c r="F4670" s="177"/>
      <c r="G4670" s="178"/>
      <c r="H4670" s="177"/>
      <c r="I4670" s="177"/>
      <c r="J4670" s="179"/>
      <c r="K4670" s="183"/>
      <c r="L4670" s="176"/>
      <c r="M4670" s="177"/>
      <c r="N4670" s="21"/>
      <c r="O4670" s="45"/>
      <c r="P4670" s="24"/>
      <c r="Q4670" s="24"/>
      <c r="R4670" s="180"/>
      <c r="S4670" s="181"/>
      <c r="T4670" s="35"/>
      <c r="U4670" s="35"/>
      <c r="V4670" s="35"/>
      <c r="W4670" s="35"/>
      <c r="X4670" s="35"/>
      <c r="Y4670" s="182"/>
      <c r="Z4670" s="175"/>
      <c r="AA4670" s="182"/>
      <c r="AB4670" s="184"/>
    </row>
    <row r="4671" spans="1:28" ht="12.75">
      <c r="A4671" s="173"/>
      <c r="B4671" s="174"/>
      <c r="C4671" s="11"/>
      <c r="D4671" s="175"/>
      <c r="E4671" s="176"/>
      <c r="F4671" s="177"/>
      <c r="G4671" s="178"/>
      <c r="H4671" s="177"/>
      <c r="I4671" s="177"/>
      <c r="J4671" s="179"/>
      <c r="K4671" s="183"/>
      <c r="L4671" s="176"/>
      <c r="M4671" s="177"/>
      <c r="N4671" s="21"/>
      <c r="O4671" s="45"/>
      <c r="P4671" s="24"/>
      <c r="Q4671" s="24"/>
      <c r="R4671" s="180"/>
      <c r="S4671" s="181"/>
      <c r="T4671" s="35"/>
      <c r="U4671" s="35"/>
      <c r="V4671" s="35"/>
      <c r="W4671" s="35"/>
      <c r="X4671" s="35"/>
      <c r="Y4671" s="182"/>
      <c r="Z4671" s="175"/>
      <c r="AA4671" s="182"/>
      <c r="AB4671" s="184"/>
    </row>
    <row r="4672" spans="1:28" ht="12.75">
      <c r="A4672" s="173"/>
      <c r="B4672" s="174"/>
      <c r="C4672" s="11"/>
      <c r="D4672" s="175"/>
      <c r="E4672" s="176"/>
      <c r="F4672" s="177"/>
      <c r="G4672" s="178"/>
      <c r="H4672" s="177"/>
      <c r="I4672" s="177"/>
      <c r="J4672" s="179"/>
      <c r="K4672" s="183"/>
      <c r="L4672" s="176"/>
      <c r="M4672" s="177"/>
      <c r="N4672" s="21"/>
      <c r="O4672" s="45"/>
      <c r="P4672" s="24"/>
      <c r="Q4672" s="24"/>
      <c r="R4672" s="180"/>
      <c r="S4672" s="181"/>
      <c r="T4672" s="35"/>
      <c r="U4672" s="35"/>
      <c r="V4672" s="35"/>
      <c r="W4672" s="35"/>
      <c r="X4672" s="35"/>
      <c r="Y4672" s="182"/>
      <c r="Z4672" s="175"/>
      <c r="AA4672" s="182"/>
      <c r="AB4672" s="184"/>
    </row>
    <row r="4673" spans="1:28" ht="12.75">
      <c r="A4673" s="173"/>
      <c r="B4673" s="174"/>
      <c r="C4673" s="11"/>
      <c r="D4673" s="175"/>
      <c r="E4673" s="176"/>
      <c r="F4673" s="177"/>
      <c r="G4673" s="178"/>
      <c r="H4673" s="177"/>
      <c r="I4673" s="177"/>
      <c r="J4673" s="179"/>
      <c r="K4673" s="183"/>
      <c r="L4673" s="176"/>
      <c r="M4673" s="177"/>
      <c r="N4673" s="21"/>
      <c r="O4673" s="45"/>
      <c r="P4673" s="24"/>
      <c r="Q4673" s="24"/>
      <c r="R4673" s="180"/>
      <c r="S4673" s="181"/>
      <c r="T4673" s="35"/>
      <c r="U4673" s="35"/>
      <c r="V4673" s="35"/>
      <c r="W4673" s="35"/>
      <c r="X4673" s="35"/>
      <c r="Y4673" s="182"/>
      <c r="Z4673" s="175"/>
      <c r="AA4673" s="182"/>
      <c r="AB4673" s="184"/>
    </row>
    <row r="4674" spans="1:28" ht="12.75">
      <c r="A4674" s="173"/>
      <c r="B4674" s="174"/>
      <c r="C4674" s="11"/>
      <c r="D4674" s="175"/>
      <c r="E4674" s="176"/>
      <c r="F4674" s="177"/>
      <c r="G4674" s="178"/>
      <c r="H4674" s="177"/>
      <c r="I4674" s="177"/>
      <c r="J4674" s="179"/>
      <c r="K4674" s="183"/>
      <c r="L4674" s="176"/>
      <c r="M4674" s="177"/>
      <c r="N4674" s="21"/>
      <c r="O4674" s="45"/>
      <c r="P4674" s="24"/>
      <c r="Q4674" s="24"/>
      <c r="R4674" s="180"/>
      <c r="S4674" s="181"/>
      <c r="T4674" s="35"/>
      <c r="U4674" s="35"/>
      <c r="V4674" s="35"/>
      <c r="W4674" s="35"/>
      <c r="X4674" s="35"/>
      <c r="Y4674" s="182"/>
      <c r="Z4674" s="175"/>
      <c r="AA4674" s="182"/>
      <c r="AB4674" s="184"/>
    </row>
    <row r="4675" spans="1:28" ht="12.75">
      <c r="A4675" s="173"/>
      <c r="B4675" s="174"/>
      <c r="C4675" s="11"/>
      <c r="D4675" s="175"/>
      <c r="E4675" s="176"/>
      <c r="F4675" s="177"/>
      <c r="G4675" s="178"/>
      <c r="H4675" s="177"/>
      <c r="I4675" s="177"/>
      <c r="J4675" s="179"/>
      <c r="K4675" s="183"/>
      <c r="L4675" s="176"/>
      <c r="M4675" s="177"/>
      <c r="N4675" s="21"/>
      <c r="O4675" s="45"/>
      <c r="P4675" s="24"/>
      <c r="Q4675" s="24"/>
      <c r="R4675" s="180"/>
      <c r="S4675" s="181"/>
      <c r="T4675" s="35"/>
      <c r="U4675" s="35"/>
      <c r="V4675" s="35"/>
      <c r="W4675" s="35"/>
      <c r="X4675" s="35"/>
      <c r="Y4675" s="182"/>
      <c r="Z4675" s="175"/>
      <c r="AA4675" s="182"/>
      <c r="AB4675" s="184"/>
    </row>
    <row r="4676" spans="1:28" ht="12.75">
      <c r="A4676" s="173"/>
      <c r="B4676" s="174"/>
      <c r="C4676" s="11"/>
      <c r="D4676" s="175"/>
      <c r="E4676" s="176"/>
      <c r="F4676" s="177"/>
      <c r="G4676" s="178"/>
      <c r="H4676" s="177"/>
      <c r="I4676" s="177"/>
      <c r="J4676" s="179"/>
      <c r="K4676" s="183"/>
      <c r="L4676" s="176"/>
      <c r="M4676" s="177"/>
      <c r="N4676" s="21"/>
      <c r="O4676" s="45"/>
      <c r="P4676" s="24"/>
      <c r="Q4676" s="24"/>
      <c r="R4676" s="180"/>
      <c r="S4676" s="181"/>
      <c r="T4676" s="35"/>
      <c r="U4676" s="35"/>
      <c r="V4676" s="35"/>
      <c r="W4676" s="35"/>
      <c r="X4676" s="35"/>
      <c r="Y4676" s="182"/>
      <c r="Z4676" s="175"/>
      <c r="AA4676" s="182"/>
      <c r="AB4676" s="184"/>
    </row>
    <row r="4677" spans="1:28" ht="12.75">
      <c r="A4677" s="173"/>
      <c r="B4677" s="174"/>
      <c r="C4677" s="11"/>
      <c r="D4677" s="175"/>
      <c r="E4677" s="176"/>
      <c r="F4677" s="177"/>
      <c r="G4677" s="178"/>
      <c r="H4677" s="177"/>
      <c r="I4677" s="177"/>
      <c r="J4677" s="179"/>
      <c r="K4677" s="183"/>
      <c r="L4677" s="176"/>
      <c r="M4677" s="177"/>
      <c r="N4677" s="21"/>
      <c r="O4677" s="45"/>
      <c r="P4677" s="24"/>
      <c r="Q4677" s="24"/>
      <c r="R4677" s="180"/>
      <c r="S4677" s="181"/>
      <c r="T4677" s="35"/>
      <c r="U4677" s="35"/>
      <c r="V4677" s="35"/>
      <c r="W4677" s="35"/>
      <c r="X4677" s="35"/>
      <c r="Y4677" s="182"/>
      <c r="Z4677" s="175"/>
      <c r="AA4677" s="182"/>
      <c r="AB4677" s="184"/>
    </row>
    <row r="4678" spans="1:28" ht="12.75">
      <c r="A4678" s="173"/>
      <c r="B4678" s="174"/>
      <c r="C4678" s="11"/>
      <c r="D4678" s="175"/>
      <c r="E4678" s="176"/>
      <c r="F4678" s="177"/>
      <c r="G4678" s="178"/>
      <c r="H4678" s="177"/>
      <c r="I4678" s="177"/>
      <c r="J4678" s="179"/>
      <c r="K4678" s="183"/>
      <c r="L4678" s="176"/>
      <c r="M4678" s="177"/>
      <c r="N4678" s="21"/>
      <c r="O4678" s="45"/>
      <c r="P4678" s="24"/>
      <c r="Q4678" s="24"/>
      <c r="R4678" s="180"/>
      <c r="S4678" s="181"/>
      <c r="T4678" s="35"/>
      <c r="U4678" s="35"/>
      <c r="V4678" s="35"/>
      <c r="W4678" s="35"/>
      <c r="X4678" s="35"/>
      <c r="Y4678" s="182"/>
      <c r="Z4678" s="175"/>
      <c r="AA4678" s="182"/>
      <c r="AB4678" s="184"/>
    </row>
    <row r="4679" spans="1:28" ht="12.75">
      <c r="A4679" s="173"/>
      <c r="B4679" s="174"/>
      <c r="C4679" s="11"/>
      <c r="D4679" s="175"/>
      <c r="E4679" s="176"/>
      <c r="F4679" s="177"/>
      <c r="G4679" s="178"/>
      <c r="H4679" s="177"/>
      <c r="I4679" s="177"/>
      <c r="J4679" s="179"/>
      <c r="K4679" s="183"/>
      <c r="L4679" s="176"/>
      <c r="M4679" s="177"/>
      <c r="N4679" s="21"/>
      <c r="O4679" s="45"/>
      <c r="P4679" s="24"/>
      <c r="Q4679" s="24"/>
      <c r="R4679" s="180"/>
      <c r="S4679" s="181"/>
      <c r="T4679" s="35"/>
      <c r="U4679" s="35"/>
      <c r="V4679" s="35"/>
      <c r="W4679" s="35"/>
      <c r="X4679" s="35"/>
      <c r="Y4679" s="182"/>
      <c r="Z4679" s="175"/>
      <c r="AA4679" s="182"/>
      <c r="AB4679" s="184"/>
    </row>
    <row r="4680" spans="1:28" ht="12.75">
      <c r="A4680" s="173"/>
      <c r="B4680" s="174"/>
      <c r="C4680" s="11"/>
      <c r="D4680" s="175"/>
      <c r="E4680" s="176"/>
      <c r="F4680" s="177"/>
      <c r="G4680" s="178"/>
      <c r="H4680" s="177"/>
      <c r="I4680" s="177"/>
      <c r="J4680" s="179"/>
      <c r="K4680" s="183"/>
      <c r="L4680" s="176"/>
      <c r="M4680" s="177"/>
      <c r="N4680" s="21"/>
      <c r="O4680" s="45"/>
      <c r="P4680" s="24"/>
      <c r="Q4680" s="24"/>
      <c r="R4680" s="180"/>
      <c r="S4680" s="181"/>
      <c r="T4680" s="35"/>
      <c r="U4680" s="35"/>
      <c r="V4680" s="35"/>
      <c r="W4680" s="35"/>
      <c r="X4680" s="35"/>
      <c r="Y4680" s="182"/>
      <c r="Z4680" s="175"/>
      <c r="AA4680" s="182"/>
      <c r="AB4680" s="184"/>
    </row>
    <row r="4681" spans="1:28" ht="12.75">
      <c r="A4681" s="173"/>
      <c r="B4681" s="174"/>
      <c r="C4681" s="11"/>
      <c r="D4681" s="175"/>
      <c r="E4681" s="176"/>
      <c r="F4681" s="177"/>
      <c r="G4681" s="178"/>
      <c r="H4681" s="177"/>
      <c r="I4681" s="177"/>
      <c r="J4681" s="179"/>
      <c r="K4681" s="183"/>
      <c r="L4681" s="176"/>
      <c r="M4681" s="177"/>
      <c r="N4681" s="21"/>
      <c r="O4681" s="45"/>
      <c r="P4681" s="24"/>
      <c r="Q4681" s="24"/>
      <c r="R4681" s="180"/>
      <c r="S4681" s="181"/>
      <c r="T4681" s="35"/>
      <c r="U4681" s="35"/>
      <c r="V4681" s="35"/>
      <c r="W4681" s="35"/>
      <c r="X4681" s="35"/>
      <c r="Y4681" s="182"/>
      <c r="Z4681" s="175"/>
      <c r="AA4681" s="182"/>
      <c r="AB4681" s="184"/>
    </row>
    <row r="4682" spans="1:28" ht="12.75">
      <c r="A4682" s="173"/>
      <c r="B4682" s="174"/>
      <c r="C4682" s="11"/>
      <c r="D4682" s="175"/>
      <c r="E4682" s="176"/>
      <c r="F4682" s="177"/>
      <c r="G4682" s="178"/>
      <c r="H4682" s="177"/>
      <c r="I4682" s="177"/>
      <c r="J4682" s="179"/>
      <c r="K4682" s="183"/>
      <c r="L4682" s="176"/>
      <c r="M4682" s="177"/>
      <c r="N4682" s="21"/>
      <c r="O4682" s="45"/>
      <c r="P4682" s="24"/>
      <c r="Q4682" s="24"/>
      <c r="R4682" s="180"/>
      <c r="S4682" s="181"/>
      <c r="T4682" s="35"/>
      <c r="U4682" s="35"/>
      <c r="V4682" s="35"/>
      <c r="W4682" s="35"/>
      <c r="X4682" s="35"/>
      <c r="Y4682" s="182"/>
      <c r="Z4682" s="175"/>
      <c r="AA4682" s="182"/>
      <c r="AB4682" s="184"/>
    </row>
    <row r="4683" spans="1:28" ht="12.75">
      <c r="A4683" s="173"/>
      <c r="B4683" s="174"/>
      <c r="C4683" s="11"/>
      <c r="D4683" s="175"/>
      <c r="E4683" s="176"/>
      <c r="F4683" s="177"/>
      <c r="G4683" s="178"/>
      <c r="H4683" s="177"/>
      <c r="I4683" s="177"/>
      <c r="J4683" s="179"/>
      <c r="K4683" s="183"/>
      <c r="L4683" s="176"/>
      <c r="M4683" s="177"/>
      <c r="N4683" s="21"/>
      <c r="O4683" s="45"/>
      <c r="P4683" s="24"/>
      <c r="Q4683" s="24"/>
      <c r="R4683" s="180"/>
      <c r="S4683" s="181"/>
      <c r="T4683" s="35"/>
      <c r="U4683" s="35"/>
      <c r="V4683" s="35"/>
      <c r="W4683" s="35"/>
      <c r="X4683" s="35"/>
      <c r="Y4683" s="182"/>
      <c r="Z4683" s="175"/>
      <c r="AA4683" s="182"/>
      <c r="AB4683" s="184"/>
    </row>
    <row r="4684" spans="1:28" ht="12.75">
      <c r="A4684" s="173"/>
      <c r="B4684" s="174"/>
      <c r="C4684" s="11"/>
      <c r="D4684" s="175"/>
      <c r="E4684" s="176"/>
      <c r="F4684" s="177"/>
      <c r="G4684" s="178"/>
      <c r="H4684" s="177"/>
      <c r="I4684" s="177"/>
      <c r="J4684" s="179"/>
      <c r="K4684" s="183"/>
      <c r="L4684" s="176"/>
      <c r="M4684" s="177"/>
      <c r="N4684" s="21"/>
      <c r="O4684" s="45"/>
      <c r="P4684" s="24"/>
      <c r="Q4684" s="24"/>
      <c r="R4684" s="180"/>
      <c r="S4684" s="181"/>
      <c r="T4684" s="35"/>
      <c r="U4684" s="35"/>
      <c r="V4684" s="35"/>
      <c r="W4684" s="35"/>
      <c r="X4684" s="35"/>
      <c r="Y4684" s="182"/>
      <c r="Z4684" s="175"/>
      <c r="AA4684" s="182"/>
      <c r="AB4684" s="184"/>
    </row>
    <row r="4685" spans="1:28" ht="12.75">
      <c r="A4685" s="173"/>
      <c r="B4685" s="174"/>
      <c r="C4685" s="11"/>
      <c r="D4685" s="175"/>
      <c r="E4685" s="176"/>
      <c r="F4685" s="177"/>
      <c r="G4685" s="178"/>
      <c r="H4685" s="177"/>
      <c r="I4685" s="177"/>
      <c r="J4685" s="179"/>
      <c r="K4685" s="183"/>
      <c r="L4685" s="176"/>
      <c r="M4685" s="177"/>
      <c r="N4685" s="21"/>
      <c r="O4685" s="45"/>
      <c r="P4685" s="24"/>
      <c r="Q4685" s="24"/>
      <c r="R4685" s="180"/>
      <c r="S4685" s="181"/>
      <c r="T4685" s="35"/>
      <c r="U4685" s="35"/>
      <c r="V4685" s="35"/>
      <c r="W4685" s="35"/>
      <c r="X4685" s="35"/>
      <c r="Y4685" s="182"/>
      <c r="Z4685" s="175"/>
      <c r="AA4685" s="182"/>
      <c r="AB4685" s="184"/>
    </row>
    <row r="4686" spans="1:28" ht="12.75">
      <c r="A4686" s="173"/>
      <c r="B4686" s="174"/>
      <c r="C4686" s="11"/>
      <c r="D4686" s="175"/>
      <c r="E4686" s="176"/>
      <c r="F4686" s="177"/>
      <c r="G4686" s="178"/>
      <c r="H4686" s="177"/>
      <c r="I4686" s="177"/>
      <c r="J4686" s="179"/>
      <c r="K4686" s="183"/>
      <c r="L4686" s="176"/>
      <c r="M4686" s="177"/>
      <c r="N4686" s="21"/>
      <c r="O4686" s="45"/>
      <c r="P4686" s="24"/>
      <c r="Q4686" s="24"/>
      <c r="R4686" s="180"/>
      <c r="S4686" s="181"/>
      <c r="T4686" s="35"/>
      <c r="U4686" s="35"/>
      <c r="V4686" s="35"/>
      <c r="W4686" s="35"/>
      <c r="X4686" s="35"/>
      <c r="Y4686" s="182"/>
      <c r="Z4686" s="175"/>
      <c r="AA4686" s="182"/>
      <c r="AB4686" s="184"/>
    </row>
    <row r="4687" spans="1:28" ht="12.75">
      <c r="A4687" s="173"/>
      <c r="B4687" s="174"/>
      <c r="C4687" s="11"/>
      <c r="D4687" s="175"/>
      <c r="E4687" s="176"/>
      <c r="F4687" s="177"/>
      <c r="G4687" s="178"/>
      <c r="H4687" s="177"/>
      <c r="I4687" s="177"/>
      <c r="J4687" s="179"/>
      <c r="K4687" s="183"/>
      <c r="L4687" s="176"/>
      <c r="M4687" s="177"/>
      <c r="N4687" s="21"/>
      <c r="O4687" s="45"/>
      <c r="P4687" s="24"/>
      <c r="Q4687" s="24"/>
      <c r="R4687" s="180"/>
      <c r="S4687" s="181"/>
      <c r="T4687" s="35"/>
      <c r="U4687" s="35"/>
      <c r="V4687" s="35"/>
      <c r="W4687" s="35"/>
      <c r="X4687" s="35"/>
      <c r="Y4687" s="182"/>
      <c r="Z4687" s="175"/>
      <c r="AA4687" s="182"/>
      <c r="AB4687" s="184"/>
    </row>
    <row r="4688" spans="1:28" ht="12.75">
      <c r="A4688" s="173"/>
      <c r="B4688" s="174"/>
      <c r="C4688" s="11"/>
      <c r="D4688" s="175"/>
      <c r="E4688" s="176"/>
      <c r="F4688" s="177"/>
      <c r="G4688" s="178"/>
      <c r="H4688" s="177"/>
      <c r="I4688" s="177"/>
      <c r="J4688" s="179"/>
      <c r="K4688" s="183"/>
      <c r="L4688" s="176"/>
      <c r="M4688" s="177"/>
      <c r="N4688" s="21"/>
      <c r="O4688" s="45"/>
      <c r="P4688" s="24"/>
      <c r="Q4688" s="24"/>
      <c r="R4688" s="180"/>
      <c r="S4688" s="181"/>
      <c r="T4688" s="35"/>
      <c r="U4688" s="35"/>
      <c r="V4688" s="35"/>
      <c r="W4688" s="35"/>
      <c r="X4688" s="35"/>
      <c r="Y4688" s="182"/>
      <c r="Z4688" s="175"/>
      <c r="AA4688" s="182"/>
      <c r="AB4688" s="184"/>
    </row>
    <row r="4689" spans="1:28" ht="12.75">
      <c r="A4689" s="173"/>
      <c r="B4689" s="174"/>
      <c r="C4689" s="11"/>
      <c r="D4689" s="175"/>
      <c r="E4689" s="176"/>
      <c r="F4689" s="177"/>
      <c r="G4689" s="178"/>
      <c r="H4689" s="177"/>
      <c r="I4689" s="177"/>
      <c r="J4689" s="179"/>
      <c r="K4689" s="183"/>
      <c r="L4689" s="176"/>
      <c r="M4689" s="177"/>
      <c r="N4689" s="21"/>
      <c r="O4689" s="45"/>
      <c r="P4689" s="24"/>
      <c r="Q4689" s="24"/>
      <c r="R4689" s="180"/>
      <c r="S4689" s="181"/>
      <c r="T4689" s="35"/>
      <c r="U4689" s="35"/>
      <c r="V4689" s="35"/>
      <c r="W4689" s="35"/>
      <c r="X4689" s="35"/>
      <c r="Y4689" s="182"/>
      <c r="Z4689" s="175"/>
      <c r="AA4689" s="182"/>
      <c r="AB4689" s="184"/>
    </row>
    <row r="4690" spans="1:28" ht="12.75">
      <c r="A4690" s="173"/>
      <c r="B4690" s="174"/>
      <c r="C4690" s="11"/>
      <c r="D4690" s="175"/>
      <c r="E4690" s="176"/>
      <c r="F4690" s="177"/>
      <c r="G4690" s="178"/>
      <c r="H4690" s="177"/>
      <c r="I4690" s="177"/>
      <c r="J4690" s="179"/>
      <c r="K4690" s="183"/>
      <c r="L4690" s="176"/>
      <c r="M4690" s="177"/>
      <c r="N4690" s="21"/>
      <c r="O4690" s="45"/>
      <c r="P4690" s="24"/>
      <c r="Q4690" s="24"/>
      <c r="R4690" s="180"/>
      <c r="S4690" s="181"/>
      <c r="T4690" s="35"/>
      <c r="U4690" s="35"/>
      <c r="V4690" s="35"/>
      <c r="W4690" s="35"/>
      <c r="X4690" s="35"/>
      <c r="Y4690" s="182"/>
      <c r="Z4690" s="175"/>
      <c r="AA4690" s="182"/>
      <c r="AB4690" s="184"/>
    </row>
    <row r="4691" spans="1:28" ht="12.75">
      <c r="A4691" s="173"/>
      <c r="B4691" s="174"/>
      <c r="C4691" s="11"/>
      <c r="D4691" s="175"/>
      <c r="E4691" s="176"/>
      <c r="F4691" s="177"/>
      <c r="G4691" s="178"/>
      <c r="H4691" s="177"/>
      <c r="I4691" s="177"/>
      <c r="J4691" s="179"/>
      <c r="K4691" s="183"/>
      <c r="L4691" s="176"/>
      <c r="M4691" s="177"/>
      <c r="N4691" s="21"/>
      <c r="O4691" s="45"/>
      <c r="P4691" s="24"/>
      <c r="Q4691" s="24"/>
      <c r="R4691" s="180"/>
      <c r="S4691" s="181"/>
      <c r="T4691" s="35"/>
      <c r="U4691" s="35"/>
      <c r="V4691" s="35"/>
      <c r="W4691" s="35"/>
      <c r="X4691" s="35"/>
      <c r="Y4691" s="182"/>
      <c r="Z4691" s="175"/>
      <c r="AA4691" s="182"/>
      <c r="AB4691" s="184"/>
    </row>
    <row r="4692" spans="1:28" ht="12.75">
      <c r="A4692" s="173"/>
      <c r="B4692" s="174"/>
      <c r="C4692" s="11"/>
      <c r="D4692" s="175"/>
      <c r="E4692" s="176"/>
      <c r="F4692" s="177"/>
      <c r="G4692" s="178"/>
      <c r="H4692" s="177"/>
      <c r="I4692" s="177"/>
      <c r="J4692" s="179"/>
      <c r="K4692" s="183"/>
      <c r="L4692" s="176"/>
      <c r="M4692" s="177"/>
      <c r="N4692" s="21"/>
      <c r="O4692" s="45"/>
      <c r="P4692" s="24"/>
      <c r="Q4692" s="24"/>
      <c r="R4692" s="180"/>
      <c r="S4692" s="181"/>
      <c r="T4692" s="35"/>
      <c r="U4692" s="35"/>
      <c r="V4692" s="35"/>
      <c r="W4692" s="35"/>
      <c r="X4692" s="35"/>
      <c r="Y4692" s="182"/>
      <c r="Z4692" s="175"/>
      <c r="AA4692" s="182"/>
      <c r="AB4692" s="184"/>
    </row>
    <row r="4693" spans="1:28" ht="12.75">
      <c r="A4693" s="173"/>
      <c r="B4693" s="174"/>
      <c r="C4693" s="11"/>
      <c r="D4693" s="175"/>
      <c r="E4693" s="176"/>
      <c r="F4693" s="177"/>
      <c r="G4693" s="178"/>
      <c r="H4693" s="177"/>
      <c r="I4693" s="177"/>
      <c r="J4693" s="179"/>
      <c r="K4693" s="183"/>
      <c r="L4693" s="176"/>
      <c r="M4693" s="177"/>
      <c r="N4693" s="21"/>
      <c r="O4693" s="45"/>
      <c r="P4693" s="24"/>
      <c r="Q4693" s="24"/>
      <c r="R4693" s="180"/>
      <c r="S4693" s="181"/>
      <c r="T4693" s="35"/>
      <c r="U4693" s="35"/>
      <c r="V4693" s="35"/>
      <c r="W4693" s="35"/>
      <c r="X4693" s="35"/>
      <c r="Y4693" s="182"/>
      <c r="Z4693" s="175"/>
      <c r="AA4693" s="182"/>
      <c r="AB4693" s="184"/>
    </row>
    <row r="4694" spans="1:28" ht="12.75">
      <c r="A4694" s="173"/>
      <c r="B4694" s="174"/>
      <c r="C4694" s="11"/>
      <c r="D4694" s="175"/>
      <c r="E4694" s="176"/>
      <c r="F4694" s="177"/>
      <c r="G4694" s="178"/>
      <c r="H4694" s="177"/>
      <c r="I4694" s="177"/>
      <c r="J4694" s="179"/>
      <c r="K4694" s="183"/>
      <c r="L4694" s="176"/>
      <c r="M4694" s="177"/>
      <c r="N4694" s="21"/>
      <c r="O4694" s="45"/>
      <c r="P4694" s="24"/>
      <c r="Q4694" s="24"/>
      <c r="R4694" s="180"/>
      <c r="S4694" s="181"/>
      <c r="T4694" s="35"/>
      <c r="U4694" s="35"/>
      <c r="V4694" s="35"/>
      <c r="W4694" s="35"/>
      <c r="X4694" s="35"/>
      <c r="Y4694" s="182"/>
      <c r="Z4694" s="175"/>
      <c r="AA4694" s="182"/>
      <c r="AB4694" s="184"/>
    </row>
    <row r="4695" spans="1:28" ht="12.75">
      <c r="A4695" s="173"/>
      <c r="B4695" s="174"/>
      <c r="C4695" s="11"/>
      <c r="D4695" s="175"/>
      <c r="E4695" s="176"/>
      <c r="F4695" s="177"/>
      <c r="G4695" s="178"/>
      <c r="H4695" s="177"/>
      <c r="I4695" s="177"/>
      <c r="J4695" s="179"/>
      <c r="K4695" s="183"/>
      <c r="L4695" s="176"/>
      <c r="M4695" s="177"/>
      <c r="N4695" s="21"/>
      <c r="O4695" s="45"/>
      <c r="P4695" s="24"/>
      <c r="Q4695" s="24"/>
      <c r="R4695" s="180"/>
      <c r="S4695" s="181"/>
      <c r="T4695" s="35"/>
      <c r="U4695" s="35"/>
      <c r="V4695" s="35"/>
      <c r="W4695" s="35"/>
      <c r="X4695" s="35"/>
      <c r="Y4695" s="182"/>
      <c r="Z4695" s="175"/>
      <c r="AA4695" s="182"/>
      <c r="AB4695" s="184"/>
    </row>
    <row r="4696" spans="1:28" ht="12.75">
      <c r="A4696" s="173"/>
      <c r="B4696" s="174"/>
      <c r="C4696" s="11"/>
      <c r="D4696" s="175"/>
      <c r="E4696" s="176"/>
      <c r="F4696" s="177"/>
      <c r="G4696" s="178"/>
      <c r="H4696" s="177"/>
      <c r="I4696" s="177"/>
      <c r="J4696" s="179"/>
      <c r="K4696" s="183"/>
      <c r="L4696" s="176"/>
      <c r="M4696" s="177"/>
      <c r="N4696" s="21"/>
      <c r="O4696" s="45"/>
      <c r="P4696" s="24"/>
      <c r="Q4696" s="24"/>
      <c r="R4696" s="180"/>
      <c r="S4696" s="181"/>
      <c r="T4696" s="35"/>
      <c r="U4696" s="35"/>
      <c r="V4696" s="35"/>
      <c r="W4696" s="35"/>
      <c r="X4696" s="35"/>
      <c r="Y4696" s="182"/>
      <c r="Z4696" s="175"/>
      <c r="AA4696" s="182"/>
      <c r="AB4696" s="184"/>
    </row>
    <row r="4697" spans="1:28" ht="12.75">
      <c r="A4697" s="173"/>
      <c r="B4697" s="174"/>
      <c r="C4697" s="11"/>
      <c r="D4697" s="175"/>
      <c r="E4697" s="176"/>
      <c r="F4697" s="177"/>
      <c r="G4697" s="178"/>
      <c r="H4697" s="177"/>
      <c r="I4697" s="177"/>
      <c r="J4697" s="179"/>
      <c r="K4697" s="183"/>
      <c r="L4697" s="176"/>
      <c r="M4697" s="177"/>
      <c r="N4697" s="21"/>
      <c r="O4697" s="45"/>
      <c r="P4697" s="24"/>
      <c r="Q4697" s="24"/>
      <c r="R4697" s="180"/>
      <c r="S4697" s="181"/>
      <c r="T4697" s="35"/>
      <c r="U4697" s="35"/>
      <c r="V4697" s="35"/>
      <c r="W4697" s="35"/>
      <c r="X4697" s="35"/>
      <c r="Y4697" s="182"/>
      <c r="Z4697" s="175"/>
      <c r="AA4697" s="182"/>
      <c r="AB4697" s="184"/>
    </row>
    <row r="4698" spans="1:28" ht="12.75">
      <c r="A4698" s="173"/>
      <c r="B4698" s="174"/>
      <c r="C4698" s="11"/>
      <c r="D4698" s="175"/>
      <c r="E4698" s="176"/>
      <c r="F4698" s="177"/>
      <c r="G4698" s="178"/>
      <c r="H4698" s="177"/>
      <c r="I4698" s="177"/>
      <c r="J4698" s="179"/>
      <c r="K4698" s="183"/>
      <c r="L4698" s="176"/>
      <c r="M4698" s="177"/>
      <c r="N4698" s="21"/>
      <c r="O4698" s="45"/>
      <c r="P4698" s="24"/>
      <c r="Q4698" s="24"/>
      <c r="R4698" s="180"/>
      <c r="S4698" s="181"/>
      <c r="T4698" s="35"/>
      <c r="U4698" s="35"/>
      <c r="V4698" s="35"/>
      <c r="W4698" s="35"/>
      <c r="X4698" s="35"/>
      <c r="Y4698" s="182"/>
      <c r="Z4698" s="175"/>
      <c r="AA4698" s="182"/>
      <c r="AB4698" s="184"/>
    </row>
    <row r="4699" spans="1:28" ht="12.75">
      <c r="A4699" s="173"/>
      <c r="B4699" s="174"/>
      <c r="C4699" s="11"/>
      <c r="D4699" s="175"/>
      <c r="E4699" s="176"/>
      <c r="F4699" s="177"/>
      <c r="G4699" s="178"/>
      <c r="H4699" s="177"/>
      <c r="I4699" s="177"/>
      <c r="J4699" s="179"/>
      <c r="K4699" s="183"/>
      <c r="L4699" s="176"/>
      <c r="M4699" s="177"/>
      <c r="N4699" s="21"/>
      <c r="O4699" s="45"/>
      <c r="P4699" s="24"/>
      <c r="Q4699" s="24"/>
      <c r="R4699" s="180"/>
      <c r="S4699" s="181"/>
      <c r="T4699" s="35"/>
      <c r="U4699" s="35"/>
      <c r="V4699" s="35"/>
      <c r="W4699" s="35"/>
      <c r="X4699" s="35"/>
      <c r="Y4699" s="182"/>
      <c r="Z4699" s="175"/>
      <c r="AA4699" s="182"/>
      <c r="AB4699" s="184"/>
    </row>
    <row r="4700" spans="1:28" ht="12.75">
      <c r="A4700" s="173"/>
      <c r="B4700" s="174"/>
      <c r="C4700" s="11"/>
      <c r="D4700" s="175"/>
      <c r="E4700" s="176"/>
      <c r="F4700" s="177"/>
      <c r="G4700" s="178"/>
      <c r="H4700" s="177"/>
      <c r="I4700" s="177"/>
      <c r="J4700" s="179"/>
      <c r="K4700" s="183"/>
      <c r="L4700" s="176"/>
      <c r="M4700" s="177"/>
      <c r="N4700" s="21"/>
      <c r="O4700" s="45"/>
      <c r="P4700" s="24"/>
      <c r="Q4700" s="24"/>
      <c r="R4700" s="180"/>
      <c r="S4700" s="181"/>
      <c r="T4700" s="35"/>
      <c r="U4700" s="35"/>
      <c r="V4700" s="35"/>
      <c r="W4700" s="35"/>
      <c r="X4700" s="35"/>
      <c r="Y4700" s="182"/>
      <c r="Z4700" s="175"/>
      <c r="AA4700" s="182"/>
      <c r="AB4700" s="184"/>
    </row>
    <row r="4701" spans="1:28" ht="12.75">
      <c r="A4701" s="173"/>
      <c r="B4701" s="174"/>
      <c r="C4701" s="11"/>
      <c r="D4701" s="175"/>
      <c r="E4701" s="176"/>
      <c r="F4701" s="177"/>
      <c r="G4701" s="178"/>
      <c r="H4701" s="177"/>
      <c r="I4701" s="177"/>
      <c r="J4701" s="179"/>
      <c r="K4701" s="183"/>
      <c r="L4701" s="176"/>
      <c r="M4701" s="177"/>
      <c r="N4701" s="21"/>
      <c r="O4701" s="45"/>
      <c r="P4701" s="24"/>
      <c r="Q4701" s="24"/>
      <c r="R4701" s="180"/>
      <c r="S4701" s="181"/>
      <c r="T4701" s="35"/>
      <c r="U4701" s="35"/>
      <c r="V4701" s="35"/>
      <c r="W4701" s="35"/>
      <c r="X4701" s="35"/>
      <c r="Y4701" s="182"/>
      <c r="Z4701" s="175"/>
      <c r="AA4701" s="182"/>
      <c r="AB4701" s="184"/>
    </row>
    <row r="4702" spans="1:28" ht="12.75">
      <c r="A4702" s="173"/>
      <c r="B4702" s="174"/>
      <c r="C4702" s="11"/>
      <c r="D4702" s="175"/>
      <c r="E4702" s="176"/>
      <c r="F4702" s="177"/>
      <c r="G4702" s="178"/>
      <c r="H4702" s="177"/>
      <c r="I4702" s="177"/>
      <c r="J4702" s="179"/>
      <c r="K4702" s="183"/>
      <c r="L4702" s="176"/>
      <c r="M4702" s="177"/>
      <c r="N4702" s="21"/>
      <c r="O4702" s="45"/>
      <c r="P4702" s="24"/>
      <c r="Q4702" s="24"/>
      <c r="R4702" s="180"/>
      <c r="S4702" s="181"/>
      <c r="T4702" s="35"/>
      <c r="U4702" s="35"/>
      <c r="V4702" s="35"/>
      <c r="W4702" s="35"/>
      <c r="X4702" s="35"/>
      <c r="Y4702" s="182"/>
      <c r="Z4702" s="175"/>
      <c r="AA4702" s="182"/>
      <c r="AB4702" s="184"/>
    </row>
    <row r="4703" spans="1:28" ht="12.75">
      <c r="A4703" s="173"/>
      <c r="B4703" s="174"/>
      <c r="C4703" s="11"/>
      <c r="D4703" s="175"/>
      <c r="E4703" s="176"/>
      <c r="F4703" s="177"/>
      <c r="G4703" s="178"/>
      <c r="H4703" s="177"/>
      <c r="I4703" s="177"/>
      <c r="J4703" s="179"/>
      <c r="K4703" s="183"/>
      <c r="L4703" s="176"/>
      <c r="M4703" s="177"/>
      <c r="N4703" s="21"/>
      <c r="O4703" s="45"/>
      <c r="P4703" s="24"/>
      <c r="Q4703" s="24"/>
      <c r="R4703" s="180"/>
      <c r="S4703" s="181"/>
      <c r="T4703" s="35"/>
      <c r="U4703" s="35"/>
      <c r="V4703" s="35"/>
      <c r="W4703" s="35"/>
      <c r="X4703" s="35"/>
      <c r="Y4703" s="182"/>
      <c r="Z4703" s="175"/>
      <c r="AA4703" s="182"/>
      <c r="AB4703" s="184"/>
    </row>
    <row r="4704" spans="1:28" ht="12.75">
      <c r="A4704" s="173"/>
      <c r="B4704" s="174"/>
      <c r="C4704" s="11"/>
      <c r="D4704" s="175"/>
      <c r="E4704" s="176"/>
      <c r="F4704" s="177"/>
      <c r="G4704" s="178"/>
      <c r="H4704" s="177"/>
      <c r="I4704" s="177"/>
      <c r="J4704" s="179"/>
      <c r="K4704" s="183"/>
      <c r="L4704" s="176"/>
      <c r="M4704" s="177"/>
      <c r="N4704" s="21"/>
      <c r="O4704" s="45"/>
      <c r="P4704" s="24"/>
      <c r="Q4704" s="24"/>
      <c r="R4704" s="180"/>
      <c r="S4704" s="181"/>
      <c r="T4704" s="35"/>
      <c r="U4704" s="35"/>
      <c r="V4704" s="35"/>
      <c r="W4704" s="35"/>
      <c r="X4704" s="35"/>
      <c r="Y4704" s="182"/>
      <c r="Z4704" s="175"/>
      <c r="AA4704" s="182"/>
      <c r="AB4704" s="184"/>
    </row>
    <row r="4705" spans="1:28" ht="12.75">
      <c r="A4705" s="173"/>
      <c r="B4705" s="174"/>
      <c r="C4705" s="11"/>
      <c r="D4705" s="175"/>
      <c r="E4705" s="176"/>
      <c r="F4705" s="177"/>
      <c r="G4705" s="178"/>
      <c r="H4705" s="177"/>
      <c r="I4705" s="177"/>
      <c r="J4705" s="179"/>
      <c r="K4705" s="183"/>
      <c r="L4705" s="176"/>
      <c r="M4705" s="177"/>
      <c r="N4705" s="21"/>
      <c r="O4705" s="45"/>
      <c r="P4705" s="24"/>
      <c r="Q4705" s="24"/>
      <c r="R4705" s="180"/>
      <c r="S4705" s="181"/>
      <c r="T4705" s="35"/>
      <c r="U4705" s="35"/>
      <c r="V4705" s="35"/>
      <c r="W4705" s="35"/>
      <c r="X4705" s="35"/>
      <c r="Y4705" s="182"/>
      <c r="Z4705" s="175"/>
      <c r="AA4705" s="182"/>
      <c r="AB4705" s="184"/>
    </row>
    <row r="4706" spans="1:28" ht="12.75">
      <c r="A4706" s="173"/>
      <c r="B4706" s="174"/>
      <c r="C4706" s="11"/>
      <c r="D4706" s="175"/>
      <c r="E4706" s="176"/>
      <c r="F4706" s="177"/>
      <c r="G4706" s="178"/>
      <c r="H4706" s="177"/>
      <c r="I4706" s="177"/>
      <c r="J4706" s="179"/>
      <c r="K4706" s="183"/>
      <c r="L4706" s="176"/>
      <c r="M4706" s="177"/>
      <c r="N4706" s="21"/>
      <c r="O4706" s="45"/>
      <c r="P4706" s="24"/>
      <c r="Q4706" s="24"/>
      <c r="R4706" s="180"/>
      <c r="S4706" s="181"/>
      <c r="T4706" s="35"/>
      <c r="U4706" s="35"/>
      <c r="V4706" s="35"/>
      <c r="W4706" s="35"/>
      <c r="X4706" s="35"/>
      <c r="Y4706" s="182"/>
      <c r="Z4706" s="175"/>
      <c r="AA4706" s="182"/>
      <c r="AB4706" s="184"/>
    </row>
    <row r="4707" spans="1:28" ht="12.75">
      <c r="A4707" s="173"/>
      <c r="B4707" s="174"/>
      <c r="C4707" s="11"/>
      <c r="D4707" s="175"/>
      <c r="E4707" s="176"/>
      <c r="F4707" s="177"/>
      <c r="G4707" s="178"/>
      <c r="H4707" s="177"/>
      <c r="I4707" s="177"/>
      <c r="J4707" s="179"/>
      <c r="K4707" s="183"/>
      <c r="L4707" s="176"/>
      <c r="M4707" s="177"/>
      <c r="N4707" s="21"/>
      <c r="O4707" s="45"/>
      <c r="P4707" s="24"/>
      <c r="Q4707" s="24"/>
      <c r="R4707" s="180"/>
      <c r="S4707" s="181"/>
      <c r="T4707" s="35"/>
      <c r="U4707" s="35"/>
      <c r="V4707" s="35"/>
      <c r="W4707" s="35"/>
      <c r="X4707" s="35"/>
      <c r="Y4707" s="182"/>
      <c r="Z4707" s="175"/>
      <c r="AA4707" s="182"/>
      <c r="AB4707" s="184"/>
    </row>
    <row r="4708" spans="1:28" ht="12.75">
      <c r="A4708" s="173"/>
      <c r="B4708" s="174"/>
      <c r="C4708" s="11"/>
      <c r="D4708" s="175"/>
      <c r="E4708" s="176"/>
      <c r="F4708" s="177"/>
      <c r="G4708" s="178"/>
      <c r="H4708" s="177"/>
      <c r="I4708" s="177"/>
      <c r="J4708" s="179"/>
      <c r="K4708" s="183"/>
      <c r="L4708" s="176"/>
      <c r="M4708" s="177"/>
      <c r="N4708" s="21"/>
      <c r="O4708" s="45"/>
      <c r="P4708" s="24"/>
      <c r="Q4708" s="24"/>
      <c r="R4708" s="180"/>
      <c r="S4708" s="181"/>
      <c r="T4708" s="35"/>
      <c r="U4708" s="35"/>
      <c r="V4708" s="35"/>
      <c r="W4708" s="35"/>
      <c r="X4708" s="35"/>
      <c r="Y4708" s="182"/>
      <c r="Z4708" s="175"/>
      <c r="AA4708" s="182"/>
      <c r="AB4708" s="184"/>
    </row>
    <row r="4709" spans="1:28" ht="12.75">
      <c r="A4709" s="173"/>
      <c r="B4709" s="174"/>
      <c r="C4709" s="11"/>
      <c r="D4709" s="175"/>
      <c r="E4709" s="176"/>
      <c r="F4709" s="177"/>
      <c r="G4709" s="178"/>
      <c r="H4709" s="177"/>
      <c r="I4709" s="177"/>
      <c r="J4709" s="179"/>
      <c r="K4709" s="183"/>
      <c r="L4709" s="176"/>
      <c r="M4709" s="177"/>
      <c r="N4709" s="21"/>
      <c r="O4709" s="45"/>
      <c r="P4709" s="24"/>
      <c r="Q4709" s="24"/>
      <c r="R4709" s="180"/>
      <c r="S4709" s="181"/>
      <c r="T4709" s="35"/>
      <c r="U4709" s="35"/>
      <c r="V4709" s="35"/>
      <c r="W4709" s="35"/>
      <c r="X4709" s="35"/>
      <c r="Y4709" s="182"/>
      <c r="Z4709" s="175"/>
      <c r="AA4709" s="182"/>
      <c r="AB4709" s="184"/>
    </row>
    <row r="4710" spans="1:28" ht="12.75">
      <c r="A4710" s="173"/>
      <c r="B4710" s="174"/>
      <c r="C4710" s="11"/>
      <c r="D4710" s="175"/>
      <c r="E4710" s="176"/>
      <c r="F4710" s="177"/>
      <c r="G4710" s="178"/>
      <c r="H4710" s="177"/>
      <c r="I4710" s="177"/>
      <c r="J4710" s="179"/>
      <c r="K4710" s="183"/>
      <c r="L4710" s="176"/>
      <c r="M4710" s="177"/>
      <c r="N4710" s="21"/>
      <c r="O4710" s="45"/>
      <c r="P4710" s="24"/>
      <c r="Q4710" s="24"/>
      <c r="R4710" s="180"/>
      <c r="S4710" s="181"/>
      <c r="T4710" s="35"/>
      <c r="U4710" s="35"/>
      <c r="V4710" s="35"/>
      <c r="W4710" s="35"/>
      <c r="X4710" s="35"/>
      <c r="Y4710" s="182"/>
      <c r="Z4710" s="175"/>
      <c r="AA4710" s="182"/>
      <c r="AB4710" s="184"/>
    </row>
    <row r="4711" spans="1:28" ht="12.75">
      <c r="A4711" s="173"/>
      <c r="B4711" s="174"/>
      <c r="C4711" s="11"/>
      <c r="D4711" s="175"/>
      <c r="E4711" s="176"/>
      <c r="F4711" s="177"/>
      <c r="G4711" s="178"/>
      <c r="H4711" s="177"/>
      <c r="I4711" s="177"/>
      <c r="J4711" s="179"/>
      <c r="K4711" s="183"/>
      <c r="L4711" s="176"/>
      <c r="M4711" s="177"/>
      <c r="N4711" s="21"/>
      <c r="O4711" s="45"/>
      <c r="P4711" s="24"/>
      <c r="Q4711" s="24"/>
      <c r="R4711" s="180"/>
      <c r="S4711" s="181"/>
      <c r="T4711" s="35"/>
      <c r="U4711" s="35"/>
      <c r="V4711" s="35"/>
      <c r="W4711" s="35"/>
      <c r="X4711" s="35"/>
      <c r="Y4711" s="182"/>
      <c r="Z4711" s="175"/>
      <c r="AA4711" s="182"/>
      <c r="AB4711" s="184"/>
    </row>
    <row r="4712" spans="1:28" ht="12.75">
      <c r="A4712" s="173"/>
      <c r="B4712" s="174"/>
      <c r="C4712" s="11"/>
      <c r="D4712" s="175"/>
      <c r="E4712" s="176"/>
      <c r="F4712" s="177"/>
      <c r="G4712" s="178"/>
      <c r="H4712" s="177"/>
      <c r="I4712" s="177"/>
      <c r="J4712" s="179"/>
      <c r="K4712" s="183"/>
      <c r="L4712" s="176"/>
      <c r="M4712" s="177"/>
      <c r="N4712" s="21"/>
      <c r="O4712" s="45"/>
      <c r="P4712" s="24"/>
      <c r="Q4712" s="24"/>
      <c r="R4712" s="180"/>
      <c r="S4712" s="181"/>
      <c r="T4712" s="35"/>
      <c r="U4712" s="35"/>
      <c r="V4712" s="35"/>
      <c r="W4712" s="35"/>
      <c r="X4712" s="35"/>
      <c r="Y4712" s="182"/>
      <c r="Z4712" s="175"/>
      <c r="AA4712" s="182"/>
      <c r="AB4712" s="184"/>
    </row>
    <row r="4713" spans="1:28" ht="12.75">
      <c r="A4713" s="173"/>
      <c r="B4713" s="174"/>
      <c r="C4713" s="11"/>
      <c r="D4713" s="175"/>
      <c r="E4713" s="176"/>
      <c r="F4713" s="177"/>
      <c r="G4713" s="178"/>
      <c r="H4713" s="177"/>
      <c r="I4713" s="177"/>
      <c r="J4713" s="179"/>
      <c r="K4713" s="183"/>
      <c r="L4713" s="176"/>
      <c r="M4713" s="177"/>
      <c r="N4713" s="21"/>
      <c r="O4713" s="45"/>
      <c r="P4713" s="24"/>
      <c r="Q4713" s="24"/>
      <c r="R4713" s="180"/>
      <c r="S4713" s="181"/>
      <c r="T4713" s="35"/>
      <c r="U4713" s="35"/>
      <c r="V4713" s="35"/>
      <c r="W4713" s="35"/>
      <c r="X4713" s="35"/>
      <c r="Y4713" s="182"/>
      <c r="Z4713" s="175"/>
      <c r="AA4713" s="182"/>
      <c r="AB4713" s="184"/>
    </row>
    <row r="4714" spans="1:28" ht="12.75">
      <c r="A4714" s="173"/>
      <c r="B4714" s="174"/>
      <c r="C4714" s="11"/>
      <c r="D4714" s="175"/>
      <c r="E4714" s="176"/>
      <c r="F4714" s="177"/>
      <c r="G4714" s="178"/>
      <c r="H4714" s="177"/>
      <c r="I4714" s="177"/>
      <c r="J4714" s="179"/>
      <c r="K4714" s="183"/>
      <c r="L4714" s="176"/>
      <c r="M4714" s="177"/>
      <c r="N4714" s="21"/>
      <c r="O4714" s="45"/>
      <c r="P4714" s="24"/>
      <c r="Q4714" s="24"/>
      <c r="R4714" s="180"/>
      <c r="S4714" s="181"/>
      <c r="T4714" s="35"/>
      <c r="U4714" s="35"/>
      <c r="V4714" s="35"/>
      <c r="W4714" s="35"/>
      <c r="X4714" s="35"/>
      <c r="Y4714" s="182"/>
      <c r="Z4714" s="175"/>
      <c r="AA4714" s="182"/>
      <c r="AB4714" s="184"/>
    </row>
    <row r="4715" spans="1:28" ht="12.75">
      <c r="A4715" s="173"/>
      <c r="B4715" s="174"/>
      <c r="C4715" s="11"/>
      <c r="D4715" s="175"/>
      <c r="E4715" s="176"/>
      <c r="F4715" s="177"/>
      <c r="G4715" s="178"/>
      <c r="H4715" s="177"/>
      <c r="I4715" s="177"/>
      <c r="J4715" s="179"/>
      <c r="K4715" s="183"/>
      <c r="L4715" s="176"/>
      <c r="M4715" s="177"/>
      <c r="N4715" s="21"/>
      <c r="O4715" s="45"/>
      <c r="P4715" s="24"/>
      <c r="Q4715" s="24"/>
      <c r="R4715" s="180"/>
      <c r="S4715" s="181"/>
      <c r="T4715" s="35"/>
      <c r="U4715" s="35"/>
      <c r="V4715" s="35"/>
      <c r="W4715" s="35"/>
      <c r="X4715" s="35"/>
      <c r="Y4715" s="182"/>
      <c r="Z4715" s="175"/>
      <c r="AA4715" s="182"/>
      <c r="AB4715" s="184"/>
    </row>
    <row r="4716" spans="1:28" ht="12.75">
      <c r="A4716" s="173"/>
      <c r="B4716" s="174"/>
      <c r="C4716" s="11"/>
      <c r="D4716" s="175"/>
      <c r="E4716" s="176"/>
      <c r="F4716" s="177"/>
      <c r="G4716" s="178"/>
      <c r="H4716" s="177"/>
      <c r="I4716" s="177"/>
      <c r="J4716" s="179"/>
      <c r="K4716" s="183"/>
      <c r="L4716" s="176"/>
      <c r="M4716" s="177"/>
      <c r="N4716" s="21"/>
      <c r="O4716" s="45"/>
      <c r="P4716" s="24"/>
      <c r="Q4716" s="24"/>
      <c r="R4716" s="180"/>
      <c r="S4716" s="181"/>
      <c r="T4716" s="35"/>
      <c r="U4716" s="35"/>
      <c r="V4716" s="35"/>
      <c r="W4716" s="35"/>
      <c r="X4716" s="35"/>
      <c r="Y4716" s="182"/>
      <c r="Z4716" s="175"/>
      <c r="AA4716" s="182"/>
      <c r="AB4716" s="184"/>
    </row>
    <row r="4717" spans="1:28" ht="12.75">
      <c r="A4717" s="173"/>
      <c r="B4717" s="174"/>
      <c r="C4717" s="11"/>
      <c r="D4717" s="175"/>
      <c r="E4717" s="176"/>
      <c r="F4717" s="177"/>
      <c r="G4717" s="178"/>
      <c r="H4717" s="177"/>
      <c r="I4717" s="177"/>
      <c r="J4717" s="179"/>
      <c r="K4717" s="183"/>
      <c r="L4717" s="176"/>
      <c r="M4717" s="177"/>
      <c r="N4717" s="21"/>
      <c r="O4717" s="45"/>
      <c r="P4717" s="24"/>
      <c r="Q4717" s="24"/>
      <c r="R4717" s="180"/>
      <c r="S4717" s="181"/>
      <c r="T4717" s="35"/>
      <c r="U4717" s="35"/>
      <c r="V4717" s="35"/>
      <c r="W4717" s="35"/>
      <c r="X4717" s="35"/>
      <c r="Y4717" s="182"/>
      <c r="Z4717" s="175"/>
      <c r="AA4717" s="182"/>
      <c r="AB4717" s="184"/>
    </row>
    <row r="4718" spans="1:28" ht="12.75">
      <c r="A4718" s="173"/>
      <c r="B4718" s="174"/>
      <c r="C4718" s="11"/>
      <c r="D4718" s="175"/>
      <c r="E4718" s="176"/>
      <c r="F4718" s="177"/>
      <c r="G4718" s="178"/>
      <c r="H4718" s="177"/>
      <c r="I4718" s="177"/>
      <c r="J4718" s="179"/>
      <c r="K4718" s="183"/>
      <c r="L4718" s="176"/>
      <c r="M4718" s="177"/>
      <c r="N4718" s="21"/>
      <c r="O4718" s="45"/>
      <c r="P4718" s="24"/>
      <c r="Q4718" s="24"/>
      <c r="R4718" s="180"/>
      <c r="S4718" s="181"/>
      <c r="T4718" s="35"/>
      <c r="U4718" s="35"/>
      <c r="V4718" s="35"/>
      <c r="W4718" s="35"/>
      <c r="X4718" s="35"/>
      <c r="Y4718" s="182"/>
      <c r="Z4718" s="175"/>
      <c r="AA4718" s="182"/>
      <c r="AB4718" s="184"/>
    </row>
    <row r="4719" spans="1:28" ht="12.75">
      <c r="A4719" s="173"/>
      <c r="B4719" s="174"/>
      <c r="C4719" s="11"/>
      <c r="D4719" s="175"/>
      <c r="E4719" s="176"/>
      <c r="F4719" s="177"/>
      <c r="G4719" s="178"/>
      <c r="H4719" s="177"/>
      <c r="I4719" s="177"/>
      <c r="J4719" s="179"/>
      <c r="K4719" s="183"/>
      <c r="L4719" s="176"/>
      <c r="M4719" s="177"/>
      <c r="N4719" s="21"/>
      <c r="O4719" s="45"/>
      <c r="P4719" s="24"/>
      <c r="Q4719" s="24"/>
      <c r="R4719" s="180"/>
      <c r="S4719" s="181"/>
      <c r="T4719" s="35"/>
      <c r="U4719" s="35"/>
      <c r="V4719" s="35"/>
      <c r="W4719" s="35"/>
      <c r="X4719" s="35"/>
      <c r="Y4719" s="182"/>
      <c r="Z4719" s="175"/>
      <c r="AA4719" s="182"/>
      <c r="AB4719" s="184"/>
    </row>
    <row r="4720" spans="1:28" ht="12.75">
      <c r="A4720" s="173"/>
      <c r="B4720" s="174"/>
      <c r="C4720" s="11"/>
      <c r="D4720" s="175"/>
      <c r="E4720" s="176"/>
      <c r="F4720" s="177"/>
      <c r="G4720" s="178"/>
      <c r="H4720" s="177"/>
      <c r="I4720" s="177"/>
      <c r="J4720" s="179"/>
      <c r="K4720" s="183"/>
      <c r="L4720" s="176"/>
      <c r="M4720" s="177"/>
      <c r="N4720" s="21"/>
      <c r="O4720" s="45"/>
      <c r="P4720" s="24"/>
      <c r="Q4720" s="24"/>
      <c r="R4720" s="180"/>
      <c r="S4720" s="181"/>
      <c r="T4720" s="35"/>
      <c r="U4720" s="35"/>
      <c r="V4720" s="35"/>
      <c r="W4720" s="35"/>
      <c r="X4720" s="35"/>
      <c r="Y4720" s="182"/>
      <c r="Z4720" s="175"/>
      <c r="AA4720" s="182"/>
      <c r="AB4720" s="184"/>
    </row>
    <row r="4721" spans="1:28" ht="12.75">
      <c r="A4721" s="173"/>
      <c r="B4721" s="174"/>
      <c r="C4721" s="11"/>
      <c r="D4721" s="175"/>
      <c r="E4721" s="176"/>
      <c r="F4721" s="177"/>
      <c r="G4721" s="178"/>
      <c r="H4721" s="177"/>
      <c r="I4721" s="177"/>
      <c r="J4721" s="179"/>
      <c r="K4721" s="183"/>
      <c r="L4721" s="176"/>
      <c r="M4721" s="177"/>
      <c r="N4721" s="21"/>
      <c r="O4721" s="45"/>
      <c r="P4721" s="24"/>
      <c r="Q4721" s="24"/>
      <c r="R4721" s="180"/>
      <c r="S4721" s="181"/>
      <c r="T4721" s="35"/>
      <c r="U4721" s="35"/>
      <c r="V4721" s="35"/>
      <c r="W4721" s="35"/>
      <c r="X4721" s="35"/>
      <c r="Y4721" s="182"/>
      <c r="Z4721" s="175"/>
      <c r="AA4721" s="182"/>
      <c r="AB4721" s="184"/>
    </row>
    <row r="4722" spans="1:28" ht="12.75">
      <c r="A4722" s="173"/>
      <c r="B4722" s="174"/>
      <c r="C4722" s="11"/>
      <c r="D4722" s="175"/>
      <c r="E4722" s="176"/>
      <c r="F4722" s="177"/>
      <c r="G4722" s="178"/>
      <c r="H4722" s="177"/>
      <c r="I4722" s="177"/>
      <c r="J4722" s="179"/>
      <c r="K4722" s="183"/>
      <c r="L4722" s="176"/>
      <c r="M4722" s="177"/>
      <c r="N4722" s="21"/>
      <c r="O4722" s="45"/>
      <c r="P4722" s="24"/>
      <c r="Q4722" s="24"/>
      <c r="R4722" s="180"/>
      <c r="S4722" s="181"/>
      <c r="T4722" s="35"/>
      <c r="U4722" s="35"/>
      <c r="V4722" s="35"/>
      <c r="W4722" s="35"/>
      <c r="X4722" s="35"/>
      <c r="Y4722" s="182"/>
      <c r="Z4722" s="175"/>
      <c r="AA4722" s="182"/>
      <c r="AB4722" s="184"/>
    </row>
    <row r="4723" spans="1:28" ht="12.75">
      <c r="A4723" s="173"/>
      <c r="B4723" s="174"/>
      <c r="C4723" s="11"/>
      <c r="D4723" s="175"/>
      <c r="E4723" s="176"/>
      <c r="F4723" s="177"/>
      <c r="G4723" s="178"/>
      <c r="H4723" s="177"/>
      <c r="I4723" s="177"/>
      <c r="J4723" s="179"/>
      <c r="K4723" s="183"/>
      <c r="L4723" s="176"/>
      <c r="M4723" s="177"/>
      <c r="N4723" s="21"/>
      <c r="O4723" s="45"/>
      <c r="P4723" s="24"/>
      <c r="Q4723" s="24"/>
      <c r="R4723" s="180"/>
      <c r="S4723" s="181"/>
      <c r="T4723" s="35"/>
      <c r="U4723" s="35"/>
      <c r="V4723" s="35"/>
      <c r="W4723" s="35"/>
      <c r="X4723" s="35"/>
      <c r="Y4723" s="182"/>
      <c r="Z4723" s="175"/>
      <c r="AA4723" s="182"/>
      <c r="AB4723" s="184"/>
    </row>
    <row r="4724" spans="1:28" ht="12.75">
      <c r="A4724" s="173"/>
      <c r="B4724" s="174"/>
      <c r="C4724" s="11"/>
      <c r="D4724" s="175"/>
      <c r="E4724" s="176"/>
      <c r="F4724" s="177"/>
      <c r="G4724" s="178"/>
      <c r="H4724" s="177"/>
      <c r="I4724" s="177"/>
      <c r="J4724" s="179"/>
      <c r="K4724" s="183"/>
      <c r="L4724" s="176"/>
      <c r="M4724" s="177"/>
      <c r="N4724" s="21"/>
      <c r="O4724" s="45"/>
      <c r="P4724" s="24"/>
      <c r="Q4724" s="24"/>
      <c r="R4724" s="180"/>
      <c r="S4724" s="181"/>
      <c r="T4724" s="35"/>
      <c r="U4724" s="35"/>
      <c r="V4724" s="35"/>
      <c r="W4724" s="35"/>
      <c r="X4724" s="35"/>
      <c r="Y4724" s="182"/>
      <c r="Z4724" s="175"/>
      <c r="AA4724" s="182"/>
      <c r="AB4724" s="184"/>
    </row>
    <row r="4725" spans="1:28" ht="12.75">
      <c r="A4725" s="173"/>
      <c r="B4725" s="174"/>
      <c r="C4725" s="11"/>
      <c r="D4725" s="175"/>
      <c r="E4725" s="176"/>
      <c r="F4725" s="177"/>
      <c r="G4725" s="178"/>
      <c r="H4725" s="177"/>
      <c r="I4725" s="177"/>
      <c r="J4725" s="179"/>
      <c r="K4725" s="183"/>
      <c r="L4725" s="176"/>
      <c r="M4725" s="177"/>
      <c r="N4725" s="21"/>
      <c r="O4725" s="45"/>
      <c r="P4725" s="24"/>
      <c r="Q4725" s="24"/>
      <c r="R4725" s="180"/>
      <c r="S4725" s="181"/>
      <c r="T4725" s="35"/>
      <c r="U4725" s="35"/>
      <c r="V4725" s="35"/>
      <c r="W4725" s="35"/>
      <c r="X4725" s="35"/>
      <c r="Y4725" s="182"/>
      <c r="Z4725" s="175"/>
      <c r="AA4725" s="182"/>
      <c r="AB4725" s="184"/>
    </row>
    <row r="4726" spans="1:28" ht="12.75">
      <c r="A4726" s="173"/>
      <c r="B4726" s="174"/>
      <c r="C4726" s="11"/>
      <c r="D4726" s="175"/>
      <c r="E4726" s="176"/>
      <c r="F4726" s="177"/>
      <c r="G4726" s="178"/>
      <c r="H4726" s="177"/>
      <c r="I4726" s="177"/>
      <c r="J4726" s="179"/>
      <c r="K4726" s="183"/>
      <c r="L4726" s="176"/>
      <c r="M4726" s="177"/>
      <c r="N4726" s="21"/>
      <c r="O4726" s="45"/>
      <c r="P4726" s="24"/>
      <c r="Q4726" s="24"/>
      <c r="R4726" s="180"/>
      <c r="S4726" s="181"/>
      <c r="T4726" s="35"/>
      <c r="U4726" s="35"/>
      <c r="V4726" s="35"/>
      <c r="W4726" s="35"/>
      <c r="X4726" s="35"/>
      <c r="Y4726" s="182"/>
      <c r="Z4726" s="175"/>
      <c r="AA4726" s="182"/>
      <c r="AB4726" s="184"/>
    </row>
    <row r="4727" spans="1:28" ht="12.75">
      <c r="A4727" s="173"/>
      <c r="B4727" s="174"/>
      <c r="C4727" s="11"/>
      <c r="D4727" s="175"/>
      <c r="E4727" s="176"/>
      <c r="F4727" s="177"/>
      <c r="G4727" s="178"/>
      <c r="H4727" s="177"/>
      <c r="I4727" s="177"/>
      <c r="J4727" s="179"/>
      <c r="K4727" s="183"/>
      <c r="L4727" s="176"/>
      <c r="M4727" s="177"/>
      <c r="N4727" s="21"/>
      <c r="O4727" s="45"/>
      <c r="P4727" s="24"/>
      <c r="Q4727" s="24"/>
      <c r="R4727" s="180"/>
      <c r="S4727" s="181"/>
      <c r="T4727" s="35"/>
      <c r="U4727" s="35"/>
      <c r="V4727" s="35"/>
      <c r="W4727" s="35"/>
      <c r="X4727" s="35"/>
      <c r="Y4727" s="182"/>
      <c r="Z4727" s="175"/>
      <c r="AA4727" s="182"/>
      <c r="AB4727" s="184"/>
    </row>
    <row r="4728" spans="1:28" ht="12.75">
      <c r="A4728" s="173"/>
      <c r="B4728" s="174"/>
      <c r="C4728" s="11"/>
      <c r="D4728" s="175"/>
      <c r="E4728" s="176"/>
      <c r="F4728" s="177"/>
      <c r="G4728" s="178"/>
      <c r="H4728" s="177"/>
      <c r="I4728" s="177"/>
      <c r="J4728" s="179"/>
      <c r="K4728" s="183"/>
      <c r="L4728" s="176"/>
      <c r="M4728" s="177"/>
      <c r="N4728" s="21"/>
      <c r="O4728" s="45"/>
      <c r="P4728" s="24"/>
      <c r="Q4728" s="24"/>
      <c r="R4728" s="180"/>
      <c r="S4728" s="181"/>
      <c r="T4728" s="35"/>
      <c r="U4728" s="35"/>
      <c r="V4728" s="35"/>
      <c r="W4728" s="35"/>
      <c r="X4728" s="35"/>
      <c r="Y4728" s="182"/>
      <c r="Z4728" s="175"/>
      <c r="AA4728" s="182"/>
      <c r="AB4728" s="184"/>
    </row>
    <row r="4729" spans="1:28" ht="12.75">
      <c r="A4729" s="173"/>
      <c r="B4729" s="174"/>
      <c r="C4729" s="11"/>
      <c r="D4729" s="175"/>
      <c r="E4729" s="176"/>
      <c r="F4729" s="177"/>
      <c r="G4729" s="178"/>
      <c r="H4729" s="177"/>
      <c r="I4729" s="177"/>
      <c r="J4729" s="179"/>
      <c r="K4729" s="183"/>
      <c r="L4729" s="176"/>
      <c r="M4729" s="177"/>
      <c r="N4729" s="21"/>
      <c r="O4729" s="45"/>
      <c r="P4729" s="24"/>
      <c r="Q4729" s="24"/>
      <c r="R4729" s="180"/>
      <c r="S4729" s="181"/>
      <c r="T4729" s="35"/>
      <c r="U4729" s="35"/>
      <c r="V4729" s="35"/>
      <c r="W4729" s="35"/>
      <c r="X4729" s="35"/>
      <c r="Y4729" s="182"/>
      <c r="Z4729" s="175"/>
      <c r="AA4729" s="182"/>
      <c r="AB4729" s="184"/>
    </row>
    <row r="4730" spans="1:28" ht="12.75">
      <c r="A4730" s="173"/>
      <c r="B4730" s="174"/>
      <c r="C4730" s="11"/>
      <c r="D4730" s="175"/>
      <c r="E4730" s="176"/>
      <c r="F4730" s="177"/>
      <c r="G4730" s="178"/>
      <c r="H4730" s="177"/>
      <c r="I4730" s="177"/>
      <c r="J4730" s="179"/>
      <c r="K4730" s="183"/>
      <c r="L4730" s="176"/>
      <c r="M4730" s="177"/>
      <c r="N4730" s="21"/>
      <c r="O4730" s="45"/>
      <c r="P4730" s="24"/>
      <c r="Q4730" s="24"/>
      <c r="R4730" s="180"/>
      <c r="S4730" s="181"/>
      <c r="T4730" s="35"/>
      <c r="U4730" s="35"/>
      <c r="V4730" s="35"/>
      <c r="W4730" s="35"/>
      <c r="X4730" s="35"/>
      <c r="Y4730" s="182"/>
      <c r="Z4730" s="175"/>
      <c r="AA4730" s="182"/>
      <c r="AB4730" s="184"/>
    </row>
    <row r="4731" spans="1:28" ht="12.75">
      <c r="A4731" s="173"/>
      <c r="B4731" s="174"/>
      <c r="C4731" s="11"/>
      <c r="D4731" s="175"/>
      <c r="E4731" s="176"/>
      <c r="F4731" s="177"/>
      <c r="G4731" s="178"/>
      <c r="H4731" s="177"/>
      <c r="I4731" s="177"/>
      <c r="J4731" s="179"/>
      <c r="K4731" s="183"/>
      <c r="L4731" s="176"/>
      <c r="M4731" s="177"/>
      <c r="N4731" s="21"/>
      <c r="O4731" s="45"/>
      <c r="P4731" s="24"/>
      <c r="Q4731" s="24"/>
      <c r="R4731" s="180"/>
      <c r="S4731" s="181"/>
      <c r="T4731" s="35"/>
      <c r="U4731" s="35"/>
      <c r="V4731" s="35"/>
      <c r="W4731" s="35"/>
      <c r="X4731" s="35"/>
      <c r="Y4731" s="182"/>
      <c r="Z4731" s="175"/>
      <c r="AA4731" s="182"/>
      <c r="AB4731" s="184"/>
    </row>
    <row r="4732" spans="1:28" ht="12.75">
      <c r="A4732" s="173"/>
      <c r="B4732" s="174"/>
      <c r="C4732" s="11"/>
      <c r="D4732" s="175"/>
      <c r="E4732" s="176"/>
      <c r="F4732" s="177"/>
      <c r="G4732" s="178"/>
      <c r="H4732" s="177"/>
      <c r="I4732" s="177"/>
      <c r="J4732" s="179"/>
      <c r="K4732" s="183"/>
      <c r="L4732" s="176"/>
      <c r="M4732" s="177"/>
      <c r="N4732" s="21"/>
      <c r="O4732" s="45"/>
      <c r="P4732" s="24"/>
      <c r="Q4732" s="24"/>
      <c r="R4732" s="180"/>
      <c r="S4732" s="181"/>
      <c r="T4732" s="35"/>
      <c r="U4732" s="35"/>
      <c r="V4732" s="35"/>
      <c r="W4732" s="35"/>
      <c r="X4732" s="35"/>
      <c r="Y4732" s="182"/>
      <c r="Z4732" s="175"/>
      <c r="AA4732" s="182"/>
      <c r="AB4732" s="184"/>
    </row>
    <row r="4733" spans="1:28" ht="12.75">
      <c r="A4733" s="173"/>
      <c r="B4733" s="174"/>
      <c r="C4733" s="11"/>
      <c r="D4733" s="175"/>
      <c r="E4733" s="176"/>
      <c r="F4733" s="177"/>
      <c r="G4733" s="178"/>
      <c r="H4733" s="177"/>
      <c r="I4733" s="177"/>
      <c r="J4733" s="179"/>
      <c r="K4733" s="183"/>
      <c r="L4733" s="176"/>
      <c r="M4733" s="177"/>
      <c r="N4733" s="21"/>
      <c r="O4733" s="45"/>
      <c r="P4733" s="24"/>
      <c r="Q4733" s="24"/>
      <c r="R4733" s="180"/>
      <c r="S4733" s="181"/>
      <c r="T4733" s="35"/>
      <c r="U4733" s="35"/>
      <c r="V4733" s="35"/>
      <c r="W4733" s="35"/>
      <c r="X4733" s="35"/>
      <c r="Y4733" s="182"/>
      <c r="Z4733" s="175"/>
      <c r="AA4733" s="182"/>
      <c r="AB4733" s="184"/>
    </row>
    <row r="4734" spans="1:28" ht="12.75">
      <c r="A4734" s="173"/>
      <c r="B4734" s="174"/>
      <c r="C4734" s="11"/>
      <c r="D4734" s="175"/>
      <c r="E4734" s="176"/>
      <c r="F4734" s="177"/>
      <c r="G4734" s="178"/>
      <c r="H4734" s="177"/>
      <c r="I4734" s="177"/>
      <c r="J4734" s="179"/>
      <c r="K4734" s="183"/>
      <c r="L4734" s="176"/>
      <c r="M4734" s="177"/>
      <c r="N4734" s="21"/>
      <c r="O4734" s="45"/>
      <c r="P4734" s="24"/>
      <c r="Q4734" s="24"/>
      <c r="R4734" s="180"/>
      <c r="S4734" s="181"/>
      <c r="T4734" s="35"/>
      <c r="U4734" s="35"/>
      <c r="V4734" s="35"/>
      <c r="W4734" s="35"/>
      <c r="X4734" s="35"/>
      <c r="Y4734" s="182"/>
      <c r="Z4734" s="175"/>
      <c r="AA4734" s="182"/>
      <c r="AB4734" s="184"/>
    </row>
    <row r="4735" spans="1:28" ht="12.75">
      <c r="A4735" s="173"/>
      <c r="B4735" s="174"/>
      <c r="C4735" s="11"/>
      <c r="D4735" s="175"/>
      <c r="E4735" s="176"/>
      <c r="F4735" s="177"/>
      <c r="G4735" s="178"/>
      <c r="H4735" s="177"/>
      <c r="I4735" s="177"/>
      <c r="J4735" s="179"/>
      <c r="K4735" s="183"/>
      <c r="L4735" s="176"/>
      <c r="M4735" s="177"/>
      <c r="N4735" s="21"/>
      <c r="O4735" s="45"/>
      <c r="P4735" s="24"/>
      <c r="Q4735" s="24"/>
      <c r="R4735" s="180"/>
      <c r="S4735" s="181"/>
      <c r="T4735" s="35"/>
      <c r="U4735" s="35"/>
      <c r="V4735" s="35"/>
      <c r="W4735" s="35"/>
      <c r="X4735" s="35"/>
      <c r="Y4735" s="182"/>
      <c r="Z4735" s="175"/>
      <c r="AA4735" s="182"/>
      <c r="AB4735" s="184"/>
    </row>
    <row r="4736" spans="1:28" ht="12.75">
      <c r="A4736" s="173"/>
      <c r="B4736" s="174"/>
      <c r="C4736" s="11"/>
      <c r="D4736" s="175"/>
      <c r="E4736" s="176"/>
      <c r="F4736" s="177"/>
      <c r="G4736" s="178"/>
      <c r="H4736" s="177"/>
      <c r="I4736" s="177"/>
      <c r="J4736" s="179"/>
      <c r="K4736" s="183"/>
      <c r="L4736" s="176"/>
      <c r="M4736" s="177"/>
      <c r="N4736" s="21"/>
      <c r="O4736" s="45"/>
      <c r="P4736" s="24"/>
      <c r="Q4736" s="24"/>
      <c r="R4736" s="180"/>
      <c r="S4736" s="181"/>
      <c r="T4736" s="35"/>
      <c r="U4736" s="35"/>
      <c r="V4736" s="35"/>
      <c r="W4736" s="35"/>
      <c r="X4736" s="35"/>
      <c r="Y4736" s="182"/>
      <c r="Z4736" s="175"/>
      <c r="AA4736" s="182"/>
      <c r="AB4736" s="184"/>
    </row>
    <row r="4737" spans="1:28" ht="12.75">
      <c r="A4737" s="173"/>
      <c r="B4737" s="174"/>
      <c r="C4737" s="11"/>
      <c r="D4737" s="175"/>
      <c r="E4737" s="176"/>
      <c r="F4737" s="177"/>
      <c r="G4737" s="178"/>
      <c r="H4737" s="177"/>
      <c r="I4737" s="177"/>
      <c r="J4737" s="179"/>
      <c r="K4737" s="183"/>
      <c r="L4737" s="176"/>
      <c r="M4737" s="177"/>
      <c r="N4737" s="21"/>
      <c r="O4737" s="45"/>
      <c r="P4737" s="24"/>
      <c r="Q4737" s="24"/>
      <c r="R4737" s="180"/>
      <c r="S4737" s="181"/>
      <c r="T4737" s="35"/>
      <c r="U4737" s="35"/>
      <c r="V4737" s="35"/>
      <c r="W4737" s="35"/>
      <c r="X4737" s="35"/>
      <c r="Y4737" s="182"/>
      <c r="Z4737" s="175"/>
      <c r="AA4737" s="182"/>
      <c r="AB4737" s="184"/>
    </row>
    <row r="4738" spans="1:28" ht="12.75">
      <c r="A4738" s="173"/>
      <c r="B4738" s="174"/>
      <c r="C4738" s="11"/>
      <c r="D4738" s="175"/>
      <c r="E4738" s="176"/>
      <c r="F4738" s="177"/>
      <c r="G4738" s="178"/>
      <c r="H4738" s="177"/>
      <c r="I4738" s="177"/>
      <c r="J4738" s="179"/>
      <c r="K4738" s="183"/>
      <c r="L4738" s="176"/>
      <c r="M4738" s="177"/>
      <c r="N4738" s="21"/>
      <c r="O4738" s="45"/>
      <c r="P4738" s="24"/>
      <c r="Q4738" s="24"/>
      <c r="R4738" s="180"/>
      <c r="S4738" s="181"/>
      <c r="T4738" s="35"/>
      <c r="U4738" s="35"/>
      <c r="V4738" s="35"/>
      <c r="W4738" s="35"/>
      <c r="X4738" s="35"/>
      <c r="Y4738" s="182"/>
      <c r="Z4738" s="175"/>
      <c r="AA4738" s="182"/>
      <c r="AB4738" s="184"/>
    </row>
    <row r="4739" spans="1:28" ht="12.75">
      <c r="A4739" s="173"/>
      <c r="B4739" s="174"/>
      <c r="C4739" s="11"/>
      <c r="D4739" s="175"/>
      <c r="E4739" s="176"/>
      <c r="F4739" s="177"/>
      <c r="G4739" s="178"/>
      <c r="H4739" s="177"/>
      <c r="I4739" s="177"/>
      <c r="J4739" s="179"/>
      <c r="K4739" s="183"/>
      <c r="L4739" s="176"/>
      <c r="M4739" s="177"/>
      <c r="N4739" s="21"/>
      <c r="O4739" s="45"/>
      <c r="P4739" s="24"/>
      <c r="Q4739" s="24"/>
      <c r="R4739" s="180"/>
      <c r="S4739" s="181"/>
      <c r="T4739" s="35"/>
      <c r="U4739" s="35"/>
      <c r="V4739" s="35"/>
      <c r="W4739" s="35"/>
      <c r="X4739" s="35"/>
      <c r="Y4739" s="182"/>
      <c r="Z4739" s="175"/>
      <c r="AA4739" s="182"/>
      <c r="AB4739" s="184"/>
    </row>
    <row r="4740" spans="1:28" ht="12.75">
      <c r="A4740" s="173"/>
      <c r="B4740" s="174"/>
      <c r="C4740" s="11"/>
      <c r="D4740" s="175"/>
      <c r="E4740" s="176"/>
      <c r="F4740" s="177"/>
      <c r="G4740" s="178"/>
      <c r="H4740" s="177"/>
      <c r="I4740" s="177"/>
      <c r="J4740" s="179"/>
      <c r="K4740" s="183"/>
      <c r="L4740" s="176"/>
      <c r="M4740" s="177"/>
      <c r="N4740" s="21"/>
      <c r="O4740" s="45"/>
      <c r="P4740" s="24"/>
      <c r="Q4740" s="24"/>
      <c r="R4740" s="180"/>
      <c r="S4740" s="181"/>
      <c r="T4740" s="35"/>
      <c r="U4740" s="35"/>
      <c r="V4740" s="35"/>
      <c r="W4740" s="35"/>
      <c r="X4740" s="35"/>
      <c r="Y4740" s="182"/>
      <c r="Z4740" s="175"/>
      <c r="AA4740" s="182"/>
      <c r="AB4740" s="184"/>
    </row>
    <row r="4741" spans="1:28" ht="12.75">
      <c r="A4741" s="173"/>
      <c r="B4741" s="174"/>
      <c r="C4741" s="11"/>
      <c r="D4741" s="175"/>
      <c r="E4741" s="176"/>
      <c r="F4741" s="177"/>
      <c r="G4741" s="178"/>
      <c r="H4741" s="177"/>
      <c r="I4741" s="177"/>
      <c r="J4741" s="179"/>
      <c r="K4741" s="183"/>
      <c r="L4741" s="176"/>
      <c r="M4741" s="177"/>
      <c r="N4741" s="21"/>
      <c r="O4741" s="45"/>
      <c r="P4741" s="24"/>
      <c r="Q4741" s="24"/>
      <c r="R4741" s="180"/>
      <c r="S4741" s="181"/>
      <c r="T4741" s="35"/>
      <c r="U4741" s="35"/>
      <c r="V4741" s="35"/>
      <c r="W4741" s="35"/>
      <c r="X4741" s="35"/>
      <c r="Y4741" s="182"/>
      <c r="Z4741" s="175"/>
      <c r="AA4741" s="182"/>
      <c r="AB4741" s="184"/>
    </row>
    <row r="4742" spans="1:28" ht="12.75">
      <c r="A4742" s="173"/>
      <c r="B4742" s="174"/>
      <c r="C4742" s="11"/>
      <c r="D4742" s="175"/>
      <c r="E4742" s="176"/>
      <c r="F4742" s="177"/>
      <c r="G4742" s="178"/>
      <c r="H4742" s="177"/>
      <c r="I4742" s="177"/>
      <c r="J4742" s="179"/>
      <c r="K4742" s="183"/>
      <c r="L4742" s="176"/>
      <c r="M4742" s="177"/>
      <c r="N4742" s="21"/>
      <c r="O4742" s="45"/>
      <c r="P4742" s="24"/>
      <c r="Q4742" s="24"/>
      <c r="R4742" s="180"/>
      <c r="S4742" s="181"/>
      <c r="T4742" s="35"/>
      <c r="U4742" s="35"/>
      <c r="V4742" s="35"/>
      <c r="W4742" s="35"/>
      <c r="X4742" s="35"/>
      <c r="Y4742" s="182"/>
      <c r="Z4742" s="175"/>
      <c r="AA4742" s="182"/>
      <c r="AB4742" s="184"/>
    </row>
    <row r="4743" spans="1:28" ht="12.75">
      <c r="A4743" s="173"/>
      <c r="B4743" s="174"/>
      <c r="C4743" s="11"/>
      <c r="D4743" s="175"/>
      <c r="E4743" s="176"/>
      <c r="F4743" s="177"/>
      <c r="G4743" s="178"/>
      <c r="H4743" s="177"/>
      <c r="I4743" s="177"/>
      <c r="J4743" s="179"/>
      <c r="K4743" s="183"/>
      <c r="L4743" s="176"/>
      <c r="M4743" s="177"/>
      <c r="N4743" s="21"/>
      <c r="O4743" s="45"/>
      <c r="P4743" s="24"/>
      <c r="Q4743" s="24"/>
      <c r="R4743" s="180"/>
      <c r="S4743" s="181"/>
      <c r="T4743" s="35"/>
      <c r="U4743" s="35"/>
      <c r="V4743" s="35"/>
      <c r="W4743" s="35"/>
      <c r="X4743" s="35"/>
      <c r="Y4743" s="182"/>
      <c r="Z4743" s="175"/>
      <c r="AA4743" s="182"/>
      <c r="AB4743" s="184"/>
    </row>
    <row r="4744" spans="1:28" ht="12.75">
      <c r="A4744" s="173"/>
      <c r="B4744" s="174"/>
      <c r="C4744" s="11"/>
      <c r="D4744" s="175"/>
      <c r="E4744" s="176"/>
      <c r="F4744" s="177"/>
      <c r="G4744" s="178"/>
      <c r="H4744" s="177"/>
      <c r="I4744" s="177"/>
      <c r="J4744" s="179"/>
      <c r="K4744" s="183"/>
      <c r="L4744" s="176"/>
      <c r="M4744" s="177"/>
      <c r="N4744" s="21"/>
      <c r="O4744" s="45"/>
      <c r="P4744" s="24"/>
      <c r="Q4744" s="24"/>
      <c r="R4744" s="180"/>
      <c r="S4744" s="181"/>
      <c r="T4744" s="35"/>
      <c r="U4744" s="35"/>
      <c r="V4744" s="35"/>
      <c r="W4744" s="35"/>
      <c r="X4744" s="35"/>
      <c r="Y4744" s="182"/>
      <c r="Z4744" s="175"/>
      <c r="AA4744" s="182"/>
      <c r="AB4744" s="184"/>
    </row>
    <row r="4745" spans="1:28" ht="12.75">
      <c r="A4745" s="173"/>
      <c r="B4745" s="174"/>
      <c r="C4745" s="11"/>
      <c r="D4745" s="175"/>
      <c r="E4745" s="176"/>
      <c r="F4745" s="177"/>
      <c r="G4745" s="178"/>
      <c r="H4745" s="177"/>
      <c r="I4745" s="177"/>
      <c r="J4745" s="179"/>
      <c r="K4745" s="183"/>
      <c r="L4745" s="176"/>
      <c r="M4745" s="177"/>
      <c r="N4745" s="21"/>
      <c r="O4745" s="45"/>
      <c r="P4745" s="24"/>
      <c r="Q4745" s="24"/>
      <c r="R4745" s="180"/>
      <c r="S4745" s="181"/>
      <c r="T4745" s="35"/>
      <c r="U4745" s="35"/>
      <c r="V4745" s="35"/>
      <c r="W4745" s="35"/>
      <c r="X4745" s="35"/>
      <c r="Y4745" s="182"/>
      <c r="Z4745" s="175"/>
      <c r="AA4745" s="182"/>
      <c r="AB4745" s="184"/>
    </row>
    <row r="4746" spans="1:28" ht="12.75">
      <c r="A4746" s="173"/>
      <c r="B4746" s="174"/>
      <c r="C4746" s="11"/>
      <c r="D4746" s="175"/>
      <c r="E4746" s="176"/>
      <c r="F4746" s="177"/>
      <c r="G4746" s="178"/>
      <c r="H4746" s="177"/>
      <c r="I4746" s="177"/>
      <c r="J4746" s="179"/>
      <c r="K4746" s="183"/>
      <c r="L4746" s="176"/>
      <c r="M4746" s="177"/>
      <c r="N4746" s="21"/>
      <c r="O4746" s="45"/>
      <c r="P4746" s="24"/>
      <c r="Q4746" s="24"/>
      <c r="R4746" s="180"/>
      <c r="S4746" s="181"/>
      <c r="T4746" s="35"/>
      <c r="U4746" s="35"/>
      <c r="V4746" s="35"/>
      <c r="W4746" s="35"/>
      <c r="X4746" s="35"/>
      <c r="Y4746" s="182"/>
      <c r="Z4746" s="175"/>
      <c r="AA4746" s="182"/>
      <c r="AB4746" s="184"/>
    </row>
    <row r="4747" spans="1:28" ht="12.75">
      <c r="A4747" s="173"/>
      <c r="B4747" s="174"/>
      <c r="C4747" s="11"/>
      <c r="D4747" s="175"/>
      <c r="E4747" s="176"/>
      <c r="F4747" s="177"/>
      <c r="G4747" s="178"/>
      <c r="H4747" s="177"/>
      <c r="I4747" s="177"/>
      <c r="J4747" s="179"/>
      <c r="K4747" s="183"/>
      <c r="L4747" s="176"/>
      <c r="M4747" s="177"/>
      <c r="N4747" s="21"/>
      <c r="O4747" s="45"/>
      <c r="P4747" s="24"/>
      <c r="Q4747" s="24"/>
      <c r="R4747" s="180"/>
      <c r="S4747" s="181"/>
      <c r="T4747" s="35"/>
      <c r="U4747" s="35"/>
      <c r="V4747" s="35"/>
      <c r="W4747" s="35"/>
      <c r="X4747" s="35"/>
      <c r="Y4747" s="182"/>
      <c r="Z4747" s="175"/>
      <c r="AA4747" s="182"/>
      <c r="AB4747" s="184"/>
    </row>
    <row r="4748" spans="1:28" ht="12.75">
      <c r="A4748" s="173"/>
      <c r="B4748" s="174"/>
      <c r="C4748" s="11"/>
      <c r="D4748" s="175"/>
      <c r="E4748" s="176"/>
      <c r="F4748" s="177"/>
      <c r="G4748" s="178"/>
      <c r="H4748" s="177"/>
      <c r="I4748" s="177"/>
      <c r="J4748" s="179"/>
      <c r="K4748" s="183"/>
      <c r="L4748" s="176"/>
      <c r="M4748" s="177"/>
      <c r="N4748" s="21"/>
      <c r="O4748" s="45"/>
      <c r="P4748" s="24"/>
      <c r="Q4748" s="24"/>
      <c r="R4748" s="180"/>
      <c r="S4748" s="181"/>
      <c r="T4748" s="35"/>
      <c r="U4748" s="35"/>
      <c r="V4748" s="35"/>
      <c r="W4748" s="35"/>
      <c r="X4748" s="35"/>
      <c r="Y4748" s="182"/>
      <c r="Z4748" s="175"/>
      <c r="AA4748" s="182"/>
      <c r="AB4748" s="184"/>
    </row>
    <row r="4749" spans="1:28" ht="12.75">
      <c r="A4749" s="173"/>
      <c r="B4749" s="174"/>
      <c r="C4749" s="11"/>
      <c r="D4749" s="175"/>
      <c r="E4749" s="176"/>
      <c r="F4749" s="177"/>
      <c r="G4749" s="178"/>
      <c r="H4749" s="177"/>
      <c r="I4749" s="177"/>
      <c r="J4749" s="179"/>
      <c r="K4749" s="183"/>
      <c r="L4749" s="176"/>
      <c r="M4749" s="177"/>
      <c r="N4749" s="21"/>
      <c r="O4749" s="45"/>
      <c r="P4749" s="24"/>
      <c r="Q4749" s="24"/>
      <c r="R4749" s="180"/>
      <c r="S4749" s="181"/>
      <c r="T4749" s="35"/>
      <c r="U4749" s="35"/>
      <c r="V4749" s="35"/>
      <c r="W4749" s="35"/>
      <c r="X4749" s="35"/>
      <c r="Y4749" s="182"/>
      <c r="Z4749" s="175"/>
      <c r="AA4749" s="182"/>
      <c r="AB4749" s="184"/>
    </row>
    <row r="4750" spans="1:28" ht="12.75">
      <c r="A4750" s="173"/>
      <c r="B4750" s="174"/>
      <c r="C4750" s="11"/>
      <c r="D4750" s="175"/>
      <c r="E4750" s="176"/>
      <c r="F4750" s="177"/>
      <c r="G4750" s="178"/>
      <c r="H4750" s="177"/>
      <c r="I4750" s="177"/>
      <c r="J4750" s="179"/>
      <c r="K4750" s="183"/>
      <c r="L4750" s="176"/>
      <c r="M4750" s="177"/>
      <c r="N4750" s="21"/>
      <c r="O4750" s="45"/>
      <c r="P4750" s="24"/>
      <c r="Q4750" s="24"/>
      <c r="R4750" s="180"/>
      <c r="S4750" s="181"/>
      <c r="T4750" s="35"/>
      <c r="U4750" s="35"/>
      <c r="V4750" s="35"/>
      <c r="W4750" s="35"/>
      <c r="X4750" s="35"/>
      <c r="Y4750" s="182"/>
      <c r="Z4750" s="175"/>
      <c r="AA4750" s="182"/>
      <c r="AB4750" s="184"/>
    </row>
    <row r="4751" spans="1:28" ht="12.75">
      <c r="A4751" s="173"/>
      <c r="B4751" s="174"/>
      <c r="C4751" s="11"/>
      <c r="D4751" s="175"/>
      <c r="E4751" s="176"/>
      <c r="F4751" s="177"/>
      <c r="G4751" s="178"/>
      <c r="H4751" s="177"/>
      <c r="I4751" s="177"/>
      <c r="J4751" s="179"/>
      <c r="K4751" s="183"/>
      <c r="L4751" s="176"/>
      <c r="M4751" s="177"/>
      <c r="N4751" s="21"/>
      <c r="O4751" s="45"/>
      <c r="P4751" s="24"/>
      <c r="Q4751" s="24"/>
      <c r="R4751" s="180"/>
      <c r="S4751" s="181"/>
      <c r="T4751" s="35"/>
      <c r="U4751" s="35"/>
      <c r="V4751" s="35"/>
      <c r="W4751" s="35"/>
      <c r="X4751" s="35"/>
      <c r="Y4751" s="182"/>
      <c r="Z4751" s="175"/>
      <c r="AA4751" s="182"/>
      <c r="AB4751" s="184"/>
    </row>
    <row r="4752" spans="1:28" ht="12.75">
      <c r="A4752" s="173"/>
      <c r="B4752" s="174"/>
      <c r="C4752" s="11"/>
      <c r="D4752" s="175"/>
      <c r="E4752" s="176"/>
      <c r="F4752" s="177"/>
      <c r="G4752" s="178"/>
      <c r="H4752" s="177"/>
      <c r="I4752" s="177"/>
      <c r="J4752" s="179"/>
      <c r="K4752" s="183"/>
      <c r="L4752" s="176"/>
      <c r="M4752" s="177"/>
      <c r="N4752" s="21"/>
      <c r="O4752" s="45"/>
      <c r="P4752" s="24"/>
      <c r="Q4752" s="24"/>
      <c r="R4752" s="180"/>
      <c r="S4752" s="181"/>
      <c r="T4752" s="35"/>
      <c r="U4752" s="35"/>
      <c r="V4752" s="35"/>
      <c r="W4752" s="35"/>
      <c r="X4752" s="35"/>
      <c r="Y4752" s="182"/>
      <c r="Z4752" s="175"/>
      <c r="AA4752" s="182"/>
      <c r="AB4752" s="184"/>
    </row>
    <row r="4753" spans="1:28" ht="12.75">
      <c r="A4753" s="173"/>
      <c r="B4753" s="174"/>
      <c r="C4753" s="11"/>
      <c r="D4753" s="175"/>
      <c r="E4753" s="176"/>
      <c r="F4753" s="177"/>
      <c r="G4753" s="178"/>
      <c r="H4753" s="177"/>
      <c r="I4753" s="177"/>
      <c r="J4753" s="179"/>
      <c r="K4753" s="183"/>
      <c r="L4753" s="176"/>
      <c r="M4753" s="177"/>
      <c r="N4753" s="21"/>
      <c r="O4753" s="45"/>
      <c r="P4753" s="24"/>
      <c r="Q4753" s="24"/>
      <c r="R4753" s="180"/>
      <c r="S4753" s="181"/>
      <c r="T4753" s="35"/>
      <c r="U4753" s="35"/>
      <c r="V4753" s="35"/>
      <c r="W4753" s="35"/>
      <c r="X4753" s="35"/>
      <c r="Y4753" s="182"/>
      <c r="Z4753" s="175"/>
      <c r="AA4753" s="182"/>
      <c r="AB4753" s="184"/>
    </row>
    <row r="4754" spans="1:28" ht="12.75">
      <c r="A4754" s="173"/>
      <c r="B4754" s="174"/>
      <c r="C4754" s="11"/>
      <c r="D4754" s="175"/>
      <c r="E4754" s="176"/>
      <c r="F4754" s="177"/>
      <c r="G4754" s="178"/>
      <c r="H4754" s="177"/>
      <c r="I4754" s="177"/>
      <c r="J4754" s="179"/>
      <c r="K4754" s="183"/>
      <c r="L4754" s="176"/>
      <c r="M4754" s="177"/>
      <c r="N4754" s="21"/>
      <c r="O4754" s="45"/>
      <c r="P4754" s="24"/>
      <c r="Q4754" s="24"/>
      <c r="R4754" s="180"/>
      <c r="S4754" s="181"/>
      <c r="T4754" s="35"/>
      <c r="U4754" s="35"/>
      <c r="V4754" s="35"/>
      <c r="W4754" s="35"/>
      <c r="X4754" s="35"/>
      <c r="Y4754" s="182"/>
      <c r="Z4754" s="175"/>
      <c r="AA4754" s="182"/>
      <c r="AB4754" s="184"/>
    </row>
    <row r="4755" spans="1:28" ht="12.75">
      <c r="A4755" s="173"/>
      <c r="B4755" s="174"/>
      <c r="C4755" s="11"/>
      <c r="D4755" s="175"/>
      <c r="E4755" s="176"/>
      <c r="F4755" s="177"/>
      <c r="G4755" s="178"/>
      <c r="H4755" s="177"/>
      <c r="I4755" s="177"/>
      <c r="J4755" s="179"/>
      <c r="K4755" s="183"/>
      <c r="L4755" s="176"/>
      <c r="M4755" s="177"/>
      <c r="N4755" s="21"/>
      <c r="O4755" s="45"/>
      <c r="P4755" s="24"/>
      <c r="Q4755" s="24"/>
      <c r="R4755" s="180"/>
      <c r="S4755" s="181"/>
      <c r="T4755" s="35"/>
      <c r="U4755" s="35"/>
      <c r="V4755" s="35"/>
      <c r="W4755" s="35"/>
      <c r="X4755" s="35"/>
      <c r="Y4755" s="182"/>
      <c r="Z4755" s="175"/>
      <c r="AA4755" s="182"/>
      <c r="AB4755" s="184"/>
    </row>
    <row r="4756" spans="1:28" ht="12.75">
      <c r="A4756" s="173"/>
      <c r="B4756" s="174"/>
      <c r="C4756" s="11"/>
      <c r="D4756" s="175"/>
      <c r="E4756" s="176"/>
      <c r="F4756" s="177"/>
      <c r="G4756" s="178"/>
      <c r="H4756" s="177"/>
      <c r="I4756" s="177"/>
      <c r="J4756" s="179"/>
      <c r="K4756" s="183"/>
      <c r="L4756" s="176"/>
      <c r="M4756" s="177"/>
      <c r="N4756" s="21"/>
      <c r="O4756" s="45"/>
      <c r="P4756" s="24"/>
      <c r="Q4756" s="24"/>
      <c r="R4756" s="180"/>
      <c r="S4756" s="181"/>
      <c r="T4756" s="35"/>
      <c r="U4756" s="35"/>
      <c r="V4756" s="35"/>
      <c r="W4756" s="35"/>
      <c r="X4756" s="35"/>
      <c r="Y4756" s="182"/>
      <c r="Z4756" s="175"/>
      <c r="AA4756" s="182"/>
      <c r="AB4756" s="184"/>
    </row>
    <row r="4757" spans="1:28" ht="12.75">
      <c r="A4757" s="173"/>
      <c r="B4757" s="174"/>
      <c r="C4757" s="11"/>
      <c r="D4757" s="175"/>
      <c r="E4757" s="176"/>
      <c r="F4757" s="177"/>
      <c r="G4757" s="178"/>
      <c r="H4757" s="177"/>
      <c r="I4757" s="177"/>
      <c r="J4757" s="179"/>
      <c r="K4757" s="183"/>
      <c r="L4757" s="176"/>
      <c r="M4757" s="177"/>
      <c r="N4757" s="21"/>
      <c r="O4757" s="45"/>
      <c r="P4757" s="24"/>
      <c r="Q4757" s="24"/>
      <c r="R4757" s="180"/>
      <c r="S4757" s="181"/>
      <c r="T4757" s="35"/>
      <c r="U4757" s="35"/>
      <c r="V4757" s="35"/>
      <c r="W4757" s="35"/>
      <c r="X4757" s="35"/>
      <c r="Y4757" s="182"/>
      <c r="Z4757" s="175"/>
      <c r="AA4757" s="182"/>
      <c r="AB4757" s="184"/>
    </row>
    <row r="4758" spans="1:28" ht="12.75">
      <c r="A4758" s="173"/>
      <c r="B4758" s="174"/>
      <c r="C4758" s="11"/>
      <c r="D4758" s="175"/>
      <c r="E4758" s="176"/>
      <c r="F4758" s="177"/>
      <c r="G4758" s="178"/>
      <c r="H4758" s="177"/>
      <c r="I4758" s="177"/>
      <c r="J4758" s="179"/>
      <c r="K4758" s="183"/>
      <c r="L4758" s="176"/>
      <c r="M4758" s="177"/>
      <c r="N4758" s="21"/>
      <c r="O4758" s="45"/>
      <c r="P4758" s="24"/>
      <c r="Q4758" s="24"/>
      <c r="R4758" s="180"/>
      <c r="S4758" s="181"/>
      <c r="T4758" s="35"/>
      <c r="U4758" s="35"/>
      <c r="V4758" s="35"/>
      <c r="W4758" s="35"/>
      <c r="X4758" s="35"/>
      <c r="Y4758" s="182"/>
      <c r="Z4758" s="175"/>
      <c r="AA4758" s="182"/>
      <c r="AB4758" s="184"/>
    </row>
    <row r="4759" spans="1:28" ht="12.75">
      <c r="A4759" s="173"/>
      <c r="B4759" s="174"/>
      <c r="C4759" s="11"/>
      <c r="D4759" s="175"/>
      <c r="E4759" s="176"/>
      <c r="F4759" s="177"/>
      <c r="G4759" s="178"/>
      <c r="H4759" s="177"/>
      <c r="I4759" s="177"/>
      <c r="J4759" s="179"/>
      <c r="K4759" s="183"/>
      <c r="L4759" s="176"/>
      <c r="M4759" s="177"/>
      <c r="N4759" s="21"/>
      <c r="O4759" s="45"/>
      <c r="P4759" s="24"/>
      <c r="Q4759" s="24"/>
      <c r="R4759" s="180"/>
      <c r="S4759" s="181"/>
      <c r="T4759" s="35"/>
      <c r="U4759" s="35"/>
      <c r="V4759" s="35"/>
      <c r="W4759" s="35"/>
      <c r="X4759" s="35"/>
      <c r="Y4759" s="182"/>
      <c r="Z4759" s="175"/>
      <c r="AA4759" s="182"/>
      <c r="AB4759" s="184"/>
    </row>
    <row r="4760" spans="1:28" ht="12.75">
      <c r="A4760" s="173"/>
      <c r="B4760" s="174"/>
      <c r="C4760" s="11"/>
      <c r="D4760" s="175"/>
      <c r="E4760" s="176"/>
      <c r="F4760" s="177"/>
      <c r="G4760" s="178"/>
      <c r="H4760" s="177"/>
      <c r="I4760" s="177"/>
      <c r="J4760" s="179"/>
      <c r="K4760" s="183"/>
      <c r="L4760" s="176"/>
      <c r="M4760" s="177"/>
      <c r="N4760" s="21"/>
      <c r="O4760" s="45"/>
      <c r="P4760" s="24"/>
      <c r="Q4760" s="24"/>
      <c r="R4760" s="180"/>
      <c r="S4760" s="181"/>
      <c r="T4760" s="35"/>
      <c r="U4760" s="35"/>
      <c r="V4760" s="35"/>
      <c r="W4760" s="35"/>
      <c r="X4760" s="35"/>
      <c r="Y4760" s="182"/>
      <c r="Z4760" s="175"/>
      <c r="AA4760" s="182"/>
      <c r="AB4760" s="184"/>
    </row>
    <row r="4761" spans="1:28" ht="12.75">
      <c r="A4761" s="173"/>
      <c r="B4761" s="174"/>
      <c r="C4761" s="11"/>
      <c r="D4761" s="175"/>
      <c r="E4761" s="176"/>
      <c r="F4761" s="177"/>
      <c r="G4761" s="178"/>
      <c r="H4761" s="177"/>
      <c r="I4761" s="177"/>
      <c r="J4761" s="179"/>
      <c r="K4761" s="183"/>
      <c r="L4761" s="176"/>
      <c r="M4761" s="177"/>
      <c r="N4761" s="21"/>
      <c r="O4761" s="45"/>
      <c r="P4761" s="24"/>
      <c r="Q4761" s="24"/>
      <c r="R4761" s="180"/>
      <c r="S4761" s="181"/>
      <c r="T4761" s="35"/>
      <c r="U4761" s="35"/>
      <c r="V4761" s="35"/>
      <c r="W4761" s="35"/>
      <c r="X4761" s="35"/>
      <c r="Y4761" s="182"/>
      <c r="Z4761" s="175"/>
      <c r="AA4761" s="182"/>
      <c r="AB4761" s="184"/>
    </row>
    <row r="4762" spans="1:28" ht="12.75">
      <c r="A4762" s="173"/>
      <c r="B4762" s="174"/>
      <c r="C4762" s="11"/>
      <c r="D4762" s="175"/>
      <c r="E4762" s="176"/>
      <c r="F4762" s="177"/>
      <c r="G4762" s="178"/>
      <c r="H4762" s="177"/>
      <c r="I4762" s="177"/>
      <c r="J4762" s="179"/>
      <c r="K4762" s="183"/>
      <c r="L4762" s="176"/>
      <c r="M4762" s="177"/>
      <c r="N4762" s="21"/>
      <c r="O4762" s="45"/>
      <c r="P4762" s="24"/>
      <c r="Q4762" s="24"/>
      <c r="R4762" s="180"/>
      <c r="S4762" s="181"/>
      <c r="T4762" s="35"/>
      <c r="U4762" s="35"/>
      <c r="V4762" s="35"/>
      <c r="W4762" s="35"/>
      <c r="X4762" s="35"/>
      <c r="Y4762" s="182"/>
      <c r="Z4762" s="175"/>
      <c r="AA4762" s="182"/>
      <c r="AB4762" s="184"/>
    </row>
    <row r="4763" spans="1:28" ht="12.75">
      <c r="A4763" s="173"/>
      <c r="B4763" s="174"/>
      <c r="C4763" s="11"/>
      <c r="D4763" s="175"/>
      <c r="E4763" s="176"/>
      <c r="F4763" s="177"/>
      <c r="G4763" s="178"/>
      <c r="H4763" s="177"/>
      <c r="I4763" s="177"/>
      <c r="J4763" s="179"/>
      <c r="K4763" s="183"/>
      <c r="L4763" s="176"/>
      <c r="M4763" s="177"/>
      <c r="N4763" s="21"/>
      <c r="O4763" s="45"/>
      <c r="P4763" s="24"/>
      <c r="Q4763" s="24"/>
      <c r="R4763" s="180"/>
      <c r="S4763" s="181"/>
      <c r="T4763" s="35"/>
      <c r="U4763" s="35"/>
      <c r="V4763" s="35"/>
      <c r="W4763" s="35"/>
      <c r="X4763" s="35"/>
      <c r="Y4763" s="182"/>
      <c r="Z4763" s="175"/>
      <c r="AA4763" s="182"/>
      <c r="AB4763" s="184"/>
    </row>
    <row r="4764" spans="1:28" ht="12.75">
      <c r="A4764" s="173"/>
      <c r="B4764" s="174"/>
      <c r="C4764" s="11"/>
      <c r="D4764" s="175"/>
      <c r="E4764" s="176"/>
      <c r="F4764" s="177"/>
      <c r="G4764" s="178"/>
      <c r="H4764" s="177"/>
      <c r="I4764" s="177"/>
      <c r="J4764" s="179"/>
      <c r="K4764" s="183"/>
      <c r="L4764" s="176"/>
      <c r="M4764" s="177"/>
      <c r="N4764" s="21"/>
      <c r="O4764" s="45"/>
      <c r="P4764" s="24"/>
      <c r="Q4764" s="24"/>
      <c r="R4764" s="180"/>
      <c r="S4764" s="181"/>
      <c r="T4764" s="35"/>
      <c r="U4764" s="35"/>
      <c r="V4764" s="35"/>
      <c r="W4764" s="35"/>
      <c r="X4764" s="35"/>
      <c r="Y4764" s="182"/>
      <c r="Z4764" s="175"/>
      <c r="AA4764" s="182"/>
      <c r="AB4764" s="184"/>
    </row>
    <row r="4765" spans="1:28" ht="12.75">
      <c r="A4765" s="173"/>
      <c r="B4765" s="174"/>
      <c r="C4765" s="11"/>
      <c r="D4765" s="175"/>
      <c r="E4765" s="176"/>
      <c r="F4765" s="177"/>
      <c r="G4765" s="178"/>
      <c r="H4765" s="177"/>
      <c r="I4765" s="177"/>
      <c r="J4765" s="179"/>
      <c r="K4765" s="183"/>
      <c r="L4765" s="176"/>
      <c r="M4765" s="177"/>
      <c r="N4765" s="21"/>
      <c r="O4765" s="45"/>
      <c r="P4765" s="24"/>
      <c r="Q4765" s="24"/>
      <c r="R4765" s="180"/>
      <c r="S4765" s="181"/>
      <c r="T4765" s="35"/>
      <c r="U4765" s="35"/>
      <c r="V4765" s="35"/>
      <c r="W4765" s="35"/>
      <c r="X4765" s="35"/>
      <c r="Y4765" s="182"/>
      <c r="Z4765" s="175"/>
      <c r="AA4765" s="182"/>
      <c r="AB4765" s="184"/>
    </row>
    <row r="4766" spans="1:28" ht="12.75">
      <c r="A4766" s="173"/>
      <c r="B4766" s="174"/>
      <c r="C4766" s="11"/>
      <c r="D4766" s="175"/>
      <c r="E4766" s="176"/>
      <c r="F4766" s="177"/>
      <c r="G4766" s="178"/>
      <c r="H4766" s="177"/>
      <c r="I4766" s="177"/>
      <c r="J4766" s="179"/>
      <c r="K4766" s="183"/>
      <c r="L4766" s="176"/>
      <c r="M4766" s="177"/>
      <c r="N4766" s="21"/>
      <c r="O4766" s="45"/>
      <c r="P4766" s="24"/>
      <c r="Q4766" s="24"/>
      <c r="R4766" s="180"/>
      <c r="S4766" s="181"/>
      <c r="T4766" s="35"/>
      <c r="U4766" s="35"/>
      <c r="V4766" s="35"/>
      <c r="W4766" s="35"/>
      <c r="X4766" s="35"/>
      <c r="Y4766" s="182"/>
      <c r="Z4766" s="175"/>
      <c r="AA4766" s="182"/>
      <c r="AB4766" s="184"/>
    </row>
    <row r="4767" spans="1:28" ht="12.75">
      <c r="A4767" s="173"/>
      <c r="B4767" s="174"/>
      <c r="C4767" s="11"/>
      <c r="D4767" s="175"/>
      <c r="E4767" s="176"/>
      <c r="F4767" s="177"/>
      <c r="G4767" s="178"/>
      <c r="H4767" s="177"/>
      <c r="I4767" s="177"/>
      <c r="J4767" s="179"/>
      <c r="K4767" s="183"/>
      <c r="L4767" s="176"/>
      <c r="M4767" s="177"/>
      <c r="N4767" s="21"/>
      <c r="O4767" s="45"/>
      <c r="P4767" s="24"/>
      <c r="Q4767" s="24"/>
      <c r="R4767" s="180"/>
      <c r="S4767" s="181"/>
      <c r="T4767" s="35"/>
      <c r="U4767" s="35"/>
      <c r="V4767" s="35"/>
      <c r="W4767" s="35"/>
      <c r="X4767" s="35"/>
      <c r="Y4767" s="182"/>
      <c r="Z4767" s="175"/>
      <c r="AA4767" s="182"/>
      <c r="AB4767" s="184"/>
    </row>
    <row r="4768" spans="1:28" ht="12.75">
      <c r="A4768" s="173"/>
      <c r="B4768" s="174"/>
      <c r="C4768" s="11"/>
      <c r="D4768" s="175"/>
      <c r="E4768" s="176"/>
      <c r="F4768" s="177"/>
      <c r="G4768" s="178"/>
      <c r="H4768" s="177"/>
      <c r="I4768" s="177"/>
      <c r="J4768" s="179"/>
      <c r="K4768" s="183"/>
      <c r="L4768" s="176"/>
      <c r="M4768" s="177"/>
      <c r="N4768" s="21"/>
      <c r="O4768" s="45"/>
      <c r="P4768" s="24"/>
      <c r="Q4768" s="24"/>
      <c r="R4768" s="180"/>
      <c r="S4768" s="181"/>
      <c r="T4768" s="35"/>
      <c r="U4768" s="35"/>
      <c r="V4768" s="35"/>
      <c r="W4768" s="35"/>
      <c r="X4768" s="35"/>
      <c r="Y4768" s="182"/>
      <c r="Z4768" s="175"/>
      <c r="AA4768" s="182"/>
      <c r="AB4768" s="184"/>
    </row>
    <row r="4769" spans="1:28" ht="12.75">
      <c r="A4769" s="173"/>
      <c r="B4769" s="174"/>
      <c r="C4769" s="11"/>
      <c r="D4769" s="175"/>
      <c r="E4769" s="176"/>
      <c r="F4769" s="177"/>
      <c r="G4769" s="178"/>
      <c r="H4769" s="177"/>
      <c r="I4769" s="177"/>
      <c r="J4769" s="179"/>
      <c r="K4769" s="183"/>
      <c r="L4769" s="176"/>
      <c r="M4769" s="177"/>
      <c r="N4769" s="21"/>
      <c r="O4769" s="45"/>
      <c r="P4769" s="24"/>
      <c r="Q4769" s="24"/>
      <c r="R4769" s="180"/>
      <c r="S4769" s="181"/>
      <c r="T4769" s="35"/>
      <c r="U4769" s="35"/>
      <c r="V4769" s="35"/>
      <c r="W4769" s="35"/>
      <c r="X4769" s="35"/>
      <c r="Y4769" s="182"/>
      <c r="Z4769" s="175"/>
      <c r="AA4769" s="182"/>
      <c r="AB4769" s="184"/>
    </row>
    <row r="4770" spans="1:28" ht="12.75">
      <c r="A4770" s="173"/>
      <c r="B4770" s="174"/>
      <c r="C4770" s="11"/>
      <c r="D4770" s="175"/>
      <c r="E4770" s="176"/>
      <c r="F4770" s="177"/>
      <c r="G4770" s="178"/>
      <c r="H4770" s="177"/>
      <c r="I4770" s="177"/>
      <c r="J4770" s="179"/>
      <c r="K4770" s="183"/>
      <c r="L4770" s="176"/>
      <c r="M4770" s="177"/>
      <c r="N4770" s="21"/>
      <c r="O4770" s="45"/>
      <c r="P4770" s="24"/>
      <c r="Q4770" s="24"/>
      <c r="R4770" s="180"/>
      <c r="S4770" s="181"/>
      <c r="T4770" s="35"/>
      <c r="U4770" s="35"/>
      <c r="V4770" s="35"/>
      <c r="W4770" s="35"/>
      <c r="X4770" s="35"/>
      <c r="Y4770" s="182"/>
      <c r="Z4770" s="175"/>
      <c r="AA4770" s="182"/>
      <c r="AB4770" s="184"/>
    </row>
    <row r="4771" spans="1:28" ht="12.75">
      <c r="A4771" s="173"/>
      <c r="B4771" s="174"/>
      <c r="C4771" s="11"/>
      <c r="D4771" s="175"/>
      <c r="E4771" s="176"/>
      <c r="F4771" s="177"/>
      <c r="G4771" s="178"/>
      <c r="H4771" s="177"/>
      <c r="I4771" s="177"/>
      <c r="J4771" s="179"/>
      <c r="K4771" s="183"/>
      <c r="L4771" s="176"/>
      <c r="M4771" s="177"/>
      <c r="N4771" s="21"/>
      <c r="O4771" s="45"/>
      <c r="P4771" s="24"/>
      <c r="Q4771" s="24"/>
      <c r="R4771" s="180"/>
      <c r="S4771" s="181"/>
      <c r="T4771" s="35"/>
      <c r="U4771" s="35"/>
      <c r="V4771" s="35"/>
      <c r="W4771" s="35"/>
      <c r="X4771" s="35"/>
      <c r="Y4771" s="182"/>
      <c r="Z4771" s="175"/>
      <c r="AA4771" s="182"/>
      <c r="AB4771" s="184"/>
    </row>
    <row r="4772" spans="1:28" ht="12.75">
      <c r="A4772" s="173"/>
      <c r="B4772" s="174"/>
      <c r="C4772" s="11"/>
      <c r="D4772" s="175"/>
      <c r="E4772" s="176"/>
      <c r="F4772" s="177"/>
      <c r="G4772" s="178"/>
      <c r="H4772" s="177"/>
      <c r="I4772" s="177"/>
      <c r="J4772" s="179"/>
      <c r="K4772" s="183"/>
      <c r="L4772" s="176"/>
      <c r="M4772" s="177"/>
      <c r="N4772" s="21"/>
      <c r="O4772" s="45"/>
      <c r="P4772" s="24"/>
      <c r="Q4772" s="24"/>
      <c r="R4772" s="180"/>
      <c r="S4772" s="181"/>
      <c r="T4772" s="35"/>
      <c r="U4772" s="35"/>
      <c r="V4772" s="35"/>
      <c r="W4772" s="35"/>
      <c r="X4772" s="35"/>
      <c r="Y4772" s="182"/>
      <c r="Z4772" s="175"/>
      <c r="AA4772" s="182"/>
      <c r="AB4772" s="184"/>
    </row>
    <row r="4773" spans="1:28" ht="12.75">
      <c r="A4773" s="173"/>
      <c r="B4773" s="174"/>
      <c r="C4773" s="11"/>
      <c r="D4773" s="175"/>
      <c r="E4773" s="176"/>
      <c r="F4773" s="177"/>
      <c r="G4773" s="178"/>
      <c r="H4773" s="177"/>
      <c r="I4773" s="177"/>
      <c r="J4773" s="179"/>
      <c r="K4773" s="183"/>
      <c r="L4773" s="176"/>
      <c r="M4773" s="177"/>
      <c r="N4773" s="21"/>
      <c r="O4773" s="45"/>
      <c r="P4773" s="24"/>
      <c r="Q4773" s="24"/>
      <c r="R4773" s="180"/>
      <c r="S4773" s="181"/>
      <c r="T4773" s="35"/>
      <c r="U4773" s="35"/>
      <c r="V4773" s="35"/>
      <c r="W4773" s="35"/>
      <c r="X4773" s="35"/>
      <c r="Y4773" s="182"/>
      <c r="Z4773" s="175"/>
      <c r="AA4773" s="182"/>
      <c r="AB4773" s="184"/>
    </row>
    <row r="4774" spans="1:28" ht="12.75">
      <c r="A4774" s="173"/>
      <c r="B4774" s="174"/>
      <c r="C4774" s="11"/>
      <c r="D4774" s="175"/>
      <c r="E4774" s="176"/>
      <c r="F4774" s="177"/>
      <c r="G4774" s="178"/>
      <c r="H4774" s="177"/>
      <c r="I4774" s="177"/>
      <c r="J4774" s="179"/>
      <c r="K4774" s="183"/>
      <c r="L4774" s="176"/>
      <c r="M4774" s="177"/>
      <c r="N4774" s="21"/>
      <c r="O4774" s="45"/>
      <c r="P4774" s="24"/>
      <c r="Q4774" s="24"/>
      <c r="R4774" s="180"/>
      <c r="S4774" s="181"/>
      <c r="T4774" s="35"/>
      <c r="U4774" s="35"/>
      <c r="V4774" s="35"/>
      <c r="W4774" s="35"/>
      <c r="X4774" s="35"/>
      <c r="Y4774" s="182"/>
      <c r="Z4774" s="175"/>
      <c r="AA4774" s="182"/>
      <c r="AB4774" s="184"/>
    </row>
    <row r="4775" spans="1:28" ht="12.75">
      <c r="A4775" s="173"/>
      <c r="B4775" s="174"/>
      <c r="C4775" s="11"/>
      <c r="D4775" s="175"/>
      <c r="E4775" s="176"/>
      <c r="F4775" s="177"/>
      <c r="G4775" s="178"/>
      <c r="H4775" s="177"/>
      <c r="I4775" s="177"/>
      <c r="J4775" s="179"/>
      <c r="K4775" s="183"/>
      <c r="L4775" s="176"/>
      <c r="M4775" s="177"/>
      <c r="N4775" s="21"/>
      <c r="O4775" s="45"/>
      <c r="P4775" s="24"/>
      <c r="Q4775" s="24"/>
      <c r="R4775" s="180"/>
      <c r="S4775" s="181"/>
      <c r="T4775" s="35"/>
      <c r="U4775" s="35"/>
      <c r="V4775" s="35"/>
      <c r="W4775" s="35"/>
      <c r="X4775" s="35"/>
      <c r="Y4775" s="182"/>
      <c r="Z4775" s="175"/>
      <c r="AA4775" s="182"/>
      <c r="AB4775" s="184"/>
    </row>
    <row r="4776" spans="1:28" ht="12.75">
      <c r="A4776" s="173"/>
      <c r="B4776" s="174"/>
      <c r="C4776" s="11"/>
      <c r="D4776" s="175"/>
      <c r="E4776" s="176"/>
      <c r="F4776" s="177"/>
      <c r="G4776" s="178"/>
      <c r="H4776" s="177"/>
      <c r="I4776" s="177"/>
      <c r="J4776" s="179"/>
      <c r="K4776" s="183"/>
      <c r="L4776" s="176"/>
      <c r="M4776" s="177"/>
      <c r="N4776" s="21"/>
      <c r="O4776" s="45"/>
      <c r="P4776" s="24"/>
      <c r="Q4776" s="24"/>
      <c r="R4776" s="180"/>
      <c r="S4776" s="181"/>
      <c r="T4776" s="35"/>
      <c r="U4776" s="35"/>
      <c r="V4776" s="35"/>
      <c r="W4776" s="35"/>
      <c r="X4776" s="35"/>
      <c r="Y4776" s="182"/>
      <c r="Z4776" s="175"/>
      <c r="AA4776" s="182"/>
      <c r="AB4776" s="184"/>
    </row>
    <row r="4777" spans="1:28" ht="12.75">
      <c r="A4777" s="173"/>
      <c r="B4777" s="174"/>
      <c r="C4777" s="11"/>
      <c r="D4777" s="175"/>
      <c r="E4777" s="176"/>
      <c r="F4777" s="177"/>
      <c r="G4777" s="178"/>
      <c r="H4777" s="177"/>
      <c r="I4777" s="177"/>
      <c r="J4777" s="179"/>
      <c r="K4777" s="183"/>
      <c r="L4777" s="176"/>
      <c r="M4777" s="177"/>
      <c r="N4777" s="21"/>
      <c r="O4777" s="45"/>
      <c r="P4777" s="24"/>
      <c r="Q4777" s="24"/>
      <c r="R4777" s="180"/>
      <c r="S4777" s="181"/>
      <c r="T4777" s="35"/>
      <c r="U4777" s="35"/>
      <c r="V4777" s="35"/>
      <c r="W4777" s="35"/>
      <c r="X4777" s="35"/>
      <c r="Y4777" s="182"/>
      <c r="Z4777" s="175"/>
      <c r="AA4777" s="182"/>
      <c r="AB4777" s="184"/>
    </row>
    <row r="4778" spans="1:28" ht="12.75">
      <c r="A4778" s="173"/>
      <c r="B4778" s="174"/>
      <c r="C4778" s="11"/>
      <c r="D4778" s="175"/>
      <c r="E4778" s="176"/>
      <c r="F4778" s="177"/>
      <c r="G4778" s="178"/>
      <c r="H4778" s="177"/>
      <c r="I4778" s="177"/>
      <c r="J4778" s="179"/>
      <c r="K4778" s="183"/>
      <c r="L4778" s="176"/>
      <c r="M4778" s="177"/>
      <c r="N4778" s="21"/>
      <c r="O4778" s="45"/>
      <c r="P4778" s="24"/>
      <c r="Q4778" s="24"/>
      <c r="R4778" s="180"/>
      <c r="S4778" s="181"/>
      <c r="T4778" s="35"/>
      <c r="U4778" s="35"/>
      <c r="V4778" s="35"/>
      <c r="W4778" s="35"/>
      <c r="X4778" s="35"/>
      <c r="Y4778" s="182"/>
      <c r="Z4778" s="175"/>
      <c r="AA4778" s="182"/>
      <c r="AB4778" s="184"/>
    </row>
    <row r="4779" spans="1:28" ht="12.75">
      <c r="A4779" s="173"/>
      <c r="B4779" s="174"/>
      <c r="C4779" s="11"/>
      <c r="D4779" s="175"/>
      <c r="E4779" s="176"/>
      <c r="F4779" s="177"/>
      <c r="G4779" s="178"/>
      <c r="H4779" s="177"/>
      <c r="I4779" s="177"/>
      <c r="J4779" s="179"/>
      <c r="K4779" s="183"/>
      <c r="L4779" s="176"/>
      <c r="M4779" s="177"/>
      <c r="N4779" s="21"/>
      <c r="O4779" s="45"/>
      <c r="P4779" s="24"/>
      <c r="Q4779" s="24"/>
      <c r="R4779" s="180"/>
      <c r="S4779" s="181"/>
      <c r="T4779" s="35"/>
      <c r="U4779" s="35"/>
      <c r="V4779" s="35"/>
      <c r="W4779" s="35"/>
      <c r="X4779" s="35"/>
      <c r="Y4779" s="182"/>
      <c r="Z4779" s="175"/>
      <c r="AA4779" s="182"/>
      <c r="AB4779" s="184"/>
    </row>
    <row r="4780" spans="1:28" ht="12.75">
      <c r="A4780" s="173"/>
      <c r="B4780" s="174"/>
      <c r="C4780" s="11"/>
      <c r="D4780" s="175"/>
      <c r="E4780" s="176"/>
      <c r="F4780" s="177"/>
      <c r="G4780" s="178"/>
      <c r="H4780" s="177"/>
      <c r="I4780" s="177"/>
      <c r="J4780" s="179"/>
      <c r="K4780" s="183"/>
      <c r="L4780" s="176"/>
      <c r="M4780" s="177"/>
      <c r="N4780" s="21"/>
      <c r="O4780" s="45"/>
      <c r="P4780" s="24"/>
      <c r="Q4780" s="24"/>
      <c r="R4780" s="180"/>
      <c r="S4780" s="181"/>
      <c r="T4780" s="35"/>
      <c r="U4780" s="35"/>
      <c r="V4780" s="35"/>
      <c r="W4780" s="35"/>
      <c r="X4780" s="35"/>
      <c r="Y4780" s="182"/>
      <c r="Z4780" s="175"/>
      <c r="AA4780" s="182"/>
      <c r="AB4780" s="184"/>
    </row>
    <row r="4781" spans="1:28" ht="12.75">
      <c r="A4781" s="173"/>
      <c r="B4781" s="174"/>
      <c r="C4781" s="11"/>
      <c r="D4781" s="175"/>
      <c r="E4781" s="176"/>
      <c r="F4781" s="177"/>
      <c r="G4781" s="178"/>
      <c r="H4781" s="177"/>
      <c r="I4781" s="177"/>
      <c r="J4781" s="179"/>
      <c r="K4781" s="183"/>
      <c r="L4781" s="176"/>
      <c r="M4781" s="177"/>
      <c r="N4781" s="21"/>
      <c r="O4781" s="45"/>
      <c r="P4781" s="24"/>
      <c r="Q4781" s="24"/>
      <c r="R4781" s="180"/>
      <c r="S4781" s="181"/>
      <c r="T4781" s="35"/>
      <c r="U4781" s="35"/>
      <c r="V4781" s="35"/>
      <c r="W4781" s="35"/>
      <c r="X4781" s="35"/>
      <c r="Y4781" s="182"/>
      <c r="Z4781" s="175"/>
      <c r="AA4781" s="182"/>
      <c r="AB4781" s="184"/>
    </row>
    <row r="4782" spans="1:28" ht="12.75">
      <c r="A4782" s="173"/>
      <c r="B4782" s="174"/>
      <c r="C4782" s="11"/>
      <c r="D4782" s="175"/>
      <c r="E4782" s="176"/>
      <c r="F4782" s="177"/>
      <c r="G4782" s="178"/>
      <c r="H4782" s="177"/>
      <c r="I4782" s="177"/>
      <c r="J4782" s="179"/>
      <c r="K4782" s="183"/>
      <c r="L4782" s="176"/>
      <c r="M4782" s="177"/>
      <c r="N4782" s="21"/>
      <c r="O4782" s="45"/>
      <c r="P4782" s="24"/>
      <c r="Q4782" s="24"/>
      <c r="R4782" s="180"/>
      <c r="S4782" s="181"/>
      <c r="T4782" s="35"/>
      <c r="U4782" s="35"/>
      <c r="V4782" s="35"/>
      <c r="W4782" s="35"/>
      <c r="X4782" s="35"/>
      <c r="Y4782" s="182"/>
      <c r="Z4782" s="175"/>
      <c r="AA4782" s="182"/>
      <c r="AB4782" s="184"/>
    </row>
    <row r="4783" spans="1:28" ht="12.75">
      <c r="A4783" s="173"/>
      <c r="B4783" s="174"/>
      <c r="C4783" s="11"/>
      <c r="D4783" s="175"/>
      <c r="E4783" s="176"/>
      <c r="F4783" s="177"/>
      <c r="G4783" s="178"/>
      <c r="H4783" s="177"/>
      <c r="I4783" s="177"/>
      <c r="J4783" s="179"/>
      <c r="K4783" s="183"/>
      <c r="L4783" s="176"/>
      <c r="M4783" s="177"/>
      <c r="N4783" s="21"/>
      <c r="O4783" s="45"/>
      <c r="P4783" s="24"/>
      <c r="Q4783" s="24"/>
      <c r="R4783" s="180"/>
      <c r="S4783" s="181"/>
      <c r="T4783" s="35"/>
      <c r="U4783" s="35"/>
      <c r="V4783" s="35"/>
      <c r="W4783" s="35"/>
      <c r="X4783" s="35"/>
      <c r="Y4783" s="182"/>
      <c r="Z4783" s="175"/>
      <c r="AA4783" s="182"/>
      <c r="AB4783" s="184"/>
    </row>
    <row r="4784" spans="1:28" ht="12.75">
      <c r="A4784" s="173"/>
      <c r="B4784" s="174"/>
      <c r="C4784" s="11"/>
      <c r="D4784" s="175"/>
      <c r="E4784" s="176"/>
      <c r="F4784" s="177"/>
      <c r="G4784" s="178"/>
      <c r="H4784" s="177"/>
      <c r="I4784" s="177"/>
      <c r="J4784" s="179"/>
      <c r="K4784" s="183"/>
      <c r="L4784" s="176"/>
      <c r="M4784" s="177"/>
      <c r="N4784" s="21"/>
      <c r="O4784" s="45"/>
      <c r="P4784" s="24"/>
      <c r="Q4784" s="24"/>
      <c r="R4784" s="180"/>
      <c r="S4784" s="181"/>
      <c r="T4784" s="35"/>
      <c r="U4784" s="35"/>
      <c r="V4784" s="35"/>
      <c r="W4784" s="35"/>
      <c r="X4784" s="35"/>
      <c r="Y4784" s="182"/>
      <c r="Z4784" s="175"/>
      <c r="AA4784" s="182"/>
      <c r="AB4784" s="184"/>
    </row>
    <row r="4785" spans="1:28" ht="12.75">
      <c r="A4785" s="173"/>
      <c r="B4785" s="174"/>
      <c r="C4785" s="11"/>
      <c r="D4785" s="175"/>
      <c r="E4785" s="176"/>
      <c r="F4785" s="177"/>
      <c r="G4785" s="178"/>
      <c r="H4785" s="177"/>
      <c r="I4785" s="177"/>
      <c r="J4785" s="179"/>
      <c r="K4785" s="183"/>
      <c r="L4785" s="176"/>
      <c r="M4785" s="177"/>
      <c r="N4785" s="21"/>
      <c r="O4785" s="45"/>
      <c r="P4785" s="24"/>
      <c r="Q4785" s="24"/>
      <c r="R4785" s="180"/>
      <c r="S4785" s="181"/>
      <c r="T4785" s="35"/>
      <c r="U4785" s="35"/>
      <c r="V4785" s="35"/>
      <c r="W4785" s="35"/>
      <c r="X4785" s="35"/>
      <c r="Y4785" s="182"/>
      <c r="Z4785" s="175"/>
      <c r="AA4785" s="182"/>
      <c r="AB4785" s="184"/>
    </row>
    <row r="4786" spans="1:28" ht="12.75">
      <c r="A4786" s="173"/>
      <c r="B4786" s="174"/>
      <c r="C4786" s="11"/>
      <c r="D4786" s="175"/>
      <c r="E4786" s="176"/>
      <c r="F4786" s="177"/>
      <c r="G4786" s="178"/>
      <c r="H4786" s="177"/>
      <c r="I4786" s="177"/>
      <c r="J4786" s="179"/>
      <c r="K4786" s="183"/>
      <c r="L4786" s="176"/>
      <c r="M4786" s="177"/>
      <c r="N4786" s="21"/>
      <c r="O4786" s="45"/>
      <c r="P4786" s="24"/>
      <c r="Q4786" s="24"/>
      <c r="R4786" s="180"/>
      <c r="S4786" s="181"/>
      <c r="T4786" s="35"/>
      <c r="U4786" s="35"/>
      <c r="V4786" s="35"/>
      <c r="W4786" s="35"/>
      <c r="X4786" s="35"/>
      <c r="Y4786" s="182"/>
      <c r="Z4786" s="175"/>
      <c r="AA4786" s="182"/>
      <c r="AB4786" s="184"/>
    </row>
    <row r="4787" spans="1:28" ht="12.75">
      <c r="A4787" s="173"/>
      <c r="B4787" s="174"/>
      <c r="C4787" s="11"/>
      <c r="D4787" s="175"/>
      <c r="E4787" s="176"/>
      <c r="F4787" s="177"/>
      <c r="G4787" s="178"/>
      <c r="H4787" s="177"/>
      <c r="I4787" s="177"/>
      <c r="J4787" s="179"/>
      <c r="K4787" s="183"/>
      <c r="L4787" s="176"/>
      <c r="M4787" s="177"/>
      <c r="N4787" s="21"/>
      <c r="O4787" s="45"/>
      <c r="P4787" s="24"/>
      <c r="Q4787" s="24"/>
      <c r="R4787" s="180"/>
      <c r="S4787" s="181"/>
      <c r="T4787" s="35"/>
      <c r="U4787" s="35"/>
      <c r="V4787" s="35"/>
      <c r="W4787" s="35"/>
      <c r="X4787" s="35"/>
      <c r="Y4787" s="182"/>
      <c r="Z4787" s="175"/>
      <c r="AA4787" s="182"/>
      <c r="AB4787" s="184"/>
    </row>
    <row r="4788" spans="1:28" ht="12.75">
      <c r="A4788" s="173"/>
      <c r="B4788" s="174"/>
      <c r="C4788" s="11"/>
      <c r="D4788" s="175"/>
      <c r="E4788" s="176"/>
      <c r="F4788" s="177"/>
      <c r="G4788" s="178"/>
      <c r="H4788" s="177"/>
      <c r="I4788" s="177"/>
      <c r="J4788" s="179"/>
      <c r="K4788" s="183"/>
      <c r="L4788" s="176"/>
      <c r="M4788" s="177"/>
      <c r="N4788" s="21"/>
      <c r="O4788" s="45"/>
      <c r="P4788" s="24"/>
      <c r="Q4788" s="24"/>
      <c r="R4788" s="180"/>
      <c r="S4788" s="181"/>
      <c r="T4788" s="35"/>
      <c r="U4788" s="35"/>
      <c r="V4788" s="35"/>
      <c r="W4788" s="35"/>
      <c r="X4788" s="35"/>
      <c r="Y4788" s="182"/>
      <c r="Z4788" s="175"/>
      <c r="AA4788" s="182"/>
      <c r="AB4788" s="184"/>
    </row>
    <row r="4789" spans="1:28" ht="12.75">
      <c r="A4789" s="173"/>
      <c r="B4789" s="174"/>
      <c r="C4789" s="11"/>
      <c r="D4789" s="175"/>
      <c r="E4789" s="176"/>
      <c r="F4789" s="177"/>
      <c r="G4789" s="178"/>
      <c r="H4789" s="177"/>
      <c r="I4789" s="177"/>
      <c r="J4789" s="179"/>
      <c r="K4789" s="183"/>
      <c r="L4789" s="176"/>
      <c r="M4789" s="177"/>
      <c r="N4789" s="21"/>
      <c r="O4789" s="45"/>
      <c r="P4789" s="24"/>
      <c r="Q4789" s="24"/>
      <c r="R4789" s="180"/>
      <c r="S4789" s="181"/>
      <c r="T4789" s="35"/>
      <c r="U4789" s="35"/>
      <c r="V4789" s="35"/>
      <c r="W4789" s="35"/>
      <c r="X4789" s="35"/>
      <c r="Y4789" s="182"/>
      <c r="Z4789" s="175"/>
      <c r="AA4789" s="182"/>
      <c r="AB4789" s="184"/>
    </row>
    <row r="4790" spans="1:28" ht="12.75">
      <c r="A4790" s="173"/>
      <c r="B4790" s="174"/>
      <c r="C4790" s="11"/>
      <c r="D4790" s="175"/>
      <c r="E4790" s="176"/>
      <c r="F4790" s="177"/>
      <c r="G4790" s="178"/>
      <c r="H4790" s="177"/>
      <c r="I4790" s="177"/>
      <c r="J4790" s="179"/>
      <c r="K4790" s="183"/>
      <c r="L4790" s="176"/>
      <c r="M4790" s="177"/>
      <c r="N4790" s="21"/>
      <c r="O4790" s="45"/>
      <c r="P4790" s="24"/>
      <c r="Q4790" s="24"/>
      <c r="R4790" s="180"/>
      <c r="S4790" s="181"/>
      <c r="T4790" s="35"/>
      <c r="U4790" s="35"/>
      <c r="V4790" s="35"/>
      <c r="W4790" s="35"/>
      <c r="X4790" s="35"/>
      <c r="Y4790" s="182"/>
      <c r="Z4790" s="175"/>
      <c r="AA4790" s="182"/>
      <c r="AB4790" s="184"/>
    </row>
    <row r="4791" spans="1:28" ht="12.75">
      <c r="A4791" s="173"/>
      <c r="B4791" s="174"/>
      <c r="C4791" s="11"/>
      <c r="D4791" s="175"/>
      <c r="E4791" s="176"/>
      <c r="F4791" s="177"/>
      <c r="G4791" s="178"/>
      <c r="H4791" s="177"/>
      <c r="I4791" s="177"/>
      <c r="J4791" s="179"/>
      <c r="K4791" s="183"/>
      <c r="L4791" s="176"/>
      <c r="M4791" s="177"/>
      <c r="N4791" s="21"/>
      <c r="O4791" s="45"/>
      <c r="P4791" s="24"/>
      <c r="Q4791" s="24"/>
      <c r="R4791" s="180"/>
      <c r="S4791" s="181"/>
      <c r="T4791" s="35"/>
      <c r="U4791" s="35"/>
      <c r="V4791" s="35"/>
      <c r="W4791" s="35"/>
      <c r="X4791" s="35"/>
      <c r="Y4791" s="182"/>
      <c r="Z4791" s="175"/>
      <c r="AA4791" s="182"/>
      <c r="AB4791" s="184"/>
    </row>
    <row r="4792" spans="1:28" ht="12.75">
      <c r="A4792" s="173"/>
      <c r="B4792" s="174"/>
      <c r="C4792" s="11"/>
      <c r="D4792" s="175"/>
      <c r="E4792" s="176"/>
      <c r="F4792" s="177"/>
      <c r="G4792" s="178"/>
      <c r="H4792" s="177"/>
      <c r="I4792" s="177"/>
      <c r="J4792" s="179"/>
      <c r="K4792" s="183"/>
      <c r="L4792" s="176"/>
      <c r="M4792" s="177"/>
      <c r="N4792" s="21"/>
      <c r="O4792" s="45"/>
      <c r="P4792" s="24"/>
      <c r="Q4792" s="24"/>
      <c r="R4792" s="180"/>
      <c r="S4792" s="181"/>
      <c r="T4792" s="35"/>
      <c r="U4792" s="35"/>
      <c r="V4792" s="35"/>
      <c r="W4792" s="35"/>
      <c r="X4792" s="35"/>
      <c r="Y4792" s="182"/>
      <c r="Z4792" s="175"/>
      <c r="AA4792" s="182"/>
      <c r="AB4792" s="184"/>
    </row>
    <row r="4793" spans="1:28" ht="12.75">
      <c r="A4793" s="173"/>
      <c r="B4793" s="174"/>
      <c r="C4793" s="11"/>
      <c r="D4793" s="175"/>
      <c r="E4793" s="176"/>
      <c r="F4793" s="177"/>
      <c r="G4793" s="178"/>
      <c r="H4793" s="177"/>
      <c r="I4793" s="177"/>
      <c r="J4793" s="179"/>
      <c r="K4793" s="183"/>
      <c r="L4793" s="176"/>
      <c r="M4793" s="177"/>
      <c r="N4793" s="21"/>
      <c r="O4793" s="45"/>
      <c r="P4793" s="24"/>
      <c r="Q4793" s="24"/>
      <c r="R4793" s="180"/>
      <c r="S4793" s="181"/>
      <c r="T4793" s="35"/>
      <c r="U4793" s="35"/>
      <c r="V4793" s="35"/>
      <c r="W4793" s="35"/>
      <c r="X4793" s="35"/>
      <c r="Y4793" s="182"/>
      <c r="Z4793" s="175"/>
      <c r="AA4793" s="182"/>
      <c r="AB4793" s="184"/>
    </row>
    <row r="4794" spans="1:28" ht="12.75">
      <c r="A4794" s="173"/>
      <c r="B4794" s="174"/>
      <c r="C4794" s="11"/>
      <c r="D4794" s="175"/>
      <c r="E4794" s="176"/>
      <c r="F4794" s="177"/>
      <c r="G4794" s="178"/>
      <c r="H4794" s="177"/>
      <c r="I4794" s="177"/>
      <c r="J4794" s="179"/>
      <c r="K4794" s="183"/>
      <c r="L4794" s="176"/>
      <c r="M4794" s="177"/>
      <c r="N4794" s="21"/>
      <c r="O4794" s="45"/>
      <c r="P4794" s="24"/>
      <c r="Q4794" s="24"/>
      <c r="R4794" s="180"/>
      <c r="S4794" s="181"/>
      <c r="T4794" s="35"/>
      <c r="U4794" s="35"/>
      <c r="V4794" s="35"/>
      <c r="W4794" s="35"/>
      <c r="X4794" s="35"/>
      <c r="Y4794" s="182"/>
      <c r="Z4794" s="175"/>
      <c r="AA4794" s="182"/>
      <c r="AB4794" s="184"/>
    </row>
    <row r="4795" spans="1:28" ht="12.75">
      <c r="A4795" s="173"/>
      <c r="B4795" s="174"/>
      <c r="C4795" s="11"/>
      <c r="D4795" s="175"/>
      <c r="E4795" s="176"/>
      <c r="F4795" s="177"/>
      <c r="G4795" s="178"/>
      <c r="H4795" s="177"/>
      <c r="I4795" s="177"/>
      <c r="J4795" s="179"/>
      <c r="K4795" s="183"/>
      <c r="L4795" s="176"/>
      <c r="M4795" s="177"/>
      <c r="N4795" s="21"/>
      <c r="O4795" s="45"/>
      <c r="P4795" s="24"/>
      <c r="Q4795" s="24"/>
      <c r="R4795" s="180"/>
      <c r="S4795" s="181"/>
      <c r="T4795" s="35"/>
      <c r="U4795" s="35"/>
      <c r="V4795" s="35"/>
      <c r="W4795" s="35"/>
      <c r="X4795" s="35"/>
      <c r="Y4795" s="182"/>
      <c r="Z4795" s="175"/>
      <c r="AA4795" s="182"/>
      <c r="AB4795" s="184"/>
    </row>
    <row r="4796" spans="1:28" ht="12.75">
      <c r="A4796" s="173"/>
      <c r="B4796" s="174"/>
      <c r="C4796" s="11"/>
      <c r="D4796" s="175"/>
      <c r="E4796" s="176"/>
      <c r="F4796" s="177"/>
      <c r="G4796" s="178"/>
      <c r="H4796" s="177"/>
      <c r="I4796" s="177"/>
      <c r="J4796" s="179"/>
      <c r="K4796" s="183"/>
      <c r="L4796" s="176"/>
      <c r="M4796" s="177"/>
      <c r="N4796" s="21"/>
      <c r="O4796" s="45"/>
      <c r="P4796" s="24"/>
      <c r="Q4796" s="24"/>
      <c r="R4796" s="180"/>
      <c r="S4796" s="181"/>
      <c r="T4796" s="35"/>
      <c r="U4796" s="35"/>
      <c r="V4796" s="35"/>
      <c r="W4796" s="35"/>
      <c r="X4796" s="35"/>
      <c r="Y4796" s="182"/>
      <c r="Z4796" s="175"/>
      <c r="AA4796" s="182"/>
      <c r="AB4796" s="184"/>
    </row>
    <row r="4797" spans="1:28" ht="12.75">
      <c r="A4797" s="173"/>
      <c r="B4797" s="174"/>
      <c r="C4797" s="11"/>
      <c r="D4797" s="175"/>
      <c r="E4797" s="176"/>
      <c r="F4797" s="177"/>
      <c r="G4797" s="178"/>
      <c r="H4797" s="177"/>
      <c r="I4797" s="177"/>
      <c r="J4797" s="179"/>
      <c r="K4797" s="183"/>
      <c r="L4797" s="176"/>
      <c r="M4797" s="177"/>
      <c r="N4797" s="21"/>
      <c r="O4797" s="45"/>
      <c r="P4797" s="24"/>
      <c r="Q4797" s="24"/>
      <c r="R4797" s="180"/>
      <c r="S4797" s="181"/>
      <c r="T4797" s="35"/>
      <c r="U4797" s="35"/>
      <c r="V4797" s="35"/>
      <c r="W4797" s="35"/>
      <c r="X4797" s="35"/>
      <c r="Y4797" s="182"/>
      <c r="Z4797" s="175"/>
      <c r="AA4797" s="182"/>
      <c r="AB4797" s="184"/>
    </row>
    <row r="4798" spans="1:28" ht="12.75">
      <c r="A4798" s="173"/>
      <c r="B4798" s="174"/>
      <c r="C4798" s="11"/>
      <c r="D4798" s="175"/>
      <c r="E4798" s="176"/>
      <c r="F4798" s="177"/>
      <c r="G4798" s="178"/>
      <c r="H4798" s="177"/>
      <c r="I4798" s="177"/>
      <c r="J4798" s="179"/>
      <c r="K4798" s="183"/>
      <c r="L4798" s="176"/>
      <c r="M4798" s="177"/>
      <c r="N4798" s="21"/>
      <c r="O4798" s="45"/>
      <c r="P4798" s="24"/>
      <c r="Q4798" s="24"/>
      <c r="R4798" s="180"/>
      <c r="S4798" s="181"/>
      <c r="T4798" s="35"/>
      <c r="U4798" s="35"/>
      <c r="V4798" s="35"/>
      <c r="W4798" s="35"/>
      <c r="X4798" s="35"/>
      <c r="Y4798" s="182"/>
      <c r="Z4798" s="175"/>
      <c r="AA4798" s="182"/>
      <c r="AB4798" s="184"/>
    </row>
    <row r="4799" spans="1:28" ht="12.75">
      <c r="A4799" s="173"/>
      <c r="B4799" s="174"/>
      <c r="C4799" s="11"/>
      <c r="D4799" s="175"/>
      <c r="E4799" s="176"/>
      <c r="F4799" s="177"/>
      <c r="G4799" s="178"/>
      <c r="H4799" s="177"/>
      <c r="I4799" s="177"/>
      <c r="J4799" s="179"/>
      <c r="K4799" s="183"/>
      <c r="L4799" s="176"/>
      <c r="M4799" s="177"/>
      <c r="N4799" s="21"/>
      <c r="O4799" s="45"/>
      <c r="P4799" s="24"/>
      <c r="Q4799" s="24"/>
      <c r="R4799" s="180"/>
      <c r="S4799" s="181"/>
      <c r="T4799" s="35"/>
      <c r="U4799" s="35"/>
      <c r="V4799" s="35"/>
      <c r="W4799" s="35"/>
      <c r="X4799" s="35"/>
      <c r="Y4799" s="182"/>
      <c r="Z4799" s="175"/>
      <c r="AA4799" s="182"/>
      <c r="AB4799" s="184"/>
    </row>
    <row r="4800" spans="1:28" ht="12.75">
      <c r="A4800" s="173"/>
      <c r="B4800" s="174"/>
      <c r="C4800" s="11"/>
      <c r="D4800" s="175"/>
      <c r="E4800" s="176"/>
      <c r="F4800" s="177"/>
      <c r="G4800" s="178"/>
      <c r="H4800" s="177"/>
      <c r="I4800" s="177"/>
      <c r="J4800" s="179"/>
      <c r="K4800" s="183"/>
      <c r="L4800" s="176"/>
      <c r="M4800" s="177"/>
      <c r="N4800" s="21"/>
      <c r="O4800" s="45"/>
      <c r="P4800" s="24"/>
      <c r="Q4800" s="24"/>
      <c r="R4800" s="180"/>
      <c r="S4800" s="181"/>
      <c r="T4800" s="35"/>
      <c r="U4800" s="35"/>
      <c r="V4800" s="35"/>
      <c r="W4800" s="35"/>
      <c r="X4800" s="35"/>
      <c r="Y4800" s="182"/>
      <c r="Z4800" s="175"/>
      <c r="AA4800" s="182"/>
      <c r="AB4800" s="184"/>
    </row>
    <row r="4801" spans="1:28" ht="12.75">
      <c r="A4801" s="173"/>
      <c r="B4801" s="174"/>
      <c r="C4801" s="11"/>
      <c r="D4801" s="175"/>
      <c r="E4801" s="176"/>
      <c r="F4801" s="177"/>
      <c r="G4801" s="178"/>
      <c r="H4801" s="177"/>
      <c r="I4801" s="177"/>
      <c r="J4801" s="179"/>
      <c r="K4801" s="183"/>
      <c r="L4801" s="176"/>
      <c r="M4801" s="177"/>
      <c r="N4801" s="21"/>
      <c r="O4801" s="45"/>
      <c r="P4801" s="24"/>
      <c r="Q4801" s="24"/>
      <c r="R4801" s="180"/>
      <c r="S4801" s="181"/>
      <c r="T4801" s="35"/>
      <c r="U4801" s="35"/>
      <c r="V4801" s="35"/>
      <c r="W4801" s="35"/>
      <c r="X4801" s="35"/>
      <c r="Y4801" s="182"/>
      <c r="Z4801" s="175"/>
      <c r="AA4801" s="182"/>
      <c r="AB4801" s="184"/>
    </row>
    <row r="4802" spans="1:28" ht="12.75">
      <c r="A4802" s="173"/>
      <c r="B4802" s="174"/>
      <c r="C4802" s="11"/>
      <c r="D4802" s="175"/>
      <c r="E4802" s="176"/>
      <c r="F4802" s="177"/>
      <c r="G4802" s="178"/>
      <c r="H4802" s="177"/>
      <c r="I4802" s="177"/>
      <c r="J4802" s="179"/>
      <c r="K4802" s="183"/>
      <c r="L4802" s="176"/>
      <c r="M4802" s="177"/>
      <c r="N4802" s="21"/>
      <c r="O4802" s="45"/>
      <c r="P4802" s="24"/>
      <c r="Q4802" s="24"/>
      <c r="R4802" s="180"/>
      <c r="S4802" s="181"/>
      <c r="T4802" s="35"/>
      <c r="U4802" s="35"/>
      <c r="V4802" s="35"/>
      <c r="W4802" s="35"/>
      <c r="X4802" s="35"/>
      <c r="Y4802" s="182"/>
      <c r="Z4802" s="175"/>
      <c r="AA4802" s="182"/>
      <c r="AB4802" s="184"/>
    </row>
    <row r="4803" spans="1:28" ht="12.75">
      <c r="A4803" s="173"/>
      <c r="B4803" s="174"/>
      <c r="C4803" s="11"/>
      <c r="D4803" s="175"/>
      <c r="E4803" s="176"/>
      <c r="F4803" s="177"/>
      <c r="G4803" s="178"/>
      <c r="H4803" s="177"/>
      <c r="I4803" s="177"/>
      <c r="J4803" s="179"/>
      <c r="K4803" s="183"/>
      <c r="L4803" s="176"/>
      <c r="M4803" s="177"/>
      <c r="N4803" s="21"/>
      <c r="O4803" s="45"/>
      <c r="P4803" s="24"/>
      <c r="Q4803" s="24"/>
      <c r="R4803" s="180"/>
      <c r="S4803" s="181"/>
      <c r="T4803" s="35"/>
      <c r="U4803" s="35"/>
      <c r="V4803" s="35"/>
      <c r="W4803" s="35"/>
      <c r="X4803" s="35"/>
      <c r="Y4803" s="182"/>
      <c r="Z4803" s="175"/>
      <c r="AA4803" s="182"/>
      <c r="AB4803" s="184"/>
    </row>
    <row r="4804" spans="1:28" ht="12.75">
      <c r="A4804" s="173"/>
      <c r="B4804" s="174"/>
      <c r="C4804" s="11"/>
      <c r="D4804" s="175"/>
      <c r="E4804" s="176"/>
      <c r="F4804" s="177"/>
      <c r="G4804" s="178"/>
      <c r="H4804" s="177"/>
      <c r="I4804" s="177"/>
      <c r="J4804" s="179"/>
      <c r="K4804" s="183"/>
      <c r="L4804" s="176"/>
      <c r="M4804" s="177"/>
      <c r="N4804" s="21"/>
      <c r="O4804" s="45"/>
      <c r="P4804" s="24"/>
      <c r="Q4804" s="24"/>
      <c r="R4804" s="180"/>
      <c r="S4804" s="181"/>
      <c r="T4804" s="35"/>
      <c r="U4804" s="35"/>
      <c r="V4804" s="35"/>
      <c r="W4804" s="35"/>
      <c r="X4804" s="35"/>
      <c r="Y4804" s="182"/>
      <c r="Z4804" s="175"/>
      <c r="AA4804" s="182"/>
      <c r="AB4804" s="184"/>
    </row>
    <row r="4805" spans="1:28" ht="12.75">
      <c r="A4805" s="173"/>
      <c r="B4805" s="174"/>
      <c r="C4805" s="11"/>
      <c r="D4805" s="175"/>
      <c r="E4805" s="176"/>
      <c r="F4805" s="177"/>
      <c r="G4805" s="178"/>
      <c r="H4805" s="177"/>
      <c r="I4805" s="177"/>
      <c r="J4805" s="179"/>
      <c r="K4805" s="183"/>
      <c r="L4805" s="176"/>
      <c r="M4805" s="177"/>
      <c r="N4805" s="21"/>
      <c r="O4805" s="45"/>
      <c r="P4805" s="24"/>
      <c r="Q4805" s="24"/>
      <c r="R4805" s="180"/>
      <c r="S4805" s="181"/>
      <c r="T4805" s="35"/>
      <c r="U4805" s="35"/>
      <c r="V4805" s="35"/>
      <c r="W4805" s="35"/>
      <c r="X4805" s="35"/>
      <c r="Y4805" s="182"/>
      <c r="Z4805" s="175"/>
      <c r="AA4805" s="182"/>
      <c r="AB4805" s="184"/>
    </row>
    <row r="4806" spans="1:28" ht="12.75">
      <c r="A4806" s="173"/>
      <c r="B4806" s="174"/>
      <c r="C4806" s="11"/>
      <c r="D4806" s="175"/>
      <c r="E4806" s="176"/>
      <c r="F4806" s="177"/>
      <c r="G4806" s="178"/>
      <c r="H4806" s="177"/>
      <c r="I4806" s="177"/>
      <c r="J4806" s="179"/>
      <c r="K4806" s="183"/>
      <c r="L4806" s="176"/>
      <c r="M4806" s="177"/>
      <c r="N4806" s="21"/>
      <c r="O4806" s="45"/>
      <c r="P4806" s="24"/>
      <c r="Q4806" s="24"/>
      <c r="R4806" s="180"/>
      <c r="S4806" s="181"/>
      <c r="T4806" s="35"/>
      <c r="U4806" s="35"/>
      <c r="V4806" s="35"/>
      <c r="W4806" s="35"/>
      <c r="X4806" s="35"/>
      <c r="Y4806" s="182"/>
      <c r="Z4806" s="175"/>
      <c r="AA4806" s="182"/>
      <c r="AB4806" s="184"/>
    </row>
    <row r="4807" spans="1:28" ht="12.75">
      <c r="A4807" s="173"/>
      <c r="B4807" s="174"/>
      <c r="C4807" s="11"/>
      <c r="D4807" s="175"/>
      <c r="E4807" s="176"/>
      <c r="F4807" s="177"/>
      <c r="G4807" s="178"/>
      <c r="H4807" s="177"/>
      <c r="I4807" s="177"/>
      <c r="J4807" s="179"/>
      <c r="K4807" s="183"/>
      <c r="L4807" s="176"/>
      <c r="M4807" s="177"/>
      <c r="N4807" s="21"/>
      <c r="O4807" s="45"/>
      <c r="P4807" s="24"/>
      <c r="Q4807" s="24"/>
      <c r="R4807" s="180"/>
      <c r="S4807" s="181"/>
      <c r="T4807" s="35"/>
      <c r="U4807" s="35"/>
      <c r="V4807" s="35"/>
      <c r="W4807" s="35"/>
      <c r="X4807" s="35"/>
      <c r="Y4807" s="182"/>
      <c r="Z4807" s="175"/>
      <c r="AA4807" s="182"/>
      <c r="AB4807" s="184"/>
    </row>
    <row r="4808" spans="1:28" ht="12.75">
      <c r="A4808" s="173"/>
      <c r="B4808" s="174"/>
      <c r="C4808" s="11"/>
      <c r="D4808" s="175"/>
      <c r="E4808" s="176"/>
      <c r="F4808" s="177"/>
      <c r="G4808" s="178"/>
      <c r="H4808" s="177"/>
      <c r="I4808" s="177"/>
      <c r="J4808" s="179"/>
      <c r="K4808" s="183"/>
      <c r="L4808" s="176"/>
      <c r="M4808" s="177"/>
      <c r="N4808" s="21"/>
      <c r="O4808" s="45"/>
      <c r="P4808" s="24"/>
      <c r="Q4808" s="24"/>
      <c r="R4808" s="180"/>
      <c r="S4808" s="181"/>
      <c r="T4808" s="35"/>
      <c r="U4808" s="35"/>
      <c r="V4808" s="35"/>
      <c r="W4808" s="35"/>
      <c r="X4808" s="35"/>
      <c r="Y4808" s="182"/>
      <c r="Z4808" s="175"/>
      <c r="AA4808" s="182"/>
      <c r="AB4808" s="184"/>
    </row>
    <row r="4809" spans="1:28" ht="12.75">
      <c r="A4809" s="173"/>
      <c r="B4809" s="174"/>
      <c r="C4809" s="11"/>
      <c r="D4809" s="175"/>
      <c r="E4809" s="176"/>
      <c r="F4809" s="177"/>
      <c r="G4809" s="178"/>
      <c r="H4809" s="177"/>
      <c r="I4809" s="177"/>
      <c r="J4809" s="179"/>
      <c r="K4809" s="183"/>
      <c r="L4809" s="176"/>
      <c r="M4809" s="177"/>
      <c r="N4809" s="21"/>
      <c r="O4809" s="45"/>
      <c r="P4809" s="24"/>
      <c r="Q4809" s="24"/>
      <c r="R4809" s="180"/>
      <c r="S4809" s="181"/>
      <c r="T4809" s="35"/>
      <c r="U4809" s="35"/>
      <c r="V4809" s="35"/>
      <c r="W4809" s="35"/>
      <c r="X4809" s="35"/>
      <c r="Y4809" s="182"/>
      <c r="Z4809" s="175"/>
      <c r="AA4809" s="182"/>
      <c r="AB4809" s="184"/>
    </row>
    <row r="4810" spans="1:28" ht="12.75">
      <c r="A4810" s="173"/>
      <c r="B4810" s="174"/>
      <c r="C4810" s="11"/>
      <c r="D4810" s="175"/>
      <c r="E4810" s="176"/>
      <c r="F4810" s="177"/>
      <c r="G4810" s="178"/>
      <c r="H4810" s="177"/>
      <c r="I4810" s="177"/>
      <c r="J4810" s="179"/>
      <c r="K4810" s="183"/>
      <c r="L4810" s="176"/>
      <c r="M4810" s="177"/>
      <c r="N4810" s="21"/>
      <c r="O4810" s="45"/>
      <c r="P4810" s="24"/>
      <c r="Q4810" s="24"/>
      <c r="R4810" s="180"/>
      <c r="S4810" s="181"/>
      <c r="T4810" s="35"/>
      <c r="U4810" s="35"/>
      <c r="V4810" s="35"/>
      <c r="W4810" s="35"/>
      <c r="X4810" s="35"/>
      <c r="Y4810" s="182"/>
      <c r="Z4810" s="175"/>
      <c r="AA4810" s="182"/>
      <c r="AB4810" s="184"/>
    </row>
    <row r="4811" spans="1:28" ht="12.75">
      <c r="A4811" s="173"/>
      <c r="B4811" s="174"/>
      <c r="C4811" s="11"/>
      <c r="D4811" s="175"/>
      <c r="E4811" s="176"/>
      <c r="F4811" s="177"/>
      <c r="G4811" s="178"/>
      <c r="H4811" s="177"/>
      <c r="I4811" s="177"/>
      <c r="J4811" s="179"/>
      <c r="K4811" s="183"/>
      <c r="L4811" s="176"/>
      <c r="M4811" s="177"/>
      <c r="N4811" s="21"/>
      <c r="O4811" s="45"/>
      <c r="P4811" s="24"/>
      <c r="Q4811" s="24"/>
      <c r="R4811" s="180"/>
      <c r="S4811" s="181"/>
      <c r="T4811" s="35"/>
      <c r="U4811" s="35"/>
      <c r="V4811" s="35"/>
      <c r="W4811" s="35"/>
      <c r="X4811" s="35"/>
      <c r="Y4811" s="182"/>
      <c r="Z4811" s="175"/>
      <c r="AA4811" s="182"/>
      <c r="AB4811" s="184"/>
    </row>
    <row r="4812" spans="1:28" ht="12.75">
      <c r="A4812" s="173"/>
      <c r="B4812" s="174"/>
      <c r="C4812" s="11"/>
      <c r="D4812" s="175"/>
      <c r="E4812" s="176"/>
      <c r="F4812" s="177"/>
      <c r="G4812" s="178"/>
      <c r="H4812" s="177"/>
      <c r="I4812" s="177"/>
      <c r="J4812" s="179"/>
      <c r="K4812" s="183"/>
      <c r="L4812" s="176"/>
      <c r="M4812" s="177"/>
      <c r="N4812" s="21"/>
      <c r="O4812" s="45"/>
      <c r="P4812" s="24"/>
      <c r="Q4812" s="24"/>
      <c r="R4812" s="180"/>
      <c r="S4812" s="181"/>
      <c r="T4812" s="35"/>
      <c r="U4812" s="35"/>
      <c r="V4812" s="35"/>
      <c r="W4812" s="35"/>
      <c r="X4812" s="35"/>
      <c r="Y4812" s="182"/>
      <c r="Z4812" s="175"/>
      <c r="AA4812" s="182"/>
      <c r="AB4812" s="184"/>
    </row>
    <row r="4813" spans="1:28" ht="12.75">
      <c r="A4813" s="173"/>
      <c r="B4813" s="174"/>
      <c r="C4813" s="11"/>
      <c r="D4813" s="175"/>
      <c r="E4813" s="176"/>
      <c r="F4813" s="177"/>
      <c r="G4813" s="178"/>
      <c r="H4813" s="177"/>
      <c r="I4813" s="177"/>
      <c r="J4813" s="179"/>
      <c r="K4813" s="183"/>
      <c r="L4813" s="176"/>
      <c r="M4813" s="177"/>
      <c r="N4813" s="21"/>
      <c r="O4813" s="45"/>
      <c r="P4813" s="24"/>
      <c r="Q4813" s="24"/>
      <c r="R4813" s="180"/>
      <c r="S4813" s="181"/>
      <c r="T4813" s="35"/>
      <c r="U4813" s="35"/>
      <c r="V4813" s="35"/>
      <c r="W4813" s="35"/>
      <c r="X4813" s="35"/>
      <c r="Y4813" s="182"/>
      <c r="Z4813" s="175"/>
      <c r="AA4813" s="182"/>
      <c r="AB4813" s="184"/>
    </row>
    <row r="4814" spans="1:28" ht="12.75">
      <c r="A4814" s="173"/>
      <c r="B4814" s="174"/>
      <c r="C4814" s="11"/>
      <c r="D4814" s="175"/>
      <c r="E4814" s="176"/>
      <c r="F4814" s="177"/>
      <c r="G4814" s="178"/>
      <c r="H4814" s="177"/>
      <c r="I4814" s="177"/>
      <c r="J4814" s="179"/>
      <c r="K4814" s="183"/>
      <c r="L4814" s="176"/>
      <c r="M4814" s="177"/>
      <c r="N4814" s="21"/>
      <c r="O4814" s="45"/>
      <c r="P4814" s="24"/>
      <c r="Q4814" s="24"/>
      <c r="R4814" s="180"/>
      <c r="S4814" s="181"/>
      <c r="T4814" s="35"/>
      <c r="U4814" s="35"/>
      <c r="V4814" s="35"/>
      <c r="W4814" s="35"/>
      <c r="X4814" s="35"/>
      <c r="Y4814" s="182"/>
      <c r="Z4814" s="175"/>
      <c r="AA4814" s="182"/>
      <c r="AB4814" s="184"/>
    </row>
    <row r="4815" spans="1:28" ht="12.75">
      <c r="A4815" s="173"/>
      <c r="B4815" s="174"/>
      <c r="C4815" s="11"/>
      <c r="D4815" s="175"/>
      <c r="E4815" s="176"/>
      <c r="F4815" s="177"/>
      <c r="G4815" s="178"/>
      <c r="H4815" s="177"/>
      <c r="I4815" s="177"/>
      <c r="J4815" s="179"/>
      <c r="K4815" s="183"/>
      <c r="L4815" s="176"/>
      <c r="M4815" s="177"/>
      <c r="N4815" s="21"/>
      <c r="O4815" s="45"/>
      <c r="P4815" s="24"/>
      <c r="Q4815" s="24"/>
      <c r="R4815" s="180"/>
      <c r="S4815" s="181"/>
      <c r="T4815" s="35"/>
      <c r="U4815" s="35"/>
      <c r="V4815" s="35"/>
      <c r="W4815" s="35"/>
      <c r="X4815" s="35"/>
      <c r="Y4815" s="182"/>
      <c r="Z4815" s="175"/>
      <c r="AA4815" s="182"/>
      <c r="AB4815" s="184"/>
    </row>
    <row r="4816" spans="1:28" ht="12.75">
      <c r="A4816" s="173"/>
      <c r="B4816" s="174"/>
      <c r="C4816" s="11"/>
      <c r="D4816" s="175"/>
      <c r="E4816" s="176"/>
      <c r="F4816" s="177"/>
      <c r="G4816" s="178"/>
      <c r="H4816" s="177"/>
      <c r="I4816" s="177"/>
      <c r="J4816" s="179"/>
      <c r="K4816" s="183"/>
      <c r="L4816" s="176"/>
      <c r="M4816" s="177"/>
      <c r="N4816" s="21"/>
      <c r="O4816" s="45"/>
      <c r="P4816" s="24"/>
      <c r="Q4816" s="24"/>
      <c r="R4816" s="180"/>
      <c r="S4816" s="181"/>
      <c r="T4816" s="35"/>
      <c r="U4816" s="35"/>
      <c r="V4816" s="35"/>
      <c r="W4816" s="35"/>
      <c r="X4816" s="35"/>
      <c r="Y4816" s="182"/>
      <c r="Z4816" s="175"/>
      <c r="AA4816" s="182"/>
      <c r="AB4816" s="184"/>
    </row>
    <row r="4817" spans="1:28" ht="12.75">
      <c r="A4817" s="173"/>
      <c r="B4817" s="174"/>
      <c r="C4817" s="11"/>
      <c r="D4817" s="175"/>
      <c r="E4817" s="176"/>
      <c r="F4817" s="177"/>
      <c r="G4817" s="178"/>
      <c r="H4817" s="177"/>
      <c r="I4817" s="177"/>
      <c r="J4817" s="179"/>
      <c r="K4817" s="183"/>
      <c r="L4817" s="176"/>
      <c r="M4817" s="177"/>
      <c r="N4817" s="21"/>
      <c r="O4817" s="45"/>
      <c r="P4817" s="24"/>
      <c r="Q4817" s="24"/>
      <c r="R4817" s="180"/>
      <c r="S4817" s="181"/>
      <c r="T4817" s="35"/>
      <c r="U4817" s="35"/>
      <c r="V4817" s="35"/>
      <c r="W4817" s="35"/>
      <c r="X4817" s="35"/>
      <c r="Y4817" s="182"/>
      <c r="Z4817" s="175"/>
      <c r="AA4817" s="182"/>
      <c r="AB4817" s="184"/>
    </row>
    <row r="4818" spans="1:28" ht="12.75">
      <c r="A4818" s="173"/>
      <c r="B4818" s="174"/>
      <c r="C4818" s="11"/>
      <c r="D4818" s="175"/>
      <c r="E4818" s="176"/>
      <c r="F4818" s="177"/>
      <c r="G4818" s="178"/>
      <c r="H4818" s="177"/>
      <c r="I4818" s="177"/>
      <c r="J4818" s="179"/>
      <c r="K4818" s="183"/>
      <c r="L4818" s="176"/>
      <c r="M4818" s="177"/>
      <c r="N4818" s="21"/>
      <c r="O4818" s="45"/>
      <c r="P4818" s="24"/>
      <c r="Q4818" s="24"/>
      <c r="R4818" s="180"/>
      <c r="S4818" s="181"/>
      <c r="T4818" s="35"/>
      <c r="U4818" s="35"/>
      <c r="V4818" s="35"/>
      <c r="W4818" s="35"/>
      <c r="X4818" s="35"/>
      <c r="Y4818" s="182"/>
      <c r="Z4818" s="175"/>
      <c r="AA4818" s="182"/>
      <c r="AB4818" s="184"/>
    </row>
    <row r="4819" spans="1:28" ht="12.75">
      <c r="A4819" s="173"/>
      <c r="B4819" s="174"/>
      <c r="C4819" s="11"/>
      <c r="D4819" s="175"/>
      <c r="E4819" s="176"/>
      <c r="F4819" s="177"/>
      <c r="G4819" s="178"/>
      <c r="H4819" s="177"/>
      <c r="I4819" s="177"/>
      <c r="J4819" s="179"/>
      <c r="K4819" s="183"/>
      <c r="L4819" s="176"/>
      <c r="M4819" s="177"/>
      <c r="N4819" s="21"/>
      <c r="O4819" s="45"/>
      <c r="P4819" s="24"/>
      <c r="Q4819" s="24"/>
      <c r="R4819" s="180"/>
      <c r="S4819" s="181"/>
      <c r="T4819" s="35"/>
      <c r="U4819" s="35"/>
      <c r="V4819" s="35"/>
      <c r="W4819" s="35"/>
      <c r="X4819" s="35"/>
      <c r="Y4819" s="182"/>
      <c r="Z4819" s="175"/>
      <c r="AA4819" s="182"/>
      <c r="AB4819" s="184"/>
    </row>
    <row r="4820" spans="1:28" ht="12.75">
      <c r="A4820" s="173"/>
      <c r="B4820" s="174"/>
      <c r="C4820" s="11"/>
      <c r="D4820" s="175"/>
      <c r="E4820" s="176"/>
      <c r="F4820" s="177"/>
      <c r="G4820" s="178"/>
      <c r="H4820" s="177"/>
      <c r="I4820" s="177"/>
      <c r="J4820" s="179"/>
      <c r="K4820" s="183"/>
      <c r="L4820" s="176"/>
      <c r="M4820" s="177"/>
      <c r="N4820" s="21"/>
      <c r="O4820" s="45"/>
      <c r="P4820" s="24"/>
      <c r="Q4820" s="24"/>
      <c r="R4820" s="180"/>
      <c r="S4820" s="181"/>
      <c r="T4820" s="35"/>
      <c r="U4820" s="35"/>
      <c r="V4820" s="35"/>
      <c r="W4820" s="35"/>
      <c r="X4820" s="35"/>
      <c r="Y4820" s="182"/>
      <c r="Z4820" s="175"/>
      <c r="AA4820" s="182"/>
      <c r="AB4820" s="184"/>
    </row>
    <row r="4821" spans="1:28" ht="12.75">
      <c r="A4821" s="173"/>
      <c r="B4821" s="174"/>
      <c r="C4821" s="11"/>
      <c r="D4821" s="175"/>
      <c r="E4821" s="176"/>
      <c r="F4821" s="177"/>
      <c r="G4821" s="178"/>
      <c r="H4821" s="177"/>
      <c r="I4821" s="177"/>
      <c r="J4821" s="179"/>
      <c r="K4821" s="183"/>
      <c r="L4821" s="176"/>
      <c r="M4821" s="177"/>
      <c r="N4821" s="21"/>
      <c r="O4821" s="45"/>
      <c r="P4821" s="24"/>
      <c r="Q4821" s="24"/>
      <c r="R4821" s="180"/>
      <c r="S4821" s="181"/>
      <c r="T4821" s="35"/>
      <c r="U4821" s="35"/>
      <c r="V4821" s="35"/>
      <c r="W4821" s="35"/>
      <c r="X4821" s="35"/>
      <c r="Y4821" s="182"/>
      <c r="Z4821" s="175"/>
      <c r="AA4821" s="182"/>
      <c r="AB4821" s="184"/>
    </row>
    <row r="4822" spans="1:28" ht="12.75">
      <c r="A4822" s="173"/>
      <c r="B4822" s="174"/>
      <c r="C4822" s="11"/>
      <c r="D4822" s="175"/>
      <c r="E4822" s="176"/>
      <c r="F4822" s="177"/>
      <c r="G4822" s="178"/>
      <c r="H4822" s="177"/>
      <c r="I4822" s="177"/>
      <c r="J4822" s="179"/>
      <c r="K4822" s="183"/>
      <c r="L4822" s="176"/>
      <c r="M4822" s="177"/>
      <c r="N4822" s="21"/>
      <c r="O4822" s="45"/>
      <c r="P4822" s="24"/>
      <c r="Q4822" s="24"/>
      <c r="R4822" s="180"/>
      <c r="S4822" s="181"/>
      <c r="T4822" s="35"/>
      <c r="U4822" s="35"/>
      <c r="V4822" s="35"/>
      <c r="W4822" s="35"/>
      <c r="X4822" s="35"/>
      <c r="Y4822" s="182"/>
      <c r="Z4822" s="175"/>
      <c r="AA4822" s="182"/>
      <c r="AB4822" s="184"/>
    </row>
    <row r="4823" spans="1:28" ht="12.75">
      <c r="A4823" s="173"/>
      <c r="B4823" s="174"/>
      <c r="C4823" s="11"/>
      <c r="D4823" s="175"/>
      <c r="E4823" s="176"/>
      <c r="F4823" s="177"/>
      <c r="G4823" s="178"/>
      <c r="H4823" s="177"/>
      <c r="I4823" s="177"/>
      <c r="J4823" s="179"/>
      <c r="K4823" s="183"/>
      <c r="L4823" s="176"/>
      <c r="M4823" s="177"/>
      <c r="N4823" s="21"/>
      <c r="O4823" s="45"/>
      <c r="P4823" s="24"/>
      <c r="Q4823" s="24"/>
      <c r="R4823" s="180"/>
      <c r="S4823" s="181"/>
      <c r="T4823" s="35"/>
      <c r="U4823" s="35"/>
      <c r="V4823" s="35"/>
      <c r="W4823" s="35"/>
      <c r="X4823" s="35"/>
      <c r="Y4823" s="182"/>
      <c r="Z4823" s="175"/>
      <c r="AA4823" s="182"/>
      <c r="AB4823" s="184"/>
    </row>
    <row r="4824" spans="1:28" ht="12.75">
      <c r="A4824" s="173"/>
      <c r="B4824" s="174"/>
      <c r="C4824" s="11"/>
      <c r="D4824" s="175"/>
      <c r="E4824" s="176"/>
      <c r="F4824" s="177"/>
      <c r="G4824" s="178"/>
      <c r="H4824" s="177"/>
      <c r="I4824" s="177"/>
      <c r="J4824" s="179"/>
      <c r="K4824" s="183"/>
      <c r="L4824" s="176"/>
      <c r="M4824" s="177"/>
      <c r="N4824" s="21"/>
      <c r="O4824" s="45"/>
      <c r="P4824" s="24"/>
      <c r="Q4824" s="24"/>
      <c r="R4824" s="180"/>
      <c r="S4824" s="181"/>
      <c r="T4824" s="35"/>
      <c r="U4824" s="35"/>
      <c r="V4824" s="35"/>
      <c r="W4824" s="35"/>
      <c r="X4824" s="35"/>
      <c r="Y4824" s="182"/>
      <c r="Z4824" s="175"/>
      <c r="AA4824" s="182"/>
      <c r="AB4824" s="184"/>
    </row>
    <row r="4825" spans="1:28" ht="12.75">
      <c r="A4825" s="173"/>
      <c r="B4825" s="174"/>
      <c r="C4825" s="11"/>
      <c r="D4825" s="175"/>
      <c r="E4825" s="176"/>
      <c r="F4825" s="177"/>
      <c r="G4825" s="178"/>
      <c r="H4825" s="177"/>
      <c r="I4825" s="177"/>
      <c r="J4825" s="179"/>
      <c r="K4825" s="183"/>
      <c r="L4825" s="176"/>
      <c r="M4825" s="177"/>
      <c r="N4825" s="21"/>
      <c r="O4825" s="45"/>
      <c r="P4825" s="24"/>
      <c r="Q4825" s="24"/>
      <c r="R4825" s="180"/>
      <c r="S4825" s="181"/>
      <c r="T4825" s="35"/>
      <c r="U4825" s="35"/>
      <c r="V4825" s="35"/>
      <c r="W4825" s="35"/>
      <c r="X4825" s="35"/>
      <c r="Y4825" s="182"/>
      <c r="Z4825" s="175"/>
      <c r="AA4825" s="182"/>
      <c r="AB4825" s="184"/>
    </row>
    <row r="4826" spans="1:28" ht="12.75">
      <c r="A4826" s="173"/>
      <c r="B4826" s="174"/>
      <c r="C4826" s="11"/>
      <c r="D4826" s="175"/>
      <c r="E4826" s="176"/>
      <c r="F4826" s="177"/>
      <c r="G4826" s="178"/>
      <c r="H4826" s="177"/>
      <c r="I4826" s="177"/>
      <c r="J4826" s="179"/>
      <c r="K4826" s="183"/>
      <c r="L4826" s="176"/>
      <c r="M4826" s="177"/>
      <c r="N4826" s="21"/>
      <c r="O4826" s="45"/>
      <c r="P4826" s="24"/>
      <c r="Q4826" s="24"/>
      <c r="R4826" s="180"/>
      <c r="S4826" s="181"/>
      <c r="T4826" s="35"/>
      <c r="U4826" s="35"/>
      <c r="V4826" s="35"/>
      <c r="W4826" s="35"/>
      <c r="X4826" s="35"/>
      <c r="Y4826" s="182"/>
      <c r="Z4826" s="175"/>
      <c r="AA4826" s="182"/>
      <c r="AB4826" s="184"/>
    </row>
    <row r="4827" spans="1:28" ht="12.75">
      <c r="A4827" s="173"/>
      <c r="B4827" s="174"/>
      <c r="C4827" s="11"/>
      <c r="D4827" s="175"/>
      <c r="E4827" s="176"/>
      <c r="F4827" s="177"/>
      <c r="G4827" s="178"/>
      <c r="H4827" s="177"/>
      <c r="I4827" s="177"/>
      <c r="J4827" s="179"/>
      <c r="K4827" s="183"/>
      <c r="L4827" s="176"/>
      <c r="M4827" s="177"/>
      <c r="N4827" s="21"/>
      <c r="O4827" s="45"/>
      <c r="P4827" s="24"/>
      <c r="Q4827" s="24"/>
      <c r="R4827" s="180"/>
      <c r="S4827" s="181"/>
      <c r="T4827" s="35"/>
      <c r="U4827" s="35"/>
      <c r="V4827" s="35"/>
      <c r="W4827" s="35"/>
      <c r="X4827" s="35"/>
      <c r="Y4827" s="182"/>
      <c r="Z4827" s="175"/>
      <c r="AA4827" s="182"/>
      <c r="AB4827" s="184"/>
    </row>
    <row r="4828" spans="1:28" ht="12.75">
      <c r="A4828" s="173"/>
      <c r="B4828" s="174"/>
      <c r="C4828" s="11"/>
      <c r="D4828" s="175"/>
      <c r="E4828" s="176"/>
      <c r="F4828" s="177"/>
      <c r="G4828" s="178"/>
      <c r="H4828" s="177"/>
      <c r="I4828" s="177"/>
      <c r="J4828" s="179"/>
      <c r="K4828" s="183"/>
      <c r="L4828" s="176"/>
      <c r="M4828" s="177"/>
      <c r="N4828" s="21"/>
      <c r="O4828" s="45"/>
      <c r="P4828" s="24"/>
      <c r="Q4828" s="24"/>
      <c r="R4828" s="180"/>
      <c r="S4828" s="181"/>
      <c r="T4828" s="35"/>
      <c r="U4828" s="35"/>
      <c r="V4828" s="35"/>
      <c r="W4828" s="35"/>
      <c r="X4828" s="35"/>
      <c r="Y4828" s="182"/>
      <c r="Z4828" s="175"/>
      <c r="AA4828" s="182"/>
      <c r="AB4828" s="184"/>
    </row>
    <row r="4829" spans="1:28" ht="12.75">
      <c r="A4829" s="173"/>
      <c r="B4829" s="174"/>
      <c r="C4829" s="11"/>
      <c r="D4829" s="175"/>
      <c r="E4829" s="176"/>
      <c r="F4829" s="177"/>
      <c r="G4829" s="178"/>
      <c r="H4829" s="177"/>
      <c r="I4829" s="177"/>
      <c r="J4829" s="179"/>
      <c r="K4829" s="183"/>
      <c r="L4829" s="176"/>
      <c r="M4829" s="177"/>
      <c r="N4829" s="21"/>
      <c r="O4829" s="45"/>
      <c r="P4829" s="24"/>
      <c r="Q4829" s="24"/>
      <c r="R4829" s="180"/>
      <c r="S4829" s="181"/>
      <c r="T4829" s="35"/>
      <c r="U4829" s="35"/>
      <c r="V4829" s="35"/>
      <c r="W4829" s="35"/>
      <c r="X4829" s="35"/>
      <c r="Y4829" s="182"/>
      <c r="Z4829" s="175"/>
      <c r="AA4829" s="182"/>
      <c r="AB4829" s="184"/>
    </row>
    <row r="4830" spans="1:28" ht="12.75">
      <c r="A4830" s="173"/>
      <c r="B4830" s="174"/>
      <c r="C4830" s="11"/>
      <c r="D4830" s="175"/>
      <c r="E4830" s="176"/>
      <c r="F4830" s="177"/>
      <c r="G4830" s="178"/>
      <c r="H4830" s="177"/>
      <c r="I4830" s="177"/>
      <c r="J4830" s="179"/>
      <c r="K4830" s="183"/>
      <c r="L4830" s="176"/>
      <c r="M4830" s="177"/>
      <c r="N4830" s="21"/>
      <c r="O4830" s="45"/>
      <c r="P4830" s="24"/>
      <c r="Q4830" s="24"/>
      <c r="R4830" s="180"/>
      <c r="S4830" s="181"/>
      <c r="T4830" s="35"/>
      <c r="U4830" s="35"/>
      <c r="V4830" s="35"/>
      <c r="W4830" s="35"/>
      <c r="X4830" s="35"/>
      <c r="Y4830" s="182"/>
      <c r="Z4830" s="175"/>
      <c r="AA4830" s="182"/>
      <c r="AB4830" s="184"/>
    </row>
    <row r="4831" spans="1:28" ht="12.75">
      <c r="A4831" s="173"/>
      <c r="B4831" s="174"/>
      <c r="C4831" s="11"/>
      <c r="D4831" s="175"/>
      <c r="E4831" s="176"/>
      <c r="F4831" s="177"/>
      <c r="G4831" s="178"/>
      <c r="H4831" s="177"/>
      <c r="I4831" s="177"/>
      <c r="J4831" s="179"/>
      <c r="K4831" s="183"/>
      <c r="L4831" s="176"/>
      <c r="M4831" s="177"/>
      <c r="N4831" s="21"/>
      <c r="O4831" s="45"/>
      <c r="P4831" s="24"/>
      <c r="Q4831" s="24"/>
      <c r="R4831" s="180"/>
      <c r="S4831" s="181"/>
      <c r="T4831" s="35"/>
      <c r="U4831" s="35"/>
      <c r="V4831" s="35"/>
      <c r="W4831" s="35"/>
      <c r="X4831" s="35"/>
      <c r="Y4831" s="182"/>
      <c r="Z4831" s="175"/>
      <c r="AA4831" s="182"/>
      <c r="AB4831" s="184"/>
    </row>
    <row r="4832" spans="1:28" ht="12.75">
      <c r="A4832" s="173"/>
      <c r="B4832" s="174"/>
      <c r="C4832" s="11"/>
      <c r="D4832" s="175"/>
      <c r="E4832" s="176"/>
      <c r="F4832" s="177"/>
      <c r="G4832" s="178"/>
      <c r="H4832" s="177"/>
      <c r="I4832" s="177"/>
      <c r="J4832" s="179"/>
      <c r="K4832" s="183"/>
      <c r="L4832" s="176"/>
      <c r="M4832" s="177"/>
      <c r="N4832" s="21"/>
      <c r="O4832" s="45"/>
      <c r="P4832" s="24"/>
      <c r="Q4832" s="24"/>
      <c r="R4832" s="180"/>
      <c r="S4832" s="181"/>
      <c r="T4832" s="35"/>
      <c r="U4832" s="35"/>
      <c r="V4832" s="35"/>
      <c r="W4832" s="35"/>
      <c r="X4832" s="35"/>
      <c r="Y4832" s="182"/>
      <c r="Z4832" s="175"/>
      <c r="AA4832" s="182"/>
      <c r="AB4832" s="184"/>
    </row>
    <row r="4833" spans="1:28" ht="12.75">
      <c r="A4833" s="173"/>
      <c r="B4833" s="174"/>
      <c r="C4833" s="11"/>
      <c r="D4833" s="175"/>
      <c r="E4833" s="176"/>
      <c r="F4833" s="177"/>
      <c r="G4833" s="178"/>
      <c r="H4833" s="177"/>
      <c r="I4833" s="177"/>
      <c r="J4833" s="179"/>
      <c r="K4833" s="183"/>
      <c r="L4833" s="176"/>
      <c r="M4833" s="177"/>
      <c r="N4833" s="21"/>
      <c r="O4833" s="45"/>
      <c r="P4833" s="24"/>
      <c r="Q4833" s="24"/>
      <c r="R4833" s="180"/>
      <c r="S4833" s="181"/>
      <c r="T4833" s="35"/>
      <c r="U4833" s="35"/>
      <c r="V4833" s="35"/>
      <c r="W4833" s="35"/>
      <c r="X4833" s="35"/>
      <c r="Y4833" s="182"/>
      <c r="Z4833" s="175"/>
      <c r="AA4833" s="182"/>
      <c r="AB4833" s="184"/>
    </row>
    <row r="4834" spans="1:28" ht="12.75">
      <c r="A4834" s="173"/>
      <c r="B4834" s="174"/>
      <c r="C4834" s="11"/>
      <c r="D4834" s="175"/>
      <c r="E4834" s="176"/>
      <c r="F4834" s="177"/>
      <c r="G4834" s="178"/>
      <c r="H4834" s="177"/>
      <c r="I4834" s="177"/>
      <c r="J4834" s="179"/>
      <c r="K4834" s="183"/>
      <c r="L4834" s="176"/>
      <c r="M4834" s="177"/>
      <c r="N4834" s="21"/>
      <c r="O4834" s="45"/>
      <c r="P4834" s="24"/>
      <c r="Q4834" s="24"/>
      <c r="R4834" s="180"/>
      <c r="S4834" s="181"/>
      <c r="T4834" s="35"/>
      <c r="U4834" s="35"/>
      <c r="V4834" s="35"/>
      <c r="W4834" s="35"/>
      <c r="X4834" s="35"/>
      <c r="Y4834" s="182"/>
      <c r="Z4834" s="175"/>
      <c r="AA4834" s="182"/>
      <c r="AB4834" s="184"/>
    </row>
    <row r="4835" spans="1:28" ht="12.75">
      <c r="A4835" s="173"/>
      <c r="B4835" s="174"/>
      <c r="C4835" s="11"/>
      <c r="D4835" s="175"/>
      <c r="E4835" s="176"/>
      <c r="F4835" s="177"/>
      <c r="G4835" s="178"/>
      <c r="H4835" s="177"/>
      <c r="I4835" s="177"/>
      <c r="J4835" s="179"/>
      <c r="K4835" s="183"/>
      <c r="L4835" s="176"/>
      <c r="M4835" s="177"/>
      <c r="N4835" s="21"/>
      <c r="O4835" s="45"/>
      <c r="P4835" s="24"/>
      <c r="Q4835" s="24"/>
      <c r="R4835" s="180"/>
      <c r="S4835" s="181"/>
      <c r="T4835" s="35"/>
      <c r="U4835" s="35"/>
      <c r="V4835" s="35"/>
      <c r="W4835" s="35"/>
      <c r="X4835" s="35"/>
      <c r="Y4835" s="182"/>
      <c r="Z4835" s="175"/>
      <c r="AA4835" s="182"/>
      <c r="AB4835" s="184"/>
    </row>
    <row r="4836" spans="1:28" ht="12.75">
      <c r="A4836" s="173"/>
      <c r="B4836" s="174"/>
      <c r="C4836" s="11"/>
      <c r="D4836" s="175"/>
      <c r="E4836" s="176"/>
      <c r="F4836" s="177"/>
      <c r="G4836" s="178"/>
      <c r="H4836" s="177"/>
      <c r="I4836" s="177"/>
      <c r="J4836" s="179"/>
      <c r="K4836" s="183"/>
      <c r="L4836" s="176"/>
      <c r="M4836" s="177"/>
      <c r="N4836" s="21"/>
      <c r="O4836" s="45"/>
      <c r="P4836" s="24"/>
      <c r="Q4836" s="24"/>
      <c r="R4836" s="180"/>
      <c r="S4836" s="181"/>
      <c r="T4836" s="35"/>
      <c r="U4836" s="35"/>
      <c r="V4836" s="35"/>
      <c r="W4836" s="35"/>
      <c r="X4836" s="35"/>
      <c r="Y4836" s="182"/>
      <c r="Z4836" s="175"/>
      <c r="AA4836" s="182"/>
      <c r="AB4836" s="184"/>
    </row>
    <row r="4837" spans="1:28" ht="12.75">
      <c r="A4837" s="173"/>
      <c r="B4837" s="174"/>
      <c r="C4837" s="11"/>
      <c r="D4837" s="175"/>
      <c r="E4837" s="176"/>
      <c r="F4837" s="177"/>
      <c r="G4837" s="178"/>
      <c r="H4837" s="177"/>
      <c r="I4837" s="177"/>
      <c r="J4837" s="179"/>
      <c r="K4837" s="183"/>
      <c r="L4837" s="176"/>
      <c r="M4837" s="177"/>
      <c r="N4837" s="21"/>
      <c r="O4837" s="45"/>
      <c r="P4837" s="24"/>
      <c r="Q4837" s="24"/>
      <c r="R4837" s="180"/>
      <c r="S4837" s="181"/>
      <c r="T4837" s="35"/>
      <c r="U4837" s="35"/>
      <c r="V4837" s="35"/>
      <c r="W4837" s="35"/>
      <c r="X4837" s="35"/>
      <c r="Y4837" s="182"/>
      <c r="Z4837" s="175"/>
      <c r="AA4837" s="182"/>
      <c r="AB4837" s="184"/>
    </row>
    <row r="4838" spans="1:28" ht="12.75">
      <c r="A4838" s="173"/>
      <c r="B4838" s="174"/>
      <c r="C4838" s="11"/>
      <c r="D4838" s="175"/>
      <c r="E4838" s="176"/>
      <c r="F4838" s="177"/>
      <c r="G4838" s="178"/>
      <c r="H4838" s="177"/>
      <c r="I4838" s="177"/>
      <c r="J4838" s="179"/>
      <c r="K4838" s="183"/>
      <c r="L4838" s="176"/>
      <c r="M4838" s="177"/>
      <c r="N4838" s="21"/>
      <c r="O4838" s="45"/>
      <c r="P4838" s="24"/>
      <c r="Q4838" s="24"/>
      <c r="R4838" s="180"/>
      <c r="S4838" s="181"/>
      <c r="T4838" s="35"/>
      <c r="U4838" s="35"/>
      <c r="V4838" s="35"/>
      <c r="W4838" s="35"/>
      <c r="X4838" s="35"/>
      <c r="Y4838" s="182"/>
      <c r="Z4838" s="175"/>
      <c r="AA4838" s="182"/>
      <c r="AB4838" s="184"/>
    </row>
    <row r="4839" spans="1:28" ht="12.75">
      <c r="A4839" s="173"/>
      <c r="B4839" s="174"/>
      <c r="C4839" s="11"/>
      <c r="D4839" s="175"/>
      <c r="E4839" s="176"/>
      <c r="F4839" s="177"/>
      <c r="G4839" s="178"/>
      <c r="H4839" s="177"/>
      <c r="I4839" s="177"/>
      <c r="J4839" s="179"/>
      <c r="K4839" s="183"/>
      <c r="L4839" s="176"/>
      <c r="M4839" s="177"/>
      <c r="N4839" s="21"/>
      <c r="O4839" s="45"/>
      <c r="P4839" s="24"/>
      <c r="Q4839" s="24"/>
      <c r="R4839" s="180"/>
      <c r="S4839" s="181"/>
      <c r="T4839" s="35"/>
      <c r="U4839" s="35"/>
      <c r="V4839" s="35"/>
      <c r="W4839" s="35"/>
      <c r="X4839" s="35"/>
      <c r="Y4839" s="182"/>
      <c r="Z4839" s="175"/>
      <c r="AA4839" s="182"/>
      <c r="AB4839" s="184"/>
    </row>
    <row r="4840" spans="1:28" ht="12.75">
      <c r="A4840" s="173"/>
      <c r="B4840" s="174"/>
      <c r="C4840" s="11"/>
      <c r="D4840" s="175"/>
      <c r="E4840" s="176"/>
      <c r="F4840" s="177"/>
      <c r="G4840" s="178"/>
      <c r="H4840" s="177"/>
      <c r="I4840" s="177"/>
      <c r="J4840" s="179"/>
      <c r="K4840" s="183"/>
      <c r="L4840" s="176"/>
      <c r="M4840" s="177"/>
      <c r="N4840" s="21"/>
      <c r="O4840" s="45"/>
      <c r="P4840" s="24"/>
      <c r="Q4840" s="24"/>
      <c r="R4840" s="180"/>
      <c r="S4840" s="181"/>
      <c r="T4840" s="35"/>
      <c r="U4840" s="35"/>
      <c r="V4840" s="35"/>
      <c r="W4840" s="35"/>
      <c r="X4840" s="35"/>
      <c r="Y4840" s="182"/>
      <c r="Z4840" s="175"/>
      <c r="AA4840" s="182"/>
      <c r="AB4840" s="184"/>
    </row>
    <row r="4841" spans="1:28" ht="12.75">
      <c r="A4841" s="173"/>
      <c r="B4841" s="174"/>
      <c r="C4841" s="11"/>
      <c r="D4841" s="175"/>
      <c r="E4841" s="176"/>
      <c r="F4841" s="177"/>
      <c r="G4841" s="178"/>
      <c r="H4841" s="177"/>
      <c r="I4841" s="177"/>
      <c r="J4841" s="179"/>
      <c r="K4841" s="183"/>
      <c r="L4841" s="176"/>
      <c r="M4841" s="177"/>
      <c r="N4841" s="21"/>
      <c r="O4841" s="45"/>
      <c r="P4841" s="24"/>
      <c r="Q4841" s="24"/>
      <c r="R4841" s="180"/>
      <c r="S4841" s="181"/>
      <c r="T4841" s="35"/>
      <c r="U4841" s="35"/>
      <c r="V4841" s="35"/>
      <c r="W4841" s="35"/>
      <c r="X4841" s="35"/>
      <c r="Y4841" s="182"/>
      <c r="Z4841" s="175"/>
      <c r="AA4841" s="182"/>
      <c r="AB4841" s="184"/>
    </row>
    <row r="4842" spans="1:28" ht="12.75">
      <c r="A4842" s="173"/>
      <c r="B4842" s="174"/>
      <c r="C4842" s="11"/>
      <c r="D4842" s="175"/>
      <c r="E4842" s="176"/>
      <c r="F4842" s="177"/>
      <c r="G4842" s="178"/>
      <c r="H4842" s="177"/>
      <c r="I4842" s="177"/>
      <c r="J4842" s="179"/>
      <c r="K4842" s="183"/>
      <c r="L4842" s="176"/>
      <c r="M4842" s="177"/>
      <c r="N4842" s="21"/>
      <c r="O4842" s="45"/>
      <c r="P4842" s="24"/>
      <c r="Q4842" s="24"/>
      <c r="R4842" s="180"/>
      <c r="S4842" s="181"/>
      <c r="T4842" s="35"/>
      <c r="U4842" s="35"/>
      <c r="V4842" s="35"/>
      <c r="W4842" s="35"/>
      <c r="X4842" s="35"/>
      <c r="Y4842" s="182"/>
      <c r="Z4842" s="175"/>
      <c r="AA4842" s="182"/>
      <c r="AB4842" s="184"/>
    </row>
    <row r="4843" spans="1:28" ht="12.75">
      <c r="A4843" s="173"/>
      <c r="B4843" s="174"/>
      <c r="C4843" s="11"/>
      <c r="D4843" s="175"/>
      <c r="E4843" s="176"/>
      <c r="F4843" s="177"/>
      <c r="G4843" s="178"/>
      <c r="H4843" s="177"/>
      <c r="I4843" s="177"/>
      <c r="J4843" s="179"/>
      <c r="K4843" s="183"/>
      <c r="L4843" s="176"/>
      <c r="M4843" s="177"/>
      <c r="N4843" s="21"/>
      <c r="O4843" s="45"/>
      <c r="P4843" s="24"/>
      <c r="Q4843" s="24"/>
      <c r="R4843" s="180"/>
      <c r="S4843" s="181"/>
      <c r="T4843" s="35"/>
      <c r="U4843" s="35"/>
      <c r="V4843" s="35"/>
      <c r="W4843" s="35"/>
      <c r="X4843" s="35"/>
      <c r="Y4843" s="182"/>
      <c r="Z4843" s="175"/>
      <c r="AA4843" s="182"/>
      <c r="AB4843" s="184"/>
    </row>
    <row r="4844" spans="1:28" ht="12.75">
      <c r="A4844" s="173"/>
      <c r="B4844" s="174"/>
      <c r="C4844" s="11"/>
      <c r="D4844" s="175"/>
      <c r="E4844" s="176"/>
      <c r="F4844" s="177"/>
      <c r="G4844" s="178"/>
      <c r="H4844" s="177"/>
      <c r="I4844" s="177"/>
      <c r="J4844" s="179"/>
      <c r="K4844" s="183"/>
      <c r="L4844" s="176"/>
      <c r="M4844" s="177"/>
      <c r="N4844" s="21"/>
      <c r="O4844" s="45"/>
      <c r="P4844" s="24"/>
      <c r="Q4844" s="24"/>
      <c r="R4844" s="180"/>
      <c r="S4844" s="181"/>
      <c r="T4844" s="35"/>
      <c r="U4844" s="35"/>
      <c r="V4844" s="35"/>
      <c r="W4844" s="35"/>
      <c r="X4844" s="35"/>
      <c r="Y4844" s="182"/>
      <c r="Z4844" s="175"/>
      <c r="AA4844" s="182"/>
      <c r="AB4844" s="184"/>
    </row>
    <row r="4845" spans="1:28" ht="12.75">
      <c r="A4845" s="173"/>
      <c r="B4845" s="174"/>
      <c r="C4845" s="11"/>
      <c r="D4845" s="175"/>
      <c r="E4845" s="176"/>
      <c r="F4845" s="177"/>
      <c r="G4845" s="178"/>
      <c r="H4845" s="177"/>
      <c r="I4845" s="177"/>
      <c r="J4845" s="179"/>
      <c r="K4845" s="183"/>
      <c r="L4845" s="176"/>
      <c r="M4845" s="177"/>
      <c r="N4845" s="21"/>
      <c r="O4845" s="45"/>
      <c r="P4845" s="24"/>
      <c r="Q4845" s="24"/>
      <c r="R4845" s="180"/>
      <c r="S4845" s="181"/>
      <c r="T4845" s="35"/>
      <c r="U4845" s="35"/>
      <c r="V4845" s="35"/>
      <c r="W4845" s="35"/>
      <c r="X4845" s="35"/>
      <c r="Y4845" s="182"/>
      <c r="Z4845" s="175"/>
      <c r="AA4845" s="182"/>
      <c r="AB4845" s="184"/>
    </row>
    <row r="4846" spans="1:28" ht="12.75">
      <c r="A4846" s="173"/>
      <c r="B4846" s="174"/>
      <c r="C4846" s="11"/>
      <c r="D4846" s="175"/>
      <c r="E4846" s="176"/>
      <c r="F4846" s="177"/>
      <c r="G4846" s="178"/>
      <c r="H4846" s="177"/>
      <c r="I4846" s="177"/>
      <c r="J4846" s="179"/>
      <c r="K4846" s="183"/>
      <c r="L4846" s="176"/>
      <c r="M4846" s="177"/>
      <c r="N4846" s="21"/>
      <c r="O4846" s="45"/>
      <c r="P4846" s="24"/>
      <c r="Q4846" s="24"/>
      <c r="R4846" s="180"/>
      <c r="S4846" s="181"/>
      <c r="T4846" s="35"/>
      <c r="U4846" s="35"/>
      <c r="V4846" s="35"/>
      <c r="W4846" s="35"/>
      <c r="X4846" s="35"/>
      <c r="Y4846" s="182"/>
      <c r="Z4846" s="175"/>
      <c r="AA4846" s="182"/>
      <c r="AB4846" s="184"/>
    </row>
    <row r="4847" spans="1:28" ht="12.75">
      <c r="A4847" s="173"/>
      <c r="B4847" s="174"/>
      <c r="C4847" s="11"/>
      <c r="D4847" s="175"/>
      <c r="E4847" s="176"/>
      <c r="F4847" s="177"/>
      <c r="G4847" s="178"/>
      <c r="H4847" s="177"/>
      <c r="I4847" s="177"/>
      <c r="J4847" s="179"/>
      <c r="K4847" s="183"/>
      <c r="L4847" s="176"/>
      <c r="M4847" s="177"/>
      <c r="N4847" s="21"/>
      <c r="O4847" s="45"/>
      <c r="P4847" s="24"/>
      <c r="Q4847" s="24"/>
      <c r="R4847" s="180"/>
      <c r="S4847" s="181"/>
      <c r="T4847" s="35"/>
      <c r="U4847" s="35"/>
      <c r="V4847" s="35"/>
      <c r="W4847" s="35"/>
      <c r="X4847" s="35"/>
      <c r="Y4847" s="182"/>
      <c r="Z4847" s="175"/>
      <c r="AA4847" s="182"/>
      <c r="AB4847" s="184"/>
    </row>
    <row r="4848" spans="1:28" ht="12.75">
      <c r="A4848" s="173"/>
      <c r="B4848" s="174"/>
      <c r="C4848" s="11"/>
      <c r="D4848" s="175"/>
      <c r="E4848" s="176"/>
      <c r="F4848" s="177"/>
      <c r="G4848" s="178"/>
      <c r="H4848" s="177"/>
      <c r="I4848" s="177"/>
      <c r="J4848" s="179"/>
      <c r="K4848" s="183"/>
      <c r="L4848" s="176"/>
      <c r="M4848" s="177"/>
      <c r="N4848" s="21"/>
      <c r="O4848" s="45"/>
      <c r="P4848" s="24"/>
      <c r="Q4848" s="24"/>
      <c r="R4848" s="180"/>
      <c r="S4848" s="181"/>
      <c r="T4848" s="35"/>
      <c r="U4848" s="35"/>
      <c r="V4848" s="35"/>
      <c r="W4848" s="35"/>
      <c r="X4848" s="35"/>
      <c r="Y4848" s="182"/>
      <c r="Z4848" s="175"/>
      <c r="AA4848" s="182"/>
      <c r="AB4848" s="184"/>
    </row>
    <row r="4849" spans="1:28" ht="12.75">
      <c r="A4849" s="173"/>
      <c r="B4849" s="174"/>
      <c r="C4849" s="11"/>
      <c r="D4849" s="175"/>
      <c r="E4849" s="176"/>
      <c r="F4849" s="177"/>
      <c r="G4849" s="178"/>
      <c r="H4849" s="177"/>
      <c r="I4849" s="177"/>
      <c r="J4849" s="179"/>
      <c r="K4849" s="183"/>
      <c r="L4849" s="176"/>
      <c r="M4849" s="177"/>
      <c r="N4849" s="21"/>
      <c r="O4849" s="45"/>
      <c r="P4849" s="24"/>
      <c r="Q4849" s="24"/>
      <c r="R4849" s="180"/>
      <c r="S4849" s="181"/>
      <c r="T4849" s="35"/>
      <c r="U4849" s="35"/>
      <c r="V4849" s="35"/>
      <c r="W4849" s="35"/>
      <c r="X4849" s="35"/>
      <c r="Y4849" s="182"/>
      <c r="Z4849" s="175"/>
      <c r="AA4849" s="182"/>
      <c r="AB4849" s="184"/>
    </row>
    <row r="4850" spans="1:28" ht="12.75">
      <c r="A4850" s="173"/>
      <c r="B4850" s="174"/>
      <c r="C4850" s="11"/>
      <c r="D4850" s="175"/>
      <c r="E4850" s="176"/>
      <c r="F4850" s="177"/>
      <c r="G4850" s="178"/>
      <c r="H4850" s="177"/>
      <c r="I4850" s="177"/>
      <c r="J4850" s="179"/>
      <c r="K4850" s="183"/>
      <c r="L4850" s="176"/>
      <c r="M4850" s="177"/>
      <c r="N4850" s="21"/>
      <c r="O4850" s="45"/>
      <c r="P4850" s="24"/>
      <c r="Q4850" s="24"/>
      <c r="R4850" s="180"/>
      <c r="S4850" s="181"/>
      <c r="T4850" s="35"/>
      <c r="U4850" s="35"/>
      <c r="V4850" s="35"/>
      <c r="W4850" s="35"/>
      <c r="X4850" s="35"/>
      <c r="Y4850" s="182"/>
      <c r="Z4850" s="175"/>
      <c r="AA4850" s="182"/>
      <c r="AB4850" s="184"/>
    </row>
    <row r="4851" spans="1:28" ht="12.75">
      <c r="A4851" s="173"/>
      <c r="B4851" s="174"/>
      <c r="C4851" s="11"/>
      <c r="D4851" s="175"/>
      <c r="E4851" s="176"/>
      <c r="F4851" s="177"/>
      <c r="G4851" s="178"/>
      <c r="H4851" s="177"/>
      <c r="I4851" s="177"/>
      <c r="J4851" s="179"/>
      <c r="K4851" s="183"/>
      <c r="L4851" s="176"/>
      <c r="M4851" s="177"/>
      <c r="N4851" s="21"/>
      <c r="O4851" s="45"/>
      <c r="P4851" s="24"/>
      <c r="Q4851" s="24"/>
      <c r="R4851" s="180"/>
      <c r="S4851" s="181"/>
      <c r="T4851" s="35"/>
      <c r="U4851" s="35"/>
      <c r="V4851" s="35"/>
      <c r="W4851" s="35"/>
      <c r="X4851" s="35"/>
      <c r="Y4851" s="182"/>
      <c r="Z4851" s="175"/>
      <c r="AA4851" s="182"/>
      <c r="AB4851" s="184"/>
    </row>
    <row r="4852" spans="1:28" ht="12.75">
      <c r="A4852" s="173"/>
      <c r="B4852" s="174"/>
      <c r="C4852" s="11"/>
      <c r="D4852" s="175"/>
      <c r="E4852" s="176"/>
      <c r="F4852" s="177"/>
      <c r="G4852" s="178"/>
      <c r="H4852" s="177"/>
      <c r="I4852" s="177"/>
      <c r="J4852" s="179"/>
      <c r="K4852" s="183"/>
      <c r="L4852" s="176"/>
      <c r="M4852" s="177"/>
      <c r="N4852" s="21"/>
      <c r="O4852" s="45"/>
      <c r="P4852" s="24"/>
      <c r="Q4852" s="24"/>
      <c r="R4852" s="180"/>
      <c r="S4852" s="181"/>
      <c r="T4852" s="35"/>
      <c r="U4852" s="35"/>
      <c r="V4852" s="35"/>
      <c r="W4852" s="35"/>
      <c r="X4852" s="35"/>
      <c r="Y4852" s="182"/>
      <c r="Z4852" s="175"/>
      <c r="AA4852" s="182"/>
      <c r="AB4852" s="184"/>
    </row>
    <row r="4853" spans="1:28" ht="12.75">
      <c r="A4853" s="173"/>
      <c r="B4853" s="174"/>
      <c r="C4853" s="11"/>
      <c r="D4853" s="175"/>
      <c r="E4853" s="176"/>
      <c r="F4853" s="177"/>
      <c r="G4853" s="178"/>
      <c r="H4853" s="177"/>
      <c r="I4853" s="177"/>
      <c r="J4853" s="179"/>
      <c r="K4853" s="183"/>
      <c r="L4853" s="176"/>
      <c r="M4853" s="177"/>
      <c r="N4853" s="21"/>
      <c r="O4853" s="45"/>
      <c r="P4853" s="24"/>
      <c r="Q4853" s="24"/>
      <c r="R4853" s="180"/>
      <c r="S4853" s="181"/>
      <c r="T4853" s="35"/>
      <c r="U4853" s="35"/>
      <c r="V4853" s="35"/>
      <c r="W4853" s="35"/>
      <c r="X4853" s="35"/>
      <c r="Y4853" s="182"/>
      <c r="Z4853" s="175"/>
      <c r="AA4853" s="182"/>
      <c r="AB4853" s="184"/>
    </row>
    <row r="4854" spans="1:28" ht="12.75">
      <c r="A4854" s="173"/>
      <c r="B4854" s="174"/>
      <c r="C4854" s="11"/>
      <c r="D4854" s="175"/>
      <c r="E4854" s="176"/>
      <c r="F4854" s="177"/>
      <c r="G4854" s="178"/>
      <c r="H4854" s="177"/>
      <c r="I4854" s="177"/>
      <c r="J4854" s="179"/>
      <c r="K4854" s="183"/>
      <c r="L4854" s="176"/>
      <c r="M4854" s="177"/>
      <c r="N4854" s="21"/>
      <c r="O4854" s="45"/>
      <c r="P4854" s="24"/>
      <c r="Q4854" s="24"/>
      <c r="R4854" s="180"/>
      <c r="S4854" s="181"/>
      <c r="T4854" s="35"/>
      <c r="U4854" s="35"/>
      <c r="V4854" s="35"/>
      <c r="W4854" s="35"/>
      <c r="X4854" s="35"/>
      <c r="Y4854" s="182"/>
      <c r="Z4854" s="175"/>
      <c r="AA4854" s="182"/>
      <c r="AB4854" s="184"/>
    </row>
    <row r="4855" spans="1:28" ht="12.75">
      <c r="A4855" s="173"/>
      <c r="B4855" s="174"/>
      <c r="C4855" s="11"/>
      <c r="D4855" s="175"/>
      <c r="E4855" s="176"/>
      <c r="F4855" s="177"/>
      <c r="G4855" s="178"/>
      <c r="H4855" s="177"/>
      <c r="I4855" s="177"/>
      <c r="J4855" s="179"/>
      <c r="K4855" s="183"/>
      <c r="L4855" s="176"/>
      <c r="M4855" s="177"/>
      <c r="N4855" s="21"/>
      <c r="O4855" s="45"/>
      <c r="P4855" s="24"/>
      <c r="Q4855" s="24"/>
      <c r="R4855" s="180"/>
      <c r="S4855" s="181"/>
      <c r="T4855" s="35"/>
      <c r="U4855" s="35"/>
      <c r="V4855" s="35"/>
      <c r="W4855" s="35"/>
      <c r="X4855" s="35"/>
      <c r="Y4855" s="182"/>
      <c r="Z4855" s="175"/>
      <c r="AA4855" s="182"/>
      <c r="AB4855" s="184"/>
    </row>
    <row r="4856" spans="1:28" ht="12.75">
      <c r="A4856" s="173"/>
      <c r="B4856" s="174"/>
      <c r="C4856" s="11"/>
      <c r="D4856" s="175"/>
      <c r="E4856" s="176"/>
      <c r="F4856" s="177"/>
      <c r="G4856" s="178"/>
      <c r="H4856" s="177"/>
      <c r="I4856" s="177"/>
      <c r="J4856" s="179"/>
      <c r="K4856" s="183"/>
      <c r="L4856" s="176"/>
      <c r="M4856" s="177"/>
      <c r="N4856" s="21"/>
      <c r="O4856" s="45"/>
      <c r="P4856" s="24"/>
      <c r="Q4856" s="24"/>
      <c r="R4856" s="180"/>
      <c r="S4856" s="181"/>
      <c r="T4856" s="35"/>
      <c r="U4856" s="35"/>
      <c r="V4856" s="35"/>
      <c r="W4856" s="35"/>
      <c r="X4856" s="35"/>
      <c r="Y4856" s="182"/>
      <c r="Z4856" s="175"/>
      <c r="AA4856" s="182"/>
      <c r="AB4856" s="184"/>
    </row>
    <row r="4857" spans="1:28" ht="12.75">
      <c r="A4857" s="173"/>
      <c r="B4857" s="174"/>
      <c r="C4857" s="11"/>
      <c r="D4857" s="175"/>
      <c r="E4857" s="176"/>
      <c r="F4857" s="177"/>
      <c r="G4857" s="178"/>
      <c r="H4857" s="177"/>
      <c r="I4857" s="177"/>
      <c r="J4857" s="179"/>
      <c r="K4857" s="183"/>
      <c r="L4857" s="176"/>
      <c r="M4857" s="177"/>
      <c r="N4857" s="21"/>
      <c r="O4857" s="45"/>
      <c r="P4857" s="24"/>
      <c r="Q4857" s="24"/>
      <c r="R4857" s="180"/>
      <c r="S4857" s="181"/>
      <c r="T4857" s="35"/>
      <c r="U4857" s="35"/>
      <c r="V4857" s="35"/>
      <c r="W4857" s="35"/>
      <c r="X4857" s="35"/>
      <c r="Y4857" s="182"/>
      <c r="Z4857" s="175"/>
      <c r="AA4857" s="182"/>
      <c r="AB4857" s="184"/>
    </row>
    <row r="4858" spans="1:28" ht="12.75">
      <c r="A4858" s="173"/>
      <c r="B4858" s="174"/>
      <c r="C4858" s="11"/>
      <c r="D4858" s="175"/>
      <c r="E4858" s="176"/>
      <c r="F4858" s="177"/>
      <c r="G4858" s="178"/>
      <c r="H4858" s="177"/>
      <c r="I4858" s="177"/>
      <c r="J4858" s="179"/>
      <c r="K4858" s="183"/>
      <c r="L4858" s="176"/>
      <c r="M4858" s="177"/>
      <c r="N4858" s="21"/>
      <c r="O4858" s="45"/>
      <c r="P4858" s="24"/>
      <c r="Q4858" s="24"/>
      <c r="R4858" s="180"/>
      <c r="S4858" s="181"/>
      <c r="T4858" s="35"/>
      <c r="U4858" s="35"/>
      <c r="V4858" s="35"/>
      <c r="W4858" s="35"/>
      <c r="X4858" s="35"/>
      <c r="Y4858" s="182"/>
      <c r="Z4858" s="175"/>
      <c r="AA4858" s="182"/>
      <c r="AB4858" s="184"/>
    </row>
    <row r="4859" spans="1:28" ht="12.75">
      <c r="A4859" s="173"/>
      <c r="B4859" s="174"/>
      <c r="C4859" s="11"/>
      <c r="D4859" s="175"/>
      <c r="E4859" s="176"/>
      <c r="F4859" s="177"/>
      <c r="G4859" s="178"/>
      <c r="H4859" s="177"/>
      <c r="I4859" s="177"/>
      <c r="J4859" s="179"/>
      <c r="K4859" s="183"/>
      <c r="L4859" s="176"/>
      <c r="M4859" s="177"/>
      <c r="N4859" s="21"/>
      <c r="O4859" s="45"/>
      <c r="P4859" s="24"/>
      <c r="Q4859" s="24"/>
      <c r="R4859" s="180"/>
      <c r="S4859" s="181"/>
      <c r="T4859" s="35"/>
      <c r="U4859" s="35"/>
      <c r="V4859" s="35"/>
      <c r="W4859" s="35"/>
      <c r="X4859" s="35"/>
      <c r="Y4859" s="182"/>
      <c r="Z4859" s="175"/>
      <c r="AA4859" s="182"/>
      <c r="AB4859" s="184"/>
    </row>
    <row r="4860" spans="1:28" ht="12.75">
      <c r="A4860" s="173"/>
      <c r="B4860" s="174"/>
      <c r="C4860" s="11"/>
      <c r="D4860" s="175"/>
      <c r="E4860" s="176"/>
      <c r="F4860" s="177"/>
      <c r="G4860" s="178"/>
      <c r="H4860" s="177"/>
      <c r="I4860" s="177"/>
      <c r="J4860" s="179"/>
      <c r="K4860" s="183"/>
      <c r="L4860" s="176"/>
      <c r="M4860" s="177"/>
      <c r="N4860" s="21"/>
      <c r="O4860" s="45"/>
      <c r="P4860" s="24"/>
      <c r="Q4860" s="24"/>
      <c r="R4860" s="180"/>
      <c r="S4860" s="181"/>
      <c r="T4860" s="35"/>
      <c r="U4860" s="35"/>
      <c r="V4860" s="35"/>
      <c r="W4860" s="35"/>
      <c r="X4860" s="35"/>
      <c r="Y4860" s="182"/>
      <c r="Z4860" s="175"/>
      <c r="AA4860" s="182"/>
      <c r="AB4860" s="184"/>
    </row>
    <row r="4861" spans="1:28" ht="12.75">
      <c r="A4861" s="173"/>
      <c r="B4861" s="174"/>
      <c r="C4861" s="11"/>
      <c r="D4861" s="175"/>
      <c r="E4861" s="176"/>
      <c r="F4861" s="177"/>
      <c r="G4861" s="178"/>
      <c r="H4861" s="177"/>
      <c r="I4861" s="177"/>
      <c r="J4861" s="179"/>
      <c r="K4861" s="183"/>
      <c r="L4861" s="176"/>
      <c r="M4861" s="177"/>
      <c r="N4861" s="21"/>
      <c r="O4861" s="45"/>
      <c r="P4861" s="24"/>
      <c r="Q4861" s="24"/>
      <c r="R4861" s="180"/>
      <c r="S4861" s="181"/>
      <c r="T4861" s="35"/>
      <c r="U4861" s="35"/>
      <c r="V4861" s="35"/>
      <c r="W4861" s="35"/>
      <c r="X4861" s="35"/>
      <c r="Y4861" s="182"/>
      <c r="Z4861" s="175"/>
      <c r="AA4861" s="182"/>
      <c r="AB4861" s="184"/>
    </row>
    <row r="4862" spans="1:28" ht="12.75">
      <c r="A4862" s="173"/>
      <c r="B4862" s="174"/>
      <c r="C4862" s="11"/>
      <c r="D4862" s="175"/>
      <c r="E4862" s="176"/>
      <c r="F4862" s="177"/>
      <c r="G4862" s="178"/>
      <c r="H4862" s="177"/>
      <c r="I4862" s="177"/>
      <c r="J4862" s="179"/>
      <c r="K4862" s="183"/>
      <c r="L4862" s="176"/>
      <c r="M4862" s="177"/>
      <c r="N4862" s="21"/>
      <c r="O4862" s="45"/>
      <c r="P4862" s="24"/>
      <c r="Q4862" s="24"/>
      <c r="R4862" s="180"/>
      <c r="S4862" s="181"/>
      <c r="T4862" s="35"/>
      <c r="U4862" s="35"/>
      <c r="V4862" s="35"/>
      <c r="W4862" s="35"/>
      <c r="X4862" s="35"/>
      <c r="Y4862" s="182"/>
      <c r="Z4862" s="175"/>
      <c r="AA4862" s="182"/>
      <c r="AB4862" s="184"/>
    </row>
    <row r="4863" spans="1:28" ht="12.75">
      <c r="A4863" s="173"/>
      <c r="B4863" s="174"/>
      <c r="C4863" s="11"/>
      <c r="D4863" s="175"/>
      <c r="E4863" s="176"/>
      <c r="F4863" s="177"/>
      <c r="G4863" s="178"/>
      <c r="H4863" s="177"/>
      <c r="I4863" s="177"/>
      <c r="J4863" s="179"/>
      <c r="K4863" s="183"/>
      <c r="L4863" s="176"/>
      <c r="M4863" s="177"/>
      <c r="N4863" s="21"/>
      <c r="O4863" s="45"/>
      <c r="P4863" s="24"/>
      <c r="Q4863" s="24"/>
      <c r="R4863" s="180"/>
      <c r="S4863" s="181"/>
      <c r="T4863" s="35"/>
      <c r="U4863" s="35"/>
      <c r="V4863" s="35"/>
      <c r="W4863" s="35"/>
      <c r="X4863" s="35"/>
      <c r="Y4863" s="182"/>
      <c r="Z4863" s="175"/>
      <c r="AA4863" s="182"/>
      <c r="AB4863" s="184"/>
    </row>
    <row r="4864" spans="1:28" ht="12.75">
      <c r="A4864" s="173"/>
      <c r="B4864" s="174"/>
      <c r="C4864" s="11"/>
      <c r="D4864" s="175"/>
      <c r="E4864" s="176"/>
      <c r="F4864" s="177"/>
      <c r="G4864" s="178"/>
      <c r="H4864" s="177"/>
      <c r="I4864" s="177"/>
      <c r="J4864" s="179"/>
      <c r="K4864" s="183"/>
      <c r="L4864" s="176"/>
      <c r="M4864" s="177"/>
      <c r="N4864" s="21"/>
      <c r="O4864" s="45"/>
      <c r="P4864" s="24"/>
      <c r="Q4864" s="24"/>
      <c r="R4864" s="180"/>
      <c r="S4864" s="181"/>
      <c r="T4864" s="35"/>
      <c r="U4864" s="35"/>
      <c r="V4864" s="35"/>
      <c r="W4864" s="35"/>
      <c r="X4864" s="35"/>
      <c r="Y4864" s="182"/>
      <c r="Z4864" s="175"/>
      <c r="AA4864" s="182"/>
      <c r="AB4864" s="184"/>
    </row>
    <row r="4865" spans="1:28" ht="12.75">
      <c r="A4865" s="173"/>
      <c r="B4865" s="174"/>
      <c r="C4865" s="11"/>
      <c r="D4865" s="175"/>
      <c r="E4865" s="176"/>
      <c r="F4865" s="177"/>
      <c r="G4865" s="178"/>
      <c r="H4865" s="177"/>
      <c r="I4865" s="177"/>
      <c r="J4865" s="179"/>
      <c r="K4865" s="183"/>
      <c r="L4865" s="176"/>
      <c r="M4865" s="177"/>
      <c r="N4865" s="21"/>
      <c r="O4865" s="45"/>
      <c r="P4865" s="24"/>
      <c r="Q4865" s="24"/>
      <c r="R4865" s="180"/>
      <c r="S4865" s="181"/>
      <c r="T4865" s="35"/>
      <c r="U4865" s="35"/>
      <c r="V4865" s="35"/>
      <c r="W4865" s="35"/>
      <c r="X4865" s="35"/>
      <c r="Y4865" s="182"/>
      <c r="Z4865" s="175"/>
      <c r="AA4865" s="182"/>
      <c r="AB4865" s="184"/>
    </row>
    <row r="4866" spans="1:28" ht="12.75">
      <c r="A4866" s="173"/>
      <c r="B4866" s="174"/>
      <c r="C4866" s="11"/>
      <c r="D4866" s="175"/>
      <c r="E4866" s="176"/>
      <c r="F4866" s="177"/>
      <c r="G4866" s="178"/>
      <c r="H4866" s="177"/>
      <c r="I4866" s="177"/>
      <c r="J4866" s="179"/>
      <c r="K4866" s="183"/>
      <c r="L4866" s="176"/>
      <c r="M4866" s="177"/>
      <c r="N4866" s="21"/>
      <c r="O4866" s="45"/>
      <c r="P4866" s="24"/>
      <c r="Q4866" s="24"/>
      <c r="R4866" s="180"/>
      <c r="S4866" s="181"/>
      <c r="T4866" s="35"/>
      <c r="U4866" s="35"/>
      <c r="V4866" s="35"/>
      <c r="W4866" s="35"/>
      <c r="X4866" s="35"/>
      <c r="Y4866" s="182"/>
      <c r="Z4866" s="175"/>
      <c r="AA4866" s="182"/>
      <c r="AB4866" s="184"/>
    </row>
    <row r="4867" spans="1:28" ht="12.75">
      <c r="A4867" s="173"/>
      <c r="B4867" s="174"/>
      <c r="C4867" s="11"/>
      <c r="D4867" s="175"/>
      <c r="E4867" s="176"/>
      <c r="F4867" s="177"/>
      <c r="G4867" s="178"/>
      <c r="H4867" s="177"/>
      <c r="I4867" s="177"/>
      <c r="J4867" s="179"/>
      <c r="K4867" s="183"/>
      <c r="L4867" s="176"/>
      <c r="M4867" s="177"/>
      <c r="N4867" s="21"/>
      <c r="O4867" s="45"/>
      <c r="P4867" s="24"/>
      <c r="Q4867" s="24"/>
      <c r="R4867" s="180"/>
      <c r="S4867" s="181"/>
      <c r="T4867" s="35"/>
      <c r="U4867" s="35"/>
      <c r="V4867" s="35"/>
      <c r="W4867" s="35"/>
      <c r="X4867" s="35"/>
      <c r="Y4867" s="182"/>
      <c r="Z4867" s="175"/>
      <c r="AA4867" s="182"/>
      <c r="AB4867" s="184"/>
    </row>
    <row r="4868" spans="1:28" ht="12.75">
      <c r="A4868" s="173"/>
      <c r="B4868" s="174"/>
      <c r="C4868" s="11"/>
      <c r="D4868" s="175"/>
      <c r="E4868" s="176"/>
      <c r="F4868" s="177"/>
      <c r="G4868" s="178"/>
      <c r="H4868" s="177"/>
      <c r="I4868" s="177"/>
      <c r="J4868" s="179"/>
      <c r="K4868" s="183"/>
      <c r="L4868" s="176"/>
      <c r="M4868" s="177"/>
      <c r="N4868" s="21"/>
      <c r="O4868" s="45"/>
      <c r="P4868" s="24"/>
      <c r="Q4868" s="24"/>
      <c r="R4868" s="180"/>
      <c r="S4868" s="181"/>
      <c r="T4868" s="35"/>
      <c r="U4868" s="35"/>
      <c r="V4868" s="35"/>
      <c r="W4868" s="35"/>
      <c r="X4868" s="35"/>
      <c r="Y4868" s="182"/>
      <c r="Z4868" s="175"/>
      <c r="AA4868" s="182"/>
      <c r="AB4868" s="184"/>
    </row>
    <row r="4869" spans="1:28" ht="12.75">
      <c r="A4869" s="173"/>
      <c r="B4869" s="174"/>
      <c r="C4869" s="11"/>
      <c r="D4869" s="175"/>
      <c r="E4869" s="176"/>
      <c r="F4869" s="177"/>
      <c r="G4869" s="178"/>
      <c r="H4869" s="177"/>
      <c r="I4869" s="177"/>
      <c r="J4869" s="179"/>
      <c r="K4869" s="183"/>
      <c r="L4869" s="176"/>
      <c r="M4869" s="177"/>
      <c r="N4869" s="21"/>
      <c r="O4869" s="45"/>
      <c r="P4869" s="24"/>
      <c r="Q4869" s="24"/>
      <c r="R4869" s="180"/>
      <c r="S4869" s="181"/>
      <c r="T4869" s="35"/>
      <c r="U4869" s="35"/>
      <c r="V4869" s="35"/>
      <c r="W4869" s="35"/>
      <c r="X4869" s="35"/>
      <c r="Y4869" s="182"/>
      <c r="Z4869" s="175"/>
      <c r="AA4869" s="182"/>
      <c r="AB4869" s="184"/>
    </row>
    <row r="4870" spans="1:28" ht="12.75">
      <c r="A4870" s="173"/>
      <c r="B4870" s="174"/>
      <c r="C4870" s="11"/>
      <c r="D4870" s="175"/>
      <c r="E4870" s="176"/>
      <c r="F4870" s="177"/>
      <c r="G4870" s="178"/>
      <c r="H4870" s="177"/>
      <c r="I4870" s="177"/>
      <c r="J4870" s="179"/>
      <c r="K4870" s="183"/>
      <c r="L4870" s="176"/>
      <c r="M4870" s="177"/>
      <c r="N4870" s="21"/>
      <c r="O4870" s="45"/>
      <c r="P4870" s="24"/>
      <c r="Q4870" s="24"/>
      <c r="R4870" s="180"/>
      <c r="S4870" s="181"/>
      <c r="T4870" s="35"/>
      <c r="U4870" s="35"/>
      <c r="V4870" s="35"/>
      <c r="W4870" s="35"/>
      <c r="X4870" s="35"/>
      <c r="Y4870" s="182"/>
      <c r="Z4870" s="175"/>
      <c r="AA4870" s="182"/>
      <c r="AB4870" s="184"/>
    </row>
    <row r="4871" spans="1:28" ht="12.75">
      <c r="A4871" s="173"/>
      <c r="B4871" s="174"/>
      <c r="C4871" s="11"/>
      <c r="D4871" s="175"/>
      <c r="E4871" s="176"/>
      <c r="F4871" s="177"/>
      <c r="G4871" s="178"/>
      <c r="H4871" s="177"/>
      <c r="I4871" s="177"/>
      <c r="J4871" s="179"/>
      <c r="K4871" s="183"/>
      <c r="L4871" s="176"/>
      <c r="M4871" s="177"/>
      <c r="N4871" s="21"/>
      <c r="O4871" s="45"/>
      <c r="P4871" s="24"/>
      <c r="Q4871" s="24"/>
      <c r="R4871" s="180"/>
      <c r="S4871" s="181"/>
      <c r="T4871" s="35"/>
      <c r="U4871" s="35"/>
      <c r="V4871" s="35"/>
      <c r="W4871" s="35"/>
      <c r="X4871" s="35"/>
      <c r="Y4871" s="182"/>
      <c r="Z4871" s="175"/>
      <c r="AA4871" s="182"/>
      <c r="AB4871" s="184"/>
    </row>
    <row r="4872" spans="1:28" ht="12.75">
      <c r="A4872" s="173"/>
      <c r="B4872" s="174"/>
      <c r="C4872" s="11"/>
      <c r="D4872" s="175"/>
      <c r="E4872" s="176"/>
      <c r="F4872" s="177"/>
      <c r="G4872" s="178"/>
      <c r="H4872" s="177"/>
      <c r="I4872" s="177"/>
      <c r="J4872" s="179"/>
      <c r="K4872" s="183"/>
      <c r="L4872" s="176"/>
      <c r="M4872" s="177"/>
      <c r="N4872" s="21"/>
      <c r="O4872" s="45"/>
      <c r="P4872" s="24"/>
      <c r="Q4872" s="24"/>
      <c r="R4872" s="180"/>
      <c r="S4872" s="181"/>
      <c r="T4872" s="35"/>
      <c r="U4872" s="35"/>
      <c r="V4872" s="35"/>
      <c r="W4872" s="35"/>
      <c r="X4872" s="35"/>
      <c r="Y4872" s="182"/>
      <c r="Z4872" s="175"/>
      <c r="AA4872" s="182"/>
      <c r="AB4872" s="184"/>
    </row>
    <row r="4873" spans="1:28" ht="12.75">
      <c r="A4873" s="173"/>
      <c r="B4873" s="174"/>
      <c r="C4873" s="11"/>
      <c r="D4873" s="175"/>
      <c r="E4873" s="176"/>
      <c r="F4873" s="177"/>
      <c r="G4873" s="178"/>
      <c r="H4873" s="177"/>
      <c r="I4873" s="177"/>
      <c r="J4873" s="179"/>
      <c r="K4873" s="183"/>
      <c r="L4873" s="176"/>
      <c r="M4873" s="177"/>
      <c r="N4873" s="21"/>
      <c r="O4873" s="45"/>
      <c r="P4873" s="24"/>
      <c r="Q4873" s="24"/>
      <c r="R4873" s="180"/>
      <c r="S4873" s="181"/>
      <c r="T4873" s="35"/>
      <c r="U4873" s="35"/>
      <c r="V4873" s="35"/>
      <c r="W4873" s="35"/>
      <c r="X4873" s="35"/>
      <c r="Y4873" s="182"/>
      <c r="Z4873" s="175"/>
      <c r="AA4873" s="182"/>
      <c r="AB4873" s="184"/>
    </row>
    <row r="4874" spans="1:28" ht="12.75">
      <c r="A4874" s="173"/>
      <c r="B4874" s="174"/>
      <c r="C4874" s="11"/>
      <c r="D4874" s="175"/>
      <c r="E4874" s="176"/>
      <c r="F4874" s="177"/>
      <c r="G4874" s="178"/>
      <c r="H4874" s="177"/>
      <c r="I4874" s="177"/>
      <c r="J4874" s="179"/>
      <c r="K4874" s="183"/>
      <c r="L4874" s="176"/>
      <c r="M4874" s="177"/>
      <c r="N4874" s="21"/>
      <c r="O4874" s="45"/>
      <c r="P4874" s="24"/>
      <c r="Q4874" s="24"/>
      <c r="R4874" s="180"/>
      <c r="S4874" s="181"/>
      <c r="T4874" s="35"/>
      <c r="U4874" s="35"/>
      <c r="V4874" s="35"/>
      <c r="W4874" s="35"/>
      <c r="X4874" s="35"/>
      <c r="Y4874" s="182"/>
      <c r="Z4874" s="175"/>
      <c r="AA4874" s="182"/>
      <c r="AB4874" s="184"/>
    </row>
    <row r="4875" spans="1:28" ht="12.75">
      <c r="A4875" s="173"/>
      <c r="B4875" s="174"/>
      <c r="C4875" s="11"/>
      <c r="D4875" s="175"/>
      <c r="E4875" s="176"/>
      <c r="F4875" s="177"/>
      <c r="G4875" s="178"/>
      <c r="H4875" s="177"/>
      <c r="I4875" s="177"/>
      <c r="J4875" s="179"/>
      <c r="K4875" s="183"/>
      <c r="L4875" s="176"/>
      <c r="M4875" s="177"/>
      <c r="N4875" s="21"/>
      <c r="O4875" s="45"/>
      <c r="P4875" s="24"/>
      <c r="Q4875" s="24"/>
      <c r="R4875" s="180"/>
      <c r="S4875" s="181"/>
      <c r="T4875" s="35"/>
      <c r="U4875" s="35"/>
      <c r="V4875" s="35"/>
      <c r="W4875" s="35"/>
      <c r="X4875" s="35"/>
      <c r="Y4875" s="182"/>
      <c r="Z4875" s="175"/>
      <c r="AA4875" s="182"/>
      <c r="AB4875" s="184"/>
    </row>
    <row r="4876" spans="1:28" ht="12.75">
      <c r="A4876" s="173"/>
      <c r="B4876" s="174"/>
      <c r="C4876" s="11"/>
      <c r="D4876" s="175"/>
      <c r="E4876" s="176"/>
      <c r="F4876" s="177"/>
      <c r="G4876" s="178"/>
      <c r="H4876" s="177"/>
      <c r="I4876" s="177"/>
      <c r="J4876" s="179"/>
      <c r="K4876" s="183"/>
      <c r="L4876" s="176"/>
      <c r="M4876" s="177"/>
      <c r="N4876" s="21"/>
      <c r="O4876" s="45"/>
      <c r="P4876" s="24"/>
      <c r="Q4876" s="24"/>
      <c r="R4876" s="180"/>
      <c r="S4876" s="181"/>
      <c r="T4876" s="35"/>
      <c r="U4876" s="35"/>
      <c r="V4876" s="35"/>
      <c r="W4876" s="35"/>
      <c r="X4876" s="35"/>
      <c r="Y4876" s="182"/>
      <c r="Z4876" s="175"/>
      <c r="AA4876" s="182"/>
      <c r="AB4876" s="184"/>
    </row>
    <row r="4877" spans="1:28" ht="12.75">
      <c r="A4877" s="173"/>
      <c r="B4877" s="174"/>
      <c r="C4877" s="11"/>
      <c r="D4877" s="175"/>
      <c r="E4877" s="176"/>
      <c r="F4877" s="177"/>
      <c r="G4877" s="178"/>
      <c r="H4877" s="177"/>
      <c r="I4877" s="177"/>
      <c r="J4877" s="179"/>
      <c r="K4877" s="183"/>
      <c r="L4877" s="176"/>
      <c r="M4877" s="177"/>
      <c r="N4877" s="21"/>
      <c r="O4877" s="45"/>
      <c r="P4877" s="24"/>
      <c r="Q4877" s="24"/>
      <c r="R4877" s="180"/>
      <c r="S4877" s="181"/>
      <c r="T4877" s="35"/>
      <c r="U4877" s="35"/>
      <c r="V4877" s="35"/>
      <c r="W4877" s="35"/>
      <c r="X4877" s="35"/>
      <c r="Y4877" s="182"/>
      <c r="Z4877" s="175"/>
      <c r="AA4877" s="182"/>
      <c r="AB4877" s="184"/>
    </row>
    <row r="4878" spans="1:28" ht="12.75">
      <c r="A4878" s="173"/>
      <c r="B4878" s="174"/>
      <c r="C4878" s="11"/>
      <c r="D4878" s="175"/>
      <c r="E4878" s="176"/>
      <c r="F4878" s="177"/>
      <c r="G4878" s="178"/>
      <c r="H4878" s="177"/>
      <c r="I4878" s="177"/>
      <c r="J4878" s="179"/>
      <c r="K4878" s="183"/>
      <c r="L4878" s="176"/>
      <c r="M4878" s="177"/>
      <c r="N4878" s="21"/>
      <c r="O4878" s="45"/>
      <c r="P4878" s="24"/>
      <c r="Q4878" s="24"/>
      <c r="R4878" s="180"/>
      <c r="S4878" s="181"/>
      <c r="T4878" s="35"/>
      <c r="U4878" s="35"/>
      <c r="V4878" s="35"/>
      <c r="W4878" s="35"/>
      <c r="X4878" s="35"/>
      <c r="Y4878" s="182"/>
      <c r="Z4878" s="175"/>
      <c r="AA4878" s="182"/>
      <c r="AB4878" s="184"/>
    </row>
    <row r="4879" spans="1:28" ht="12.75">
      <c r="A4879" s="173"/>
      <c r="B4879" s="174"/>
      <c r="C4879" s="11"/>
      <c r="D4879" s="175"/>
      <c r="E4879" s="176"/>
      <c r="F4879" s="177"/>
      <c r="G4879" s="178"/>
      <c r="H4879" s="177"/>
      <c r="I4879" s="177"/>
      <c r="J4879" s="179"/>
      <c r="K4879" s="183"/>
      <c r="L4879" s="176"/>
      <c r="M4879" s="177"/>
      <c r="N4879" s="21"/>
      <c r="O4879" s="45"/>
      <c r="P4879" s="24"/>
      <c r="Q4879" s="24"/>
      <c r="R4879" s="180"/>
      <c r="S4879" s="181"/>
      <c r="T4879" s="35"/>
      <c r="U4879" s="35"/>
      <c r="V4879" s="35"/>
      <c r="W4879" s="35"/>
      <c r="X4879" s="35"/>
      <c r="Y4879" s="182"/>
      <c r="Z4879" s="175"/>
      <c r="AA4879" s="182"/>
      <c r="AB4879" s="184"/>
    </row>
    <row r="4880" spans="1:28" ht="12.75">
      <c r="A4880" s="173"/>
      <c r="B4880" s="174"/>
      <c r="C4880" s="11"/>
      <c r="D4880" s="175"/>
      <c r="E4880" s="176"/>
      <c r="F4880" s="177"/>
      <c r="G4880" s="178"/>
      <c r="H4880" s="177"/>
      <c r="I4880" s="177"/>
      <c r="J4880" s="179"/>
      <c r="K4880" s="183"/>
      <c r="L4880" s="176"/>
      <c r="M4880" s="177"/>
      <c r="N4880" s="21"/>
      <c r="O4880" s="45"/>
      <c r="P4880" s="24"/>
      <c r="Q4880" s="24"/>
      <c r="R4880" s="180"/>
      <c r="S4880" s="181"/>
      <c r="T4880" s="35"/>
      <c r="U4880" s="35"/>
      <c r="V4880" s="35"/>
      <c r="W4880" s="35"/>
      <c r="X4880" s="35"/>
      <c r="Y4880" s="182"/>
      <c r="Z4880" s="175"/>
      <c r="AA4880" s="182"/>
      <c r="AB4880" s="184"/>
    </row>
    <row r="4881" spans="1:28" ht="12.75">
      <c r="A4881" s="173"/>
      <c r="B4881" s="174"/>
      <c r="C4881" s="11"/>
      <c r="D4881" s="175"/>
      <c r="E4881" s="176"/>
      <c r="F4881" s="177"/>
      <c r="G4881" s="178"/>
      <c r="H4881" s="177"/>
      <c r="I4881" s="177"/>
      <c r="J4881" s="179"/>
      <c r="K4881" s="183"/>
      <c r="L4881" s="176"/>
      <c r="M4881" s="177"/>
      <c r="N4881" s="21"/>
      <c r="O4881" s="45"/>
      <c r="P4881" s="24"/>
      <c r="Q4881" s="24"/>
      <c r="R4881" s="180"/>
      <c r="S4881" s="181"/>
      <c r="T4881" s="35"/>
      <c r="U4881" s="35"/>
      <c r="V4881" s="35"/>
      <c r="W4881" s="35"/>
      <c r="X4881" s="35"/>
      <c r="Y4881" s="182"/>
      <c r="Z4881" s="175"/>
      <c r="AA4881" s="182"/>
      <c r="AB4881" s="184"/>
    </row>
    <row r="4882" spans="1:28" ht="12.75">
      <c r="A4882" s="173"/>
      <c r="B4882" s="174"/>
      <c r="C4882" s="11"/>
      <c r="D4882" s="175"/>
      <c r="E4882" s="176"/>
      <c r="F4882" s="177"/>
      <c r="G4882" s="178"/>
      <c r="H4882" s="177"/>
      <c r="I4882" s="177"/>
      <c r="J4882" s="179"/>
      <c r="K4882" s="183"/>
      <c r="L4882" s="176"/>
      <c r="M4882" s="177"/>
      <c r="N4882" s="21"/>
      <c r="O4882" s="45"/>
      <c r="P4882" s="24"/>
      <c r="Q4882" s="24"/>
      <c r="R4882" s="180"/>
      <c r="S4882" s="181"/>
      <c r="T4882" s="35"/>
      <c r="U4882" s="35"/>
      <c r="V4882" s="35"/>
      <c r="W4882" s="35"/>
      <c r="X4882" s="35"/>
      <c r="Y4882" s="182"/>
      <c r="Z4882" s="175"/>
      <c r="AA4882" s="182"/>
      <c r="AB4882" s="184"/>
    </row>
    <row r="4883" spans="1:28" ht="12.75">
      <c r="A4883" s="173"/>
      <c r="B4883" s="174"/>
      <c r="C4883" s="11"/>
      <c r="D4883" s="175"/>
      <c r="E4883" s="176"/>
      <c r="F4883" s="177"/>
      <c r="G4883" s="178"/>
      <c r="H4883" s="177"/>
      <c r="I4883" s="177"/>
      <c r="J4883" s="179"/>
      <c r="K4883" s="183"/>
      <c r="L4883" s="176"/>
      <c r="M4883" s="177"/>
      <c r="N4883" s="21"/>
      <c r="O4883" s="45"/>
      <c r="P4883" s="24"/>
      <c r="Q4883" s="24"/>
      <c r="R4883" s="180"/>
      <c r="S4883" s="181"/>
      <c r="T4883" s="35"/>
      <c r="U4883" s="35"/>
      <c r="V4883" s="35"/>
      <c r="W4883" s="35"/>
      <c r="X4883" s="35"/>
      <c r="Y4883" s="182"/>
      <c r="Z4883" s="175"/>
      <c r="AA4883" s="182"/>
      <c r="AB4883" s="184"/>
    </row>
    <row r="4884" spans="1:28" ht="12.75">
      <c r="A4884" s="173"/>
      <c r="B4884" s="174"/>
      <c r="C4884" s="11"/>
      <c r="D4884" s="175"/>
      <c r="E4884" s="176"/>
      <c r="F4884" s="177"/>
      <c r="G4884" s="178"/>
      <c r="H4884" s="177"/>
      <c r="I4884" s="177"/>
      <c r="J4884" s="179"/>
      <c r="K4884" s="183"/>
      <c r="L4884" s="176"/>
      <c r="M4884" s="177"/>
      <c r="N4884" s="21"/>
      <c r="O4884" s="45"/>
      <c r="P4884" s="24"/>
      <c r="Q4884" s="24"/>
      <c r="R4884" s="180"/>
      <c r="S4884" s="181"/>
      <c r="T4884" s="35"/>
      <c r="U4884" s="35"/>
      <c r="V4884" s="35"/>
      <c r="W4884" s="35"/>
      <c r="X4884" s="35"/>
      <c r="Y4884" s="182"/>
      <c r="Z4884" s="175"/>
      <c r="AA4884" s="182"/>
      <c r="AB4884" s="184"/>
    </row>
    <row r="4885" spans="1:28" ht="12.75">
      <c r="A4885" s="173"/>
      <c r="B4885" s="174"/>
      <c r="C4885" s="11"/>
      <c r="D4885" s="175"/>
      <c r="E4885" s="176"/>
      <c r="F4885" s="177"/>
      <c r="G4885" s="178"/>
      <c r="H4885" s="177"/>
      <c r="I4885" s="177"/>
      <c r="J4885" s="179"/>
      <c r="K4885" s="183"/>
      <c r="L4885" s="176"/>
      <c r="M4885" s="177"/>
      <c r="N4885" s="21"/>
      <c r="O4885" s="45"/>
      <c r="P4885" s="24"/>
      <c r="Q4885" s="24"/>
      <c r="R4885" s="180"/>
      <c r="S4885" s="181"/>
      <c r="T4885" s="35"/>
      <c r="U4885" s="35"/>
      <c r="V4885" s="35"/>
      <c r="W4885" s="35"/>
      <c r="X4885" s="35"/>
      <c r="Y4885" s="182"/>
      <c r="Z4885" s="175"/>
      <c r="AA4885" s="182"/>
      <c r="AB4885" s="184"/>
    </row>
    <row r="4886" spans="1:28" ht="12.75">
      <c r="A4886" s="173"/>
      <c r="B4886" s="174"/>
      <c r="C4886" s="11"/>
      <c r="D4886" s="175"/>
      <c r="E4886" s="176"/>
      <c r="F4886" s="177"/>
      <c r="G4886" s="178"/>
      <c r="H4886" s="177"/>
      <c r="I4886" s="177"/>
      <c r="J4886" s="179"/>
      <c r="K4886" s="183"/>
      <c r="L4886" s="176"/>
      <c r="M4886" s="177"/>
      <c r="N4886" s="21"/>
      <c r="O4886" s="45"/>
      <c r="P4886" s="24"/>
      <c r="Q4886" s="24"/>
      <c r="R4886" s="180"/>
      <c r="S4886" s="181"/>
      <c r="T4886" s="35"/>
      <c r="U4886" s="35"/>
      <c r="V4886" s="35"/>
      <c r="W4886" s="35"/>
      <c r="X4886" s="35"/>
      <c r="Y4886" s="182"/>
      <c r="Z4886" s="175"/>
      <c r="AA4886" s="182"/>
      <c r="AB4886" s="184"/>
    </row>
    <row r="4887" spans="1:28" ht="12.75">
      <c r="A4887" s="173"/>
      <c r="B4887" s="174"/>
      <c r="C4887" s="11"/>
      <c r="D4887" s="175"/>
      <c r="E4887" s="176"/>
      <c r="F4887" s="177"/>
      <c r="G4887" s="178"/>
      <c r="H4887" s="177"/>
      <c r="I4887" s="177"/>
      <c r="J4887" s="179"/>
      <c r="K4887" s="183"/>
      <c r="L4887" s="176"/>
      <c r="M4887" s="177"/>
      <c r="N4887" s="21"/>
      <c r="O4887" s="45"/>
      <c r="P4887" s="24"/>
      <c r="Q4887" s="24"/>
      <c r="R4887" s="180"/>
      <c r="S4887" s="181"/>
      <c r="T4887" s="35"/>
      <c r="U4887" s="35"/>
      <c r="V4887" s="35"/>
      <c r="W4887" s="35"/>
      <c r="X4887" s="35"/>
      <c r="Y4887" s="182"/>
      <c r="Z4887" s="175"/>
      <c r="AA4887" s="182"/>
      <c r="AB4887" s="184"/>
    </row>
    <row r="4888" spans="1:28" ht="12.75">
      <c r="A4888" s="173"/>
      <c r="B4888" s="174"/>
      <c r="C4888" s="11"/>
      <c r="D4888" s="175"/>
      <c r="E4888" s="176"/>
      <c r="F4888" s="177"/>
      <c r="G4888" s="178"/>
      <c r="H4888" s="177"/>
      <c r="I4888" s="177"/>
      <c r="J4888" s="179"/>
      <c r="K4888" s="183"/>
      <c r="L4888" s="176"/>
      <c r="M4888" s="177"/>
      <c r="N4888" s="21"/>
      <c r="O4888" s="45"/>
      <c r="P4888" s="24"/>
      <c r="Q4888" s="24"/>
      <c r="R4888" s="180"/>
      <c r="S4888" s="181"/>
      <c r="T4888" s="35"/>
      <c r="U4888" s="35"/>
      <c r="V4888" s="35"/>
      <c r="W4888" s="35"/>
      <c r="X4888" s="35"/>
      <c r="Y4888" s="182"/>
      <c r="Z4888" s="175"/>
      <c r="AA4888" s="182"/>
      <c r="AB4888" s="184"/>
    </row>
    <row r="4889" spans="1:28" ht="12.75">
      <c r="A4889" s="173"/>
      <c r="B4889" s="174"/>
      <c r="C4889" s="11"/>
      <c r="D4889" s="175"/>
      <c r="E4889" s="176"/>
      <c r="F4889" s="177"/>
      <c r="G4889" s="178"/>
      <c r="H4889" s="177"/>
      <c r="I4889" s="177"/>
      <c r="J4889" s="179"/>
      <c r="K4889" s="183"/>
      <c r="L4889" s="176"/>
      <c r="M4889" s="177"/>
      <c r="N4889" s="21"/>
      <c r="O4889" s="45"/>
      <c r="P4889" s="24"/>
      <c r="Q4889" s="24"/>
      <c r="R4889" s="180"/>
      <c r="S4889" s="181"/>
      <c r="T4889" s="35"/>
      <c r="U4889" s="35"/>
      <c r="V4889" s="35"/>
      <c r="W4889" s="35"/>
      <c r="X4889" s="35"/>
      <c r="Y4889" s="182"/>
      <c r="Z4889" s="175"/>
      <c r="AA4889" s="182"/>
      <c r="AB4889" s="184"/>
    </row>
    <row r="4890" spans="1:28" ht="12.75">
      <c r="A4890" s="173"/>
      <c r="B4890" s="174"/>
      <c r="C4890" s="11"/>
      <c r="D4890" s="175"/>
      <c r="E4890" s="176"/>
      <c r="F4890" s="177"/>
      <c r="G4890" s="178"/>
      <c r="H4890" s="177"/>
      <c r="I4890" s="177"/>
      <c r="J4890" s="179"/>
      <c r="K4890" s="183"/>
      <c r="L4890" s="176"/>
      <c r="M4890" s="177"/>
      <c r="N4890" s="21"/>
      <c r="O4890" s="45"/>
      <c r="P4890" s="24"/>
      <c r="Q4890" s="24"/>
      <c r="R4890" s="180"/>
      <c r="S4890" s="181"/>
      <c r="T4890" s="35"/>
      <c r="U4890" s="35"/>
      <c r="V4890" s="35"/>
      <c r="W4890" s="35"/>
      <c r="X4890" s="35"/>
      <c r="Y4890" s="182"/>
      <c r="Z4890" s="175"/>
      <c r="AA4890" s="182"/>
      <c r="AB4890" s="184"/>
    </row>
    <row r="4891" spans="1:28" ht="12.75">
      <c r="A4891" s="173"/>
      <c r="B4891" s="174"/>
      <c r="C4891" s="11"/>
      <c r="D4891" s="175"/>
      <c r="E4891" s="176"/>
      <c r="F4891" s="177"/>
      <c r="G4891" s="178"/>
      <c r="H4891" s="177"/>
      <c r="I4891" s="177"/>
      <c r="J4891" s="179"/>
      <c r="K4891" s="183"/>
      <c r="L4891" s="176"/>
      <c r="M4891" s="177"/>
      <c r="N4891" s="21"/>
      <c r="O4891" s="45"/>
      <c r="P4891" s="24"/>
      <c r="Q4891" s="24"/>
      <c r="R4891" s="180"/>
      <c r="S4891" s="181"/>
      <c r="T4891" s="35"/>
      <c r="U4891" s="35"/>
      <c r="V4891" s="35"/>
      <c r="W4891" s="35"/>
      <c r="X4891" s="35"/>
      <c r="Y4891" s="182"/>
      <c r="Z4891" s="175"/>
      <c r="AA4891" s="182"/>
      <c r="AB4891" s="184"/>
    </row>
    <row r="4892" spans="1:28" ht="12.75">
      <c r="A4892" s="173"/>
      <c r="B4892" s="174"/>
      <c r="C4892" s="11"/>
      <c r="D4892" s="175"/>
      <c r="E4892" s="176"/>
      <c r="F4892" s="177"/>
      <c r="G4892" s="178"/>
      <c r="H4892" s="177"/>
      <c r="I4892" s="177"/>
      <c r="J4892" s="179"/>
      <c r="K4892" s="183"/>
      <c r="L4892" s="176"/>
      <c r="M4892" s="177"/>
      <c r="N4892" s="21"/>
      <c r="O4892" s="45"/>
      <c r="P4892" s="24"/>
      <c r="Q4892" s="24"/>
      <c r="R4892" s="180"/>
      <c r="S4892" s="181"/>
      <c r="T4892" s="35"/>
      <c r="U4892" s="35"/>
      <c r="V4892" s="35"/>
      <c r="W4892" s="35"/>
      <c r="X4892" s="35"/>
      <c r="Y4892" s="182"/>
      <c r="Z4892" s="175"/>
      <c r="AA4892" s="182"/>
      <c r="AB4892" s="184"/>
    </row>
    <row r="4893" spans="1:28" ht="12.75">
      <c r="A4893" s="173"/>
      <c r="B4893" s="174"/>
      <c r="C4893" s="11"/>
      <c r="D4893" s="175"/>
      <c r="E4893" s="176"/>
      <c r="F4893" s="177"/>
      <c r="G4893" s="178"/>
      <c r="H4893" s="177"/>
      <c r="I4893" s="177"/>
      <c r="J4893" s="179"/>
      <c r="K4893" s="183"/>
      <c r="L4893" s="176"/>
      <c r="M4893" s="177"/>
      <c r="N4893" s="21"/>
      <c r="O4893" s="45"/>
      <c r="P4893" s="24"/>
      <c r="Q4893" s="24"/>
      <c r="R4893" s="180"/>
      <c r="S4893" s="181"/>
      <c r="T4893" s="35"/>
      <c r="U4893" s="35"/>
      <c r="V4893" s="35"/>
      <c r="W4893" s="35"/>
      <c r="X4893" s="35"/>
      <c r="Y4893" s="182"/>
      <c r="Z4893" s="175"/>
      <c r="AA4893" s="182"/>
      <c r="AB4893" s="184"/>
    </row>
    <row r="4894" spans="1:28" ht="12.75">
      <c r="A4894" s="173"/>
      <c r="B4894" s="174"/>
      <c r="C4894" s="11"/>
      <c r="D4894" s="175"/>
      <c r="E4894" s="176"/>
      <c r="F4894" s="177"/>
      <c r="G4894" s="178"/>
      <c r="H4894" s="177"/>
      <c r="I4894" s="177"/>
      <c r="J4894" s="179"/>
      <c r="K4894" s="183"/>
      <c r="L4894" s="176"/>
      <c r="M4894" s="177"/>
      <c r="N4894" s="21"/>
      <c r="O4894" s="45"/>
      <c r="P4894" s="24"/>
      <c r="Q4894" s="24"/>
      <c r="R4894" s="180"/>
      <c r="S4894" s="181"/>
      <c r="T4894" s="35"/>
      <c r="U4894" s="35"/>
      <c r="V4894" s="35"/>
      <c r="W4894" s="35"/>
      <c r="X4894" s="35"/>
      <c r="Y4894" s="182"/>
      <c r="Z4894" s="175"/>
      <c r="AA4894" s="182"/>
      <c r="AB4894" s="184"/>
    </row>
    <row r="4895" spans="1:28" ht="12.75">
      <c r="A4895" s="173"/>
      <c r="B4895" s="174"/>
      <c r="C4895" s="11"/>
      <c r="D4895" s="175"/>
      <c r="E4895" s="176"/>
      <c r="F4895" s="177"/>
      <c r="G4895" s="178"/>
      <c r="H4895" s="177"/>
      <c r="I4895" s="177"/>
      <c r="J4895" s="179"/>
      <c r="K4895" s="183"/>
      <c r="L4895" s="176"/>
      <c r="M4895" s="177"/>
      <c r="N4895" s="21"/>
      <c r="O4895" s="45"/>
      <c r="P4895" s="24"/>
      <c r="Q4895" s="24"/>
      <c r="R4895" s="180"/>
      <c r="S4895" s="181"/>
      <c r="T4895" s="35"/>
      <c r="U4895" s="35"/>
      <c r="V4895" s="35"/>
      <c r="W4895" s="35"/>
      <c r="X4895" s="35"/>
      <c r="Y4895" s="182"/>
      <c r="Z4895" s="175"/>
      <c r="AA4895" s="182"/>
      <c r="AB4895" s="184"/>
    </row>
    <row r="4896" spans="1:28" ht="12.75">
      <c r="A4896" s="173"/>
      <c r="B4896" s="174"/>
      <c r="C4896" s="11"/>
      <c r="D4896" s="175"/>
      <c r="E4896" s="176"/>
      <c r="F4896" s="177"/>
      <c r="G4896" s="178"/>
      <c r="H4896" s="177"/>
      <c r="I4896" s="177"/>
      <c r="J4896" s="179"/>
      <c r="K4896" s="183"/>
      <c r="L4896" s="176"/>
      <c r="M4896" s="177"/>
      <c r="N4896" s="21"/>
      <c r="O4896" s="45"/>
      <c r="P4896" s="24"/>
      <c r="Q4896" s="24"/>
      <c r="R4896" s="180"/>
      <c r="S4896" s="181"/>
      <c r="T4896" s="35"/>
      <c r="U4896" s="35"/>
      <c r="V4896" s="35"/>
      <c r="W4896" s="35"/>
      <c r="X4896" s="35"/>
      <c r="Y4896" s="182"/>
      <c r="Z4896" s="175"/>
      <c r="AA4896" s="182"/>
      <c r="AB4896" s="184"/>
    </row>
    <row r="4897" spans="1:28" ht="12.75">
      <c r="A4897" s="173"/>
      <c r="B4897" s="174"/>
      <c r="C4897" s="11"/>
      <c r="D4897" s="175"/>
      <c r="E4897" s="176"/>
      <c r="F4897" s="177"/>
      <c r="G4897" s="178"/>
      <c r="H4897" s="177"/>
      <c r="I4897" s="177"/>
      <c r="J4897" s="179"/>
      <c r="K4897" s="183"/>
      <c r="L4897" s="176"/>
      <c r="M4897" s="177"/>
      <c r="N4897" s="21"/>
      <c r="O4897" s="45"/>
      <c r="P4897" s="24"/>
      <c r="Q4897" s="24"/>
      <c r="R4897" s="180"/>
      <c r="S4897" s="181"/>
      <c r="T4897" s="35"/>
      <c r="U4897" s="35"/>
      <c r="V4897" s="35"/>
      <c r="W4897" s="35"/>
      <c r="X4897" s="35"/>
      <c r="Y4897" s="182"/>
      <c r="Z4897" s="175"/>
      <c r="AA4897" s="182"/>
      <c r="AB4897" s="184"/>
    </row>
    <row r="4898" spans="1:28" ht="12.75">
      <c r="A4898" s="173"/>
      <c r="B4898" s="174"/>
      <c r="C4898" s="11"/>
      <c r="D4898" s="175"/>
      <c r="E4898" s="176"/>
      <c r="F4898" s="177"/>
      <c r="G4898" s="178"/>
      <c r="H4898" s="177"/>
      <c r="I4898" s="177"/>
      <c r="J4898" s="179"/>
      <c r="K4898" s="183"/>
      <c r="L4898" s="176"/>
      <c r="M4898" s="177"/>
      <c r="N4898" s="21"/>
      <c r="O4898" s="45"/>
      <c r="P4898" s="24"/>
      <c r="Q4898" s="24"/>
      <c r="R4898" s="180"/>
      <c r="S4898" s="181"/>
      <c r="T4898" s="35"/>
      <c r="U4898" s="35"/>
      <c r="V4898" s="35"/>
      <c r="W4898" s="35"/>
      <c r="X4898" s="35"/>
      <c r="Y4898" s="182"/>
      <c r="Z4898" s="175"/>
      <c r="AA4898" s="182"/>
      <c r="AB4898" s="184"/>
    </row>
    <row r="4899" spans="1:28" ht="12.75">
      <c r="A4899" s="173"/>
      <c r="B4899" s="174"/>
      <c r="C4899" s="11"/>
      <c r="D4899" s="175"/>
      <c r="E4899" s="176"/>
      <c r="F4899" s="177"/>
      <c r="G4899" s="178"/>
      <c r="H4899" s="177"/>
      <c r="I4899" s="177"/>
      <c r="J4899" s="179"/>
      <c r="K4899" s="183"/>
      <c r="L4899" s="176"/>
      <c r="M4899" s="177"/>
      <c r="N4899" s="21"/>
      <c r="O4899" s="45"/>
      <c r="P4899" s="24"/>
      <c r="Q4899" s="24"/>
      <c r="R4899" s="180"/>
      <c r="S4899" s="181"/>
      <c r="T4899" s="35"/>
      <c r="U4899" s="35"/>
      <c r="V4899" s="35"/>
      <c r="W4899" s="35"/>
      <c r="X4899" s="35"/>
      <c r="Y4899" s="182"/>
      <c r="Z4899" s="175"/>
      <c r="AA4899" s="182"/>
      <c r="AB4899" s="184"/>
    </row>
    <row r="4900" spans="1:28" ht="12.75">
      <c r="A4900" s="173"/>
      <c r="B4900" s="174"/>
      <c r="C4900" s="11"/>
      <c r="D4900" s="175"/>
      <c r="E4900" s="176"/>
      <c r="F4900" s="177"/>
      <c r="G4900" s="178"/>
      <c r="H4900" s="177"/>
      <c r="I4900" s="177"/>
      <c r="J4900" s="179"/>
      <c r="K4900" s="183"/>
      <c r="L4900" s="176"/>
      <c r="M4900" s="177"/>
      <c r="N4900" s="21"/>
      <c r="O4900" s="45"/>
      <c r="P4900" s="24"/>
      <c r="Q4900" s="24"/>
      <c r="R4900" s="180"/>
      <c r="S4900" s="181"/>
      <c r="T4900" s="35"/>
      <c r="U4900" s="35"/>
      <c r="V4900" s="35"/>
      <c r="W4900" s="35"/>
      <c r="X4900" s="35"/>
      <c r="Y4900" s="182"/>
      <c r="Z4900" s="175"/>
      <c r="AA4900" s="182"/>
      <c r="AB4900" s="184"/>
    </row>
    <row r="4901" spans="1:28" ht="12.75">
      <c r="A4901" s="173"/>
      <c r="B4901" s="174"/>
      <c r="C4901" s="11"/>
      <c r="D4901" s="175"/>
      <c r="E4901" s="176"/>
      <c r="F4901" s="177"/>
      <c r="G4901" s="178"/>
      <c r="H4901" s="177"/>
      <c r="I4901" s="177"/>
      <c r="J4901" s="179"/>
      <c r="K4901" s="183"/>
      <c r="L4901" s="176"/>
      <c r="M4901" s="177"/>
      <c r="N4901" s="21"/>
      <c r="O4901" s="45"/>
      <c r="P4901" s="24"/>
      <c r="Q4901" s="24"/>
      <c r="R4901" s="180"/>
      <c r="S4901" s="181"/>
      <c r="T4901" s="35"/>
      <c r="U4901" s="35"/>
      <c r="V4901" s="35"/>
      <c r="W4901" s="35"/>
      <c r="X4901" s="35"/>
      <c r="Y4901" s="182"/>
      <c r="Z4901" s="175"/>
      <c r="AA4901" s="182"/>
      <c r="AB4901" s="184"/>
    </row>
    <row r="4902" spans="1:28" ht="12.75">
      <c r="A4902" s="173"/>
      <c r="B4902" s="174"/>
      <c r="C4902" s="11"/>
      <c r="D4902" s="175"/>
      <c r="E4902" s="176"/>
      <c r="F4902" s="177"/>
      <c r="G4902" s="178"/>
      <c r="H4902" s="177"/>
      <c r="I4902" s="177"/>
      <c r="J4902" s="179"/>
      <c r="K4902" s="183"/>
      <c r="L4902" s="176"/>
      <c r="M4902" s="177"/>
      <c r="N4902" s="21"/>
      <c r="O4902" s="45"/>
      <c r="P4902" s="24"/>
      <c r="Q4902" s="24"/>
      <c r="R4902" s="180"/>
      <c r="S4902" s="181"/>
      <c r="T4902" s="35"/>
      <c r="U4902" s="35"/>
      <c r="V4902" s="35"/>
      <c r="W4902" s="35"/>
      <c r="X4902" s="35"/>
      <c r="Y4902" s="182"/>
      <c r="Z4902" s="175"/>
      <c r="AA4902" s="182"/>
      <c r="AB4902" s="184"/>
    </row>
    <row r="4903" spans="1:28" ht="12.75">
      <c r="A4903" s="173"/>
      <c r="B4903" s="174"/>
      <c r="C4903" s="11"/>
      <c r="D4903" s="175"/>
      <c r="E4903" s="176"/>
      <c r="F4903" s="177"/>
      <c r="G4903" s="178"/>
      <c r="H4903" s="177"/>
      <c r="I4903" s="177"/>
      <c r="J4903" s="179"/>
      <c r="K4903" s="183"/>
      <c r="L4903" s="176"/>
      <c r="M4903" s="177"/>
      <c r="N4903" s="21"/>
      <c r="O4903" s="45"/>
      <c r="P4903" s="24"/>
      <c r="Q4903" s="24"/>
      <c r="R4903" s="180"/>
      <c r="S4903" s="181"/>
      <c r="T4903" s="35"/>
      <c r="U4903" s="35"/>
      <c r="V4903" s="35"/>
      <c r="W4903" s="35"/>
      <c r="X4903" s="35"/>
      <c r="Y4903" s="182"/>
      <c r="Z4903" s="175"/>
      <c r="AA4903" s="182"/>
      <c r="AB4903" s="184"/>
    </row>
    <row r="4904" spans="1:28" ht="12.75">
      <c r="A4904" s="173"/>
      <c r="B4904" s="174"/>
      <c r="C4904" s="11"/>
      <c r="D4904" s="175"/>
      <c r="E4904" s="176"/>
      <c r="F4904" s="177"/>
      <c r="G4904" s="178"/>
      <c r="H4904" s="177"/>
      <c r="I4904" s="177"/>
      <c r="J4904" s="179"/>
      <c r="K4904" s="183"/>
      <c r="L4904" s="176"/>
      <c r="M4904" s="177"/>
      <c r="N4904" s="21"/>
      <c r="O4904" s="45"/>
      <c r="P4904" s="24"/>
      <c r="Q4904" s="24"/>
      <c r="R4904" s="180"/>
      <c r="S4904" s="181"/>
      <c r="T4904" s="35"/>
      <c r="U4904" s="35"/>
      <c r="V4904" s="35"/>
      <c r="W4904" s="35"/>
      <c r="X4904" s="35"/>
      <c r="Y4904" s="182"/>
      <c r="Z4904" s="175"/>
      <c r="AA4904" s="182"/>
      <c r="AB4904" s="184"/>
    </row>
    <row r="4905" spans="1:28" ht="12.75">
      <c r="A4905" s="173"/>
      <c r="B4905" s="174"/>
      <c r="C4905" s="11"/>
      <c r="D4905" s="175"/>
      <c r="E4905" s="176"/>
      <c r="F4905" s="177"/>
      <c r="G4905" s="178"/>
      <c r="H4905" s="177"/>
      <c r="I4905" s="177"/>
      <c r="J4905" s="179"/>
      <c r="K4905" s="183"/>
      <c r="L4905" s="176"/>
      <c r="M4905" s="177"/>
      <c r="N4905" s="21"/>
      <c r="O4905" s="45"/>
      <c r="P4905" s="24"/>
      <c r="Q4905" s="24"/>
      <c r="R4905" s="180"/>
      <c r="S4905" s="181"/>
      <c r="T4905" s="35"/>
      <c r="U4905" s="35"/>
      <c r="V4905" s="35"/>
      <c r="W4905" s="35"/>
      <c r="X4905" s="35"/>
      <c r="Y4905" s="182"/>
      <c r="Z4905" s="175"/>
      <c r="AA4905" s="182"/>
      <c r="AB4905" s="184"/>
    </row>
    <row r="4906" spans="1:28" ht="12.75">
      <c r="A4906" s="173"/>
      <c r="B4906" s="174"/>
      <c r="C4906" s="11"/>
      <c r="D4906" s="175"/>
      <c r="E4906" s="176"/>
      <c r="F4906" s="177"/>
      <c r="G4906" s="178"/>
      <c r="H4906" s="177"/>
      <c r="I4906" s="177"/>
      <c r="J4906" s="179"/>
      <c r="K4906" s="183"/>
      <c r="L4906" s="176"/>
      <c r="M4906" s="177"/>
      <c r="N4906" s="21"/>
      <c r="O4906" s="45"/>
      <c r="P4906" s="24"/>
      <c r="Q4906" s="24"/>
      <c r="R4906" s="180"/>
      <c r="S4906" s="181"/>
      <c r="T4906" s="35"/>
      <c r="U4906" s="35"/>
      <c r="V4906" s="35"/>
      <c r="W4906" s="35"/>
      <c r="X4906" s="35"/>
      <c r="Y4906" s="182"/>
      <c r="Z4906" s="175"/>
      <c r="AA4906" s="182"/>
      <c r="AB4906" s="184"/>
    </row>
    <row r="4907" spans="1:28" ht="12.75">
      <c r="A4907" s="173"/>
      <c r="B4907" s="174"/>
      <c r="C4907" s="11"/>
      <c r="D4907" s="175"/>
      <c r="E4907" s="176"/>
      <c r="F4907" s="177"/>
      <c r="G4907" s="178"/>
      <c r="H4907" s="177"/>
      <c r="I4907" s="177"/>
      <c r="J4907" s="179"/>
      <c r="K4907" s="183"/>
      <c r="L4907" s="176"/>
      <c r="M4907" s="177"/>
      <c r="N4907" s="21"/>
      <c r="O4907" s="45"/>
      <c r="P4907" s="24"/>
      <c r="Q4907" s="24"/>
      <c r="R4907" s="180"/>
      <c r="S4907" s="181"/>
      <c r="T4907" s="35"/>
      <c r="U4907" s="35"/>
      <c r="V4907" s="35"/>
      <c r="W4907" s="35"/>
      <c r="X4907" s="35"/>
      <c r="Y4907" s="182"/>
      <c r="Z4907" s="175"/>
      <c r="AA4907" s="182"/>
      <c r="AB4907" s="184"/>
    </row>
    <row r="4908" spans="1:28" ht="12.75">
      <c r="A4908" s="173"/>
      <c r="B4908" s="174"/>
      <c r="C4908" s="11"/>
      <c r="D4908" s="175"/>
      <c r="E4908" s="176"/>
      <c r="F4908" s="177"/>
      <c r="G4908" s="178"/>
      <c r="H4908" s="177"/>
      <c r="I4908" s="177"/>
      <c r="J4908" s="179"/>
      <c r="K4908" s="183"/>
      <c r="L4908" s="176"/>
      <c r="M4908" s="177"/>
      <c r="N4908" s="21"/>
      <c r="O4908" s="45"/>
      <c r="P4908" s="24"/>
      <c r="Q4908" s="24"/>
      <c r="R4908" s="180"/>
      <c r="S4908" s="181"/>
      <c r="T4908" s="35"/>
      <c r="U4908" s="35"/>
      <c r="V4908" s="35"/>
      <c r="W4908" s="35"/>
      <c r="X4908" s="35"/>
      <c r="Y4908" s="182"/>
      <c r="Z4908" s="175"/>
      <c r="AA4908" s="182"/>
      <c r="AB4908" s="184"/>
    </row>
    <row r="4909" spans="1:28" ht="12.75">
      <c r="A4909" s="173"/>
      <c r="B4909" s="174"/>
      <c r="C4909" s="11"/>
      <c r="D4909" s="175"/>
      <c r="E4909" s="176"/>
      <c r="F4909" s="177"/>
      <c r="G4909" s="178"/>
      <c r="H4909" s="177"/>
      <c r="I4909" s="177"/>
      <c r="J4909" s="179"/>
      <c r="K4909" s="183"/>
      <c r="L4909" s="176"/>
      <c r="M4909" s="177"/>
      <c r="N4909" s="21"/>
      <c r="O4909" s="45"/>
      <c r="P4909" s="24"/>
      <c r="Q4909" s="24"/>
      <c r="R4909" s="180"/>
      <c r="S4909" s="181"/>
      <c r="T4909" s="35"/>
      <c r="U4909" s="35"/>
      <c r="V4909" s="35"/>
      <c r="W4909" s="35"/>
      <c r="X4909" s="35"/>
      <c r="Y4909" s="182"/>
      <c r="Z4909" s="175"/>
      <c r="AA4909" s="182"/>
      <c r="AB4909" s="184"/>
    </row>
    <row r="4910" spans="1:28" ht="12.75">
      <c r="A4910" s="173"/>
      <c r="B4910" s="174"/>
      <c r="C4910" s="11"/>
      <c r="D4910" s="175"/>
      <c r="E4910" s="176"/>
      <c r="F4910" s="177"/>
      <c r="G4910" s="178"/>
      <c r="H4910" s="177"/>
      <c r="I4910" s="177"/>
      <c r="J4910" s="179"/>
      <c r="K4910" s="183"/>
      <c r="L4910" s="176"/>
      <c r="M4910" s="177"/>
      <c r="N4910" s="21"/>
      <c r="O4910" s="45"/>
      <c r="P4910" s="24"/>
      <c r="Q4910" s="24"/>
      <c r="R4910" s="180"/>
      <c r="S4910" s="181"/>
      <c r="T4910" s="35"/>
      <c r="U4910" s="35"/>
      <c r="V4910" s="35"/>
      <c r="W4910" s="35"/>
      <c r="X4910" s="35"/>
      <c r="Y4910" s="182"/>
      <c r="Z4910" s="175"/>
      <c r="AA4910" s="182"/>
      <c r="AB4910" s="184"/>
    </row>
    <row r="4911" spans="1:28" ht="12.75">
      <c r="A4911" s="173"/>
      <c r="B4911" s="174"/>
      <c r="C4911" s="11"/>
      <c r="D4911" s="175"/>
      <c r="E4911" s="176"/>
      <c r="F4911" s="177"/>
      <c r="G4911" s="178"/>
      <c r="H4911" s="177"/>
      <c r="I4911" s="177"/>
      <c r="J4911" s="179"/>
      <c r="K4911" s="183"/>
      <c r="L4911" s="176"/>
      <c r="M4911" s="177"/>
      <c r="N4911" s="21"/>
      <c r="O4911" s="45"/>
      <c r="P4911" s="24"/>
      <c r="Q4911" s="24"/>
      <c r="R4911" s="180"/>
      <c r="S4911" s="181"/>
      <c r="T4911" s="35"/>
      <c r="U4911" s="35"/>
      <c r="V4911" s="35"/>
      <c r="W4911" s="35"/>
      <c r="X4911" s="35"/>
      <c r="Y4911" s="182"/>
      <c r="Z4911" s="175"/>
      <c r="AA4911" s="182"/>
      <c r="AB4911" s="184"/>
    </row>
    <row r="4912" spans="1:28" ht="12.75">
      <c r="A4912" s="173"/>
      <c r="B4912" s="174"/>
      <c r="C4912" s="11"/>
      <c r="D4912" s="175"/>
      <c r="E4912" s="176"/>
      <c r="F4912" s="177"/>
      <c r="G4912" s="178"/>
      <c r="H4912" s="177"/>
      <c r="I4912" s="177"/>
      <c r="J4912" s="179"/>
      <c r="K4912" s="183"/>
      <c r="L4912" s="176"/>
      <c r="M4912" s="177"/>
      <c r="N4912" s="21"/>
      <c r="O4912" s="45"/>
      <c r="P4912" s="24"/>
      <c r="Q4912" s="24"/>
      <c r="R4912" s="180"/>
      <c r="S4912" s="181"/>
      <c r="T4912" s="35"/>
      <c r="U4912" s="35"/>
      <c r="V4912" s="35"/>
      <c r="W4912" s="35"/>
      <c r="X4912" s="35"/>
      <c r="Y4912" s="182"/>
      <c r="Z4912" s="175"/>
      <c r="AA4912" s="182"/>
      <c r="AB4912" s="184"/>
    </row>
    <row r="4913" spans="1:28" ht="12.75">
      <c r="A4913" s="173"/>
      <c r="B4913" s="174"/>
      <c r="C4913" s="11"/>
      <c r="D4913" s="175"/>
      <c r="E4913" s="176"/>
      <c r="F4913" s="177"/>
      <c r="G4913" s="178"/>
      <c r="H4913" s="177"/>
      <c r="I4913" s="177"/>
      <c r="J4913" s="179"/>
      <c r="K4913" s="183"/>
      <c r="L4913" s="176"/>
      <c r="M4913" s="177"/>
      <c r="N4913" s="21"/>
      <c r="O4913" s="45"/>
      <c r="P4913" s="24"/>
      <c r="Q4913" s="24"/>
      <c r="R4913" s="180"/>
      <c r="S4913" s="181"/>
      <c r="T4913" s="35"/>
      <c r="U4913" s="35"/>
      <c r="V4913" s="35"/>
      <c r="W4913" s="35"/>
      <c r="X4913" s="35"/>
      <c r="Y4913" s="182"/>
      <c r="Z4913" s="175"/>
      <c r="AA4913" s="182"/>
      <c r="AB4913" s="184"/>
    </row>
    <row r="4914" spans="1:28" ht="12.75">
      <c r="A4914" s="173"/>
      <c r="B4914" s="174"/>
      <c r="C4914" s="11"/>
      <c r="D4914" s="175"/>
      <c r="E4914" s="176"/>
      <c r="F4914" s="177"/>
      <c r="G4914" s="178"/>
      <c r="H4914" s="177"/>
      <c r="I4914" s="177"/>
      <c r="J4914" s="179"/>
      <c r="K4914" s="183"/>
      <c r="L4914" s="176"/>
      <c r="M4914" s="177"/>
      <c r="N4914" s="21"/>
      <c r="O4914" s="45"/>
      <c r="P4914" s="24"/>
      <c r="Q4914" s="24"/>
      <c r="R4914" s="180"/>
      <c r="S4914" s="181"/>
      <c r="T4914" s="35"/>
      <c r="U4914" s="35"/>
      <c r="V4914" s="35"/>
      <c r="W4914" s="35"/>
      <c r="X4914" s="35"/>
      <c r="Y4914" s="182"/>
      <c r="Z4914" s="175"/>
      <c r="AA4914" s="182"/>
      <c r="AB4914" s="184"/>
    </row>
    <row r="4915" spans="1:28" ht="12.75">
      <c r="A4915" s="173"/>
      <c r="B4915" s="174"/>
      <c r="C4915" s="11"/>
      <c r="D4915" s="175"/>
      <c r="E4915" s="176"/>
      <c r="F4915" s="177"/>
      <c r="G4915" s="178"/>
      <c r="H4915" s="177"/>
      <c r="I4915" s="177"/>
      <c r="J4915" s="179"/>
      <c r="K4915" s="183"/>
      <c r="L4915" s="176"/>
      <c r="M4915" s="177"/>
      <c r="N4915" s="21"/>
      <c r="O4915" s="45"/>
      <c r="P4915" s="24"/>
      <c r="Q4915" s="24"/>
      <c r="R4915" s="180"/>
      <c r="S4915" s="181"/>
      <c r="T4915" s="35"/>
      <c r="U4915" s="35"/>
      <c r="V4915" s="35"/>
      <c r="W4915" s="35"/>
      <c r="X4915" s="35"/>
      <c r="Y4915" s="182"/>
      <c r="Z4915" s="175"/>
      <c r="AA4915" s="182"/>
      <c r="AB4915" s="184"/>
    </row>
    <row r="4916" spans="1:28" ht="12.75">
      <c r="A4916" s="173"/>
      <c r="B4916" s="174"/>
      <c r="C4916" s="11"/>
      <c r="D4916" s="175"/>
      <c r="E4916" s="176"/>
      <c r="F4916" s="177"/>
      <c r="G4916" s="178"/>
      <c r="H4916" s="177"/>
      <c r="I4916" s="177"/>
      <c r="J4916" s="179"/>
      <c r="K4916" s="183"/>
      <c r="L4916" s="176"/>
      <c r="M4916" s="177"/>
      <c r="N4916" s="21"/>
      <c r="O4916" s="45"/>
      <c r="P4916" s="24"/>
      <c r="Q4916" s="24"/>
      <c r="R4916" s="180"/>
      <c r="S4916" s="181"/>
      <c r="T4916" s="35"/>
      <c r="U4916" s="35"/>
      <c r="V4916" s="35"/>
      <c r="W4916" s="35"/>
      <c r="X4916" s="35"/>
      <c r="Y4916" s="182"/>
      <c r="Z4916" s="175"/>
      <c r="AA4916" s="182"/>
      <c r="AB4916" s="184"/>
    </row>
    <row r="4917" spans="1:28" ht="12.75">
      <c r="A4917" s="173"/>
      <c r="B4917" s="174"/>
      <c r="C4917" s="11"/>
      <c r="D4917" s="175"/>
      <c r="E4917" s="176"/>
      <c r="F4917" s="177"/>
      <c r="G4917" s="178"/>
      <c r="H4917" s="177"/>
      <c r="I4917" s="177"/>
      <c r="J4917" s="179"/>
      <c r="K4917" s="183"/>
      <c r="L4917" s="176"/>
      <c r="M4917" s="177"/>
      <c r="N4917" s="21"/>
      <c r="O4917" s="45"/>
      <c r="P4917" s="24"/>
      <c r="Q4917" s="24"/>
      <c r="R4917" s="180"/>
      <c r="S4917" s="181"/>
      <c r="T4917" s="35"/>
      <c r="U4917" s="35"/>
      <c r="V4917" s="35"/>
      <c r="W4917" s="35"/>
      <c r="X4917" s="35"/>
      <c r="Y4917" s="182"/>
      <c r="Z4917" s="175"/>
      <c r="AA4917" s="182"/>
      <c r="AB4917" s="184"/>
    </row>
    <row r="4918" spans="1:28" ht="12.75">
      <c r="A4918" s="173"/>
      <c r="B4918" s="174"/>
      <c r="C4918" s="11"/>
      <c r="D4918" s="175"/>
      <c r="E4918" s="176"/>
      <c r="F4918" s="177"/>
      <c r="G4918" s="178"/>
      <c r="H4918" s="177"/>
      <c r="I4918" s="177"/>
      <c r="J4918" s="179"/>
      <c r="K4918" s="183"/>
      <c r="L4918" s="176"/>
      <c r="M4918" s="177"/>
      <c r="N4918" s="21"/>
      <c r="O4918" s="45"/>
      <c r="P4918" s="24"/>
      <c r="Q4918" s="24"/>
      <c r="R4918" s="180"/>
      <c r="S4918" s="181"/>
      <c r="T4918" s="35"/>
      <c r="U4918" s="35"/>
      <c r="V4918" s="35"/>
      <c r="W4918" s="35"/>
      <c r="X4918" s="35"/>
      <c r="Y4918" s="182"/>
      <c r="Z4918" s="175"/>
      <c r="AA4918" s="182"/>
      <c r="AB4918" s="184"/>
    </row>
    <row r="4919" spans="1:28" ht="12.75">
      <c r="A4919" s="173"/>
      <c r="B4919" s="174"/>
      <c r="C4919" s="11"/>
      <c r="D4919" s="175"/>
      <c r="E4919" s="176"/>
      <c r="F4919" s="177"/>
      <c r="G4919" s="178"/>
      <c r="H4919" s="177"/>
      <c r="I4919" s="177"/>
      <c r="J4919" s="179"/>
      <c r="K4919" s="183"/>
      <c r="L4919" s="176"/>
      <c r="M4919" s="177"/>
      <c r="N4919" s="21"/>
      <c r="O4919" s="45"/>
      <c r="P4919" s="24"/>
      <c r="Q4919" s="24"/>
      <c r="R4919" s="180"/>
      <c r="S4919" s="181"/>
      <c r="T4919" s="35"/>
      <c r="U4919" s="35"/>
      <c r="V4919" s="35"/>
      <c r="W4919" s="35"/>
      <c r="X4919" s="35"/>
      <c r="Y4919" s="182"/>
      <c r="Z4919" s="175"/>
      <c r="AA4919" s="182"/>
      <c r="AB4919" s="184"/>
    </row>
    <row r="4920" spans="1:28" ht="12.75">
      <c r="A4920" s="173"/>
      <c r="B4920" s="174"/>
      <c r="C4920" s="11"/>
      <c r="D4920" s="175"/>
      <c r="E4920" s="176"/>
      <c r="F4920" s="177"/>
      <c r="G4920" s="178"/>
      <c r="H4920" s="177"/>
      <c r="I4920" s="177"/>
      <c r="J4920" s="179"/>
      <c r="K4920" s="183"/>
      <c r="L4920" s="176"/>
      <c r="M4920" s="177"/>
      <c r="N4920" s="21"/>
      <c r="O4920" s="45"/>
      <c r="P4920" s="24"/>
      <c r="Q4920" s="24"/>
      <c r="R4920" s="180"/>
      <c r="S4920" s="181"/>
      <c r="T4920" s="35"/>
      <c r="U4920" s="35"/>
      <c r="V4920" s="35"/>
      <c r="W4920" s="35"/>
      <c r="X4920" s="35"/>
      <c r="Y4920" s="182"/>
      <c r="Z4920" s="175"/>
      <c r="AA4920" s="182"/>
      <c r="AB4920" s="184"/>
    </row>
    <row r="4921" spans="1:28" ht="12.75">
      <c r="A4921" s="173"/>
      <c r="B4921" s="174"/>
      <c r="C4921" s="11"/>
      <c r="D4921" s="175"/>
      <c r="E4921" s="176"/>
      <c r="F4921" s="177"/>
      <c r="G4921" s="178"/>
      <c r="H4921" s="177"/>
      <c r="I4921" s="177"/>
      <c r="J4921" s="179"/>
      <c r="K4921" s="183"/>
      <c r="L4921" s="176"/>
      <c r="M4921" s="177"/>
      <c r="N4921" s="21"/>
      <c r="O4921" s="45"/>
      <c r="P4921" s="24"/>
      <c r="Q4921" s="24"/>
      <c r="R4921" s="180"/>
      <c r="S4921" s="181"/>
      <c r="T4921" s="35"/>
      <c r="U4921" s="35"/>
      <c r="V4921" s="35"/>
      <c r="W4921" s="35"/>
      <c r="X4921" s="35"/>
      <c r="Y4921" s="182"/>
      <c r="Z4921" s="175"/>
      <c r="AA4921" s="182"/>
      <c r="AB4921" s="184"/>
    </row>
    <row r="4922" spans="1:28" ht="12.75">
      <c r="A4922" s="173"/>
      <c r="B4922" s="174"/>
      <c r="C4922" s="11"/>
      <c r="D4922" s="175"/>
      <c r="E4922" s="176"/>
      <c r="F4922" s="177"/>
      <c r="G4922" s="178"/>
      <c r="H4922" s="177"/>
      <c r="I4922" s="177"/>
      <c r="J4922" s="179"/>
      <c r="K4922" s="183"/>
      <c r="L4922" s="176"/>
      <c r="M4922" s="177"/>
      <c r="N4922" s="21"/>
      <c r="O4922" s="45"/>
      <c r="P4922" s="24"/>
      <c r="Q4922" s="24"/>
      <c r="R4922" s="180"/>
      <c r="S4922" s="181"/>
      <c r="T4922" s="35"/>
      <c r="U4922" s="35"/>
      <c r="V4922" s="35"/>
      <c r="W4922" s="35"/>
      <c r="X4922" s="35"/>
      <c r="Y4922" s="182"/>
      <c r="Z4922" s="175"/>
      <c r="AA4922" s="182"/>
      <c r="AB4922" s="184"/>
    </row>
    <row r="4923" spans="1:28" ht="12.75">
      <c r="A4923" s="173"/>
      <c r="B4923" s="174"/>
      <c r="C4923" s="11"/>
      <c r="D4923" s="175"/>
      <c r="E4923" s="176"/>
      <c r="F4923" s="177"/>
      <c r="G4923" s="178"/>
      <c r="H4923" s="177"/>
      <c r="I4923" s="177"/>
      <c r="J4923" s="179"/>
      <c r="K4923" s="183"/>
      <c r="L4923" s="176"/>
      <c r="M4923" s="177"/>
      <c r="N4923" s="21"/>
      <c r="O4923" s="45"/>
      <c r="P4923" s="24"/>
      <c r="Q4923" s="24"/>
      <c r="R4923" s="180"/>
      <c r="S4923" s="181"/>
      <c r="T4923" s="35"/>
      <c r="U4923" s="35"/>
      <c r="V4923" s="35"/>
      <c r="W4923" s="35"/>
      <c r="X4923" s="35"/>
      <c r="Y4923" s="182"/>
      <c r="Z4923" s="175"/>
      <c r="AA4923" s="182"/>
      <c r="AB4923" s="184"/>
    </row>
    <row r="4924" spans="1:28" ht="12.75">
      <c r="A4924" s="173"/>
      <c r="B4924" s="174"/>
      <c r="C4924" s="11"/>
      <c r="D4924" s="175"/>
      <c r="E4924" s="176"/>
      <c r="F4924" s="177"/>
      <c r="G4924" s="178"/>
      <c r="H4924" s="177"/>
      <c r="I4924" s="177"/>
      <c r="J4924" s="179"/>
      <c r="K4924" s="183"/>
      <c r="L4924" s="176"/>
      <c r="M4924" s="177"/>
      <c r="N4924" s="21"/>
      <c r="O4924" s="45"/>
      <c r="P4924" s="24"/>
      <c r="Q4924" s="24"/>
      <c r="R4924" s="180"/>
      <c r="S4924" s="181"/>
      <c r="T4924" s="35"/>
      <c r="U4924" s="35"/>
      <c r="V4924" s="35"/>
      <c r="W4924" s="35"/>
      <c r="X4924" s="35"/>
      <c r="Y4924" s="182"/>
      <c r="Z4924" s="175"/>
      <c r="AA4924" s="182"/>
      <c r="AB4924" s="184"/>
    </row>
    <row r="4925" spans="1:28" ht="12.75">
      <c r="A4925" s="173"/>
      <c r="B4925" s="174"/>
      <c r="C4925" s="11"/>
      <c r="D4925" s="175"/>
      <c r="E4925" s="176"/>
      <c r="F4925" s="177"/>
      <c r="G4925" s="178"/>
      <c r="H4925" s="177"/>
      <c r="I4925" s="177"/>
      <c r="J4925" s="179"/>
      <c r="K4925" s="183"/>
      <c r="L4925" s="176"/>
      <c r="M4925" s="177"/>
      <c r="N4925" s="21"/>
      <c r="O4925" s="45"/>
      <c r="P4925" s="24"/>
      <c r="Q4925" s="24"/>
      <c r="R4925" s="180"/>
      <c r="S4925" s="181"/>
      <c r="T4925" s="35"/>
      <c r="U4925" s="35"/>
      <c r="V4925" s="35"/>
      <c r="W4925" s="35"/>
      <c r="X4925" s="35"/>
      <c r="Y4925" s="182"/>
      <c r="Z4925" s="175"/>
      <c r="AA4925" s="182"/>
      <c r="AB4925" s="184"/>
    </row>
    <row r="4926" spans="1:28" ht="12.75">
      <c r="A4926" s="173"/>
      <c r="B4926" s="174"/>
      <c r="C4926" s="11"/>
      <c r="D4926" s="175"/>
      <c r="E4926" s="176"/>
      <c r="F4926" s="177"/>
      <c r="G4926" s="178"/>
      <c r="H4926" s="177"/>
      <c r="I4926" s="177"/>
      <c r="J4926" s="179"/>
      <c r="K4926" s="183"/>
      <c r="L4926" s="176"/>
      <c r="M4926" s="177"/>
      <c r="N4926" s="21"/>
      <c r="O4926" s="45"/>
      <c r="P4926" s="24"/>
      <c r="Q4926" s="24"/>
      <c r="R4926" s="180"/>
      <c r="S4926" s="181"/>
      <c r="T4926" s="35"/>
      <c r="U4926" s="35"/>
      <c r="V4926" s="35"/>
      <c r="W4926" s="35"/>
      <c r="X4926" s="35"/>
      <c r="Y4926" s="182"/>
      <c r="Z4926" s="175"/>
      <c r="AA4926" s="182"/>
      <c r="AB4926" s="184"/>
    </row>
    <row r="4927" spans="1:28" ht="12.75">
      <c r="A4927" s="173"/>
      <c r="B4927" s="174"/>
      <c r="C4927" s="11"/>
      <c r="D4927" s="175"/>
      <c r="E4927" s="176"/>
      <c r="F4927" s="177"/>
      <c r="G4927" s="178"/>
      <c r="H4927" s="177"/>
      <c r="I4927" s="177"/>
      <c r="J4927" s="179"/>
      <c r="K4927" s="183"/>
      <c r="L4927" s="176"/>
      <c r="M4927" s="177"/>
      <c r="N4927" s="21"/>
      <c r="O4927" s="45"/>
      <c r="P4927" s="24"/>
      <c r="Q4927" s="24"/>
      <c r="R4927" s="180"/>
      <c r="S4927" s="181"/>
      <c r="T4927" s="35"/>
      <c r="U4927" s="35"/>
      <c r="V4927" s="35"/>
      <c r="W4927" s="35"/>
      <c r="X4927" s="35"/>
      <c r="Y4927" s="182"/>
      <c r="Z4927" s="175"/>
      <c r="AA4927" s="182"/>
      <c r="AB4927" s="184"/>
    </row>
    <row r="4928" spans="1:28" ht="12.75">
      <c r="A4928" s="173"/>
      <c r="B4928" s="174"/>
      <c r="C4928" s="11"/>
      <c r="D4928" s="175"/>
      <c r="E4928" s="176"/>
      <c r="F4928" s="177"/>
      <c r="G4928" s="178"/>
      <c r="H4928" s="177"/>
      <c r="I4928" s="177"/>
      <c r="J4928" s="179"/>
      <c r="K4928" s="183"/>
      <c r="L4928" s="176"/>
      <c r="M4928" s="177"/>
      <c r="N4928" s="21"/>
      <c r="O4928" s="45"/>
      <c r="P4928" s="24"/>
      <c r="Q4928" s="24"/>
      <c r="R4928" s="180"/>
      <c r="S4928" s="181"/>
      <c r="T4928" s="35"/>
      <c r="U4928" s="35"/>
      <c r="V4928" s="35"/>
      <c r="W4928" s="35"/>
      <c r="X4928" s="35"/>
      <c r="Y4928" s="182"/>
      <c r="Z4928" s="175"/>
      <c r="AA4928" s="182"/>
      <c r="AB4928" s="184"/>
    </row>
    <row r="4929" spans="1:28" ht="12.75">
      <c r="A4929" s="173"/>
      <c r="B4929" s="174"/>
      <c r="C4929" s="11"/>
      <c r="D4929" s="175"/>
      <c r="E4929" s="176"/>
      <c r="F4929" s="177"/>
      <c r="G4929" s="178"/>
      <c r="H4929" s="177"/>
      <c r="I4929" s="177"/>
      <c r="J4929" s="179"/>
      <c r="K4929" s="183"/>
      <c r="L4929" s="176"/>
      <c r="M4929" s="177"/>
      <c r="N4929" s="21"/>
      <c r="O4929" s="45"/>
      <c r="P4929" s="24"/>
      <c r="Q4929" s="24"/>
      <c r="R4929" s="180"/>
      <c r="S4929" s="181"/>
      <c r="T4929" s="35"/>
      <c r="U4929" s="35"/>
      <c r="V4929" s="35"/>
      <c r="W4929" s="35"/>
      <c r="X4929" s="35"/>
      <c r="Y4929" s="182"/>
      <c r="Z4929" s="175"/>
      <c r="AA4929" s="182"/>
      <c r="AB4929" s="184"/>
    </row>
    <row r="4930" spans="1:28" ht="12.75">
      <c r="A4930" s="173"/>
      <c r="B4930" s="174"/>
      <c r="C4930" s="11"/>
      <c r="D4930" s="175"/>
      <c r="E4930" s="176"/>
      <c r="F4930" s="177"/>
      <c r="G4930" s="178"/>
      <c r="H4930" s="177"/>
      <c r="I4930" s="177"/>
      <c r="J4930" s="179"/>
      <c r="K4930" s="183"/>
      <c r="L4930" s="176"/>
      <c r="M4930" s="177"/>
      <c r="N4930" s="21"/>
      <c r="O4930" s="45"/>
      <c r="P4930" s="24"/>
      <c r="Q4930" s="24"/>
      <c r="R4930" s="180"/>
      <c r="S4930" s="181"/>
      <c r="T4930" s="35"/>
      <c r="U4930" s="35"/>
      <c r="V4930" s="35"/>
      <c r="W4930" s="35"/>
      <c r="X4930" s="35"/>
      <c r="Y4930" s="182"/>
      <c r="Z4930" s="175"/>
      <c r="AA4930" s="182"/>
      <c r="AB4930" s="184"/>
    </row>
    <row r="4931" spans="1:28" ht="12.75">
      <c r="A4931" s="173"/>
      <c r="B4931" s="174"/>
      <c r="C4931" s="11"/>
      <c r="D4931" s="175"/>
      <c r="E4931" s="176"/>
      <c r="F4931" s="177"/>
      <c r="G4931" s="178"/>
      <c r="H4931" s="177"/>
      <c r="I4931" s="177"/>
      <c r="J4931" s="179"/>
      <c r="K4931" s="183"/>
      <c r="L4931" s="176"/>
      <c r="M4931" s="177"/>
      <c r="N4931" s="21"/>
      <c r="O4931" s="45"/>
      <c r="P4931" s="24"/>
      <c r="Q4931" s="24"/>
      <c r="R4931" s="180"/>
      <c r="S4931" s="181"/>
      <c r="T4931" s="35"/>
      <c r="U4931" s="35"/>
      <c r="V4931" s="35"/>
      <c r="W4931" s="35"/>
      <c r="X4931" s="35"/>
      <c r="Y4931" s="182"/>
      <c r="Z4931" s="175"/>
      <c r="AA4931" s="182"/>
      <c r="AB4931" s="184"/>
    </row>
    <row r="4932" spans="1:28" ht="12.75">
      <c r="A4932" s="173"/>
      <c r="B4932" s="174"/>
      <c r="C4932" s="11"/>
      <c r="D4932" s="175"/>
      <c r="E4932" s="176"/>
      <c r="F4932" s="177"/>
      <c r="G4932" s="178"/>
      <c r="H4932" s="177"/>
      <c r="I4932" s="177"/>
      <c r="J4932" s="179"/>
      <c r="K4932" s="183"/>
      <c r="L4932" s="176"/>
      <c r="M4932" s="177"/>
      <c r="N4932" s="21"/>
      <c r="O4932" s="45"/>
      <c r="P4932" s="24"/>
      <c r="Q4932" s="24"/>
      <c r="R4932" s="180"/>
      <c r="S4932" s="181"/>
      <c r="T4932" s="35"/>
      <c r="U4932" s="35"/>
      <c r="V4932" s="35"/>
      <c r="W4932" s="35"/>
      <c r="X4932" s="35"/>
      <c r="Y4932" s="182"/>
      <c r="Z4932" s="175"/>
      <c r="AA4932" s="182"/>
      <c r="AB4932" s="184"/>
    </row>
    <row r="4933" spans="1:28" ht="12.75">
      <c r="A4933" s="173"/>
      <c r="B4933" s="174"/>
      <c r="C4933" s="11"/>
      <c r="D4933" s="175"/>
      <c r="E4933" s="176"/>
      <c r="F4933" s="177"/>
      <c r="G4933" s="178"/>
      <c r="H4933" s="177"/>
      <c r="I4933" s="177"/>
      <c r="J4933" s="179"/>
      <c r="K4933" s="183"/>
      <c r="L4933" s="176"/>
      <c r="M4933" s="177"/>
      <c r="N4933" s="21"/>
      <c r="O4933" s="45"/>
      <c r="P4933" s="24"/>
      <c r="Q4933" s="24"/>
      <c r="R4933" s="180"/>
      <c r="S4933" s="181"/>
      <c r="T4933" s="35"/>
      <c r="U4933" s="35"/>
      <c r="V4933" s="35"/>
      <c r="W4933" s="35"/>
      <c r="X4933" s="35"/>
      <c r="Y4933" s="182"/>
      <c r="Z4933" s="175"/>
      <c r="AA4933" s="182"/>
      <c r="AB4933" s="184"/>
    </row>
    <row r="4934" spans="1:28" ht="12.75">
      <c r="A4934" s="173"/>
      <c r="B4934" s="174"/>
      <c r="C4934" s="11"/>
      <c r="D4934" s="175"/>
      <c r="E4934" s="176"/>
      <c r="F4934" s="177"/>
      <c r="G4934" s="178"/>
      <c r="H4934" s="177"/>
      <c r="I4934" s="177"/>
      <c r="J4934" s="179"/>
      <c r="K4934" s="183"/>
      <c r="L4934" s="176"/>
      <c r="M4934" s="177"/>
      <c r="N4934" s="21"/>
      <c r="O4934" s="45"/>
      <c r="P4934" s="24"/>
      <c r="Q4934" s="24"/>
      <c r="R4934" s="180"/>
      <c r="S4934" s="181"/>
      <c r="T4934" s="35"/>
      <c r="U4934" s="35"/>
      <c r="V4934" s="35"/>
      <c r="W4934" s="35"/>
      <c r="X4934" s="35"/>
      <c r="Y4934" s="182"/>
      <c r="Z4934" s="175"/>
      <c r="AA4934" s="182"/>
      <c r="AB4934" s="184"/>
    </row>
    <row r="4935" spans="1:28" ht="12.75">
      <c r="A4935" s="173"/>
      <c r="B4935" s="174"/>
      <c r="C4935" s="11"/>
      <c r="D4935" s="175"/>
      <c r="E4935" s="176"/>
      <c r="F4935" s="177"/>
      <c r="G4935" s="178"/>
      <c r="H4935" s="177"/>
      <c r="I4935" s="177"/>
      <c r="J4935" s="179"/>
      <c r="K4935" s="183"/>
      <c r="L4935" s="176"/>
      <c r="M4935" s="177"/>
      <c r="N4935" s="21"/>
      <c r="O4935" s="45"/>
      <c r="P4935" s="24"/>
      <c r="Q4935" s="24"/>
      <c r="R4935" s="180"/>
      <c r="S4935" s="181"/>
      <c r="T4935" s="35"/>
      <c r="U4935" s="35"/>
      <c r="V4935" s="35"/>
      <c r="W4935" s="35"/>
      <c r="X4935" s="35"/>
      <c r="Y4935" s="182"/>
      <c r="Z4935" s="175"/>
      <c r="AA4935" s="182"/>
      <c r="AB4935" s="184"/>
    </row>
    <row r="4936" spans="1:28" ht="12.75">
      <c r="A4936" s="173"/>
      <c r="B4936" s="174"/>
      <c r="C4936" s="11"/>
      <c r="D4936" s="175"/>
      <c r="E4936" s="176"/>
      <c r="F4936" s="177"/>
      <c r="G4936" s="178"/>
      <c r="H4936" s="177"/>
      <c r="I4936" s="177"/>
      <c r="J4936" s="179"/>
      <c r="K4936" s="183"/>
      <c r="L4936" s="176"/>
      <c r="M4936" s="177"/>
      <c r="N4936" s="21"/>
      <c r="O4936" s="45"/>
      <c r="P4936" s="24"/>
      <c r="Q4936" s="24"/>
      <c r="R4936" s="180"/>
      <c r="S4936" s="181"/>
      <c r="T4936" s="35"/>
      <c r="U4936" s="35"/>
      <c r="V4936" s="35"/>
      <c r="W4936" s="35"/>
      <c r="X4936" s="35"/>
      <c r="Y4936" s="182"/>
      <c r="Z4936" s="175"/>
      <c r="AA4936" s="182"/>
      <c r="AB4936" s="184"/>
    </row>
    <row r="4937" spans="1:28" ht="12.75">
      <c r="A4937" s="173"/>
      <c r="B4937" s="174"/>
      <c r="C4937" s="11"/>
      <c r="D4937" s="175"/>
      <c r="E4937" s="176"/>
      <c r="F4937" s="177"/>
      <c r="G4937" s="178"/>
      <c r="H4937" s="177"/>
      <c r="I4937" s="177"/>
      <c r="J4937" s="179"/>
      <c r="K4937" s="183"/>
      <c r="L4937" s="176"/>
      <c r="M4937" s="177"/>
      <c r="N4937" s="21"/>
      <c r="O4937" s="45"/>
      <c r="P4937" s="24"/>
      <c r="Q4937" s="24"/>
      <c r="R4937" s="180"/>
      <c r="S4937" s="181"/>
      <c r="T4937" s="35"/>
      <c r="U4937" s="35"/>
      <c r="V4937" s="35"/>
      <c r="W4937" s="35"/>
      <c r="X4937" s="35"/>
      <c r="Y4937" s="182"/>
      <c r="Z4937" s="175"/>
      <c r="AA4937" s="182"/>
      <c r="AB4937" s="184"/>
    </row>
    <row r="4938" spans="1:28" ht="12.75">
      <c r="A4938" s="173"/>
      <c r="B4938" s="174"/>
      <c r="C4938" s="11"/>
      <c r="D4938" s="175"/>
      <c r="E4938" s="176"/>
      <c r="F4938" s="177"/>
      <c r="G4938" s="178"/>
      <c r="H4938" s="177"/>
      <c r="I4938" s="177"/>
      <c r="J4938" s="179"/>
      <c r="K4938" s="183"/>
      <c r="L4938" s="176"/>
      <c r="M4938" s="177"/>
      <c r="N4938" s="21"/>
      <c r="O4938" s="45"/>
      <c r="P4938" s="24"/>
      <c r="Q4938" s="24"/>
      <c r="R4938" s="180"/>
      <c r="S4938" s="181"/>
      <c r="T4938" s="35"/>
      <c r="U4938" s="35"/>
      <c r="V4938" s="35"/>
      <c r="W4938" s="35"/>
      <c r="X4938" s="35"/>
      <c r="Y4938" s="182"/>
      <c r="Z4938" s="175"/>
      <c r="AA4938" s="182"/>
      <c r="AB4938" s="184"/>
    </row>
    <row r="4939" spans="1:28" ht="12.75">
      <c r="A4939" s="173"/>
      <c r="B4939" s="174"/>
      <c r="C4939" s="11"/>
      <c r="D4939" s="175"/>
      <c r="E4939" s="176"/>
      <c r="F4939" s="177"/>
      <c r="G4939" s="178"/>
      <c r="H4939" s="177"/>
      <c r="I4939" s="177"/>
      <c r="J4939" s="179"/>
      <c r="K4939" s="183"/>
      <c r="L4939" s="176"/>
      <c r="M4939" s="177"/>
      <c r="N4939" s="21"/>
      <c r="O4939" s="45"/>
      <c r="P4939" s="24"/>
      <c r="Q4939" s="24"/>
      <c r="R4939" s="180"/>
      <c r="S4939" s="181"/>
      <c r="T4939" s="35"/>
      <c r="U4939" s="35"/>
      <c r="V4939" s="35"/>
      <c r="W4939" s="35"/>
      <c r="X4939" s="35"/>
      <c r="Y4939" s="182"/>
      <c r="Z4939" s="175"/>
      <c r="AA4939" s="182"/>
      <c r="AB4939" s="184"/>
    </row>
    <row r="4940" spans="1:28" ht="12.75">
      <c r="A4940" s="173"/>
      <c r="B4940" s="174"/>
      <c r="C4940" s="11"/>
      <c r="D4940" s="175"/>
      <c r="E4940" s="176"/>
      <c r="F4940" s="177"/>
      <c r="G4940" s="178"/>
      <c r="H4940" s="177"/>
      <c r="I4940" s="177"/>
      <c r="J4940" s="179"/>
      <c r="K4940" s="183"/>
      <c r="L4940" s="176"/>
      <c r="M4940" s="177"/>
      <c r="N4940" s="21"/>
      <c r="O4940" s="45"/>
      <c r="P4940" s="24"/>
      <c r="Q4940" s="24"/>
      <c r="R4940" s="180"/>
      <c r="S4940" s="181"/>
      <c r="T4940" s="35"/>
      <c r="U4940" s="35"/>
      <c r="V4940" s="35"/>
      <c r="W4940" s="35"/>
      <c r="X4940" s="35"/>
      <c r="Y4940" s="182"/>
      <c r="Z4940" s="175"/>
      <c r="AA4940" s="182"/>
      <c r="AB4940" s="184"/>
    </row>
    <row r="4941" spans="1:28" ht="12.75">
      <c r="A4941" s="173"/>
      <c r="B4941" s="174"/>
      <c r="C4941" s="11"/>
      <c r="D4941" s="175"/>
      <c r="E4941" s="176"/>
      <c r="F4941" s="177"/>
      <c r="G4941" s="178"/>
      <c r="H4941" s="177"/>
      <c r="I4941" s="177"/>
      <c r="J4941" s="179"/>
      <c r="K4941" s="183"/>
      <c r="L4941" s="176"/>
      <c r="M4941" s="177"/>
      <c r="N4941" s="21"/>
      <c r="O4941" s="45"/>
      <c r="P4941" s="24"/>
      <c r="Q4941" s="24"/>
      <c r="R4941" s="180"/>
      <c r="S4941" s="181"/>
      <c r="T4941" s="35"/>
      <c r="U4941" s="35"/>
      <c r="V4941" s="35"/>
      <c r="W4941" s="35"/>
      <c r="X4941" s="35"/>
      <c r="Y4941" s="182"/>
      <c r="Z4941" s="175"/>
      <c r="AA4941" s="182"/>
      <c r="AB4941" s="184"/>
    </row>
    <row r="4942" spans="1:28" ht="12.75">
      <c r="A4942" s="173"/>
      <c r="B4942" s="174"/>
      <c r="C4942" s="11"/>
      <c r="D4942" s="175"/>
      <c r="E4942" s="176"/>
      <c r="F4942" s="177"/>
      <c r="G4942" s="178"/>
      <c r="H4942" s="177"/>
      <c r="I4942" s="177"/>
      <c r="J4942" s="179"/>
      <c r="K4942" s="183"/>
      <c r="L4942" s="176"/>
      <c r="M4942" s="177"/>
      <c r="N4942" s="21"/>
      <c r="O4942" s="45"/>
      <c r="P4942" s="24"/>
      <c r="Q4942" s="24"/>
      <c r="R4942" s="180"/>
      <c r="S4942" s="181"/>
      <c r="T4942" s="35"/>
      <c r="U4942" s="35"/>
      <c r="V4942" s="35"/>
      <c r="W4942" s="35"/>
      <c r="X4942" s="35"/>
      <c r="Y4942" s="182"/>
      <c r="Z4942" s="175"/>
      <c r="AA4942" s="182"/>
      <c r="AB4942" s="184"/>
    </row>
    <row r="4943" spans="1:28" ht="12.75">
      <c r="A4943" s="173"/>
      <c r="B4943" s="174"/>
      <c r="C4943" s="11"/>
      <c r="D4943" s="175"/>
      <c r="E4943" s="176"/>
      <c r="F4943" s="177"/>
      <c r="G4943" s="178"/>
      <c r="H4943" s="177"/>
      <c r="I4943" s="177"/>
      <c r="J4943" s="179"/>
      <c r="K4943" s="183"/>
      <c r="L4943" s="176"/>
      <c r="M4943" s="177"/>
      <c r="N4943" s="21"/>
      <c r="O4943" s="45"/>
      <c r="P4943" s="24"/>
      <c r="Q4943" s="24"/>
      <c r="R4943" s="180"/>
      <c r="S4943" s="181"/>
      <c r="T4943" s="35"/>
      <c r="U4943" s="35"/>
      <c r="V4943" s="35"/>
      <c r="W4943" s="35"/>
      <c r="X4943" s="35"/>
      <c r="Y4943" s="182"/>
      <c r="Z4943" s="175"/>
      <c r="AA4943" s="182"/>
      <c r="AB4943" s="184"/>
    </row>
    <row r="4944" spans="1:28" ht="12.75">
      <c r="A4944" s="173"/>
      <c r="B4944" s="174"/>
      <c r="C4944" s="11"/>
      <c r="D4944" s="175"/>
      <c r="E4944" s="176"/>
      <c r="F4944" s="177"/>
      <c r="G4944" s="178"/>
      <c r="H4944" s="177"/>
      <c r="I4944" s="177"/>
      <c r="J4944" s="179"/>
      <c r="K4944" s="183"/>
      <c r="L4944" s="176"/>
      <c r="M4944" s="177"/>
      <c r="N4944" s="21"/>
      <c r="O4944" s="45"/>
      <c r="P4944" s="24"/>
      <c r="Q4944" s="24"/>
      <c r="R4944" s="180"/>
      <c r="S4944" s="181"/>
      <c r="T4944" s="35"/>
      <c r="U4944" s="35"/>
      <c r="V4944" s="35"/>
      <c r="W4944" s="35"/>
      <c r="X4944" s="35"/>
      <c r="Y4944" s="182"/>
      <c r="Z4944" s="175"/>
      <c r="AA4944" s="182"/>
      <c r="AB4944" s="184"/>
    </row>
    <row r="4945" spans="1:28" ht="12.75">
      <c r="A4945" s="173"/>
      <c r="B4945" s="174"/>
      <c r="C4945" s="11"/>
      <c r="D4945" s="175"/>
      <c r="E4945" s="176"/>
      <c r="F4945" s="177"/>
      <c r="G4945" s="178"/>
      <c r="H4945" s="177"/>
      <c r="I4945" s="177"/>
      <c r="J4945" s="179"/>
      <c r="K4945" s="183"/>
      <c r="L4945" s="176"/>
      <c r="M4945" s="177"/>
      <c r="N4945" s="21"/>
      <c r="O4945" s="45"/>
      <c r="P4945" s="24"/>
      <c r="Q4945" s="24"/>
      <c r="R4945" s="180"/>
      <c r="S4945" s="181"/>
      <c r="T4945" s="35"/>
      <c r="U4945" s="35"/>
      <c r="V4945" s="35"/>
      <c r="W4945" s="35"/>
      <c r="X4945" s="35"/>
      <c r="Y4945" s="182"/>
      <c r="Z4945" s="175"/>
      <c r="AA4945" s="182"/>
      <c r="AB4945" s="184"/>
    </row>
    <row r="4946" spans="1:28" ht="12.75">
      <c r="A4946" s="173"/>
      <c r="B4946" s="174"/>
      <c r="C4946" s="11"/>
      <c r="D4946" s="175"/>
      <c r="E4946" s="176"/>
      <c r="F4946" s="177"/>
      <c r="G4946" s="178"/>
      <c r="H4946" s="177"/>
      <c r="I4946" s="177"/>
      <c r="J4946" s="179"/>
      <c r="K4946" s="183"/>
      <c r="L4946" s="176"/>
      <c r="M4946" s="177"/>
      <c r="N4946" s="21"/>
      <c r="O4946" s="45"/>
      <c r="P4946" s="24"/>
      <c r="Q4946" s="24"/>
      <c r="R4946" s="180"/>
      <c r="S4946" s="181"/>
      <c r="T4946" s="35"/>
      <c r="U4946" s="35"/>
      <c r="V4946" s="35"/>
      <c r="W4946" s="35"/>
      <c r="X4946" s="35"/>
      <c r="Y4946" s="182"/>
      <c r="Z4946" s="175"/>
      <c r="AA4946" s="182"/>
      <c r="AB4946" s="184"/>
    </row>
    <row r="4947" spans="1:28" ht="12.75">
      <c r="A4947" s="173"/>
      <c r="B4947" s="174"/>
      <c r="C4947" s="11"/>
      <c r="D4947" s="175"/>
      <c r="E4947" s="176"/>
      <c r="F4947" s="177"/>
      <c r="G4947" s="178"/>
      <c r="H4947" s="177"/>
      <c r="I4947" s="177"/>
      <c r="J4947" s="179"/>
      <c r="K4947" s="183"/>
      <c r="L4947" s="176"/>
      <c r="M4947" s="177"/>
      <c r="N4947" s="21"/>
      <c r="O4947" s="45"/>
      <c r="P4947" s="24"/>
      <c r="Q4947" s="24"/>
      <c r="R4947" s="180"/>
      <c r="S4947" s="181"/>
      <c r="T4947" s="35"/>
      <c r="U4947" s="35"/>
      <c r="V4947" s="35"/>
      <c r="W4947" s="35"/>
      <c r="X4947" s="35"/>
      <c r="Y4947" s="182"/>
      <c r="Z4947" s="175"/>
      <c r="AA4947" s="182"/>
      <c r="AB4947" s="184"/>
    </row>
    <row r="4948" spans="1:28" ht="12.75">
      <c r="A4948" s="173"/>
      <c r="B4948" s="174"/>
      <c r="C4948" s="11"/>
      <c r="D4948" s="175"/>
      <c r="E4948" s="176"/>
      <c r="F4948" s="177"/>
      <c r="G4948" s="178"/>
      <c r="H4948" s="177"/>
      <c r="I4948" s="177"/>
      <c r="J4948" s="179"/>
      <c r="K4948" s="183"/>
      <c r="L4948" s="176"/>
      <c r="M4948" s="177"/>
      <c r="N4948" s="21"/>
      <c r="O4948" s="45"/>
      <c r="P4948" s="24"/>
      <c r="Q4948" s="24"/>
      <c r="R4948" s="180"/>
      <c r="S4948" s="181"/>
      <c r="T4948" s="35"/>
      <c r="U4948" s="35"/>
      <c r="V4948" s="35"/>
      <c r="W4948" s="35"/>
      <c r="X4948" s="35"/>
      <c r="Y4948" s="182"/>
      <c r="Z4948" s="175"/>
      <c r="AA4948" s="182"/>
      <c r="AB4948" s="184"/>
    </row>
    <row r="4949" spans="1:28" ht="12.75">
      <c r="A4949" s="173"/>
      <c r="B4949" s="174"/>
      <c r="C4949" s="11"/>
      <c r="D4949" s="175"/>
      <c r="E4949" s="176"/>
      <c r="F4949" s="177"/>
      <c r="G4949" s="178"/>
      <c r="H4949" s="177"/>
      <c r="I4949" s="177"/>
      <c r="J4949" s="179"/>
      <c r="K4949" s="183"/>
      <c r="L4949" s="176"/>
      <c r="M4949" s="177"/>
      <c r="N4949" s="21"/>
      <c r="O4949" s="45"/>
      <c r="P4949" s="24"/>
      <c r="Q4949" s="24"/>
      <c r="R4949" s="180"/>
      <c r="S4949" s="181"/>
      <c r="T4949" s="35"/>
      <c r="U4949" s="35"/>
      <c r="V4949" s="35"/>
      <c r="W4949" s="35"/>
      <c r="X4949" s="35"/>
      <c r="Y4949" s="182"/>
      <c r="Z4949" s="175"/>
      <c r="AA4949" s="182"/>
      <c r="AB4949" s="184"/>
    </row>
    <row r="4950" spans="1:28" ht="12.75">
      <c r="A4950" s="173"/>
      <c r="B4950" s="174"/>
      <c r="C4950" s="11"/>
      <c r="D4950" s="175"/>
      <c r="E4950" s="176"/>
      <c r="F4950" s="177"/>
      <c r="G4950" s="178"/>
      <c r="H4950" s="177"/>
      <c r="I4950" s="177"/>
      <c r="J4950" s="179"/>
      <c r="K4950" s="183"/>
      <c r="L4950" s="176"/>
      <c r="M4950" s="177"/>
      <c r="N4950" s="21"/>
      <c r="O4950" s="45"/>
      <c r="P4950" s="24"/>
      <c r="Q4950" s="24"/>
      <c r="R4950" s="180"/>
      <c r="S4950" s="181"/>
      <c r="T4950" s="35"/>
      <c r="U4950" s="35"/>
      <c r="V4950" s="35"/>
      <c r="W4950" s="35"/>
      <c r="X4950" s="35"/>
      <c r="Y4950" s="182"/>
      <c r="Z4950" s="175"/>
      <c r="AA4950" s="182"/>
      <c r="AB4950" s="184"/>
    </row>
    <row r="4951" spans="1:28" ht="12.75">
      <c r="A4951" s="173"/>
      <c r="B4951" s="174"/>
      <c r="C4951" s="11"/>
      <c r="D4951" s="175"/>
      <c r="E4951" s="176"/>
      <c r="F4951" s="177"/>
      <c r="G4951" s="178"/>
      <c r="H4951" s="177"/>
      <c r="I4951" s="177"/>
      <c r="J4951" s="179"/>
      <c r="K4951" s="183"/>
      <c r="L4951" s="176"/>
      <c r="M4951" s="177"/>
      <c r="N4951" s="21"/>
      <c r="O4951" s="45"/>
      <c r="P4951" s="24"/>
      <c r="Q4951" s="24"/>
      <c r="R4951" s="180"/>
      <c r="S4951" s="181"/>
      <c r="T4951" s="35"/>
      <c r="U4951" s="35"/>
      <c r="V4951" s="35"/>
      <c r="W4951" s="35"/>
      <c r="X4951" s="35"/>
      <c r="Y4951" s="182"/>
      <c r="Z4951" s="175"/>
      <c r="AA4951" s="182"/>
      <c r="AB4951" s="184"/>
    </row>
    <row r="4952" spans="1:28" ht="12.75">
      <c r="A4952" s="173"/>
      <c r="B4952" s="174"/>
      <c r="C4952" s="11"/>
      <c r="D4952" s="175"/>
      <c r="E4952" s="176"/>
      <c r="F4952" s="177"/>
      <c r="G4952" s="178"/>
      <c r="H4952" s="177"/>
      <c r="I4952" s="177"/>
      <c r="J4952" s="179"/>
      <c r="K4952" s="183"/>
      <c r="L4952" s="176"/>
      <c r="M4952" s="177"/>
      <c r="N4952" s="21"/>
      <c r="O4952" s="45"/>
      <c r="P4952" s="24"/>
      <c r="Q4952" s="24"/>
      <c r="R4952" s="180"/>
      <c r="S4952" s="181"/>
      <c r="T4952" s="35"/>
      <c r="U4952" s="35"/>
      <c r="V4952" s="35"/>
      <c r="W4952" s="35"/>
      <c r="X4952" s="35"/>
      <c r="Y4952" s="182"/>
      <c r="Z4952" s="175"/>
      <c r="AA4952" s="182"/>
      <c r="AB4952" s="184"/>
    </row>
    <row r="4953" spans="1:28" ht="12.75">
      <c r="A4953" s="173"/>
      <c r="B4953" s="174"/>
      <c r="C4953" s="11"/>
      <c r="D4953" s="175"/>
      <c r="E4953" s="176"/>
      <c r="F4953" s="177"/>
      <c r="G4953" s="178"/>
      <c r="H4953" s="177"/>
      <c r="I4953" s="177"/>
      <c r="J4953" s="179"/>
      <c r="K4953" s="183"/>
      <c r="L4953" s="176"/>
      <c r="M4953" s="177"/>
      <c r="N4953" s="21"/>
      <c r="O4953" s="45"/>
      <c r="P4953" s="24"/>
      <c r="Q4953" s="24"/>
      <c r="R4953" s="180"/>
      <c r="S4953" s="181"/>
      <c r="T4953" s="35"/>
      <c r="U4953" s="35"/>
      <c r="V4953" s="35"/>
      <c r="W4953" s="35"/>
      <c r="X4953" s="35"/>
      <c r="Y4953" s="182"/>
      <c r="Z4953" s="175"/>
      <c r="AA4953" s="182"/>
      <c r="AB4953" s="184"/>
    </row>
    <row r="4954" spans="1:28" ht="12.75">
      <c r="A4954" s="173"/>
      <c r="B4954" s="174"/>
      <c r="C4954" s="11"/>
      <c r="D4954" s="175"/>
      <c r="E4954" s="176"/>
      <c r="F4954" s="177"/>
      <c r="G4954" s="178"/>
      <c r="H4954" s="177"/>
      <c r="I4954" s="177"/>
      <c r="J4954" s="179"/>
      <c r="K4954" s="183"/>
      <c r="L4954" s="176"/>
      <c r="M4954" s="177"/>
      <c r="N4954" s="21"/>
      <c r="O4954" s="45"/>
      <c r="P4954" s="24"/>
      <c r="Q4954" s="24"/>
      <c r="R4954" s="180"/>
      <c r="S4954" s="181"/>
      <c r="T4954" s="35"/>
      <c r="U4954" s="35"/>
      <c r="V4954" s="35"/>
      <c r="W4954" s="35"/>
      <c r="X4954" s="35"/>
      <c r="Y4954" s="182"/>
      <c r="Z4954" s="175"/>
      <c r="AA4954" s="182"/>
      <c r="AB4954" s="184"/>
    </row>
    <row r="4955" spans="1:28" ht="12.75">
      <c r="A4955" s="173"/>
      <c r="B4955" s="174"/>
      <c r="C4955" s="11"/>
      <c r="D4955" s="175"/>
      <c r="E4955" s="176"/>
      <c r="F4955" s="177"/>
      <c r="G4955" s="178"/>
      <c r="H4955" s="177"/>
      <c r="I4955" s="177"/>
      <c r="J4955" s="179"/>
      <c r="K4955" s="183"/>
      <c r="L4955" s="176"/>
      <c r="M4955" s="177"/>
      <c r="N4955" s="21"/>
      <c r="O4955" s="45"/>
      <c r="P4955" s="24"/>
      <c r="Q4955" s="24"/>
      <c r="R4955" s="180"/>
      <c r="S4955" s="181"/>
      <c r="T4955" s="35"/>
      <c r="U4955" s="35"/>
      <c r="V4955" s="35"/>
      <c r="W4955" s="35"/>
      <c r="X4955" s="35"/>
      <c r="Y4955" s="182"/>
      <c r="Z4955" s="175"/>
      <c r="AA4955" s="182"/>
      <c r="AB4955" s="184"/>
    </row>
    <row r="4956" spans="1:28" ht="12.75">
      <c r="A4956" s="173"/>
      <c r="B4956" s="174"/>
      <c r="C4956" s="11"/>
      <c r="D4956" s="175"/>
      <c r="E4956" s="176"/>
      <c r="F4956" s="177"/>
      <c r="G4956" s="178"/>
      <c r="H4956" s="177"/>
      <c r="I4956" s="177"/>
      <c r="J4956" s="179"/>
      <c r="K4956" s="183"/>
      <c r="L4956" s="176"/>
      <c r="M4956" s="177"/>
      <c r="N4956" s="21"/>
      <c r="O4956" s="45"/>
      <c r="P4956" s="24"/>
      <c r="Q4956" s="24"/>
      <c r="R4956" s="180"/>
      <c r="S4956" s="181"/>
      <c r="T4956" s="35"/>
      <c r="U4956" s="35"/>
      <c r="V4956" s="35"/>
      <c r="W4956" s="35"/>
      <c r="X4956" s="35"/>
      <c r="Y4956" s="182"/>
      <c r="Z4956" s="175"/>
      <c r="AA4956" s="182"/>
      <c r="AB4956" s="184"/>
    </row>
    <row r="4957" spans="1:28" ht="12.75">
      <c r="A4957" s="173"/>
      <c r="B4957" s="174"/>
      <c r="C4957" s="11"/>
      <c r="D4957" s="175"/>
      <c r="E4957" s="176"/>
      <c r="F4957" s="177"/>
      <c r="G4957" s="178"/>
      <c r="H4957" s="177"/>
      <c r="I4957" s="177"/>
      <c r="J4957" s="179"/>
      <c r="K4957" s="183"/>
      <c r="L4957" s="176"/>
      <c r="M4957" s="177"/>
      <c r="N4957" s="21"/>
      <c r="O4957" s="45"/>
      <c r="P4957" s="24"/>
      <c r="Q4957" s="24"/>
      <c r="R4957" s="180"/>
      <c r="S4957" s="181"/>
      <c r="T4957" s="35"/>
      <c r="U4957" s="35"/>
      <c r="V4957" s="35"/>
      <c r="W4957" s="35"/>
      <c r="X4957" s="35"/>
      <c r="Y4957" s="182"/>
      <c r="Z4957" s="175"/>
      <c r="AA4957" s="182"/>
      <c r="AB4957" s="184"/>
    </row>
    <row r="4958" spans="1:28" ht="12.75">
      <c r="A4958" s="173"/>
      <c r="B4958" s="174"/>
      <c r="C4958" s="11"/>
      <c r="D4958" s="175"/>
      <c r="E4958" s="176"/>
      <c r="F4958" s="177"/>
      <c r="G4958" s="178"/>
      <c r="H4958" s="177"/>
      <c r="I4958" s="177"/>
      <c r="J4958" s="179"/>
      <c r="K4958" s="183"/>
      <c r="L4958" s="176"/>
      <c r="M4958" s="177"/>
      <c r="N4958" s="21"/>
      <c r="O4958" s="45"/>
      <c r="P4958" s="24"/>
      <c r="Q4958" s="24"/>
      <c r="R4958" s="180"/>
      <c r="S4958" s="181"/>
      <c r="T4958" s="35"/>
      <c r="U4958" s="35"/>
      <c r="V4958" s="35"/>
      <c r="W4958" s="35"/>
      <c r="X4958" s="35"/>
      <c r="Y4958" s="182"/>
      <c r="Z4958" s="175"/>
      <c r="AA4958" s="182"/>
      <c r="AB4958" s="184"/>
    </row>
    <row r="4959" spans="1:28" ht="12.75">
      <c r="A4959" s="173"/>
      <c r="B4959" s="174"/>
      <c r="C4959" s="11"/>
      <c r="D4959" s="175"/>
      <c r="E4959" s="176"/>
      <c r="F4959" s="177"/>
      <c r="G4959" s="178"/>
      <c r="H4959" s="177"/>
      <c r="I4959" s="177"/>
      <c r="J4959" s="179"/>
      <c r="K4959" s="183"/>
      <c r="L4959" s="176"/>
      <c r="M4959" s="177"/>
      <c r="N4959" s="21"/>
      <c r="O4959" s="45"/>
      <c r="P4959" s="24"/>
      <c r="Q4959" s="24"/>
      <c r="R4959" s="180"/>
      <c r="S4959" s="181"/>
      <c r="T4959" s="35"/>
      <c r="U4959" s="35"/>
      <c r="V4959" s="35"/>
      <c r="W4959" s="35"/>
      <c r="X4959" s="35"/>
      <c r="Y4959" s="182"/>
      <c r="Z4959" s="175"/>
      <c r="AA4959" s="182"/>
      <c r="AB4959" s="184"/>
    </row>
    <row r="4960" spans="1:28" ht="12.75">
      <c r="A4960" s="173"/>
      <c r="B4960" s="174"/>
      <c r="C4960" s="11"/>
      <c r="D4960" s="175"/>
      <c r="E4960" s="176"/>
      <c r="F4960" s="177"/>
      <c r="G4960" s="178"/>
      <c r="H4960" s="177"/>
      <c r="I4960" s="177"/>
      <c r="J4960" s="179"/>
      <c r="K4960" s="183"/>
      <c r="L4960" s="176"/>
      <c r="M4960" s="177"/>
      <c r="N4960" s="21"/>
      <c r="O4960" s="45"/>
      <c r="P4960" s="24"/>
      <c r="Q4960" s="24"/>
      <c r="R4960" s="180"/>
      <c r="S4960" s="181"/>
      <c r="T4960" s="35"/>
      <c r="U4960" s="35"/>
      <c r="V4960" s="35"/>
      <c r="W4960" s="35"/>
      <c r="X4960" s="35"/>
      <c r="Y4960" s="182"/>
      <c r="Z4960" s="175"/>
      <c r="AA4960" s="182"/>
      <c r="AB4960" s="184"/>
    </row>
    <row r="4961" spans="1:28" ht="12.75">
      <c r="A4961" s="173"/>
      <c r="B4961" s="174"/>
      <c r="C4961" s="11"/>
      <c r="D4961" s="175"/>
      <c r="E4961" s="176"/>
      <c r="F4961" s="177"/>
      <c r="G4961" s="178"/>
      <c r="H4961" s="177"/>
      <c r="I4961" s="177"/>
      <c r="J4961" s="179"/>
      <c r="K4961" s="183"/>
      <c r="L4961" s="176"/>
      <c r="M4961" s="177"/>
      <c r="N4961" s="21"/>
      <c r="O4961" s="45"/>
      <c r="P4961" s="24"/>
      <c r="Q4961" s="24"/>
      <c r="R4961" s="180"/>
      <c r="S4961" s="181"/>
      <c r="T4961" s="35"/>
      <c r="U4961" s="35"/>
      <c r="V4961" s="35"/>
      <c r="W4961" s="35"/>
      <c r="X4961" s="35"/>
      <c r="Y4961" s="182"/>
      <c r="Z4961" s="175"/>
      <c r="AA4961" s="182"/>
      <c r="AB4961" s="184"/>
    </row>
    <row r="4962" spans="1:28" ht="12.75">
      <c r="A4962" s="173"/>
      <c r="B4962" s="174"/>
      <c r="C4962" s="11"/>
      <c r="D4962" s="175"/>
      <c r="E4962" s="176"/>
      <c r="F4962" s="177"/>
      <c r="G4962" s="178"/>
      <c r="H4962" s="177"/>
      <c r="I4962" s="177"/>
      <c r="J4962" s="179"/>
      <c r="K4962" s="183"/>
      <c r="L4962" s="176"/>
      <c r="M4962" s="177"/>
      <c r="N4962" s="21"/>
      <c r="O4962" s="45"/>
      <c r="P4962" s="24"/>
      <c r="Q4962" s="24"/>
      <c r="R4962" s="180"/>
      <c r="S4962" s="181"/>
      <c r="T4962" s="35"/>
      <c r="U4962" s="35"/>
      <c r="V4962" s="35"/>
      <c r="W4962" s="35"/>
      <c r="X4962" s="35"/>
      <c r="Y4962" s="182"/>
      <c r="Z4962" s="175"/>
      <c r="AA4962" s="182"/>
      <c r="AB4962" s="184"/>
    </row>
    <row r="4963" spans="1:28" ht="12.75">
      <c r="A4963" s="173"/>
      <c r="B4963" s="174"/>
      <c r="C4963" s="11"/>
      <c r="D4963" s="175"/>
      <c r="E4963" s="176"/>
      <c r="F4963" s="177"/>
      <c r="G4963" s="178"/>
      <c r="H4963" s="177"/>
      <c r="I4963" s="177"/>
      <c r="J4963" s="179"/>
      <c r="K4963" s="183"/>
      <c r="L4963" s="176"/>
      <c r="M4963" s="177"/>
      <c r="N4963" s="21"/>
      <c r="O4963" s="45"/>
      <c r="P4963" s="24"/>
      <c r="Q4963" s="24"/>
      <c r="R4963" s="180"/>
      <c r="S4963" s="181"/>
      <c r="T4963" s="35"/>
      <c r="U4963" s="35"/>
      <c r="V4963" s="35"/>
      <c r="W4963" s="35"/>
      <c r="X4963" s="35"/>
      <c r="Y4963" s="182"/>
      <c r="Z4963" s="175"/>
      <c r="AA4963" s="182"/>
      <c r="AB4963" s="184"/>
    </row>
    <row r="4964" spans="1:28" ht="12.75">
      <c r="A4964" s="173"/>
      <c r="B4964" s="174"/>
      <c r="C4964" s="11"/>
      <c r="D4964" s="175"/>
      <c r="E4964" s="176"/>
      <c r="F4964" s="177"/>
      <c r="G4964" s="178"/>
      <c r="H4964" s="177"/>
      <c r="I4964" s="177"/>
      <c r="J4964" s="179"/>
      <c r="K4964" s="183"/>
      <c r="L4964" s="176"/>
      <c r="M4964" s="177"/>
      <c r="N4964" s="21"/>
      <c r="O4964" s="45"/>
      <c r="P4964" s="24"/>
      <c r="Q4964" s="24"/>
      <c r="R4964" s="180"/>
      <c r="S4964" s="181"/>
      <c r="T4964" s="35"/>
      <c r="U4964" s="35"/>
      <c r="V4964" s="35"/>
      <c r="W4964" s="35"/>
      <c r="X4964" s="35"/>
      <c r="Y4964" s="182"/>
      <c r="Z4964" s="175"/>
      <c r="AA4964" s="182"/>
      <c r="AB4964" s="184"/>
    </row>
    <row r="4965" spans="1:28" ht="12.75">
      <c r="A4965" s="173"/>
      <c r="B4965" s="174"/>
      <c r="C4965" s="11"/>
      <c r="D4965" s="175"/>
      <c r="E4965" s="176"/>
      <c r="F4965" s="177"/>
      <c r="G4965" s="178"/>
      <c r="H4965" s="177"/>
      <c r="I4965" s="177"/>
      <c r="J4965" s="179"/>
      <c r="K4965" s="183"/>
      <c r="L4965" s="176"/>
      <c r="M4965" s="177"/>
      <c r="N4965" s="21"/>
      <c r="O4965" s="45"/>
      <c r="P4965" s="24"/>
      <c r="Q4965" s="24"/>
      <c r="R4965" s="180"/>
      <c r="S4965" s="181"/>
      <c r="T4965" s="35"/>
      <c r="U4965" s="35"/>
      <c r="V4965" s="35"/>
      <c r="W4965" s="35"/>
      <c r="X4965" s="35"/>
      <c r="Y4965" s="182"/>
      <c r="Z4965" s="175"/>
      <c r="AA4965" s="182"/>
      <c r="AB4965" s="184"/>
    </row>
    <row r="4966" spans="1:28" ht="12.75">
      <c r="A4966" s="173"/>
      <c r="B4966" s="174"/>
      <c r="C4966" s="11"/>
      <c r="D4966" s="175"/>
      <c r="E4966" s="176"/>
      <c r="F4966" s="177"/>
      <c r="G4966" s="178"/>
      <c r="H4966" s="177"/>
      <c r="I4966" s="177"/>
      <c r="J4966" s="179"/>
      <c r="K4966" s="183"/>
      <c r="L4966" s="176"/>
      <c r="M4966" s="177"/>
      <c r="N4966" s="21"/>
      <c r="O4966" s="45"/>
      <c r="P4966" s="24"/>
      <c r="Q4966" s="24"/>
      <c r="R4966" s="180"/>
      <c r="S4966" s="181"/>
      <c r="T4966" s="35"/>
      <c r="U4966" s="35"/>
      <c r="V4966" s="35"/>
      <c r="W4966" s="35"/>
      <c r="X4966" s="35"/>
      <c r="Y4966" s="182"/>
      <c r="Z4966" s="175"/>
      <c r="AA4966" s="182"/>
      <c r="AB4966" s="184"/>
    </row>
    <row r="4967" spans="1:28" ht="12.75">
      <c r="A4967" s="173"/>
      <c r="B4967" s="174"/>
      <c r="C4967" s="11"/>
      <c r="D4967" s="175"/>
      <c r="E4967" s="176"/>
      <c r="F4967" s="177"/>
      <c r="G4967" s="178"/>
      <c r="H4967" s="177"/>
      <c r="I4967" s="177"/>
      <c r="J4967" s="179"/>
      <c r="K4967" s="183"/>
      <c r="L4967" s="176"/>
      <c r="M4967" s="177"/>
      <c r="N4967" s="21"/>
      <c r="O4967" s="45"/>
      <c r="P4967" s="24"/>
      <c r="Q4967" s="24"/>
      <c r="R4967" s="180"/>
      <c r="S4967" s="181"/>
      <c r="T4967" s="35"/>
      <c r="U4967" s="35"/>
      <c r="V4967" s="35"/>
      <c r="W4967" s="35"/>
      <c r="X4967" s="35"/>
      <c r="Y4967" s="182"/>
      <c r="Z4967" s="175"/>
      <c r="AA4967" s="182"/>
      <c r="AB4967" s="184"/>
    </row>
    <row r="4968" spans="1:28" ht="12.75">
      <c r="A4968" s="173"/>
      <c r="B4968" s="174"/>
      <c r="C4968" s="11"/>
      <c r="D4968" s="175"/>
      <c r="E4968" s="176"/>
      <c r="F4968" s="177"/>
      <c r="G4968" s="178"/>
      <c r="H4968" s="177"/>
      <c r="I4968" s="177"/>
      <c r="J4968" s="179"/>
      <c r="K4968" s="183"/>
      <c r="L4968" s="176"/>
      <c r="M4968" s="177"/>
      <c r="N4968" s="21"/>
      <c r="O4968" s="45"/>
      <c r="P4968" s="24"/>
      <c r="Q4968" s="24"/>
      <c r="R4968" s="180"/>
      <c r="S4968" s="181"/>
      <c r="T4968" s="35"/>
      <c r="U4968" s="35"/>
      <c r="V4968" s="35"/>
      <c r="W4968" s="35"/>
      <c r="X4968" s="35"/>
      <c r="Y4968" s="182"/>
      <c r="Z4968" s="175"/>
      <c r="AA4968" s="182"/>
      <c r="AB4968" s="184"/>
    </row>
    <row r="4969" spans="1:28" ht="12.75">
      <c r="A4969" s="173"/>
      <c r="B4969" s="174"/>
      <c r="C4969" s="11"/>
      <c r="D4969" s="175"/>
      <c r="E4969" s="176"/>
      <c r="F4969" s="177"/>
      <c r="G4969" s="178"/>
      <c r="H4969" s="177"/>
      <c r="I4969" s="177"/>
      <c r="J4969" s="179"/>
      <c r="K4969" s="183"/>
      <c r="L4969" s="176"/>
      <c r="M4969" s="177"/>
      <c r="N4969" s="21"/>
      <c r="O4969" s="45"/>
      <c r="P4969" s="24"/>
      <c r="Q4969" s="24"/>
      <c r="R4969" s="180"/>
      <c r="S4969" s="181"/>
      <c r="T4969" s="35"/>
      <c r="U4969" s="35"/>
      <c r="V4969" s="35"/>
      <c r="W4969" s="35"/>
      <c r="X4969" s="35"/>
      <c r="Y4969" s="182"/>
      <c r="Z4969" s="175"/>
      <c r="AA4969" s="182"/>
      <c r="AB4969" s="184"/>
    </row>
    <row r="4970" spans="1:28" ht="12.75">
      <c r="A4970" s="173"/>
      <c r="B4970" s="174"/>
      <c r="C4970" s="11"/>
      <c r="D4970" s="175"/>
      <c r="E4970" s="176"/>
      <c r="F4970" s="177"/>
      <c r="G4970" s="178"/>
      <c r="H4970" s="177"/>
      <c r="I4970" s="177"/>
      <c r="J4970" s="179"/>
      <c r="K4970" s="183"/>
      <c r="L4970" s="176"/>
      <c r="M4970" s="177"/>
      <c r="N4970" s="21"/>
      <c r="O4970" s="45"/>
      <c r="P4970" s="24"/>
      <c r="Q4970" s="24"/>
      <c r="R4970" s="180"/>
      <c r="S4970" s="181"/>
      <c r="T4970" s="35"/>
      <c r="U4970" s="35"/>
      <c r="V4970" s="35"/>
      <c r="W4970" s="35"/>
      <c r="X4970" s="35"/>
      <c r="Y4970" s="182"/>
      <c r="Z4970" s="175"/>
      <c r="AA4970" s="182"/>
      <c r="AB4970" s="184"/>
    </row>
    <row r="4971" spans="1:28" ht="12.75">
      <c r="A4971" s="173"/>
      <c r="B4971" s="174"/>
      <c r="C4971" s="11"/>
      <c r="D4971" s="175"/>
      <c r="E4971" s="176"/>
      <c r="F4971" s="177"/>
      <c r="G4971" s="178"/>
      <c r="H4971" s="177"/>
      <c r="I4971" s="177"/>
      <c r="J4971" s="179"/>
      <c r="K4971" s="183"/>
      <c r="L4971" s="176"/>
      <c r="M4971" s="177"/>
      <c r="N4971" s="21"/>
      <c r="O4971" s="45"/>
      <c r="P4971" s="24"/>
      <c r="Q4971" s="24"/>
      <c r="R4971" s="180"/>
      <c r="S4971" s="181"/>
      <c r="T4971" s="35"/>
      <c r="U4971" s="35"/>
      <c r="V4971" s="35"/>
      <c r="W4971" s="35"/>
      <c r="X4971" s="35"/>
      <c r="Y4971" s="182"/>
      <c r="Z4971" s="175"/>
      <c r="AA4971" s="182"/>
      <c r="AB4971" s="184"/>
    </row>
    <row r="4972" spans="1:28" ht="12.75">
      <c r="A4972" s="173"/>
      <c r="B4972" s="174"/>
      <c r="C4972" s="11"/>
      <c r="D4972" s="175"/>
      <c r="E4972" s="176"/>
      <c r="F4972" s="177"/>
      <c r="G4972" s="178"/>
      <c r="H4972" s="177"/>
      <c r="I4972" s="177"/>
      <c r="J4972" s="179"/>
      <c r="K4972" s="183"/>
      <c r="L4972" s="176"/>
      <c r="M4972" s="177"/>
      <c r="N4972" s="21"/>
      <c r="O4972" s="45"/>
      <c r="P4972" s="24"/>
      <c r="Q4972" s="24"/>
      <c r="R4972" s="180"/>
      <c r="S4972" s="181"/>
      <c r="T4972" s="35"/>
      <c r="U4972" s="35"/>
      <c r="V4972" s="35"/>
      <c r="W4972" s="35"/>
      <c r="X4972" s="35"/>
      <c r="Y4972" s="182"/>
      <c r="Z4972" s="175"/>
      <c r="AA4972" s="182"/>
      <c r="AB4972" s="184"/>
    </row>
    <row r="4973" spans="1:28" ht="12.75">
      <c r="A4973" s="173"/>
      <c r="B4973" s="174"/>
      <c r="C4973" s="11"/>
      <c r="D4973" s="175"/>
      <c r="E4973" s="176"/>
      <c r="F4973" s="177"/>
      <c r="G4973" s="178"/>
      <c r="H4973" s="177"/>
      <c r="I4973" s="177"/>
      <c r="J4973" s="179"/>
      <c r="K4973" s="183"/>
      <c r="L4973" s="176"/>
      <c r="M4973" s="177"/>
      <c r="N4973" s="21"/>
      <c r="O4973" s="45"/>
      <c r="P4973" s="24"/>
      <c r="Q4973" s="24"/>
      <c r="R4973" s="180"/>
      <c r="S4973" s="181"/>
      <c r="T4973" s="35"/>
      <c r="U4973" s="35"/>
      <c r="V4973" s="35"/>
      <c r="W4973" s="35"/>
      <c r="X4973" s="35"/>
      <c r="Y4973" s="182"/>
      <c r="Z4973" s="175"/>
      <c r="AA4973" s="182"/>
      <c r="AB4973" s="184"/>
    </row>
    <row r="4974" spans="1:28" ht="12.75">
      <c r="A4974" s="173"/>
      <c r="B4974" s="174"/>
      <c r="C4974" s="11"/>
      <c r="D4974" s="175"/>
      <c r="E4974" s="176"/>
      <c r="F4974" s="177"/>
      <c r="G4974" s="178"/>
      <c r="H4974" s="177"/>
      <c r="I4974" s="177"/>
      <c r="J4974" s="179"/>
      <c r="K4974" s="183"/>
      <c r="L4974" s="176"/>
      <c r="M4974" s="177"/>
      <c r="N4974" s="21"/>
      <c r="O4974" s="45"/>
      <c r="P4974" s="24"/>
      <c r="Q4974" s="24"/>
      <c r="R4974" s="180"/>
      <c r="S4974" s="181"/>
      <c r="T4974" s="35"/>
      <c r="U4974" s="35"/>
      <c r="V4974" s="35"/>
      <c r="W4974" s="35"/>
      <c r="X4974" s="35"/>
      <c r="Y4974" s="182"/>
      <c r="Z4974" s="175"/>
      <c r="AA4974" s="182"/>
      <c r="AB4974" s="184"/>
    </row>
    <row r="4975" spans="1:28" ht="12.75">
      <c r="A4975" s="173"/>
      <c r="B4975" s="174"/>
      <c r="C4975" s="11"/>
      <c r="D4975" s="175"/>
      <c r="E4975" s="176"/>
      <c r="F4975" s="177"/>
      <c r="G4975" s="178"/>
      <c r="H4975" s="177"/>
      <c r="I4975" s="177"/>
      <c r="J4975" s="179"/>
      <c r="K4975" s="183"/>
      <c r="L4975" s="176"/>
      <c r="M4975" s="177"/>
      <c r="N4975" s="21"/>
      <c r="O4975" s="45"/>
      <c r="P4975" s="24"/>
      <c r="Q4975" s="24"/>
      <c r="R4975" s="180"/>
      <c r="S4975" s="181"/>
      <c r="T4975" s="35"/>
      <c r="U4975" s="35"/>
      <c r="V4975" s="35"/>
      <c r="W4975" s="35"/>
      <c r="X4975" s="35"/>
      <c r="Y4975" s="182"/>
      <c r="Z4975" s="175"/>
      <c r="AA4975" s="182"/>
      <c r="AB4975" s="184"/>
    </row>
    <row r="4976" spans="1:28" ht="12.75">
      <c r="A4976" s="173"/>
      <c r="B4976" s="174"/>
      <c r="C4976" s="11"/>
      <c r="D4976" s="175"/>
      <c r="E4976" s="176"/>
      <c r="F4976" s="177"/>
      <c r="G4976" s="178"/>
      <c r="H4976" s="177"/>
      <c r="I4976" s="177"/>
      <c r="J4976" s="179"/>
      <c r="K4976" s="183"/>
      <c r="L4976" s="176"/>
      <c r="M4976" s="177"/>
      <c r="N4976" s="21"/>
      <c r="O4976" s="45"/>
      <c r="P4976" s="24"/>
      <c r="Q4976" s="24"/>
      <c r="R4976" s="180"/>
      <c r="S4976" s="181"/>
      <c r="T4976" s="35"/>
      <c r="U4976" s="35"/>
      <c r="V4976" s="35"/>
      <c r="W4976" s="35"/>
      <c r="X4976" s="35"/>
      <c r="Y4976" s="182"/>
      <c r="Z4976" s="175"/>
      <c r="AA4976" s="182"/>
      <c r="AB4976" s="184"/>
    </row>
    <row r="4977" spans="1:28" ht="12.75">
      <c r="A4977" s="173"/>
      <c r="B4977" s="174"/>
      <c r="C4977" s="11"/>
      <c r="D4977" s="175"/>
      <c r="E4977" s="176"/>
      <c r="F4977" s="177"/>
      <c r="G4977" s="178"/>
      <c r="H4977" s="177"/>
      <c r="I4977" s="177"/>
      <c r="J4977" s="179"/>
      <c r="K4977" s="183"/>
      <c r="L4977" s="176"/>
      <c r="M4977" s="177"/>
      <c r="N4977" s="21"/>
      <c r="O4977" s="45"/>
      <c r="P4977" s="24"/>
      <c r="Q4977" s="24"/>
      <c r="R4977" s="180"/>
      <c r="S4977" s="181"/>
      <c r="T4977" s="35"/>
      <c r="U4977" s="35"/>
      <c r="V4977" s="35"/>
      <c r="W4977" s="35"/>
      <c r="X4977" s="35"/>
      <c r="Y4977" s="182"/>
      <c r="Z4977" s="175"/>
      <c r="AA4977" s="182"/>
      <c r="AB4977" s="184"/>
    </row>
    <row r="4978" spans="1:28" ht="12.75">
      <c r="A4978" s="173"/>
      <c r="B4978" s="174"/>
      <c r="C4978" s="11"/>
      <c r="D4978" s="175"/>
      <c r="E4978" s="176"/>
      <c r="F4978" s="177"/>
      <c r="G4978" s="178"/>
      <c r="H4978" s="177"/>
      <c r="I4978" s="177"/>
      <c r="J4978" s="179"/>
      <c r="K4978" s="183"/>
      <c r="L4978" s="176"/>
      <c r="M4978" s="177"/>
      <c r="N4978" s="21"/>
      <c r="O4978" s="45"/>
      <c r="P4978" s="24"/>
      <c r="Q4978" s="24"/>
      <c r="R4978" s="180"/>
      <c r="S4978" s="181"/>
      <c r="T4978" s="35"/>
      <c r="U4978" s="35"/>
      <c r="V4978" s="35"/>
      <c r="W4978" s="35"/>
      <c r="X4978" s="35"/>
      <c r="Y4978" s="182"/>
      <c r="Z4978" s="175"/>
      <c r="AA4978" s="182"/>
      <c r="AB4978" s="184"/>
    </row>
    <row r="4979" spans="1:28" ht="12.75">
      <c r="A4979" s="173"/>
      <c r="B4979" s="174"/>
      <c r="C4979" s="11"/>
      <c r="D4979" s="175"/>
      <c r="E4979" s="176"/>
      <c r="F4979" s="177"/>
      <c r="G4979" s="178"/>
      <c r="H4979" s="177"/>
      <c r="I4979" s="177"/>
      <c r="J4979" s="179"/>
      <c r="K4979" s="183"/>
      <c r="L4979" s="176"/>
      <c r="M4979" s="177"/>
      <c r="N4979" s="21"/>
      <c r="O4979" s="45"/>
      <c r="P4979" s="24"/>
      <c r="Q4979" s="24"/>
      <c r="R4979" s="180"/>
      <c r="S4979" s="181"/>
      <c r="T4979" s="35"/>
      <c r="U4979" s="35"/>
      <c r="V4979" s="35"/>
      <c r="W4979" s="35"/>
      <c r="X4979" s="35"/>
      <c r="Y4979" s="182"/>
      <c r="Z4979" s="175"/>
      <c r="AA4979" s="182"/>
      <c r="AB4979" s="184"/>
    </row>
    <row r="4980" spans="1:28" ht="12.75">
      <c r="A4980" s="173"/>
      <c r="B4980" s="174"/>
      <c r="C4980" s="11"/>
      <c r="D4980" s="175"/>
      <c r="E4980" s="176"/>
      <c r="F4980" s="177"/>
      <c r="G4980" s="178"/>
      <c r="H4980" s="177"/>
      <c r="I4980" s="177"/>
      <c r="J4980" s="179"/>
      <c r="K4980" s="183"/>
      <c r="L4980" s="176"/>
      <c r="M4980" s="177"/>
      <c r="N4980" s="21"/>
      <c r="O4980" s="45"/>
      <c r="P4980" s="24"/>
      <c r="Q4980" s="24"/>
      <c r="R4980" s="180"/>
      <c r="S4980" s="181"/>
      <c r="T4980" s="35"/>
      <c r="U4980" s="35"/>
      <c r="V4980" s="35"/>
      <c r="W4980" s="35"/>
      <c r="X4980" s="35"/>
      <c r="Y4980" s="182"/>
      <c r="Z4980" s="175"/>
      <c r="AA4980" s="182"/>
      <c r="AB4980" s="184"/>
    </row>
    <row r="4981" spans="1:28" ht="12.75">
      <c r="A4981" s="173"/>
      <c r="B4981" s="174"/>
      <c r="C4981" s="11"/>
      <c r="D4981" s="175"/>
      <c r="E4981" s="176"/>
      <c r="F4981" s="177"/>
      <c r="G4981" s="178"/>
      <c r="H4981" s="177"/>
      <c r="I4981" s="177"/>
      <c r="J4981" s="179"/>
      <c r="K4981" s="183"/>
      <c r="L4981" s="176"/>
      <c r="M4981" s="177"/>
      <c r="N4981" s="21"/>
      <c r="O4981" s="45"/>
      <c r="P4981" s="24"/>
      <c r="Q4981" s="24"/>
      <c r="R4981" s="180"/>
      <c r="S4981" s="181"/>
      <c r="T4981" s="35"/>
      <c r="U4981" s="35"/>
      <c r="V4981" s="35"/>
      <c r="W4981" s="35"/>
      <c r="X4981" s="35"/>
      <c r="Y4981" s="182"/>
      <c r="Z4981" s="175"/>
      <c r="AA4981" s="182"/>
      <c r="AB4981" s="184"/>
    </row>
    <row r="4982" spans="1:28" ht="12.75">
      <c r="A4982" s="173"/>
      <c r="B4982" s="174"/>
      <c r="C4982" s="11"/>
      <c r="D4982" s="175"/>
      <c r="E4982" s="176"/>
      <c r="F4982" s="177"/>
      <c r="G4982" s="178"/>
      <c r="H4982" s="177"/>
      <c r="I4982" s="177"/>
      <c r="J4982" s="179"/>
      <c r="K4982" s="183"/>
      <c r="L4982" s="176"/>
      <c r="M4982" s="177"/>
      <c r="N4982" s="21"/>
      <c r="O4982" s="45"/>
      <c r="P4982" s="24"/>
      <c r="Q4982" s="24"/>
      <c r="R4982" s="180"/>
      <c r="S4982" s="181"/>
      <c r="T4982" s="35"/>
      <c r="U4982" s="35"/>
      <c r="V4982" s="35"/>
      <c r="W4982" s="35"/>
      <c r="X4982" s="35"/>
      <c r="Y4982" s="182"/>
      <c r="Z4982" s="175"/>
      <c r="AA4982" s="182"/>
      <c r="AB4982" s="184"/>
    </row>
    <row r="4983" spans="1:28" ht="12.75">
      <c r="A4983" s="173"/>
      <c r="B4983" s="174"/>
      <c r="C4983" s="11"/>
      <c r="D4983" s="175"/>
      <c r="E4983" s="176"/>
      <c r="F4983" s="177"/>
      <c r="G4983" s="178"/>
      <c r="H4983" s="177"/>
      <c r="I4983" s="177"/>
      <c r="J4983" s="179"/>
      <c r="K4983" s="183"/>
      <c r="L4983" s="176"/>
      <c r="M4983" s="177"/>
      <c r="N4983" s="21"/>
      <c r="O4983" s="45"/>
      <c r="P4983" s="24"/>
      <c r="Q4983" s="24"/>
      <c r="R4983" s="180"/>
      <c r="S4983" s="181"/>
      <c r="T4983" s="35"/>
      <c r="U4983" s="35"/>
      <c r="V4983" s="35"/>
      <c r="W4983" s="35"/>
      <c r="X4983" s="35"/>
      <c r="Y4983" s="182"/>
      <c r="Z4983" s="175"/>
      <c r="AA4983" s="182"/>
      <c r="AB4983" s="184"/>
    </row>
    <row r="4984" spans="1:28" ht="12.75">
      <c r="A4984" s="173"/>
      <c r="B4984" s="174"/>
      <c r="C4984" s="11"/>
      <c r="D4984" s="175"/>
      <c r="E4984" s="176"/>
      <c r="F4984" s="177"/>
      <c r="G4984" s="178"/>
      <c r="H4984" s="177"/>
      <c r="I4984" s="177"/>
      <c r="J4984" s="179"/>
      <c r="K4984" s="183"/>
      <c r="L4984" s="176"/>
      <c r="M4984" s="177"/>
      <c r="N4984" s="21"/>
      <c r="O4984" s="45"/>
      <c r="P4984" s="24"/>
      <c r="Q4984" s="24"/>
      <c r="R4984" s="180"/>
      <c r="S4984" s="181"/>
      <c r="T4984" s="35"/>
      <c r="U4984" s="35"/>
      <c r="V4984" s="35"/>
      <c r="W4984" s="35"/>
      <c r="X4984" s="35"/>
      <c r="Y4984" s="182"/>
      <c r="Z4984" s="175"/>
      <c r="AA4984" s="182"/>
      <c r="AB4984" s="184"/>
    </row>
    <row r="4985" spans="1:28" ht="12.75">
      <c r="A4985" s="173"/>
      <c r="B4985" s="174"/>
      <c r="C4985" s="11"/>
      <c r="D4985" s="175"/>
      <c r="E4985" s="176"/>
      <c r="F4985" s="177"/>
      <c r="G4985" s="178"/>
      <c r="H4985" s="177"/>
      <c r="I4985" s="177"/>
      <c r="J4985" s="179"/>
      <c r="K4985" s="183"/>
      <c r="L4985" s="176"/>
      <c r="M4985" s="177"/>
      <c r="N4985" s="21"/>
      <c r="O4985" s="45"/>
      <c r="P4985" s="24"/>
      <c r="Q4985" s="24"/>
      <c r="R4985" s="180"/>
      <c r="S4985" s="181"/>
      <c r="T4985" s="35"/>
      <c r="U4985" s="35"/>
      <c r="V4985" s="35"/>
      <c r="W4985" s="35"/>
      <c r="X4985" s="35"/>
      <c r="Y4985" s="182"/>
      <c r="Z4985" s="175"/>
      <c r="AA4985" s="182"/>
      <c r="AB4985" s="184"/>
    </row>
    <row r="4986" spans="1:28" ht="12.75">
      <c r="A4986" s="173"/>
      <c r="B4986" s="174"/>
      <c r="C4986" s="11"/>
      <c r="D4986" s="175"/>
      <c r="E4986" s="176"/>
      <c r="F4986" s="177"/>
      <c r="G4986" s="178"/>
      <c r="H4986" s="177"/>
      <c r="I4986" s="177"/>
      <c r="J4986" s="179"/>
      <c r="K4986" s="183"/>
      <c r="L4986" s="176"/>
      <c r="M4986" s="177"/>
      <c r="N4986" s="21"/>
      <c r="O4986" s="45"/>
      <c r="P4986" s="24"/>
      <c r="Q4986" s="24"/>
      <c r="R4986" s="180"/>
      <c r="S4986" s="181"/>
      <c r="T4986" s="35"/>
      <c r="U4986" s="35"/>
      <c r="V4986" s="35"/>
      <c r="W4986" s="35"/>
      <c r="X4986" s="35"/>
      <c r="Y4986" s="182"/>
      <c r="Z4986" s="175"/>
      <c r="AA4986" s="182"/>
      <c r="AB4986" s="184"/>
    </row>
    <row r="4987" spans="1:28" ht="12.75">
      <c r="A4987" s="173"/>
      <c r="B4987" s="174"/>
      <c r="C4987" s="11"/>
      <c r="D4987" s="175"/>
      <c r="E4987" s="176"/>
      <c r="F4987" s="177"/>
      <c r="G4987" s="178"/>
      <c r="H4987" s="177"/>
      <c r="I4987" s="177"/>
      <c r="J4987" s="179"/>
      <c r="K4987" s="183"/>
      <c r="L4987" s="176"/>
      <c r="M4987" s="177"/>
      <c r="N4987" s="21"/>
      <c r="O4987" s="45"/>
      <c r="P4987" s="24"/>
      <c r="Q4987" s="24"/>
      <c r="R4987" s="180"/>
      <c r="S4987" s="181"/>
      <c r="T4987" s="35"/>
      <c r="U4987" s="35"/>
      <c r="V4987" s="35"/>
      <c r="W4987" s="35"/>
      <c r="X4987" s="35"/>
      <c r="Y4987" s="182"/>
      <c r="Z4987" s="175"/>
      <c r="AA4987" s="182"/>
      <c r="AB4987" s="184"/>
    </row>
    <row r="4988" spans="1:28" ht="12.75">
      <c r="A4988" s="173"/>
      <c r="B4988" s="174"/>
      <c r="C4988" s="11"/>
      <c r="D4988" s="175"/>
      <c r="E4988" s="176"/>
      <c r="F4988" s="177"/>
      <c r="G4988" s="178"/>
      <c r="H4988" s="177"/>
      <c r="I4988" s="177"/>
      <c r="J4988" s="179"/>
      <c r="K4988" s="183"/>
      <c r="L4988" s="176"/>
      <c r="M4988" s="177"/>
      <c r="N4988" s="21"/>
      <c r="O4988" s="45"/>
      <c r="P4988" s="24"/>
      <c r="Q4988" s="24"/>
      <c r="R4988" s="180"/>
      <c r="S4988" s="181"/>
      <c r="T4988" s="35"/>
      <c r="U4988" s="35"/>
      <c r="V4988" s="35"/>
      <c r="W4988" s="35"/>
      <c r="X4988" s="35"/>
      <c r="Y4988" s="182"/>
      <c r="Z4988" s="175"/>
      <c r="AA4988" s="182"/>
      <c r="AB4988" s="184"/>
    </row>
    <row r="4989" spans="1:28" ht="12.75">
      <c r="A4989" s="173"/>
      <c r="B4989" s="174"/>
      <c r="C4989" s="11"/>
      <c r="D4989" s="175"/>
      <c r="E4989" s="176"/>
      <c r="F4989" s="177"/>
      <c r="G4989" s="178"/>
      <c r="H4989" s="177"/>
      <c r="I4989" s="177"/>
      <c r="J4989" s="179"/>
      <c r="K4989" s="183"/>
      <c r="L4989" s="176"/>
      <c r="M4989" s="177"/>
      <c r="N4989" s="21"/>
      <c r="O4989" s="45"/>
      <c r="P4989" s="24"/>
      <c r="Q4989" s="24"/>
      <c r="R4989" s="180"/>
      <c r="S4989" s="181"/>
      <c r="T4989" s="35"/>
      <c r="U4989" s="35"/>
      <c r="V4989" s="35"/>
      <c r="W4989" s="35"/>
      <c r="X4989" s="35"/>
      <c r="Y4989" s="182"/>
      <c r="Z4989" s="175"/>
      <c r="AA4989" s="182"/>
      <c r="AB4989" s="184"/>
    </row>
    <row r="4990" spans="1:28" ht="12.75">
      <c r="A4990" s="173"/>
      <c r="B4990" s="174"/>
      <c r="C4990" s="11"/>
      <c r="D4990" s="175"/>
      <c r="E4990" s="176"/>
      <c r="F4990" s="177"/>
      <c r="G4990" s="178"/>
      <c r="H4990" s="177"/>
      <c r="I4990" s="177"/>
      <c r="J4990" s="179"/>
      <c r="K4990" s="183"/>
      <c r="L4990" s="176"/>
      <c r="M4990" s="177"/>
      <c r="N4990" s="21"/>
      <c r="O4990" s="45"/>
      <c r="P4990" s="24"/>
      <c r="Q4990" s="24"/>
      <c r="R4990" s="180"/>
      <c r="S4990" s="181"/>
      <c r="T4990" s="35"/>
      <c r="U4990" s="35"/>
      <c r="V4990" s="35"/>
      <c r="W4990" s="35"/>
      <c r="X4990" s="35"/>
      <c r="Y4990" s="182"/>
      <c r="Z4990" s="175"/>
      <c r="AA4990" s="182"/>
      <c r="AB4990" s="184"/>
    </row>
    <row r="4991" spans="1:28" ht="12.75">
      <c r="A4991" s="173"/>
      <c r="B4991" s="174"/>
      <c r="C4991" s="11"/>
      <c r="D4991" s="175"/>
      <c r="E4991" s="176"/>
      <c r="F4991" s="177"/>
      <c r="G4991" s="178"/>
      <c r="H4991" s="177"/>
      <c r="I4991" s="177"/>
      <c r="J4991" s="179"/>
      <c r="K4991" s="183"/>
      <c r="L4991" s="176"/>
      <c r="M4991" s="177"/>
      <c r="N4991" s="21"/>
      <c r="O4991" s="45"/>
      <c r="P4991" s="24"/>
      <c r="Q4991" s="24"/>
      <c r="R4991" s="180"/>
      <c r="S4991" s="181"/>
      <c r="T4991" s="35"/>
      <c r="U4991" s="35"/>
      <c r="V4991" s="35"/>
      <c r="W4991" s="35"/>
      <c r="X4991" s="35"/>
      <c r="Y4991" s="182"/>
      <c r="Z4991" s="175"/>
      <c r="AA4991" s="182"/>
      <c r="AB4991" s="184"/>
    </row>
    <row r="4992" spans="1:28" ht="12.75">
      <c r="A4992" s="173"/>
      <c r="B4992" s="174"/>
      <c r="C4992" s="11"/>
      <c r="D4992" s="175"/>
      <c r="E4992" s="176"/>
      <c r="F4992" s="177"/>
      <c r="G4992" s="178"/>
      <c r="H4992" s="177"/>
      <c r="I4992" s="177"/>
      <c r="J4992" s="179"/>
      <c r="K4992" s="183"/>
      <c r="L4992" s="176"/>
      <c r="M4992" s="177"/>
      <c r="N4992" s="21"/>
      <c r="O4992" s="45"/>
      <c r="P4992" s="24"/>
      <c r="Q4992" s="24"/>
      <c r="R4992" s="180"/>
      <c r="S4992" s="181"/>
      <c r="T4992" s="35"/>
      <c r="U4992" s="35"/>
      <c r="V4992" s="35"/>
      <c r="W4992" s="35"/>
      <c r="X4992" s="35"/>
      <c r="Y4992" s="182"/>
      <c r="Z4992" s="175"/>
      <c r="AA4992" s="182"/>
      <c r="AB4992" s="184"/>
    </row>
    <row r="4993" spans="1:28" ht="12.75">
      <c r="A4993" s="173"/>
      <c r="B4993" s="174"/>
      <c r="C4993" s="11"/>
      <c r="D4993" s="175"/>
      <c r="E4993" s="176"/>
      <c r="F4993" s="177"/>
      <c r="G4993" s="178"/>
      <c r="H4993" s="177"/>
      <c r="I4993" s="177"/>
      <c r="J4993" s="179"/>
      <c r="K4993" s="183"/>
      <c r="L4993" s="176"/>
      <c r="M4993" s="177"/>
      <c r="N4993" s="21"/>
      <c r="O4993" s="45"/>
      <c r="P4993" s="24"/>
      <c r="Q4993" s="24"/>
      <c r="R4993" s="180"/>
      <c r="S4993" s="181"/>
      <c r="T4993" s="35"/>
      <c r="U4993" s="35"/>
      <c r="V4993" s="35"/>
      <c r="W4993" s="35"/>
      <c r="X4993" s="35"/>
      <c r="Y4993" s="182"/>
      <c r="Z4993" s="175"/>
      <c r="AA4993" s="182"/>
      <c r="AB4993" s="184"/>
    </row>
    <row r="4994" spans="1:28" ht="12.75">
      <c r="A4994" s="173"/>
      <c r="B4994" s="174"/>
      <c r="C4994" s="11"/>
      <c r="D4994" s="175"/>
      <c r="E4994" s="176"/>
      <c r="F4994" s="177"/>
      <c r="G4994" s="178"/>
      <c r="H4994" s="177"/>
      <c r="I4994" s="177"/>
      <c r="J4994" s="179"/>
      <c r="K4994" s="183"/>
      <c r="L4994" s="176"/>
      <c r="M4994" s="177"/>
      <c r="N4994" s="21"/>
      <c r="O4994" s="45"/>
      <c r="P4994" s="24"/>
      <c r="Q4994" s="24"/>
      <c r="R4994" s="180"/>
      <c r="S4994" s="181"/>
      <c r="T4994" s="35"/>
      <c r="U4994" s="35"/>
      <c r="V4994" s="35"/>
      <c r="W4994" s="35"/>
      <c r="X4994" s="35"/>
      <c r="Y4994" s="182"/>
      <c r="Z4994" s="175"/>
      <c r="AA4994" s="182"/>
      <c r="AB4994" s="184"/>
    </row>
    <row r="4995" spans="1:28" ht="12.75">
      <c r="A4995" s="173"/>
      <c r="B4995" s="174"/>
      <c r="C4995" s="11"/>
      <c r="D4995" s="175"/>
      <c r="E4995" s="176"/>
      <c r="F4995" s="177"/>
      <c r="G4995" s="178"/>
      <c r="H4995" s="177"/>
      <c r="I4995" s="177"/>
      <c r="J4995" s="179"/>
      <c r="K4995" s="183"/>
      <c r="L4995" s="176"/>
      <c r="M4995" s="177"/>
      <c r="N4995" s="21"/>
      <c r="O4995" s="45"/>
      <c r="P4995" s="24"/>
      <c r="Q4995" s="24"/>
      <c r="R4995" s="180"/>
      <c r="S4995" s="181"/>
      <c r="T4995" s="35"/>
      <c r="U4995" s="35"/>
      <c r="V4995" s="35"/>
      <c r="W4995" s="35"/>
      <c r="X4995" s="35"/>
      <c r="Y4995" s="182"/>
      <c r="Z4995" s="175"/>
      <c r="AA4995" s="182"/>
      <c r="AB4995" s="184"/>
    </row>
    <row r="4996" spans="1:28" ht="12.75">
      <c r="A4996" s="173"/>
      <c r="B4996" s="174"/>
      <c r="C4996" s="11"/>
      <c r="D4996" s="175"/>
      <c r="E4996" s="176"/>
      <c r="F4996" s="177"/>
      <c r="G4996" s="178"/>
      <c r="H4996" s="177"/>
      <c r="I4996" s="177"/>
      <c r="J4996" s="179"/>
      <c r="K4996" s="183"/>
      <c r="L4996" s="176"/>
      <c r="M4996" s="177"/>
      <c r="N4996" s="21"/>
      <c r="O4996" s="45"/>
      <c r="P4996" s="24"/>
      <c r="Q4996" s="24"/>
      <c r="R4996" s="180"/>
      <c r="S4996" s="181"/>
      <c r="T4996" s="35"/>
      <c r="U4996" s="35"/>
      <c r="V4996" s="35"/>
      <c r="W4996" s="35"/>
      <c r="X4996" s="35"/>
      <c r="Y4996" s="182"/>
      <c r="Z4996" s="175"/>
      <c r="AA4996" s="182"/>
      <c r="AB4996" s="184"/>
    </row>
    <row r="4997" spans="1:28" ht="12.75">
      <c r="A4997" s="173"/>
      <c r="B4997" s="174"/>
      <c r="C4997" s="11"/>
      <c r="D4997" s="175"/>
      <c r="E4997" s="176"/>
      <c r="F4997" s="177"/>
      <c r="G4997" s="178"/>
      <c r="H4997" s="177"/>
      <c r="I4997" s="177"/>
      <c r="J4997" s="179"/>
      <c r="K4997" s="183"/>
      <c r="L4997" s="176"/>
      <c r="M4997" s="177"/>
      <c r="N4997" s="21"/>
      <c r="O4997" s="45"/>
      <c r="P4997" s="24"/>
      <c r="Q4997" s="24"/>
      <c r="R4997" s="180"/>
      <c r="S4997" s="181"/>
      <c r="T4997" s="35"/>
      <c r="U4997" s="35"/>
      <c r="V4997" s="35"/>
      <c r="W4997" s="35"/>
      <c r="X4997" s="35"/>
      <c r="Y4997" s="182"/>
      <c r="Z4997" s="175"/>
      <c r="AA4997" s="182"/>
      <c r="AB4997" s="184"/>
    </row>
    <row r="4998" spans="1:28" ht="12.75">
      <c r="A4998" s="173"/>
      <c r="B4998" s="174"/>
      <c r="C4998" s="11"/>
      <c r="D4998" s="175"/>
      <c r="E4998" s="176"/>
      <c r="F4998" s="177"/>
      <c r="G4998" s="178"/>
      <c r="H4998" s="177"/>
      <c r="I4998" s="177"/>
      <c r="J4998" s="179"/>
      <c r="K4998" s="183"/>
      <c r="L4998" s="176"/>
      <c r="M4998" s="177"/>
      <c r="N4998" s="21"/>
      <c r="O4998" s="45"/>
      <c r="P4998" s="24"/>
      <c r="Q4998" s="24"/>
      <c r="R4998" s="180"/>
      <c r="S4998" s="181"/>
      <c r="T4998" s="35"/>
      <c r="U4998" s="35"/>
      <c r="V4998" s="35"/>
      <c r="W4998" s="35"/>
      <c r="X4998" s="35"/>
      <c r="Y4998" s="182"/>
      <c r="Z4998" s="175"/>
      <c r="AA4998" s="182"/>
      <c r="AB4998" s="184"/>
    </row>
    <row r="4999" spans="1:28" ht="12.75">
      <c r="A4999" s="173"/>
      <c r="B4999" s="174"/>
      <c r="C4999" s="11"/>
      <c r="D4999" s="175"/>
      <c r="E4999" s="176"/>
      <c r="F4999" s="177"/>
      <c r="G4999" s="178"/>
      <c r="H4999" s="177"/>
      <c r="I4999" s="177"/>
      <c r="J4999" s="179"/>
      <c r="K4999" s="183"/>
      <c r="L4999" s="176"/>
      <c r="M4999" s="177"/>
      <c r="N4999" s="21"/>
      <c r="O4999" s="45"/>
      <c r="P4999" s="24"/>
      <c r="Q4999" s="24"/>
      <c r="R4999" s="180"/>
      <c r="S4999" s="181"/>
      <c r="T4999" s="35"/>
      <c r="U4999" s="35"/>
      <c r="V4999" s="35"/>
      <c r="W4999" s="35"/>
      <c r="X4999" s="35"/>
      <c r="Y4999" s="182"/>
      <c r="Z4999" s="175"/>
      <c r="AA4999" s="182"/>
      <c r="AB4999" s="184"/>
    </row>
    <row r="5000" spans="1:28" ht="12.75">
      <c r="A5000" s="173"/>
      <c r="B5000" s="174"/>
      <c r="C5000" s="11"/>
      <c r="D5000" s="175"/>
      <c r="E5000" s="176"/>
      <c r="F5000" s="177"/>
      <c r="G5000" s="178"/>
      <c r="H5000" s="177"/>
      <c r="I5000" s="177"/>
      <c r="J5000" s="179"/>
      <c r="K5000" s="183"/>
      <c r="L5000" s="176"/>
      <c r="M5000" s="177"/>
      <c r="N5000" s="21"/>
      <c r="O5000" s="45"/>
      <c r="P5000" s="24"/>
      <c r="Q5000" s="24"/>
      <c r="R5000" s="180"/>
      <c r="S5000" s="181"/>
      <c r="T5000" s="35"/>
      <c r="U5000" s="35"/>
      <c r="V5000" s="35"/>
      <c r="W5000" s="35"/>
      <c r="X5000" s="35"/>
      <c r="Y5000" s="182"/>
      <c r="Z5000" s="175"/>
      <c r="AA5000" s="182"/>
      <c r="AB5000" s="184"/>
    </row>
    <row r="5001" spans="1:28" ht="12.75">
      <c r="A5001" s="173"/>
      <c r="B5001" s="174"/>
      <c r="C5001" s="11"/>
      <c r="D5001" s="175"/>
      <c r="E5001" s="176"/>
      <c r="F5001" s="177"/>
      <c r="G5001" s="178"/>
      <c r="H5001" s="177"/>
      <c r="I5001" s="177"/>
      <c r="J5001" s="179"/>
      <c r="K5001" s="183"/>
      <c r="L5001" s="176"/>
      <c r="M5001" s="177"/>
      <c r="N5001" s="21"/>
      <c r="O5001" s="45"/>
      <c r="P5001" s="24"/>
      <c r="Q5001" s="24"/>
      <c r="R5001" s="180"/>
      <c r="S5001" s="181"/>
      <c r="T5001" s="35"/>
      <c r="U5001" s="35"/>
      <c r="V5001" s="35"/>
      <c r="W5001" s="35"/>
      <c r="X5001" s="35"/>
      <c r="Y5001" s="182"/>
      <c r="Z5001" s="175"/>
      <c r="AA5001" s="182"/>
      <c r="AB5001" s="184"/>
    </row>
    <row r="5002" spans="1:28" ht="12.75">
      <c r="A5002" s="173"/>
      <c r="B5002" s="174"/>
      <c r="C5002" s="11"/>
      <c r="D5002" s="175"/>
      <c r="E5002" s="176"/>
      <c r="F5002" s="177"/>
      <c r="G5002" s="178"/>
      <c r="H5002" s="177"/>
      <c r="I5002" s="177"/>
      <c r="J5002" s="179"/>
      <c r="K5002" s="183"/>
      <c r="L5002" s="176"/>
      <c r="M5002" s="177"/>
      <c r="N5002" s="21"/>
      <c r="O5002" s="45"/>
      <c r="P5002" s="24"/>
      <c r="Q5002" s="24"/>
      <c r="R5002" s="180"/>
      <c r="S5002" s="181"/>
      <c r="T5002" s="35"/>
      <c r="U5002" s="35"/>
      <c r="V5002" s="35"/>
      <c r="W5002" s="35"/>
      <c r="X5002" s="35"/>
      <c r="Y5002" s="182"/>
      <c r="Z5002" s="175"/>
      <c r="AA5002" s="182"/>
      <c r="AB5002" s="184"/>
    </row>
    <row r="5003" spans="1:28" ht="12.75">
      <c r="A5003" s="173"/>
      <c r="B5003" s="174"/>
      <c r="C5003" s="11"/>
      <c r="D5003" s="175"/>
      <c r="E5003" s="176"/>
      <c r="F5003" s="177"/>
      <c r="G5003" s="178"/>
      <c r="H5003" s="177"/>
      <c r="I5003" s="177"/>
      <c r="J5003" s="179"/>
      <c r="K5003" s="183"/>
      <c r="L5003" s="176"/>
      <c r="M5003" s="177"/>
      <c r="N5003" s="21"/>
      <c r="O5003" s="45"/>
      <c r="P5003" s="24"/>
      <c r="Q5003" s="24"/>
      <c r="R5003" s="180"/>
      <c r="S5003" s="181"/>
      <c r="T5003" s="35"/>
      <c r="U5003" s="35"/>
      <c r="V5003" s="35"/>
      <c r="W5003" s="35"/>
      <c r="X5003" s="35"/>
      <c r="Y5003" s="182"/>
      <c r="Z5003" s="175"/>
      <c r="AA5003" s="182"/>
      <c r="AB5003" s="184"/>
    </row>
    <row r="5004" spans="1:28" ht="12.75">
      <c r="A5004" s="173"/>
      <c r="B5004" s="174"/>
      <c r="C5004" s="11"/>
      <c r="D5004" s="175"/>
      <c r="E5004" s="176"/>
      <c r="F5004" s="177"/>
      <c r="G5004" s="178"/>
      <c r="H5004" s="177"/>
      <c r="I5004" s="177"/>
      <c r="J5004" s="179"/>
      <c r="K5004" s="183"/>
      <c r="L5004" s="176"/>
      <c r="M5004" s="177"/>
      <c r="N5004" s="21"/>
      <c r="O5004" s="45"/>
      <c r="P5004" s="24"/>
      <c r="Q5004" s="24"/>
      <c r="R5004" s="180"/>
      <c r="S5004" s="181"/>
      <c r="T5004" s="35"/>
      <c r="U5004" s="35"/>
      <c r="V5004" s="35"/>
      <c r="W5004" s="35"/>
      <c r="X5004" s="35"/>
      <c r="Y5004" s="182"/>
      <c r="Z5004" s="175"/>
      <c r="AA5004" s="182"/>
      <c r="AB5004" s="184"/>
    </row>
    <row r="5005" spans="1:28" ht="12.75">
      <c r="A5005" s="173"/>
      <c r="B5005" s="174"/>
      <c r="C5005" s="11"/>
      <c r="D5005" s="175"/>
      <c r="E5005" s="176"/>
      <c r="F5005" s="177"/>
      <c r="G5005" s="178"/>
      <c r="H5005" s="177"/>
      <c r="I5005" s="177"/>
      <c r="J5005" s="179"/>
      <c r="K5005" s="183"/>
      <c r="L5005" s="176"/>
      <c r="M5005" s="177"/>
      <c r="N5005" s="21"/>
      <c r="O5005" s="45"/>
      <c r="P5005" s="24"/>
      <c r="Q5005" s="24"/>
      <c r="R5005" s="180"/>
      <c r="S5005" s="181"/>
      <c r="T5005" s="35"/>
      <c r="U5005" s="35"/>
      <c r="V5005" s="35"/>
      <c r="W5005" s="35"/>
      <c r="X5005" s="35"/>
      <c r="Y5005" s="182"/>
      <c r="Z5005" s="175"/>
      <c r="AA5005" s="182"/>
      <c r="AB5005" s="184"/>
    </row>
    <row r="5006" spans="1:28" ht="12.75">
      <c r="A5006" s="173"/>
      <c r="B5006" s="174"/>
      <c r="C5006" s="11"/>
      <c r="D5006" s="175"/>
      <c r="E5006" s="176"/>
      <c r="F5006" s="177"/>
      <c r="G5006" s="178"/>
      <c r="H5006" s="177"/>
      <c r="I5006" s="177"/>
      <c r="J5006" s="179"/>
      <c r="K5006" s="183"/>
      <c r="L5006" s="176"/>
      <c r="M5006" s="177"/>
      <c r="N5006" s="21"/>
      <c r="O5006" s="45"/>
      <c r="P5006" s="24"/>
      <c r="Q5006" s="24"/>
      <c r="R5006" s="180"/>
      <c r="S5006" s="181"/>
      <c r="T5006" s="35"/>
      <c r="U5006" s="35"/>
      <c r="V5006" s="35"/>
      <c r="W5006" s="35"/>
      <c r="X5006" s="35"/>
      <c r="Y5006" s="182"/>
      <c r="Z5006" s="175"/>
      <c r="AA5006" s="182"/>
      <c r="AB5006" s="184"/>
    </row>
    <row r="5007" spans="1:28" ht="12.75">
      <c r="A5007" s="173"/>
      <c r="B5007" s="174"/>
      <c r="C5007" s="11"/>
      <c r="D5007" s="175"/>
      <c r="E5007" s="176"/>
      <c r="F5007" s="177"/>
      <c r="G5007" s="178"/>
      <c r="H5007" s="177"/>
      <c r="I5007" s="177"/>
      <c r="J5007" s="179"/>
      <c r="K5007" s="183"/>
      <c r="L5007" s="176"/>
      <c r="M5007" s="177"/>
      <c r="N5007" s="21"/>
      <c r="O5007" s="45"/>
      <c r="P5007" s="24"/>
      <c r="Q5007" s="24"/>
      <c r="R5007" s="180"/>
      <c r="S5007" s="181"/>
      <c r="T5007" s="35"/>
      <c r="U5007" s="35"/>
      <c r="V5007" s="35"/>
      <c r="W5007" s="35"/>
      <c r="X5007" s="35"/>
      <c r="Y5007" s="182"/>
      <c r="Z5007" s="175"/>
      <c r="AA5007" s="182"/>
      <c r="AB5007" s="184"/>
    </row>
    <row r="5008" spans="1:28" ht="12.75">
      <c r="A5008" s="173"/>
      <c r="B5008" s="174"/>
      <c r="C5008" s="11"/>
      <c r="D5008" s="175"/>
      <c r="E5008" s="176"/>
      <c r="F5008" s="177"/>
      <c r="G5008" s="178"/>
      <c r="H5008" s="177"/>
      <c r="I5008" s="177"/>
      <c r="J5008" s="179"/>
      <c r="K5008" s="183"/>
      <c r="L5008" s="176"/>
      <c r="M5008" s="177"/>
      <c r="N5008" s="21"/>
      <c r="O5008" s="45"/>
      <c r="P5008" s="24"/>
      <c r="Q5008" s="24"/>
      <c r="R5008" s="180"/>
      <c r="S5008" s="181"/>
      <c r="T5008" s="35"/>
      <c r="U5008" s="35"/>
      <c r="V5008" s="35"/>
      <c r="W5008" s="35"/>
      <c r="X5008" s="35"/>
      <c r="Y5008" s="182"/>
      <c r="Z5008" s="175"/>
      <c r="AA5008" s="182"/>
      <c r="AB5008" s="184"/>
    </row>
    <row r="5009" spans="1:28" ht="12.75">
      <c r="A5009" s="173"/>
      <c r="B5009" s="174"/>
      <c r="C5009" s="11"/>
      <c r="D5009" s="175"/>
      <c r="E5009" s="176"/>
      <c r="F5009" s="177"/>
      <c r="G5009" s="178"/>
      <c r="H5009" s="177"/>
      <c r="I5009" s="177"/>
      <c r="J5009" s="179"/>
      <c r="K5009" s="183"/>
      <c r="L5009" s="176"/>
      <c r="M5009" s="177"/>
      <c r="N5009" s="21"/>
      <c r="O5009" s="45"/>
      <c r="P5009" s="24"/>
      <c r="Q5009" s="24"/>
      <c r="R5009" s="180"/>
      <c r="S5009" s="181"/>
      <c r="T5009" s="35"/>
      <c r="U5009" s="35"/>
      <c r="V5009" s="35"/>
      <c r="W5009" s="35"/>
      <c r="X5009" s="35"/>
      <c r="Y5009" s="182"/>
      <c r="Z5009" s="175"/>
      <c r="AA5009" s="182"/>
      <c r="AB5009" s="184"/>
    </row>
    <row r="5010" spans="1:28" ht="12.75">
      <c r="A5010" s="173"/>
      <c r="B5010" s="174"/>
      <c r="C5010" s="11"/>
      <c r="D5010" s="175"/>
      <c r="E5010" s="176"/>
      <c r="F5010" s="177"/>
      <c r="G5010" s="178"/>
      <c r="H5010" s="177"/>
      <c r="I5010" s="177"/>
      <c r="J5010" s="179"/>
      <c r="K5010" s="183"/>
      <c r="L5010" s="176"/>
      <c r="M5010" s="177"/>
      <c r="N5010" s="21"/>
      <c r="O5010" s="45"/>
      <c r="P5010" s="24"/>
      <c r="Q5010" s="24"/>
      <c r="R5010" s="180"/>
      <c r="S5010" s="181"/>
      <c r="T5010" s="35"/>
      <c r="U5010" s="35"/>
      <c r="V5010" s="35"/>
      <c r="W5010" s="35"/>
      <c r="X5010" s="35"/>
      <c r="Y5010" s="182"/>
      <c r="Z5010" s="175"/>
      <c r="AA5010" s="182"/>
      <c r="AB5010" s="184"/>
    </row>
    <row r="5011" spans="1:28" ht="12.75">
      <c r="A5011" s="173"/>
      <c r="B5011" s="174"/>
      <c r="C5011" s="11"/>
      <c r="D5011" s="175"/>
      <c r="E5011" s="176"/>
      <c r="F5011" s="177"/>
      <c r="G5011" s="178"/>
      <c r="H5011" s="177"/>
      <c r="I5011" s="177"/>
      <c r="J5011" s="179"/>
      <c r="K5011" s="183"/>
      <c r="L5011" s="176"/>
      <c r="M5011" s="177"/>
      <c r="N5011" s="21"/>
      <c r="O5011" s="45"/>
      <c r="P5011" s="24"/>
      <c r="Q5011" s="24"/>
      <c r="R5011" s="180"/>
      <c r="S5011" s="181"/>
      <c r="T5011" s="35"/>
      <c r="U5011" s="35"/>
      <c r="V5011" s="35"/>
      <c r="W5011" s="35"/>
      <c r="X5011" s="35"/>
      <c r="Y5011" s="182"/>
      <c r="Z5011" s="175"/>
      <c r="AA5011" s="182"/>
      <c r="AB5011" s="184"/>
    </row>
    <row r="5012" spans="1:28" ht="12.75">
      <c r="A5012" s="173"/>
      <c r="B5012" s="174"/>
      <c r="C5012" s="11"/>
      <c r="D5012" s="175"/>
      <c r="E5012" s="176"/>
      <c r="F5012" s="177"/>
      <c r="G5012" s="178"/>
      <c r="H5012" s="177"/>
      <c r="I5012" s="177"/>
      <c r="J5012" s="179"/>
      <c r="K5012" s="183"/>
      <c r="L5012" s="176"/>
      <c r="M5012" s="177"/>
      <c r="N5012" s="21"/>
      <c r="O5012" s="45"/>
      <c r="P5012" s="24"/>
      <c r="Q5012" s="24"/>
      <c r="R5012" s="180"/>
      <c r="S5012" s="181"/>
      <c r="T5012" s="35"/>
      <c r="U5012" s="35"/>
      <c r="V5012" s="35"/>
      <c r="W5012" s="35"/>
      <c r="X5012" s="35"/>
      <c r="Y5012" s="182"/>
      <c r="Z5012" s="175"/>
      <c r="AA5012" s="182"/>
      <c r="AB5012" s="184"/>
    </row>
    <row r="5013" spans="1:28" ht="12.75">
      <c r="A5013" s="173"/>
      <c r="B5013" s="174"/>
      <c r="C5013" s="11"/>
      <c r="D5013" s="175"/>
      <c r="E5013" s="176"/>
      <c r="F5013" s="177"/>
      <c r="G5013" s="178"/>
      <c r="H5013" s="177"/>
      <c r="I5013" s="177"/>
      <c r="J5013" s="179"/>
      <c r="K5013" s="183"/>
      <c r="L5013" s="176"/>
      <c r="M5013" s="177"/>
      <c r="N5013" s="21"/>
      <c r="O5013" s="45"/>
      <c r="P5013" s="24"/>
      <c r="Q5013" s="24"/>
      <c r="R5013" s="180"/>
      <c r="S5013" s="181"/>
      <c r="T5013" s="35"/>
      <c r="U5013" s="35"/>
      <c r="V5013" s="35"/>
      <c r="W5013" s="35"/>
      <c r="X5013" s="35"/>
      <c r="Y5013" s="182"/>
      <c r="Z5013" s="175"/>
      <c r="AA5013" s="182"/>
      <c r="AB5013" s="184"/>
    </row>
    <row r="5014" spans="1:28" ht="12.75">
      <c r="A5014" s="173"/>
      <c r="B5014" s="174"/>
      <c r="C5014" s="11"/>
      <c r="D5014" s="175"/>
      <c r="E5014" s="176"/>
      <c r="F5014" s="177"/>
      <c r="G5014" s="178"/>
      <c r="H5014" s="177"/>
      <c r="I5014" s="177"/>
      <c r="J5014" s="179"/>
      <c r="K5014" s="183"/>
      <c r="L5014" s="176"/>
      <c r="M5014" s="177"/>
      <c r="N5014" s="21"/>
      <c r="O5014" s="45"/>
      <c r="P5014" s="24"/>
      <c r="Q5014" s="24"/>
      <c r="R5014" s="180"/>
      <c r="S5014" s="181"/>
      <c r="T5014" s="35"/>
      <c r="U5014" s="35"/>
      <c r="V5014" s="35"/>
      <c r="W5014" s="35"/>
      <c r="X5014" s="35"/>
      <c r="Y5014" s="182"/>
      <c r="Z5014" s="175"/>
      <c r="AA5014" s="182"/>
      <c r="AB5014" s="184"/>
    </row>
    <row r="5015" spans="1:28" ht="12.75">
      <c r="A5015" s="173"/>
      <c r="B5015" s="174"/>
      <c r="C5015" s="11"/>
      <c r="D5015" s="175"/>
      <c r="E5015" s="176"/>
      <c r="F5015" s="177"/>
      <c r="G5015" s="178"/>
      <c r="H5015" s="177"/>
      <c r="I5015" s="177"/>
      <c r="J5015" s="179"/>
      <c r="K5015" s="183"/>
      <c r="L5015" s="176"/>
      <c r="M5015" s="177"/>
      <c r="N5015" s="21"/>
      <c r="O5015" s="45"/>
      <c r="P5015" s="24"/>
      <c r="Q5015" s="24"/>
      <c r="R5015" s="180"/>
      <c r="S5015" s="181"/>
      <c r="T5015" s="35"/>
      <c r="U5015" s="35"/>
      <c r="V5015" s="35"/>
      <c r="W5015" s="35"/>
      <c r="X5015" s="35"/>
      <c r="Y5015" s="182"/>
      <c r="Z5015" s="175"/>
      <c r="AA5015" s="182"/>
      <c r="AB5015" s="184"/>
    </row>
    <row r="5016" spans="1:28" ht="12.75">
      <c r="A5016" s="173"/>
      <c r="B5016" s="174"/>
      <c r="C5016" s="11"/>
      <c r="D5016" s="175"/>
      <c r="E5016" s="176"/>
      <c r="F5016" s="177"/>
      <c r="G5016" s="178"/>
      <c r="H5016" s="177"/>
      <c r="I5016" s="177"/>
      <c r="J5016" s="179"/>
      <c r="K5016" s="183"/>
      <c r="L5016" s="176"/>
      <c r="M5016" s="177"/>
      <c r="N5016" s="21"/>
      <c r="O5016" s="45"/>
      <c r="P5016" s="24"/>
      <c r="Q5016" s="24"/>
      <c r="R5016" s="180"/>
      <c r="S5016" s="181"/>
      <c r="T5016" s="35"/>
      <c r="U5016" s="35"/>
      <c r="V5016" s="35"/>
      <c r="W5016" s="35"/>
      <c r="X5016" s="35"/>
      <c r="Y5016" s="182"/>
      <c r="Z5016" s="175"/>
      <c r="AA5016" s="182"/>
      <c r="AB5016" s="184"/>
    </row>
    <row r="5017" spans="1:28" ht="12.75">
      <c r="A5017" s="173"/>
      <c r="B5017" s="174"/>
      <c r="C5017" s="11"/>
      <c r="D5017" s="175"/>
      <c r="E5017" s="176"/>
      <c r="F5017" s="177"/>
      <c r="G5017" s="178"/>
      <c r="H5017" s="177"/>
      <c r="I5017" s="177"/>
      <c r="J5017" s="179"/>
      <c r="K5017" s="183"/>
      <c r="L5017" s="176"/>
      <c r="M5017" s="177"/>
      <c r="N5017" s="21"/>
      <c r="O5017" s="45"/>
      <c r="P5017" s="24"/>
      <c r="Q5017" s="24"/>
      <c r="R5017" s="180"/>
      <c r="S5017" s="181"/>
      <c r="T5017" s="35"/>
      <c r="U5017" s="35"/>
      <c r="V5017" s="35"/>
      <c r="W5017" s="35"/>
      <c r="X5017" s="35"/>
      <c r="Y5017" s="182"/>
      <c r="Z5017" s="175"/>
      <c r="AA5017" s="182"/>
      <c r="AB5017" s="184"/>
    </row>
    <row r="5018" spans="1:28" ht="12.75">
      <c r="A5018" s="173"/>
      <c r="B5018" s="174"/>
      <c r="C5018" s="11"/>
      <c r="D5018" s="175"/>
      <c r="E5018" s="176"/>
      <c r="F5018" s="177"/>
      <c r="G5018" s="178"/>
      <c r="H5018" s="177"/>
      <c r="I5018" s="177"/>
      <c r="J5018" s="179"/>
      <c r="K5018" s="183"/>
      <c r="L5018" s="176"/>
      <c r="M5018" s="177"/>
      <c r="N5018" s="21"/>
      <c r="O5018" s="45"/>
      <c r="P5018" s="24"/>
      <c r="Q5018" s="24"/>
      <c r="R5018" s="180"/>
      <c r="S5018" s="181"/>
      <c r="T5018" s="35"/>
      <c r="U5018" s="35"/>
      <c r="V5018" s="35"/>
      <c r="W5018" s="35"/>
      <c r="X5018" s="35"/>
      <c r="Y5018" s="182"/>
      <c r="Z5018" s="175"/>
      <c r="AA5018" s="182"/>
      <c r="AB5018" s="184"/>
    </row>
    <row r="5019" spans="1:28" ht="12.75">
      <c r="A5019" s="173"/>
      <c r="B5019" s="174"/>
      <c r="C5019" s="11"/>
      <c r="D5019" s="175"/>
      <c r="E5019" s="176"/>
      <c r="F5019" s="177"/>
      <c r="G5019" s="178"/>
      <c r="H5019" s="177"/>
      <c r="I5019" s="177"/>
      <c r="J5019" s="179"/>
      <c r="K5019" s="183"/>
      <c r="L5019" s="176"/>
      <c r="M5019" s="177"/>
      <c r="N5019" s="21"/>
      <c r="O5019" s="45"/>
      <c r="P5019" s="24"/>
      <c r="Q5019" s="24"/>
      <c r="R5019" s="180"/>
      <c r="S5019" s="181"/>
      <c r="T5019" s="35"/>
      <c r="U5019" s="35"/>
      <c r="V5019" s="35"/>
      <c r="W5019" s="35"/>
      <c r="X5019" s="35"/>
      <c r="Y5019" s="182"/>
      <c r="Z5019" s="175"/>
      <c r="AA5019" s="182"/>
      <c r="AB5019" s="184"/>
    </row>
    <row r="5020" spans="1:28" ht="12.75">
      <c r="A5020" s="173"/>
      <c r="B5020" s="174"/>
      <c r="C5020" s="11"/>
      <c r="D5020" s="175"/>
      <c r="E5020" s="176"/>
      <c r="F5020" s="177"/>
      <c r="G5020" s="178"/>
      <c r="H5020" s="177"/>
      <c r="I5020" s="177"/>
      <c r="J5020" s="179"/>
      <c r="K5020" s="183"/>
      <c r="L5020" s="176"/>
      <c r="M5020" s="177"/>
      <c r="N5020" s="21"/>
      <c r="O5020" s="45"/>
      <c r="P5020" s="24"/>
      <c r="Q5020" s="24"/>
      <c r="R5020" s="180"/>
      <c r="S5020" s="181"/>
      <c r="T5020" s="35"/>
      <c r="U5020" s="35"/>
      <c r="V5020" s="35"/>
      <c r="W5020" s="35"/>
      <c r="X5020" s="35"/>
      <c r="Y5020" s="182"/>
      <c r="Z5020" s="175"/>
      <c r="AA5020" s="182"/>
      <c r="AB5020" s="184"/>
    </row>
    <row r="5021" spans="1:28" ht="12.75">
      <c r="A5021" s="173"/>
      <c r="B5021" s="174"/>
      <c r="C5021" s="11"/>
      <c r="D5021" s="175"/>
      <c r="E5021" s="176"/>
      <c r="F5021" s="177"/>
      <c r="G5021" s="178"/>
      <c r="H5021" s="177"/>
      <c r="I5021" s="177"/>
      <c r="J5021" s="179"/>
      <c r="K5021" s="183"/>
      <c r="L5021" s="176"/>
      <c r="M5021" s="177"/>
      <c r="N5021" s="21"/>
      <c r="O5021" s="45"/>
      <c r="P5021" s="24"/>
      <c r="Q5021" s="24"/>
      <c r="R5021" s="180"/>
      <c r="S5021" s="181"/>
      <c r="T5021" s="35"/>
      <c r="U5021" s="35"/>
      <c r="V5021" s="35"/>
      <c r="W5021" s="35"/>
      <c r="X5021" s="35"/>
      <c r="Y5021" s="182"/>
      <c r="Z5021" s="175"/>
      <c r="AA5021" s="182"/>
      <c r="AB5021" s="184"/>
    </row>
    <row r="5022" spans="1:28" ht="12.75">
      <c r="A5022" s="173"/>
      <c r="B5022" s="174"/>
      <c r="C5022" s="11"/>
      <c r="D5022" s="175"/>
      <c r="E5022" s="176"/>
      <c r="F5022" s="177"/>
      <c r="G5022" s="178"/>
      <c r="H5022" s="177"/>
      <c r="I5022" s="177"/>
      <c r="J5022" s="179"/>
      <c r="K5022" s="183"/>
      <c r="L5022" s="176"/>
      <c r="M5022" s="177"/>
      <c r="N5022" s="21"/>
      <c r="O5022" s="45"/>
      <c r="P5022" s="24"/>
      <c r="Q5022" s="24"/>
      <c r="R5022" s="180"/>
      <c r="S5022" s="181"/>
      <c r="T5022" s="35"/>
      <c r="U5022" s="35"/>
      <c r="V5022" s="35"/>
      <c r="W5022" s="35"/>
      <c r="X5022" s="35"/>
      <c r="Y5022" s="182"/>
      <c r="Z5022" s="175"/>
      <c r="AA5022" s="182"/>
      <c r="AB5022" s="184"/>
    </row>
    <row r="5023" spans="1:28" ht="12.75">
      <c r="A5023" s="173"/>
      <c r="B5023" s="174"/>
      <c r="C5023" s="11"/>
      <c r="D5023" s="175"/>
      <c r="E5023" s="176"/>
      <c r="F5023" s="177"/>
      <c r="G5023" s="178"/>
      <c r="H5023" s="177"/>
      <c r="I5023" s="177"/>
      <c r="J5023" s="179"/>
      <c r="K5023" s="183"/>
      <c r="L5023" s="176"/>
      <c r="M5023" s="177"/>
      <c r="N5023" s="21"/>
      <c r="O5023" s="45"/>
      <c r="P5023" s="24"/>
      <c r="Q5023" s="24"/>
      <c r="R5023" s="180"/>
      <c r="S5023" s="181"/>
      <c r="T5023" s="35"/>
      <c r="U5023" s="35"/>
      <c r="V5023" s="35"/>
      <c r="W5023" s="35"/>
      <c r="X5023" s="35"/>
      <c r="Y5023" s="182"/>
      <c r="Z5023" s="175"/>
      <c r="AA5023" s="182"/>
      <c r="AB5023" s="184"/>
    </row>
    <row r="5024" spans="1:28" ht="12.75">
      <c r="A5024" s="173"/>
      <c r="B5024" s="174"/>
      <c r="C5024" s="11"/>
      <c r="D5024" s="175"/>
      <c r="E5024" s="176"/>
      <c r="F5024" s="177"/>
      <c r="G5024" s="178"/>
      <c r="H5024" s="177"/>
      <c r="I5024" s="177"/>
      <c r="J5024" s="179"/>
      <c r="K5024" s="183"/>
      <c r="L5024" s="176"/>
      <c r="M5024" s="177"/>
      <c r="N5024" s="21"/>
      <c r="O5024" s="45"/>
      <c r="P5024" s="24"/>
      <c r="Q5024" s="24"/>
      <c r="R5024" s="180"/>
      <c r="S5024" s="181"/>
      <c r="T5024" s="35"/>
      <c r="U5024" s="35"/>
      <c r="V5024" s="35"/>
      <c r="W5024" s="35"/>
      <c r="X5024" s="35"/>
      <c r="Y5024" s="182"/>
      <c r="Z5024" s="175"/>
      <c r="AA5024" s="182"/>
      <c r="AB5024" s="184"/>
    </row>
    <row r="5025" spans="1:28" ht="12.75">
      <c r="A5025" s="173"/>
      <c r="B5025" s="174"/>
      <c r="C5025" s="11"/>
      <c r="D5025" s="175"/>
      <c r="E5025" s="176"/>
      <c r="F5025" s="177"/>
      <c r="G5025" s="178"/>
      <c r="H5025" s="177"/>
      <c r="I5025" s="177"/>
      <c r="J5025" s="179"/>
      <c r="K5025" s="183"/>
      <c r="L5025" s="176"/>
      <c r="M5025" s="177"/>
      <c r="N5025" s="21"/>
      <c r="O5025" s="45"/>
      <c r="P5025" s="24"/>
      <c r="Q5025" s="24"/>
      <c r="R5025" s="180"/>
      <c r="S5025" s="181"/>
      <c r="T5025" s="35"/>
      <c r="U5025" s="35"/>
      <c r="V5025" s="35"/>
      <c r="W5025" s="35"/>
      <c r="X5025" s="35"/>
      <c r="Y5025" s="182"/>
      <c r="Z5025" s="175"/>
      <c r="AA5025" s="182"/>
      <c r="AB5025" s="184"/>
    </row>
    <row r="5026" spans="1:28" ht="12.75">
      <c r="A5026" s="173"/>
      <c r="B5026" s="174"/>
      <c r="C5026" s="11"/>
      <c r="D5026" s="175"/>
      <c r="E5026" s="176"/>
      <c r="F5026" s="177"/>
      <c r="G5026" s="178"/>
      <c r="H5026" s="177"/>
      <c r="I5026" s="177"/>
      <c r="J5026" s="179"/>
      <c r="K5026" s="183"/>
      <c r="L5026" s="176"/>
      <c r="M5026" s="177"/>
      <c r="N5026" s="21"/>
      <c r="O5026" s="45"/>
      <c r="P5026" s="24"/>
      <c r="Q5026" s="24"/>
      <c r="R5026" s="180"/>
      <c r="S5026" s="181"/>
      <c r="T5026" s="35"/>
      <c r="U5026" s="35"/>
      <c r="V5026" s="35"/>
      <c r="W5026" s="35"/>
      <c r="X5026" s="35"/>
      <c r="Y5026" s="182"/>
      <c r="Z5026" s="175"/>
      <c r="AA5026" s="182"/>
      <c r="AB5026" s="184"/>
    </row>
    <row r="5027" spans="1:28" ht="12.75">
      <c r="A5027" s="173"/>
      <c r="B5027" s="174"/>
      <c r="C5027" s="11"/>
      <c r="D5027" s="175"/>
      <c r="E5027" s="176"/>
      <c r="F5027" s="177"/>
      <c r="G5027" s="178"/>
      <c r="H5027" s="177"/>
      <c r="I5027" s="177"/>
      <c r="J5027" s="179"/>
      <c r="K5027" s="183"/>
      <c r="L5027" s="176"/>
      <c r="M5027" s="177"/>
      <c r="N5027" s="21"/>
      <c r="O5027" s="45"/>
      <c r="P5027" s="24"/>
      <c r="Q5027" s="24"/>
      <c r="R5027" s="180"/>
      <c r="S5027" s="181"/>
      <c r="T5027" s="35"/>
      <c r="U5027" s="35"/>
      <c r="V5027" s="35"/>
      <c r="W5027" s="35"/>
      <c r="X5027" s="35"/>
      <c r="Y5027" s="182"/>
      <c r="Z5027" s="175"/>
      <c r="AA5027" s="182"/>
      <c r="AB5027" s="184"/>
    </row>
    <row r="5028" spans="1:28" ht="12.75">
      <c r="A5028" s="173"/>
      <c r="B5028" s="174"/>
      <c r="C5028" s="11"/>
      <c r="D5028" s="175"/>
      <c r="E5028" s="176"/>
      <c r="F5028" s="177"/>
      <c r="G5028" s="178"/>
      <c r="H5028" s="177"/>
      <c r="I5028" s="177"/>
      <c r="J5028" s="179"/>
      <c r="K5028" s="183"/>
      <c r="L5028" s="176"/>
      <c r="M5028" s="177"/>
      <c r="N5028" s="21"/>
      <c r="O5028" s="45"/>
      <c r="P5028" s="24"/>
      <c r="Q5028" s="24"/>
      <c r="R5028" s="180"/>
      <c r="S5028" s="181"/>
      <c r="T5028" s="35"/>
      <c r="U5028" s="35"/>
      <c r="V5028" s="35"/>
      <c r="W5028" s="35"/>
      <c r="X5028" s="35"/>
      <c r="Y5028" s="182"/>
      <c r="Z5028" s="175"/>
      <c r="AA5028" s="182"/>
      <c r="AB5028" s="184"/>
    </row>
    <row r="5029" spans="1:28" ht="12.75">
      <c r="A5029" s="173"/>
      <c r="B5029" s="174"/>
      <c r="C5029" s="11"/>
      <c r="D5029" s="175"/>
      <c r="E5029" s="176"/>
      <c r="F5029" s="177"/>
      <c r="G5029" s="178"/>
      <c r="H5029" s="177"/>
      <c r="I5029" s="177"/>
      <c r="J5029" s="179"/>
      <c r="K5029" s="183"/>
      <c r="L5029" s="176"/>
      <c r="M5029" s="177"/>
      <c r="N5029" s="21"/>
      <c r="O5029" s="45"/>
      <c r="P5029" s="24"/>
      <c r="Q5029" s="24"/>
      <c r="R5029" s="180"/>
      <c r="S5029" s="181"/>
      <c r="T5029" s="35"/>
      <c r="U5029" s="35"/>
      <c r="V5029" s="35"/>
      <c r="W5029" s="35"/>
      <c r="X5029" s="35"/>
      <c r="Y5029" s="182"/>
      <c r="Z5029" s="175"/>
      <c r="AA5029" s="182"/>
      <c r="AB5029" s="184"/>
    </row>
    <row r="5030" spans="1:28" ht="12.75">
      <c r="A5030" s="173"/>
      <c r="B5030" s="174"/>
      <c r="C5030" s="11"/>
      <c r="D5030" s="175"/>
      <c r="E5030" s="176"/>
      <c r="F5030" s="177"/>
      <c r="G5030" s="178"/>
      <c r="H5030" s="177"/>
      <c r="I5030" s="177"/>
      <c r="J5030" s="179"/>
      <c r="K5030" s="183"/>
      <c r="L5030" s="176"/>
      <c r="M5030" s="177"/>
      <c r="N5030" s="21"/>
      <c r="O5030" s="45"/>
      <c r="P5030" s="24"/>
      <c r="Q5030" s="24"/>
      <c r="R5030" s="180"/>
      <c r="S5030" s="181"/>
      <c r="T5030" s="35"/>
      <c r="U5030" s="35"/>
      <c r="V5030" s="35"/>
      <c r="W5030" s="35"/>
      <c r="X5030" s="35"/>
      <c r="Y5030" s="182"/>
      <c r="Z5030" s="175"/>
      <c r="AA5030" s="182"/>
      <c r="AB5030" s="184"/>
    </row>
    <row r="5031" spans="1:28" ht="12.75">
      <c r="A5031" s="173"/>
      <c r="B5031" s="174"/>
      <c r="C5031" s="11"/>
      <c r="D5031" s="175"/>
      <c r="E5031" s="176"/>
      <c r="F5031" s="177"/>
      <c r="G5031" s="178"/>
      <c r="H5031" s="177"/>
      <c r="I5031" s="177"/>
      <c r="J5031" s="179"/>
      <c r="K5031" s="183"/>
      <c r="L5031" s="176"/>
      <c r="M5031" s="177"/>
      <c r="N5031" s="21"/>
      <c r="O5031" s="45"/>
      <c r="P5031" s="24"/>
      <c r="Q5031" s="24"/>
      <c r="R5031" s="180"/>
      <c r="S5031" s="181"/>
      <c r="T5031" s="35"/>
      <c r="U5031" s="35"/>
      <c r="V5031" s="35"/>
      <c r="W5031" s="35"/>
      <c r="X5031" s="35"/>
      <c r="Y5031" s="182"/>
      <c r="Z5031" s="175"/>
      <c r="AA5031" s="182"/>
      <c r="AB5031" s="184"/>
    </row>
    <row r="5032" spans="1:28" ht="12.75">
      <c r="A5032" s="173"/>
      <c r="B5032" s="174"/>
      <c r="C5032" s="11"/>
      <c r="D5032" s="175"/>
      <c r="E5032" s="176"/>
      <c r="F5032" s="177"/>
      <c r="G5032" s="178"/>
      <c r="H5032" s="177"/>
      <c r="I5032" s="177"/>
      <c r="J5032" s="179"/>
      <c r="K5032" s="183"/>
      <c r="L5032" s="176"/>
      <c r="M5032" s="177"/>
      <c r="N5032" s="21"/>
      <c r="O5032" s="45"/>
      <c r="P5032" s="24"/>
      <c r="Q5032" s="24"/>
      <c r="R5032" s="180"/>
      <c r="S5032" s="181"/>
      <c r="T5032" s="35"/>
      <c r="U5032" s="35"/>
      <c r="V5032" s="35"/>
      <c r="W5032" s="35"/>
      <c r="X5032" s="35"/>
      <c r="Y5032" s="182"/>
      <c r="Z5032" s="175"/>
      <c r="AA5032" s="182"/>
      <c r="AB5032" s="184"/>
    </row>
    <row r="5033" spans="1:28" ht="12.75">
      <c r="A5033" s="173"/>
      <c r="B5033" s="174"/>
      <c r="C5033" s="11"/>
      <c r="D5033" s="175"/>
      <c r="E5033" s="176"/>
      <c r="F5033" s="177"/>
      <c r="G5033" s="178"/>
      <c r="H5033" s="177"/>
      <c r="I5033" s="177"/>
      <c r="J5033" s="179"/>
      <c r="K5033" s="183"/>
      <c r="L5033" s="176"/>
      <c r="M5033" s="177"/>
      <c r="N5033" s="21"/>
      <c r="O5033" s="45"/>
      <c r="P5033" s="24"/>
      <c r="Q5033" s="24"/>
      <c r="R5033" s="180"/>
      <c r="S5033" s="181"/>
      <c r="T5033" s="35"/>
      <c r="U5033" s="35"/>
      <c r="V5033" s="35"/>
      <c r="W5033" s="35"/>
      <c r="X5033" s="35"/>
      <c r="Y5033" s="182"/>
      <c r="Z5033" s="175"/>
      <c r="AA5033" s="182"/>
      <c r="AB5033" s="184"/>
    </row>
    <row r="5034" spans="1:28" ht="12.75">
      <c r="A5034" s="173"/>
      <c r="B5034" s="174"/>
      <c r="C5034" s="11"/>
      <c r="D5034" s="175"/>
      <c r="E5034" s="176"/>
      <c r="F5034" s="177"/>
      <c r="G5034" s="178"/>
      <c r="H5034" s="177"/>
      <c r="I5034" s="177"/>
      <c r="J5034" s="179"/>
      <c r="K5034" s="183"/>
      <c r="L5034" s="176"/>
      <c r="M5034" s="177"/>
      <c r="N5034" s="21"/>
      <c r="O5034" s="45"/>
      <c r="P5034" s="24"/>
      <c r="Q5034" s="24"/>
      <c r="R5034" s="180"/>
      <c r="S5034" s="181"/>
      <c r="T5034" s="35"/>
      <c r="U5034" s="35"/>
      <c r="V5034" s="35"/>
      <c r="W5034" s="35"/>
      <c r="X5034" s="35"/>
      <c r="Y5034" s="182"/>
      <c r="Z5034" s="175"/>
      <c r="AA5034" s="182"/>
      <c r="AB5034" s="184"/>
    </row>
    <row r="5035" spans="1:28" ht="12.75">
      <c r="A5035" s="173"/>
      <c r="B5035" s="174"/>
      <c r="C5035" s="11"/>
      <c r="D5035" s="175"/>
      <c r="E5035" s="176"/>
      <c r="F5035" s="177"/>
      <c r="G5035" s="178"/>
      <c r="H5035" s="177"/>
      <c r="I5035" s="177"/>
      <c r="J5035" s="179"/>
      <c r="K5035" s="183"/>
      <c r="L5035" s="176"/>
      <c r="M5035" s="177"/>
      <c r="N5035" s="21"/>
      <c r="O5035" s="45"/>
      <c r="P5035" s="24"/>
      <c r="Q5035" s="24"/>
      <c r="R5035" s="180"/>
      <c r="S5035" s="181"/>
      <c r="T5035" s="35"/>
      <c r="U5035" s="35"/>
      <c r="V5035" s="35"/>
      <c r="W5035" s="35"/>
      <c r="X5035" s="35"/>
      <c r="Y5035" s="182"/>
      <c r="Z5035" s="175"/>
      <c r="AA5035" s="182"/>
      <c r="AB5035" s="184"/>
    </row>
    <row r="5036" spans="1:28" ht="12.75">
      <c r="A5036" s="173"/>
      <c r="B5036" s="174"/>
      <c r="C5036" s="11"/>
      <c r="D5036" s="175"/>
      <c r="E5036" s="176"/>
      <c r="F5036" s="177"/>
      <c r="G5036" s="178"/>
      <c r="H5036" s="177"/>
      <c r="I5036" s="177"/>
      <c r="J5036" s="179"/>
      <c r="K5036" s="183"/>
      <c r="L5036" s="176"/>
      <c r="M5036" s="177"/>
      <c r="N5036" s="21"/>
      <c r="O5036" s="45"/>
      <c r="P5036" s="24"/>
      <c r="Q5036" s="24"/>
      <c r="R5036" s="180"/>
      <c r="S5036" s="181"/>
      <c r="T5036" s="35"/>
      <c r="U5036" s="35"/>
      <c r="V5036" s="35"/>
      <c r="W5036" s="35"/>
      <c r="X5036" s="35"/>
      <c r="Y5036" s="182"/>
      <c r="Z5036" s="175"/>
      <c r="AA5036" s="182"/>
      <c r="AB5036" s="184"/>
    </row>
    <row r="5037" spans="1:28" ht="12.75">
      <c r="A5037" s="173"/>
      <c r="B5037" s="174"/>
      <c r="C5037" s="11"/>
      <c r="D5037" s="175"/>
      <c r="E5037" s="176"/>
      <c r="F5037" s="177"/>
      <c r="G5037" s="178"/>
      <c r="H5037" s="177"/>
      <c r="I5037" s="177"/>
      <c r="J5037" s="179"/>
      <c r="K5037" s="183"/>
      <c r="L5037" s="176"/>
      <c r="M5037" s="177"/>
      <c r="N5037" s="21"/>
      <c r="O5037" s="45"/>
      <c r="P5037" s="24"/>
      <c r="Q5037" s="24"/>
      <c r="R5037" s="180"/>
      <c r="S5037" s="181"/>
      <c r="T5037" s="35"/>
      <c r="U5037" s="35"/>
      <c r="V5037" s="35"/>
      <c r="W5037" s="35"/>
      <c r="X5037" s="35"/>
      <c r="Y5037" s="182"/>
      <c r="Z5037" s="175"/>
      <c r="AA5037" s="182"/>
      <c r="AB5037" s="184"/>
    </row>
    <row r="5038" spans="1:28" ht="12.75">
      <c r="A5038" s="173"/>
      <c r="B5038" s="174"/>
      <c r="C5038" s="11"/>
      <c r="D5038" s="175"/>
      <c r="E5038" s="176"/>
      <c r="F5038" s="177"/>
      <c r="G5038" s="178"/>
      <c r="H5038" s="177"/>
      <c r="I5038" s="177"/>
      <c r="J5038" s="179"/>
      <c r="K5038" s="183"/>
      <c r="L5038" s="176"/>
      <c r="M5038" s="177"/>
      <c r="N5038" s="21"/>
      <c r="O5038" s="45"/>
      <c r="P5038" s="24"/>
      <c r="Q5038" s="24"/>
      <c r="R5038" s="180"/>
      <c r="S5038" s="181"/>
      <c r="T5038" s="35"/>
      <c r="U5038" s="35"/>
      <c r="V5038" s="35"/>
      <c r="W5038" s="35"/>
      <c r="X5038" s="35"/>
      <c r="Y5038" s="182"/>
      <c r="Z5038" s="175"/>
      <c r="AA5038" s="182"/>
      <c r="AB5038" s="184"/>
    </row>
    <row r="5039" spans="1:28" ht="12.75">
      <c r="A5039" s="173"/>
      <c r="B5039" s="174"/>
      <c r="C5039" s="11"/>
      <c r="D5039" s="175"/>
      <c r="E5039" s="176"/>
      <c r="F5039" s="177"/>
      <c r="G5039" s="178"/>
      <c r="H5039" s="177"/>
      <c r="I5039" s="177"/>
      <c r="J5039" s="179"/>
      <c r="K5039" s="183"/>
      <c r="L5039" s="176"/>
      <c r="M5039" s="177"/>
      <c r="N5039" s="21"/>
      <c r="O5039" s="45"/>
      <c r="P5039" s="24"/>
      <c r="Q5039" s="24"/>
      <c r="R5039" s="180"/>
      <c r="S5039" s="181"/>
      <c r="T5039" s="35"/>
      <c r="U5039" s="35"/>
      <c r="V5039" s="35"/>
      <c r="W5039" s="35"/>
      <c r="X5039" s="35"/>
      <c r="Y5039" s="182"/>
      <c r="Z5039" s="175"/>
      <c r="AA5039" s="182"/>
      <c r="AB5039" s="184"/>
    </row>
    <row r="5040" spans="1:28" ht="12.75">
      <c r="A5040" s="173"/>
      <c r="B5040" s="174"/>
      <c r="C5040" s="11"/>
      <c r="D5040" s="175"/>
      <c r="E5040" s="176"/>
      <c r="F5040" s="177"/>
      <c r="G5040" s="178"/>
      <c r="H5040" s="177"/>
      <c r="I5040" s="177"/>
      <c r="J5040" s="179"/>
      <c r="K5040" s="183"/>
      <c r="L5040" s="176"/>
      <c r="M5040" s="177"/>
      <c r="N5040" s="21"/>
      <c r="O5040" s="45"/>
      <c r="P5040" s="24"/>
      <c r="Q5040" s="24"/>
      <c r="R5040" s="180"/>
      <c r="S5040" s="181"/>
      <c r="T5040" s="35"/>
      <c r="U5040" s="35"/>
      <c r="V5040" s="35"/>
      <c r="W5040" s="35"/>
      <c r="X5040" s="35"/>
      <c r="Y5040" s="182"/>
      <c r="Z5040" s="175"/>
      <c r="AA5040" s="182"/>
      <c r="AB5040" s="184"/>
    </row>
    <row r="5041" spans="1:28" ht="12.75">
      <c r="A5041" s="173"/>
      <c r="B5041" s="174"/>
      <c r="C5041" s="11"/>
      <c r="D5041" s="175"/>
      <c r="E5041" s="176"/>
      <c r="F5041" s="177"/>
      <c r="G5041" s="178"/>
      <c r="H5041" s="177"/>
      <c r="I5041" s="177"/>
      <c r="J5041" s="179"/>
      <c r="K5041" s="183"/>
      <c r="L5041" s="176"/>
      <c r="M5041" s="177"/>
      <c r="N5041" s="21"/>
      <c r="O5041" s="45"/>
      <c r="P5041" s="24"/>
      <c r="Q5041" s="24"/>
      <c r="R5041" s="180"/>
      <c r="S5041" s="181"/>
      <c r="T5041" s="35"/>
      <c r="U5041" s="35"/>
      <c r="V5041" s="35"/>
      <c r="W5041" s="35"/>
      <c r="X5041" s="35"/>
      <c r="Y5041" s="182"/>
      <c r="Z5041" s="175"/>
      <c r="AA5041" s="182"/>
      <c r="AB5041" s="184"/>
    </row>
    <row r="5042" spans="1:28" ht="12.75">
      <c r="A5042" s="173"/>
      <c r="B5042" s="174"/>
      <c r="C5042" s="11"/>
      <c r="D5042" s="175"/>
      <c r="E5042" s="176"/>
      <c r="F5042" s="177"/>
      <c r="G5042" s="178"/>
      <c r="H5042" s="177"/>
      <c r="I5042" s="177"/>
      <c r="J5042" s="179"/>
      <c r="K5042" s="183"/>
      <c r="L5042" s="176"/>
      <c r="M5042" s="177"/>
      <c r="N5042" s="21"/>
      <c r="O5042" s="45"/>
      <c r="P5042" s="24"/>
      <c r="Q5042" s="24"/>
      <c r="R5042" s="180"/>
      <c r="S5042" s="181"/>
      <c r="T5042" s="35"/>
      <c r="U5042" s="35"/>
      <c r="V5042" s="35"/>
      <c r="W5042" s="35"/>
      <c r="X5042" s="35"/>
      <c r="Y5042" s="182"/>
      <c r="Z5042" s="175"/>
      <c r="AA5042" s="182"/>
      <c r="AB5042" s="184"/>
    </row>
    <row r="5043" spans="1:28" ht="12.75">
      <c r="A5043" s="173"/>
      <c r="B5043" s="174"/>
      <c r="C5043" s="11"/>
      <c r="D5043" s="175"/>
      <c r="E5043" s="176"/>
      <c r="F5043" s="177"/>
      <c r="G5043" s="178"/>
      <c r="H5043" s="177"/>
      <c r="I5043" s="177"/>
      <c r="J5043" s="179"/>
      <c r="K5043" s="183"/>
      <c r="L5043" s="176"/>
      <c r="M5043" s="177"/>
      <c r="N5043" s="21"/>
      <c r="O5043" s="45"/>
      <c r="P5043" s="24"/>
      <c r="Q5043" s="24"/>
      <c r="R5043" s="180"/>
      <c r="S5043" s="181"/>
      <c r="T5043" s="35"/>
      <c r="U5043" s="35"/>
      <c r="V5043" s="35"/>
      <c r="W5043" s="35"/>
      <c r="X5043" s="35"/>
      <c r="Y5043" s="182"/>
      <c r="Z5043" s="175"/>
      <c r="AA5043" s="182"/>
      <c r="AB5043" s="184"/>
    </row>
    <row r="5044" spans="1:28" ht="12.75">
      <c r="A5044" s="173"/>
      <c r="B5044" s="174"/>
      <c r="C5044" s="11"/>
      <c r="D5044" s="175"/>
      <c r="E5044" s="176"/>
      <c r="F5044" s="177"/>
      <c r="G5044" s="178"/>
      <c r="H5044" s="177"/>
      <c r="I5044" s="177"/>
      <c r="J5044" s="179"/>
      <c r="K5044" s="183"/>
      <c r="L5044" s="176"/>
      <c r="M5044" s="177"/>
      <c r="N5044" s="21"/>
      <c r="O5044" s="45"/>
      <c r="P5044" s="24"/>
      <c r="Q5044" s="24"/>
      <c r="R5044" s="180"/>
      <c r="S5044" s="181"/>
      <c r="T5044" s="35"/>
      <c r="U5044" s="35"/>
      <c r="V5044" s="35"/>
      <c r="W5044" s="35"/>
      <c r="X5044" s="35"/>
      <c r="Y5044" s="182"/>
      <c r="Z5044" s="175"/>
      <c r="AA5044" s="182"/>
      <c r="AB5044" s="184"/>
    </row>
    <row r="5045" spans="1:28" ht="12.75">
      <c r="A5045" s="173"/>
      <c r="B5045" s="174"/>
      <c r="C5045" s="11"/>
      <c r="D5045" s="175"/>
      <c r="E5045" s="176"/>
      <c r="F5045" s="177"/>
      <c r="G5045" s="178"/>
      <c r="H5045" s="177"/>
      <c r="I5045" s="177"/>
      <c r="J5045" s="179"/>
      <c r="K5045" s="183"/>
      <c r="L5045" s="176"/>
      <c r="M5045" s="177"/>
      <c r="N5045" s="21"/>
      <c r="O5045" s="45"/>
      <c r="P5045" s="24"/>
      <c r="Q5045" s="24"/>
      <c r="R5045" s="180"/>
      <c r="S5045" s="181"/>
      <c r="T5045" s="35"/>
      <c r="U5045" s="35"/>
      <c r="V5045" s="35"/>
      <c r="W5045" s="35"/>
      <c r="X5045" s="35"/>
      <c r="Y5045" s="182"/>
      <c r="Z5045" s="175"/>
      <c r="AA5045" s="182"/>
      <c r="AB5045" s="184"/>
    </row>
    <row r="5046" spans="1:28" ht="12.75">
      <c r="A5046" s="173"/>
      <c r="B5046" s="174"/>
      <c r="C5046" s="11"/>
      <c r="D5046" s="175"/>
      <c r="E5046" s="176"/>
      <c r="F5046" s="177"/>
      <c r="G5046" s="178"/>
      <c r="H5046" s="177"/>
      <c r="I5046" s="177"/>
      <c r="J5046" s="179"/>
      <c r="K5046" s="183"/>
      <c r="L5046" s="176"/>
      <c r="M5046" s="177"/>
      <c r="N5046" s="21"/>
      <c r="O5046" s="45"/>
      <c r="P5046" s="24"/>
      <c r="Q5046" s="24"/>
      <c r="R5046" s="180"/>
      <c r="S5046" s="181"/>
      <c r="T5046" s="35"/>
      <c r="U5046" s="35"/>
      <c r="V5046" s="35"/>
      <c r="W5046" s="35"/>
      <c r="X5046" s="35"/>
      <c r="Y5046" s="182"/>
      <c r="Z5046" s="175"/>
      <c r="AA5046" s="182"/>
      <c r="AB5046" s="184"/>
    </row>
    <row r="5047" spans="1:28" ht="12.75">
      <c r="A5047" s="173"/>
      <c r="B5047" s="174"/>
      <c r="C5047" s="11"/>
      <c r="D5047" s="175"/>
      <c r="E5047" s="176"/>
      <c r="F5047" s="177"/>
      <c r="G5047" s="178"/>
      <c r="H5047" s="177"/>
      <c r="I5047" s="177"/>
      <c r="J5047" s="179"/>
      <c r="K5047" s="183"/>
      <c r="L5047" s="176"/>
      <c r="M5047" s="177"/>
      <c r="N5047" s="21"/>
      <c r="O5047" s="45"/>
      <c r="P5047" s="24"/>
      <c r="Q5047" s="24"/>
      <c r="R5047" s="180"/>
      <c r="S5047" s="181"/>
      <c r="T5047" s="35"/>
      <c r="U5047" s="35"/>
      <c r="V5047" s="35"/>
      <c r="W5047" s="35"/>
      <c r="X5047" s="35"/>
      <c r="Y5047" s="182"/>
      <c r="Z5047" s="175"/>
      <c r="AA5047" s="182"/>
      <c r="AB5047" s="184"/>
    </row>
    <row r="5048" spans="1:28" ht="12.75">
      <c r="A5048" s="173"/>
      <c r="B5048" s="174"/>
      <c r="C5048" s="11"/>
      <c r="D5048" s="175"/>
      <c r="E5048" s="176"/>
      <c r="F5048" s="177"/>
      <c r="G5048" s="178"/>
      <c r="H5048" s="177"/>
      <c r="I5048" s="177"/>
      <c r="J5048" s="179"/>
      <c r="K5048" s="183"/>
      <c r="L5048" s="176"/>
      <c r="M5048" s="177"/>
      <c r="N5048" s="21"/>
      <c r="O5048" s="45"/>
      <c r="P5048" s="24"/>
      <c r="Q5048" s="24"/>
      <c r="R5048" s="180"/>
      <c r="S5048" s="181"/>
      <c r="T5048" s="35"/>
      <c r="U5048" s="35"/>
      <c r="V5048" s="35"/>
      <c r="W5048" s="35"/>
      <c r="X5048" s="35"/>
      <c r="Y5048" s="182"/>
      <c r="Z5048" s="175"/>
      <c r="AA5048" s="182"/>
      <c r="AB5048" s="184"/>
    </row>
    <row r="5049" spans="1:28" ht="12.75">
      <c r="A5049" s="173"/>
      <c r="B5049" s="174"/>
      <c r="C5049" s="11"/>
      <c r="D5049" s="175"/>
      <c r="E5049" s="176"/>
      <c r="F5049" s="177"/>
      <c r="G5049" s="178"/>
      <c r="H5049" s="177"/>
      <c r="I5049" s="177"/>
      <c r="J5049" s="179"/>
      <c r="K5049" s="183"/>
      <c r="L5049" s="176"/>
      <c r="M5049" s="177"/>
      <c r="N5049" s="21"/>
      <c r="O5049" s="45"/>
      <c r="P5049" s="24"/>
      <c r="Q5049" s="24"/>
      <c r="R5049" s="180"/>
      <c r="S5049" s="181"/>
      <c r="T5049" s="35"/>
      <c r="U5049" s="35"/>
      <c r="V5049" s="35"/>
      <c r="W5049" s="35"/>
      <c r="X5049" s="35"/>
      <c r="Y5049" s="182"/>
      <c r="Z5049" s="175"/>
      <c r="AA5049" s="182"/>
      <c r="AB5049" s="184"/>
    </row>
    <row r="5050" spans="1:28" ht="12.75">
      <c r="A5050" s="173"/>
      <c r="B5050" s="174"/>
      <c r="C5050" s="11"/>
      <c r="D5050" s="175"/>
      <c r="E5050" s="176"/>
      <c r="F5050" s="177"/>
      <c r="G5050" s="178"/>
      <c r="H5050" s="177"/>
      <c r="I5050" s="177"/>
      <c r="J5050" s="179"/>
      <c r="K5050" s="183"/>
      <c r="L5050" s="176"/>
      <c r="M5050" s="177"/>
      <c r="N5050" s="21"/>
      <c r="O5050" s="45"/>
      <c r="P5050" s="24"/>
      <c r="Q5050" s="24"/>
      <c r="R5050" s="180"/>
      <c r="S5050" s="181"/>
      <c r="T5050" s="35"/>
      <c r="U5050" s="35"/>
      <c r="V5050" s="35"/>
      <c r="W5050" s="35"/>
      <c r="X5050" s="35"/>
      <c r="Y5050" s="182"/>
      <c r="Z5050" s="175"/>
      <c r="AA5050" s="182"/>
      <c r="AB5050" s="184"/>
    </row>
    <row r="5051" spans="1:28" ht="12.75">
      <c r="A5051" s="173"/>
      <c r="B5051" s="174"/>
      <c r="C5051" s="11"/>
      <c r="D5051" s="175"/>
      <c r="E5051" s="176"/>
      <c r="F5051" s="177"/>
      <c r="G5051" s="178"/>
      <c r="H5051" s="177"/>
      <c r="I5051" s="177"/>
      <c r="J5051" s="179"/>
      <c r="K5051" s="183"/>
      <c r="L5051" s="176"/>
      <c r="M5051" s="177"/>
      <c r="N5051" s="21"/>
      <c r="O5051" s="45"/>
      <c r="P5051" s="24"/>
      <c r="Q5051" s="24"/>
      <c r="R5051" s="180"/>
      <c r="S5051" s="181"/>
      <c r="T5051" s="35"/>
      <c r="U5051" s="35"/>
      <c r="V5051" s="35"/>
      <c r="W5051" s="35"/>
      <c r="X5051" s="35"/>
      <c r="Y5051" s="182"/>
      <c r="Z5051" s="175"/>
      <c r="AA5051" s="182"/>
      <c r="AB5051" s="184"/>
    </row>
    <row r="5052" spans="1:28" ht="12.75">
      <c r="A5052" s="173"/>
      <c r="B5052" s="174"/>
      <c r="C5052" s="11"/>
      <c r="D5052" s="175"/>
      <c r="E5052" s="176"/>
      <c r="F5052" s="177"/>
      <c r="G5052" s="178"/>
      <c r="H5052" s="177"/>
      <c r="I5052" s="177"/>
      <c r="J5052" s="179"/>
      <c r="K5052" s="183"/>
      <c r="L5052" s="176"/>
      <c r="M5052" s="177"/>
      <c r="N5052" s="21"/>
      <c r="O5052" s="45"/>
      <c r="P5052" s="24"/>
      <c r="Q5052" s="24"/>
      <c r="R5052" s="180"/>
      <c r="S5052" s="181"/>
      <c r="T5052" s="35"/>
      <c r="U5052" s="35"/>
      <c r="V5052" s="35"/>
      <c r="W5052" s="35"/>
      <c r="X5052" s="35"/>
      <c r="Y5052" s="182"/>
      <c r="Z5052" s="175"/>
      <c r="AA5052" s="182"/>
      <c r="AB5052" s="184"/>
    </row>
    <row r="5053" spans="1:28" ht="12.75">
      <c r="A5053" s="173"/>
      <c r="B5053" s="174"/>
      <c r="C5053" s="11"/>
      <c r="D5053" s="175"/>
      <c r="E5053" s="176"/>
      <c r="F5053" s="177"/>
      <c r="G5053" s="178"/>
      <c r="H5053" s="177"/>
      <c r="I5053" s="177"/>
      <c r="J5053" s="179"/>
      <c r="K5053" s="183"/>
      <c r="L5053" s="176"/>
      <c r="M5053" s="177"/>
      <c r="N5053" s="21"/>
      <c r="O5053" s="45"/>
      <c r="P5053" s="24"/>
      <c r="Q5053" s="24"/>
      <c r="R5053" s="180"/>
      <c r="S5053" s="181"/>
      <c r="T5053" s="35"/>
      <c r="U5053" s="35"/>
      <c r="V5053" s="35"/>
      <c r="W5053" s="35"/>
      <c r="X5053" s="35"/>
      <c r="Y5053" s="182"/>
      <c r="Z5053" s="175"/>
      <c r="AA5053" s="182"/>
      <c r="AB5053" s="184"/>
    </row>
    <row r="5054" spans="1:28" ht="12.75">
      <c r="A5054" s="173"/>
      <c r="B5054" s="174"/>
      <c r="C5054" s="11"/>
      <c r="D5054" s="175"/>
      <c r="E5054" s="176"/>
      <c r="F5054" s="177"/>
      <c r="G5054" s="178"/>
      <c r="H5054" s="177"/>
      <c r="I5054" s="177"/>
      <c r="J5054" s="179"/>
      <c r="K5054" s="183"/>
      <c r="L5054" s="176"/>
      <c r="M5054" s="177"/>
      <c r="N5054" s="21"/>
      <c r="O5054" s="45"/>
      <c r="P5054" s="24"/>
      <c r="Q5054" s="24"/>
      <c r="R5054" s="180"/>
      <c r="S5054" s="181"/>
      <c r="T5054" s="35"/>
      <c r="U5054" s="35"/>
      <c r="V5054" s="35"/>
      <c r="W5054" s="35"/>
      <c r="X5054" s="35"/>
      <c r="Y5054" s="182"/>
      <c r="Z5054" s="175"/>
      <c r="AA5054" s="182"/>
      <c r="AB5054" s="184"/>
    </row>
    <row r="5055" spans="1:28" ht="12.75">
      <c r="A5055" s="173"/>
      <c r="B5055" s="174"/>
      <c r="C5055" s="11"/>
      <c r="D5055" s="175"/>
      <c r="E5055" s="176"/>
      <c r="F5055" s="177"/>
      <c r="G5055" s="178"/>
      <c r="H5055" s="177"/>
      <c r="I5055" s="177"/>
      <c r="J5055" s="179"/>
      <c r="K5055" s="183"/>
      <c r="L5055" s="176"/>
      <c r="M5055" s="177"/>
      <c r="N5055" s="21"/>
      <c r="O5055" s="45"/>
      <c r="P5055" s="24"/>
      <c r="Q5055" s="24"/>
      <c r="R5055" s="180"/>
      <c r="S5055" s="181"/>
      <c r="T5055" s="35"/>
      <c r="U5055" s="35"/>
      <c r="V5055" s="35"/>
      <c r="W5055" s="35"/>
      <c r="X5055" s="35"/>
      <c r="Y5055" s="182"/>
      <c r="Z5055" s="175"/>
      <c r="AA5055" s="182"/>
      <c r="AB5055" s="184"/>
    </row>
    <row r="5056" spans="1:28" ht="12.75">
      <c r="A5056" s="173"/>
      <c r="B5056" s="174"/>
      <c r="C5056" s="11"/>
      <c r="D5056" s="175"/>
      <c r="E5056" s="176"/>
      <c r="F5056" s="177"/>
      <c r="G5056" s="178"/>
      <c r="H5056" s="177"/>
      <c r="I5056" s="177"/>
      <c r="J5056" s="179"/>
      <c r="K5056" s="183"/>
      <c r="L5056" s="176"/>
      <c r="M5056" s="177"/>
      <c r="N5056" s="21"/>
      <c r="O5056" s="45"/>
      <c r="P5056" s="24"/>
      <c r="Q5056" s="24"/>
      <c r="R5056" s="180"/>
      <c r="S5056" s="181"/>
      <c r="T5056" s="35"/>
      <c r="U5056" s="35"/>
      <c r="V5056" s="35"/>
      <c r="W5056" s="35"/>
      <c r="X5056" s="35"/>
      <c r="Y5056" s="182"/>
      <c r="Z5056" s="175"/>
      <c r="AA5056" s="182"/>
      <c r="AB5056" s="184"/>
    </row>
    <row r="5057" spans="1:28" ht="12.75">
      <c r="A5057" s="173"/>
      <c r="B5057" s="174"/>
      <c r="C5057" s="11"/>
      <c r="D5057" s="175"/>
      <c r="E5057" s="176"/>
      <c r="F5057" s="177"/>
      <c r="G5057" s="178"/>
      <c r="H5057" s="177"/>
      <c r="I5057" s="177"/>
      <c r="J5057" s="179"/>
      <c r="K5057" s="183"/>
      <c r="L5057" s="176"/>
      <c r="M5057" s="177"/>
      <c r="N5057" s="21"/>
      <c r="O5057" s="45"/>
      <c r="P5057" s="24"/>
      <c r="Q5057" s="24"/>
      <c r="R5057" s="180"/>
      <c r="S5057" s="181"/>
      <c r="T5057" s="35"/>
      <c r="U5057" s="35"/>
      <c r="V5057" s="35"/>
      <c r="W5057" s="35"/>
      <c r="X5057" s="35"/>
      <c r="Y5057" s="182"/>
      <c r="Z5057" s="175"/>
      <c r="AA5057" s="182"/>
      <c r="AB5057" s="184"/>
    </row>
    <row r="5058" spans="1:28" ht="12.75">
      <c r="A5058" s="173"/>
      <c r="B5058" s="174"/>
      <c r="C5058" s="11"/>
      <c r="D5058" s="175"/>
      <c r="E5058" s="176"/>
      <c r="F5058" s="177"/>
      <c r="G5058" s="178"/>
      <c r="H5058" s="177"/>
      <c r="I5058" s="177"/>
      <c r="J5058" s="179"/>
      <c r="K5058" s="183"/>
      <c r="L5058" s="176"/>
      <c r="M5058" s="177"/>
      <c r="N5058" s="21"/>
      <c r="O5058" s="45"/>
      <c r="P5058" s="24"/>
      <c r="Q5058" s="24"/>
      <c r="R5058" s="180"/>
      <c r="S5058" s="181"/>
      <c r="T5058" s="35"/>
      <c r="U5058" s="35"/>
      <c r="V5058" s="35"/>
      <c r="W5058" s="35"/>
      <c r="X5058" s="35"/>
      <c r="Y5058" s="182"/>
      <c r="Z5058" s="175"/>
      <c r="AA5058" s="182"/>
      <c r="AB5058" s="184"/>
    </row>
    <row r="5059" spans="1:28" ht="12.75">
      <c r="A5059" s="173"/>
      <c r="B5059" s="174"/>
      <c r="C5059" s="11"/>
      <c r="D5059" s="175"/>
      <c r="E5059" s="176"/>
      <c r="F5059" s="177"/>
      <c r="G5059" s="178"/>
      <c r="H5059" s="177"/>
      <c r="I5059" s="177"/>
      <c r="J5059" s="179"/>
      <c r="K5059" s="183"/>
      <c r="L5059" s="176"/>
      <c r="M5059" s="177"/>
      <c r="N5059" s="21"/>
      <c r="O5059" s="45"/>
      <c r="P5059" s="24"/>
      <c r="Q5059" s="24"/>
      <c r="R5059" s="180"/>
      <c r="S5059" s="181"/>
      <c r="T5059" s="35"/>
      <c r="U5059" s="35"/>
      <c r="V5059" s="35"/>
      <c r="W5059" s="35"/>
      <c r="X5059" s="35"/>
      <c r="Y5059" s="182"/>
      <c r="Z5059" s="175"/>
      <c r="AA5059" s="182"/>
      <c r="AB5059" s="184"/>
    </row>
    <row r="5060" spans="1:28" ht="12.75">
      <c r="A5060" s="173"/>
      <c r="B5060" s="174"/>
      <c r="C5060" s="11"/>
      <c r="D5060" s="175"/>
      <c r="E5060" s="176"/>
      <c r="F5060" s="177"/>
      <c r="G5060" s="178"/>
      <c r="H5060" s="177"/>
      <c r="I5060" s="177"/>
      <c r="J5060" s="179"/>
      <c r="K5060" s="183"/>
      <c r="L5060" s="176"/>
      <c r="M5060" s="177"/>
      <c r="N5060" s="21"/>
      <c r="O5060" s="45"/>
      <c r="P5060" s="24"/>
      <c r="Q5060" s="24"/>
      <c r="R5060" s="180"/>
      <c r="S5060" s="181"/>
      <c r="T5060" s="35"/>
      <c r="U5060" s="35"/>
      <c r="V5060" s="35"/>
      <c r="W5060" s="35"/>
      <c r="X5060" s="35"/>
      <c r="Y5060" s="182"/>
      <c r="Z5060" s="175"/>
      <c r="AA5060" s="182"/>
      <c r="AB5060" s="184"/>
    </row>
    <row r="5061" spans="1:28" ht="12.75">
      <c r="A5061" s="173"/>
      <c r="B5061" s="174"/>
      <c r="C5061" s="11"/>
      <c r="D5061" s="175"/>
      <c r="E5061" s="176"/>
      <c r="F5061" s="177"/>
      <c r="G5061" s="178"/>
      <c r="H5061" s="177"/>
      <c r="I5061" s="177"/>
      <c r="J5061" s="179"/>
      <c r="K5061" s="183"/>
      <c r="L5061" s="176"/>
      <c r="M5061" s="177"/>
      <c r="N5061" s="21"/>
      <c r="O5061" s="45"/>
      <c r="P5061" s="24"/>
      <c r="Q5061" s="24"/>
      <c r="R5061" s="180"/>
      <c r="S5061" s="181"/>
      <c r="T5061" s="35"/>
      <c r="U5061" s="35"/>
      <c r="V5061" s="35"/>
      <c r="W5061" s="35"/>
      <c r="X5061" s="35"/>
      <c r="Y5061" s="182"/>
      <c r="Z5061" s="175"/>
      <c r="AA5061" s="182"/>
      <c r="AB5061" s="184"/>
    </row>
    <row r="5062" spans="1:28" ht="12.75">
      <c r="A5062" s="173"/>
      <c r="B5062" s="174"/>
      <c r="C5062" s="11"/>
      <c r="D5062" s="175"/>
      <c r="E5062" s="176"/>
      <c r="F5062" s="177"/>
      <c r="G5062" s="178"/>
      <c r="H5062" s="177"/>
      <c r="I5062" s="177"/>
      <c r="J5062" s="179"/>
      <c r="K5062" s="183"/>
      <c r="L5062" s="176"/>
      <c r="M5062" s="177"/>
      <c r="N5062" s="21"/>
      <c r="O5062" s="45"/>
      <c r="P5062" s="24"/>
      <c r="Q5062" s="24"/>
      <c r="R5062" s="180"/>
      <c r="S5062" s="181"/>
      <c r="T5062" s="35"/>
      <c r="U5062" s="35"/>
      <c r="V5062" s="35"/>
      <c r="W5062" s="35"/>
      <c r="X5062" s="35"/>
      <c r="Y5062" s="182"/>
      <c r="Z5062" s="175"/>
      <c r="AA5062" s="182"/>
      <c r="AB5062" s="184"/>
    </row>
    <row r="5063" spans="1:28" ht="12.75">
      <c r="A5063" s="173"/>
      <c r="B5063" s="174"/>
      <c r="C5063" s="11"/>
      <c r="D5063" s="175"/>
      <c r="E5063" s="176"/>
      <c r="F5063" s="177"/>
      <c r="G5063" s="178"/>
      <c r="H5063" s="177"/>
      <c r="I5063" s="177"/>
      <c r="J5063" s="179"/>
      <c r="K5063" s="183"/>
      <c r="L5063" s="176"/>
      <c r="M5063" s="177"/>
      <c r="N5063" s="21"/>
      <c r="O5063" s="45"/>
      <c r="P5063" s="24"/>
      <c r="Q5063" s="24"/>
      <c r="R5063" s="180"/>
      <c r="S5063" s="181"/>
      <c r="T5063" s="35"/>
      <c r="U5063" s="35"/>
      <c r="V5063" s="35"/>
      <c r="W5063" s="35"/>
      <c r="X5063" s="35"/>
      <c r="Y5063" s="182"/>
      <c r="Z5063" s="175"/>
      <c r="AA5063" s="182"/>
      <c r="AB5063" s="184"/>
    </row>
    <row r="5064" spans="1:28" ht="12.75">
      <c r="A5064" s="173"/>
      <c r="B5064" s="174"/>
      <c r="C5064" s="11"/>
      <c r="D5064" s="175"/>
      <c r="E5064" s="176"/>
      <c r="F5064" s="177"/>
      <c r="G5064" s="178"/>
      <c r="H5064" s="177"/>
      <c r="I5064" s="177"/>
      <c r="J5064" s="179"/>
      <c r="K5064" s="183"/>
      <c r="L5064" s="176"/>
      <c r="M5064" s="177"/>
      <c r="N5064" s="21"/>
      <c r="O5064" s="45"/>
      <c r="P5064" s="24"/>
      <c r="Q5064" s="24"/>
      <c r="R5064" s="180"/>
      <c r="S5064" s="181"/>
      <c r="T5064" s="35"/>
      <c r="U5064" s="35"/>
      <c r="V5064" s="35"/>
      <c r="W5064" s="35"/>
      <c r="X5064" s="35"/>
      <c r="Y5064" s="182"/>
      <c r="Z5064" s="175"/>
      <c r="AA5064" s="182"/>
      <c r="AB5064" s="184"/>
    </row>
    <row r="5065" spans="1:28" ht="12.75">
      <c r="A5065" s="173"/>
      <c r="B5065" s="174"/>
      <c r="C5065" s="11"/>
      <c r="D5065" s="175"/>
      <c r="E5065" s="176"/>
      <c r="F5065" s="177"/>
      <c r="G5065" s="178"/>
      <c r="H5065" s="177"/>
      <c r="I5065" s="177"/>
      <c r="J5065" s="179"/>
      <c r="K5065" s="183"/>
      <c r="L5065" s="176"/>
      <c r="M5065" s="177"/>
      <c r="N5065" s="21"/>
      <c r="O5065" s="45"/>
      <c r="P5065" s="24"/>
      <c r="Q5065" s="24"/>
      <c r="R5065" s="180"/>
      <c r="S5065" s="181"/>
      <c r="T5065" s="35"/>
      <c r="U5065" s="35"/>
      <c r="V5065" s="35"/>
      <c r="W5065" s="35"/>
      <c r="X5065" s="35"/>
      <c r="Y5065" s="182"/>
      <c r="Z5065" s="175"/>
      <c r="AA5065" s="182"/>
      <c r="AB5065" s="184"/>
    </row>
    <row r="5066" spans="1:28" ht="12.75">
      <c r="A5066" s="173"/>
      <c r="B5066" s="174"/>
      <c r="C5066" s="11"/>
      <c r="D5066" s="175"/>
      <c r="E5066" s="176"/>
      <c r="F5066" s="177"/>
      <c r="G5066" s="178"/>
      <c r="H5066" s="177"/>
      <c r="I5066" s="177"/>
      <c r="J5066" s="179"/>
      <c r="K5066" s="183"/>
      <c r="L5066" s="176"/>
      <c r="M5066" s="177"/>
      <c r="N5066" s="21"/>
      <c r="O5066" s="45"/>
      <c r="P5066" s="24"/>
      <c r="Q5066" s="24"/>
      <c r="R5066" s="180"/>
      <c r="S5066" s="181"/>
      <c r="T5066" s="35"/>
      <c r="U5066" s="35"/>
      <c r="V5066" s="35"/>
      <c r="W5066" s="35"/>
      <c r="X5066" s="35"/>
      <c r="Y5066" s="182"/>
      <c r="Z5066" s="175"/>
      <c r="AA5066" s="182"/>
      <c r="AB5066" s="184"/>
    </row>
    <row r="5067" spans="1:28" ht="12.75">
      <c r="A5067" s="173"/>
      <c r="B5067" s="174"/>
      <c r="C5067" s="11"/>
      <c r="D5067" s="175"/>
      <c r="E5067" s="176"/>
      <c r="F5067" s="177"/>
      <c r="G5067" s="178"/>
      <c r="H5067" s="177"/>
      <c r="I5067" s="177"/>
      <c r="J5067" s="179"/>
      <c r="K5067" s="183"/>
      <c r="L5067" s="176"/>
      <c r="M5067" s="177"/>
      <c r="N5067" s="21"/>
      <c r="O5067" s="45"/>
      <c r="P5067" s="24"/>
      <c r="Q5067" s="24"/>
      <c r="R5067" s="180"/>
      <c r="S5067" s="181"/>
      <c r="T5067" s="35"/>
      <c r="U5067" s="35"/>
      <c r="V5067" s="35"/>
      <c r="W5067" s="35"/>
      <c r="X5067" s="35"/>
      <c r="Y5067" s="182"/>
      <c r="Z5067" s="175"/>
      <c r="AA5067" s="182"/>
      <c r="AB5067" s="184"/>
    </row>
    <row r="5068" spans="1:28" ht="12.75">
      <c r="A5068" s="173"/>
      <c r="B5068" s="174"/>
      <c r="C5068" s="11"/>
      <c r="D5068" s="175"/>
      <c r="E5068" s="176"/>
      <c r="F5068" s="177"/>
      <c r="G5068" s="178"/>
      <c r="H5068" s="177"/>
      <c r="I5068" s="177"/>
      <c r="J5068" s="179"/>
      <c r="K5068" s="183"/>
      <c r="L5068" s="176"/>
      <c r="M5068" s="177"/>
      <c r="N5068" s="21"/>
      <c r="O5068" s="45"/>
      <c r="P5068" s="24"/>
      <c r="Q5068" s="24"/>
      <c r="R5068" s="180"/>
      <c r="S5068" s="181"/>
      <c r="T5068" s="35"/>
      <c r="U5068" s="35"/>
      <c r="V5068" s="35"/>
      <c r="W5068" s="35"/>
      <c r="X5068" s="35"/>
      <c r="Y5068" s="182"/>
      <c r="Z5068" s="175"/>
      <c r="AA5068" s="182"/>
      <c r="AB5068" s="184"/>
    </row>
    <row r="5069" spans="1:28" ht="12.75">
      <c r="A5069" s="173"/>
      <c r="B5069" s="174"/>
      <c r="C5069" s="11"/>
      <c r="D5069" s="175"/>
      <c r="E5069" s="176"/>
      <c r="F5069" s="177"/>
      <c r="G5069" s="178"/>
      <c r="H5069" s="177"/>
      <c r="I5069" s="177"/>
      <c r="J5069" s="179"/>
      <c r="K5069" s="183"/>
      <c r="L5069" s="176"/>
      <c r="M5069" s="177"/>
      <c r="N5069" s="21"/>
      <c r="O5069" s="45"/>
      <c r="P5069" s="24"/>
      <c r="Q5069" s="24"/>
      <c r="R5069" s="180"/>
      <c r="S5069" s="181"/>
      <c r="T5069" s="35"/>
      <c r="U5069" s="35"/>
      <c r="V5069" s="35"/>
      <c r="W5069" s="35"/>
      <c r="X5069" s="35"/>
      <c r="Y5069" s="182"/>
      <c r="Z5069" s="175"/>
      <c r="AA5069" s="182"/>
      <c r="AB5069" s="184"/>
    </row>
    <row r="5070" spans="1:28" ht="12.75">
      <c r="A5070" s="173"/>
      <c r="B5070" s="174"/>
      <c r="C5070" s="11"/>
      <c r="D5070" s="175"/>
      <c r="E5070" s="176"/>
      <c r="F5070" s="177"/>
      <c r="G5070" s="178"/>
      <c r="H5070" s="177"/>
      <c r="I5070" s="177"/>
      <c r="J5070" s="179"/>
      <c r="K5070" s="183"/>
      <c r="L5070" s="176"/>
      <c r="M5070" s="177"/>
      <c r="N5070" s="21"/>
      <c r="O5070" s="45"/>
      <c r="P5070" s="24"/>
      <c r="Q5070" s="24"/>
      <c r="R5070" s="180"/>
      <c r="S5070" s="181"/>
      <c r="T5070" s="35"/>
      <c r="U5070" s="35"/>
      <c r="V5070" s="35"/>
      <c r="W5070" s="35"/>
      <c r="X5070" s="35"/>
      <c r="Y5070" s="182"/>
      <c r="Z5070" s="175"/>
      <c r="AA5070" s="182"/>
      <c r="AB5070" s="184"/>
    </row>
    <row r="5071" spans="1:28" ht="12.75">
      <c r="A5071" s="173"/>
      <c r="B5071" s="174"/>
      <c r="C5071" s="11"/>
      <c r="D5071" s="175"/>
      <c r="E5071" s="176"/>
      <c r="F5071" s="177"/>
      <c r="G5071" s="178"/>
      <c r="H5071" s="177"/>
      <c r="I5071" s="177"/>
      <c r="J5071" s="179"/>
      <c r="K5071" s="183"/>
      <c r="L5071" s="176"/>
      <c r="M5071" s="177"/>
      <c r="N5071" s="21"/>
      <c r="O5071" s="45"/>
      <c r="P5071" s="24"/>
      <c r="Q5071" s="24"/>
      <c r="R5071" s="180"/>
      <c r="S5071" s="181"/>
      <c r="T5071" s="35"/>
      <c r="U5071" s="35"/>
      <c r="V5071" s="35"/>
      <c r="W5071" s="35"/>
      <c r="X5071" s="35"/>
      <c r="Y5071" s="182"/>
      <c r="Z5071" s="175"/>
      <c r="AA5071" s="182"/>
      <c r="AB5071" s="184"/>
    </row>
    <row r="5072" spans="1:28" ht="12.75">
      <c r="A5072" s="173"/>
      <c r="B5072" s="174"/>
      <c r="C5072" s="11"/>
      <c r="D5072" s="175"/>
      <c r="E5072" s="176"/>
      <c r="F5072" s="177"/>
      <c r="G5072" s="178"/>
      <c r="H5072" s="177"/>
      <c r="I5072" s="177"/>
      <c r="J5072" s="179"/>
      <c r="K5072" s="183"/>
      <c r="L5072" s="176"/>
      <c r="M5072" s="177"/>
      <c r="N5072" s="21"/>
      <c r="O5072" s="45"/>
      <c r="P5072" s="24"/>
      <c r="Q5072" s="24"/>
      <c r="R5072" s="180"/>
      <c r="S5072" s="181"/>
      <c r="T5072" s="35"/>
      <c r="U5072" s="35"/>
      <c r="V5072" s="35"/>
      <c r="W5072" s="35"/>
      <c r="X5072" s="35"/>
      <c r="Y5072" s="182"/>
      <c r="Z5072" s="175"/>
      <c r="AA5072" s="182"/>
      <c r="AB5072" s="184"/>
    </row>
    <row r="5073" spans="1:28" ht="12.75">
      <c r="A5073" s="173"/>
      <c r="B5073" s="174"/>
      <c r="C5073" s="11"/>
      <c r="D5073" s="175"/>
      <c r="E5073" s="176"/>
      <c r="F5073" s="177"/>
      <c r="G5073" s="178"/>
      <c r="H5073" s="177"/>
      <c r="I5073" s="177"/>
      <c r="J5073" s="179"/>
      <c r="K5073" s="183"/>
      <c r="L5073" s="176"/>
      <c r="M5073" s="177"/>
      <c r="N5073" s="21"/>
      <c r="O5073" s="45"/>
      <c r="P5073" s="24"/>
      <c r="Q5073" s="24"/>
      <c r="R5073" s="180"/>
      <c r="S5073" s="181"/>
      <c r="T5073" s="35"/>
      <c r="U5073" s="35"/>
      <c r="V5073" s="35"/>
      <c r="W5073" s="35"/>
      <c r="X5073" s="35"/>
      <c r="Y5073" s="182"/>
      <c r="Z5073" s="175"/>
      <c r="AA5073" s="182"/>
      <c r="AB5073" s="184"/>
    </row>
    <row r="5074" spans="1:28" ht="12.75">
      <c r="A5074" s="173"/>
      <c r="B5074" s="174"/>
      <c r="C5074" s="11"/>
      <c r="D5074" s="175"/>
      <c r="E5074" s="176"/>
      <c r="F5074" s="177"/>
      <c r="G5074" s="178"/>
      <c r="H5074" s="177"/>
      <c r="I5074" s="177"/>
      <c r="J5074" s="179"/>
      <c r="K5074" s="183"/>
      <c r="L5074" s="176"/>
      <c r="M5074" s="177"/>
      <c r="N5074" s="21"/>
      <c r="O5074" s="45"/>
      <c r="P5074" s="24"/>
      <c r="Q5074" s="24"/>
      <c r="R5074" s="180"/>
      <c r="S5074" s="181"/>
      <c r="T5074" s="35"/>
      <c r="U5074" s="35"/>
      <c r="V5074" s="35"/>
      <c r="W5074" s="35"/>
      <c r="X5074" s="35"/>
      <c r="Y5074" s="182"/>
      <c r="Z5074" s="175"/>
      <c r="AA5074" s="182"/>
      <c r="AB5074" s="184"/>
    </row>
    <row r="5075" spans="1:28" ht="12.75">
      <c r="A5075" s="173"/>
      <c r="B5075" s="174"/>
      <c r="C5075" s="11"/>
      <c r="D5075" s="175"/>
      <c r="E5075" s="176"/>
      <c r="F5075" s="177"/>
      <c r="G5075" s="178"/>
      <c r="H5075" s="177"/>
      <c r="I5075" s="177"/>
      <c r="J5075" s="179"/>
      <c r="K5075" s="183"/>
      <c r="L5075" s="176"/>
      <c r="M5075" s="177"/>
      <c r="N5075" s="21"/>
      <c r="O5075" s="45"/>
      <c r="P5075" s="24"/>
      <c r="Q5075" s="24"/>
      <c r="R5075" s="180"/>
      <c r="S5075" s="181"/>
      <c r="T5075" s="35"/>
      <c r="U5075" s="35"/>
      <c r="V5075" s="35"/>
      <c r="W5075" s="35"/>
      <c r="X5075" s="35"/>
      <c r="Y5075" s="182"/>
      <c r="Z5075" s="175"/>
      <c r="AA5075" s="182"/>
      <c r="AB5075" s="184"/>
    </row>
    <row r="5076" spans="1:28" ht="12.75">
      <c r="A5076" s="173"/>
      <c r="B5076" s="174"/>
      <c r="C5076" s="11"/>
      <c r="D5076" s="175"/>
      <c r="E5076" s="176"/>
      <c r="F5076" s="177"/>
      <c r="G5076" s="178"/>
      <c r="H5076" s="177"/>
      <c r="I5076" s="177"/>
      <c r="J5076" s="179"/>
      <c r="K5076" s="183"/>
      <c r="L5076" s="176"/>
      <c r="M5076" s="177"/>
      <c r="N5076" s="21"/>
      <c r="O5076" s="45"/>
      <c r="P5076" s="24"/>
      <c r="Q5076" s="24"/>
      <c r="R5076" s="180"/>
      <c r="S5076" s="181"/>
      <c r="T5076" s="35"/>
      <c r="U5076" s="35"/>
      <c r="V5076" s="35"/>
      <c r="W5076" s="35"/>
      <c r="X5076" s="35"/>
      <c r="Y5076" s="182"/>
      <c r="Z5076" s="175"/>
      <c r="AA5076" s="182"/>
      <c r="AB5076" s="184"/>
    </row>
    <row r="5077" spans="1:28" ht="12.75">
      <c r="A5077" s="173"/>
      <c r="B5077" s="174"/>
      <c r="C5077" s="11"/>
      <c r="D5077" s="175"/>
      <c r="E5077" s="176"/>
      <c r="F5077" s="177"/>
      <c r="G5077" s="178"/>
      <c r="H5077" s="177"/>
      <c r="I5077" s="177"/>
      <c r="J5077" s="179"/>
      <c r="K5077" s="183"/>
      <c r="L5077" s="176"/>
      <c r="M5077" s="177"/>
      <c r="N5077" s="21"/>
      <c r="O5077" s="45"/>
      <c r="P5077" s="24"/>
      <c r="Q5077" s="24"/>
      <c r="R5077" s="180"/>
      <c r="S5077" s="181"/>
      <c r="T5077" s="35"/>
      <c r="U5077" s="35"/>
      <c r="V5077" s="35"/>
      <c r="W5077" s="35"/>
      <c r="X5077" s="35"/>
      <c r="Y5077" s="182"/>
      <c r="Z5077" s="175"/>
      <c r="AA5077" s="182"/>
      <c r="AB5077" s="184"/>
    </row>
    <row r="5078" spans="1:28" ht="12.75">
      <c r="A5078" s="173"/>
      <c r="B5078" s="174"/>
      <c r="C5078" s="11"/>
      <c r="D5078" s="175"/>
      <c r="E5078" s="176"/>
      <c r="F5078" s="177"/>
      <c r="G5078" s="178"/>
      <c r="H5078" s="177"/>
      <c r="I5078" s="177"/>
      <c r="J5078" s="179"/>
      <c r="K5078" s="183"/>
      <c r="L5078" s="176"/>
      <c r="M5078" s="177"/>
      <c r="N5078" s="21"/>
      <c r="O5078" s="45"/>
      <c r="P5078" s="24"/>
      <c r="Q5078" s="24"/>
      <c r="R5078" s="180"/>
      <c r="S5078" s="181"/>
      <c r="T5078" s="35"/>
      <c r="U5078" s="35"/>
      <c r="V5078" s="35"/>
      <c r="W5078" s="35"/>
      <c r="X5078" s="35"/>
      <c r="Y5078" s="182"/>
      <c r="Z5078" s="175"/>
      <c r="AA5078" s="182"/>
      <c r="AB5078" s="184"/>
    </row>
    <row r="5079" spans="1:28" ht="12.75">
      <c r="A5079" s="173"/>
      <c r="B5079" s="174"/>
      <c r="C5079" s="11"/>
      <c r="D5079" s="175"/>
      <c r="E5079" s="176"/>
      <c r="F5079" s="177"/>
      <c r="G5079" s="178"/>
      <c r="H5079" s="177"/>
      <c r="I5079" s="177"/>
      <c r="J5079" s="179"/>
      <c r="K5079" s="183"/>
      <c r="L5079" s="176"/>
      <c r="M5079" s="177"/>
      <c r="N5079" s="21"/>
      <c r="O5079" s="45"/>
      <c r="P5079" s="24"/>
      <c r="Q5079" s="24"/>
      <c r="R5079" s="180"/>
      <c r="S5079" s="181"/>
      <c r="T5079" s="35"/>
      <c r="U5079" s="35"/>
      <c r="V5079" s="35"/>
      <c r="W5079" s="35"/>
      <c r="X5079" s="35"/>
      <c r="Y5079" s="182"/>
      <c r="Z5079" s="175"/>
      <c r="AA5079" s="182"/>
      <c r="AB5079" s="184"/>
    </row>
    <row r="5080" spans="1:28" ht="12.75">
      <c r="A5080" s="173"/>
      <c r="B5080" s="174"/>
      <c r="C5080" s="11"/>
      <c r="D5080" s="175"/>
      <c r="E5080" s="176"/>
      <c r="F5080" s="177"/>
      <c r="G5080" s="178"/>
      <c r="H5080" s="177"/>
      <c r="I5080" s="177"/>
      <c r="J5080" s="179"/>
      <c r="K5080" s="183"/>
      <c r="L5080" s="176"/>
      <c r="M5080" s="177"/>
      <c r="N5080" s="21"/>
      <c r="O5080" s="45"/>
      <c r="P5080" s="24"/>
      <c r="Q5080" s="24"/>
      <c r="R5080" s="180"/>
      <c r="S5080" s="181"/>
      <c r="T5080" s="35"/>
      <c r="U5080" s="35"/>
      <c r="V5080" s="35"/>
      <c r="W5080" s="35"/>
      <c r="X5080" s="35"/>
      <c r="Y5080" s="182"/>
      <c r="Z5080" s="175"/>
      <c r="AA5080" s="182"/>
      <c r="AB5080" s="184"/>
    </row>
    <row r="5081" spans="1:28" ht="12.75">
      <c r="A5081" s="173"/>
      <c r="B5081" s="174"/>
      <c r="C5081" s="11"/>
      <c r="D5081" s="175"/>
      <c r="E5081" s="176"/>
      <c r="F5081" s="177"/>
      <c r="G5081" s="178"/>
      <c r="H5081" s="177"/>
      <c r="I5081" s="177"/>
      <c r="J5081" s="179"/>
      <c r="K5081" s="183"/>
      <c r="L5081" s="176"/>
      <c r="M5081" s="177"/>
      <c r="N5081" s="21"/>
      <c r="O5081" s="45"/>
      <c r="P5081" s="24"/>
      <c r="Q5081" s="24"/>
      <c r="R5081" s="180"/>
      <c r="S5081" s="181"/>
      <c r="T5081" s="35"/>
      <c r="U5081" s="35"/>
      <c r="V5081" s="35"/>
      <c r="W5081" s="35"/>
      <c r="X5081" s="35"/>
      <c r="Y5081" s="182"/>
      <c r="Z5081" s="175"/>
      <c r="AA5081" s="182"/>
      <c r="AB5081" s="184"/>
    </row>
    <row r="5082" spans="1:28" ht="12.75">
      <c r="A5082" s="173"/>
      <c r="B5082" s="174"/>
      <c r="C5082" s="11"/>
      <c r="D5082" s="175"/>
      <c r="E5082" s="176"/>
      <c r="F5082" s="177"/>
      <c r="G5082" s="178"/>
      <c r="H5082" s="177"/>
      <c r="I5082" s="177"/>
      <c r="J5082" s="179"/>
      <c r="K5082" s="183"/>
      <c r="L5082" s="176"/>
      <c r="M5082" s="177"/>
      <c r="N5082" s="21"/>
      <c r="O5082" s="45"/>
      <c r="P5082" s="24"/>
      <c r="Q5082" s="24"/>
      <c r="R5082" s="180"/>
      <c r="S5082" s="181"/>
      <c r="T5082" s="35"/>
      <c r="U5082" s="35"/>
      <c r="V5082" s="35"/>
      <c r="W5082" s="35"/>
      <c r="X5082" s="35"/>
      <c r="Y5082" s="182"/>
      <c r="Z5082" s="175"/>
      <c r="AA5082" s="182"/>
      <c r="AB5082" s="184"/>
    </row>
    <row r="5083" spans="1:28" ht="12.75">
      <c r="A5083" s="173"/>
      <c r="B5083" s="174"/>
      <c r="C5083" s="11"/>
      <c r="D5083" s="175"/>
      <c r="E5083" s="176"/>
      <c r="F5083" s="177"/>
      <c r="G5083" s="178"/>
      <c r="H5083" s="177"/>
      <c r="I5083" s="177"/>
      <c r="J5083" s="179"/>
      <c r="K5083" s="183"/>
      <c r="L5083" s="176"/>
      <c r="M5083" s="177"/>
      <c r="N5083" s="21"/>
      <c r="O5083" s="45"/>
      <c r="P5083" s="24"/>
      <c r="Q5083" s="24"/>
      <c r="R5083" s="180"/>
      <c r="S5083" s="181"/>
      <c r="T5083" s="35"/>
      <c r="U5083" s="35"/>
      <c r="V5083" s="35"/>
      <c r="W5083" s="35"/>
      <c r="X5083" s="35"/>
      <c r="Y5083" s="182"/>
      <c r="Z5083" s="175"/>
      <c r="AA5083" s="182"/>
      <c r="AB5083" s="184"/>
    </row>
    <row r="5084" spans="1:28" ht="12.75">
      <c r="A5084" s="173"/>
      <c r="B5084" s="174"/>
      <c r="C5084" s="11"/>
      <c r="D5084" s="175"/>
      <c r="E5084" s="176"/>
      <c r="F5084" s="177"/>
      <c r="G5084" s="178"/>
      <c r="H5084" s="177"/>
      <c r="I5084" s="177"/>
      <c r="J5084" s="179"/>
      <c r="K5084" s="183"/>
      <c r="L5084" s="176"/>
      <c r="M5084" s="177"/>
      <c r="N5084" s="21"/>
      <c r="O5084" s="45"/>
      <c r="P5084" s="24"/>
      <c r="Q5084" s="24"/>
      <c r="R5084" s="180"/>
      <c r="S5084" s="181"/>
      <c r="T5084" s="35"/>
      <c r="U5084" s="35"/>
      <c r="V5084" s="35"/>
      <c r="W5084" s="35"/>
      <c r="X5084" s="35"/>
      <c r="Y5084" s="182"/>
      <c r="Z5084" s="175"/>
      <c r="AA5084" s="182"/>
      <c r="AB5084" s="184"/>
    </row>
    <row r="5085" spans="1:28" ht="12.75">
      <c r="A5085" s="173"/>
      <c r="B5085" s="174"/>
      <c r="C5085" s="11"/>
      <c r="D5085" s="175"/>
      <c r="E5085" s="176"/>
      <c r="F5085" s="177"/>
      <c r="G5085" s="178"/>
      <c r="H5085" s="177"/>
      <c r="I5085" s="177"/>
      <c r="J5085" s="179"/>
      <c r="K5085" s="183"/>
      <c r="L5085" s="176"/>
      <c r="M5085" s="177"/>
      <c r="N5085" s="21"/>
      <c r="O5085" s="45"/>
      <c r="P5085" s="24"/>
      <c r="Q5085" s="24"/>
      <c r="R5085" s="180"/>
      <c r="S5085" s="181"/>
      <c r="T5085" s="35"/>
      <c r="U5085" s="35"/>
      <c r="V5085" s="35"/>
      <c r="W5085" s="35"/>
      <c r="X5085" s="35"/>
      <c r="Y5085" s="182"/>
      <c r="Z5085" s="175"/>
      <c r="AA5085" s="182"/>
      <c r="AB5085" s="184"/>
    </row>
    <row r="5086" spans="1:28" ht="12.75">
      <c r="A5086" s="173"/>
      <c r="B5086" s="174"/>
      <c r="C5086" s="11"/>
      <c r="D5086" s="175"/>
      <c r="E5086" s="176"/>
      <c r="F5086" s="177"/>
      <c r="G5086" s="178"/>
      <c r="H5086" s="177"/>
      <c r="I5086" s="177"/>
      <c r="J5086" s="179"/>
      <c r="K5086" s="183"/>
      <c r="L5086" s="176"/>
      <c r="M5086" s="177"/>
      <c r="N5086" s="21"/>
      <c r="O5086" s="45"/>
      <c r="P5086" s="24"/>
      <c r="Q5086" s="24"/>
      <c r="R5086" s="180"/>
      <c r="S5086" s="181"/>
      <c r="T5086" s="35"/>
      <c r="U5086" s="35"/>
      <c r="V5086" s="35"/>
      <c r="W5086" s="35"/>
      <c r="X5086" s="35"/>
      <c r="Y5086" s="182"/>
      <c r="Z5086" s="175"/>
      <c r="AA5086" s="182"/>
      <c r="AB5086" s="184"/>
    </row>
    <row r="5087" spans="1:28" ht="12.75">
      <c r="A5087" s="173"/>
      <c r="B5087" s="174"/>
      <c r="C5087" s="11"/>
      <c r="D5087" s="175"/>
      <c r="E5087" s="176"/>
      <c r="F5087" s="177"/>
      <c r="G5087" s="178"/>
      <c r="H5087" s="177"/>
      <c r="I5087" s="177"/>
      <c r="J5087" s="179"/>
      <c r="K5087" s="183"/>
      <c r="L5087" s="176"/>
      <c r="M5087" s="177"/>
      <c r="N5087" s="21"/>
      <c r="O5087" s="45"/>
      <c r="P5087" s="24"/>
      <c r="Q5087" s="24"/>
      <c r="R5087" s="180"/>
      <c r="S5087" s="181"/>
      <c r="T5087" s="35"/>
      <c r="U5087" s="35"/>
      <c r="V5087" s="35"/>
      <c r="W5087" s="35"/>
      <c r="X5087" s="35"/>
      <c r="Y5087" s="182"/>
      <c r="Z5087" s="175"/>
      <c r="AA5087" s="182"/>
      <c r="AB5087" s="184"/>
    </row>
    <row r="5088" spans="1:28" ht="12.75">
      <c r="A5088" s="173"/>
      <c r="B5088" s="174"/>
      <c r="C5088" s="11"/>
      <c r="D5088" s="175"/>
      <c r="E5088" s="176"/>
      <c r="F5088" s="177"/>
      <c r="G5088" s="178"/>
      <c r="H5088" s="177"/>
      <c r="I5088" s="177"/>
      <c r="J5088" s="179"/>
      <c r="K5088" s="183"/>
      <c r="L5088" s="176"/>
      <c r="M5088" s="177"/>
      <c r="N5088" s="21"/>
      <c r="O5088" s="45"/>
      <c r="P5088" s="24"/>
      <c r="Q5088" s="24"/>
      <c r="R5088" s="180"/>
      <c r="S5088" s="181"/>
      <c r="T5088" s="35"/>
      <c r="U5088" s="35"/>
      <c r="V5088" s="35"/>
      <c r="W5088" s="35"/>
      <c r="X5088" s="35"/>
      <c r="Y5088" s="182"/>
      <c r="Z5088" s="175"/>
      <c r="AA5088" s="182"/>
      <c r="AB5088" s="184"/>
    </row>
    <row r="5089" spans="1:28" ht="12.75">
      <c r="A5089" s="173"/>
      <c r="B5089" s="174"/>
      <c r="C5089" s="11"/>
      <c r="D5089" s="175"/>
      <c r="E5089" s="176"/>
      <c r="F5089" s="177"/>
      <c r="G5089" s="178"/>
      <c r="H5089" s="177"/>
      <c r="I5089" s="177"/>
      <c r="J5089" s="179"/>
      <c r="K5089" s="183"/>
      <c r="L5089" s="176"/>
      <c r="M5089" s="177"/>
      <c r="N5089" s="21"/>
      <c r="O5089" s="45"/>
      <c r="P5089" s="24"/>
      <c r="Q5089" s="24"/>
      <c r="R5089" s="180"/>
      <c r="S5089" s="181"/>
      <c r="T5089" s="35"/>
      <c r="U5089" s="35"/>
      <c r="V5089" s="35"/>
      <c r="W5089" s="35"/>
      <c r="X5089" s="35"/>
      <c r="Y5089" s="182"/>
      <c r="Z5089" s="175"/>
      <c r="AA5089" s="182"/>
      <c r="AB5089" s="184"/>
    </row>
    <row r="5090" spans="1:28" ht="12.75">
      <c r="A5090" s="173"/>
      <c r="B5090" s="174"/>
      <c r="C5090" s="11"/>
      <c r="D5090" s="175"/>
      <c r="E5090" s="176"/>
      <c r="F5090" s="177"/>
      <c r="G5090" s="178"/>
      <c r="H5090" s="177"/>
      <c r="I5090" s="177"/>
      <c r="J5090" s="179"/>
      <c r="K5090" s="183"/>
      <c r="L5090" s="176"/>
      <c r="M5090" s="177"/>
      <c r="N5090" s="21"/>
      <c r="O5090" s="45"/>
      <c r="P5090" s="24"/>
      <c r="Q5090" s="24"/>
      <c r="R5090" s="180"/>
      <c r="S5090" s="181"/>
      <c r="T5090" s="35"/>
      <c r="U5090" s="35"/>
      <c r="V5090" s="35"/>
      <c r="W5090" s="35"/>
      <c r="X5090" s="35"/>
      <c r="Y5090" s="182"/>
      <c r="Z5090" s="175"/>
      <c r="AA5090" s="182"/>
      <c r="AB5090" s="184"/>
    </row>
    <row r="5091" spans="1:28" ht="12.75">
      <c r="A5091" s="173"/>
      <c r="B5091" s="174"/>
      <c r="C5091" s="11"/>
      <c r="D5091" s="175"/>
      <c r="E5091" s="176"/>
      <c r="F5091" s="177"/>
      <c r="G5091" s="178"/>
      <c r="H5091" s="177"/>
      <c r="I5091" s="177"/>
      <c r="J5091" s="179"/>
      <c r="K5091" s="183"/>
      <c r="L5091" s="176"/>
      <c r="M5091" s="177"/>
      <c r="N5091" s="21"/>
      <c r="O5091" s="45"/>
      <c r="P5091" s="24"/>
      <c r="Q5091" s="24"/>
      <c r="R5091" s="180"/>
      <c r="S5091" s="181"/>
      <c r="T5091" s="35"/>
      <c r="U5091" s="35"/>
      <c r="V5091" s="35"/>
      <c r="W5091" s="35"/>
      <c r="X5091" s="35"/>
      <c r="Y5091" s="182"/>
      <c r="Z5091" s="175"/>
      <c r="AA5091" s="182"/>
      <c r="AB5091" s="184"/>
    </row>
    <row r="5092" spans="1:28" ht="12.75">
      <c r="A5092" s="173"/>
      <c r="B5092" s="174"/>
      <c r="C5092" s="11"/>
      <c r="D5092" s="175"/>
      <c r="E5092" s="176"/>
      <c r="F5092" s="177"/>
      <c r="G5092" s="178"/>
      <c r="H5092" s="177"/>
      <c r="I5092" s="177"/>
      <c r="J5092" s="179"/>
      <c r="K5092" s="183"/>
      <c r="L5092" s="176"/>
      <c r="M5092" s="177"/>
      <c r="N5092" s="21"/>
      <c r="O5092" s="45"/>
      <c r="P5092" s="24"/>
      <c r="Q5092" s="24"/>
      <c r="R5092" s="180"/>
      <c r="S5092" s="181"/>
      <c r="T5092" s="35"/>
      <c r="U5092" s="35"/>
      <c r="V5092" s="35"/>
      <c r="W5092" s="35"/>
      <c r="X5092" s="35"/>
      <c r="Y5092" s="182"/>
      <c r="Z5092" s="175"/>
      <c r="AA5092" s="182"/>
      <c r="AB5092" s="184"/>
    </row>
    <row r="5093" spans="1:28" ht="12.75">
      <c r="A5093" s="173"/>
      <c r="B5093" s="174"/>
      <c r="C5093" s="11"/>
      <c r="D5093" s="175"/>
      <c r="E5093" s="176"/>
      <c r="F5093" s="177"/>
      <c r="G5093" s="178"/>
      <c r="H5093" s="177"/>
      <c r="I5093" s="177"/>
      <c r="J5093" s="179"/>
      <c r="K5093" s="183"/>
      <c r="L5093" s="176"/>
      <c r="M5093" s="177"/>
      <c r="N5093" s="21"/>
      <c r="O5093" s="45"/>
      <c r="P5093" s="24"/>
      <c r="Q5093" s="24"/>
      <c r="R5093" s="180"/>
      <c r="S5093" s="181"/>
      <c r="T5093" s="35"/>
      <c r="U5093" s="35"/>
      <c r="V5093" s="35"/>
      <c r="W5093" s="35"/>
      <c r="X5093" s="35"/>
      <c r="Y5093" s="182"/>
      <c r="Z5093" s="175"/>
      <c r="AA5093" s="182"/>
      <c r="AB5093" s="184"/>
    </row>
    <row r="5094" spans="1:28" ht="12.75">
      <c r="A5094" s="173"/>
      <c r="B5094" s="174"/>
      <c r="C5094" s="11"/>
      <c r="D5094" s="175"/>
      <c r="E5094" s="176"/>
      <c r="F5094" s="177"/>
      <c r="G5094" s="178"/>
      <c r="H5094" s="177"/>
      <c r="I5094" s="177"/>
      <c r="J5094" s="179"/>
      <c r="K5094" s="183"/>
      <c r="L5094" s="176"/>
      <c r="M5094" s="177"/>
      <c r="N5094" s="21"/>
      <c r="O5094" s="45"/>
      <c r="P5094" s="24"/>
      <c r="Q5094" s="24"/>
      <c r="R5094" s="180"/>
      <c r="S5094" s="181"/>
      <c r="T5094" s="35"/>
      <c r="U5094" s="35"/>
      <c r="V5094" s="35"/>
      <c r="W5094" s="35"/>
      <c r="X5094" s="35"/>
      <c r="Y5094" s="182"/>
      <c r="Z5094" s="175"/>
      <c r="AA5094" s="182"/>
      <c r="AB5094" s="184"/>
    </row>
    <row r="5095" spans="1:28" ht="12.75">
      <c r="A5095" s="173"/>
      <c r="B5095" s="174"/>
      <c r="C5095" s="11"/>
      <c r="D5095" s="175"/>
      <c r="E5095" s="176"/>
      <c r="F5095" s="177"/>
      <c r="G5095" s="178"/>
      <c r="H5095" s="177"/>
      <c r="I5095" s="177"/>
      <c r="J5095" s="179"/>
      <c r="K5095" s="183"/>
      <c r="L5095" s="176"/>
      <c r="M5095" s="177"/>
      <c r="N5095" s="21"/>
      <c r="O5095" s="45"/>
      <c r="P5095" s="24"/>
      <c r="Q5095" s="24"/>
      <c r="R5095" s="180"/>
      <c r="S5095" s="181"/>
      <c r="T5095" s="35"/>
      <c r="U5095" s="35"/>
      <c r="V5095" s="35"/>
      <c r="W5095" s="35"/>
      <c r="X5095" s="35"/>
      <c r="Y5095" s="182"/>
      <c r="Z5095" s="175"/>
      <c r="AA5095" s="182"/>
      <c r="AB5095" s="184"/>
    </row>
    <row r="5096" spans="1:28" ht="12.75">
      <c r="A5096" s="173"/>
      <c r="B5096" s="174"/>
      <c r="C5096" s="11"/>
      <c r="D5096" s="175"/>
      <c r="E5096" s="176"/>
      <c r="F5096" s="177"/>
      <c r="G5096" s="178"/>
      <c r="H5096" s="177"/>
      <c r="I5096" s="177"/>
      <c r="J5096" s="179"/>
      <c r="K5096" s="183"/>
      <c r="L5096" s="176"/>
      <c r="M5096" s="177"/>
      <c r="N5096" s="21"/>
      <c r="O5096" s="45"/>
      <c r="P5096" s="24"/>
      <c r="Q5096" s="24"/>
      <c r="R5096" s="180"/>
      <c r="S5096" s="181"/>
      <c r="T5096" s="35"/>
      <c r="U5096" s="35"/>
      <c r="V5096" s="35"/>
      <c r="W5096" s="35"/>
      <c r="X5096" s="35"/>
      <c r="Y5096" s="182"/>
      <c r="Z5096" s="175"/>
      <c r="AA5096" s="182"/>
      <c r="AB5096" s="184"/>
    </row>
    <row r="5097" spans="1:28" ht="12.75">
      <c r="A5097" s="173"/>
      <c r="B5097" s="174"/>
      <c r="C5097" s="11"/>
      <c r="D5097" s="175"/>
      <c r="E5097" s="176"/>
      <c r="F5097" s="177"/>
      <c r="G5097" s="178"/>
      <c r="H5097" s="177"/>
      <c r="I5097" s="177"/>
      <c r="J5097" s="179"/>
      <c r="K5097" s="183"/>
      <c r="L5097" s="176"/>
      <c r="M5097" s="177"/>
      <c r="N5097" s="21"/>
      <c r="O5097" s="45"/>
      <c r="P5097" s="24"/>
      <c r="Q5097" s="24"/>
      <c r="R5097" s="180"/>
      <c r="S5097" s="181"/>
      <c r="T5097" s="35"/>
      <c r="U5097" s="35"/>
      <c r="V5097" s="35"/>
      <c r="W5097" s="35"/>
      <c r="X5097" s="35"/>
      <c r="Y5097" s="182"/>
      <c r="Z5097" s="175"/>
      <c r="AA5097" s="182"/>
      <c r="AB5097" s="184"/>
    </row>
    <row r="5098" spans="1:28" ht="12.75">
      <c r="A5098" s="173"/>
      <c r="B5098" s="174"/>
      <c r="C5098" s="11"/>
      <c r="D5098" s="175"/>
      <c r="E5098" s="176"/>
      <c r="F5098" s="177"/>
      <c r="G5098" s="178"/>
      <c r="H5098" s="177"/>
      <c r="I5098" s="177"/>
      <c r="J5098" s="179"/>
      <c r="K5098" s="183"/>
      <c r="L5098" s="176"/>
      <c r="M5098" s="177"/>
      <c r="N5098" s="21"/>
      <c r="O5098" s="45"/>
      <c r="P5098" s="24"/>
      <c r="Q5098" s="24"/>
      <c r="R5098" s="180"/>
      <c r="S5098" s="181"/>
      <c r="T5098" s="35"/>
      <c r="U5098" s="35"/>
      <c r="V5098" s="35"/>
      <c r="W5098" s="35"/>
      <c r="X5098" s="35"/>
      <c r="Y5098" s="182"/>
      <c r="Z5098" s="175"/>
      <c r="AA5098" s="182"/>
      <c r="AB5098" s="184"/>
    </row>
    <row r="5099" spans="1:28" ht="12.75">
      <c r="A5099" s="173"/>
      <c r="B5099" s="174"/>
      <c r="C5099" s="11"/>
      <c r="D5099" s="175"/>
      <c r="E5099" s="176"/>
      <c r="F5099" s="177"/>
      <c r="G5099" s="178"/>
      <c r="H5099" s="177"/>
      <c r="I5099" s="177"/>
      <c r="J5099" s="179"/>
      <c r="K5099" s="183"/>
      <c r="L5099" s="176"/>
      <c r="M5099" s="177"/>
      <c r="N5099" s="21"/>
      <c r="O5099" s="45"/>
      <c r="P5099" s="24"/>
      <c r="Q5099" s="24"/>
      <c r="R5099" s="180"/>
      <c r="S5099" s="181"/>
      <c r="T5099" s="35"/>
      <c r="U5099" s="35"/>
      <c r="V5099" s="35"/>
      <c r="W5099" s="35"/>
      <c r="X5099" s="35"/>
      <c r="Y5099" s="182"/>
      <c r="Z5099" s="175"/>
      <c r="AA5099" s="182"/>
      <c r="AB5099" s="184"/>
    </row>
    <row r="5100" spans="1:28" ht="12.75">
      <c r="A5100" s="173"/>
      <c r="B5100" s="174"/>
      <c r="C5100" s="11"/>
      <c r="D5100" s="175"/>
      <c r="E5100" s="176"/>
      <c r="F5100" s="177"/>
      <c r="G5100" s="178"/>
      <c r="H5100" s="177"/>
      <c r="I5100" s="177"/>
      <c r="J5100" s="179"/>
      <c r="K5100" s="183"/>
      <c r="L5100" s="176"/>
      <c r="M5100" s="177"/>
      <c r="N5100" s="21"/>
      <c r="O5100" s="45"/>
      <c r="P5100" s="24"/>
      <c r="Q5100" s="24"/>
      <c r="R5100" s="180"/>
      <c r="S5100" s="181"/>
      <c r="T5100" s="35"/>
      <c r="U5100" s="35"/>
      <c r="V5100" s="35"/>
      <c r="W5100" s="35"/>
      <c r="X5100" s="35"/>
      <c r="Y5100" s="182"/>
      <c r="Z5100" s="175"/>
      <c r="AA5100" s="182"/>
      <c r="AB5100" s="184"/>
    </row>
    <row r="5101" spans="1:28" ht="12.75">
      <c r="A5101" s="173"/>
      <c r="B5101" s="174"/>
      <c r="C5101" s="11"/>
      <c r="D5101" s="175"/>
      <c r="E5101" s="176"/>
      <c r="F5101" s="177"/>
      <c r="G5101" s="178"/>
      <c r="H5101" s="177"/>
      <c r="I5101" s="177"/>
      <c r="J5101" s="179"/>
      <c r="K5101" s="183"/>
      <c r="L5101" s="176"/>
      <c r="M5101" s="177"/>
      <c r="N5101" s="21"/>
      <c r="O5101" s="45"/>
      <c r="P5101" s="24"/>
      <c r="Q5101" s="24"/>
      <c r="R5101" s="180"/>
      <c r="S5101" s="181"/>
      <c r="T5101" s="35"/>
      <c r="U5101" s="35"/>
      <c r="V5101" s="35"/>
      <c r="W5101" s="35"/>
      <c r="X5101" s="35"/>
      <c r="Y5101" s="182"/>
      <c r="Z5101" s="175"/>
      <c r="AA5101" s="182"/>
      <c r="AB5101" s="184"/>
    </row>
    <row r="5102" spans="1:28" ht="12.75">
      <c r="A5102" s="173"/>
      <c r="B5102" s="174"/>
      <c r="C5102" s="11"/>
      <c r="D5102" s="175"/>
      <c r="E5102" s="176"/>
      <c r="F5102" s="177"/>
      <c r="G5102" s="178"/>
      <c r="H5102" s="177"/>
      <c r="I5102" s="177"/>
      <c r="J5102" s="179"/>
      <c r="K5102" s="183"/>
      <c r="L5102" s="176"/>
      <c r="M5102" s="177"/>
      <c r="N5102" s="21"/>
      <c r="O5102" s="45"/>
      <c r="P5102" s="24"/>
      <c r="Q5102" s="24"/>
      <c r="R5102" s="180"/>
      <c r="S5102" s="181"/>
      <c r="T5102" s="35"/>
      <c r="U5102" s="35"/>
      <c r="V5102" s="35"/>
      <c r="W5102" s="35"/>
      <c r="X5102" s="35"/>
      <c r="Y5102" s="182"/>
      <c r="Z5102" s="175"/>
      <c r="AA5102" s="182"/>
      <c r="AB5102" s="184"/>
    </row>
    <row r="5103" spans="1:28" ht="12.75">
      <c r="A5103" s="173"/>
      <c r="B5103" s="174"/>
      <c r="C5103" s="11"/>
      <c r="D5103" s="175"/>
      <c r="E5103" s="176"/>
      <c r="F5103" s="177"/>
      <c r="G5103" s="178"/>
      <c r="H5103" s="177"/>
      <c r="I5103" s="177"/>
      <c r="J5103" s="179"/>
      <c r="K5103" s="183"/>
      <c r="L5103" s="176"/>
      <c r="M5103" s="177"/>
      <c r="N5103" s="21"/>
      <c r="O5103" s="45"/>
      <c r="P5103" s="24"/>
      <c r="Q5103" s="24"/>
      <c r="R5103" s="180"/>
      <c r="S5103" s="181"/>
      <c r="T5103" s="35"/>
      <c r="U5103" s="35"/>
      <c r="V5103" s="35"/>
      <c r="W5103" s="35"/>
      <c r="X5103" s="35"/>
      <c r="Y5103" s="182"/>
      <c r="Z5103" s="175"/>
      <c r="AA5103" s="182"/>
      <c r="AB5103" s="184"/>
    </row>
    <row r="5104" spans="1:28" ht="12.75">
      <c r="A5104" s="173"/>
      <c r="B5104" s="174"/>
      <c r="C5104" s="11"/>
      <c r="D5104" s="175"/>
      <c r="E5104" s="176"/>
      <c r="F5104" s="177"/>
      <c r="G5104" s="178"/>
      <c r="H5104" s="177"/>
      <c r="I5104" s="177"/>
      <c r="J5104" s="179"/>
      <c r="K5104" s="183"/>
      <c r="L5104" s="176"/>
      <c r="M5104" s="177"/>
      <c r="N5104" s="21"/>
      <c r="O5104" s="45"/>
      <c r="P5104" s="24"/>
      <c r="Q5104" s="24"/>
      <c r="R5104" s="180"/>
      <c r="S5104" s="181"/>
      <c r="T5104" s="35"/>
      <c r="U5104" s="35"/>
      <c r="V5104" s="35"/>
      <c r="W5104" s="35"/>
      <c r="X5104" s="35"/>
      <c r="Y5104" s="182"/>
      <c r="Z5104" s="175"/>
      <c r="AA5104" s="182"/>
      <c r="AB5104" s="184"/>
    </row>
    <row r="5105" spans="1:28" ht="12.75">
      <c r="A5105" s="173"/>
      <c r="B5105" s="174"/>
      <c r="C5105" s="11"/>
      <c r="D5105" s="175"/>
      <c r="E5105" s="176"/>
      <c r="F5105" s="177"/>
      <c r="G5105" s="178"/>
      <c r="H5105" s="177"/>
      <c r="I5105" s="177"/>
      <c r="J5105" s="179"/>
      <c r="K5105" s="183"/>
      <c r="L5105" s="176"/>
      <c r="M5105" s="177"/>
      <c r="N5105" s="21"/>
      <c r="O5105" s="45"/>
      <c r="P5105" s="24"/>
      <c r="Q5105" s="24"/>
      <c r="R5105" s="180"/>
      <c r="S5105" s="181"/>
      <c r="T5105" s="35"/>
      <c r="U5105" s="35"/>
      <c r="V5105" s="35"/>
      <c r="W5105" s="35"/>
      <c r="X5105" s="35"/>
      <c r="Y5105" s="182"/>
      <c r="Z5105" s="175"/>
      <c r="AA5105" s="182"/>
      <c r="AB5105" s="184"/>
    </row>
    <row r="5106" spans="1:28" ht="12.75">
      <c r="A5106" s="173"/>
      <c r="B5106" s="174"/>
      <c r="C5106" s="11"/>
      <c r="D5106" s="175"/>
      <c r="E5106" s="176"/>
      <c r="F5106" s="177"/>
      <c r="G5106" s="178"/>
      <c r="H5106" s="177"/>
      <c r="I5106" s="177"/>
      <c r="J5106" s="179"/>
      <c r="K5106" s="183"/>
      <c r="L5106" s="176"/>
      <c r="M5106" s="177"/>
      <c r="N5106" s="21"/>
      <c r="O5106" s="45"/>
      <c r="P5106" s="24"/>
      <c r="Q5106" s="24"/>
      <c r="R5106" s="180"/>
      <c r="S5106" s="181"/>
      <c r="T5106" s="35"/>
      <c r="U5106" s="35"/>
      <c r="V5106" s="35"/>
      <c r="W5106" s="35"/>
      <c r="X5106" s="35"/>
      <c r="Y5106" s="182"/>
      <c r="Z5106" s="175"/>
      <c r="AA5106" s="182"/>
      <c r="AB5106" s="184"/>
    </row>
    <row r="5107" spans="1:28" ht="12.75">
      <c r="A5107" s="173"/>
      <c r="B5107" s="174"/>
      <c r="C5107" s="11"/>
      <c r="D5107" s="175"/>
      <c r="E5107" s="176"/>
      <c r="F5107" s="177"/>
      <c r="G5107" s="178"/>
      <c r="H5107" s="177"/>
      <c r="I5107" s="177"/>
      <c r="J5107" s="179"/>
      <c r="K5107" s="183"/>
      <c r="L5107" s="176"/>
      <c r="M5107" s="177"/>
      <c r="N5107" s="21"/>
      <c r="O5107" s="45"/>
      <c r="P5107" s="24"/>
      <c r="Q5107" s="24"/>
      <c r="R5107" s="180"/>
      <c r="S5107" s="181"/>
      <c r="T5107" s="35"/>
      <c r="U5107" s="35"/>
      <c r="V5107" s="35"/>
      <c r="W5107" s="35"/>
      <c r="X5107" s="35"/>
      <c r="Y5107" s="182"/>
      <c r="Z5107" s="175"/>
      <c r="AA5107" s="182"/>
      <c r="AB5107" s="184"/>
    </row>
    <row r="5108" spans="1:28" ht="12.75">
      <c r="A5108" s="173"/>
      <c r="B5108" s="174"/>
      <c r="C5108" s="11"/>
      <c r="D5108" s="175"/>
      <c r="E5108" s="176"/>
      <c r="F5108" s="177"/>
      <c r="G5108" s="178"/>
      <c r="H5108" s="177"/>
      <c r="I5108" s="177"/>
      <c r="J5108" s="179"/>
      <c r="K5108" s="183"/>
      <c r="L5108" s="176"/>
      <c r="M5108" s="177"/>
      <c r="N5108" s="21"/>
      <c r="O5108" s="45"/>
      <c r="P5108" s="24"/>
      <c r="Q5108" s="24"/>
      <c r="R5108" s="180"/>
      <c r="S5108" s="181"/>
      <c r="T5108" s="35"/>
      <c r="U5108" s="35"/>
      <c r="V5108" s="35"/>
      <c r="W5108" s="35"/>
      <c r="X5108" s="35"/>
      <c r="Y5108" s="182"/>
      <c r="Z5108" s="175"/>
      <c r="AA5108" s="182"/>
      <c r="AB5108" s="184"/>
    </row>
    <row r="5109" spans="1:28" ht="12.75">
      <c r="A5109" s="173"/>
      <c r="B5109" s="174"/>
      <c r="C5109" s="11"/>
      <c r="D5109" s="175"/>
      <c r="E5109" s="176"/>
      <c r="F5109" s="177"/>
      <c r="G5109" s="178"/>
      <c r="H5109" s="177"/>
      <c r="I5109" s="177"/>
      <c r="J5109" s="179"/>
      <c r="K5109" s="183"/>
      <c r="L5109" s="176"/>
      <c r="M5109" s="177"/>
      <c r="N5109" s="21"/>
      <c r="O5109" s="45"/>
      <c r="P5109" s="24"/>
      <c r="Q5109" s="24"/>
      <c r="R5109" s="180"/>
      <c r="S5109" s="181"/>
      <c r="T5109" s="35"/>
      <c r="U5109" s="35"/>
      <c r="V5109" s="35"/>
      <c r="W5109" s="35"/>
      <c r="X5109" s="35"/>
      <c r="Y5109" s="182"/>
      <c r="Z5109" s="175"/>
      <c r="AA5109" s="182"/>
      <c r="AB5109" s="184"/>
    </row>
    <row r="5110" spans="1:28" ht="12.75">
      <c r="A5110" s="173"/>
      <c r="B5110" s="174"/>
      <c r="C5110" s="11"/>
      <c r="D5110" s="175"/>
      <c r="E5110" s="176"/>
      <c r="F5110" s="177"/>
      <c r="G5110" s="178"/>
      <c r="H5110" s="177"/>
      <c r="I5110" s="177"/>
      <c r="J5110" s="179"/>
      <c r="K5110" s="183"/>
      <c r="L5110" s="176"/>
      <c r="M5110" s="177"/>
      <c r="N5110" s="21"/>
      <c r="O5110" s="45"/>
      <c r="P5110" s="24"/>
      <c r="Q5110" s="24"/>
      <c r="R5110" s="180"/>
      <c r="S5110" s="181"/>
      <c r="T5110" s="35"/>
      <c r="U5110" s="35"/>
      <c r="V5110" s="35"/>
      <c r="W5110" s="35"/>
      <c r="X5110" s="35"/>
      <c r="Y5110" s="182"/>
      <c r="Z5110" s="175"/>
      <c r="AA5110" s="182"/>
      <c r="AB5110" s="184"/>
    </row>
    <row r="5111" spans="1:28" ht="12.75">
      <c r="A5111" s="173"/>
      <c r="B5111" s="174"/>
      <c r="C5111" s="11"/>
      <c r="D5111" s="175"/>
      <c r="E5111" s="176"/>
      <c r="F5111" s="177"/>
      <c r="G5111" s="178"/>
      <c r="H5111" s="177"/>
      <c r="I5111" s="177"/>
      <c r="J5111" s="179"/>
      <c r="K5111" s="183"/>
      <c r="L5111" s="176"/>
      <c r="M5111" s="177"/>
      <c r="N5111" s="21"/>
      <c r="O5111" s="45"/>
      <c r="P5111" s="24"/>
      <c r="Q5111" s="24"/>
      <c r="R5111" s="180"/>
      <c r="S5111" s="181"/>
      <c r="T5111" s="35"/>
      <c r="U5111" s="35"/>
      <c r="V5111" s="35"/>
      <c r="W5111" s="35"/>
      <c r="X5111" s="35"/>
      <c r="Y5111" s="182"/>
      <c r="Z5111" s="175"/>
      <c r="AA5111" s="182"/>
      <c r="AB5111" s="184"/>
    </row>
    <row r="5112" spans="1:28" ht="12.75">
      <c r="A5112" s="173"/>
      <c r="B5112" s="174"/>
      <c r="C5112" s="11"/>
      <c r="D5112" s="175"/>
      <c r="E5112" s="176"/>
      <c r="F5112" s="177"/>
      <c r="G5112" s="178"/>
      <c r="H5112" s="177"/>
      <c r="I5112" s="177"/>
      <c r="J5112" s="179"/>
      <c r="K5112" s="183"/>
      <c r="L5112" s="176"/>
      <c r="M5112" s="177"/>
      <c r="N5112" s="21"/>
      <c r="O5112" s="45"/>
      <c r="P5112" s="24"/>
      <c r="Q5112" s="24"/>
      <c r="R5112" s="180"/>
      <c r="S5112" s="181"/>
      <c r="T5112" s="35"/>
      <c r="U5112" s="35"/>
      <c r="V5112" s="35"/>
      <c r="W5112" s="35"/>
      <c r="X5112" s="35"/>
      <c r="Y5112" s="182"/>
      <c r="Z5112" s="175"/>
      <c r="AA5112" s="182"/>
      <c r="AB5112" s="184"/>
    </row>
    <row r="5113" spans="1:28" ht="12.75">
      <c r="A5113" s="173"/>
      <c r="B5113" s="174"/>
      <c r="C5113" s="11"/>
      <c r="D5113" s="175"/>
      <c r="E5113" s="176"/>
      <c r="F5113" s="177"/>
      <c r="G5113" s="178"/>
      <c r="H5113" s="177"/>
      <c r="I5113" s="177"/>
      <c r="J5113" s="179"/>
      <c r="K5113" s="183"/>
      <c r="L5113" s="176"/>
      <c r="M5113" s="177"/>
      <c r="N5113" s="21"/>
      <c r="O5113" s="45"/>
      <c r="P5113" s="24"/>
      <c r="Q5113" s="24"/>
      <c r="R5113" s="180"/>
      <c r="S5113" s="181"/>
      <c r="T5113" s="35"/>
      <c r="U5113" s="35"/>
      <c r="V5113" s="35"/>
      <c r="W5113" s="35"/>
      <c r="X5113" s="35"/>
      <c r="Y5113" s="182"/>
      <c r="Z5113" s="175"/>
      <c r="AA5113" s="182"/>
      <c r="AB5113" s="184"/>
    </row>
    <row r="5114" spans="1:28" ht="12.75">
      <c r="A5114" s="173"/>
      <c r="B5114" s="174"/>
      <c r="C5114" s="11"/>
      <c r="D5114" s="175"/>
      <c r="E5114" s="176"/>
      <c r="F5114" s="177"/>
      <c r="G5114" s="178"/>
      <c r="H5114" s="177"/>
      <c r="I5114" s="177"/>
      <c r="J5114" s="179"/>
      <c r="K5114" s="183"/>
      <c r="L5114" s="176"/>
      <c r="M5114" s="177"/>
      <c r="N5114" s="21"/>
      <c r="O5114" s="45"/>
      <c r="P5114" s="24"/>
      <c r="Q5114" s="24"/>
      <c r="R5114" s="180"/>
      <c r="S5114" s="181"/>
      <c r="T5114" s="35"/>
      <c r="U5114" s="35"/>
      <c r="V5114" s="35"/>
      <c r="W5114" s="35"/>
      <c r="X5114" s="35"/>
      <c r="Y5114" s="182"/>
      <c r="Z5114" s="175"/>
      <c r="AA5114" s="182"/>
      <c r="AB5114" s="184"/>
    </row>
    <row r="5115" spans="1:28" ht="12.75">
      <c r="A5115" s="173"/>
      <c r="B5115" s="174"/>
      <c r="C5115" s="11"/>
      <c r="D5115" s="175"/>
      <c r="E5115" s="176"/>
      <c r="F5115" s="177"/>
      <c r="G5115" s="178"/>
      <c r="H5115" s="177"/>
      <c r="I5115" s="177"/>
      <c r="J5115" s="179"/>
      <c r="K5115" s="183"/>
      <c r="L5115" s="176"/>
      <c r="M5115" s="177"/>
      <c r="N5115" s="21"/>
      <c r="O5115" s="45"/>
      <c r="P5115" s="24"/>
      <c r="Q5115" s="24"/>
      <c r="R5115" s="180"/>
      <c r="S5115" s="181"/>
      <c r="T5115" s="35"/>
      <c r="U5115" s="35"/>
      <c r="V5115" s="35"/>
      <c r="W5115" s="35"/>
      <c r="X5115" s="35"/>
      <c r="Y5115" s="182"/>
      <c r="Z5115" s="175"/>
      <c r="AA5115" s="182"/>
      <c r="AB5115" s="184"/>
    </row>
    <row r="5116" spans="1:28" ht="12.75">
      <c r="A5116" s="173"/>
      <c r="B5116" s="174"/>
      <c r="C5116" s="11"/>
      <c r="D5116" s="175"/>
      <c r="E5116" s="176"/>
      <c r="F5116" s="177"/>
      <c r="G5116" s="178"/>
      <c r="H5116" s="177"/>
      <c r="I5116" s="177"/>
      <c r="J5116" s="179"/>
      <c r="K5116" s="183"/>
      <c r="L5116" s="176"/>
      <c r="M5116" s="177"/>
      <c r="N5116" s="21"/>
      <c r="O5116" s="45"/>
      <c r="P5116" s="24"/>
      <c r="Q5116" s="24"/>
      <c r="R5116" s="180"/>
      <c r="S5116" s="181"/>
      <c r="T5116" s="35"/>
      <c r="U5116" s="35"/>
      <c r="V5116" s="35"/>
      <c r="W5116" s="35"/>
      <c r="X5116" s="35"/>
      <c r="Y5116" s="182"/>
      <c r="Z5116" s="175"/>
      <c r="AA5116" s="182"/>
      <c r="AB5116" s="184"/>
    </row>
    <row r="5117" spans="1:28" ht="12.75">
      <c r="A5117" s="173"/>
      <c r="B5117" s="174"/>
      <c r="C5117" s="11"/>
      <c r="D5117" s="175"/>
      <c r="E5117" s="176"/>
      <c r="F5117" s="177"/>
      <c r="G5117" s="178"/>
      <c r="H5117" s="177"/>
      <c r="I5117" s="177"/>
      <c r="J5117" s="179"/>
      <c r="K5117" s="183"/>
      <c r="L5117" s="176"/>
      <c r="M5117" s="177"/>
      <c r="N5117" s="21"/>
      <c r="O5117" s="45"/>
      <c r="P5117" s="24"/>
      <c r="Q5117" s="24"/>
      <c r="R5117" s="180"/>
      <c r="S5117" s="181"/>
      <c r="T5117" s="35"/>
      <c r="U5117" s="35"/>
      <c r="V5117" s="35"/>
      <c r="W5117" s="35"/>
      <c r="X5117" s="35"/>
      <c r="Y5117" s="182"/>
      <c r="Z5117" s="175"/>
      <c r="AA5117" s="182"/>
      <c r="AB5117" s="184"/>
    </row>
    <row r="5118" spans="1:28" ht="12.75">
      <c r="A5118" s="173"/>
      <c r="B5118" s="174"/>
      <c r="C5118" s="11"/>
      <c r="D5118" s="175"/>
      <c r="E5118" s="176"/>
      <c r="F5118" s="177"/>
      <c r="G5118" s="178"/>
      <c r="H5118" s="177"/>
      <c r="I5118" s="177"/>
      <c r="J5118" s="179"/>
      <c r="K5118" s="183"/>
      <c r="L5118" s="176"/>
      <c r="M5118" s="177"/>
      <c r="N5118" s="21"/>
      <c r="O5118" s="45"/>
      <c r="P5118" s="24"/>
      <c r="Q5118" s="24"/>
      <c r="R5118" s="180"/>
      <c r="S5118" s="181"/>
      <c r="T5118" s="35"/>
      <c r="U5118" s="35"/>
      <c r="V5118" s="35"/>
      <c r="W5118" s="35"/>
      <c r="X5118" s="35"/>
      <c r="Y5118" s="182"/>
      <c r="Z5118" s="175"/>
      <c r="AA5118" s="182"/>
      <c r="AB5118" s="184"/>
    </row>
    <row r="5119" spans="1:28" ht="12.75">
      <c r="A5119" s="173"/>
      <c r="B5119" s="174"/>
      <c r="C5119" s="11"/>
      <c r="D5119" s="175"/>
      <c r="E5119" s="176"/>
      <c r="F5119" s="177"/>
      <c r="G5119" s="178"/>
      <c r="H5119" s="177"/>
      <c r="I5119" s="177"/>
      <c r="J5119" s="179"/>
      <c r="K5119" s="183"/>
      <c r="L5119" s="176"/>
      <c r="M5119" s="177"/>
      <c r="N5119" s="21"/>
      <c r="O5119" s="45"/>
      <c r="P5119" s="24"/>
      <c r="Q5119" s="24"/>
      <c r="R5119" s="180"/>
      <c r="S5119" s="181"/>
      <c r="T5119" s="35"/>
      <c r="U5119" s="35"/>
      <c r="V5119" s="35"/>
      <c r="W5119" s="35"/>
      <c r="X5119" s="35"/>
      <c r="Y5119" s="182"/>
      <c r="Z5119" s="175"/>
      <c r="AA5119" s="182"/>
      <c r="AB5119" s="184"/>
    </row>
    <row r="5120" spans="1:28" ht="12.75">
      <c r="A5120" s="173"/>
      <c r="B5120" s="174"/>
      <c r="C5120" s="11"/>
      <c r="D5120" s="175"/>
      <c r="E5120" s="176"/>
      <c r="F5120" s="177"/>
      <c r="G5120" s="178"/>
      <c r="H5120" s="177"/>
      <c r="I5120" s="177"/>
      <c r="J5120" s="179"/>
      <c r="K5120" s="183"/>
      <c r="L5120" s="176"/>
      <c r="M5120" s="177"/>
      <c r="N5120" s="21"/>
      <c r="O5120" s="45"/>
      <c r="P5120" s="24"/>
      <c r="Q5120" s="24"/>
      <c r="R5120" s="180"/>
      <c r="S5120" s="181"/>
      <c r="T5120" s="35"/>
      <c r="U5120" s="35"/>
      <c r="V5120" s="35"/>
      <c r="W5120" s="35"/>
      <c r="X5120" s="35"/>
      <c r="Y5120" s="182"/>
      <c r="Z5120" s="175"/>
      <c r="AA5120" s="182"/>
      <c r="AB5120" s="184"/>
    </row>
    <row r="5121" spans="1:28" ht="12.75">
      <c r="A5121" s="173"/>
      <c r="B5121" s="174"/>
      <c r="C5121" s="11"/>
      <c r="D5121" s="175"/>
      <c r="E5121" s="176"/>
      <c r="F5121" s="177"/>
      <c r="G5121" s="178"/>
      <c r="H5121" s="177"/>
      <c r="I5121" s="177"/>
      <c r="J5121" s="179"/>
      <c r="K5121" s="183"/>
      <c r="L5121" s="176"/>
      <c r="M5121" s="177"/>
      <c r="N5121" s="21"/>
      <c r="O5121" s="45"/>
      <c r="P5121" s="24"/>
      <c r="Q5121" s="24"/>
      <c r="R5121" s="180"/>
      <c r="S5121" s="181"/>
      <c r="T5121" s="35"/>
      <c r="U5121" s="35"/>
      <c r="V5121" s="35"/>
      <c r="W5121" s="35"/>
      <c r="X5121" s="35"/>
      <c r="Y5121" s="182"/>
      <c r="Z5121" s="175"/>
      <c r="AA5121" s="182"/>
      <c r="AB5121" s="184"/>
    </row>
    <row r="5122" spans="1:28" ht="12.75">
      <c r="A5122" s="173"/>
      <c r="B5122" s="174"/>
      <c r="C5122" s="11"/>
      <c r="D5122" s="175"/>
      <c r="E5122" s="176"/>
      <c r="F5122" s="177"/>
      <c r="G5122" s="178"/>
      <c r="H5122" s="177"/>
      <c r="I5122" s="177"/>
      <c r="J5122" s="179"/>
      <c r="K5122" s="183"/>
      <c r="L5122" s="176"/>
      <c r="M5122" s="177"/>
      <c r="N5122" s="21"/>
      <c r="O5122" s="45"/>
      <c r="P5122" s="24"/>
      <c r="Q5122" s="24"/>
      <c r="R5122" s="180"/>
      <c r="S5122" s="181"/>
      <c r="T5122" s="35"/>
      <c r="U5122" s="35"/>
      <c r="V5122" s="35"/>
      <c r="W5122" s="35"/>
      <c r="X5122" s="35"/>
      <c r="Y5122" s="182"/>
      <c r="Z5122" s="175"/>
      <c r="AA5122" s="182"/>
      <c r="AB5122" s="184"/>
    </row>
    <row r="5123" spans="1:28" ht="12.75">
      <c r="A5123" s="173"/>
      <c r="B5123" s="174"/>
      <c r="C5123" s="11"/>
      <c r="D5123" s="175"/>
      <c r="E5123" s="176"/>
      <c r="F5123" s="177"/>
      <c r="G5123" s="178"/>
      <c r="H5123" s="177"/>
      <c r="I5123" s="177"/>
      <c r="J5123" s="179"/>
      <c r="K5123" s="183"/>
      <c r="L5123" s="176"/>
      <c r="M5123" s="177"/>
      <c r="N5123" s="21"/>
      <c r="O5123" s="45"/>
      <c r="P5123" s="24"/>
      <c r="Q5123" s="24"/>
      <c r="R5123" s="180"/>
      <c r="S5123" s="181"/>
      <c r="T5123" s="35"/>
      <c r="U5123" s="35"/>
      <c r="V5123" s="35"/>
      <c r="W5123" s="35"/>
      <c r="X5123" s="35"/>
      <c r="Y5123" s="182"/>
      <c r="Z5123" s="175"/>
      <c r="AA5123" s="182"/>
      <c r="AB5123" s="184"/>
    </row>
    <row r="5124" spans="1:28" ht="12.75">
      <c r="A5124" s="173"/>
      <c r="B5124" s="174"/>
      <c r="C5124" s="11"/>
      <c r="D5124" s="175"/>
      <c r="E5124" s="176"/>
      <c r="F5124" s="177"/>
      <c r="G5124" s="178"/>
      <c r="H5124" s="177"/>
      <c r="I5124" s="177"/>
      <c r="J5124" s="179"/>
      <c r="K5124" s="183"/>
      <c r="L5124" s="176"/>
      <c r="M5124" s="177"/>
      <c r="N5124" s="21"/>
      <c r="O5124" s="45"/>
      <c r="P5124" s="24"/>
      <c r="Q5124" s="24"/>
      <c r="R5124" s="180"/>
      <c r="S5124" s="181"/>
      <c r="T5124" s="35"/>
      <c r="U5124" s="35"/>
      <c r="V5124" s="35"/>
      <c r="W5124" s="35"/>
      <c r="X5124" s="35"/>
      <c r="Y5124" s="182"/>
      <c r="Z5124" s="175"/>
      <c r="AA5124" s="182"/>
      <c r="AB5124" s="184"/>
    </row>
    <row r="5125" spans="1:28" ht="12.75">
      <c r="A5125" s="173"/>
      <c r="B5125" s="174"/>
      <c r="C5125" s="11"/>
      <c r="D5125" s="175"/>
      <c r="E5125" s="176"/>
      <c r="F5125" s="177"/>
      <c r="G5125" s="178"/>
      <c r="H5125" s="177"/>
      <c r="I5125" s="177"/>
      <c r="J5125" s="179"/>
      <c r="K5125" s="183"/>
      <c r="L5125" s="176"/>
      <c r="M5125" s="177"/>
      <c r="N5125" s="21"/>
      <c r="O5125" s="45"/>
      <c r="P5125" s="24"/>
      <c r="Q5125" s="24"/>
      <c r="R5125" s="180"/>
      <c r="S5125" s="181"/>
      <c r="T5125" s="35"/>
      <c r="U5125" s="35"/>
      <c r="V5125" s="35"/>
      <c r="W5125" s="35"/>
      <c r="X5125" s="35"/>
      <c r="Y5125" s="182"/>
      <c r="Z5125" s="175"/>
      <c r="AA5125" s="182"/>
      <c r="AB5125" s="184"/>
    </row>
    <row r="5126" spans="1:28" ht="12.75">
      <c r="A5126" s="173"/>
      <c r="B5126" s="174"/>
      <c r="C5126" s="11"/>
      <c r="D5126" s="175"/>
      <c r="E5126" s="176"/>
      <c r="F5126" s="177"/>
      <c r="G5126" s="178"/>
      <c r="H5126" s="177"/>
      <c r="I5126" s="177"/>
      <c r="J5126" s="179"/>
      <c r="K5126" s="183"/>
      <c r="L5126" s="176"/>
      <c r="M5126" s="177"/>
      <c r="N5126" s="21"/>
      <c r="O5126" s="45"/>
      <c r="P5126" s="24"/>
      <c r="Q5126" s="24"/>
      <c r="R5126" s="180"/>
      <c r="S5126" s="181"/>
      <c r="T5126" s="35"/>
      <c r="U5126" s="35"/>
      <c r="V5126" s="35"/>
      <c r="W5126" s="35"/>
      <c r="X5126" s="35"/>
      <c r="Y5126" s="182"/>
      <c r="Z5126" s="175"/>
      <c r="AA5126" s="182"/>
      <c r="AB5126" s="184"/>
    </row>
    <row r="5127" spans="1:28" ht="12.75">
      <c r="A5127" s="173"/>
      <c r="B5127" s="174"/>
      <c r="C5127" s="11"/>
      <c r="D5127" s="175"/>
      <c r="E5127" s="176"/>
      <c r="F5127" s="177"/>
      <c r="G5127" s="178"/>
      <c r="H5127" s="177"/>
      <c r="I5127" s="177"/>
      <c r="J5127" s="179"/>
      <c r="K5127" s="183"/>
      <c r="L5127" s="176"/>
      <c r="M5127" s="177"/>
      <c r="N5127" s="21"/>
      <c r="O5127" s="45"/>
      <c r="P5127" s="24"/>
      <c r="Q5127" s="24"/>
      <c r="R5127" s="180"/>
      <c r="S5127" s="181"/>
      <c r="T5127" s="35"/>
      <c r="U5127" s="35"/>
      <c r="V5127" s="35"/>
      <c r="W5127" s="35"/>
      <c r="X5127" s="35"/>
      <c r="Y5127" s="182"/>
      <c r="Z5127" s="175"/>
      <c r="AA5127" s="182"/>
      <c r="AB5127" s="184"/>
    </row>
    <row r="5128" spans="1:28" ht="12.75">
      <c r="A5128" s="173"/>
      <c r="B5128" s="174"/>
      <c r="C5128" s="11"/>
      <c r="D5128" s="175"/>
      <c r="E5128" s="176"/>
      <c r="F5128" s="177"/>
      <c r="G5128" s="178"/>
      <c r="H5128" s="177"/>
      <c r="I5128" s="177"/>
      <c r="J5128" s="179"/>
      <c r="K5128" s="183"/>
      <c r="L5128" s="176"/>
      <c r="M5128" s="177"/>
      <c r="N5128" s="21"/>
      <c r="O5128" s="45"/>
      <c r="P5128" s="24"/>
      <c r="Q5128" s="24"/>
      <c r="R5128" s="180"/>
      <c r="S5128" s="181"/>
      <c r="T5128" s="35"/>
      <c r="U5128" s="35"/>
      <c r="V5128" s="35"/>
      <c r="W5128" s="35"/>
      <c r="X5128" s="35"/>
      <c r="Y5128" s="182"/>
      <c r="Z5128" s="175"/>
      <c r="AA5128" s="182"/>
      <c r="AB5128" s="184"/>
    </row>
    <row r="5129" spans="1:28" ht="12.75">
      <c r="A5129" s="173"/>
      <c r="B5129" s="174"/>
      <c r="C5129" s="11"/>
      <c r="D5129" s="175"/>
      <c r="E5129" s="176"/>
      <c r="F5129" s="177"/>
      <c r="G5129" s="178"/>
      <c r="H5129" s="177"/>
      <c r="I5129" s="177"/>
      <c r="J5129" s="179"/>
      <c r="K5129" s="183"/>
      <c r="L5129" s="176"/>
      <c r="M5129" s="177"/>
      <c r="N5129" s="21"/>
      <c r="O5129" s="45"/>
      <c r="P5129" s="24"/>
      <c r="Q5129" s="24"/>
      <c r="R5129" s="180"/>
      <c r="S5129" s="181"/>
      <c r="T5129" s="35"/>
      <c r="U5129" s="35"/>
      <c r="V5129" s="35"/>
      <c r="W5129" s="35"/>
      <c r="X5129" s="35"/>
      <c r="Y5129" s="182"/>
      <c r="Z5129" s="175"/>
      <c r="AA5129" s="182"/>
      <c r="AB5129" s="184"/>
    </row>
    <row r="5130" spans="1:28" ht="12.75">
      <c r="A5130" s="173"/>
      <c r="B5130" s="174"/>
      <c r="C5130" s="11"/>
      <c r="D5130" s="175"/>
      <c r="E5130" s="176"/>
      <c r="F5130" s="177"/>
      <c r="G5130" s="178"/>
      <c r="H5130" s="177"/>
      <c r="I5130" s="177"/>
      <c r="J5130" s="179"/>
      <c r="K5130" s="183"/>
      <c r="L5130" s="176"/>
      <c r="M5130" s="177"/>
      <c r="N5130" s="21"/>
      <c r="O5130" s="45"/>
      <c r="P5130" s="24"/>
      <c r="Q5130" s="24"/>
      <c r="R5130" s="180"/>
      <c r="S5130" s="181"/>
      <c r="T5130" s="35"/>
      <c r="U5130" s="35"/>
      <c r="V5130" s="35"/>
      <c r="W5130" s="35"/>
      <c r="X5130" s="35"/>
      <c r="Y5130" s="182"/>
      <c r="Z5130" s="175"/>
      <c r="AA5130" s="182"/>
      <c r="AB5130" s="184"/>
    </row>
    <row r="5131" spans="1:28" ht="12.75">
      <c r="A5131" s="173"/>
      <c r="B5131" s="174"/>
      <c r="C5131" s="11"/>
      <c r="D5131" s="175"/>
      <c r="E5131" s="176"/>
      <c r="F5131" s="177"/>
      <c r="G5131" s="178"/>
      <c r="H5131" s="177"/>
      <c r="I5131" s="177"/>
      <c r="J5131" s="179"/>
      <c r="K5131" s="183"/>
      <c r="L5131" s="176"/>
      <c r="M5131" s="177"/>
      <c r="N5131" s="21"/>
      <c r="O5131" s="45"/>
      <c r="P5131" s="24"/>
      <c r="Q5131" s="24"/>
      <c r="R5131" s="180"/>
      <c r="S5131" s="181"/>
      <c r="T5131" s="35"/>
      <c r="U5131" s="35"/>
      <c r="V5131" s="35"/>
      <c r="W5131" s="35"/>
      <c r="X5131" s="35"/>
      <c r="Y5131" s="182"/>
      <c r="Z5131" s="175"/>
      <c r="AA5131" s="182"/>
      <c r="AB5131" s="184"/>
    </row>
    <row r="5132" spans="1:28" ht="12.75">
      <c r="A5132" s="173"/>
      <c r="B5132" s="174"/>
      <c r="C5132" s="11"/>
      <c r="D5132" s="175"/>
      <c r="E5132" s="176"/>
      <c r="F5132" s="177"/>
      <c r="G5132" s="178"/>
      <c r="H5132" s="177"/>
      <c r="I5132" s="177"/>
      <c r="J5132" s="179"/>
      <c r="K5132" s="183"/>
      <c r="L5132" s="176"/>
      <c r="M5132" s="177"/>
      <c r="N5132" s="21"/>
      <c r="O5132" s="45"/>
      <c r="P5132" s="24"/>
      <c r="Q5132" s="24"/>
      <c r="R5132" s="180"/>
      <c r="S5132" s="181"/>
      <c r="T5132" s="35"/>
      <c r="U5132" s="35"/>
      <c r="V5132" s="35"/>
      <c r="W5132" s="35"/>
      <c r="X5132" s="35"/>
      <c r="Y5132" s="182"/>
      <c r="Z5132" s="175"/>
      <c r="AA5132" s="182"/>
      <c r="AB5132" s="184"/>
    </row>
    <row r="5133" spans="1:28" ht="12.75">
      <c r="A5133" s="173"/>
      <c r="B5133" s="174"/>
      <c r="C5133" s="11"/>
      <c r="D5133" s="175"/>
      <c r="E5133" s="176"/>
      <c r="F5133" s="177"/>
      <c r="G5133" s="178"/>
      <c r="H5133" s="177"/>
      <c r="I5133" s="177"/>
      <c r="J5133" s="179"/>
      <c r="K5133" s="183"/>
      <c r="L5133" s="176"/>
      <c r="M5133" s="177"/>
      <c r="N5133" s="21"/>
      <c r="O5133" s="45"/>
      <c r="P5133" s="24"/>
      <c r="Q5133" s="24"/>
      <c r="R5133" s="180"/>
      <c r="S5133" s="181"/>
      <c r="T5133" s="35"/>
      <c r="U5133" s="35"/>
      <c r="V5133" s="35"/>
      <c r="W5133" s="35"/>
      <c r="X5133" s="35"/>
      <c r="Y5133" s="182"/>
      <c r="Z5133" s="175"/>
      <c r="AA5133" s="182"/>
      <c r="AB5133" s="184"/>
    </row>
    <row r="5134" spans="1:28" ht="12.75">
      <c r="A5134" s="173"/>
      <c r="B5134" s="174"/>
      <c r="C5134" s="11"/>
      <c r="D5134" s="175"/>
      <c r="E5134" s="176"/>
      <c r="F5134" s="177"/>
      <c r="G5134" s="178"/>
      <c r="H5134" s="177"/>
      <c r="I5134" s="177"/>
      <c r="J5134" s="179"/>
      <c r="K5134" s="183"/>
      <c r="L5134" s="176"/>
      <c r="M5134" s="177"/>
      <c r="N5134" s="21"/>
      <c r="O5134" s="45"/>
      <c r="P5134" s="24"/>
      <c r="Q5134" s="24"/>
      <c r="R5134" s="180"/>
      <c r="S5134" s="181"/>
      <c r="T5134" s="35"/>
      <c r="U5134" s="35"/>
      <c r="V5134" s="35"/>
      <c r="W5134" s="35"/>
      <c r="X5134" s="35"/>
      <c r="Y5134" s="182"/>
      <c r="Z5134" s="175"/>
      <c r="AA5134" s="182"/>
      <c r="AB5134" s="184"/>
    </row>
    <row r="5135" spans="1:28" ht="12.75">
      <c r="A5135" s="173"/>
      <c r="B5135" s="174"/>
      <c r="C5135" s="11"/>
      <c r="D5135" s="175"/>
      <c r="E5135" s="176"/>
      <c r="F5135" s="177"/>
      <c r="G5135" s="178"/>
      <c r="H5135" s="177"/>
      <c r="I5135" s="177"/>
      <c r="J5135" s="179"/>
      <c r="K5135" s="183"/>
      <c r="L5135" s="176"/>
      <c r="M5135" s="177"/>
      <c r="N5135" s="21"/>
      <c r="O5135" s="45"/>
      <c r="P5135" s="24"/>
      <c r="Q5135" s="24"/>
      <c r="R5135" s="180"/>
      <c r="S5135" s="181"/>
      <c r="T5135" s="35"/>
      <c r="U5135" s="35"/>
      <c r="V5135" s="35"/>
      <c r="W5135" s="35"/>
      <c r="X5135" s="35"/>
      <c r="Y5135" s="182"/>
      <c r="Z5135" s="175"/>
      <c r="AA5135" s="182"/>
      <c r="AB5135" s="184"/>
    </row>
    <row r="5136" spans="1:28" ht="12.75">
      <c r="A5136" s="173"/>
      <c r="B5136" s="174"/>
      <c r="C5136" s="11"/>
      <c r="D5136" s="175"/>
      <c r="E5136" s="176"/>
      <c r="F5136" s="177"/>
      <c r="G5136" s="178"/>
      <c r="H5136" s="177"/>
      <c r="I5136" s="177"/>
      <c r="J5136" s="179"/>
      <c r="K5136" s="183"/>
      <c r="L5136" s="176"/>
      <c r="M5136" s="177"/>
      <c r="N5136" s="21"/>
      <c r="O5136" s="45"/>
      <c r="P5136" s="24"/>
      <c r="Q5136" s="24"/>
      <c r="R5136" s="180"/>
      <c r="S5136" s="181"/>
      <c r="T5136" s="35"/>
      <c r="U5136" s="35"/>
      <c r="V5136" s="35"/>
      <c r="W5136" s="35"/>
      <c r="X5136" s="35"/>
      <c r="Y5136" s="182"/>
      <c r="Z5136" s="175"/>
      <c r="AA5136" s="182"/>
      <c r="AB5136" s="184"/>
    </row>
    <row r="5137" spans="1:28" ht="12.75">
      <c r="A5137" s="173"/>
      <c r="B5137" s="174"/>
      <c r="C5137" s="11"/>
      <c r="D5137" s="175"/>
      <c r="E5137" s="176"/>
      <c r="F5137" s="177"/>
      <c r="G5137" s="178"/>
      <c r="H5137" s="177"/>
      <c r="I5137" s="177"/>
      <c r="J5137" s="179"/>
      <c r="K5137" s="183"/>
      <c r="L5137" s="176"/>
      <c r="M5137" s="177"/>
      <c r="N5137" s="21"/>
      <c r="O5137" s="45"/>
      <c r="P5137" s="24"/>
      <c r="Q5137" s="24"/>
      <c r="R5137" s="180"/>
      <c r="S5137" s="181"/>
      <c r="T5137" s="35"/>
      <c r="U5137" s="35"/>
      <c r="V5137" s="35"/>
      <c r="W5137" s="35"/>
      <c r="X5137" s="35"/>
      <c r="Y5137" s="182"/>
      <c r="Z5137" s="175"/>
      <c r="AA5137" s="182"/>
      <c r="AB5137" s="184"/>
    </row>
    <row r="5138" spans="1:28" ht="12.75">
      <c r="A5138" s="173"/>
      <c r="B5138" s="174"/>
      <c r="C5138" s="11"/>
      <c r="D5138" s="175"/>
      <c r="E5138" s="176"/>
      <c r="F5138" s="177"/>
      <c r="G5138" s="178"/>
      <c r="H5138" s="177"/>
      <c r="I5138" s="177"/>
      <c r="J5138" s="179"/>
      <c r="K5138" s="183"/>
      <c r="L5138" s="176"/>
      <c r="M5138" s="177"/>
      <c r="N5138" s="21"/>
      <c r="O5138" s="45"/>
      <c r="P5138" s="24"/>
      <c r="Q5138" s="24"/>
      <c r="R5138" s="180"/>
      <c r="S5138" s="181"/>
      <c r="T5138" s="35"/>
      <c r="U5138" s="35"/>
      <c r="V5138" s="35"/>
      <c r="W5138" s="35"/>
      <c r="X5138" s="35"/>
      <c r="Y5138" s="182"/>
      <c r="Z5138" s="175"/>
      <c r="AA5138" s="182"/>
      <c r="AB5138" s="184"/>
    </row>
    <row r="5139" spans="1:28" ht="12.75">
      <c r="A5139" s="173"/>
      <c r="B5139" s="174"/>
      <c r="C5139" s="11"/>
      <c r="D5139" s="175"/>
      <c r="E5139" s="176"/>
      <c r="F5139" s="177"/>
      <c r="G5139" s="178"/>
      <c r="H5139" s="177"/>
      <c r="I5139" s="177"/>
      <c r="J5139" s="179"/>
      <c r="K5139" s="183"/>
      <c r="L5139" s="176"/>
      <c r="M5139" s="177"/>
      <c r="N5139" s="21"/>
      <c r="O5139" s="45"/>
      <c r="P5139" s="24"/>
      <c r="Q5139" s="24"/>
      <c r="R5139" s="180"/>
      <c r="S5139" s="181"/>
      <c r="T5139" s="35"/>
      <c r="U5139" s="35"/>
      <c r="V5139" s="35"/>
      <c r="W5139" s="35"/>
      <c r="X5139" s="35"/>
      <c r="Y5139" s="182"/>
      <c r="Z5139" s="175"/>
      <c r="AA5139" s="182"/>
      <c r="AB5139" s="184"/>
    </row>
    <row r="5140" spans="1:28" ht="12.75">
      <c r="A5140" s="173"/>
      <c r="B5140" s="174"/>
      <c r="C5140" s="11"/>
      <c r="D5140" s="175"/>
      <c r="E5140" s="176"/>
      <c r="F5140" s="177"/>
      <c r="G5140" s="178"/>
      <c r="H5140" s="177"/>
      <c r="I5140" s="177"/>
      <c r="J5140" s="179"/>
      <c r="K5140" s="183"/>
      <c r="L5140" s="176"/>
      <c r="M5140" s="177"/>
      <c r="N5140" s="21"/>
      <c r="O5140" s="45"/>
      <c r="P5140" s="24"/>
      <c r="Q5140" s="24"/>
      <c r="R5140" s="180"/>
      <c r="S5140" s="181"/>
      <c r="T5140" s="35"/>
      <c r="U5140" s="35"/>
      <c r="V5140" s="35"/>
      <c r="W5140" s="35"/>
      <c r="X5140" s="35"/>
      <c r="Y5140" s="182"/>
      <c r="Z5140" s="175"/>
      <c r="AA5140" s="182"/>
      <c r="AB5140" s="184"/>
    </row>
    <row r="5141" spans="1:28" ht="12.75">
      <c r="A5141" s="173"/>
      <c r="B5141" s="174"/>
      <c r="C5141" s="11"/>
      <c r="D5141" s="175"/>
      <c r="E5141" s="176"/>
      <c r="F5141" s="177"/>
      <c r="G5141" s="178"/>
      <c r="H5141" s="177"/>
      <c r="I5141" s="177"/>
      <c r="J5141" s="179"/>
      <c r="K5141" s="183"/>
      <c r="L5141" s="176"/>
      <c r="M5141" s="177"/>
      <c r="N5141" s="21"/>
      <c r="O5141" s="45"/>
      <c r="P5141" s="24"/>
      <c r="Q5141" s="24"/>
      <c r="R5141" s="180"/>
      <c r="S5141" s="181"/>
      <c r="T5141" s="35"/>
      <c r="U5141" s="35"/>
      <c r="V5141" s="35"/>
      <c r="W5141" s="35"/>
      <c r="X5141" s="35"/>
      <c r="Y5141" s="182"/>
      <c r="Z5141" s="175"/>
      <c r="AA5141" s="182"/>
      <c r="AB5141" s="184"/>
    </row>
    <row r="5142" spans="1:28" ht="12.75">
      <c r="A5142" s="173"/>
      <c r="B5142" s="174"/>
      <c r="C5142" s="11"/>
      <c r="D5142" s="175"/>
      <c r="E5142" s="176"/>
      <c r="F5142" s="177"/>
      <c r="G5142" s="178"/>
      <c r="H5142" s="177"/>
      <c r="I5142" s="177"/>
      <c r="J5142" s="179"/>
      <c r="K5142" s="183"/>
      <c r="L5142" s="176"/>
      <c r="M5142" s="177"/>
      <c r="N5142" s="21"/>
      <c r="O5142" s="45"/>
      <c r="P5142" s="24"/>
      <c r="Q5142" s="24"/>
      <c r="R5142" s="180"/>
      <c r="S5142" s="181"/>
      <c r="T5142" s="35"/>
      <c r="U5142" s="35"/>
      <c r="V5142" s="35"/>
      <c r="W5142" s="35"/>
      <c r="X5142" s="35"/>
      <c r="Y5142" s="182"/>
      <c r="Z5142" s="175"/>
      <c r="AA5142" s="182"/>
      <c r="AB5142" s="184"/>
    </row>
    <row r="5143" spans="1:28" ht="12.75">
      <c r="A5143" s="173"/>
      <c r="B5143" s="174"/>
      <c r="C5143" s="11"/>
      <c r="D5143" s="175"/>
      <c r="E5143" s="176"/>
      <c r="F5143" s="177"/>
      <c r="G5143" s="178"/>
      <c r="H5143" s="177"/>
      <c r="I5143" s="177"/>
      <c r="J5143" s="179"/>
      <c r="K5143" s="183"/>
      <c r="L5143" s="176"/>
      <c r="M5143" s="177"/>
      <c r="N5143" s="21"/>
      <c r="O5143" s="45"/>
      <c r="P5143" s="24"/>
      <c r="Q5143" s="24"/>
      <c r="R5143" s="180"/>
      <c r="S5143" s="181"/>
      <c r="T5143" s="35"/>
      <c r="U5143" s="35"/>
      <c r="V5143" s="35"/>
      <c r="W5143" s="35"/>
      <c r="X5143" s="35"/>
      <c r="Y5143" s="182"/>
      <c r="Z5143" s="175"/>
      <c r="AA5143" s="182"/>
      <c r="AB5143" s="184"/>
    </row>
    <row r="5144" spans="1:28" ht="12.75">
      <c r="A5144" s="173"/>
      <c r="B5144" s="174"/>
      <c r="C5144" s="11"/>
      <c r="D5144" s="175"/>
      <c r="E5144" s="176"/>
      <c r="F5144" s="177"/>
      <c r="G5144" s="178"/>
      <c r="H5144" s="177"/>
      <c r="I5144" s="177"/>
      <c r="J5144" s="179"/>
      <c r="K5144" s="183"/>
      <c r="L5144" s="176"/>
      <c r="M5144" s="177"/>
      <c r="N5144" s="21"/>
      <c r="O5144" s="45"/>
      <c r="P5144" s="24"/>
      <c r="Q5144" s="24"/>
      <c r="R5144" s="180"/>
      <c r="S5144" s="181"/>
      <c r="T5144" s="35"/>
      <c r="U5144" s="35"/>
      <c r="V5144" s="35"/>
      <c r="W5144" s="35"/>
      <c r="X5144" s="35"/>
      <c r="Y5144" s="182"/>
      <c r="Z5144" s="175"/>
      <c r="AA5144" s="182"/>
      <c r="AB5144" s="184"/>
    </row>
    <row r="5145" spans="1:28" ht="12.75">
      <c r="A5145" s="173"/>
      <c r="B5145" s="174"/>
      <c r="C5145" s="11"/>
      <c r="D5145" s="175"/>
      <c r="E5145" s="176"/>
      <c r="F5145" s="177"/>
      <c r="G5145" s="178"/>
      <c r="H5145" s="177"/>
      <c r="I5145" s="177"/>
      <c r="J5145" s="179"/>
      <c r="K5145" s="183"/>
      <c r="L5145" s="176"/>
      <c r="M5145" s="177"/>
      <c r="N5145" s="21"/>
      <c r="O5145" s="45"/>
      <c r="P5145" s="24"/>
      <c r="Q5145" s="24"/>
      <c r="R5145" s="180"/>
      <c r="S5145" s="181"/>
      <c r="T5145" s="35"/>
      <c r="U5145" s="35"/>
      <c r="V5145" s="35"/>
      <c r="W5145" s="35"/>
      <c r="X5145" s="35"/>
      <c r="Y5145" s="182"/>
      <c r="Z5145" s="175"/>
      <c r="AA5145" s="182"/>
      <c r="AB5145" s="184"/>
    </row>
    <row r="5146" spans="1:28" ht="12.75">
      <c r="A5146" s="173"/>
      <c r="B5146" s="174"/>
      <c r="C5146" s="11"/>
      <c r="D5146" s="175"/>
      <c r="E5146" s="176"/>
      <c r="F5146" s="177"/>
      <c r="G5146" s="178"/>
      <c r="H5146" s="177"/>
      <c r="I5146" s="177"/>
      <c r="J5146" s="179"/>
      <c r="K5146" s="183"/>
      <c r="L5146" s="176"/>
      <c r="M5146" s="177"/>
      <c r="N5146" s="21"/>
      <c r="O5146" s="45"/>
      <c r="P5146" s="24"/>
      <c r="Q5146" s="24"/>
      <c r="R5146" s="180"/>
      <c r="S5146" s="181"/>
      <c r="T5146" s="35"/>
      <c r="U5146" s="35"/>
      <c r="V5146" s="35"/>
      <c r="W5146" s="35"/>
      <c r="X5146" s="35"/>
      <c r="Y5146" s="182"/>
      <c r="Z5146" s="175"/>
      <c r="AA5146" s="182"/>
      <c r="AB5146" s="184"/>
    </row>
    <row r="5147" spans="1:28" ht="12.75">
      <c r="A5147" s="173"/>
      <c r="B5147" s="174"/>
      <c r="C5147" s="11"/>
      <c r="D5147" s="175"/>
      <c r="E5147" s="176"/>
      <c r="F5147" s="177"/>
      <c r="G5147" s="178"/>
      <c r="H5147" s="177"/>
      <c r="I5147" s="177"/>
      <c r="J5147" s="179"/>
      <c r="K5147" s="183"/>
      <c r="L5147" s="176"/>
      <c r="M5147" s="177"/>
      <c r="N5147" s="21"/>
      <c r="O5147" s="45"/>
      <c r="P5147" s="24"/>
      <c r="Q5147" s="24"/>
      <c r="R5147" s="180"/>
      <c r="S5147" s="181"/>
      <c r="T5147" s="35"/>
      <c r="U5147" s="35"/>
      <c r="V5147" s="35"/>
      <c r="W5147" s="35"/>
      <c r="X5147" s="35"/>
      <c r="Y5147" s="182"/>
      <c r="Z5147" s="175"/>
      <c r="AA5147" s="182"/>
      <c r="AB5147" s="184"/>
    </row>
    <row r="5148" spans="1:28" ht="12.75">
      <c r="A5148" s="173"/>
      <c r="B5148" s="174"/>
      <c r="C5148" s="11"/>
      <c r="D5148" s="175"/>
      <c r="E5148" s="176"/>
      <c r="F5148" s="177"/>
      <c r="G5148" s="178"/>
      <c r="H5148" s="177"/>
      <c r="I5148" s="177"/>
      <c r="J5148" s="179"/>
      <c r="K5148" s="183"/>
      <c r="L5148" s="176"/>
      <c r="M5148" s="177"/>
      <c r="N5148" s="21"/>
      <c r="O5148" s="45"/>
      <c r="P5148" s="24"/>
      <c r="Q5148" s="24"/>
      <c r="R5148" s="180"/>
      <c r="S5148" s="181"/>
      <c r="T5148" s="35"/>
      <c r="U5148" s="35"/>
      <c r="V5148" s="35"/>
      <c r="W5148" s="35"/>
      <c r="X5148" s="35"/>
      <c r="Y5148" s="182"/>
      <c r="Z5148" s="175"/>
      <c r="AA5148" s="182"/>
      <c r="AB5148" s="184"/>
    </row>
    <row r="5149" spans="1:28" ht="12.75">
      <c r="A5149" s="173"/>
      <c r="B5149" s="174"/>
      <c r="C5149" s="11"/>
      <c r="D5149" s="175"/>
      <c r="E5149" s="176"/>
      <c r="F5149" s="177"/>
      <c r="G5149" s="178"/>
      <c r="H5149" s="177"/>
      <c r="I5149" s="177"/>
      <c r="J5149" s="179"/>
      <c r="K5149" s="183"/>
      <c r="L5149" s="176"/>
      <c r="M5149" s="177"/>
      <c r="N5149" s="21"/>
      <c r="O5149" s="45"/>
      <c r="P5149" s="24"/>
      <c r="Q5149" s="24"/>
      <c r="R5149" s="180"/>
      <c r="S5149" s="181"/>
      <c r="T5149" s="35"/>
      <c r="U5149" s="35"/>
      <c r="V5149" s="35"/>
      <c r="W5149" s="35"/>
      <c r="X5149" s="35"/>
      <c r="Y5149" s="182"/>
      <c r="Z5149" s="175"/>
      <c r="AA5149" s="182"/>
      <c r="AB5149" s="184"/>
    </row>
    <row r="5150" spans="1:28" ht="12.75">
      <c r="A5150" s="173"/>
      <c r="B5150" s="174"/>
      <c r="C5150" s="11"/>
      <c r="D5150" s="175"/>
      <c r="E5150" s="176"/>
      <c r="F5150" s="177"/>
      <c r="G5150" s="178"/>
      <c r="H5150" s="177"/>
      <c r="I5150" s="177"/>
      <c r="J5150" s="179"/>
      <c r="K5150" s="183"/>
      <c r="L5150" s="176"/>
      <c r="M5150" s="177"/>
      <c r="N5150" s="21"/>
      <c r="O5150" s="45"/>
      <c r="P5150" s="24"/>
      <c r="Q5150" s="24"/>
      <c r="R5150" s="180"/>
      <c r="S5150" s="181"/>
      <c r="T5150" s="35"/>
      <c r="U5150" s="35"/>
      <c r="V5150" s="35"/>
      <c r="W5150" s="35"/>
      <c r="X5150" s="35"/>
      <c r="Y5150" s="182"/>
      <c r="Z5150" s="175"/>
      <c r="AA5150" s="182"/>
      <c r="AB5150" s="184"/>
    </row>
    <row r="5151" spans="1:28" ht="12.75">
      <c r="A5151" s="173"/>
      <c r="B5151" s="174"/>
      <c r="C5151" s="11"/>
      <c r="D5151" s="175"/>
      <c r="E5151" s="176"/>
      <c r="F5151" s="177"/>
      <c r="G5151" s="178"/>
      <c r="H5151" s="177"/>
      <c r="I5151" s="177"/>
      <c r="J5151" s="179"/>
      <c r="K5151" s="183"/>
      <c r="L5151" s="176"/>
      <c r="M5151" s="177"/>
      <c r="N5151" s="21"/>
      <c r="O5151" s="45"/>
      <c r="P5151" s="24"/>
      <c r="Q5151" s="24"/>
      <c r="R5151" s="180"/>
      <c r="S5151" s="181"/>
      <c r="T5151" s="35"/>
      <c r="U5151" s="35"/>
      <c r="V5151" s="35"/>
      <c r="W5151" s="35"/>
      <c r="X5151" s="35"/>
      <c r="Y5151" s="182"/>
      <c r="Z5151" s="175"/>
      <c r="AA5151" s="182"/>
      <c r="AB5151" s="184"/>
    </row>
    <row r="5152" spans="1:28" ht="12.75">
      <c r="A5152" s="173"/>
      <c r="B5152" s="174"/>
      <c r="C5152" s="11"/>
      <c r="D5152" s="175"/>
      <c r="E5152" s="176"/>
      <c r="F5152" s="177"/>
      <c r="G5152" s="178"/>
      <c r="H5152" s="177"/>
      <c r="I5152" s="177"/>
      <c r="J5152" s="179"/>
      <c r="K5152" s="183"/>
      <c r="L5152" s="176"/>
      <c r="M5152" s="177"/>
      <c r="N5152" s="21"/>
      <c r="O5152" s="45"/>
      <c r="P5152" s="24"/>
      <c r="Q5152" s="24"/>
      <c r="R5152" s="180"/>
      <c r="S5152" s="181"/>
      <c r="T5152" s="35"/>
      <c r="U5152" s="35"/>
      <c r="V5152" s="35"/>
      <c r="W5152" s="35"/>
      <c r="X5152" s="35"/>
      <c r="Y5152" s="182"/>
      <c r="Z5152" s="175"/>
      <c r="AA5152" s="182"/>
      <c r="AB5152" s="184"/>
    </row>
    <row r="5153" spans="1:28" ht="12.75">
      <c r="A5153" s="173"/>
      <c r="B5153" s="174"/>
      <c r="C5153" s="11"/>
      <c r="D5153" s="175"/>
      <c r="E5153" s="176"/>
      <c r="F5153" s="177"/>
      <c r="G5153" s="178"/>
      <c r="H5153" s="177"/>
      <c r="I5153" s="177"/>
      <c r="J5153" s="179"/>
      <c r="K5153" s="183"/>
      <c r="L5153" s="176"/>
      <c r="M5153" s="177"/>
      <c r="N5153" s="21"/>
      <c r="O5153" s="45"/>
      <c r="P5153" s="24"/>
      <c r="Q5153" s="24"/>
      <c r="R5153" s="180"/>
      <c r="S5153" s="181"/>
      <c r="T5153" s="35"/>
      <c r="U5153" s="35"/>
      <c r="V5153" s="35"/>
      <c r="W5153" s="35"/>
      <c r="X5153" s="35"/>
      <c r="Y5153" s="182"/>
      <c r="Z5153" s="175"/>
      <c r="AA5153" s="182"/>
      <c r="AB5153" s="184"/>
    </row>
    <row r="5154" spans="1:28" ht="12.75">
      <c r="A5154" s="173"/>
      <c r="B5154" s="174"/>
      <c r="C5154" s="11"/>
      <c r="D5154" s="175"/>
      <c r="E5154" s="176"/>
      <c r="F5154" s="177"/>
      <c r="G5154" s="178"/>
      <c r="H5154" s="177"/>
      <c r="I5154" s="177"/>
      <c r="J5154" s="179"/>
      <c r="K5154" s="183"/>
      <c r="L5154" s="176"/>
      <c r="M5154" s="177"/>
      <c r="N5154" s="21"/>
      <c r="O5154" s="45"/>
      <c r="P5154" s="24"/>
      <c r="Q5154" s="24"/>
      <c r="R5154" s="180"/>
      <c r="S5154" s="181"/>
      <c r="T5154" s="35"/>
      <c r="U5154" s="35"/>
      <c r="V5154" s="35"/>
      <c r="W5154" s="35"/>
      <c r="X5154" s="35"/>
      <c r="Y5154" s="182"/>
      <c r="Z5154" s="175"/>
      <c r="AA5154" s="182"/>
      <c r="AB5154" s="184"/>
    </row>
    <row r="5155" spans="1:28" ht="12.75">
      <c r="A5155" s="173"/>
      <c r="B5155" s="174"/>
      <c r="C5155" s="11"/>
      <c r="D5155" s="175"/>
      <c r="E5155" s="176"/>
      <c r="F5155" s="177"/>
      <c r="G5155" s="178"/>
      <c r="H5155" s="177"/>
      <c r="I5155" s="177"/>
      <c r="J5155" s="179"/>
      <c r="K5155" s="183"/>
      <c r="L5155" s="176"/>
      <c r="M5155" s="177"/>
      <c r="N5155" s="21"/>
      <c r="O5155" s="45"/>
      <c r="P5155" s="24"/>
      <c r="Q5155" s="24"/>
      <c r="R5155" s="180"/>
      <c r="S5155" s="181"/>
      <c r="T5155" s="35"/>
      <c r="U5155" s="35"/>
      <c r="V5155" s="35"/>
      <c r="W5155" s="35"/>
      <c r="X5155" s="35"/>
      <c r="Y5155" s="182"/>
      <c r="Z5155" s="175"/>
      <c r="AA5155" s="182"/>
      <c r="AB5155" s="184"/>
    </row>
    <row r="5156" spans="1:28" ht="12.75">
      <c r="A5156" s="173"/>
      <c r="B5156" s="174"/>
      <c r="C5156" s="11"/>
      <c r="D5156" s="175"/>
      <c r="E5156" s="176"/>
      <c r="F5156" s="177"/>
      <c r="G5156" s="178"/>
      <c r="H5156" s="177"/>
      <c r="I5156" s="177"/>
      <c r="J5156" s="179"/>
      <c r="K5156" s="183"/>
      <c r="L5156" s="176"/>
      <c r="M5156" s="177"/>
      <c r="N5156" s="21"/>
      <c r="O5156" s="45"/>
      <c r="P5156" s="24"/>
      <c r="Q5156" s="24"/>
      <c r="R5156" s="180"/>
      <c r="S5156" s="181"/>
      <c r="T5156" s="35"/>
      <c r="U5156" s="35"/>
      <c r="V5156" s="35"/>
      <c r="W5156" s="35"/>
      <c r="X5156" s="35"/>
      <c r="Y5156" s="182"/>
      <c r="Z5156" s="175"/>
      <c r="AA5156" s="182"/>
      <c r="AB5156" s="184"/>
    </row>
    <row r="5157" spans="1:28" ht="12.75">
      <c r="A5157" s="173"/>
      <c r="B5157" s="174"/>
      <c r="C5157" s="11"/>
      <c r="D5157" s="175"/>
      <c r="E5157" s="176"/>
      <c r="F5157" s="177"/>
      <c r="G5157" s="178"/>
      <c r="H5157" s="177"/>
      <c r="I5157" s="177"/>
      <c r="J5157" s="179"/>
      <c r="K5157" s="183"/>
      <c r="L5157" s="176"/>
      <c r="M5157" s="177"/>
      <c r="N5157" s="21"/>
      <c r="O5157" s="45"/>
      <c r="P5157" s="24"/>
      <c r="Q5157" s="24"/>
      <c r="R5157" s="180"/>
      <c r="S5157" s="181"/>
      <c r="T5157" s="35"/>
      <c r="U5157" s="35"/>
      <c r="V5157" s="35"/>
      <c r="W5157" s="35"/>
      <c r="X5157" s="35"/>
      <c r="Y5157" s="182"/>
      <c r="Z5157" s="175"/>
      <c r="AA5157" s="182"/>
      <c r="AB5157" s="184"/>
    </row>
    <row r="5158" spans="1:28" ht="12.75">
      <c r="A5158" s="173"/>
      <c r="B5158" s="174"/>
      <c r="C5158" s="11"/>
      <c r="D5158" s="175"/>
      <c r="E5158" s="176"/>
      <c r="F5158" s="177"/>
      <c r="G5158" s="178"/>
      <c r="H5158" s="177"/>
      <c r="I5158" s="177"/>
      <c r="J5158" s="179"/>
      <c r="K5158" s="183"/>
      <c r="L5158" s="176"/>
      <c r="M5158" s="177"/>
      <c r="N5158" s="21"/>
      <c r="O5158" s="45"/>
      <c r="P5158" s="24"/>
      <c r="Q5158" s="24"/>
      <c r="R5158" s="180"/>
      <c r="S5158" s="181"/>
      <c r="T5158" s="35"/>
      <c r="U5158" s="35"/>
      <c r="V5158" s="35"/>
      <c r="W5158" s="35"/>
      <c r="X5158" s="35"/>
      <c r="Y5158" s="182"/>
      <c r="Z5158" s="175"/>
      <c r="AA5158" s="182"/>
      <c r="AB5158" s="184"/>
    </row>
    <row r="5159" spans="1:28" ht="12.75">
      <c r="A5159" s="173"/>
      <c r="B5159" s="174"/>
      <c r="C5159" s="11"/>
      <c r="D5159" s="175"/>
      <c r="E5159" s="176"/>
      <c r="F5159" s="177"/>
      <c r="G5159" s="178"/>
      <c r="H5159" s="177"/>
      <c r="I5159" s="177"/>
      <c r="J5159" s="179"/>
      <c r="K5159" s="183"/>
      <c r="L5159" s="176"/>
      <c r="M5159" s="177"/>
      <c r="N5159" s="21"/>
      <c r="O5159" s="45"/>
      <c r="P5159" s="24"/>
      <c r="Q5159" s="24"/>
      <c r="R5159" s="180"/>
      <c r="S5159" s="181"/>
      <c r="T5159" s="35"/>
      <c r="U5159" s="35"/>
      <c r="V5159" s="35"/>
      <c r="W5159" s="35"/>
      <c r="X5159" s="35"/>
      <c r="Y5159" s="182"/>
      <c r="Z5159" s="175"/>
      <c r="AA5159" s="182"/>
      <c r="AB5159" s="184"/>
    </row>
    <row r="5160" spans="1:28" ht="12.75">
      <c r="A5160" s="173"/>
      <c r="B5160" s="174"/>
      <c r="C5160" s="11"/>
      <c r="D5160" s="175"/>
      <c r="E5160" s="176"/>
      <c r="F5160" s="177"/>
      <c r="G5160" s="178"/>
      <c r="H5160" s="177"/>
      <c r="I5160" s="177"/>
      <c r="J5160" s="179"/>
      <c r="K5160" s="183"/>
      <c r="L5160" s="176"/>
      <c r="M5160" s="177"/>
      <c r="N5160" s="21"/>
      <c r="O5160" s="45"/>
      <c r="P5160" s="24"/>
      <c r="Q5160" s="24"/>
      <c r="R5160" s="180"/>
      <c r="S5160" s="181"/>
      <c r="T5160" s="35"/>
      <c r="U5160" s="35"/>
      <c r="V5160" s="35"/>
      <c r="W5160" s="35"/>
      <c r="X5160" s="35"/>
      <c r="Y5160" s="182"/>
      <c r="Z5160" s="175"/>
      <c r="AA5160" s="182"/>
      <c r="AB5160" s="184"/>
    </row>
    <row r="5161" spans="1:28" ht="12.75">
      <c r="A5161" s="173"/>
      <c r="B5161" s="174"/>
      <c r="C5161" s="11"/>
      <c r="D5161" s="175"/>
      <c r="E5161" s="176"/>
      <c r="F5161" s="177"/>
      <c r="G5161" s="178"/>
      <c r="H5161" s="177"/>
      <c r="I5161" s="177"/>
      <c r="J5161" s="179"/>
      <c r="K5161" s="183"/>
      <c r="L5161" s="176"/>
      <c r="M5161" s="177"/>
      <c r="N5161" s="21"/>
      <c r="O5161" s="45"/>
      <c r="P5161" s="24"/>
      <c r="Q5161" s="24"/>
      <c r="R5161" s="180"/>
      <c r="S5161" s="181"/>
      <c r="T5161" s="35"/>
      <c r="U5161" s="35"/>
      <c r="V5161" s="35"/>
      <c r="W5161" s="35"/>
      <c r="X5161" s="35"/>
      <c r="Y5161" s="182"/>
      <c r="Z5161" s="175"/>
      <c r="AA5161" s="182"/>
      <c r="AB5161" s="184"/>
    </row>
    <row r="5162" spans="1:28" ht="12.75">
      <c r="A5162" s="173"/>
      <c r="B5162" s="174"/>
      <c r="C5162" s="11"/>
      <c r="D5162" s="175"/>
      <c r="E5162" s="176"/>
      <c r="F5162" s="177"/>
      <c r="G5162" s="178"/>
      <c r="H5162" s="177"/>
      <c r="I5162" s="177"/>
      <c r="J5162" s="179"/>
      <c r="K5162" s="183"/>
      <c r="L5162" s="176"/>
      <c r="M5162" s="177"/>
      <c r="N5162" s="21"/>
      <c r="O5162" s="45"/>
      <c r="P5162" s="24"/>
      <c r="Q5162" s="24"/>
      <c r="R5162" s="180"/>
      <c r="S5162" s="181"/>
      <c r="T5162" s="35"/>
      <c r="U5162" s="35"/>
      <c r="V5162" s="35"/>
      <c r="W5162" s="35"/>
      <c r="X5162" s="35"/>
      <c r="Y5162" s="182"/>
      <c r="Z5162" s="175"/>
      <c r="AA5162" s="182"/>
      <c r="AB5162" s="184"/>
    </row>
    <row r="5163" spans="1:28" ht="12.75">
      <c r="A5163" s="173"/>
      <c r="B5163" s="174"/>
      <c r="C5163" s="11"/>
      <c r="D5163" s="175"/>
      <c r="E5163" s="176"/>
      <c r="F5163" s="177"/>
      <c r="G5163" s="178"/>
      <c r="H5163" s="177"/>
      <c r="I5163" s="177"/>
      <c r="J5163" s="179"/>
      <c r="K5163" s="183"/>
      <c r="L5163" s="176"/>
      <c r="M5163" s="177"/>
      <c r="N5163" s="21"/>
      <c r="O5163" s="45"/>
      <c r="P5163" s="24"/>
      <c r="Q5163" s="24"/>
      <c r="R5163" s="180"/>
      <c r="S5163" s="181"/>
      <c r="T5163" s="35"/>
      <c r="U5163" s="35"/>
      <c r="V5163" s="35"/>
      <c r="W5163" s="35"/>
      <c r="X5163" s="35"/>
      <c r="Y5163" s="182"/>
      <c r="Z5163" s="175"/>
      <c r="AA5163" s="182"/>
      <c r="AB5163" s="184"/>
    </row>
    <row r="5164" spans="1:28" ht="12.75">
      <c r="A5164" s="173"/>
      <c r="B5164" s="174"/>
      <c r="C5164" s="11"/>
      <c r="D5164" s="175"/>
      <c r="E5164" s="176"/>
      <c r="F5164" s="177"/>
      <c r="G5164" s="178"/>
      <c r="H5164" s="177"/>
      <c r="I5164" s="177"/>
      <c r="J5164" s="179"/>
      <c r="K5164" s="183"/>
      <c r="L5164" s="176"/>
      <c r="M5164" s="177"/>
      <c r="N5164" s="21"/>
      <c r="O5164" s="45"/>
      <c r="P5164" s="24"/>
      <c r="Q5164" s="24"/>
      <c r="R5164" s="180"/>
      <c r="S5164" s="181"/>
      <c r="T5164" s="35"/>
      <c r="U5164" s="35"/>
      <c r="V5164" s="35"/>
      <c r="W5164" s="35"/>
      <c r="X5164" s="35"/>
      <c r="Y5164" s="182"/>
      <c r="Z5164" s="175"/>
      <c r="AA5164" s="182"/>
      <c r="AB5164" s="184"/>
    </row>
    <row r="5165" spans="1:28" ht="12.75">
      <c r="A5165" s="173"/>
      <c r="B5165" s="174"/>
      <c r="C5165" s="11"/>
      <c r="D5165" s="175"/>
      <c r="E5165" s="176"/>
      <c r="F5165" s="177"/>
      <c r="G5165" s="178"/>
      <c r="H5165" s="177"/>
      <c r="I5165" s="177"/>
      <c r="J5165" s="179"/>
      <c r="K5165" s="183"/>
      <c r="L5165" s="176"/>
      <c r="M5165" s="177"/>
      <c r="N5165" s="21"/>
      <c r="O5165" s="45"/>
      <c r="P5165" s="24"/>
      <c r="Q5165" s="24"/>
      <c r="R5165" s="180"/>
      <c r="S5165" s="181"/>
      <c r="T5165" s="35"/>
      <c r="U5165" s="35"/>
      <c r="V5165" s="35"/>
      <c r="W5165" s="35"/>
      <c r="X5165" s="35"/>
      <c r="Y5165" s="182"/>
      <c r="Z5165" s="175"/>
      <c r="AA5165" s="182"/>
      <c r="AB5165" s="184"/>
    </row>
    <row r="5166" spans="1:28" ht="12.75">
      <c r="A5166" s="173"/>
      <c r="B5166" s="174"/>
      <c r="C5166" s="11"/>
      <c r="D5166" s="175"/>
      <c r="E5166" s="176"/>
      <c r="F5166" s="177"/>
      <c r="G5166" s="178"/>
      <c r="H5166" s="177"/>
      <c r="I5166" s="177"/>
      <c r="J5166" s="179"/>
      <c r="K5166" s="183"/>
      <c r="L5166" s="176"/>
      <c r="M5166" s="177"/>
      <c r="N5166" s="21"/>
      <c r="O5166" s="45"/>
      <c r="P5166" s="24"/>
      <c r="Q5166" s="24"/>
      <c r="R5166" s="180"/>
      <c r="S5166" s="181"/>
      <c r="T5166" s="35"/>
      <c r="U5166" s="35"/>
      <c r="V5166" s="35"/>
      <c r="W5166" s="35"/>
      <c r="X5166" s="35"/>
      <c r="Y5166" s="182"/>
      <c r="Z5166" s="175"/>
      <c r="AA5166" s="182"/>
      <c r="AB5166" s="184"/>
    </row>
    <row r="5167" spans="1:28" ht="12.75">
      <c r="A5167" s="173"/>
      <c r="B5167" s="174"/>
      <c r="C5167" s="11"/>
      <c r="D5167" s="175"/>
      <c r="E5167" s="176"/>
      <c r="F5167" s="177"/>
      <c r="G5167" s="178"/>
      <c r="H5167" s="177"/>
      <c r="I5167" s="177"/>
      <c r="J5167" s="179"/>
      <c r="K5167" s="183"/>
      <c r="L5167" s="176"/>
      <c r="M5167" s="177"/>
      <c r="N5167" s="21"/>
      <c r="O5167" s="45"/>
      <c r="P5167" s="24"/>
      <c r="Q5167" s="24"/>
      <c r="R5167" s="180"/>
      <c r="S5167" s="181"/>
      <c r="T5167" s="35"/>
      <c r="U5167" s="35"/>
      <c r="V5167" s="35"/>
      <c r="W5167" s="35"/>
      <c r="X5167" s="35"/>
      <c r="Y5167" s="182"/>
      <c r="Z5167" s="175"/>
      <c r="AA5167" s="182"/>
      <c r="AB5167" s="184"/>
    </row>
    <row r="5168" spans="1:28" ht="12.75">
      <c r="A5168" s="173"/>
      <c r="B5168" s="174"/>
      <c r="C5168" s="11"/>
      <c r="D5168" s="175"/>
      <c r="E5168" s="176"/>
      <c r="F5168" s="177"/>
      <c r="G5168" s="178"/>
      <c r="H5168" s="177"/>
      <c r="I5168" s="177"/>
      <c r="J5168" s="179"/>
      <c r="K5168" s="183"/>
      <c r="L5168" s="176"/>
      <c r="M5168" s="177"/>
      <c r="N5168" s="21"/>
      <c r="O5168" s="45"/>
      <c r="P5168" s="24"/>
      <c r="Q5168" s="24"/>
      <c r="R5168" s="180"/>
      <c r="S5168" s="181"/>
      <c r="T5168" s="35"/>
      <c r="U5168" s="35"/>
      <c r="V5168" s="35"/>
      <c r="W5168" s="35"/>
      <c r="X5168" s="35"/>
      <c r="Y5168" s="182"/>
      <c r="Z5168" s="175"/>
      <c r="AA5168" s="182"/>
      <c r="AB5168" s="184"/>
    </row>
    <row r="5169" spans="1:28" ht="12.75">
      <c r="A5169" s="173"/>
      <c r="B5169" s="174"/>
      <c r="C5169" s="11"/>
      <c r="D5169" s="175"/>
      <c r="E5169" s="176"/>
      <c r="F5169" s="177"/>
      <c r="G5169" s="178"/>
      <c r="H5169" s="177"/>
      <c r="I5169" s="177"/>
      <c r="J5169" s="179"/>
      <c r="K5169" s="183"/>
      <c r="L5169" s="176"/>
      <c r="M5169" s="177"/>
      <c r="N5169" s="21"/>
      <c r="O5169" s="45"/>
      <c r="P5169" s="24"/>
      <c r="Q5169" s="24"/>
      <c r="R5169" s="180"/>
      <c r="S5169" s="181"/>
      <c r="T5169" s="35"/>
      <c r="U5169" s="35"/>
      <c r="V5169" s="35"/>
      <c r="W5169" s="35"/>
      <c r="X5169" s="35"/>
      <c r="Y5169" s="182"/>
      <c r="Z5169" s="175"/>
      <c r="AA5169" s="182"/>
      <c r="AB5169" s="184"/>
    </row>
    <row r="5170" spans="1:28" ht="12.75">
      <c r="A5170" s="173"/>
      <c r="B5170" s="174"/>
      <c r="C5170" s="11"/>
      <c r="D5170" s="175"/>
      <c r="E5170" s="176"/>
      <c r="F5170" s="177"/>
      <c r="G5170" s="178"/>
      <c r="H5170" s="177"/>
      <c r="I5170" s="177"/>
      <c r="J5170" s="179"/>
      <c r="K5170" s="183"/>
      <c r="L5170" s="176"/>
      <c r="M5170" s="177"/>
      <c r="N5170" s="21"/>
      <c r="O5170" s="45"/>
      <c r="P5170" s="24"/>
      <c r="Q5170" s="24"/>
      <c r="R5170" s="180"/>
      <c r="S5170" s="181"/>
      <c r="T5170" s="35"/>
      <c r="U5170" s="35"/>
      <c r="V5170" s="35"/>
      <c r="W5170" s="35"/>
      <c r="X5170" s="35"/>
      <c r="Y5170" s="182"/>
      <c r="Z5170" s="175"/>
      <c r="AA5170" s="182"/>
      <c r="AB5170" s="184"/>
    </row>
    <row r="5171" spans="1:28" ht="12.75">
      <c r="A5171" s="173"/>
      <c r="B5171" s="174"/>
      <c r="C5171" s="11"/>
      <c r="D5171" s="175"/>
      <c r="E5171" s="176"/>
      <c r="F5171" s="177"/>
      <c r="G5171" s="178"/>
      <c r="H5171" s="177"/>
      <c r="I5171" s="177"/>
      <c r="J5171" s="179"/>
      <c r="K5171" s="183"/>
      <c r="L5171" s="176"/>
      <c r="M5171" s="177"/>
      <c r="N5171" s="21"/>
      <c r="O5171" s="45"/>
      <c r="P5171" s="24"/>
      <c r="Q5171" s="24"/>
      <c r="R5171" s="180"/>
      <c r="S5171" s="181"/>
      <c r="T5171" s="35"/>
      <c r="U5171" s="35"/>
      <c r="V5171" s="35"/>
      <c r="W5171" s="35"/>
      <c r="X5171" s="35"/>
      <c r="Y5171" s="182"/>
      <c r="Z5171" s="175"/>
      <c r="AA5171" s="182"/>
      <c r="AB5171" s="184"/>
    </row>
    <row r="5172" spans="1:28" ht="12.75">
      <c r="A5172" s="173"/>
      <c r="B5172" s="174"/>
      <c r="C5172" s="11"/>
      <c r="D5172" s="175"/>
      <c r="E5172" s="176"/>
      <c r="F5172" s="177"/>
      <c r="G5172" s="178"/>
      <c r="H5172" s="177"/>
      <c r="I5172" s="177"/>
      <c r="J5172" s="179"/>
      <c r="K5172" s="183"/>
      <c r="L5172" s="176"/>
      <c r="M5172" s="177"/>
      <c r="N5172" s="21"/>
      <c r="O5172" s="45"/>
      <c r="P5172" s="24"/>
      <c r="Q5172" s="24"/>
      <c r="R5172" s="180"/>
      <c r="S5172" s="181"/>
      <c r="T5172" s="35"/>
      <c r="U5172" s="35"/>
      <c r="V5172" s="35"/>
      <c r="W5172" s="35"/>
      <c r="X5172" s="35"/>
      <c r="Y5172" s="182"/>
      <c r="Z5172" s="175"/>
      <c r="AA5172" s="182"/>
      <c r="AB5172" s="184"/>
    </row>
    <row r="5173" spans="1:28" ht="12.75">
      <c r="A5173" s="173"/>
      <c r="B5173" s="174"/>
      <c r="C5173" s="11"/>
      <c r="D5173" s="175"/>
      <c r="E5173" s="176"/>
      <c r="F5173" s="177"/>
      <c r="G5173" s="178"/>
      <c r="H5173" s="177"/>
      <c r="I5173" s="177"/>
      <c r="J5173" s="179"/>
      <c r="K5173" s="183"/>
      <c r="L5173" s="176"/>
      <c r="M5173" s="177"/>
      <c r="N5173" s="21"/>
      <c r="O5173" s="45"/>
      <c r="P5173" s="24"/>
      <c r="Q5173" s="24"/>
      <c r="R5173" s="180"/>
      <c r="S5173" s="181"/>
      <c r="T5173" s="35"/>
      <c r="U5173" s="35"/>
      <c r="V5173" s="35"/>
      <c r="W5173" s="35"/>
      <c r="X5173" s="35"/>
      <c r="Y5173" s="182"/>
      <c r="Z5173" s="175"/>
      <c r="AA5173" s="182"/>
      <c r="AB5173" s="184"/>
    </row>
    <row r="5174" spans="1:28" ht="12.75">
      <c r="A5174" s="173"/>
      <c r="B5174" s="174"/>
      <c r="C5174" s="11"/>
      <c r="D5174" s="175"/>
      <c r="E5174" s="176"/>
      <c r="F5174" s="177"/>
      <c r="G5174" s="178"/>
      <c r="H5174" s="177"/>
      <c r="I5174" s="177"/>
      <c r="J5174" s="179"/>
      <c r="K5174" s="183"/>
      <c r="L5174" s="176"/>
      <c r="M5174" s="177"/>
      <c r="N5174" s="21"/>
      <c r="O5174" s="45"/>
      <c r="P5174" s="24"/>
      <c r="Q5174" s="24"/>
      <c r="R5174" s="180"/>
      <c r="S5174" s="181"/>
      <c r="T5174" s="35"/>
      <c r="U5174" s="35"/>
      <c r="V5174" s="35"/>
      <c r="W5174" s="35"/>
      <c r="X5174" s="35"/>
      <c r="Y5174" s="182"/>
      <c r="Z5174" s="175"/>
      <c r="AA5174" s="182"/>
      <c r="AB5174" s="184"/>
    </row>
    <row r="5175" spans="1:28" ht="12.75">
      <c r="A5175" s="173"/>
      <c r="B5175" s="174"/>
      <c r="C5175" s="11"/>
      <c r="D5175" s="175"/>
      <c r="E5175" s="176"/>
      <c r="F5175" s="177"/>
      <c r="G5175" s="178"/>
      <c r="H5175" s="177"/>
      <c r="I5175" s="177"/>
      <c r="J5175" s="179"/>
      <c r="K5175" s="183"/>
      <c r="L5175" s="176"/>
      <c r="M5175" s="177"/>
      <c r="N5175" s="21"/>
      <c r="O5175" s="45"/>
      <c r="P5175" s="24"/>
      <c r="Q5175" s="24"/>
      <c r="R5175" s="180"/>
      <c r="S5175" s="181"/>
      <c r="T5175" s="35"/>
      <c r="U5175" s="35"/>
      <c r="V5175" s="35"/>
      <c r="W5175" s="35"/>
      <c r="X5175" s="35"/>
      <c r="Y5175" s="182"/>
      <c r="Z5175" s="175"/>
      <c r="AA5175" s="182"/>
      <c r="AB5175" s="184"/>
    </row>
    <row r="5176" spans="1:28" ht="12.75">
      <c r="A5176" s="173"/>
      <c r="B5176" s="174"/>
      <c r="C5176" s="11"/>
      <c r="D5176" s="175"/>
      <c r="E5176" s="176"/>
      <c r="F5176" s="177"/>
      <c r="G5176" s="178"/>
      <c r="H5176" s="177"/>
      <c r="I5176" s="177"/>
      <c r="J5176" s="179"/>
      <c r="K5176" s="183"/>
      <c r="L5176" s="176"/>
      <c r="M5176" s="177"/>
      <c r="N5176" s="21"/>
      <c r="O5176" s="45"/>
      <c r="P5176" s="24"/>
      <c r="Q5176" s="24"/>
      <c r="R5176" s="180"/>
      <c r="S5176" s="181"/>
      <c r="T5176" s="35"/>
      <c r="U5176" s="35"/>
      <c r="V5176" s="35"/>
      <c r="W5176" s="35"/>
      <c r="X5176" s="35"/>
      <c r="Y5176" s="182"/>
      <c r="Z5176" s="175"/>
      <c r="AA5176" s="182"/>
      <c r="AB5176" s="184"/>
    </row>
    <row r="5177" spans="1:28" ht="12.75">
      <c r="A5177" s="173"/>
      <c r="B5177" s="174"/>
      <c r="C5177" s="11"/>
      <c r="D5177" s="175"/>
      <c r="E5177" s="176"/>
      <c r="F5177" s="177"/>
      <c r="G5177" s="178"/>
      <c r="H5177" s="177"/>
      <c r="I5177" s="177"/>
      <c r="J5177" s="179"/>
      <c r="K5177" s="183"/>
      <c r="L5177" s="176"/>
      <c r="M5177" s="177"/>
      <c r="N5177" s="21"/>
      <c r="O5177" s="45"/>
      <c r="P5177" s="24"/>
      <c r="Q5177" s="24"/>
      <c r="R5177" s="180"/>
      <c r="S5177" s="181"/>
      <c r="T5177" s="35"/>
      <c r="U5177" s="35"/>
      <c r="V5177" s="35"/>
      <c r="W5177" s="35"/>
      <c r="X5177" s="35"/>
      <c r="Y5177" s="182"/>
      <c r="Z5177" s="175"/>
      <c r="AA5177" s="182"/>
      <c r="AB5177" s="184"/>
    </row>
    <row r="5178" spans="1:28" ht="12.75">
      <c r="A5178" s="173"/>
      <c r="B5178" s="174"/>
      <c r="C5178" s="11"/>
      <c r="D5178" s="175"/>
      <c r="E5178" s="176"/>
      <c r="F5178" s="177"/>
      <c r="G5178" s="178"/>
      <c r="H5178" s="177"/>
      <c r="I5178" s="177"/>
      <c r="J5178" s="179"/>
      <c r="K5178" s="183"/>
      <c r="L5178" s="176"/>
      <c r="M5178" s="177"/>
      <c r="N5178" s="21"/>
      <c r="O5178" s="45"/>
      <c r="P5178" s="24"/>
      <c r="Q5178" s="24"/>
      <c r="R5178" s="180"/>
      <c r="S5178" s="181"/>
      <c r="T5178" s="35"/>
      <c r="U5178" s="35"/>
      <c r="V5178" s="35"/>
      <c r="W5178" s="35"/>
      <c r="X5178" s="35"/>
      <c r="Y5178" s="182"/>
      <c r="Z5178" s="175"/>
      <c r="AA5178" s="182"/>
      <c r="AB5178" s="184"/>
    </row>
    <row r="5179" spans="1:28" ht="12.75">
      <c r="A5179" s="173"/>
      <c r="B5179" s="174"/>
      <c r="C5179" s="11"/>
      <c r="D5179" s="175"/>
      <c r="E5179" s="176"/>
      <c r="F5179" s="177"/>
      <c r="G5179" s="178"/>
      <c r="H5179" s="177"/>
      <c r="I5179" s="177"/>
      <c r="J5179" s="179"/>
      <c r="K5179" s="183"/>
      <c r="L5179" s="176"/>
      <c r="M5179" s="177"/>
      <c r="N5179" s="21"/>
      <c r="O5179" s="45"/>
      <c r="P5179" s="24"/>
      <c r="Q5179" s="24"/>
      <c r="R5179" s="180"/>
      <c r="S5179" s="181"/>
      <c r="T5179" s="35"/>
      <c r="U5179" s="35"/>
      <c r="V5179" s="35"/>
      <c r="W5179" s="35"/>
      <c r="X5179" s="35"/>
      <c r="Y5179" s="182"/>
      <c r="Z5179" s="175"/>
      <c r="AA5179" s="182"/>
      <c r="AB5179" s="184"/>
    </row>
    <row r="5180" spans="1:28" ht="12.75">
      <c r="A5180" s="173"/>
      <c r="B5180" s="174"/>
      <c r="C5180" s="11"/>
      <c r="D5180" s="175"/>
      <c r="E5180" s="176"/>
      <c r="F5180" s="177"/>
      <c r="G5180" s="178"/>
      <c r="H5180" s="177"/>
      <c r="I5180" s="177"/>
      <c r="J5180" s="179"/>
      <c r="K5180" s="183"/>
      <c r="L5180" s="176"/>
      <c r="M5180" s="177"/>
      <c r="N5180" s="21"/>
      <c r="O5180" s="45"/>
      <c r="P5180" s="24"/>
      <c r="Q5180" s="24"/>
      <c r="R5180" s="180"/>
      <c r="S5180" s="181"/>
      <c r="T5180" s="35"/>
      <c r="U5180" s="35"/>
      <c r="V5180" s="35"/>
      <c r="W5180" s="35"/>
      <c r="X5180" s="35"/>
      <c r="Y5180" s="182"/>
      <c r="Z5180" s="175"/>
      <c r="AA5180" s="182"/>
      <c r="AB5180" s="184"/>
    </row>
    <row r="5181" spans="1:28" ht="12.75">
      <c r="A5181" s="173"/>
      <c r="B5181" s="174"/>
      <c r="C5181" s="11"/>
      <c r="D5181" s="175"/>
      <c r="E5181" s="176"/>
      <c r="F5181" s="177"/>
      <c r="G5181" s="178"/>
      <c r="H5181" s="177"/>
      <c r="I5181" s="177"/>
      <c r="J5181" s="179"/>
      <c r="K5181" s="183"/>
      <c r="L5181" s="176"/>
      <c r="M5181" s="177"/>
      <c r="N5181" s="21"/>
      <c r="O5181" s="45"/>
      <c r="P5181" s="24"/>
      <c r="Q5181" s="24"/>
      <c r="R5181" s="180"/>
      <c r="S5181" s="181"/>
      <c r="T5181" s="35"/>
      <c r="U5181" s="35"/>
      <c r="V5181" s="35"/>
      <c r="W5181" s="35"/>
      <c r="X5181" s="35"/>
      <c r="Y5181" s="182"/>
      <c r="Z5181" s="175"/>
      <c r="AA5181" s="182"/>
      <c r="AB5181" s="184"/>
    </row>
    <row r="5182" spans="1:28" ht="12.75">
      <c r="A5182" s="173"/>
      <c r="B5182" s="174"/>
      <c r="C5182" s="11"/>
      <c r="D5182" s="175"/>
      <c r="E5182" s="176"/>
      <c r="F5182" s="177"/>
      <c r="G5182" s="178"/>
      <c r="H5182" s="177"/>
      <c r="I5182" s="177"/>
      <c r="J5182" s="179"/>
      <c r="K5182" s="183"/>
      <c r="L5182" s="176"/>
      <c r="M5182" s="177"/>
      <c r="N5182" s="21"/>
      <c r="O5182" s="45"/>
      <c r="P5182" s="24"/>
      <c r="Q5182" s="24"/>
      <c r="R5182" s="180"/>
      <c r="S5182" s="181"/>
      <c r="T5182" s="35"/>
      <c r="U5182" s="35"/>
      <c r="V5182" s="35"/>
      <c r="W5182" s="35"/>
      <c r="X5182" s="35"/>
      <c r="Y5182" s="182"/>
      <c r="Z5182" s="175"/>
      <c r="AA5182" s="182"/>
      <c r="AB5182" s="184"/>
    </row>
    <row r="5183" spans="1:28" ht="12.75">
      <c r="A5183" s="173"/>
      <c r="B5183" s="174"/>
      <c r="C5183" s="11"/>
      <c r="D5183" s="175"/>
      <c r="E5183" s="176"/>
      <c r="F5183" s="177"/>
      <c r="G5183" s="178"/>
      <c r="H5183" s="177"/>
      <c r="I5183" s="177"/>
      <c r="J5183" s="179"/>
      <c r="K5183" s="183"/>
      <c r="L5183" s="176"/>
      <c r="M5183" s="177"/>
      <c r="N5183" s="21"/>
      <c r="O5183" s="45"/>
      <c r="P5183" s="24"/>
      <c r="Q5183" s="24"/>
      <c r="R5183" s="180"/>
      <c r="S5183" s="181"/>
      <c r="T5183" s="35"/>
      <c r="U5183" s="35"/>
      <c r="V5183" s="35"/>
      <c r="W5183" s="35"/>
      <c r="X5183" s="35"/>
      <c r="Y5183" s="182"/>
      <c r="Z5183" s="175"/>
      <c r="AA5183" s="182"/>
      <c r="AB5183" s="184"/>
    </row>
    <row r="5184" spans="1:28" ht="12.75">
      <c r="A5184" s="173"/>
      <c r="B5184" s="174"/>
      <c r="C5184" s="11"/>
      <c r="D5184" s="175"/>
      <c r="E5184" s="176"/>
      <c r="F5184" s="177"/>
      <c r="G5184" s="178"/>
      <c r="H5184" s="177"/>
      <c r="I5184" s="177"/>
      <c r="J5184" s="179"/>
      <c r="K5184" s="183"/>
      <c r="L5184" s="176"/>
      <c r="M5184" s="177"/>
      <c r="N5184" s="21"/>
      <c r="O5184" s="45"/>
      <c r="P5184" s="24"/>
      <c r="Q5184" s="24"/>
      <c r="R5184" s="180"/>
      <c r="S5184" s="181"/>
      <c r="T5184" s="35"/>
      <c r="U5184" s="35"/>
      <c r="V5184" s="35"/>
      <c r="W5184" s="35"/>
      <c r="X5184" s="35"/>
      <c r="Y5184" s="182"/>
      <c r="Z5184" s="175"/>
      <c r="AA5184" s="182"/>
      <c r="AB5184" s="184"/>
    </row>
    <row r="5185" spans="1:28" ht="12.75">
      <c r="A5185" s="173"/>
      <c r="B5185" s="174"/>
      <c r="C5185" s="11"/>
      <c r="D5185" s="175"/>
      <c r="E5185" s="176"/>
      <c r="F5185" s="177"/>
      <c r="G5185" s="178"/>
      <c r="H5185" s="177"/>
      <c r="I5185" s="177"/>
      <c r="J5185" s="179"/>
      <c r="K5185" s="183"/>
      <c r="L5185" s="176"/>
      <c r="M5185" s="177"/>
      <c r="N5185" s="21"/>
      <c r="O5185" s="45"/>
      <c r="P5185" s="24"/>
      <c r="Q5185" s="24"/>
      <c r="R5185" s="180"/>
      <c r="S5185" s="181"/>
      <c r="T5185" s="35"/>
      <c r="U5185" s="35"/>
      <c r="V5185" s="35"/>
      <c r="W5185" s="35"/>
      <c r="X5185" s="35"/>
      <c r="Y5185" s="182"/>
      <c r="Z5185" s="175"/>
      <c r="AA5185" s="182"/>
      <c r="AB5185" s="184"/>
    </row>
    <row r="5186" spans="1:28" ht="12.75">
      <c r="A5186" s="173"/>
      <c r="B5186" s="174"/>
      <c r="C5186" s="11"/>
      <c r="D5186" s="175"/>
      <c r="E5186" s="176"/>
      <c r="F5186" s="177"/>
      <c r="G5186" s="178"/>
      <c r="H5186" s="177"/>
      <c r="I5186" s="177"/>
      <c r="J5186" s="179"/>
      <c r="K5186" s="183"/>
      <c r="L5186" s="176"/>
      <c r="M5186" s="177"/>
      <c r="N5186" s="21"/>
      <c r="O5186" s="45"/>
      <c r="P5186" s="24"/>
      <c r="Q5186" s="24"/>
      <c r="R5186" s="180"/>
      <c r="S5186" s="181"/>
      <c r="T5186" s="35"/>
      <c r="U5186" s="35"/>
      <c r="V5186" s="35"/>
      <c r="W5186" s="35"/>
      <c r="X5186" s="35"/>
      <c r="Y5186" s="182"/>
      <c r="Z5186" s="175"/>
      <c r="AA5186" s="182"/>
      <c r="AB5186" s="184"/>
    </row>
    <row r="5187" spans="1:28" ht="12.75">
      <c r="A5187" s="173"/>
      <c r="B5187" s="174"/>
      <c r="C5187" s="11"/>
      <c r="D5187" s="175"/>
      <c r="E5187" s="176"/>
      <c r="F5187" s="177"/>
      <c r="G5187" s="178"/>
      <c r="H5187" s="177"/>
      <c r="I5187" s="177"/>
      <c r="J5187" s="179"/>
      <c r="K5187" s="183"/>
      <c r="L5187" s="176"/>
      <c r="M5187" s="177"/>
      <c r="N5187" s="21"/>
      <c r="O5187" s="45"/>
      <c r="P5187" s="24"/>
      <c r="Q5187" s="24"/>
      <c r="R5187" s="180"/>
      <c r="S5187" s="181"/>
      <c r="T5187" s="35"/>
      <c r="U5187" s="35"/>
      <c r="V5187" s="35"/>
      <c r="W5187" s="35"/>
      <c r="X5187" s="35"/>
      <c r="Y5187" s="182"/>
      <c r="Z5187" s="175"/>
      <c r="AA5187" s="182"/>
      <c r="AB5187" s="184"/>
    </row>
    <row r="5188" spans="1:28" ht="12.75">
      <c r="A5188" s="173"/>
      <c r="B5188" s="174"/>
      <c r="C5188" s="11"/>
      <c r="D5188" s="175"/>
      <c r="E5188" s="176"/>
      <c r="F5188" s="177"/>
      <c r="G5188" s="178"/>
      <c r="H5188" s="177"/>
      <c r="I5188" s="177"/>
      <c r="J5188" s="179"/>
      <c r="K5188" s="183"/>
      <c r="L5188" s="176"/>
      <c r="M5188" s="177"/>
      <c r="N5188" s="21"/>
      <c r="O5188" s="45"/>
      <c r="P5188" s="24"/>
      <c r="Q5188" s="24"/>
      <c r="R5188" s="180"/>
      <c r="S5188" s="181"/>
      <c r="T5188" s="35"/>
      <c r="U5188" s="35"/>
      <c r="V5188" s="35"/>
      <c r="W5188" s="35"/>
      <c r="X5188" s="35"/>
      <c r="Y5188" s="182"/>
      <c r="Z5188" s="175"/>
      <c r="AA5188" s="182"/>
      <c r="AB5188" s="184"/>
    </row>
    <row r="5189" spans="1:28" ht="12.75">
      <c r="A5189" s="173"/>
      <c r="B5189" s="174"/>
      <c r="C5189" s="11"/>
      <c r="D5189" s="175"/>
      <c r="E5189" s="176"/>
      <c r="F5189" s="177"/>
      <c r="G5189" s="178"/>
      <c r="H5189" s="177"/>
      <c r="I5189" s="177"/>
      <c r="J5189" s="179"/>
      <c r="K5189" s="183"/>
      <c r="L5189" s="176"/>
      <c r="M5189" s="177"/>
      <c r="N5189" s="21"/>
      <c r="O5189" s="45"/>
      <c r="P5189" s="24"/>
      <c r="Q5189" s="24"/>
      <c r="R5189" s="180"/>
      <c r="S5189" s="181"/>
      <c r="T5189" s="35"/>
      <c r="U5189" s="35"/>
      <c r="V5189" s="35"/>
      <c r="W5189" s="35"/>
      <c r="X5189" s="35"/>
      <c r="Y5189" s="182"/>
      <c r="Z5189" s="175"/>
      <c r="AA5189" s="182"/>
      <c r="AB5189" s="184"/>
    </row>
    <row r="5190" spans="1:28" ht="12.75">
      <c r="A5190" s="173"/>
      <c r="B5190" s="174"/>
      <c r="C5190" s="11"/>
      <c r="D5190" s="175"/>
      <c r="E5190" s="176"/>
      <c r="F5190" s="177"/>
      <c r="G5190" s="178"/>
      <c r="H5190" s="177"/>
      <c r="I5190" s="177"/>
      <c r="J5190" s="179"/>
      <c r="K5190" s="183"/>
      <c r="L5190" s="176"/>
      <c r="M5190" s="177"/>
      <c r="N5190" s="21"/>
      <c r="O5190" s="45"/>
      <c r="P5190" s="24"/>
      <c r="Q5190" s="24"/>
      <c r="R5190" s="180"/>
      <c r="S5190" s="181"/>
      <c r="T5190" s="35"/>
      <c r="U5190" s="35"/>
      <c r="V5190" s="35"/>
      <c r="W5190" s="35"/>
      <c r="X5190" s="35"/>
      <c r="Y5190" s="182"/>
      <c r="Z5190" s="175"/>
      <c r="AA5190" s="182"/>
      <c r="AB5190" s="184"/>
    </row>
    <row r="5191" spans="1:28" ht="12.75">
      <c r="A5191" s="173"/>
      <c r="B5191" s="174"/>
      <c r="C5191" s="11"/>
      <c r="D5191" s="175"/>
      <c r="E5191" s="176"/>
      <c r="F5191" s="177"/>
      <c r="G5191" s="178"/>
      <c r="H5191" s="177"/>
      <c r="I5191" s="177"/>
      <c r="J5191" s="179"/>
      <c r="K5191" s="183"/>
      <c r="L5191" s="176"/>
      <c r="M5191" s="177"/>
      <c r="N5191" s="21"/>
      <c r="O5191" s="45"/>
      <c r="P5191" s="24"/>
      <c r="Q5191" s="24"/>
      <c r="R5191" s="180"/>
      <c r="S5191" s="181"/>
      <c r="T5191" s="35"/>
      <c r="U5191" s="35"/>
      <c r="V5191" s="35"/>
      <c r="W5191" s="35"/>
      <c r="X5191" s="35"/>
      <c r="Y5191" s="182"/>
      <c r="Z5191" s="175"/>
      <c r="AA5191" s="182"/>
      <c r="AB5191" s="184"/>
    </row>
    <row r="5192" spans="1:28" ht="12.75">
      <c r="A5192" s="173"/>
      <c r="B5192" s="174"/>
      <c r="C5192" s="11"/>
      <c r="D5192" s="175"/>
      <c r="E5192" s="176"/>
      <c r="F5192" s="177"/>
      <c r="G5192" s="178"/>
      <c r="H5192" s="177"/>
      <c r="I5192" s="177"/>
      <c r="J5192" s="179"/>
      <c r="K5192" s="183"/>
      <c r="L5192" s="176"/>
      <c r="M5192" s="177"/>
      <c r="N5192" s="21"/>
      <c r="O5192" s="45"/>
      <c r="P5192" s="24"/>
      <c r="Q5192" s="24"/>
      <c r="R5192" s="180"/>
      <c r="S5192" s="181"/>
      <c r="T5192" s="35"/>
      <c r="U5192" s="35"/>
      <c r="V5192" s="35"/>
      <c r="W5192" s="35"/>
      <c r="X5192" s="35"/>
      <c r="Y5192" s="182"/>
      <c r="Z5192" s="175"/>
      <c r="AA5192" s="182"/>
      <c r="AB5192" s="184"/>
    </row>
    <row r="5193" spans="1:28" ht="12.75">
      <c r="A5193" s="173"/>
      <c r="B5193" s="174"/>
      <c r="C5193" s="11"/>
      <c r="D5193" s="175"/>
      <c r="E5193" s="176"/>
      <c r="F5193" s="177"/>
      <c r="G5193" s="178"/>
      <c r="H5193" s="177"/>
      <c r="I5193" s="177"/>
      <c r="J5193" s="179"/>
      <c r="K5193" s="183"/>
      <c r="L5193" s="176"/>
      <c r="M5193" s="177"/>
      <c r="N5193" s="21"/>
      <c r="O5193" s="45"/>
      <c r="P5193" s="24"/>
      <c r="Q5193" s="24"/>
      <c r="R5193" s="180"/>
      <c r="S5193" s="181"/>
      <c r="T5193" s="35"/>
      <c r="U5193" s="35"/>
      <c r="V5193" s="35"/>
      <c r="W5193" s="35"/>
      <c r="X5193" s="35"/>
      <c r="Y5193" s="182"/>
      <c r="Z5193" s="175"/>
      <c r="AA5193" s="182"/>
      <c r="AB5193" s="184"/>
    </row>
    <row r="5194" spans="1:28" ht="12.75">
      <c r="A5194" s="173"/>
      <c r="B5194" s="174"/>
      <c r="C5194" s="11"/>
      <c r="D5194" s="175"/>
      <c r="E5194" s="176"/>
      <c r="F5194" s="177"/>
      <c r="G5194" s="178"/>
      <c r="H5194" s="177"/>
      <c r="I5194" s="177"/>
      <c r="J5194" s="179"/>
      <c r="K5194" s="183"/>
      <c r="L5194" s="176"/>
      <c r="M5194" s="177"/>
      <c r="N5194" s="21"/>
      <c r="O5194" s="45"/>
      <c r="P5194" s="24"/>
      <c r="Q5194" s="24"/>
      <c r="R5194" s="180"/>
      <c r="S5194" s="181"/>
      <c r="T5194" s="35"/>
      <c r="U5194" s="35"/>
      <c r="V5194" s="35"/>
      <c r="W5194" s="35"/>
      <c r="X5194" s="35"/>
      <c r="Y5194" s="182"/>
      <c r="Z5194" s="175"/>
      <c r="AA5194" s="182"/>
      <c r="AB5194" s="184"/>
    </row>
    <row r="5195" spans="1:28" ht="12.75">
      <c r="A5195" s="173"/>
      <c r="B5195" s="174"/>
      <c r="C5195" s="11"/>
      <c r="D5195" s="175"/>
      <c r="E5195" s="176"/>
      <c r="F5195" s="177"/>
      <c r="G5195" s="178"/>
      <c r="H5195" s="177"/>
      <c r="I5195" s="177"/>
      <c r="J5195" s="179"/>
      <c r="K5195" s="183"/>
      <c r="L5195" s="176"/>
      <c r="M5195" s="177"/>
      <c r="N5195" s="21"/>
      <c r="O5195" s="45"/>
      <c r="P5195" s="24"/>
      <c r="Q5195" s="24"/>
      <c r="R5195" s="180"/>
      <c r="S5195" s="181"/>
      <c r="T5195" s="35"/>
      <c r="U5195" s="35"/>
      <c r="V5195" s="35"/>
      <c r="W5195" s="35"/>
      <c r="X5195" s="35"/>
      <c r="Y5195" s="182"/>
      <c r="Z5195" s="175"/>
      <c r="AA5195" s="182"/>
      <c r="AB5195" s="184"/>
    </row>
    <row r="5196" spans="1:28" ht="12.75">
      <c r="A5196" s="173"/>
      <c r="B5196" s="174"/>
      <c r="C5196" s="11"/>
      <c r="D5196" s="175"/>
      <c r="E5196" s="176"/>
      <c r="F5196" s="177"/>
      <c r="G5196" s="178"/>
      <c r="H5196" s="177"/>
      <c r="I5196" s="177"/>
      <c r="J5196" s="179"/>
      <c r="K5196" s="183"/>
      <c r="L5196" s="176"/>
      <c r="M5196" s="177"/>
      <c r="N5196" s="21"/>
      <c r="O5196" s="45"/>
      <c r="P5196" s="24"/>
      <c r="Q5196" s="24"/>
      <c r="R5196" s="180"/>
      <c r="S5196" s="181"/>
      <c r="T5196" s="35"/>
      <c r="U5196" s="35"/>
      <c r="V5196" s="35"/>
      <c r="W5196" s="35"/>
      <c r="X5196" s="35"/>
      <c r="Y5196" s="182"/>
      <c r="Z5196" s="175"/>
      <c r="AA5196" s="182"/>
      <c r="AB5196" s="184"/>
    </row>
    <row r="5197" spans="1:28" ht="12.75">
      <c r="A5197" s="173"/>
      <c r="B5197" s="174"/>
      <c r="C5197" s="11"/>
      <c r="D5197" s="175"/>
      <c r="E5197" s="176"/>
      <c r="F5197" s="177"/>
      <c r="G5197" s="178"/>
      <c r="H5197" s="177"/>
      <c r="I5197" s="177"/>
      <c r="J5197" s="179"/>
      <c r="K5197" s="183"/>
      <c r="L5197" s="176"/>
      <c r="M5197" s="177"/>
      <c r="N5197" s="21"/>
      <c r="O5197" s="45"/>
      <c r="P5197" s="24"/>
      <c r="Q5197" s="24"/>
      <c r="R5197" s="180"/>
      <c r="S5197" s="181"/>
      <c r="T5197" s="35"/>
      <c r="U5197" s="35"/>
      <c r="V5197" s="35"/>
      <c r="W5197" s="35"/>
      <c r="X5197" s="35"/>
      <c r="Y5197" s="182"/>
      <c r="Z5197" s="175"/>
      <c r="AA5197" s="182"/>
      <c r="AB5197" s="184"/>
    </row>
    <row r="5198" spans="1:28" ht="12.75">
      <c r="A5198" s="173"/>
      <c r="B5198" s="174"/>
      <c r="C5198" s="11"/>
      <c r="D5198" s="175"/>
      <c r="E5198" s="176"/>
      <c r="F5198" s="177"/>
      <c r="G5198" s="178"/>
      <c r="H5198" s="177"/>
      <c r="I5198" s="177"/>
      <c r="J5198" s="179"/>
      <c r="K5198" s="183"/>
      <c r="L5198" s="176"/>
      <c r="M5198" s="177"/>
      <c r="N5198" s="21"/>
      <c r="O5198" s="45"/>
      <c r="P5198" s="24"/>
      <c r="Q5198" s="24"/>
      <c r="R5198" s="180"/>
      <c r="S5198" s="181"/>
      <c r="T5198" s="35"/>
      <c r="U5198" s="35"/>
      <c r="V5198" s="35"/>
      <c r="W5198" s="35"/>
      <c r="X5198" s="35"/>
      <c r="Y5198" s="182"/>
      <c r="Z5198" s="175"/>
      <c r="AA5198" s="182"/>
      <c r="AB5198" s="184"/>
    </row>
    <row r="5199" spans="1:28" ht="12.75">
      <c r="A5199" s="173"/>
      <c r="B5199" s="174"/>
      <c r="C5199" s="11"/>
      <c r="D5199" s="175"/>
      <c r="E5199" s="176"/>
      <c r="F5199" s="177"/>
      <c r="G5199" s="178"/>
      <c r="H5199" s="177"/>
      <c r="I5199" s="177"/>
      <c r="J5199" s="179"/>
      <c r="K5199" s="183"/>
      <c r="L5199" s="176"/>
      <c r="M5199" s="177"/>
      <c r="N5199" s="21"/>
      <c r="O5199" s="45"/>
      <c r="P5199" s="24"/>
      <c r="Q5199" s="24"/>
      <c r="R5199" s="180"/>
      <c r="S5199" s="181"/>
      <c r="T5199" s="35"/>
      <c r="U5199" s="35"/>
      <c r="V5199" s="35"/>
      <c r="W5199" s="35"/>
      <c r="X5199" s="35"/>
      <c r="Y5199" s="182"/>
      <c r="Z5199" s="175"/>
      <c r="AA5199" s="182"/>
      <c r="AB5199" s="184"/>
    </row>
    <row r="5200" spans="1:28" ht="12.75">
      <c r="A5200" s="173"/>
      <c r="B5200" s="174"/>
      <c r="C5200" s="11"/>
      <c r="D5200" s="175"/>
      <c r="E5200" s="176"/>
      <c r="F5200" s="177"/>
      <c r="G5200" s="178"/>
      <c r="H5200" s="177"/>
      <c r="I5200" s="177"/>
      <c r="J5200" s="179"/>
      <c r="K5200" s="183"/>
      <c r="L5200" s="176"/>
      <c r="M5200" s="177"/>
      <c r="N5200" s="21"/>
      <c r="O5200" s="45"/>
      <c r="P5200" s="24"/>
      <c r="Q5200" s="24"/>
      <c r="R5200" s="180"/>
      <c r="S5200" s="181"/>
      <c r="T5200" s="35"/>
      <c r="U5200" s="35"/>
      <c r="V5200" s="35"/>
      <c r="W5200" s="35"/>
      <c r="X5200" s="35"/>
      <c r="Y5200" s="182"/>
      <c r="Z5200" s="175"/>
      <c r="AA5200" s="182"/>
      <c r="AB5200" s="184"/>
    </row>
    <row r="5201" spans="1:28" ht="12.75">
      <c r="A5201" s="173"/>
      <c r="B5201" s="174"/>
      <c r="C5201" s="11"/>
      <c r="D5201" s="175"/>
      <c r="E5201" s="176"/>
      <c r="F5201" s="177"/>
      <c r="G5201" s="178"/>
      <c r="H5201" s="177"/>
      <c r="I5201" s="177"/>
      <c r="J5201" s="179"/>
      <c r="K5201" s="183"/>
      <c r="L5201" s="176"/>
      <c r="M5201" s="177"/>
      <c r="N5201" s="21"/>
      <c r="O5201" s="45"/>
      <c r="P5201" s="24"/>
      <c r="Q5201" s="24"/>
      <c r="R5201" s="180"/>
      <c r="S5201" s="181"/>
      <c r="T5201" s="35"/>
      <c r="U5201" s="35"/>
      <c r="V5201" s="35"/>
      <c r="W5201" s="35"/>
      <c r="X5201" s="35"/>
      <c r="Y5201" s="182"/>
      <c r="Z5201" s="175"/>
      <c r="AA5201" s="182"/>
      <c r="AB5201" s="184"/>
    </row>
    <row r="5202" spans="1:28" ht="12.75">
      <c r="A5202" s="173"/>
      <c r="B5202" s="174"/>
      <c r="C5202" s="11"/>
      <c r="D5202" s="175"/>
      <c r="E5202" s="176"/>
      <c r="F5202" s="177"/>
      <c r="G5202" s="178"/>
      <c r="H5202" s="177"/>
      <c r="I5202" s="177"/>
      <c r="J5202" s="179"/>
      <c r="K5202" s="183"/>
      <c r="L5202" s="176"/>
      <c r="M5202" s="177"/>
      <c r="N5202" s="21"/>
      <c r="O5202" s="45"/>
      <c r="P5202" s="24"/>
      <c r="Q5202" s="24"/>
      <c r="R5202" s="180"/>
      <c r="S5202" s="181"/>
      <c r="T5202" s="35"/>
      <c r="U5202" s="35"/>
      <c r="V5202" s="35"/>
      <c r="W5202" s="35"/>
      <c r="X5202" s="35"/>
      <c r="Y5202" s="182"/>
      <c r="Z5202" s="175"/>
      <c r="AA5202" s="182"/>
      <c r="AB5202" s="184"/>
    </row>
    <row r="5203" spans="1:28" ht="12.75">
      <c r="A5203" s="173"/>
      <c r="B5203" s="174"/>
      <c r="C5203" s="11"/>
      <c r="D5203" s="175"/>
      <c r="E5203" s="176"/>
      <c r="F5203" s="177"/>
      <c r="G5203" s="178"/>
      <c r="H5203" s="177"/>
      <c r="I5203" s="177"/>
      <c r="J5203" s="179"/>
      <c r="K5203" s="183"/>
      <c r="L5203" s="176"/>
      <c r="M5203" s="177"/>
      <c r="N5203" s="21"/>
      <c r="O5203" s="45"/>
      <c r="P5203" s="24"/>
      <c r="Q5203" s="24"/>
      <c r="R5203" s="180"/>
      <c r="S5203" s="181"/>
      <c r="T5203" s="35"/>
      <c r="U5203" s="35"/>
      <c r="V5203" s="35"/>
      <c r="W5203" s="35"/>
      <c r="X5203" s="35"/>
      <c r="Y5203" s="182"/>
      <c r="Z5203" s="175"/>
      <c r="AA5203" s="182"/>
      <c r="AB5203" s="184"/>
    </row>
    <row r="5204" spans="1:28" ht="12.75">
      <c r="A5204" s="173"/>
      <c r="B5204" s="174"/>
      <c r="C5204" s="11"/>
      <c r="D5204" s="175"/>
      <c r="E5204" s="176"/>
      <c r="F5204" s="177"/>
      <c r="G5204" s="178"/>
      <c r="H5204" s="177"/>
      <c r="I5204" s="177"/>
      <c r="J5204" s="179"/>
      <c r="K5204" s="183"/>
      <c r="L5204" s="176"/>
      <c r="M5204" s="177"/>
      <c r="N5204" s="21"/>
      <c r="O5204" s="45"/>
      <c r="P5204" s="24"/>
      <c r="Q5204" s="24"/>
      <c r="R5204" s="180"/>
      <c r="S5204" s="181"/>
      <c r="T5204" s="35"/>
      <c r="U5204" s="35"/>
      <c r="V5204" s="35"/>
      <c r="W5204" s="35"/>
      <c r="X5204" s="35"/>
      <c r="Y5204" s="182"/>
      <c r="Z5204" s="175"/>
      <c r="AA5204" s="182"/>
      <c r="AB5204" s="184"/>
    </row>
    <row r="5205" spans="1:28" ht="12.75">
      <c r="A5205" s="173"/>
      <c r="B5205" s="174"/>
      <c r="C5205" s="11"/>
      <c r="D5205" s="175"/>
      <c r="E5205" s="176"/>
      <c r="F5205" s="177"/>
      <c r="G5205" s="178"/>
      <c r="H5205" s="177"/>
      <c r="I5205" s="177"/>
      <c r="J5205" s="179"/>
      <c r="K5205" s="183"/>
      <c r="L5205" s="176"/>
      <c r="M5205" s="177"/>
      <c r="N5205" s="21"/>
      <c r="O5205" s="45"/>
      <c r="P5205" s="24"/>
      <c r="Q5205" s="24"/>
      <c r="R5205" s="180"/>
      <c r="S5205" s="181"/>
      <c r="T5205" s="35"/>
      <c r="U5205" s="35"/>
      <c r="V5205" s="35"/>
      <c r="W5205" s="35"/>
      <c r="X5205" s="35"/>
      <c r="Y5205" s="182"/>
      <c r="Z5205" s="175"/>
      <c r="AA5205" s="182"/>
      <c r="AB5205" s="184"/>
    </row>
    <row r="5206" spans="1:28" ht="12.75">
      <c r="A5206" s="173"/>
      <c r="B5206" s="174"/>
      <c r="C5206" s="11"/>
      <c r="D5206" s="175"/>
      <c r="E5206" s="176"/>
      <c r="F5206" s="177"/>
      <c r="G5206" s="178"/>
      <c r="H5206" s="177"/>
      <c r="I5206" s="177"/>
      <c r="J5206" s="179"/>
      <c r="K5206" s="183"/>
      <c r="L5206" s="176"/>
      <c r="M5206" s="177"/>
      <c r="N5206" s="21"/>
      <c r="O5206" s="45"/>
      <c r="P5206" s="24"/>
      <c r="Q5206" s="24"/>
      <c r="R5206" s="180"/>
      <c r="S5206" s="181"/>
      <c r="T5206" s="35"/>
      <c r="U5206" s="35"/>
      <c r="V5206" s="35"/>
      <c r="W5206" s="35"/>
      <c r="X5206" s="35"/>
      <c r="Y5206" s="182"/>
      <c r="Z5206" s="175"/>
      <c r="AA5206" s="182"/>
      <c r="AB5206" s="184"/>
    </row>
    <row r="5207" spans="1:28" ht="12.75">
      <c r="A5207" s="173"/>
      <c r="B5207" s="174"/>
      <c r="C5207" s="11"/>
      <c r="D5207" s="175"/>
      <c r="E5207" s="176"/>
      <c r="F5207" s="177"/>
      <c r="G5207" s="178"/>
      <c r="H5207" s="177"/>
      <c r="I5207" s="177"/>
      <c r="J5207" s="179"/>
      <c r="K5207" s="183"/>
      <c r="L5207" s="176"/>
      <c r="M5207" s="177"/>
      <c r="N5207" s="21"/>
      <c r="O5207" s="45"/>
      <c r="P5207" s="24"/>
      <c r="Q5207" s="24"/>
      <c r="R5207" s="180"/>
      <c r="S5207" s="181"/>
      <c r="T5207" s="35"/>
      <c r="U5207" s="35"/>
      <c r="V5207" s="35"/>
      <c r="W5207" s="35"/>
      <c r="X5207" s="35"/>
      <c r="Y5207" s="182"/>
      <c r="Z5207" s="175"/>
      <c r="AA5207" s="182"/>
      <c r="AB5207" s="184"/>
    </row>
    <row r="5208" spans="1:28" ht="12.75">
      <c r="A5208" s="173"/>
      <c r="B5208" s="174"/>
      <c r="C5208" s="11"/>
      <c r="D5208" s="175"/>
      <c r="E5208" s="176"/>
      <c r="F5208" s="177"/>
      <c r="G5208" s="178"/>
      <c r="H5208" s="177"/>
      <c r="I5208" s="177"/>
      <c r="J5208" s="179"/>
      <c r="K5208" s="183"/>
      <c r="L5208" s="176"/>
      <c r="M5208" s="177"/>
      <c r="N5208" s="21"/>
      <c r="O5208" s="45"/>
      <c r="P5208" s="24"/>
      <c r="Q5208" s="24"/>
      <c r="R5208" s="180"/>
      <c r="S5208" s="181"/>
      <c r="T5208" s="35"/>
      <c r="U5208" s="35"/>
      <c r="V5208" s="35"/>
      <c r="W5208" s="35"/>
      <c r="X5208" s="35"/>
      <c r="Y5208" s="182"/>
      <c r="Z5208" s="175"/>
      <c r="AA5208" s="182"/>
      <c r="AB5208" s="184"/>
    </row>
    <row r="5209" spans="1:28" ht="12.75">
      <c r="A5209" s="173"/>
      <c r="B5209" s="174"/>
      <c r="C5209" s="11"/>
      <c r="D5209" s="175"/>
      <c r="E5209" s="176"/>
      <c r="F5209" s="177"/>
      <c r="G5209" s="178"/>
      <c r="H5209" s="177"/>
      <c r="I5209" s="177"/>
      <c r="J5209" s="179"/>
      <c r="K5209" s="183"/>
      <c r="L5209" s="176"/>
      <c r="M5209" s="177"/>
      <c r="N5209" s="21"/>
      <c r="O5209" s="45"/>
      <c r="P5209" s="24"/>
      <c r="Q5209" s="24"/>
      <c r="R5209" s="180"/>
      <c r="S5209" s="181"/>
      <c r="T5209" s="35"/>
      <c r="U5209" s="35"/>
      <c r="V5209" s="35"/>
      <c r="W5209" s="35"/>
      <c r="X5209" s="35"/>
      <c r="Y5209" s="182"/>
      <c r="Z5209" s="175"/>
      <c r="AA5209" s="182"/>
      <c r="AB5209" s="184"/>
    </row>
    <row r="5210" spans="1:28" ht="12.75">
      <c r="A5210" s="173"/>
      <c r="B5210" s="174"/>
      <c r="C5210" s="11"/>
      <c r="D5210" s="175"/>
      <c r="E5210" s="176"/>
      <c r="F5210" s="177"/>
      <c r="G5210" s="178"/>
      <c r="H5210" s="177"/>
      <c r="I5210" s="177"/>
      <c r="J5210" s="179"/>
      <c r="K5210" s="183"/>
      <c r="L5210" s="176"/>
      <c r="M5210" s="177"/>
      <c r="N5210" s="21"/>
      <c r="O5210" s="45"/>
      <c r="P5210" s="24"/>
      <c r="Q5210" s="24"/>
      <c r="R5210" s="180"/>
      <c r="S5210" s="181"/>
      <c r="T5210" s="35"/>
      <c r="U5210" s="35"/>
      <c r="V5210" s="35"/>
      <c r="W5210" s="35"/>
      <c r="X5210" s="35"/>
      <c r="Y5210" s="182"/>
      <c r="Z5210" s="175"/>
      <c r="AA5210" s="182"/>
      <c r="AB5210" s="184"/>
    </row>
    <row r="5211" spans="1:28" ht="12.75">
      <c r="A5211" s="173"/>
      <c r="B5211" s="174"/>
      <c r="C5211" s="11"/>
      <c r="D5211" s="175"/>
      <c r="E5211" s="176"/>
      <c r="F5211" s="177"/>
      <c r="G5211" s="178"/>
      <c r="H5211" s="177"/>
      <c r="I5211" s="177"/>
      <c r="J5211" s="179"/>
      <c r="K5211" s="183"/>
      <c r="L5211" s="176"/>
      <c r="M5211" s="177"/>
      <c r="N5211" s="21"/>
      <c r="O5211" s="45"/>
      <c r="P5211" s="24"/>
      <c r="Q5211" s="24"/>
      <c r="R5211" s="180"/>
      <c r="S5211" s="181"/>
      <c r="T5211" s="35"/>
      <c r="U5211" s="35"/>
      <c r="V5211" s="35"/>
      <c r="W5211" s="35"/>
      <c r="X5211" s="35"/>
      <c r="Y5211" s="182"/>
      <c r="Z5211" s="175"/>
      <c r="AA5211" s="182"/>
      <c r="AB5211" s="184"/>
    </row>
    <row r="5212" spans="1:28" ht="12.75">
      <c r="A5212" s="173"/>
      <c r="B5212" s="174"/>
      <c r="C5212" s="11"/>
      <c r="D5212" s="175"/>
      <c r="E5212" s="176"/>
      <c r="F5212" s="177"/>
      <c r="G5212" s="178"/>
      <c r="H5212" s="177"/>
      <c r="I5212" s="177"/>
      <c r="J5212" s="179"/>
      <c r="K5212" s="183"/>
      <c r="L5212" s="176"/>
      <c r="M5212" s="177"/>
      <c r="N5212" s="21"/>
      <c r="O5212" s="45"/>
      <c r="P5212" s="24"/>
      <c r="Q5212" s="24"/>
      <c r="R5212" s="180"/>
      <c r="S5212" s="181"/>
      <c r="T5212" s="35"/>
      <c r="U5212" s="35"/>
      <c r="V5212" s="35"/>
      <c r="W5212" s="35"/>
      <c r="X5212" s="35"/>
      <c r="Y5212" s="182"/>
      <c r="Z5212" s="175"/>
      <c r="AA5212" s="182"/>
      <c r="AB5212" s="184"/>
    </row>
    <row r="5213" spans="1:28" ht="12.75">
      <c r="A5213" s="173"/>
      <c r="B5213" s="174"/>
      <c r="C5213" s="11"/>
      <c r="D5213" s="175"/>
      <c r="E5213" s="176"/>
      <c r="F5213" s="177"/>
      <c r="G5213" s="178"/>
      <c r="H5213" s="177"/>
      <c r="I5213" s="177"/>
      <c r="J5213" s="179"/>
      <c r="K5213" s="183"/>
      <c r="L5213" s="176"/>
      <c r="M5213" s="177"/>
      <c r="N5213" s="21"/>
      <c r="O5213" s="45"/>
      <c r="P5213" s="24"/>
      <c r="Q5213" s="24"/>
      <c r="R5213" s="180"/>
      <c r="S5213" s="181"/>
      <c r="T5213" s="35"/>
      <c r="U5213" s="35"/>
      <c r="V5213" s="35"/>
      <c r="W5213" s="35"/>
      <c r="X5213" s="35"/>
      <c r="Y5213" s="182"/>
      <c r="Z5213" s="175"/>
      <c r="AA5213" s="182"/>
      <c r="AB5213" s="184"/>
    </row>
    <row r="5214" spans="1:28" ht="12.75">
      <c r="A5214" s="173"/>
      <c r="B5214" s="174"/>
      <c r="C5214" s="11"/>
      <c r="D5214" s="175"/>
      <c r="E5214" s="176"/>
      <c r="F5214" s="177"/>
      <c r="G5214" s="178"/>
      <c r="H5214" s="177"/>
      <c r="I5214" s="177"/>
      <c r="J5214" s="179"/>
      <c r="K5214" s="183"/>
      <c r="L5214" s="176"/>
      <c r="M5214" s="177"/>
      <c r="N5214" s="21"/>
      <c r="O5214" s="45"/>
      <c r="P5214" s="24"/>
      <c r="Q5214" s="24"/>
      <c r="R5214" s="180"/>
      <c r="S5214" s="181"/>
      <c r="T5214" s="35"/>
      <c r="U5214" s="35"/>
      <c r="V5214" s="35"/>
      <c r="W5214" s="35"/>
      <c r="X5214" s="35"/>
      <c r="Y5214" s="182"/>
      <c r="Z5214" s="175"/>
      <c r="AA5214" s="182"/>
      <c r="AB5214" s="184"/>
    </row>
    <row r="5215" spans="1:28" ht="12.75">
      <c r="A5215" s="173"/>
      <c r="B5215" s="174"/>
      <c r="C5215" s="11"/>
      <c r="D5215" s="175"/>
      <c r="E5215" s="176"/>
      <c r="F5215" s="177"/>
      <c r="G5215" s="178"/>
      <c r="H5215" s="177"/>
      <c r="I5215" s="177"/>
      <c r="J5215" s="179"/>
      <c r="K5215" s="183"/>
      <c r="L5215" s="176"/>
      <c r="M5215" s="177"/>
      <c r="N5215" s="21"/>
      <c r="O5215" s="45"/>
      <c r="P5215" s="24"/>
      <c r="Q5215" s="24"/>
      <c r="R5215" s="180"/>
      <c r="S5215" s="181"/>
      <c r="T5215" s="35"/>
      <c r="U5215" s="35"/>
      <c r="V5215" s="35"/>
      <c r="W5215" s="35"/>
      <c r="X5215" s="35"/>
      <c r="Y5215" s="182"/>
      <c r="Z5215" s="175"/>
      <c r="AA5215" s="182"/>
      <c r="AB5215" s="184"/>
    </row>
    <row r="5216" spans="1:28" ht="12.75">
      <c r="A5216" s="173"/>
      <c r="B5216" s="174"/>
      <c r="C5216" s="11"/>
      <c r="D5216" s="175"/>
      <c r="E5216" s="176"/>
      <c r="F5216" s="177"/>
      <c r="G5216" s="178"/>
      <c r="H5216" s="177"/>
      <c r="I5216" s="177"/>
      <c r="J5216" s="179"/>
      <c r="K5216" s="183"/>
      <c r="L5216" s="176"/>
      <c r="M5216" s="177"/>
      <c r="N5216" s="21"/>
      <c r="O5216" s="45"/>
      <c r="P5216" s="24"/>
      <c r="Q5216" s="24"/>
      <c r="R5216" s="180"/>
      <c r="S5216" s="181"/>
      <c r="T5216" s="35"/>
      <c r="U5216" s="35"/>
      <c r="V5216" s="35"/>
      <c r="W5216" s="35"/>
      <c r="X5216" s="35"/>
      <c r="Y5216" s="182"/>
      <c r="Z5216" s="175"/>
      <c r="AA5216" s="182"/>
      <c r="AB5216" s="184"/>
    </row>
    <row r="5217" spans="1:28" ht="12.75">
      <c r="A5217" s="173"/>
      <c r="B5217" s="174"/>
      <c r="C5217" s="11"/>
      <c r="D5217" s="175"/>
      <c r="E5217" s="176"/>
      <c r="F5217" s="177"/>
      <c r="G5217" s="178"/>
      <c r="H5217" s="177"/>
      <c r="I5217" s="177"/>
      <c r="J5217" s="179"/>
      <c r="K5217" s="183"/>
      <c r="L5217" s="176"/>
      <c r="M5217" s="177"/>
      <c r="N5217" s="21"/>
      <c r="O5217" s="45"/>
      <c r="P5217" s="24"/>
      <c r="Q5217" s="24"/>
      <c r="R5217" s="180"/>
      <c r="S5217" s="181"/>
      <c r="T5217" s="35"/>
      <c r="U5217" s="35"/>
      <c r="V5217" s="35"/>
      <c r="W5217" s="35"/>
      <c r="X5217" s="35"/>
      <c r="Y5217" s="182"/>
      <c r="Z5217" s="175"/>
      <c r="AA5217" s="182"/>
      <c r="AB5217" s="184"/>
    </row>
    <row r="5218" spans="1:28" ht="12.75">
      <c r="A5218" s="173"/>
      <c r="B5218" s="174"/>
      <c r="C5218" s="11"/>
      <c r="D5218" s="175"/>
      <c r="E5218" s="176"/>
      <c r="F5218" s="177"/>
      <c r="G5218" s="178"/>
      <c r="H5218" s="177"/>
      <c r="I5218" s="177"/>
      <c r="J5218" s="179"/>
      <c r="K5218" s="183"/>
      <c r="L5218" s="176"/>
      <c r="M5218" s="177"/>
      <c r="N5218" s="21"/>
      <c r="O5218" s="45"/>
      <c r="P5218" s="24"/>
      <c r="Q5218" s="24"/>
      <c r="R5218" s="180"/>
      <c r="S5218" s="181"/>
      <c r="T5218" s="35"/>
      <c r="U5218" s="35"/>
      <c r="V5218" s="35"/>
      <c r="W5218" s="35"/>
      <c r="X5218" s="35"/>
      <c r="Y5218" s="182"/>
      <c r="Z5218" s="175"/>
      <c r="AA5218" s="182"/>
      <c r="AB5218" s="184"/>
    </row>
    <row r="5219" spans="1:28" ht="12.75">
      <c r="A5219" s="173"/>
      <c r="B5219" s="174"/>
      <c r="C5219" s="11"/>
      <c r="D5219" s="175"/>
      <c r="E5219" s="176"/>
      <c r="F5219" s="177"/>
      <c r="G5219" s="178"/>
      <c r="H5219" s="177"/>
      <c r="I5219" s="177"/>
      <c r="J5219" s="179"/>
      <c r="K5219" s="183"/>
      <c r="L5219" s="176"/>
      <c r="M5219" s="177"/>
      <c r="N5219" s="21"/>
      <c r="O5219" s="45"/>
      <c r="P5219" s="24"/>
      <c r="Q5219" s="24"/>
      <c r="R5219" s="180"/>
      <c r="S5219" s="181"/>
      <c r="T5219" s="35"/>
      <c r="U5219" s="35"/>
      <c r="V5219" s="35"/>
      <c r="W5219" s="35"/>
      <c r="X5219" s="35"/>
      <c r="Y5219" s="182"/>
      <c r="Z5219" s="175"/>
      <c r="AA5219" s="182"/>
      <c r="AB5219" s="184"/>
    </row>
    <row r="5220" spans="1:28" ht="12.75">
      <c r="A5220" s="173"/>
      <c r="B5220" s="174"/>
      <c r="C5220" s="11"/>
      <c r="D5220" s="175"/>
      <c r="E5220" s="176"/>
      <c r="F5220" s="177"/>
      <c r="G5220" s="178"/>
      <c r="H5220" s="177"/>
      <c r="I5220" s="177"/>
      <c r="J5220" s="179"/>
      <c r="K5220" s="183"/>
      <c r="L5220" s="176"/>
      <c r="M5220" s="177"/>
      <c r="N5220" s="21"/>
      <c r="O5220" s="45"/>
      <c r="P5220" s="24"/>
      <c r="Q5220" s="24"/>
      <c r="R5220" s="180"/>
      <c r="S5220" s="181"/>
      <c r="T5220" s="35"/>
      <c r="U5220" s="35"/>
      <c r="V5220" s="35"/>
      <c r="W5220" s="35"/>
      <c r="X5220" s="35"/>
      <c r="Y5220" s="182"/>
      <c r="Z5220" s="175"/>
      <c r="AA5220" s="182"/>
      <c r="AB5220" s="184"/>
    </row>
    <row r="5221" spans="1:28" ht="12.75">
      <c r="A5221" s="173"/>
      <c r="B5221" s="174"/>
      <c r="C5221" s="11"/>
      <c r="D5221" s="175"/>
      <c r="E5221" s="176"/>
      <c r="F5221" s="177"/>
      <c r="G5221" s="178"/>
      <c r="H5221" s="177"/>
      <c r="I5221" s="177"/>
      <c r="J5221" s="179"/>
      <c r="K5221" s="183"/>
      <c r="L5221" s="176"/>
      <c r="M5221" s="177"/>
      <c r="N5221" s="21"/>
      <c r="O5221" s="45"/>
      <c r="P5221" s="24"/>
      <c r="Q5221" s="24"/>
      <c r="R5221" s="180"/>
      <c r="S5221" s="181"/>
      <c r="T5221" s="35"/>
      <c r="U5221" s="35"/>
      <c r="V5221" s="35"/>
      <c r="W5221" s="35"/>
      <c r="X5221" s="35"/>
      <c r="Y5221" s="182"/>
      <c r="Z5221" s="175"/>
      <c r="AA5221" s="182"/>
      <c r="AB5221" s="184"/>
    </row>
    <row r="5222" spans="1:28" ht="12.75">
      <c r="A5222" s="173"/>
      <c r="B5222" s="174"/>
      <c r="C5222" s="11"/>
      <c r="D5222" s="175"/>
      <c r="E5222" s="176"/>
      <c r="F5222" s="177"/>
      <c r="G5222" s="178"/>
      <c r="H5222" s="177"/>
      <c r="I5222" s="177"/>
      <c r="J5222" s="179"/>
      <c r="K5222" s="183"/>
      <c r="L5222" s="176"/>
      <c r="M5222" s="177"/>
      <c r="N5222" s="21"/>
      <c r="O5222" s="45"/>
      <c r="P5222" s="24"/>
      <c r="Q5222" s="24"/>
      <c r="R5222" s="180"/>
      <c r="S5222" s="181"/>
      <c r="T5222" s="35"/>
      <c r="U5222" s="35"/>
      <c r="V5222" s="35"/>
      <c r="W5222" s="35"/>
      <c r="X5222" s="35"/>
      <c r="Y5222" s="182"/>
      <c r="Z5222" s="175"/>
      <c r="AA5222" s="182"/>
      <c r="AB5222" s="184"/>
    </row>
    <row r="5223" spans="1:28" ht="12.75">
      <c r="A5223" s="173"/>
      <c r="B5223" s="174"/>
      <c r="C5223" s="11"/>
      <c r="D5223" s="175"/>
      <c r="E5223" s="176"/>
      <c r="F5223" s="177"/>
      <c r="G5223" s="178"/>
      <c r="H5223" s="177"/>
      <c r="I5223" s="177"/>
      <c r="J5223" s="179"/>
      <c r="K5223" s="183"/>
      <c r="L5223" s="176"/>
      <c r="M5223" s="177"/>
      <c r="N5223" s="21"/>
      <c r="O5223" s="45"/>
      <c r="P5223" s="24"/>
      <c r="Q5223" s="24"/>
      <c r="R5223" s="180"/>
      <c r="S5223" s="181"/>
      <c r="T5223" s="35"/>
      <c r="U5223" s="35"/>
      <c r="V5223" s="35"/>
      <c r="W5223" s="35"/>
      <c r="X5223" s="35"/>
      <c r="Y5223" s="182"/>
      <c r="Z5223" s="175"/>
      <c r="AA5223" s="182"/>
      <c r="AB5223" s="184"/>
    </row>
    <row r="5224" spans="1:28" ht="12.75">
      <c r="A5224" s="173"/>
      <c r="B5224" s="174"/>
      <c r="C5224" s="11"/>
      <c r="D5224" s="175"/>
      <c r="E5224" s="176"/>
      <c r="F5224" s="177"/>
      <c r="G5224" s="178"/>
      <c r="H5224" s="177"/>
      <c r="I5224" s="177"/>
      <c r="J5224" s="179"/>
      <c r="K5224" s="183"/>
      <c r="L5224" s="176"/>
      <c r="M5224" s="177"/>
      <c r="N5224" s="21"/>
      <c r="O5224" s="45"/>
      <c r="P5224" s="24"/>
      <c r="Q5224" s="24"/>
      <c r="R5224" s="180"/>
      <c r="S5224" s="181"/>
      <c r="T5224" s="35"/>
      <c r="U5224" s="35"/>
      <c r="V5224" s="35"/>
      <c r="W5224" s="35"/>
      <c r="X5224" s="35"/>
      <c r="Y5224" s="182"/>
      <c r="Z5224" s="175"/>
      <c r="AA5224" s="182"/>
      <c r="AB5224" s="184"/>
    </row>
    <row r="5225" spans="1:28" ht="12.75">
      <c r="A5225" s="173"/>
      <c r="B5225" s="174"/>
      <c r="C5225" s="11"/>
      <c r="D5225" s="175"/>
      <c r="E5225" s="176"/>
      <c r="F5225" s="177"/>
      <c r="G5225" s="178"/>
      <c r="H5225" s="177"/>
      <c r="I5225" s="177"/>
      <c r="J5225" s="179"/>
      <c r="K5225" s="183"/>
      <c r="L5225" s="176"/>
      <c r="M5225" s="177"/>
      <c r="N5225" s="21"/>
      <c r="O5225" s="45"/>
      <c r="P5225" s="24"/>
      <c r="Q5225" s="24"/>
      <c r="R5225" s="180"/>
      <c r="S5225" s="181"/>
      <c r="T5225" s="35"/>
      <c r="U5225" s="35"/>
      <c r="V5225" s="35"/>
      <c r="W5225" s="35"/>
      <c r="X5225" s="35"/>
      <c r="Y5225" s="182"/>
      <c r="Z5225" s="175"/>
      <c r="AA5225" s="182"/>
      <c r="AB5225" s="184"/>
    </row>
    <row r="5226" spans="1:28" ht="12.75">
      <c r="A5226" s="173"/>
      <c r="B5226" s="174"/>
      <c r="C5226" s="11"/>
      <c r="D5226" s="175"/>
      <c r="E5226" s="176"/>
      <c r="F5226" s="177"/>
      <c r="G5226" s="178"/>
      <c r="H5226" s="177"/>
      <c r="I5226" s="177"/>
      <c r="J5226" s="179"/>
      <c r="K5226" s="183"/>
      <c r="L5226" s="176"/>
      <c r="M5226" s="177"/>
      <c r="N5226" s="21"/>
      <c r="O5226" s="45"/>
      <c r="P5226" s="24"/>
      <c r="Q5226" s="24"/>
      <c r="R5226" s="180"/>
      <c r="S5226" s="181"/>
      <c r="T5226" s="35"/>
      <c r="U5226" s="35"/>
      <c r="V5226" s="35"/>
      <c r="W5226" s="35"/>
      <c r="X5226" s="35"/>
      <c r="Y5226" s="182"/>
      <c r="Z5226" s="175"/>
      <c r="AA5226" s="182"/>
      <c r="AB5226" s="184"/>
    </row>
    <row r="5227" spans="1:28" ht="12.75">
      <c r="A5227" s="173"/>
      <c r="B5227" s="174"/>
      <c r="C5227" s="11"/>
      <c r="D5227" s="175"/>
      <c r="E5227" s="176"/>
      <c r="F5227" s="177"/>
      <c r="G5227" s="178"/>
      <c r="H5227" s="177"/>
      <c r="I5227" s="177"/>
      <c r="J5227" s="179"/>
      <c r="K5227" s="183"/>
      <c r="L5227" s="176"/>
      <c r="M5227" s="177"/>
      <c r="N5227" s="21"/>
      <c r="O5227" s="45"/>
      <c r="P5227" s="24"/>
      <c r="Q5227" s="24"/>
      <c r="R5227" s="180"/>
      <c r="S5227" s="181"/>
      <c r="T5227" s="35"/>
      <c r="U5227" s="35"/>
      <c r="V5227" s="35"/>
      <c r="W5227" s="35"/>
      <c r="X5227" s="35"/>
      <c r="Y5227" s="182"/>
      <c r="Z5227" s="175"/>
      <c r="AA5227" s="182"/>
      <c r="AB5227" s="184"/>
    </row>
    <row r="5228" spans="1:28" ht="12.75">
      <c r="A5228" s="173"/>
      <c r="B5228" s="174"/>
      <c r="C5228" s="11"/>
      <c r="D5228" s="175"/>
      <c r="E5228" s="176"/>
      <c r="F5228" s="177"/>
      <c r="G5228" s="178"/>
      <c r="H5228" s="177"/>
      <c r="I5228" s="177"/>
      <c r="J5228" s="179"/>
      <c r="K5228" s="183"/>
      <c r="L5228" s="176"/>
      <c r="M5228" s="177"/>
      <c r="N5228" s="21"/>
      <c r="O5228" s="45"/>
      <c r="P5228" s="24"/>
      <c r="Q5228" s="24"/>
      <c r="R5228" s="180"/>
      <c r="S5228" s="181"/>
      <c r="T5228" s="35"/>
      <c r="U5228" s="35"/>
      <c r="V5228" s="35"/>
      <c r="W5228" s="35"/>
      <c r="X5228" s="35"/>
      <c r="Y5228" s="182"/>
      <c r="Z5228" s="175"/>
      <c r="AA5228" s="182"/>
      <c r="AB5228" s="184"/>
    </row>
    <row r="5229" spans="1:28" ht="12.75">
      <c r="A5229" s="173"/>
      <c r="B5229" s="174"/>
      <c r="C5229" s="11"/>
      <c r="D5229" s="175"/>
      <c r="E5229" s="176"/>
      <c r="F5229" s="177"/>
      <c r="G5229" s="178"/>
      <c r="H5229" s="177"/>
      <c r="I5229" s="177"/>
      <c r="J5229" s="179"/>
      <c r="K5229" s="183"/>
      <c r="L5229" s="176"/>
      <c r="M5229" s="177"/>
      <c r="N5229" s="21"/>
      <c r="O5229" s="45"/>
      <c r="P5229" s="24"/>
      <c r="Q5229" s="24"/>
      <c r="R5229" s="180"/>
      <c r="S5229" s="181"/>
      <c r="T5229" s="35"/>
      <c r="U5229" s="35"/>
      <c r="V5229" s="35"/>
      <c r="W5229" s="35"/>
      <c r="X5229" s="35"/>
      <c r="Y5229" s="182"/>
      <c r="Z5229" s="175"/>
      <c r="AA5229" s="182"/>
      <c r="AB5229" s="184"/>
    </row>
    <row r="5230" spans="1:28" ht="12.75">
      <c r="A5230" s="173"/>
      <c r="B5230" s="174"/>
      <c r="C5230" s="11"/>
      <c r="D5230" s="175"/>
      <c r="E5230" s="176"/>
      <c r="F5230" s="177"/>
      <c r="G5230" s="178"/>
      <c r="H5230" s="177"/>
      <c r="I5230" s="177"/>
      <c r="J5230" s="179"/>
      <c r="K5230" s="183"/>
      <c r="L5230" s="176"/>
      <c r="M5230" s="177"/>
      <c r="N5230" s="21"/>
      <c r="O5230" s="45"/>
      <c r="P5230" s="24"/>
      <c r="Q5230" s="24"/>
      <c r="R5230" s="180"/>
      <c r="S5230" s="181"/>
      <c r="T5230" s="35"/>
      <c r="U5230" s="35"/>
      <c r="V5230" s="35"/>
      <c r="W5230" s="35"/>
      <c r="X5230" s="35"/>
      <c r="Y5230" s="182"/>
      <c r="Z5230" s="175"/>
      <c r="AA5230" s="182"/>
      <c r="AB5230" s="184"/>
    </row>
    <row r="5231" spans="1:28" ht="12.75">
      <c r="A5231" s="173"/>
      <c r="B5231" s="174"/>
      <c r="C5231" s="11"/>
      <c r="D5231" s="175"/>
      <c r="E5231" s="176"/>
      <c r="F5231" s="177"/>
      <c r="G5231" s="178"/>
      <c r="H5231" s="177"/>
      <c r="I5231" s="177"/>
      <c r="J5231" s="179"/>
      <c r="K5231" s="183"/>
      <c r="L5231" s="176"/>
      <c r="M5231" s="177"/>
      <c r="N5231" s="21"/>
      <c r="O5231" s="45"/>
      <c r="P5231" s="24"/>
      <c r="Q5231" s="24"/>
      <c r="R5231" s="180"/>
      <c r="S5231" s="181"/>
      <c r="T5231" s="35"/>
      <c r="U5231" s="35"/>
      <c r="V5231" s="35"/>
      <c r="W5231" s="35"/>
      <c r="X5231" s="35"/>
      <c r="Y5231" s="182"/>
      <c r="Z5231" s="175"/>
      <c r="AA5231" s="182"/>
      <c r="AB5231" s="184"/>
    </row>
    <row r="5232" spans="1:28" ht="12.75">
      <c r="A5232" s="173"/>
      <c r="B5232" s="174"/>
      <c r="C5232" s="11"/>
      <c r="D5232" s="175"/>
      <c r="E5232" s="176"/>
      <c r="F5232" s="177"/>
      <c r="G5232" s="178"/>
      <c r="H5232" s="177"/>
      <c r="I5232" s="177"/>
      <c r="J5232" s="179"/>
      <c r="K5232" s="183"/>
      <c r="L5232" s="176"/>
      <c r="M5232" s="177"/>
      <c r="N5232" s="21"/>
      <c r="O5232" s="45"/>
      <c r="P5232" s="24"/>
      <c r="Q5232" s="24"/>
      <c r="R5232" s="180"/>
      <c r="S5232" s="181"/>
      <c r="T5232" s="35"/>
      <c r="U5232" s="35"/>
      <c r="V5232" s="35"/>
      <c r="W5232" s="35"/>
      <c r="X5232" s="35"/>
      <c r="Y5232" s="182"/>
      <c r="Z5232" s="175"/>
      <c r="AA5232" s="182"/>
      <c r="AB5232" s="184"/>
    </row>
    <row r="5233" spans="1:28" ht="12.75">
      <c r="A5233" s="173"/>
      <c r="B5233" s="174"/>
      <c r="C5233" s="11"/>
      <c r="D5233" s="175"/>
      <c r="E5233" s="176"/>
      <c r="F5233" s="177"/>
      <c r="G5233" s="178"/>
      <c r="H5233" s="177"/>
      <c r="I5233" s="177"/>
      <c r="J5233" s="179"/>
      <c r="K5233" s="183"/>
      <c r="L5233" s="176"/>
      <c r="M5233" s="177"/>
      <c r="N5233" s="21"/>
      <c r="O5233" s="45"/>
      <c r="P5233" s="24"/>
      <c r="Q5233" s="24"/>
      <c r="R5233" s="180"/>
      <c r="S5233" s="181"/>
      <c r="T5233" s="35"/>
      <c r="U5233" s="35"/>
      <c r="V5233" s="35"/>
      <c r="W5233" s="35"/>
      <c r="X5233" s="35"/>
      <c r="Y5233" s="182"/>
      <c r="Z5233" s="175"/>
      <c r="AA5233" s="182"/>
      <c r="AB5233" s="184"/>
    </row>
    <row r="5234" spans="1:28" ht="12.75">
      <c r="A5234" s="173"/>
      <c r="B5234" s="174"/>
      <c r="C5234" s="11"/>
      <c r="D5234" s="175"/>
      <c r="E5234" s="176"/>
      <c r="F5234" s="177"/>
      <c r="G5234" s="178"/>
      <c r="H5234" s="177"/>
      <c r="I5234" s="177"/>
      <c r="J5234" s="179"/>
      <c r="K5234" s="183"/>
      <c r="L5234" s="176"/>
      <c r="M5234" s="177"/>
      <c r="N5234" s="21"/>
      <c r="O5234" s="45"/>
      <c r="P5234" s="24"/>
      <c r="Q5234" s="24"/>
      <c r="R5234" s="180"/>
      <c r="S5234" s="181"/>
      <c r="T5234" s="35"/>
      <c r="U5234" s="35"/>
      <c r="V5234" s="35"/>
      <c r="W5234" s="35"/>
      <c r="X5234" s="35"/>
      <c r="Y5234" s="182"/>
      <c r="Z5234" s="175"/>
      <c r="AA5234" s="182"/>
      <c r="AB5234" s="184"/>
    </row>
    <row r="5235" spans="1:28" ht="12.75">
      <c r="A5235" s="173"/>
      <c r="B5235" s="174"/>
      <c r="C5235" s="11"/>
      <c r="D5235" s="175"/>
      <c r="E5235" s="176"/>
      <c r="F5235" s="177"/>
      <c r="G5235" s="178"/>
      <c r="H5235" s="177"/>
      <c r="I5235" s="177"/>
      <c r="J5235" s="179"/>
      <c r="K5235" s="183"/>
      <c r="L5235" s="176"/>
      <c r="M5235" s="177"/>
      <c r="N5235" s="21"/>
      <c r="O5235" s="45"/>
      <c r="P5235" s="24"/>
      <c r="Q5235" s="24"/>
      <c r="R5235" s="180"/>
      <c r="S5235" s="181"/>
      <c r="T5235" s="35"/>
      <c r="U5235" s="35"/>
      <c r="V5235" s="35"/>
      <c r="W5235" s="35"/>
      <c r="X5235" s="35"/>
      <c r="Y5235" s="182"/>
      <c r="Z5235" s="175"/>
      <c r="AA5235" s="182"/>
      <c r="AB5235" s="184"/>
    </row>
    <row r="5236" spans="1:28" ht="12.75">
      <c r="A5236" s="173"/>
      <c r="B5236" s="174"/>
      <c r="C5236" s="11"/>
      <c r="D5236" s="175"/>
      <c r="E5236" s="176"/>
      <c r="F5236" s="177"/>
      <c r="G5236" s="178"/>
      <c r="H5236" s="177"/>
      <c r="I5236" s="177"/>
      <c r="J5236" s="179"/>
      <c r="K5236" s="183"/>
      <c r="L5236" s="176"/>
      <c r="M5236" s="177"/>
      <c r="N5236" s="21"/>
      <c r="O5236" s="45"/>
      <c r="P5236" s="24"/>
      <c r="Q5236" s="24"/>
      <c r="R5236" s="180"/>
      <c r="S5236" s="181"/>
      <c r="T5236" s="35"/>
      <c r="U5236" s="35"/>
      <c r="V5236" s="35"/>
      <c r="W5236" s="35"/>
      <c r="X5236" s="35"/>
      <c r="Y5236" s="182"/>
      <c r="Z5236" s="175"/>
      <c r="AA5236" s="182"/>
      <c r="AB5236" s="184"/>
    </row>
    <row r="5237" spans="1:28" ht="12.75">
      <c r="A5237" s="173"/>
      <c r="B5237" s="174"/>
      <c r="C5237" s="11"/>
      <c r="D5237" s="175"/>
      <c r="E5237" s="176"/>
      <c r="F5237" s="177"/>
      <c r="G5237" s="178"/>
      <c r="H5237" s="177"/>
      <c r="I5237" s="177"/>
      <c r="J5237" s="179"/>
      <c r="K5237" s="183"/>
      <c r="L5237" s="176"/>
      <c r="M5237" s="177"/>
      <c r="N5237" s="21"/>
      <c r="O5237" s="45"/>
      <c r="P5237" s="24"/>
      <c r="Q5237" s="24"/>
      <c r="R5237" s="180"/>
      <c r="S5237" s="181"/>
      <c r="T5237" s="35"/>
      <c r="U5237" s="35"/>
      <c r="V5237" s="35"/>
      <c r="W5237" s="35"/>
      <c r="X5237" s="35"/>
      <c r="Y5237" s="182"/>
      <c r="Z5237" s="175"/>
      <c r="AA5237" s="182"/>
      <c r="AB5237" s="184"/>
    </row>
    <row r="5238" spans="1:28" ht="12.75">
      <c r="A5238" s="173"/>
      <c r="B5238" s="174"/>
      <c r="C5238" s="11"/>
      <c r="D5238" s="175"/>
      <c r="E5238" s="176"/>
      <c r="F5238" s="177"/>
      <c r="G5238" s="178"/>
      <c r="H5238" s="177"/>
      <c r="I5238" s="177"/>
      <c r="J5238" s="179"/>
      <c r="K5238" s="183"/>
      <c r="L5238" s="176"/>
      <c r="M5238" s="177"/>
      <c r="N5238" s="21"/>
      <c r="O5238" s="45"/>
      <c r="P5238" s="24"/>
      <c r="Q5238" s="24"/>
      <c r="R5238" s="180"/>
      <c r="S5238" s="181"/>
      <c r="T5238" s="35"/>
      <c r="U5238" s="35"/>
      <c r="V5238" s="35"/>
      <c r="W5238" s="35"/>
      <c r="X5238" s="35"/>
      <c r="Y5238" s="182"/>
      <c r="Z5238" s="175"/>
      <c r="AA5238" s="182"/>
      <c r="AB5238" s="184"/>
    </row>
    <row r="5239" spans="1:28" ht="12.75">
      <c r="A5239" s="173"/>
      <c r="B5239" s="174"/>
      <c r="C5239" s="11"/>
      <c r="D5239" s="175"/>
      <c r="E5239" s="176"/>
      <c r="F5239" s="177"/>
      <c r="G5239" s="178"/>
      <c r="H5239" s="177"/>
      <c r="I5239" s="177"/>
      <c r="J5239" s="179"/>
      <c r="K5239" s="183"/>
      <c r="L5239" s="176"/>
      <c r="M5239" s="177"/>
      <c r="N5239" s="21"/>
      <c r="O5239" s="45"/>
      <c r="P5239" s="24"/>
      <c r="Q5239" s="24"/>
      <c r="R5239" s="180"/>
      <c r="S5239" s="181"/>
      <c r="T5239" s="35"/>
      <c r="U5239" s="35"/>
      <c r="V5239" s="35"/>
      <c r="W5239" s="35"/>
      <c r="X5239" s="35"/>
      <c r="Y5239" s="182"/>
      <c r="Z5239" s="175"/>
      <c r="AA5239" s="182"/>
      <c r="AB5239" s="184"/>
    </row>
    <row r="5240" spans="1:28" ht="12.75">
      <c r="A5240" s="173"/>
      <c r="B5240" s="174"/>
      <c r="C5240" s="11"/>
      <c r="D5240" s="175"/>
      <c r="E5240" s="176"/>
      <c r="F5240" s="177"/>
      <c r="G5240" s="178"/>
      <c r="H5240" s="177"/>
      <c r="I5240" s="177"/>
      <c r="J5240" s="179"/>
      <c r="K5240" s="183"/>
      <c r="L5240" s="176"/>
      <c r="M5240" s="177"/>
      <c r="N5240" s="21"/>
      <c r="O5240" s="45"/>
      <c r="P5240" s="24"/>
      <c r="Q5240" s="24"/>
      <c r="R5240" s="180"/>
      <c r="S5240" s="181"/>
      <c r="T5240" s="35"/>
      <c r="U5240" s="35"/>
      <c r="V5240" s="35"/>
      <c r="W5240" s="35"/>
      <c r="X5240" s="35"/>
      <c r="Y5240" s="182"/>
      <c r="Z5240" s="175"/>
      <c r="AA5240" s="182"/>
      <c r="AB5240" s="184"/>
    </row>
    <row r="5241" spans="1:28" ht="12.75">
      <c r="A5241" s="173"/>
      <c r="B5241" s="174"/>
      <c r="C5241" s="11"/>
      <c r="D5241" s="175"/>
      <c r="E5241" s="176"/>
      <c r="F5241" s="177"/>
      <c r="G5241" s="178"/>
      <c r="H5241" s="177"/>
      <c r="I5241" s="177"/>
      <c r="J5241" s="179"/>
      <c r="K5241" s="183"/>
      <c r="L5241" s="176"/>
      <c r="M5241" s="177"/>
      <c r="N5241" s="21"/>
      <c r="O5241" s="45"/>
      <c r="P5241" s="24"/>
      <c r="Q5241" s="24"/>
      <c r="R5241" s="180"/>
      <c r="S5241" s="181"/>
      <c r="T5241" s="35"/>
      <c r="U5241" s="35"/>
      <c r="V5241" s="35"/>
      <c r="W5241" s="35"/>
      <c r="X5241" s="35"/>
      <c r="Y5241" s="182"/>
      <c r="Z5241" s="175"/>
      <c r="AA5241" s="182"/>
      <c r="AB5241" s="184"/>
    </row>
    <row r="5242" spans="1:28" ht="12.75">
      <c r="A5242" s="173"/>
      <c r="B5242" s="174"/>
      <c r="C5242" s="11"/>
      <c r="D5242" s="175"/>
      <c r="E5242" s="176"/>
      <c r="F5242" s="177"/>
      <c r="G5242" s="178"/>
      <c r="H5242" s="177"/>
      <c r="I5242" s="177"/>
      <c r="J5242" s="179"/>
      <c r="K5242" s="183"/>
      <c r="L5242" s="176"/>
      <c r="M5242" s="177"/>
      <c r="N5242" s="21"/>
      <c r="O5242" s="45"/>
      <c r="P5242" s="24"/>
      <c r="Q5242" s="24"/>
      <c r="R5242" s="180"/>
      <c r="S5242" s="181"/>
      <c r="T5242" s="35"/>
      <c r="U5242" s="35"/>
      <c r="V5242" s="35"/>
      <c r="W5242" s="35"/>
      <c r="X5242" s="35"/>
      <c r="Y5242" s="182"/>
      <c r="Z5242" s="175"/>
      <c r="AA5242" s="182"/>
      <c r="AB5242" s="184"/>
    </row>
    <row r="5243" spans="1:28" ht="12.75">
      <c r="A5243" s="173"/>
      <c r="B5243" s="174"/>
      <c r="C5243" s="11"/>
      <c r="D5243" s="175"/>
      <c r="E5243" s="176"/>
      <c r="F5243" s="177"/>
      <c r="G5243" s="178"/>
      <c r="H5243" s="177"/>
      <c r="I5243" s="177"/>
      <c r="J5243" s="179"/>
      <c r="K5243" s="183"/>
      <c r="L5243" s="176"/>
      <c r="M5243" s="177"/>
      <c r="N5243" s="21"/>
      <c r="O5243" s="45"/>
      <c r="P5243" s="24"/>
      <c r="Q5243" s="24"/>
      <c r="R5243" s="180"/>
      <c r="S5243" s="181"/>
      <c r="T5243" s="35"/>
      <c r="U5243" s="35"/>
      <c r="V5243" s="35"/>
      <c r="W5243" s="35"/>
      <c r="X5243" s="35"/>
      <c r="Y5243" s="182"/>
      <c r="Z5243" s="175"/>
      <c r="AA5243" s="182"/>
      <c r="AB5243" s="184"/>
    </row>
    <row r="5244" spans="1:28" ht="12.75">
      <c r="A5244" s="173"/>
      <c r="B5244" s="174"/>
      <c r="C5244" s="11"/>
      <c r="D5244" s="175"/>
      <c r="E5244" s="176"/>
      <c r="F5244" s="177"/>
      <c r="G5244" s="178"/>
      <c r="H5244" s="177"/>
      <c r="I5244" s="177"/>
      <c r="J5244" s="179"/>
      <c r="K5244" s="183"/>
      <c r="L5244" s="176"/>
      <c r="M5244" s="177"/>
      <c r="N5244" s="21"/>
      <c r="O5244" s="45"/>
      <c r="P5244" s="24"/>
      <c r="Q5244" s="24"/>
      <c r="R5244" s="180"/>
      <c r="S5244" s="181"/>
      <c r="T5244" s="35"/>
      <c r="U5244" s="35"/>
      <c r="V5244" s="35"/>
      <c r="W5244" s="35"/>
      <c r="X5244" s="35"/>
      <c r="Y5244" s="182"/>
      <c r="Z5244" s="175"/>
      <c r="AA5244" s="182"/>
      <c r="AB5244" s="184"/>
    </row>
    <row r="5245" spans="1:28" ht="12.75">
      <c r="A5245" s="173"/>
      <c r="B5245" s="174"/>
      <c r="C5245" s="11"/>
      <c r="D5245" s="175"/>
      <c r="E5245" s="176"/>
      <c r="F5245" s="177"/>
      <c r="G5245" s="178"/>
      <c r="H5245" s="177"/>
      <c r="I5245" s="177"/>
      <c r="J5245" s="179"/>
      <c r="K5245" s="183"/>
      <c r="L5245" s="176"/>
      <c r="M5245" s="177"/>
      <c r="N5245" s="21"/>
      <c r="O5245" s="45"/>
      <c r="P5245" s="24"/>
      <c r="Q5245" s="24"/>
      <c r="R5245" s="180"/>
      <c r="S5245" s="181"/>
      <c r="T5245" s="35"/>
      <c r="U5245" s="35"/>
      <c r="V5245" s="35"/>
      <c r="W5245" s="35"/>
      <c r="X5245" s="35"/>
      <c r="Y5245" s="182"/>
      <c r="Z5245" s="175"/>
      <c r="AA5245" s="182"/>
      <c r="AB5245" s="184"/>
    </row>
    <row r="5246" spans="1:28" ht="12.75">
      <c r="A5246" s="173"/>
      <c r="B5246" s="174"/>
      <c r="C5246" s="11"/>
      <c r="D5246" s="175"/>
      <c r="E5246" s="176"/>
      <c r="F5246" s="177"/>
      <c r="G5246" s="178"/>
      <c r="H5246" s="177"/>
      <c r="I5246" s="177"/>
      <c r="J5246" s="179"/>
      <c r="K5246" s="183"/>
      <c r="L5246" s="176"/>
      <c r="M5246" s="177"/>
      <c r="N5246" s="21"/>
      <c r="O5246" s="45"/>
      <c r="P5246" s="24"/>
      <c r="Q5246" s="24"/>
      <c r="R5246" s="180"/>
      <c r="S5246" s="181"/>
      <c r="T5246" s="35"/>
      <c r="U5246" s="35"/>
      <c r="V5246" s="35"/>
      <c r="W5246" s="35"/>
      <c r="X5246" s="35"/>
      <c r="Y5246" s="182"/>
      <c r="Z5246" s="175"/>
      <c r="AA5246" s="182"/>
      <c r="AB5246" s="184"/>
    </row>
    <row r="5247" spans="1:28" ht="12.75">
      <c r="A5247" s="173"/>
      <c r="B5247" s="174"/>
      <c r="C5247" s="11"/>
      <c r="D5247" s="175"/>
      <c r="E5247" s="176"/>
      <c r="F5247" s="177"/>
      <c r="G5247" s="178"/>
      <c r="H5247" s="177"/>
      <c r="I5247" s="177"/>
      <c r="J5247" s="179"/>
      <c r="K5247" s="183"/>
      <c r="L5247" s="176"/>
      <c r="M5247" s="177"/>
      <c r="N5247" s="21"/>
      <c r="O5247" s="45"/>
      <c r="P5247" s="24"/>
      <c r="Q5247" s="24"/>
      <c r="R5247" s="180"/>
      <c r="S5247" s="181"/>
      <c r="T5247" s="35"/>
      <c r="U5247" s="35"/>
      <c r="V5247" s="35"/>
      <c r="W5247" s="35"/>
      <c r="X5247" s="35"/>
      <c r="Y5247" s="182"/>
      <c r="Z5247" s="175"/>
      <c r="AA5247" s="182"/>
      <c r="AB5247" s="184"/>
    </row>
    <row r="5248" spans="1:28" ht="12.75">
      <c r="A5248" s="173"/>
      <c r="B5248" s="174"/>
      <c r="C5248" s="11"/>
      <c r="D5248" s="175"/>
      <c r="E5248" s="176"/>
      <c r="F5248" s="177"/>
      <c r="G5248" s="178"/>
      <c r="H5248" s="177"/>
      <c r="I5248" s="177"/>
      <c r="J5248" s="179"/>
      <c r="K5248" s="183"/>
      <c r="L5248" s="176"/>
      <c r="M5248" s="177"/>
      <c r="N5248" s="21"/>
      <c r="O5248" s="45"/>
      <c r="P5248" s="24"/>
      <c r="Q5248" s="24"/>
      <c r="R5248" s="180"/>
      <c r="S5248" s="181"/>
      <c r="T5248" s="35"/>
      <c r="U5248" s="35"/>
      <c r="V5248" s="35"/>
      <c r="W5248" s="35"/>
      <c r="X5248" s="35"/>
      <c r="Y5248" s="182"/>
      <c r="Z5248" s="175"/>
      <c r="AA5248" s="182"/>
      <c r="AB5248" s="184"/>
    </row>
    <row r="5249" spans="1:28" ht="12.75">
      <c r="A5249" s="173"/>
      <c r="B5249" s="174"/>
      <c r="C5249" s="11"/>
      <c r="D5249" s="175"/>
      <c r="E5249" s="176"/>
      <c r="F5249" s="177"/>
      <c r="G5249" s="178"/>
      <c r="H5249" s="177"/>
      <c r="I5249" s="177"/>
      <c r="J5249" s="179"/>
      <c r="K5249" s="183"/>
      <c r="L5249" s="176"/>
      <c r="M5249" s="177"/>
      <c r="N5249" s="21"/>
      <c r="O5249" s="45"/>
      <c r="P5249" s="24"/>
      <c r="Q5249" s="24"/>
      <c r="R5249" s="180"/>
      <c r="S5249" s="181"/>
      <c r="T5249" s="35"/>
      <c r="U5249" s="35"/>
      <c r="V5249" s="35"/>
      <c r="W5249" s="35"/>
      <c r="X5249" s="35"/>
      <c r="Y5249" s="182"/>
      <c r="Z5249" s="175"/>
      <c r="AA5249" s="182"/>
      <c r="AB5249" s="184"/>
    </row>
    <row r="5250" spans="1:28" ht="12.75">
      <c r="A5250" s="173"/>
      <c r="B5250" s="174"/>
      <c r="C5250" s="11"/>
      <c r="D5250" s="175"/>
      <c r="E5250" s="176"/>
      <c r="F5250" s="177"/>
      <c r="G5250" s="178"/>
      <c r="H5250" s="177"/>
      <c r="I5250" s="177"/>
      <c r="J5250" s="179"/>
      <c r="K5250" s="183"/>
      <c r="L5250" s="176"/>
      <c r="M5250" s="177"/>
      <c r="N5250" s="21"/>
      <c r="O5250" s="45"/>
      <c r="P5250" s="24"/>
      <c r="Q5250" s="24"/>
      <c r="R5250" s="180"/>
      <c r="S5250" s="181"/>
      <c r="T5250" s="35"/>
      <c r="U5250" s="35"/>
      <c r="V5250" s="35"/>
      <c r="W5250" s="35"/>
      <c r="X5250" s="35"/>
      <c r="Y5250" s="182"/>
      <c r="Z5250" s="175"/>
      <c r="AA5250" s="182"/>
      <c r="AB5250" s="184"/>
    </row>
    <row r="5251" spans="1:28" ht="12.75">
      <c r="A5251" s="173"/>
      <c r="B5251" s="174"/>
      <c r="C5251" s="11"/>
      <c r="D5251" s="175"/>
      <c r="E5251" s="176"/>
      <c r="F5251" s="177"/>
      <c r="G5251" s="178"/>
      <c r="H5251" s="177"/>
      <c r="I5251" s="177"/>
      <c r="J5251" s="179"/>
      <c r="K5251" s="183"/>
      <c r="L5251" s="176"/>
      <c r="M5251" s="177"/>
      <c r="N5251" s="21"/>
      <c r="O5251" s="45"/>
      <c r="P5251" s="24"/>
      <c r="Q5251" s="24"/>
      <c r="R5251" s="180"/>
      <c r="S5251" s="181"/>
      <c r="T5251" s="35"/>
      <c r="U5251" s="35"/>
      <c r="V5251" s="35"/>
      <c r="W5251" s="35"/>
      <c r="X5251" s="35"/>
      <c r="Y5251" s="182"/>
      <c r="Z5251" s="175"/>
      <c r="AA5251" s="182"/>
      <c r="AB5251" s="184"/>
    </row>
    <row r="5252" spans="1:28" ht="12.75">
      <c r="A5252" s="173"/>
      <c r="B5252" s="174"/>
      <c r="C5252" s="11"/>
      <c r="D5252" s="175"/>
      <c r="E5252" s="176"/>
      <c r="F5252" s="177"/>
      <c r="G5252" s="178"/>
      <c r="H5252" s="177"/>
      <c r="I5252" s="177"/>
      <c r="J5252" s="179"/>
      <c r="K5252" s="183"/>
      <c r="L5252" s="176"/>
      <c r="M5252" s="177"/>
      <c r="N5252" s="21"/>
      <c r="O5252" s="45"/>
      <c r="P5252" s="24"/>
      <c r="Q5252" s="24"/>
      <c r="R5252" s="180"/>
      <c r="S5252" s="181"/>
      <c r="T5252" s="35"/>
      <c r="U5252" s="35"/>
      <c r="V5252" s="35"/>
      <c r="W5252" s="35"/>
      <c r="X5252" s="35"/>
      <c r="Y5252" s="182"/>
      <c r="Z5252" s="175"/>
      <c r="AA5252" s="182"/>
      <c r="AB5252" s="184"/>
    </row>
    <row r="5253" spans="1:28" ht="12.75">
      <c r="A5253" s="173"/>
      <c r="B5253" s="174"/>
      <c r="C5253" s="11"/>
      <c r="D5253" s="175"/>
      <c r="E5253" s="176"/>
      <c r="F5253" s="177"/>
      <c r="G5253" s="178"/>
      <c r="H5253" s="177"/>
      <c r="I5253" s="177"/>
      <c r="J5253" s="179"/>
      <c r="K5253" s="183"/>
      <c r="L5253" s="176"/>
      <c r="M5253" s="177"/>
      <c r="N5253" s="21"/>
      <c r="O5253" s="45"/>
      <c r="P5253" s="24"/>
      <c r="Q5253" s="24"/>
      <c r="R5253" s="180"/>
      <c r="S5253" s="181"/>
      <c r="T5253" s="35"/>
      <c r="U5253" s="35"/>
      <c r="V5253" s="35"/>
      <c r="W5253" s="35"/>
      <c r="X5253" s="35"/>
      <c r="Y5253" s="182"/>
      <c r="Z5253" s="175"/>
      <c r="AA5253" s="182"/>
      <c r="AB5253" s="184"/>
    </row>
    <row r="5254" spans="1:28" ht="12.75">
      <c r="A5254" s="173"/>
      <c r="B5254" s="174"/>
      <c r="C5254" s="11"/>
      <c r="D5254" s="175"/>
      <c r="E5254" s="176"/>
      <c r="F5254" s="177"/>
      <c r="G5254" s="178"/>
      <c r="H5254" s="177"/>
      <c r="I5254" s="177"/>
      <c r="J5254" s="179"/>
      <c r="K5254" s="183"/>
      <c r="L5254" s="176"/>
      <c r="M5254" s="177"/>
      <c r="N5254" s="21"/>
      <c r="O5254" s="45"/>
      <c r="P5254" s="24"/>
      <c r="Q5254" s="24"/>
      <c r="R5254" s="180"/>
      <c r="S5254" s="181"/>
      <c r="T5254" s="35"/>
      <c r="U5254" s="35"/>
      <c r="V5254" s="35"/>
      <c r="W5254" s="35"/>
      <c r="X5254" s="35"/>
      <c r="Y5254" s="182"/>
      <c r="Z5254" s="175"/>
      <c r="AA5254" s="182"/>
      <c r="AB5254" s="184"/>
    </row>
    <row r="5255" spans="1:28" ht="12.75">
      <c r="A5255" s="173"/>
      <c r="B5255" s="174"/>
      <c r="C5255" s="11"/>
      <c r="D5255" s="175"/>
      <c r="E5255" s="176"/>
      <c r="F5255" s="177"/>
      <c r="G5255" s="178"/>
      <c r="H5255" s="177"/>
      <c r="I5255" s="177"/>
      <c r="J5255" s="179"/>
      <c r="K5255" s="183"/>
      <c r="L5255" s="176"/>
      <c r="M5255" s="177"/>
      <c r="N5255" s="21"/>
      <c r="O5255" s="45"/>
      <c r="P5255" s="24"/>
      <c r="Q5255" s="24"/>
      <c r="R5255" s="180"/>
      <c r="S5255" s="181"/>
      <c r="T5255" s="35"/>
      <c r="U5255" s="35"/>
      <c r="V5255" s="35"/>
      <c r="W5255" s="35"/>
      <c r="X5255" s="35"/>
      <c r="Y5255" s="182"/>
      <c r="Z5255" s="175"/>
      <c r="AA5255" s="182"/>
      <c r="AB5255" s="184"/>
    </row>
    <row r="5256" spans="1:28" ht="12.75">
      <c r="A5256" s="173"/>
      <c r="B5256" s="174"/>
      <c r="C5256" s="11"/>
      <c r="D5256" s="175"/>
      <c r="E5256" s="176"/>
      <c r="F5256" s="177"/>
      <c r="G5256" s="178"/>
      <c r="H5256" s="177"/>
      <c r="I5256" s="177"/>
      <c r="J5256" s="179"/>
      <c r="K5256" s="183"/>
      <c r="L5256" s="176"/>
      <c r="M5256" s="177"/>
      <c r="N5256" s="21"/>
      <c r="O5256" s="45"/>
      <c r="P5256" s="24"/>
      <c r="Q5256" s="24"/>
      <c r="R5256" s="180"/>
      <c r="S5256" s="181"/>
      <c r="T5256" s="35"/>
      <c r="U5256" s="35"/>
      <c r="V5256" s="35"/>
      <c r="W5256" s="35"/>
      <c r="X5256" s="35"/>
      <c r="Y5256" s="182"/>
      <c r="Z5256" s="175"/>
      <c r="AA5256" s="182"/>
      <c r="AB5256" s="184"/>
    </row>
    <row r="5257" spans="1:28" ht="12.75">
      <c r="A5257" s="173"/>
      <c r="B5257" s="174"/>
      <c r="C5257" s="11"/>
      <c r="D5257" s="175"/>
      <c r="E5257" s="176"/>
      <c r="F5257" s="177"/>
      <c r="G5257" s="178"/>
      <c r="H5257" s="177"/>
      <c r="I5257" s="177"/>
      <c r="J5257" s="179"/>
      <c r="K5257" s="183"/>
      <c r="L5257" s="176"/>
      <c r="M5257" s="177"/>
      <c r="N5257" s="21"/>
      <c r="O5257" s="45"/>
      <c r="P5257" s="24"/>
      <c r="Q5257" s="24"/>
      <c r="R5257" s="180"/>
      <c r="S5257" s="181"/>
      <c r="T5257" s="35"/>
      <c r="U5257" s="35"/>
      <c r="V5257" s="35"/>
      <c r="W5257" s="35"/>
      <c r="X5257" s="35"/>
      <c r="Y5257" s="182"/>
      <c r="Z5257" s="175"/>
      <c r="AA5257" s="182"/>
      <c r="AB5257" s="184"/>
    </row>
    <row r="5258" spans="1:28" ht="12.75">
      <c r="A5258" s="173"/>
      <c r="B5258" s="174"/>
      <c r="C5258" s="11"/>
      <c r="D5258" s="175"/>
      <c r="E5258" s="176"/>
      <c r="F5258" s="177"/>
      <c r="G5258" s="178"/>
      <c r="H5258" s="177"/>
      <c r="I5258" s="177"/>
      <c r="J5258" s="179"/>
      <c r="K5258" s="183"/>
      <c r="L5258" s="176"/>
      <c r="M5258" s="177"/>
      <c r="N5258" s="21"/>
      <c r="O5258" s="45"/>
      <c r="P5258" s="24"/>
      <c r="Q5258" s="24"/>
      <c r="R5258" s="180"/>
      <c r="S5258" s="181"/>
      <c r="T5258" s="35"/>
      <c r="U5258" s="35"/>
      <c r="V5258" s="35"/>
      <c r="W5258" s="35"/>
      <c r="X5258" s="35"/>
      <c r="Y5258" s="182"/>
      <c r="Z5258" s="175"/>
      <c r="AA5258" s="182"/>
      <c r="AB5258" s="184"/>
    </row>
    <row r="5259" spans="1:28" ht="12.75">
      <c r="A5259" s="173"/>
      <c r="B5259" s="174"/>
      <c r="C5259" s="11"/>
      <c r="D5259" s="175"/>
      <c r="E5259" s="176"/>
      <c r="F5259" s="177"/>
      <c r="G5259" s="178"/>
      <c r="H5259" s="177"/>
      <c r="I5259" s="177"/>
      <c r="J5259" s="179"/>
      <c r="K5259" s="183"/>
      <c r="L5259" s="176"/>
      <c r="M5259" s="177"/>
      <c r="N5259" s="21"/>
      <c r="O5259" s="45"/>
      <c r="P5259" s="24"/>
      <c r="Q5259" s="24"/>
      <c r="R5259" s="180"/>
      <c r="S5259" s="181"/>
      <c r="T5259" s="35"/>
      <c r="U5259" s="35"/>
      <c r="V5259" s="35"/>
      <c r="W5259" s="35"/>
      <c r="X5259" s="35"/>
      <c r="Y5259" s="182"/>
      <c r="Z5259" s="175"/>
      <c r="AA5259" s="182"/>
      <c r="AB5259" s="184"/>
    </row>
    <row r="5260" spans="1:28" ht="12.75">
      <c r="A5260" s="173"/>
      <c r="B5260" s="174"/>
      <c r="C5260" s="11"/>
      <c r="D5260" s="175"/>
      <c r="E5260" s="176"/>
      <c r="F5260" s="177"/>
      <c r="G5260" s="178"/>
      <c r="H5260" s="177"/>
      <c r="I5260" s="177"/>
      <c r="J5260" s="179"/>
      <c r="K5260" s="183"/>
      <c r="L5260" s="176"/>
      <c r="M5260" s="177"/>
      <c r="N5260" s="21"/>
      <c r="O5260" s="45"/>
      <c r="P5260" s="24"/>
      <c r="Q5260" s="24"/>
      <c r="R5260" s="180"/>
      <c r="S5260" s="181"/>
      <c r="T5260" s="35"/>
      <c r="U5260" s="35"/>
      <c r="V5260" s="35"/>
      <c r="W5260" s="35"/>
      <c r="X5260" s="35"/>
      <c r="Y5260" s="182"/>
      <c r="Z5260" s="175"/>
      <c r="AA5260" s="182"/>
      <c r="AB5260" s="184"/>
    </row>
    <row r="5261" spans="1:28" ht="12.75">
      <c r="A5261" s="173"/>
      <c r="B5261" s="174"/>
      <c r="C5261" s="11"/>
      <c r="D5261" s="175"/>
      <c r="E5261" s="176"/>
      <c r="F5261" s="177"/>
      <c r="G5261" s="178"/>
      <c r="H5261" s="177"/>
      <c r="I5261" s="177"/>
      <c r="J5261" s="179"/>
      <c r="K5261" s="183"/>
      <c r="L5261" s="176"/>
      <c r="M5261" s="177"/>
      <c r="N5261" s="21"/>
      <c r="O5261" s="45"/>
      <c r="P5261" s="24"/>
      <c r="Q5261" s="24"/>
      <c r="R5261" s="180"/>
      <c r="S5261" s="181"/>
      <c r="T5261" s="35"/>
      <c r="U5261" s="35"/>
      <c r="V5261" s="35"/>
      <c r="W5261" s="35"/>
      <c r="X5261" s="35"/>
      <c r="Y5261" s="182"/>
      <c r="Z5261" s="175"/>
      <c r="AA5261" s="182"/>
      <c r="AB5261" s="184"/>
    </row>
    <row r="5262" spans="1:28" ht="12.75">
      <c r="A5262" s="173"/>
      <c r="B5262" s="174"/>
      <c r="C5262" s="11"/>
      <c r="D5262" s="175"/>
      <c r="E5262" s="176"/>
      <c r="F5262" s="177"/>
      <c r="G5262" s="178"/>
      <c r="H5262" s="177"/>
      <c r="I5262" s="177"/>
      <c r="J5262" s="179"/>
      <c r="K5262" s="183"/>
      <c r="L5262" s="176"/>
      <c r="M5262" s="177"/>
      <c r="N5262" s="21"/>
      <c r="O5262" s="45"/>
      <c r="P5262" s="24"/>
      <c r="Q5262" s="24"/>
      <c r="R5262" s="180"/>
      <c r="S5262" s="181"/>
      <c r="T5262" s="35"/>
      <c r="U5262" s="35"/>
      <c r="V5262" s="35"/>
      <c r="W5262" s="35"/>
      <c r="X5262" s="35"/>
      <c r="Y5262" s="182"/>
      <c r="Z5262" s="175"/>
      <c r="AA5262" s="182"/>
      <c r="AB5262" s="184"/>
    </row>
    <row r="5263" spans="1:28" ht="12.75">
      <c r="A5263" s="173"/>
      <c r="B5263" s="174"/>
      <c r="C5263" s="11"/>
      <c r="D5263" s="175"/>
      <c r="E5263" s="176"/>
      <c r="F5263" s="177"/>
      <c r="G5263" s="178"/>
      <c r="H5263" s="177"/>
      <c r="I5263" s="177"/>
      <c r="J5263" s="179"/>
      <c r="K5263" s="183"/>
      <c r="L5263" s="176"/>
      <c r="M5263" s="177"/>
      <c r="N5263" s="21"/>
      <c r="O5263" s="45"/>
      <c r="P5263" s="24"/>
      <c r="Q5263" s="24"/>
      <c r="R5263" s="180"/>
      <c r="S5263" s="181"/>
      <c r="T5263" s="35"/>
      <c r="U5263" s="35"/>
      <c r="V5263" s="35"/>
      <c r="W5263" s="35"/>
      <c r="X5263" s="35"/>
      <c r="Y5263" s="182"/>
      <c r="Z5263" s="175"/>
      <c r="AA5263" s="182"/>
      <c r="AB5263" s="184"/>
    </row>
    <row r="5264" spans="1:28" ht="12.75">
      <c r="A5264" s="173"/>
      <c r="B5264" s="174"/>
      <c r="C5264" s="11"/>
      <c r="D5264" s="175"/>
      <c r="E5264" s="176"/>
      <c r="F5264" s="177"/>
      <c r="G5264" s="178"/>
      <c r="H5264" s="177"/>
      <c r="I5264" s="177"/>
      <c r="J5264" s="179"/>
      <c r="K5264" s="183"/>
      <c r="L5264" s="176"/>
      <c r="M5264" s="177"/>
      <c r="N5264" s="21"/>
      <c r="O5264" s="45"/>
      <c r="P5264" s="24"/>
      <c r="Q5264" s="24"/>
      <c r="R5264" s="180"/>
      <c r="S5264" s="181"/>
      <c r="T5264" s="35"/>
      <c r="U5264" s="35"/>
      <c r="V5264" s="35"/>
      <c r="W5264" s="35"/>
      <c r="X5264" s="35"/>
      <c r="Y5264" s="182"/>
      <c r="Z5264" s="175"/>
      <c r="AA5264" s="182"/>
      <c r="AB5264" s="184"/>
    </row>
    <row r="5265" spans="1:28" ht="12.75">
      <c r="A5265" s="173"/>
      <c r="B5265" s="174"/>
      <c r="C5265" s="11"/>
      <c r="D5265" s="175"/>
      <c r="E5265" s="176"/>
      <c r="F5265" s="177"/>
      <c r="G5265" s="178"/>
      <c r="H5265" s="177"/>
      <c r="I5265" s="177"/>
      <c r="J5265" s="179"/>
      <c r="K5265" s="183"/>
      <c r="L5265" s="176"/>
      <c r="M5265" s="177"/>
      <c r="N5265" s="21"/>
      <c r="O5265" s="45"/>
      <c r="P5265" s="24"/>
      <c r="Q5265" s="24"/>
      <c r="R5265" s="180"/>
      <c r="S5265" s="181"/>
      <c r="T5265" s="35"/>
      <c r="U5265" s="35"/>
      <c r="V5265" s="35"/>
      <c r="W5265" s="35"/>
      <c r="X5265" s="35"/>
      <c r="Y5265" s="182"/>
      <c r="Z5265" s="175"/>
      <c r="AA5265" s="182"/>
      <c r="AB5265" s="184"/>
    </row>
    <row r="5266" spans="1:28" ht="12.75">
      <c r="A5266" s="173"/>
      <c r="B5266" s="174"/>
      <c r="C5266" s="11"/>
      <c r="D5266" s="175"/>
      <c r="E5266" s="176"/>
      <c r="F5266" s="177"/>
      <c r="G5266" s="178"/>
      <c r="H5266" s="177"/>
      <c r="I5266" s="177"/>
      <c r="J5266" s="179"/>
      <c r="K5266" s="183"/>
      <c r="L5266" s="176"/>
      <c r="M5266" s="177"/>
      <c r="N5266" s="21"/>
      <c r="O5266" s="45"/>
      <c r="P5266" s="24"/>
      <c r="Q5266" s="24"/>
      <c r="R5266" s="180"/>
      <c r="S5266" s="181"/>
      <c r="T5266" s="35"/>
      <c r="U5266" s="35"/>
      <c r="V5266" s="35"/>
      <c r="W5266" s="35"/>
      <c r="X5266" s="35"/>
      <c r="Y5266" s="182"/>
      <c r="Z5266" s="175"/>
      <c r="AA5266" s="182"/>
      <c r="AB5266" s="184"/>
    </row>
    <row r="5267" spans="1:28" ht="12.75">
      <c r="A5267" s="173"/>
      <c r="B5267" s="174"/>
      <c r="C5267" s="11"/>
      <c r="D5267" s="175"/>
      <c r="E5267" s="176"/>
      <c r="F5267" s="177"/>
      <c r="G5267" s="178"/>
      <c r="H5267" s="177"/>
      <c r="I5267" s="177"/>
      <c r="J5267" s="179"/>
      <c r="K5267" s="183"/>
      <c r="L5267" s="176"/>
      <c r="M5267" s="177"/>
      <c r="N5267" s="21"/>
      <c r="O5267" s="45"/>
      <c r="P5267" s="24"/>
      <c r="Q5267" s="24"/>
      <c r="R5267" s="180"/>
      <c r="S5267" s="181"/>
      <c r="T5267" s="35"/>
      <c r="U5267" s="35"/>
      <c r="V5267" s="35"/>
      <c r="W5267" s="35"/>
      <c r="X5267" s="35"/>
      <c r="Y5267" s="182"/>
      <c r="Z5267" s="175"/>
      <c r="AA5267" s="182"/>
      <c r="AB5267" s="184"/>
    </row>
    <row r="5268" spans="1:28" ht="12.75">
      <c r="A5268" s="173"/>
      <c r="B5268" s="174"/>
      <c r="C5268" s="11"/>
      <c r="D5268" s="175"/>
      <c r="E5268" s="176"/>
      <c r="F5268" s="177"/>
      <c r="G5268" s="178"/>
      <c r="H5268" s="177"/>
      <c r="I5268" s="177"/>
      <c r="J5268" s="179"/>
      <c r="K5268" s="183"/>
      <c r="L5268" s="176"/>
      <c r="M5268" s="177"/>
      <c r="N5268" s="21"/>
      <c r="O5268" s="45"/>
      <c r="P5268" s="24"/>
      <c r="Q5268" s="24"/>
      <c r="R5268" s="180"/>
      <c r="S5268" s="181"/>
      <c r="T5268" s="35"/>
      <c r="U5268" s="35"/>
      <c r="V5268" s="35"/>
      <c r="W5268" s="35"/>
      <c r="X5268" s="35"/>
      <c r="Y5268" s="182"/>
      <c r="Z5268" s="175"/>
      <c r="AA5268" s="182"/>
      <c r="AB5268" s="184"/>
    </row>
    <row r="5269" spans="1:28" ht="12.75">
      <c r="A5269" s="173"/>
      <c r="B5269" s="174"/>
      <c r="C5269" s="11"/>
      <c r="D5269" s="175"/>
      <c r="E5269" s="176"/>
      <c r="F5269" s="177"/>
      <c r="G5269" s="178"/>
      <c r="H5269" s="177"/>
      <c r="I5269" s="177"/>
      <c r="J5269" s="179"/>
      <c r="K5269" s="183"/>
      <c r="L5269" s="176"/>
      <c r="M5269" s="177"/>
      <c r="N5269" s="21"/>
      <c r="O5269" s="45"/>
      <c r="P5269" s="24"/>
      <c r="Q5269" s="24"/>
      <c r="R5269" s="180"/>
      <c r="S5269" s="181"/>
      <c r="T5269" s="35"/>
      <c r="U5269" s="35"/>
      <c r="V5269" s="35"/>
      <c r="W5269" s="35"/>
      <c r="X5269" s="35"/>
      <c r="Y5269" s="182"/>
      <c r="Z5269" s="175"/>
      <c r="AA5269" s="182"/>
      <c r="AB5269" s="184"/>
    </row>
    <row r="5270" spans="1:28" ht="12.75">
      <c r="A5270" s="173"/>
      <c r="B5270" s="174"/>
      <c r="C5270" s="11"/>
      <c r="D5270" s="175"/>
      <c r="E5270" s="176"/>
      <c r="F5270" s="177"/>
      <c r="G5270" s="178"/>
      <c r="H5270" s="177"/>
      <c r="I5270" s="177"/>
      <c r="J5270" s="179"/>
      <c r="K5270" s="183"/>
      <c r="L5270" s="176"/>
      <c r="M5270" s="177"/>
      <c r="N5270" s="21"/>
      <c r="O5270" s="45"/>
      <c r="P5270" s="24"/>
      <c r="Q5270" s="24"/>
      <c r="R5270" s="180"/>
      <c r="S5270" s="181"/>
      <c r="T5270" s="35"/>
      <c r="U5270" s="35"/>
      <c r="V5270" s="35"/>
      <c r="W5270" s="35"/>
      <c r="X5270" s="35"/>
      <c r="Y5270" s="182"/>
      <c r="Z5270" s="175"/>
      <c r="AA5270" s="182"/>
      <c r="AB5270" s="184"/>
    </row>
    <row r="5271" spans="1:28" ht="12.75">
      <c r="A5271" s="173"/>
      <c r="B5271" s="174"/>
      <c r="C5271" s="11"/>
      <c r="D5271" s="175"/>
      <c r="E5271" s="176"/>
      <c r="F5271" s="177"/>
      <c r="G5271" s="178"/>
      <c r="H5271" s="177"/>
      <c r="I5271" s="177"/>
      <c r="J5271" s="179"/>
      <c r="K5271" s="183"/>
      <c r="L5271" s="176"/>
      <c r="M5271" s="177"/>
      <c r="N5271" s="21"/>
      <c r="O5271" s="45"/>
      <c r="P5271" s="24"/>
      <c r="Q5271" s="24"/>
      <c r="R5271" s="180"/>
      <c r="S5271" s="181"/>
      <c r="T5271" s="35"/>
      <c r="U5271" s="35"/>
      <c r="V5271" s="35"/>
      <c r="W5271" s="35"/>
      <c r="X5271" s="35"/>
      <c r="Y5271" s="182"/>
      <c r="Z5271" s="175"/>
      <c r="AA5271" s="182"/>
      <c r="AB5271" s="184"/>
    </row>
    <row r="5272" spans="1:28" ht="12.75">
      <c r="A5272" s="173"/>
      <c r="B5272" s="174"/>
      <c r="C5272" s="11"/>
      <c r="D5272" s="175"/>
      <c r="E5272" s="176"/>
      <c r="F5272" s="177"/>
      <c r="G5272" s="178"/>
      <c r="H5272" s="177"/>
      <c r="I5272" s="177"/>
      <c r="J5272" s="179"/>
      <c r="K5272" s="183"/>
      <c r="L5272" s="176"/>
      <c r="M5272" s="177"/>
      <c r="N5272" s="21"/>
      <c r="O5272" s="45"/>
      <c r="P5272" s="24"/>
      <c r="Q5272" s="24"/>
      <c r="R5272" s="180"/>
      <c r="S5272" s="181"/>
      <c r="T5272" s="35"/>
      <c r="U5272" s="35"/>
      <c r="V5272" s="35"/>
      <c r="W5272" s="35"/>
      <c r="X5272" s="35"/>
      <c r="Y5272" s="182"/>
      <c r="Z5272" s="175"/>
      <c r="AA5272" s="182"/>
      <c r="AB5272" s="184"/>
    </row>
    <row r="5273" spans="1:28" ht="12.75">
      <c r="A5273" s="173"/>
      <c r="B5273" s="174"/>
      <c r="C5273" s="11"/>
      <c r="D5273" s="175"/>
      <c r="E5273" s="176"/>
      <c r="F5273" s="177"/>
      <c r="G5273" s="178"/>
      <c r="H5273" s="177"/>
      <c r="I5273" s="177"/>
      <c r="J5273" s="179"/>
      <c r="K5273" s="183"/>
      <c r="L5273" s="176"/>
      <c r="M5273" s="177"/>
      <c r="N5273" s="21"/>
      <c r="O5273" s="45"/>
      <c r="P5273" s="24"/>
      <c r="Q5273" s="24"/>
      <c r="R5273" s="180"/>
      <c r="S5273" s="181"/>
      <c r="T5273" s="35"/>
      <c r="U5273" s="35"/>
      <c r="V5273" s="35"/>
      <c r="W5273" s="35"/>
      <c r="X5273" s="35"/>
      <c r="Y5273" s="182"/>
      <c r="Z5273" s="175"/>
      <c r="AA5273" s="182"/>
      <c r="AB5273" s="184"/>
    </row>
    <row r="5274" spans="1:28" ht="12.75">
      <c r="A5274" s="173"/>
      <c r="B5274" s="174"/>
      <c r="C5274" s="11"/>
      <c r="D5274" s="175"/>
      <c r="E5274" s="176"/>
      <c r="F5274" s="177"/>
      <c r="G5274" s="178"/>
      <c r="H5274" s="177"/>
      <c r="I5274" s="177"/>
      <c r="J5274" s="179"/>
      <c r="K5274" s="183"/>
      <c r="L5274" s="176"/>
      <c r="M5274" s="177"/>
      <c r="N5274" s="21"/>
      <c r="O5274" s="45"/>
      <c r="P5274" s="24"/>
      <c r="Q5274" s="24"/>
      <c r="R5274" s="180"/>
      <c r="S5274" s="181"/>
      <c r="T5274" s="35"/>
      <c r="U5274" s="35"/>
      <c r="V5274" s="35"/>
      <c r="W5274" s="35"/>
      <c r="X5274" s="35"/>
      <c r="Y5274" s="182"/>
      <c r="Z5274" s="175"/>
      <c r="AA5274" s="182"/>
      <c r="AB5274" s="184"/>
    </row>
    <row r="5275" spans="1:28" ht="12.75">
      <c r="A5275" s="173"/>
      <c r="B5275" s="174"/>
      <c r="C5275" s="11"/>
      <c r="D5275" s="175"/>
      <c r="E5275" s="176"/>
      <c r="F5275" s="177"/>
      <c r="G5275" s="178"/>
      <c r="H5275" s="177"/>
      <c r="I5275" s="177"/>
      <c r="J5275" s="179"/>
      <c r="K5275" s="183"/>
      <c r="L5275" s="176"/>
      <c r="M5275" s="177"/>
      <c r="N5275" s="21"/>
      <c r="O5275" s="45"/>
      <c r="P5275" s="24"/>
      <c r="Q5275" s="24"/>
      <c r="R5275" s="180"/>
      <c r="S5275" s="181"/>
      <c r="T5275" s="35"/>
      <c r="U5275" s="35"/>
      <c r="V5275" s="35"/>
      <c r="W5275" s="35"/>
      <c r="X5275" s="35"/>
      <c r="Y5275" s="182"/>
      <c r="Z5275" s="175"/>
      <c r="AA5275" s="182"/>
      <c r="AB5275" s="184"/>
    </row>
    <row r="5276" spans="1:28" ht="12.75">
      <c r="A5276" s="173"/>
      <c r="B5276" s="174"/>
      <c r="C5276" s="11"/>
      <c r="D5276" s="175"/>
      <c r="E5276" s="176"/>
      <c r="F5276" s="177"/>
      <c r="G5276" s="178"/>
      <c r="H5276" s="177"/>
      <c r="I5276" s="177"/>
      <c r="J5276" s="179"/>
      <c r="K5276" s="183"/>
      <c r="L5276" s="176"/>
      <c r="M5276" s="177"/>
      <c r="N5276" s="21"/>
      <c r="O5276" s="45"/>
      <c r="P5276" s="24"/>
      <c r="Q5276" s="24"/>
      <c r="R5276" s="180"/>
      <c r="S5276" s="181"/>
      <c r="T5276" s="35"/>
      <c r="U5276" s="35"/>
      <c r="V5276" s="35"/>
      <c r="W5276" s="35"/>
      <c r="X5276" s="35"/>
      <c r="Y5276" s="182"/>
      <c r="Z5276" s="175"/>
      <c r="AA5276" s="182"/>
      <c r="AB5276" s="184"/>
    </row>
    <row r="5277" spans="1:28" ht="12.75">
      <c r="A5277" s="173"/>
      <c r="B5277" s="174"/>
      <c r="C5277" s="11"/>
      <c r="D5277" s="175"/>
      <c r="E5277" s="176"/>
      <c r="F5277" s="177"/>
      <c r="G5277" s="178"/>
      <c r="H5277" s="177"/>
      <c r="I5277" s="177"/>
      <c r="J5277" s="179"/>
      <c r="K5277" s="183"/>
      <c r="L5277" s="176"/>
      <c r="M5277" s="177"/>
      <c r="N5277" s="21"/>
      <c r="O5277" s="45"/>
      <c r="P5277" s="24"/>
      <c r="Q5277" s="24"/>
      <c r="R5277" s="180"/>
      <c r="S5277" s="181"/>
      <c r="T5277" s="35"/>
      <c r="U5277" s="35"/>
      <c r="V5277" s="35"/>
      <c r="W5277" s="35"/>
      <c r="X5277" s="35"/>
      <c r="Y5277" s="182"/>
      <c r="Z5277" s="175"/>
      <c r="AA5277" s="182"/>
      <c r="AB5277" s="184"/>
    </row>
    <row r="5278" spans="1:28" ht="12.75">
      <c r="A5278" s="173"/>
      <c r="B5278" s="174"/>
      <c r="C5278" s="11"/>
      <c r="D5278" s="175"/>
      <c r="E5278" s="176"/>
      <c r="F5278" s="177"/>
      <c r="G5278" s="178"/>
      <c r="H5278" s="177"/>
      <c r="I5278" s="177"/>
      <c r="J5278" s="179"/>
      <c r="K5278" s="183"/>
      <c r="L5278" s="176"/>
      <c r="M5278" s="177"/>
      <c r="N5278" s="21"/>
      <c r="O5278" s="45"/>
      <c r="P5278" s="24"/>
      <c r="Q5278" s="24"/>
      <c r="R5278" s="180"/>
      <c r="S5278" s="181"/>
      <c r="T5278" s="35"/>
      <c r="U5278" s="35"/>
      <c r="V5278" s="35"/>
      <c r="W5278" s="35"/>
      <c r="X5278" s="35"/>
      <c r="Y5278" s="182"/>
      <c r="Z5278" s="175"/>
      <c r="AA5278" s="182"/>
      <c r="AB5278" s="184"/>
    </row>
    <row r="5279" spans="1:28" ht="12.75">
      <c r="A5279" s="173"/>
      <c r="B5279" s="174"/>
      <c r="C5279" s="11"/>
      <c r="D5279" s="175"/>
      <c r="E5279" s="176"/>
      <c r="F5279" s="177"/>
      <c r="G5279" s="178"/>
      <c r="H5279" s="177"/>
      <c r="I5279" s="177"/>
      <c r="J5279" s="179"/>
      <c r="K5279" s="183"/>
      <c r="L5279" s="176"/>
      <c r="M5279" s="177"/>
      <c r="N5279" s="21"/>
      <c r="O5279" s="45"/>
      <c r="P5279" s="24"/>
      <c r="Q5279" s="24"/>
      <c r="R5279" s="180"/>
      <c r="S5279" s="181"/>
      <c r="T5279" s="35"/>
      <c r="U5279" s="35"/>
      <c r="V5279" s="35"/>
      <c r="W5279" s="35"/>
      <c r="X5279" s="35"/>
      <c r="Y5279" s="182"/>
      <c r="Z5279" s="175"/>
      <c r="AA5279" s="182"/>
      <c r="AB5279" s="184"/>
    </row>
    <row r="5280" spans="1:28" ht="12.75">
      <c r="A5280" s="173"/>
      <c r="B5280" s="174"/>
      <c r="C5280" s="11"/>
      <c r="D5280" s="175"/>
      <c r="E5280" s="176"/>
      <c r="F5280" s="177"/>
      <c r="G5280" s="178"/>
      <c r="H5280" s="177"/>
      <c r="I5280" s="177"/>
      <c r="J5280" s="179"/>
      <c r="K5280" s="183"/>
      <c r="L5280" s="176"/>
      <c r="M5280" s="177"/>
      <c r="N5280" s="21"/>
      <c r="O5280" s="45"/>
      <c r="P5280" s="24"/>
      <c r="Q5280" s="24"/>
      <c r="R5280" s="180"/>
      <c r="S5280" s="181"/>
      <c r="T5280" s="35"/>
      <c r="U5280" s="35"/>
      <c r="V5280" s="35"/>
      <c r="W5280" s="35"/>
      <c r="X5280" s="35"/>
      <c r="Y5280" s="182"/>
      <c r="Z5280" s="175"/>
      <c r="AA5280" s="182"/>
      <c r="AB5280" s="184"/>
    </row>
    <row r="5281" spans="1:28" ht="12.75">
      <c r="A5281" s="173"/>
      <c r="B5281" s="174"/>
      <c r="C5281" s="11"/>
      <c r="D5281" s="175"/>
      <c r="E5281" s="176"/>
      <c r="F5281" s="177"/>
      <c r="G5281" s="178"/>
      <c r="H5281" s="177"/>
      <c r="I5281" s="177"/>
      <c r="J5281" s="179"/>
      <c r="K5281" s="183"/>
      <c r="L5281" s="176"/>
      <c r="M5281" s="177"/>
      <c r="N5281" s="21"/>
      <c r="O5281" s="45"/>
      <c r="P5281" s="24"/>
      <c r="Q5281" s="24"/>
      <c r="R5281" s="180"/>
      <c r="S5281" s="181"/>
      <c r="T5281" s="35"/>
      <c r="U5281" s="35"/>
      <c r="V5281" s="35"/>
      <c r="W5281" s="35"/>
      <c r="X5281" s="35"/>
      <c r="Y5281" s="182"/>
      <c r="Z5281" s="175"/>
      <c r="AA5281" s="182"/>
      <c r="AB5281" s="184"/>
    </row>
    <row r="5282" spans="1:28" ht="12.75">
      <c r="A5282" s="173"/>
      <c r="B5282" s="174"/>
      <c r="C5282" s="11"/>
      <c r="D5282" s="175"/>
      <c r="E5282" s="176"/>
      <c r="F5282" s="177"/>
      <c r="G5282" s="178"/>
      <c r="H5282" s="177"/>
      <c r="I5282" s="177"/>
      <c r="J5282" s="179"/>
      <c r="K5282" s="183"/>
      <c r="L5282" s="176"/>
      <c r="M5282" s="177"/>
      <c r="N5282" s="21"/>
      <c r="O5282" s="45"/>
      <c r="P5282" s="24"/>
      <c r="Q5282" s="24"/>
      <c r="R5282" s="180"/>
      <c r="S5282" s="181"/>
      <c r="T5282" s="35"/>
      <c r="U5282" s="35"/>
      <c r="V5282" s="35"/>
      <c r="W5282" s="35"/>
      <c r="X5282" s="35"/>
      <c r="Y5282" s="182"/>
      <c r="Z5282" s="175"/>
      <c r="AA5282" s="182"/>
      <c r="AB5282" s="184"/>
    </row>
    <row r="5283" spans="1:28" ht="12.75">
      <c r="A5283" s="173"/>
      <c r="B5283" s="174"/>
      <c r="C5283" s="11"/>
      <c r="D5283" s="175"/>
      <c r="E5283" s="176"/>
      <c r="F5283" s="177"/>
      <c r="G5283" s="178"/>
      <c r="H5283" s="177"/>
      <c r="I5283" s="177"/>
      <c r="J5283" s="179"/>
      <c r="K5283" s="183"/>
      <c r="L5283" s="176"/>
      <c r="M5283" s="177"/>
      <c r="N5283" s="21"/>
      <c r="O5283" s="45"/>
      <c r="P5283" s="24"/>
      <c r="Q5283" s="24"/>
      <c r="R5283" s="180"/>
      <c r="S5283" s="181"/>
      <c r="T5283" s="35"/>
      <c r="U5283" s="35"/>
      <c r="V5283" s="35"/>
      <c r="W5283" s="35"/>
      <c r="X5283" s="35"/>
      <c r="Y5283" s="182"/>
      <c r="Z5283" s="175"/>
      <c r="AA5283" s="182"/>
      <c r="AB5283" s="184"/>
    </row>
    <row r="5284" spans="1:28" ht="12.75">
      <c r="A5284" s="173"/>
      <c r="B5284" s="174"/>
      <c r="C5284" s="11"/>
      <c r="D5284" s="175"/>
      <c r="E5284" s="176"/>
      <c r="F5284" s="177"/>
      <c r="G5284" s="178"/>
      <c r="H5284" s="177"/>
      <c r="I5284" s="177"/>
      <c r="J5284" s="179"/>
      <c r="K5284" s="183"/>
      <c r="L5284" s="176"/>
      <c r="M5284" s="177"/>
      <c r="N5284" s="21"/>
      <c r="O5284" s="45"/>
      <c r="P5284" s="24"/>
      <c r="Q5284" s="24"/>
      <c r="R5284" s="180"/>
      <c r="S5284" s="181"/>
      <c r="T5284" s="35"/>
      <c r="U5284" s="35"/>
      <c r="V5284" s="35"/>
      <c r="W5284" s="35"/>
      <c r="X5284" s="35"/>
      <c r="Y5284" s="182"/>
      <c r="Z5284" s="175"/>
      <c r="AA5284" s="182"/>
      <c r="AB5284" s="184"/>
    </row>
    <row r="5285" spans="1:28" ht="12.75">
      <c r="A5285" s="173"/>
      <c r="B5285" s="174"/>
      <c r="C5285" s="11"/>
      <c r="D5285" s="175"/>
      <c r="E5285" s="176"/>
      <c r="F5285" s="177"/>
      <c r="G5285" s="178"/>
      <c r="H5285" s="177"/>
      <c r="I5285" s="177"/>
      <c r="J5285" s="179"/>
      <c r="K5285" s="183"/>
      <c r="L5285" s="176"/>
      <c r="M5285" s="177"/>
      <c r="N5285" s="21"/>
      <c r="O5285" s="45"/>
      <c r="P5285" s="24"/>
      <c r="Q5285" s="24"/>
      <c r="R5285" s="180"/>
      <c r="S5285" s="181"/>
      <c r="T5285" s="35"/>
      <c r="U5285" s="35"/>
      <c r="V5285" s="35"/>
      <c r="W5285" s="35"/>
      <c r="X5285" s="35"/>
      <c r="Y5285" s="182"/>
      <c r="Z5285" s="175"/>
      <c r="AA5285" s="182"/>
      <c r="AB5285" s="184"/>
    </row>
    <row r="5286" spans="1:28" ht="12.75">
      <c r="A5286" s="173"/>
      <c r="B5286" s="174"/>
      <c r="C5286" s="11"/>
      <c r="D5286" s="175"/>
      <c r="E5286" s="176"/>
      <c r="F5286" s="177"/>
      <c r="G5286" s="178"/>
      <c r="H5286" s="177"/>
      <c r="I5286" s="177"/>
      <c r="J5286" s="179"/>
      <c r="K5286" s="183"/>
      <c r="L5286" s="176"/>
      <c r="M5286" s="177"/>
      <c r="N5286" s="21"/>
      <c r="O5286" s="45"/>
      <c r="P5286" s="24"/>
      <c r="Q5286" s="24"/>
      <c r="R5286" s="180"/>
      <c r="S5286" s="181"/>
      <c r="T5286" s="35"/>
      <c r="U5286" s="35"/>
      <c r="V5286" s="35"/>
      <c r="W5286" s="35"/>
      <c r="X5286" s="35"/>
      <c r="Y5286" s="182"/>
      <c r="Z5286" s="175"/>
      <c r="AA5286" s="182"/>
      <c r="AB5286" s="184"/>
    </row>
    <row r="5287" spans="1:28" ht="12.75">
      <c r="A5287" s="173"/>
      <c r="B5287" s="174"/>
      <c r="C5287" s="11"/>
      <c r="D5287" s="175"/>
      <c r="E5287" s="176"/>
      <c r="F5287" s="177"/>
      <c r="G5287" s="178"/>
      <c r="H5287" s="177"/>
      <c r="I5287" s="177"/>
      <c r="J5287" s="179"/>
      <c r="K5287" s="183"/>
      <c r="L5287" s="176"/>
      <c r="M5287" s="177"/>
      <c r="N5287" s="21"/>
      <c r="O5287" s="45"/>
      <c r="P5287" s="24"/>
      <c r="Q5287" s="24"/>
      <c r="R5287" s="180"/>
      <c r="S5287" s="181"/>
      <c r="T5287" s="35"/>
      <c r="U5287" s="35"/>
      <c r="V5287" s="35"/>
      <c r="W5287" s="35"/>
      <c r="X5287" s="35"/>
      <c r="Y5287" s="182"/>
      <c r="Z5287" s="175"/>
      <c r="AA5287" s="182"/>
      <c r="AB5287" s="184"/>
    </row>
    <row r="5288" spans="1:28" ht="12.75">
      <c r="A5288" s="173"/>
      <c r="B5288" s="174"/>
      <c r="C5288" s="11"/>
      <c r="D5288" s="175"/>
      <c r="E5288" s="176"/>
      <c r="F5288" s="177"/>
      <c r="G5288" s="178"/>
      <c r="H5288" s="177"/>
      <c r="I5288" s="177"/>
      <c r="J5288" s="179"/>
      <c r="K5288" s="183"/>
      <c r="L5288" s="176"/>
      <c r="M5288" s="177"/>
      <c r="N5288" s="21"/>
      <c r="O5288" s="45"/>
      <c r="P5288" s="24"/>
      <c r="Q5288" s="24"/>
      <c r="R5288" s="180"/>
      <c r="S5288" s="181"/>
      <c r="T5288" s="35"/>
      <c r="U5288" s="35"/>
      <c r="V5288" s="35"/>
      <c r="W5288" s="35"/>
      <c r="X5288" s="35"/>
      <c r="Y5288" s="182"/>
      <c r="Z5288" s="175"/>
      <c r="AA5288" s="182"/>
      <c r="AB5288" s="184"/>
    </row>
    <row r="5289" spans="1:28" ht="12.75">
      <c r="A5289" s="173"/>
      <c r="B5289" s="174"/>
      <c r="C5289" s="11"/>
      <c r="D5289" s="175"/>
      <c r="E5289" s="176"/>
      <c r="F5289" s="177"/>
      <c r="G5289" s="178"/>
      <c r="H5289" s="177"/>
      <c r="I5289" s="177"/>
      <c r="J5289" s="179"/>
      <c r="K5289" s="183"/>
      <c r="L5289" s="176"/>
      <c r="M5289" s="177"/>
      <c r="N5289" s="21"/>
      <c r="O5289" s="45"/>
      <c r="P5289" s="24"/>
      <c r="Q5289" s="24"/>
      <c r="R5289" s="180"/>
      <c r="S5289" s="181"/>
      <c r="T5289" s="35"/>
      <c r="U5289" s="35"/>
      <c r="V5289" s="35"/>
      <c r="W5289" s="35"/>
      <c r="X5289" s="35"/>
      <c r="Y5289" s="182"/>
      <c r="Z5289" s="175"/>
      <c r="AA5289" s="182"/>
      <c r="AB5289" s="184"/>
    </row>
    <row r="5290" spans="1:28" ht="12.75">
      <c r="A5290" s="173"/>
      <c r="B5290" s="174"/>
      <c r="C5290" s="11"/>
      <c r="D5290" s="175"/>
      <c r="E5290" s="176"/>
      <c r="F5290" s="177"/>
      <c r="G5290" s="178"/>
      <c r="H5290" s="177"/>
      <c r="I5290" s="177"/>
      <c r="J5290" s="179"/>
      <c r="K5290" s="183"/>
      <c r="L5290" s="176"/>
      <c r="M5290" s="177"/>
      <c r="N5290" s="21"/>
      <c r="O5290" s="45"/>
      <c r="P5290" s="24"/>
      <c r="Q5290" s="24"/>
      <c r="R5290" s="180"/>
      <c r="S5290" s="181"/>
      <c r="T5290" s="35"/>
      <c r="U5290" s="35"/>
      <c r="V5290" s="35"/>
      <c r="W5290" s="35"/>
      <c r="X5290" s="35"/>
      <c r="Y5290" s="182"/>
      <c r="Z5290" s="175"/>
      <c r="AA5290" s="182"/>
      <c r="AB5290" s="184"/>
    </row>
    <row r="5291" spans="1:28" ht="12.75">
      <c r="A5291" s="173"/>
      <c r="B5291" s="174"/>
      <c r="C5291" s="11"/>
      <c r="D5291" s="175"/>
      <c r="E5291" s="176"/>
      <c r="F5291" s="177"/>
      <c r="G5291" s="178"/>
      <c r="H5291" s="177"/>
      <c r="I5291" s="177"/>
      <c r="J5291" s="179"/>
      <c r="K5291" s="183"/>
      <c r="L5291" s="176"/>
      <c r="M5291" s="177"/>
      <c r="N5291" s="21"/>
      <c r="O5291" s="45"/>
      <c r="P5291" s="24"/>
      <c r="Q5291" s="24"/>
      <c r="R5291" s="180"/>
      <c r="S5291" s="181"/>
      <c r="T5291" s="35"/>
      <c r="U5291" s="35"/>
      <c r="V5291" s="35"/>
      <c r="W5291" s="35"/>
      <c r="X5291" s="35"/>
      <c r="Y5291" s="182"/>
      <c r="Z5291" s="175"/>
      <c r="AA5291" s="182"/>
      <c r="AB5291" s="184"/>
    </row>
    <row r="5292" spans="1:28" ht="12.75">
      <c r="A5292" s="173"/>
      <c r="B5292" s="174"/>
      <c r="C5292" s="11"/>
      <c r="D5292" s="175"/>
      <c r="E5292" s="176"/>
      <c r="F5292" s="177"/>
      <c r="G5292" s="178"/>
      <c r="H5292" s="177"/>
      <c r="I5292" s="177"/>
      <c r="J5292" s="179"/>
      <c r="K5292" s="183"/>
      <c r="L5292" s="176"/>
      <c r="M5292" s="177"/>
      <c r="N5292" s="21"/>
      <c r="O5292" s="45"/>
      <c r="P5292" s="24"/>
      <c r="Q5292" s="24"/>
      <c r="R5292" s="180"/>
      <c r="S5292" s="181"/>
      <c r="T5292" s="35"/>
      <c r="U5292" s="35"/>
      <c r="V5292" s="35"/>
      <c r="W5292" s="35"/>
      <c r="X5292" s="35"/>
      <c r="Y5292" s="182"/>
      <c r="Z5292" s="175"/>
      <c r="AA5292" s="182"/>
      <c r="AB5292" s="184"/>
    </row>
    <row r="5293" spans="1:28" ht="12.75">
      <c r="A5293" s="173"/>
      <c r="B5293" s="174"/>
      <c r="C5293" s="11"/>
      <c r="D5293" s="175"/>
      <c r="E5293" s="176"/>
      <c r="F5293" s="177"/>
      <c r="G5293" s="178"/>
      <c r="H5293" s="177"/>
      <c r="I5293" s="177"/>
      <c r="J5293" s="179"/>
      <c r="K5293" s="183"/>
      <c r="L5293" s="176"/>
      <c r="M5293" s="177"/>
      <c r="N5293" s="21"/>
      <c r="O5293" s="45"/>
      <c r="P5293" s="24"/>
      <c r="Q5293" s="24"/>
      <c r="R5293" s="180"/>
      <c r="S5293" s="181"/>
      <c r="T5293" s="35"/>
      <c r="U5293" s="35"/>
      <c r="V5293" s="35"/>
      <c r="W5293" s="35"/>
      <c r="X5293" s="35"/>
      <c r="Y5293" s="182"/>
      <c r="Z5293" s="175"/>
      <c r="AA5293" s="182"/>
      <c r="AB5293" s="184"/>
    </row>
    <row r="5294" spans="1:28" ht="12.75">
      <c r="A5294" s="173"/>
      <c r="B5294" s="174"/>
      <c r="C5294" s="11"/>
      <c r="D5294" s="175"/>
      <c r="E5294" s="176"/>
      <c r="F5294" s="177"/>
      <c r="G5294" s="178"/>
      <c r="H5294" s="177"/>
      <c r="I5294" s="177"/>
      <c r="J5294" s="179"/>
      <c r="K5294" s="183"/>
      <c r="L5294" s="176"/>
      <c r="M5294" s="177"/>
      <c r="N5294" s="21"/>
      <c r="O5294" s="45"/>
      <c r="P5294" s="24"/>
      <c r="Q5294" s="24"/>
      <c r="R5294" s="180"/>
      <c r="S5294" s="181"/>
      <c r="T5294" s="35"/>
      <c r="U5294" s="35"/>
      <c r="V5294" s="35"/>
      <c r="W5294" s="35"/>
      <c r="X5294" s="35"/>
      <c r="Y5294" s="182"/>
      <c r="Z5294" s="175"/>
      <c r="AA5294" s="182"/>
      <c r="AB5294" s="184"/>
    </row>
    <row r="5295" spans="1:28" ht="12.75">
      <c r="A5295" s="173"/>
      <c r="B5295" s="174"/>
      <c r="C5295" s="11"/>
      <c r="D5295" s="175"/>
      <c r="E5295" s="176"/>
      <c r="F5295" s="177"/>
      <c r="G5295" s="178"/>
      <c r="H5295" s="177"/>
      <c r="I5295" s="177"/>
      <c r="J5295" s="179"/>
      <c r="K5295" s="183"/>
      <c r="L5295" s="176"/>
      <c r="M5295" s="177"/>
      <c r="N5295" s="21"/>
      <c r="O5295" s="45"/>
      <c r="P5295" s="24"/>
      <c r="Q5295" s="24"/>
      <c r="R5295" s="180"/>
      <c r="S5295" s="181"/>
      <c r="T5295" s="35"/>
      <c r="U5295" s="35"/>
      <c r="V5295" s="35"/>
      <c r="W5295" s="35"/>
      <c r="X5295" s="35"/>
      <c r="Y5295" s="182"/>
      <c r="Z5295" s="175"/>
      <c r="AA5295" s="182"/>
      <c r="AB5295" s="184"/>
    </row>
    <row r="5296" spans="1:28" ht="12.75">
      <c r="A5296" s="173"/>
      <c r="B5296" s="174"/>
      <c r="C5296" s="11"/>
      <c r="D5296" s="175"/>
      <c r="E5296" s="176"/>
      <c r="F5296" s="177"/>
      <c r="G5296" s="178"/>
      <c r="H5296" s="177"/>
      <c r="I5296" s="177"/>
      <c r="J5296" s="179"/>
      <c r="K5296" s="183"/>
      <c r="L5296" s="176"/>
      <c r="M5296" s="177"/>
      <c r="N5296" s="21"/>
      <c r="O5296" s="45"/>
      <c r="P5296" s="24"/>
      <c r="Q5296" s="24"/>
      <c r="R5296" s="180"/>
      <c r="S5296" s="181"/>
      <c r="T5296" s="35"/>
      <c r="U5296" s="35"/>
      <c r="V5296" s="35"/>
      <c r="W5296" s="35"/>
      <c r="X5296" s="35"/>
      <c r="Y5296" s="182"/>
      <c r="Z5296" s="175"/>
      <c r="AA5296" s="182"/>
      <c r="AB5296" s="184"/>
    </row>
    <row r="5297" spans="1:28" ht="12.75">
      <c r="A5297" s="173"/>
      <c r="B5297" s="174"/>
      <c r="C5297" s="11"/>
      <c r="D5297" s="175"/>
      <c r="E5297" s="176"/>
      <c r="F5297" s="177"/>
      <c r="G5297" s="178"/>
      <c r="H5297" s="177"/>
      <c r="I5297" s="177"/>
      <c r="J5297" s="179"/>
      <c r="K5297" s="183"/>
      <c r="L5297" s="176"/>
      <c r="M5297" s="177"/>
      <c r="N5297" s="21"/>
      <c r="O5297" s="45"/>
      <c r="P5297" s="24"/>
      <c r="Q5297" s="24"/>
      <c r="R5297" s="180"/>
      <c r="S5297" s="181"/>
      <c r="T5297" s="35"/>
      <c r="U5297" s="35"/>
      <c r="V5297" s="35"/>
      <c r="W5297" s="35"/>
      <c r="X5297" s="35"/>
      <c r="Y5297" s="182"/>
      <c r="Z5297" s="175"/>
      <c r="AA5297" s="182"/>
      <c r="AB5297" s="184"/>
    </row>
    <row r="5298" spans="1:28" ht="12.75">
      <c r="A5298" s="173"/>
      <c r="B5298" s="174"/>
      <c r="C5298" s="11"/>
      <c r="D5298" s="175"/>
      <c r="E5298" s="176"/>
      <c r="F5298" s="177"/>
      <c r="G5298" s="178"/>
      <c r="H5298" s="177"/>
      <c r="I5298" s="177"/>
      <c r="J5298" s="179"/>
      <c r="K5298" s="183"/>
      <c r="L5298" s="176"/>
      <c r="M5298" s="177"/>
      <c r="N5298" s="21"/>
      <c r="O5298" s="45"/>
      <c r="P5298" s="24"/>
      <c r="Q5298" s="24"/>
      <c r="R5298" s="180"/>
      <c r="S5298" s="181"/>
      <c r="T5298" s="35"/>
      <c r="U5298" s="35"/>
      <c r="V5298" s="35"/>
      <c r="W5298" s="35"/>
      <c r="X5298" s="35"/>
      <c r="Y5298" s="182"/>
      <c r="Z5298" s="175"/>
      <c r="AA5298" s="182"/>
      <c r="AB5298" s="184"/>
    </row>
    <row r="5299" spans="1:28" ht="12.75">
      <c r="A5299" s="173"/>
      <c r="B5299" s="174"/>
      <c r="C5299" s="11"/>
      <c r="D5299" s="175"/>
      <c r="E5299" s="176"/>
      <c r="F5299" s="177"/>
      <c r="G5299" s="178"/>
      <c r="H5299" s="177"/>
      <c r="I5299" s="177"/>
      <c r="J5299" s="179"/>
      <c r="K5299" s="183"/>
      <c r="L5299" s="176"/>
      <c r="M5299" s="177"/>
      <c r="N5299" s="21"/>
      <c r="O5299" s="45"/>
      <c r="P5299" s="24"/>
      <c r="Q5299" s="24"/>
      <c r="R5299" s="180"/>
      <c r="S5299" s="181"/>
      <c r="T5299" s="35"/>
      <c r="U5299" s="35"/>
      <c r="V5299" s="35"/>
      <c r="W5299" s="35"/>
      <c r="X5299" s="35"/>
      <c r="Y5299" s="182"/>
      <c r="Z5299" s="175"/>
      <c r="AA5299" s="182"/>
      <c r="AB5299" s="184"/>
    </row>
    <row r="5300" spans="1:28" ht="12.75">
      <c r="A5300" s="173"/>
      <c r="B5300" s="174"/>
      <c r="C5300" s="11"/>
      <c r="D5300" s="175"/>
      <c r="E5300" s="176"/>
      <c r="F5300" s="177"/>
      <c r="G5300" s="178"/>
      <c r="H5300" s="177"/>
      <c r="I5300" s="177"/>
      <c r="J5300" s="179"/>
      <c r="K5300" s="183"/>
      <c r="L5300" s="176"/>
      <c r="M5300" s="177"/>
      <c r="N5300" s="21"/>
      <c r="O5300" s="45"/>
      <c r="P5300" s="24"/>
      <c r="Q5300" s="24"/>
      <c r="R5300" s="180"/>
      <c r="S5300" s="181"/>
      <c r="T5300" s="35"/>
      <c r="U5300" s="35"/>
      <c r="V5300" s="35"/>
      <c r="W5300" s="35"/>
      <c r="X5300" s="35"/>
      <c r="Y5300" s="182"/>
      <c r="Z5300" s="175"/>
      <c r="AA5300" s="182"/>
      <c r="AB5300" s="184"/>
    </row>
    <row r="5301" spans="1:28" ht="12.75">
      <c r="A5301" s="173"/>
      <c r="B5301" s="174"/>
      <c r="C5301" s="11"/>
      <c r="D5301" s="175"/>
      <c r="E5301" s="176"/>
      <c r="F5301" s="177"/>
      <c r="G5301" s="178"/>
      <c r="H5301" s="177"/>
      <c r="I5301" s="177"/>
      <c r="J5301" s="179"/>
      <c r="K5301" s="183"/>
      <c r="L5301" s="176"/>
      <c r="M5301" s="177"/>
      <c r="N5301" s="21"/>
      <c r="O5301" s="45"/>
      <c r="P5301" s="24"/>
      <c r="Q5301" s="24"/>
      <c r="R5301" s="180"/>
      <c r="S5301" s="181"/>
      <c r="T5301" s="35"/>
      <c r="U5301" s="35"/>
      <c r="V5301" s="35"/>
      <c r="W5301" s="35"/>
      <c r="X5301" s="35"/>
      <c r="Y5301" s="182"/>
      <c r="Z5301" s="175"/>
      <c r="AA5301" s="182"/>
      <c r="AB5301" s="184"/>
    </row>
    <row r="5302" spans="1:28" ht="12.75">
      <c r="A5302" s="173"/>
      <c r="B5302" s="174"/>
      <c r="C5302" s="11"/>
      <c r="D5302" s="175"/>
      <c r="E5302" s="176"/>
      <c r="F5302" s="177"/>
      <c r="G5302" s="178"/>
      <c r="H5302" s="177"/>
      <c r="I5302" s="177"/>
      <c r="J5302" s="179"/>
      <c r="K5302" s="183"/>
      <c r="L5302" s="176"/>
      <c r="M5302" s="177"/>
      <c r="N5302" s="21"/>
      <c r="O5302" s="45"/>
      <c r="P5302" s="24"/>
      <c r="Q5302" s="24"/>
      <c r="R5302" s="180"/>
      <c r="S5302" s="181"/>
      <c r="T5302" s="35"/>
      <c r="U5302" s="35"/>
      <c r="V5302" s="35"/>
      <c r="W5302" s="35"/>
      <c r="X5302" s="35"/>
      <c r="Y5302" s="182"/>
      <c r="Z5302" s="175"/>
      <c r="AA5302" s="182"/>
      <c r="AB5302" s="184"/>
    </row>
    <row r="5303" spans="1:28" ht="12.75">
      <c r="A5303" s="173"/>
      <c r="B5303" s="174"/>
      <c r="C5303" s="11"/>
      <c r="D5303" s="175"/>
      <c r="E5303" s="176"/>
      <c r="F5303" s="177"/>
      <c r="G5303" s="178"/>
      <c r="H5303" s="177"/>
      <c r="I5303" s="177"/>
      <c r="J5303" s="179"/>
      <c r="K5303" s="183"/>
      <c r="L5303" s="176"/>
      <c r="M5303" s="177"/>
      <c r="N5303" s="21"/>
      <c r="O5303" s="45"/>
      <c r="P5303" s="24"/>
      <c r="Q5303" s="24"/>
      <c r="R5303" s="180"/>
      <c r="S5303" s="181"/>
      <c r="T5303" s="35"/>
      <c r="U5303" s="35"/>
      <c r="V5303" s="35"/>
      <c r="W5303" s="35"/>
      <c r="X5303" s="35"/>
      <c r="Y5303" s="182"/>
      <c r="Z5303" s="175"/>
      <c r="AA5303" s="182"/>
      <c r="AB5303" s="184"/>
    </row>
    <row r="5304" spans="1:28" ht="12.75">
      <c r="A5304" s="173"/>
      <c r="B5304" s="174"/>
      <c r="C5304" s="11"/>
      <c r="D5304" s="175"/>
      <c r="E5304" s="176"/>
      <c r="F5304" s="177"/>
      <c r="G5304" s="178"/>
      <c r="H5304" s="177"/>
      <c r="I5304" s="177"/>
      <c r="J5304" s="179"/>
      <c r="K5304" s="183"/>
      <c r="L5304" s="176"/>
      <c r="M5304" s="177"/>
      <c r="N5304" s="21"/>
      <c r="O5304" s="45"/>
      <c r="P5304" s="24"/>
      <c r="Q5304" s="24"/>
      <c r="R5304" s="180"/>
      <c r="S5304" s="181"/>
      <c r="T5304" s="35"/>
      <c r="U5304" s="35"/>
      <c r="V5304" s="35"/>
      <c r="W5304" s="35"/>
      <c r="X5304" s="35"/>
      <c r="Y5304" s="182"/>
      <c r="Z5304" s="175"/>
      <c r="AA5304" s="182"/>
      <c r="AB5304" s="184"/>
    </row>
    <row r="5305" spans="1:28" ht="12.75">
      <c r="A5305" s="173"/>
      <c r="B5305" s="174"/>
      <c r="C5305" s="11"/>
      <c r="D5305" s="175"/>
      <c r="E5305" s="176"/>
      <c r="F5305" s="177"/>
      <c r="G5305" s="178"/>
      <c r="H5305" s="177"/>
      <c r="I5305" s="177"/>
      <c r="J5305" s="179"/>
      <c r="K5305" s="183"/>
      <c r="L5305" s="176"/>
      <c r="M5305" s="177"/>
      <c r="N5305" s="21"/>
      <c r="O5305" s="45"/>
      <c r="P5305" s="24"/>
      <c r="Q5305" s="24"/>
      <c r="R5305" s="180"/>
      <c r="S5305" s="181"/>
      <c r="T5305" s="35"/>
      <c r="U5305" s="35"/>
      <c r="V5305" s="35"/>
      <c r="W5305" s="35"/>
      <c r="X5305" s="35"/>
      <c r="Y5305" s="182"/>
      <c r="Z5305" s="175"/>
      <c r="AA5305" s="182"/>
      <c r="AB5305" s="184"/>
    </row>
    <row r="5306" spans="1:28" ht="12.75">
      <c r="A5306" s="173"/>
      <c r="B5306" s="174"/>
      <c r="C5306" s="11"/>
      <c r="D5306" s="175"/>
      <c r="E5306" s="176"/>
      <c r="F5306" s="177"/>
      <c r="G5306" s="178"/>
      <c r="H5306" s="177"/>
      <c r="I5306" s="177"/>
      <c r="J5306" s="179"/>
      <c r="K5306" s="183"/>
      <c r="L5306" s="176"/>
      <c r="M5306" s="177"/>
      <c r="N5306" s="21"/>
      <c r="O5306" s="45"/>
      <c r="P5306" s="24"/>
      <c r="Q5306" s="24"/>
      <c r="R5306" s="180"/>
      <c r="S5306" s="181"/>
      <c r="T5306" s="35"/>
      <c r="U5306" s="35"/>
      <c r="V5306" s="35"/>
      <c r="W5306" s="35"/>
      <c r="X5306" s="35"/>
      <c r="Y5306" s="182"/>
      <c r="Z5306" s="175"/>
      <c r="AA5306" s="182"/>
      <c r="AB5306" s="184"/>
    </row>
    <row r="5307" spans="1:28" ht="12.75">
      <c r="A5307" s="173"/>
      <c r="B5307" s="174"/>
      <c r="C5307" s="11"/>
      <c r="D5307" s="175"/>
      <c r="E5307" s="176"/>
      <c r="F5307" s="177"/>
      <c r="G5307" s="178"/>
      <c r="H5307" s="177"/>
      <c r="I5307" s="177"/>
      <c r="J5307" s="179"/>
      <c r="K5307" s="183"/>
      <c r="L5307" s="176"/>
      <c r="M5307" s="177"/>
      <c r="N5307" s="21"/>
      <c r="O5307" s="45"/>
      <c r="P5307" s="24"/>
      <c r="Q5307" s="24"/>
      <c r="R5307" s="180"/>
      <c r="S5307" s="181"/>
      <c r="T5307" s="35"/>
      <c r="U5307" s="35"/>
      <c r="V5307" s="35"/>
      <c r="W5307" s="35"/>
      <c r="X5307" s="35"/>
      <c r="Y5307" s="182"/>
      <c r="Z5307" s="175"/>
      <c r="AA5307" s="182"/>
      <c r="AB5307" s="184"/>
    </row>
    <row r="5308" spans="1:28" ht="12.75">
      <c r="A5308" s="173"/>
      <c r="B5308" s="174"/>
      <c r="C5308" s="11"/>
      <c r="D5308" s="175"/>
      <c r="E5308" s="176"/>
      <c r="F5308" s="177"/>
      <c r="G5308" s="178"/>
      <c r="H5308" s="177"/>
      <c r="I5308" s="177"/>
      <c r="J5308" s="179"/>
      <c r="K5308" s="183"/>
      <c r="L5308" s="176"/>
      <c r="M5308" s="177"/>
      <c r="N5308" s="21"/>
      <c r="O5308" s="45"/>
      <c r="P5308" s="24"/>
      <c r="Q5308" s="24"/>
      <c r="R5308" s="180"/>
      <c r="S5308" s="181"/>
      <c r="T5308" s="35"/>
      <c r="U5308" s="35"/>
      <c r="V5308" s="35"/>
      <c r="W5308" s="35"/>
      <c r="X5308" s="35"/>
      <c r="Y5308" s="182"/>
      <c r="Z5308" s="175"/>
      <c r="AA5308" s="182"/>
      <c r="AB5308" s="184"/>
    </row>
    <row r="5309" spans="1:28" ht="12.75">
      <c r="A5309" s="173"/>
      <c r="B5309" s="174"/>
      <c r="C5309" s="11"/>
      <c r="D5309" s="175"/>
      <c r="E5309" s="176"/>
      <c r="F5309" s="177"/>
      <c r="G5309" s="178"/>
      <c r="H5309" s="177"/>
      <c r="I5309" s="177"/>
      <c r="J5309" s="179"/>
      <c r="K5309" s="183"/>
      <c r="L5309" s="176"/>
      <c r="M5309" s="177"/>
      <c r="N5309" s="21"/>
      <c r="O5309" s="45"/>
      <c r="P5309" s="24"/>
      <c r="Q5309" s="24"/>
      <c r="R5309" s="180"/>
      <c r="S5309" s="181"/>
      <c r="T5309" s="35"/>
      <c r="U5309" s="35"/>
      <c r="V5309" s="35"/>
      <c r="W5309" s="35"/>
      <c r="X5309" s="35"/>
      <c r="Y5309" s="182"/>
      <c r="Z5309" s="175"/>
      <c r="AA5309" s="182"/>
      <c r="AB5309" s="184"/>
    </row>
    <row r="5310" spans="1:28" ht="12.75">
      <c r="A5310" s="173"/>
      <c r="B5310" s="174"/>
      <c r="C5310" s="11"/>
      <c r="D5310" s="175"/>
      <c r="E5310" s="176"/>
      <c r="F5310" s="177"/>
      <c r="G5310" s="178"/>
      <c r="H5310" s="177"/>
      <c r="I5310" s="177"/>
      <c r="J5310" s="179"/>
      <c r="K5310" s="183"/>
      <c r="L5310" s="176"/>
      <c r="M5310" s="177"/>
      <c r="N5310" s="21"/>
      <c r="O5310" s="45"/>
      <c r="P5310" s="24"/>
      <c r="Q5310" s="24"/>
      <c r="R5310" s="180"/>
      <c r="S5310" s="181"/>
      <c r="T5310" s="35"/>
      <c r="U5310" s="35"/>
      <c r="V5310" s="35"/>
      <c r="W5310" s="35"/>
      <c r="X5310" s="35"/>
      <c r="Y5310" s="182"/>
      <c r="Z5310" s="175"/>
      <c r="AA5310" s="182"/>
      <c r="AB5310" s="184"/>
    </row>
    <row r="5311" spans="1:28" ht="12.75">
      <c r="A5311" s="173"/>
      <c r="B5311" s="174"/>
      <c r="C5311" s="11"/>
      <c r="D5311" s="175"/>
      <c r="E5311" s="176"/>
      <c r="F5311" s="177"/>
      <c r="G5311" s="178"/>
      <c r="H5311" s="177"/>
      <c r="I5311" s="177"/>
      <c r="J5311" s="179"/>
      <c r="K5311" s="183"/>
      <c r="L5311" s="176"/>
      <c r="M5311" s="177"/>
      <c r="N5311" s="21"/>
      <c r="O5311" s="45"/>
      <c r="P5311" s="24"/>
      <c r="Q5311" s="24"/>
      <c r="R5311" s="180"/>
      <c r="S5311" s="181"/>
      <c r="T5311" s="35"/>
      <c r="U5311" s="35"/>
      <c r="V5311" s="35"/>
      <c r="W5311" s="35"/>
      <c r="X5311" s="35"/>
      <c r="Y5311" s="182"/>
      <c r="Z5311" s="175"/>
      <c r="AA5311" s="182"/>
      <c r="AB5311" s="184"/>
    </row>
    <row r="5312" spans="1:28" ht="12.75">
      <c r="A5312" s="173"/>
      <c r="B5312" s="174"/>
      <c r="C5312" s="11"/>
      <c r="D5312" s="175"/>
      <c r="E5312" s="176"/>
      <c r="F5312" s="177"/>
      <c r="G5312" s="178"/>
      <c r="H5312" s="177"/>
      <c r="I5312" s="177"/>
      <c r="J5312" s="179"/>
      <c r="K5312" s="183"/>
      <c r="L5312" s="176"/>
      <c r="M5312" s="177"/>
      <c r="N5312" s="21"/>
      <c r="O5312" s="45"/>
      <c r="P5312" s="24"/>
      <c r="Q5312" s="24"/>
      <c r="R5312" s="180"/>
      <c r="S5312" s="181"/>
      <c r="T5312" s="35"/>
      <c r="U5312" s="35"/>
      <c r="V5312" s="35"/>
      <c r="W5312" s="35"/>
      <c r="X5312" s="35"/>
      <c r="Y5312" s="182"/>
      <c r="Z5312" s="175"/>
      <c r="AA5312" s="182"/>
      <c r="AB5312" s="184"/>
    </row>
    <row r="5313" spans="1:28" ht="12.75">
      <c r="A5313" s="173"/>
      <c r="B5313" s="174"/>
      <c r="C5313" s="11"/>
      <c r="D5313" s="175"/>
      <c r="E5313" s="176"/>
      <c r="F5313" s="177"/>
      <c r="G5313" s="178"/>
      <c r="H5313" s="177"/>
      <c r="I5313" s="177"/>
      <c r="J5313" s="179"/>
      <c r="K5313" s="183"/>
      <c r="L5313" s="176"/>
      <c r="M5313" s="177"/>
      <c r="N5313" s="21"/>
      <c r="O5313" s="45"/>
      <c r="P5313" s="24"/>
      <c r="Q5313" s="24"/>
      <c r="R5313" s="180"/>
      <c r="S5313" s="181"/>
      <c r="T5313" s="35"/>
      <c r="U5313" s="35"/>
      <c r="V5313" s="35"/>
      <c r="W5313" s="35"/>
      <c r="X5313" s="35"/>
      <c r="Y5313" s="182"/>
      <c r="Z5313" s="175"/>
      <c r="AA5313" s="182"/>
      <c r="AB5313" s="184"/>
    </row>
    <row r="5314" spans="1:28" ht="12.75">
      <c r="A5314" s="173"/>
      <c r="B5314" s="174"/>
      <c r="C5314" s="11"/>
      <c r="D5314" s="175"/>
      <c r="E5314" s="176"/>
      <c r="F5314" s="177"/>
      <c r="G5314" s="178"/>
      <c r="H5314" s="177"/>
      <c r="I5314" s="177"/>
      <c r="J5314" s="179"/>
      <c r="K5314" s="183"/>
      <c r="L5314" s="176"/>
      <c r="M5314" s="177"/>
      <c r="N5314" s="21"/>
      <c r="O5314" s="45"/>
      <c r="P5314" s="24"/>
      <c r="Q5314" s="24"/>
      <c r="R5314" s="180"/>
      <c r="S5314" s="181"/>
      <c r="T5314" s="35"/>
      <c r="U5314" s="35"/>
      <c r="V5314" s="35"/>
      <c r="W5314" s="35"/>
      <c r="X5314" s="35"/>
      <c r="Y5314" s="182"/>
      <c r="Z5314" s="175"/>
      <c r="AA5314" s="182"/>
      <c r="AB5314" s="184"/>
    </row>
    <row r="5315" spans="1:28" ht="12.75">
      <c r="A5315" s="173"/>
      <c r="B5315" s="174"/>
      <c r="C5315" s="11"/>
      <c r="D5315" s="175"/>
      <c r="E5315" s="176"/>
      <c r="F5315" s="177"/>
      <c r="G5315" s="178"/>
      <c r="H5315" s="177"/>
      <c r="I5315" s="177"/>
      <c r="J5315" s="179"/>
      <c r="K5315" s="183"/>
      <c r="L5315" s="176"/>
      <c r="M5315" s="177"/>
      <c r="N5315" s="21"/>
      <c r="O5315" s="45"/>
      <c r="P5315" s="24"/>
      <c r="Q5315" s="24"/>
      <c r="R5315" s="180"/>
      <c r="S5315" s="181"/>
      <c r="T5315" s="35"/>
      <c r="U5315" s="35"/>
      <c r="V5315" s="35"/>
      <c r="W5315" s="35"/>
      <c r="X5315" s="35"/>
      <c r="Y5315" s="182"/>
      <c r="Z5315" s="175"/>
      <c r="AA5315" s="182"/>
      <c r="AB5315" s="184"/>
    </row>
    <row r="5316" spans="1:28" ht="12.75">
      <c r="A5316" s="173"/>
      <c r="B5316" s="174"/>
      <c r="C5316" s="11"/>
      <c r="D5316" s="175"/>
      <c r="E5316" s="176"/>
      <c r="F5316" s="177"/>
      <c r="G5316" s="178"/>
      <c r="H5316" s="177"/>
      <c r="I5316" s="177"/>
      <c r="J5316" s="179"/>
      <c r="K5316" s="183"/>
      <c r="L5316" s="176"/>
      <c r="M5316" s="177"/>
      <c r="N5316" s="21"/>
      <c r="O5316" s="45"/>
      <c r="P5316" s="24"/>
      <c r="Q5316" s="24"/>
      <c r="R5316" s="180"/>
      <c r="S5316" s="181"/>
      <c r="T5316" s="35"/>
      <c r="U5316" s="35"/>
      <c r="V5316" s="35"/>
      <c r="W5316" s="35"/>
      <c r="X5316" s="35"/>
      <c r="Y5316" s="182"/>
      <c r="Z5316" s="175"/>
      <c r="AA5316" s="182"/>
      <c r="AB5316" s="184"/>
    </row>
    <row r="5317" spans="1:28" ht="12.75">
      <c r="A5317" s="173"/>
      <c r="B5317" s="174"/>
      <c r="C5317" s="11"/>
      <c r="D5317" s="175"/>
      <c r="E5317" s="176"/>
      <c r="F5317" s="177"/>
      <c r="G5317" s="178"/>
      <c r="H5317" s="177"/>
      <c r="I5317" s="177"/>
      <c r="J5317" s="179"/>
      <c r="K5317" s="183"/>
      <c r="L5317" s="176"/>
      <c r="M5317" s="177"/>
      <c r="N5317" s="21"/>
      <c r="O5317" s="45"/>
      <c r="P5317" s="24"/>
      <c r="Q5317" s="24"/>
      <c r="R5317" s="180"/>
      <c r="S5317" s="181"/>
      <c r="T5317" s="35"/>
      <c r="U5317" s="35"/>
      <c r="V5317" s="35"/>
      <c r="W5317" s="35"/>
      <c r="X5317" s="35"/>
      <c r="Y5317" s="182"/>
      <c r="Z5317" s="175"/>
      <c r="AA5317" s="182"/>
      <c r="AB5317" s="184"/>
    </row>
    <row r="5318" spans="1:28" ht="12.75">
      <c r="A5318" s="173"/>
      <c r="B5318" s="174"/>
      <c r="C5318" s="11"/>
      <c r="D5318" s="175"/>
      <c r="E5318" s="176"/>
      <c r="F5318" s="177"/>
      <c r="G5318" s="178"/>
      <c r="H5318" s="177"/>
      <c r="I5318" s="177"/>
      <c r="J5318" s="179"/>
      <c r="K5318" s="183"/>
      <c r="L5318" s="176"/>
      <c r="M5318" s="177"/>
      <c r="N5318" s="21"/>
      <c r="O5318" s="45"/>
      <c r="P5318" s="24"/>
      <c r="Q5318" s="24"/>
      <c r="R5318" s="180"/>
      <c r="S5318" s="181"/>
      <c r="T5318" s="35"/>
      <c r="U5318" s="35"/>
      <c r="V5318" s="35"/>
      <c r="W5318" s="35"/>
      <c r="X5318" s="35"/>
      <c r="Y5318" s="182"/>
      <c r="Z5318" s="175"/>
      <c r="AA5318" s="182"/>
      <c r="AB5318" s="184"/>
    </row>
    <row r="5319" spans="1:28" ht="12.75">
      <c r="A5319" s="173"/>
      <c r="B5319" s="174"/>
      <c r="C5319" s="11"/>
      <c r="D5319" s="175"/>
      <c r="E5319" s="176"/>
      <c r="F5319" s="177"/>
      <c r="G5319" s="178"/>
      <c r="H5319" s="177"/>
      <c r="I5319" s="177"/>
      <c r="J5319" s="179"/>
      <c r="K5319" s="183"/>
      <c r="L5319" s="176"/>
      <c r="M5319" s="177"/>
      <c r="N5319" s="21"/>
      <c r="O5319" s="45"/>
      <c r="P5319" s="24"/>
      <c r="Q5319" s="24"/>
      <c r="R5319" s="180"/>
      <c r="S5319" s="181"/>
      <c r="T5319" s="35"/>
      <c r="U5319" s="35"/>
      <c r="V5319" s="35"/>
      <c r="W5319" s="35"/>
      <c r="X5319" s="35"/>
      <c r="Y5319" s="182"/>
      <c r="Z5319" s="175"/>
      <c r="AA5319" s="182"/>
      <c r="AB5319" s="184"/>
    </row>
    <row r="5320" spans="1:28" ht="12.75">
      <c r="A5320" s="173"/>
      <c r="B5320" s="174"/>
      <c r="C5320" s="11"/>
      <c r="D5320" s="175"/>
      <c r="E5320" s="176"/>
      <c r="F5320" s="177"/>
      <c r="G5320" s="178"/>
      <c r="H5320" s="177"/>
      <c r="I5320" s="177"/>
      <c r="J5320" s="179"/>
      <c r="K5320" s="183"/>
      <c r="L5320" s="176"/>
      <c r="M5320" s="177"/>
      <c r="N5320" s="21"/>
      <c r="O5320" s="45"/>
      <c r="P5320" s="24"/>
      <c r="Q5320" s="24"/>
      <c r="R5320" s="180"/>
      <c r="S5320" s="181"/>
      <c r="T5320" s="35"/>
      <c r="U5320" s="35"/>
      <c r="V5320" s="35"/>
      <c r="W5320" s="35"/>
      <c r="X5320" s="35"/>
      <c r="Y5320" s="182"/>
      <c r="Z5320" s="175"/>
      <c r="AA5320" s="182"/>
      <c r="AB5320" s="184"/>
    </row>
    <row r="5321" spans="1:28" ht="12.75">
      <c r="A5321" s="173"/>
      <c r="B5321" s="174"/>
      <c r="C5321" s="11"/>
      <c r="D5321" s="175"/>
      <c r="E5321" s="176"/>
      <c r="F5321" s="177"/>
      <c r="G5321" s="178"/>
      <c r="H5321" s="177"/>
      <c r="I5321" s="177"/>
      <c r="J5321" s="179"/>
      <c r="K5321" s="183"/>
      <c r="L5321" s="176"/>
      <c r="M5321" s="177"/>
      <c r="N5321" s="21"/>
      <c r="O5321" s="45"/>
      <c r="P5321" s="24"/>
      <c r="Q5321" s="24"/>
      <c r="R5321" s="180"/>
      <c r="S5321" s="181"/>
      <c r="T5321" s="35"/>
      <c r="U5321" s="35"/>
      <c r="V5321" s="35"/>
      <c r="W5321" s="35"/>
      <c r="X5321" s="35"/>
      <c r="Y5321" s="182"/>
      <c r="Z5321" s="175"/>
      <c r="AA5321" s="182"/>
      <c r="AB5321" s="184"/>
    </row>
    <row r="5322" spans="1:28" ht="12.75">
      <c r="A5322" s="173"/>
      <c r="B5322" s="174"/>
      <c r="C5322" s="11"/>
      <c r="D5322" s="175"/>
      <c r="E5322" s="176"/>
      <c r="F5322" s="177"/>
      <c r="G5322" s="178"/>
      <c r="H5322" s="177"/>
      <c r="I5322" s="177"/>
      <c r="J5322" s="179"/>
      <c r="K5322" s="183"/>
      <c r="L5322" s="176"/>
      <c r="M5322" s="177"/>
      <c r="N5322" s="21"/>
      <c r="O5322" s="45"/>
      <c r="P5322" s="24"/>
      <c r="Q5322" s="24"/>
      <c r="R5322" s="180"/>
      <c r="S5322" s="181"/>
      <c r="T5322" s="35"/>
      <c r="U5322" s="35"/>
      <c r="V5322" s="35"/>
      <c r="W5322" s="35"/>
      <c r="X5322" s="35"/>
      <c r="Y5322" s="182"/>
      <c r="Z5322" s="175"/>
      <c r="AA5322" s="182"/>
      <c r="AB5322" s="184"/>
    </row>
    <row r="5323" spans="1:28" ht="12.75">
      <c r="A5323" s="173"/>
      <c r="B5323" s="174"/>
      <c r="C5323" s="11"/>
      <c r="D5323" s="175"/>
      <c r="E5323" s="176"/>
      <c r="F5323" s="177"/>
      <c r="G5323" s="178"/>
      <c r="H5323" s="177"/>
      <c r="I5323" s="177"/>
      <c r="J5323" s="179"/>
      <c r="K5323" s="183"/>
      <c r="L5323" s="176"/>
      <c r="M5323" s="177"/>
      <c r="N5323" s="21"/>
      <c r="O5323" s="45"/>
      <c r="P5323" s="24"/>
      <c r="Q5323" s="24"/>
      <c r="R5323" s="180"/>
      <c r="S5323" s="181"/>
      <c r="T5323" s="35"/>
      <c r="U5323" s="35"/>
      <c r="V5323" s="35"/>
      <c r="W5323" s="35"/>
      <c r="X5323" s="35"/>
      <c r="Y5323" s="182"/>
      <c r="Z5323" s="175"/>
      <c r="AA5323" s="182"/>
      <c r="AB5323" s="184"/>
    </row>
    <row r="5324" spans="1:28" ht="12.75">
      <c r="A5324" s="173"/>
      <c r="B5324" s="174"/>
      <c r="C5324" s="11"/>
      <c r="D5324" s="175"/>
      <c r="E5324" s="176"/>
      <c r="F5324" s="177"/>
      <c r="G5324" s="178"/>
      <c r="H5324" s="177"/>
      <c r="I5324" s="177"/>
      <c r="J5324" s="179"/>
      <c r="K5324" s="183"/>
      <c r="L5324" s="176"/>
      <c r="M5324" s="177"/>
      <c r="N5324" s="21"/>
      <c r="O5324" s="45"/>
      <c r="P5324" s="24"/>
      <c r="Q5324" s="24"/>
      <c r="R5324" s="180"/>
      <c r="S5324" s="181"/>
      <c r="T5324" s="35"/>
      <c r="U5324" s="35"/>
      <c r="V5324" s="35"/>
      <c r="W5324" s="35"/>
      <c r="X5324" s="35"/>
      <c r="Y5324" s="182"/>
      <c r="Z5324" s="175"/>
      <c r="AA5324" s="182"/>
      <c r="AB5324" s="184"/>
    </row>
    <row r="5325" spans="1:28" ht="12.75">
      <c r="A5325" s="173"/>
      <c r="B5325" s="174"/>
      <c r="C5325" s="11"/>
      <c r="D5325" s="175"/>
      <c r="E5325" s="176"/>
      <c r="F5325" s="177"/>
      <c r="G5325" s="178"/>
      <c r="H5325" s="177"/>
      <c r="I5325" s="177"/>
      <c r="J5325" s="179"/>
      <c r="K5325" s="183"/>
      <c r="L5325" s="176"/>
      <c r="M5325" s="177"/>
      <c r="N5325" s="21"/>
      <c r="O5325" s="45"/>
      <c r="P5325" s="24"/>
      <c r="Q5325" s="24"/>
      <c r="R5325" s="180"/>
      <c r="S5325" s="181"/>
      <c r="T5325" s="35"/>
      <c r="U5325" s="35"/>
      <c r="V5325" s="35"/>
      <c r="W5325" s="35"/>
      <c r="X5325" s="35"/>
      <c r="Y5325" s="182"/>
      <c r="Z5325" s="175"/>
      <c r="AA5325" s="182"/>
      <c r="AB5325" s="184"/>
    </row>
    <row r="5326" spans="1:28" ht="12.75">
      <c r="A5326" s="173"/>
      <c r="B5326" s="174"/>
      <c r="C5326" s="11"/>
      <c r="D5326" s="175"/>
      <c r="E5326" s="176"/>
      <c r="F5326" s="177"/>
      <c r="G5326" s="178"/>
      <c r="H5326" s="177"/>
      <c r="I5326" s="177"/>
      <c r="J5326" s="179"/>
      <c r="K5326" s="183"/>
      <c r="L5326" s="176"/>
      <c r="M5326" s="177"/>
      <c r="N5326" s="21"/>
      <c r="O5326" s="45"/>
      <c r="P5326" s="24"/>
      <c r="Q5326" s="24"/>
      <c r="R5326" s="180"/>
      <c r="S5326" s="181"/>
      <c r="T5326" s="35"/>
      <c r="U5326" s="35"/>
      <c r="V5326" s="35"/>
      <c r="W5326" s="35"/>
      <c r="X5326" s="35"/>
      <c r="Y5326" s="182"/>
      <c r="Z5326" s="175"/>
      <c r="AA5326" s="182"/>
      <c r="AB5326" s="184"/>
    </row>
    <row r="5327" spans="1:28" ht="12.75">
      <c r="A5327" s="173"/>
      <c r="B5327" s="174"/>
      <c r="C5327" s="11"/>
      <c r="D5327" s="175"/>
      <c r="E5327" s="176"/>
      <c r="F5327" s="177"/>
      <c r="G5327" s="178"/>
      <c r="H5327" s="177"/>
      <c r="I5327" s="177"/>
      <c r="J5327" s="179"/>
      <c r="K5327" s="183"/>
      <c r="L5327" s="176"/>
      <c r="M5327" s="177"/>
      <c r="N5327" s="21"/>
      <c r="O5327" s="45"/>
      <c r="P5327" s="24"/>
      <c r="Q5327" s="24"/>
      <c r="R5327" s="180"/>
      <c r="S5327" s="181"/>
      <c r="T5327" s="35"/>
      <c r="U5327" s="35"/>
      <c r="V5327" s="35"/>
      <c r="W5327" s="35"/>
      <c r="X5327" s="35"/>
      <c r="Y5327" s="182"/>
      <c r="Z5327" s="175"/>
      <c r="AA5327" s="182"/>
      <c r="AB5327" s="184"/>
    </row>
    <row r="5328" spans="1:28" ht="12.75">
      <c r="A5328" s="173"/>
      <c r="B5328" s="174"/>
      <c r="C5328" s="11"/>
      <c r="D5328" s="175"/>
      <c r="E5328" s="176"/>
      <c r="F5328" s="177"/>
      <c r="G5328" s="178"/>
      <c r="H5328" s="177"/>
      <c r="I5328" s="177"/>
      <c r="J5328" s="179"/>
      <c r="K5328" s="183"/>
      <c r="L5328" s="176"/>
      <c r="M5328" s="177"/>
      <c r="N5328" s="21"/>
      <c r="O5328" s="45"/>
      <c r="P5328" s="24"/>
      <c r="Q5328" s="24"/>
      <c r="R5328" s="180"/>
      <c r="S5328" s="181"/>
      <c r="T5328" s="35"/>
      <c r="U5328" s="35"/>
      <c r="V5328" s="35"/>
      <c r="W5328" s="35"/>
      <c r="X5328" s="35"/>
      <c r="Y5328" s="182"/>
      <c r="Z5328" s="175"/>
      <c r="AA5328" s="182"/>
      <c r="AB5328" s="184"/>
    </row>
    <row r="5329" spans="1:28" ht="12.75">
      <c r="A5329" s="173"/>
      <c r="B5329" s="174"/>
      <c r="C5329" s="11"/>
      <c r="D5329" s="175"/>
      <c r="E5329" s="176"/>
      <c r="F5329" s="177"/>
      <c r="G5329" s="178"/>
      <c r="H5329" s="177"/>
      <c r="I5329" s="177"/>
      <c r="J5329" s="179"/>
      <c r="K5329" s="183"/>
      <c r="L5329" s="176"/>
      <c r="M5329" s="177"/>
      <c r="N5329" s="21"/>
      <c r="O5329" s="45"/>
      <c r="P5329" s="24"/>
      <c r="Q5329" s="24"/>
      <c r="R5329" s="180"/>
      <c r="S5329" s="181"/>
      <c r="T5329" s="35"/>
      <c r="U5329" s="35"/>
      <c r="V5329" s="35"/>
      <c r="W5329" s="35"/>
      <c r="X5329" s="35"/>
      <c r="Y5329" s="182"/>
      <c r="Z5329" s="175"/>
      <c r="AA5329" s="182"/>
      <c r="AB5329" s="184"/>
    </row>
    <row r="5330" spans="1:28" ht="12.75">
      <c r="A5330" s="173"/>
      <c r="B5330" s="174"/>
      <c r="C5330" s="11"/>
      <c r="D5330" s="175"/>
      <c r="E5330" s="176"/>
      <c r="F5330" s="177"/>
      <c r="G5330" s="178"/>
      <c r="H5330" s="177"/>
      <c r="I5330" s="177"/>
      <c r="J5330" s="179"/>
      <c r="K5330" s="183"/>
      <c r="L5330" s="176"/>
      <c r="M5330" s="177"/>
      <c r="N5330" s="21"/>
      <c r="O5330" s="45"/>
      <c r="P5330" s="24"/>
      <c r="Q5330" s="24"/>
      <c r="R5330" s="180"/>
      <c r="S5330" s="181"/>
      <c r="T5330" s="35"/>
      <c r="U5330" s="35"/>
      <c r="V5330" s="35"/>
      <c r="W5330" s="35"/>
      <c r="X5330" s="35"/>
      <c r="Y5330" s="182"/>
      <c r="Z5330" s="175"/>
      <c r="AA5330" s="182"/>
      <c r="AB5330" s="184"/>
    </row>
    <row r="5331" spans="1:28" ht="12.75">
      <c r="A5331" s="173"/>
      <c r="B5331" s="174"/>
      <c r="C5331" s="11"/>
      <c r="D5331" s="175"/>
      <c r="E5331" s="176"/>
      <c r="F5331" s="177"/>
      <c r="G5331" s="178"/>
      <c r="H5331" s="177"/>
      <c r="I5331" s="177"/>
      <c r="J5331" s="179"/>
      <c r="K5331" s="183"/>
      <c r="L5331" s="176"/>
      <c r="M5331" s="177"/>
      <c r="N5331" s="21"/>
      <c r="O5331" s="45"/>
      <c r="P5331" s="24"/>
      <c r="Q5331" s="24"/>
      <c r="R5331" s="180"/>
      <c r="S5331" s="181"/>
      <c r="T5331" s="35"/>
      <c r="U5331" s="35"/>
      <c r="V5331" s="35"/>
      <c r="W5331" s="35"/>
      <c r="X5331" s="35"/>
      <c r="Y5331" s="182"/>
      <c r="Z5331" s="175"/>
      <c r="AA5331" s="182"/>
      <c r="AB5331" s="184"/>
    </row>
    <row r="5332" spans="1:28" ht="12.75">
      <c r="A5332" s="173"/>
      <c r="B5332" s="174"/>
      <c r="C5332" s="11"/>
      <c r="D5332" s="175"/>
      <c r="E5332" s="176"/>
      <c r="F5332" s="177"/>
      <c r="G5332" s="178"/>
      <c r="H5332" s="177"/>
      <c r="I5332" s="177"/>
      <c r="J5332" s="179"/>
      <c r="K5332" s="183"/>
      <c r="L5332" s="176"/>
      <c r="M5332" s="177"/>
      <c r="N5332" s="21"/>
      <c r="O5332" s="45"/>
      <c r="P5332" s="24"/>
      <c r="Q5332" s="24"/>
      <c r="R5332" s="180"/>
      <c r="S5332" s="181"/>
      <c r="T5332" s="35"/>
      <c r="U5332" s="35"/>
      <c r="V5332" s="35"/>
      <c r="W5332" s="35"/>
      <c r="X5332" s="35"/>
      <c r="Y5332" s="182"/>
      <c r="Z5332" s="175"/>
      <c r="AA5332" s="182"/>
      <c r="AB5332" s="184"/>
    </row>
    <row r="5333" spans="1:28" ht="12.75">
      <c r="A5333" s="173"/>
      <c r="B5333" s="174"/>
      <c r="C5333" s="11"/>
      <c r="D5333" s="175"/>
      <c r="E5333" s="176"/>
      <c r="F5333" s="177"/>
      <c r="G5333" s="178"/>
      <c r="H5333" s="177"/>
      <c r="I5333" s="177"/>
      <c r="J5333" s="179"/>
      <c r="K5333" s="183"/>
      <c r="L5333" s="176"/>
      <c r="M5333" s="177"/>
      <c r="N5333" s="21"/>
      <c r="O5333" s="45"/>
      <c r="P5333" s="24"/>
      <c r="Q5333" s="24"/>
      <c r="R5333" s="180"/>
      <c r="S5333" s="181"/>
      <c r="T5333" s="35"/>
      <c r="U5333" s="35"/>
      <c r="V5333" s="35"/>
      <c r="W5333" s="35"/>
      <c r="X5333" s="35"/>
      <c r="Y5333" s="182"/>
      <c r="Z5333" s="175"/>
      <c r="AA5333" s="182"/>
      <c r="AB5333" s="184"/>
    </row>
    <row r="5334" spans="1:28" ht="12.75">
      <c r="A5334" s="173"/>
      <c r="B5334" s="174"/>
      <c r="C5334" s="11"/>
      <c r="D5334" s="175"/>
      <c r="E5334" s="176"/>
      <c r="F5334" s="177"/>
      <c r="G5334" s="178"/>
      <c r="H5334" s="177"/>
      <c r="I5334" s="177"/>
      <c r="J5334" s="179"/>
      <c r="K5334" s="183"/>
      <c r="L5334" s="176"/>
      <c r="M5334" s="177"/>
      <c r="N5334" s="21"/>
      <c r="O5334" s="45"/>
      <c r="P5334" s="24"/>
      <c r="Q5334" s="24"/>
      <c r="R5334" s="180"/>
      <c r="S5334" s="181"/>
      <c r="T5334" s="35"/>
      <c r="U5334" s="35"/>
      <c r="V5334" s="35"/>
      <c r="W5334" s="35"/>
      <c r="X5334" s="35"/>
      <c r="Y5334" s="182"/>
      <c r="Z5334" s="175"/>
      <c r="AA5334" s="182"/>
      <c r="AB5334" s="184"/>
    </row>
    <row r="5335" spans="1:28" ht="12.75">
      <c r="A5335" s="173"/>
      <c r="B5335" s="174"/>
      <c r="C5335" s="11"/>
      <c r="D5335" s="175"/>
      <c r="E5335" s="176"/>
      <c r="F5335" s="177"/>
      <c r="G5335" s="178"/>
      <c r="H5335" s="177"/>
      <c r="I5335" s="177"/>
      <c r="J5335" s="179"/>
      <c r="K5335" s="183"/>
      <c r="L5335" s="176"/>
      <c r="M5335" s="177"/>
      <c r="N5335" s="21"/>
      <c r="O5335" s="45"/>
      <c r="P5335" s="24"/>
      <c r="Q5335" s="24"/>
      <c r="R5335" s="180"/>
      <c r="S5335" s="181"/>
      <c r="T5335" s="35"/>
      <c r="U5335" s="35"/>
      <c r="V5335" s="35"/>
      <c r="W5335" s="35"/>
      <c r="X5335" s="35"/>
      <c r="Y5335" s="182"/>
      <c r="Z5335" s="175"/>
      <c r="AA5335" s="182"/>
      <c r="AB5335" s="184"/>
    </row>
    <row r="5336" spans="1:28" ht="12.75">
      <c r="A5336" s="173"/>
      <c r="B5336" s="174"/>
      <c r="C5336" s="11"/>
      <c r="D5336" s="175"/>
      <c r="E5336" s="176"/>
      <c r="F5336" s="177"/>
      <c r="G5336" s="178"/>
      <c r="H5336" s="177"/>
      <c r="I5336" s="177"/>
      <c r="J5336" s="179"/>
      <c r="K5336" s="183"/>
      <c r="L5336" s="176"/>
      <c r="M5336" s="177"/>
      <c r="N5336" s="21"/>
      <c r="O5336" s="45"/>
      <c r="P5336" s="24"/>
      <c r="Q5336" s="24"/>
      <c r="R5336" s="180"/>
      <c r="S5336" s="181"/>
      <c r="T5336" s="35"/>
      <c r="U5336" s="35"/>
      <c r="V5336" s="35"/>
      <c r="W5336" s="35"/>
      <c r="X5336" s="35"/>
      <c r="Y5336" s="182"/>
      <c r="Z5336" s="175"/>
      <c r="AA5336" s="182"/>
      <c r="AB5336" s="184"/>
    </row>
    <row r="5337" spans="1:28" ht="12.75">
      <c r="A5337" s="173"/>
      <c r="B5337" s="174"/>
      <c r="C5337" s="11"/>
      <c r="D5337" s="175"/>
      <c r="E5337" s="176"/>
      <c r="F5337" s="177"/>
      <c r="G5337" s="178"/>
      <c r="H5337" s="177"/>
      <c r="I5337" s="177"/>
      <c r="J5337" s="179"/>
      <c r="K5337" s="183"/>
      <c r="L5337" s="176"/>
      <c r="M5337" s="177"/>
      <c r="N5337" s="21"/>
      <c r="O5337" s="45"/>
      <c r="P5337" s="24"/>
      <c r="Q5337" s="24"/>
      <c r="R5337" s="180"/>
      <c r="S5337" s="181"/>
      <c r="T5337" s="35"/>
      <c r="U5337" s="35"/>
      <c r="V5337" s="35"/>
      <c r="W5337" s="35"/>
      <c r="X5337" s="35"/>
      <c r="Y5337" s="182"/>
      <c r="Z5337" s="175"/>
      <c r="AA5337" s="182"/>
      <c r="AB5337" s="184"/>
    </row>
    <row r="5338" spans="1:28" ht="12.75">
      <c r="A5338" s="173"/>
      <c r="B5338" s="174"/>
      <c r="C5338" s="11"/>
      <c r="D5338" s="175"/>
      <c r="E5338" s="176"/>
      <c r="F5338" s="177"/>
      <c r="G5338" s="178"/>
      <c r="H5338" s="177"/>
      <c r="I5338" s="177"/>
      <c r="J5338" s="179"/>
      <c r="K5338" s="183"/>
      <c r="L5338" s="176"/>
      <c r="M5338" s="177"/>
      <c r="N5338" s="21"/>
      <c r="O5338" s="45"/>
      <c r="P5338" s="24"/>
      <c r="Q5338" s="24"/>
      <c r="R5338" s="180"/>
      <c r="S5338" s="181"/>
      <c r="T5338" s="35"/>
      <c r="U5338" s="35"/>
      <c r="V5338" s="35"/>
      <c r="W5338" s="35"/>
      <c r="X5338" s="35"/>
      <c r="Y5338" s="182"/>
      <c r="Z5338" s="175"/>
      <c r="AA5338" s="182"/>
      <c r="AB5338" s="184"/>
    </row>
    <row r="5339" spans="1:28" ht="12.75">
      <c r="A5339" s="173"/>
      <c r="B5339" s="174"/>
      <c r="C5339" s="11"/>
      <c r="D5339" s="175"/>
      <c r="E5339" s="176"/>
      <c r="F5339" s="177"/>
      <c r="G5339" s="178"/>
      <c r="H5339" s="177"/>
      <c r="I5339" s="177"/>
      <c r="J5339" s="179"/>
      <c r="K5339" s="183"/>
      <c r="L5339" s="176"/>
      <c r="M5339" s="177"/>
      <c r="N5339" s="21"/>
      <c r="O5339" s="45"/>
      <c r="P5339" s="24"/>
      <c r="Q5339" s="24"/>
      <c r="R5339" s="180"/>
      <c r="S5339" s="181"/>
      <c r="T5339" s="35"/>
      <c r="U5339" s="35"/>
      <c r="V5339" s="35"/>
      <c r="W5339" s="35"/>
      <c r="X5339" s="35"/>
      <c r="Y5339" s="182"/>
      <c r="Z5339" s="175"/>
      <c r="AA5339" s="182"/>
      <c r="AB5339" s="184"/>
    </row>
    <row r="5340" spans="1:28" ht="12.75">
      <c r="A5340" s="173"/>
      <c r="B5340" s="174"/>
      <c r="C5340" s="11"/>
      <c r="D5340" s="175"/>
      <c r="E5340" s="176"/>
      <c r="F5340" s="177"/>
      <c r="G5340" s="178"/>
      <c r="H5340" s="177"/>
      <c r="I5340" s="177"/>
      <c r="J5340" s="179"/>
      <c r="K5340" s="183"/>
      <c r="L5340" s="176"/>
      <c r="M5340" s="177"/>
      <c r="N5340" s="21"/>
      <c r="O5340" s="45"/>
      <c r="P5340" s="24"/>
      <c r="Q5340" s="24"/>
      <c r="R5340" s="180"/>
      <c r="S5340" s="181"/>
      <c r="T5340" s="35"/>
      <c r="U5340" s="35"/>
      <c r="V5340" s="35"/>
      <c r="W5340" s="35"/>
      <c r="X5340" s="35"/>
      <c r="Y5340" s="182"/>
      <c r="Z5340" s="175"/>
      <c r="AA5340" s="182"/>
      <c r="AB5340" s="184"/>
    </row>
    <row r="5341" spans="1:28" ht="12.75">
      <c r="A5341" s="173"/>
      <c r="B5341" s="174"/>
      <c r="C5341" s="11"/>
      <c r="D5341" s="175"/>
      <c r="E5341" s="176"/>
      <c r="F5341" s="177"/>
      <c r="G5341" s="178"/>
      <c r="H5341" s="177"/>
      <c r="I5341" s="177"/>
      <c r="J5341" s="179"/>
      <c r="K5341" s="183"/>
      <c r="L5341" s="176"/>
      <c r="M5341" s="177"/>
      <c r="N5341" s="21"/>
      <c r="O5341" s="45"/>
      <c r="P5341" s="24"/>
      <c r="Q5341" s="24"/>
      <c r="R5341" s="180"/>
      <c r="S5341" s="181"/>
      <c r="T5341" s="35"/>
      <c r="U5341" s="35"/>
      <c r="V5341" s="35"/>
      <c r="W5341" s="35"/>
      <c r="X5341" s="35"/>
      <c r="Y5341" s="182"/>
      <c r="Z5341" s="175"/>
      <c r="AA5341" s="182"/>
      <c r="AB5341" s="184"/>
    </row>
    <row r="5342" spans="1:28" ht="12.75">
      <c r="A5342" s="173"/>
      <c r="B5342" s="174"/>
      <c r="C5342" s="11"/>
      <c r="D5342" s="175"/>
      <c r="E5342" s="176"/>
      <c r="F5342" s="177"/>
      <c r="G5342" s="178"/>
      <c r="H5342" s="177"/>
      <c r="I5342" s="177"/>
      <c r="J5342" s="179"/>
      <c r="K5342" s="183"/>
      <c r="L5342" s="176"/>
      <c r="M5342" s="177"/>
      <c r="N5342" s="21"/>
      <c r="O5342" s="45"/>
      <c r="P5342" s="24"/>
      <c r="Q5342" s="24"/>
      <c r="R5342" s="180"/>
      <c r="S5342" s="181"/>
      <c r="T5342" s="35"/>
      <c r="U5342" s="35"/>
      <c r="V5342" s="35"/>
      <c r="W5342" s="35"/>
      <c r="X5342" s="35"/>
      <c r="Y5342" s="182"/>
      <c r="Z5342" s="175"/>
      <c r="AA5342" s="182"/>
      <c r="AB5342" s="184"/>
    </row>
    <row r="5343" spans="1:28" ht="12.75">
      <c r="A5343" s="173"/>
      <c r="B5343" s="174"/>
      <c r="C5343" s="11"/>
      <c r="D5343" s="175"/>
      <c r="E5343" s="176"/>
      <c r="F5343" s="177"/>
      <c r="G5343" s="178"/>
      <c r="H5343" s="177"/>
      <c r="I5343" s="177"/>
      <c r="J5343" s="179"/>
      <c r="K5343" s="183"/>
      <c r="L5343" s="176"/>
      <c r="M5343" s="177"/>
      <c r="N5343" s="21"/>
      <c r="O5343" s="45"/>
      <c r="P5343" s="24"/>
      <c r="Q5343" s="24"/>
      <c r="R5343" s="180"/>
      <c r="S5343" s="181"/>
      <c r="T5343" s="35"/>
      <c r="U5343" s="35"/>
      <c r="V5343" s="35"/>
      <c r="W5343" s="35"/>
      <c r="X5343" s="35"/>
      <c r="Y5343" s="182"/>
      <c r="Z5343" s="175"/>
      <c r="AA5343" s="182"/>
      <c r="AB5343" s="184"/>
    </row>
    <row r="5344" spans="1:28" ht="12.75">
      <c r="A5344" s="173"/>
      <c r="B5344" s="174"/>
      <c r="C5344" s="11"/>
      <c r="D5344" s="175"/>
      <c r="E5344" s="176"/>
      <c r="F5344" s="177"/>
      <c r="G5344" s="178"/>
      <c r="H5344" s="177"/>
      <c r="I5344" s="177"/>
      <c r="J5344" s="179"/>
      <c r="K5344" s="183"/>
      <c r="L5344" s="176"/>
      <c r="M5344" s="177"/>
      <c r="N5344" s="21"/>
      <c r="O5344" s="45"/>
      <c r="P5344" s="24"/>
      <c r="Q5344" s="24"/>
      <c r="R5344" s="180"/>
      <c r="S5344" s="181"/>
      <c r="T5344" s="35"/>
      <c r="U5344" s="35"/>
      <c r="V5344" s="35"/>
      <c r="W5344" s="35"/>
      <c r="X5344" s="35"/>
      <c r="Y5344" s="182"/>
      <c r="Z5344" s="175"/>
      <c r="AA5344" s="182"/>
      <c r="AB5344" s="184"/>
    </row>
    <row r="5345" spans="1:28" ht="12.75">
      <c r="A5345" s="173"/>
      <c r="B5345" s="174"/>
      <c r="C5345" s="11"/>
      <c r="D5345" s="175"/>
      <c r="E5345" s="176"/>
      <c r="F5345" s="177"/>
      <c r="G5345" s="178"/>
      <c r="H5345" s="177"/>
      <c r="I5345" s="177"/>
      <c r="J5345" s="179"/>
      <c r="K5345" s="183"/>
      <c r="L5345" s="176"/>
      <c r="M5345" s="177"/>
      <c r="N5345" s="21"/>
      <c r="O5345" s="45"/>
      <c r="P5345" s="24"/>
      <c r="Q5345" s="24"/>
      <c r="R5345" s="180"/>
      <c r="S5345" s="181"/>
      <c r="T5345" s="35"/>
      <c r="U5345" s="35"/>
      <c r="V5345" s="35"/>
      <c r="W5345" s="35"/>
      <c r="X5345" s="35"/>
      <c r="Y5345" s="182"/>
      <c r="Z5345" s="175"/>
      <c r="AA5345" s="182"/>
      <c r="AB5345" s="184"/>
    </row>
    <row r="5346" spans="1:28" ht="12.75">
      <c r="A5346" s="173"/>
      <c r="B5346" s="174"/>
      <c r="C5346" s="11"/>
      <c r="D5346" s="175"/>
      <c r="E5346" s="176"/>
      <c r="F5346" s="177"/>
      <c r="G5346" s="178"/>
      <c r="H5346" s="177"/>
      <c r="I5346" s="177"/>
      <c r="J5346" s="179"/>
      <c r="K5346" s="183"/>
      <c r="L5346" s="176"/>
      <c r="M5346" s="177"/>
      <c r="N5346" s="21"/>
      <c r="O5346" s="45"/>
      <c r="P5346" s="24"/>
      <c r="Q5346" s="24"/>
      <c r="R5346" s="180"/>
      <c r="S5346" s="181"/>
      <c r="T5346" s="35"/>
      <c r="U5346" s="35"/>
      <c r="V5346" s="35"/>
      <c r="W5346" s="35"/>
      <c r="X5346" s="35"/>
      <c r="Y5346" s="182"/>
      <c r="Z5346" s="175"/>
      <c r="AA5346" s="182"/>
      <c r="AB5346" s="184"/>
    </row>
    <row r="5347" spans="1:28" ht="12.75">
      <c r="A5347" s="173"/>
      <c r="B5347" s="174"/>
      <c r="C5347" s="11"/>
      <c r="D5347" s="175"/>
      <c r="E5347" s="176"/>
      <c r="F5347" s="177"/>
      <c r="G5347" s="178"/>
      <c r="H5347" s="177"/>
      <c r="I5347" s="177"/>
      <c r="J5347" s="179"/>
      <c r="K5347" s="183"/>
      <c r="L5347" s="176"/>
      <c r="M5347" s="177"/>
      <c r="N5347" s="21"/>
      <c r="O5347" s="45"/>
      <c r="P5347" s="24"/>
      <c r="Q5347" s="24"/>
      <c r="R5347" s="180"/>
      <c r="S5347" s="181"/>
      <c r="T5347" s="35"/>
      <c r="U5347" s="35"/>
      <c r="V5347" s="35"/>
      <c r="W5347" s="35"/>
      <c r="X5347" s="35"/>
      <c r="Y5347" s="182"/>
      <c r="Z5347" s="175"/>
      <c r="AA5347" s="182"/>
      <c r="AB5347" s="184"/>
    </row>
    <row r="5348" spans="1:28" ht="12.75">
      <c r="A5348" s="173"/>
      <c r="B5348" s="174"/>
      <c r="C5348" s="11"/>
      <c r="D5348" s="175"/>
      <c r="E5348" s="176"/>
      <c r="F5348" s="177"/>
      <c r="G5348" s="178"/>
      <c r="H5348" s="177"/>
      <c r="I5348" s="177"/>
      <c r="J5348" s="179"/>
      <c r="K5348" s="183"/>
      <c r="L5348" s="176"/>
      <c r="M5348" s="177"/>
      <c r="N5348" s="21"/>
      <c r="O5348" s="45"/>
      <c r="P5348" s="24"/>
      <c r="Q5348" s="24"/>
      <c r="R5348" s="180"/>
      <c r="S5348" s="181"/>
      <c r="T5348" s="35"/>
      <c r="U5348" s="35"/>
      <c r="V5348" s="35"/>
      <c r="W5348" s="35"/>
      <c r="X5348" s="35"/>
      <c r="Y5348" s="182"/>
      <c r="Z5348" s="175"/>
      <c r="AA5348" s="182"/>
      <c r="AB5348" s="184"/>
    </row>
    <row r="5349" spans="1:28" ht="12.75">
      <c r="A5349" s="173"/>
      <c r="B5349" s="174"/>
      <c r="C5349" s="11"/>
      <c r="D5349" s="175"/>
      <c r="E5349" s="176"/>
      <c r="F5349" s="177"/>
      <c r="G5349" s="178"/>
      <c r="H5349" s="177"/>
      <c r="I5349" s="177"/>
      <c r="J5349" s="179"/>
      <c r="K5349" s="183"/>
      <c r="L5349" s="176"/>
      <c r="M5349" s="177"/>
      <c r="N5349" s="21"/>
      <c r="O5349" s="45"/>
      <c r="P5349" s="24"/>
      <c r="Q5349" s="24"/>
      <c r="R5349" s="180"/>
      <c r="S5349" s="181"/>
      <c r="T5349" s="35"/>
      <c r="U5349" s="35"/>
      <c r="V5349" s="35"/>
      <c r="W5349" s="35"/>
      <c r="X5349" s="35"/>
      <c r="Y5349" s="182"/>
      <c r="Z5349" s="175"/>
      <c r="AA5349" s="182"/>
      <c r="AB5349" s="184"/>
    </row>
    <row r="5350" spans="1:28" ht="12.75">
      <c r="A5350" s="173"/>
      <c r="B5350" s="174"/>
      <c r="C5350" s="11"/>
      <c r="D5350" s="175"/>
      <c r="E5350" s="176"/>
      <c r="F5350" s="177"/>
      <c r="G5350" s="178"/>
      <c r="H5350" s="177"/>
      <c r="I5350" s="177"/>
      <c r="J5350" s="179"/>
      <c r="K5350" s="183"/>
      <c r="L5350" s="176"/>
      <c r="M5350" s="177"/>
      <c r="N5350" s="21"/>
      <c r="O5350" s="45"/>
      <c r="P5350" s="24"/>
      <c r="Q5350" s="24"/>
      <c r="R5350" s="180"/>
      <c r="S5350" s="181"/>
      <c r="T5350" s="35"/>
      <c r="U5350" s="35"/>
      <c r="V5350" s="35"/>
      <c r="W5350" s="35"/>
      <c r="X5350" s="35"/>
      <c r="Y5350" s="182"/>
      <c r="Z5350" s="175"/>
      <c r="AA5350" s="182"/>
      <c r="AB5350" s="184"/>
    </row>
    <row r="5351" spans="1:28" ht="12.75">
      <c r="A5351" s="173"/>
      <c r="B5351" s="174"/>
      <c r="C5351" s="11"/>
      <c r="D5351" s="175"/>
      <c r="E5351" s="176"/>
      <c r="F5351" s="177"/>
      <c r="G5351" s="178"/>
      <c r="H5351" s="177"/>
      <c r="I5351" s="177"/>
      <c r="J5351" s="179"/>
      <c r="K5351" s="183"/>
      <c r="L5351" s="176"/>
      <c r="M5351" s="177"/>
      <c r="N5351" s="21"/>
      <c r="O5351" s="45"/>
      <c r="P5351" s="24"/>
      <c r="Q5351" s="24"/>
      <c r="R5351" s="180"/>
      <c r="S5351" s="181"/>
      <c r="T5351" s="35"/>
      <c r="U5351" s="35"/>
      <c r="V5351" s="35"/>
      <c r="W5351" s="35"/>
      <c r="X5351" s="35"/>
      <c r="Y5351" s="182"/>
      <c r="Z5351" s="175"/>
      <c r="AA5351" s="182"/>
      <c r="AB5351" s="184"/>
    </row>
    <row r="5352" spans="1:28" ht="12.75">
      <c r="A5352" s="173"/>
      <c r="B5352" s="174"/>
      <c r="C5352" s="11"/>
      <c r="D5352" s="175"/>
      <c r="E5352" s="176"/>
      <c r="F5352" s="177"/>
      <c r="G5352" s="178"/>
      <c r="H5352" s="177"/>
      <c r="I5352" s="177"/>
      <c r="J5352" s="179"/>
      <c r="K5352" s="183"/>
      <c r="L5352" s="176"/>
      <c r="M5352" s="177"/>
      <c r="N5352" s="21"/>
      <c r="O5352" s="45"/>
      <c r="P5352" s="24"/>
      <c r="Q5352" s="24"/>
      <c r="R5352" s="180"/>
      <c r="S5352" s="181"/>
      <c r="T5352" s="35"/>
      <c r="U5352" s="35"/>
      <c r="V5352" s="35"/>
      <c r="W5352" s="35"/>
      <c r="X5352" s="35"/>
      <c r="Y5352" s="182"/>
      <c r="Z5352" s="175"/>
      <c r="AA5352" s="182"/>
      <c r="AB5352" s="184"/>
    </row>
    <row r="5353" spans="1:28" ht="12.75">
      <c r="A5353" s="173"/>
      <c r="B5353" s="174"/>
      <c r="C5353" s="11"/>
      <c r="D5353" s="175"/>
      <c r="E5353" s="176"/>
      <c r="F5353" s="177"/>
      <c r="G5353" s="178"/>
      <c r="H5353" s="177"/>
      <c r="I5353" s="177"/>
      <c r="J5353" s="179"/>
      <c r="K5353" s="183"/>
      <c r="L5353" s="176"/>
      <c r="M5353" s="177"/>
      <c r="N5353" s="21"/>
      <c r="O5353" s="45"/>
      <c r="P5353" s="24"/>
      <c r="Q5353" s="24"/>
      <c r="R5353" s="180"/>
      <c r="S5353" s="181"/>
      <c r="T5353" s="35"/>
      <c r="U5353" s="35"/>
      <c r="V5353" s="35"/>
      <c r="W5353" s="35"/>
      <c r="X5353" s="35"/>
      <c r="Y5353" s="182"/>
      <c r="Z5353" s="175"/>
      <c r="AA5353" s="182"/>
      <c r="AB5353" s="184"/>
    </row>
    <row r="5354" spans="1:28" ht="12.75">
      <c r="A5354" s="173"/>
      <c r="B5354" s="174"/>
      <c r="C5354" s="11"/>
      <c r="D5354" s="175"/>
      <c r="E5354" s="176"/>
      <c r="F5354" s="177"/>
      <c r="G5354" s="178"/>
      <c r="H5354" s="177"/>
      <c r="I5354" s="177"/>
      <c r="J5354" s="179"/>
      <c r="K5354" s="183"/>
      <c r="L5354" s="176"/>
      <c r="M5354" s="177"/>
      <c r="N5354" s="21"/>
      <c r="O5354" s="45"/>
      <c r="P5354" s="24"/>
      <c r="Q5354" s="24"/>
      <c r="R5354" s="180"/>
      <c r="S5354" s="181"/>
      <c r="T5354" s="35"/>
      <c r="U5354" s="35"/>
      <c r="V5354" s="35"/>
      <c r="W5354" s="35"/>
      <c r="X5354" s="35"/>
      <c r="Y5354" s="182"/>
      <c r="Z5354" s="175"/>
      <c r="AA5354" s="182"/>
      <c r="AB5354" s="184"/>
    </row>
    <row r="5355" spans="1:28" ht="12.75">
      <c r="A5355" s="173"/>
      <c r="B5355" s="174"/>
      <c r="C5355" s="11"/>
      <c r="D5355" s="175"/>
      <c r="E5355" s="176"/>
      <c r="F5355" s="177"/>
      <c r="G5355" s="178"/>
      <c r="H5355" s="177"/>
      <c r="I5355" s="177"/>
      <c r="J5355" s="179"/>
      <c r="K5355" s="183"/>
      <c r="L5355" s="176"/>
      <c r="M5355" s="177"/>
      <c r="N5355" s="21"/>
      <c r="O5355" s="45"/>
      <c r="P5355" s="24"/>
      <c r="Q5355" s="24"/>
      <c r="R5355" s="180"/>
      <c r="S5355" s="181"/>
      <c r="T5355" s="35"/>
      <c r="U5355" s="35"/>
      <c r="V5355" s="35"/>
      <c r="W5355" s="35"/>
      <c r="X5355" s="35"/>
      <c r="Y5355" s="182"/>
      <c r="Z5355" s="175"/>
      <c r="AA5355" s="182"/>
      <c r="AB5355" s="184"/>
    </row>
    <row r="5356" spans="1:28" ht="12.75">
      <c r="A5356" s="173"/>
      <c r="B5356" s="174"/>
      <c r="C5356" s="11"/>
      <c r="D5356" s="175"/>
      <c r="E5356" s="176"/>
      <c r="F5356" s="177"/>
      <c r="G5356" s="178"/>
      <c r="H5356" s="177"/>
      <c r="I5356" s="177"/>
      <c r="J5356" s="179"/>
      <c r="K5356" s="183"/>
      <c r="L5356" s="176"/>
      <c r="M5356" s="177"/>
      <c r="N5356" s="21"/>
      <c r="O5356" s="45"/>
      <c r="P5356" s="24"/>
      <c r="Q5356" s="24"/>
      <c r="R5356" s="180"/>
      <c r="S5356" s="181"/>
      <c r="T5356" s="35"/>
      <c r="U5356" s="35"/>
      <c r="V5356" s="35"/>
      <c r="W5356" s="35"/>
      <c r="X5356" s="35"/>
      <c r="Y5356" s="182"/>
      <c r="Z5356" s="175"/>
      <c r="AA5356" s="182"/>
      <c r="AB5356" s="184"/>
    </row>
    <row r="5357" spans="1:28" ht="12.75">
      <c r="A5357" s="173"/>
      <c r="B5357" s="174"/>
      <c r="C5357" s="11"/>
      <c r="D5357" s="175"/>
      <c r="E5357" s="176"/>
      <c r="F5357" s="177"/>
      <c r="G5357" s="178"/>
      <c r="H5357" s="177"/>
      <c r="I5357" s="177"/>
      <c r="J5357" s="179"/>
      <c r="K5357" s="183"/>
      <c r="L5357" s="176"/>
      <c r="M5357" s="177"/>
      <c r="N5357" s="21"/>
      <c r="O5357" s="45"/>
      <c r="P5357" s="24"/>
      <c r="Q5357" s="24"/>
      <c r="R5357" s="180"/>
      <c r="S5357" s="181"/>
      <c r="T5357" s="35"/>
      <c r="U5357" s="35"/>
      <c r="V5357" s="35"/>
      <c r="W5357" s="35"/>
      <c r="X5357" s="35"/>
      <c r="Y5357" s="182"/>
      <c r="Z5357" s="175"/>
      <c r="AA5357" s="182"/>
      <c r="AB5357" s="184"/>
    </row>
    <row r="5358" spans="1:28" ht="12.75">
      <c r="A5358" s="173"/>
      <c r="B5358" s="174"/>
      <c r="C5358" s="11"/>
      <c r="D5358" s="175"/>
      <c r="E5358" s="176"/>
      <c r="F5358" s="177"/>
      <c r="G5358" s="178"/>
      <c r="H5358" s="177"/>
      <c r="I5358" s="177"/>
      <c r="J5358" s="179"/>
      <c r="K5358" s="183"/>
      <c r="L5358" s="176"/>
      <c r="M5358" s="177"/>
      <c r="N5358" s="21"/>
      <c r="O5358" s="45"/>
      <c r="P5358" s="24"/>
      <c r="Q5358" s="24"/>
      <c r="R5358" s="180"/>
      <c r="S5358" s="181"/>
      <c r="T5358" s="35"/>
      <c r="U5358" s="35"/>
      <c r="V5358" s="35"/>
      <c r="W5358" s="35"/>
      <c r="X5358" s="35"/>
      <c r="Y5358" s="182"/>
      <c r="Z5358" s="175"/>
      <c r="AA5358" s="182"/>
      <c r="AB5358" s="184"/>
    </row>
    <row r="5359" spans="1:28" ht="12.75">
      <c r="A5359" s="173"/>
      <c r="B5359" s="174"/>
      <c r="C5359" s="11"/>
      <c r="D5359" s="175"/>
      <c r="E5359" s="176"/>
      <c r="F5359" s="177"/>
      <c r="G5359" s="178"/>
      <c r="H5359" s="177"/>
      <c r="I5359" s="177"/>
      <c r="J5359" s="179"/>
      <c r="K5359" s="183"/>
      <c r="L5359" s="176"/>
      <c r="M5359" s="177"/>
      <c r="N5359" s="21"/>
      <c r="O5359" s="45"/>
      <c r="P5359" s="24"/>
      <c r="Q5359" s="24"/>
      <c r="R5359" s="180"/>
      <c r="S5359" s="181"/>
      <c r="T5359" s="35"/>
      <c r="U5359" s="35"/>
      <c r="V5359" s="35"/>
      <c r="W5359" s="35"/>
      <c r="X5359" s="35"/>
      <c r="Y5359" s="182"/>
      <c r="Z5359" s="175"/>
      <c r="AA5359" s="182"/>
      <c r="AB5359" s="184"/>
    </row>
    <row r="5360" spans="1:28" ht="12.75">
      <c r="A5360" s="173"/>
      <c r="B5360" s="174"/>
      <c r="C5360" s="11"/>
      <c r="D5360" s="175"/>
      <c r="E5360" s="176"/>
      <c r="F5360" s="177"/>
      <c r="G5360" s="178"/>
      <c r="H5360" s="177"/>
      <c r="I5360" s="177"/>
      <c r="J5360" s="179"/>
      <c r="K5360" s="183"/>
      <c r="L5360" s="176"/>
      <c r="M5360" s="177"/>
      <c r="N5360" s="21"/>
      <c r="O5360" s="45"/>
      <c r="P5360" s="24"/>
      <c r="Q5360" s="24"/>
      <c r="R5360" s="180"/>
      <c r="S5360" s="181"/>
      <c r="T5360" s="35"/>
      <c r="U5360" s="35"/>
      <c r="V5360" s="35"/>
      <c r="W5360" s="35"/>
      <c r="X5360" s="35"/>
      <c r="Y5360" s="182"/>
      <c r="Z5360" s="175"/>
      <c r="AA5360" s="182"/>
      <c r="AB5360" s="184"/>
    </row>
    <row r="5361" spans="1:28" ht="12.75">
      <c r="A5361" s="173"/>
      <c r="B5361" s="174"/>
      <c r="C5361" s="11"/>
      <c r="D5361" s="175"/>
      <c r="E5361" s="176"/>
      <c r="F5361" s="177"/>
      <c r="G5361" s="178"/>
      <c r="H5361" s="177"/>
      <c r="I5361" s="177"/>
      <c r="J5361" s="179"/>
      <c r="K5361" s="183"/>
      <c r="L5361" s="176"/>
      <c r="M5361" s="177"/>
      <c r="N5361" s="21"/>
      <c r="O5361" s="45"/>
      <c r="P5361" s="24"/>
      <c r="Q5361" s="24"/>
      <c r="R5361" s="180"/>
      <c r="S5361" s="181"/>
      <c r="T5361" s="35"/>
      <c r="U5361" s="35"/>
      <c r="V5361" s="35"/>
      <c r="W5361" s="35"/>
      <c r="X5361" s="35"/>
      <c r="Y5361" s="182"/>
      <c r="Z5361" s="175"/>
      <c r="AA5361" s="182"/>
      <c r="AB5361" s="184"/>
    </row>
    <row r="5362" spans="1:28" ht="12.75">
      <c r="A5362" s="173"/>
      <c r="B5362" s="174"/>
      <c r="C5362" s="11"/>
      <c r="D5362" s="175"/>
      <c r="E5362" s="176"/>
      <c r="F5362" s="177"/>
      <c r="G5362" s="178"/>
      <c r="H5362" s="177"/>
      <c r="I5362" s="177"/>
      <c r="J5362" s="179"/>
      <c r="K5362" s="183"/>
      <c r="L5362" s="176"/>
      <c r="M5362" s="177"/>
      <c r="N5362" s="21"/>
      <c r="O5362" s="45"/>
      <c r="P5362" s="24"/>
      <c r="Q5362" s="24"/>
      <c r="R5362" s="180"/>
      <c r="S5362" s="181"/>
      <c r="T5362" s="35"/>
      <c r="U5362" s="35"/>
      <c r="V5362" s="35"/>
      <c r="W5362" s="35"/>
      <c r="X5362" s="35"/>
      <c r="Y5362" s="182"/>
      <c r="Z5362" s="175"/>
      <c r="AA5362" s="182"/>
      <c r="AB5362" s="184"/>
    </row>
    <row r="5363" spans="1:28" ht="12.75">
      <c r="A5363" s="173"/>
      <c r="B5363" s="174"/>
      <c r="C5363" s="11"/>
      <c r="D5363" s="175"/>
      <c r="E5363" s="176"/>
      <c r="F5363" s="177"/>
      <c r="G5363" s="178"/>
      <c r="H5363" s="177"/>
      <c r="I5363" s="177"/>
      <c r="J5363" s="179"/>
      <c r="K5363" s="183"/>
      <c r="L5363" s="176"/>
      <c r="M5363" s="177"/>
      <c r="N5363" s="21"/>
      <c r="O5363" s="45"/>
      <c r="P5363" s="24"/>
      <c r="Q5363" s="24"/>
      <c r="R5363" s="180"/>
      <c r="S5363" s="181"/>
      <c r="T5363" s="35"/>
      <c r="U5363" s="35"/>
      <c r="V5363" s="35"/>
      <c r="W5363" s="35"/>
      <c r="X5363" s="35"/>
      <c r="Y5363" s="182"/>
      <c r="Z5363" s="175"/>
      <c r="AA5363" s="182"/>
      <c r="AB5363" s="184"/>
    </row>
    <row r="5364" spans="1:28" ht="12.75">
      <c r="A5364" s="173"/>
      <c r="B5364" s="174"/>
      <c r="C5364" s="11"/>
      <c r="D5364" s="175"/>
      <c r="E5364" s="176"/>
      <c r="F5364" s="177"/>
      <c r="G5364" s="178"/>
      <c r="H5364" s="177"/>
      <c r="I5364" s="177"/>
      <c r="J5364" s="179"/>
      <c r="K5364" s="183"/>
      <c r="L5364" s="176"/>
      <c r="M5364" s="177"/>
      <c r="N5364" s="21"/>
      <c r="O5364" s="45"/>
      <c r="P5364" s="24"/>
      <c r="Q5364" s="24"/>
      <c r="R5364" s="180"/>
      <c r="S5364" s="181"/>
      <c r="T5364" s="35"/>
      <c r="U5364" s="35"/>
      <c r="V5364" s="35"/>
      <c r="W5364" s="35"/>
      <c r="X5364" s="35"/>
      <c r="Y5364" s="182"/>
      <c r="Z5364" s="175"/>
      <c r="AA5364" s="182"/>
      <c r="AB5364" s="184"/>
    </row>
    <row r="5365" spans="1:28" ht="12.75">
      <c r="A5365" s="173"/>
      <c r="B5365" s="174"/>
      <c r="C5365" s="11"/>
      <c r="D5365" s="175"/>
      <c r="E5365" s="176"/>
      <c r="F5365" s="177"/>
      <c r="G5365" s="178"/>
      <c r="H5365" s="177"/>
      <c r="I5365" s="177"/>
      <c r="J5365" s="179"/>
      <c r="K5365" s="183"/>
      <c r="L5365" s="176"/>
      <c r="M5365" s="177"/>
      <c r="N5365" s="21"/>
      <c r="O5365" s="45"/>
      <c r="P5365" s="24"/>
      <c r="Q5365" s="24"/>
      <c r="R5365" s="180"/>
      <c r="S5365" s="181"/>
      <c r="T5365" s="35"/>
      <c r="U5365" s="35"/>
      <c r="V5365" s="35"/>
      <c r="W5365" s="35"/>
      <c r="X5365" s="35"/>
      <c r="Y5365" s="182"/>
      <c r="Z5365" s="175"/>
      <c r="AA5365" s="182"/>
      <c r="AB5365" s="184"/>
    </row>
    <row r="5366" spans="1:28" ht="12.75">
      <c r="A5366" s="173"/>
      <c r="B5366" s="174"/>
      <c r="C5366" s="11"/>
      <c r="D5366" s="175"/>
      <c r="E5366" s="176"/>
      <c r="F5366" s="177"/>
      <c r="G5366" s="178"/>
      <c r="H5366" s="177"/>
      <c r="I5366" s="177"/>
      <c r="J5366" s="179"/>
      <c r="K5366" s="183"/>
      <c r="L5366" s="176"/>
      <c r="M5366" s="177"/>
      <c r="N5366" s="21"/>
      <c r="O5366" s="45"/>
      <c r="P5366" s="24"/>
      <c r="Q5366" s="24"/>
      <c r="R5366" s="180"/>
      <c r="S5366" s="181"/>
      <c r="T5366" s="35"/>
      <c r="U5366" s="35"/>
      <c r="V5366" s="35"/>
      <c r="W5366" s="35"/>
      <c r="X5366" s="35"/>
      <c r="Y5366" s="182"/>
      <c r="Z5366" s="175"/>
      <c r="AA5366" s="182"/>
      <c r="AB5366" s="184"/>
    </row>
    <row r="5367" spans="1:28" ht="12.75">
      <c r="A5367" s="173"/>
      <c r="B5367" s="174"/>
      <c r="C5367" s="11"/>
      <c r="D5367" s="175"/>
      <c r="E5367" s="176"/>
      <c r="F5367" s="177"/>
      <c r="G5367" s="178"/>
      <c r="H5367" s="177"/>
      <c r="I5367" s="177"/>
      <c r="J5367" s="179"/>
      <c r="K5367" s="183"/>
      <c r="L5367" s="176"/>
      <c r="M5367" s="177"/>
      <c r="N5367" s="21"/>
      <c r="O5367" s="45"/>
      <c r="P5367" s="24"/>
      <c r="Q5367" s="24"/>
      <c r="R5367" s="180"/>
      <c r="S5367" s="181"/>
      <c r="T5367" s="35"/>
      <c r="U5367" s="35"/>
      <c r="V5367" s="35"/>
      <c r="W5367" s="35"/>
      <c r="X5367" s="35"/>
      <c r="Y5367" s="182"/>
      <c r="Z5367" s="175"/>
      <c r="AA5367" s="182"/>
      <c r="AB5367" s="184"/>
    </row>
    <row r="5368" spans="1:28" ht="12.75">
      <c r="A5368" s="173"/>
      <c r="B5368" s="174"/>
      <c r="C5368" s="11"/>
      <c r="D5368" s="175"/>
      <c r="E5368" s="176"/>
      <c r="F5368" s="177"/>
      <c r="G5368" s="178"/>
      <c r="H5368" s="177"/>
      <c r="I5368" s="177"/>
      <c r="J5368" s="179"/>
      <c r="K5368" s="183"/>
      <c r="L5368" s="176"/>
      <c r="M5368" s="177"/>
      <c r="N5368" s="21"/>
      <c r="O5368" s="45"/>
      <c r="P5368" s="24"/>
      <c r="Q5368" s="24"/>
      <c r="R5368" s="180"/>
      <c r="S5368" s="181"/>
      <c r="T5368" s="35"/>
      <c r="U5368" s="35"/>
      <c r="V5368" s="35"/>
      <c r="W5368" s="35"/>
      <c r="X5368" s="35"/>
      <c r="Y5368" s="182"/>
      <c r="Z5368" s="175"/>
      <c r="AA5368" s="182"/>
      <c r="AB5368" s="184"/>
    </row>
    <row r="5369" spans="1:28" ht="12.75">
      <c r="A5369" s="173"/>
      <c r="B5369" s="174"/>
      <c r="C5369" s="11"/>
      <c r="D5369" s="175"/>
      <c r="E5369" s="176"/>
      <c r="F5369" s="177"/>
      <c r="G5369" s="178"/>
      <c r="H5369" s="177"/>
      <c r="I5369" s="177"/>
      <c r="J5369" s="179"/>
      <c r="K5369" s="183"/>
      <c r="L5369" s="176"/>
      <c r="M5369" s="177"/>
      <c r="N5369" s="21"/>
      <c r="O5369" s="45"/>
      <c r="P5369" s="24"/>
      <c r="Q5369" s="24"/>
      <c r="R5369" s="180"/>
      <c r="S5369" s="181"/>
      <c r="T5369" s="35"/>
      <c r="U5369" s="35"/>
      <c r="V5369" s="35"/>
      <c r="W5369" s="35"/>
      <c r="X5369" s="35"/>
      <c r="Y5369" s="182"/>
      <c r="Z5369" s="175"/>
      <c r="AA5369" s="182"/>
      <c r="AB5369" s="184"/>
    </row>
    <row r="5370" spans="1:28" ht="12.75">
      <c r="A5370" s="173"/>
      <c r="B5370" s="174"/>
      <c r="C5370" s="11"/>
      <c r="D5370" s="175"/>
      <c r="E5370" s="176"/>
      <c r="F5370" s="177"/>
      <c r="G5370" s="178"/>
      <c r="H5370" s="177"/>
      <c r="I5370" s="177"/>
      <c r="J5370" s="179"/>
      <c r="K5370" s="183"/>
      <c r="L5370" s="176"/>
      <c r="M5370" s="177"/>
      <c r="N5370" s="21"/>
      <c r="O5370" s="45"/>
      <c r="P5370" s="24"/>
      <c r="Q5370" s="24"/>
      <c r="R5370" s="180"/>
      <c r="S5370" s="181"/>
      <c r="T5370" s="35"/>
      <c r="U5370" s="35"/>
      <c r="V5370" s="35"/>
      <c r="W5370" s="35"/>
      <c r="X5370" s="35"/>
      <c r="Y5370" s="182"/>
      <c r="Z5370" s="175"/>
      <c r="AA5370" s="182"/>
      <c r="AB5370" s="184"/>
    </row>
    <row r="5371" spans="1:28" ht="12.75">
      <c r="A5371" s="173"/>
      <c r="B5371" s="174"/>
      <c r="C5371" s="11"/>
      <c r="D5371" s="175"/>
      <c r="E5371" s="176"/>
      <c r="F5371" s="177"/>
      <c r="G5371" s="178"/>
      <c r="H5371" s="177"/>
      <c r="I5371" s="177"/>
      <c r="J5371" s="179"/>
      <c r="K5371" s="183"/>
      <c r="L5371" s="176"/>
      <c r="M5371" s="177"/>
      <c r="N5371" s="21"/>
      <c r="O5371" s="45"/>
      <c r="P5371" s="24"/>
      <c r="Q5371" s="24"/>
      <c r="R5371" s="180"/>
      <c r="S5371" s="181"/>
      <c r="T5371" s="35"/>
      <c r="U5371" s="35"/>
      <c r="V5371" s="35"/>
      <c r="W5371" s="35"/>
      <c r="X5371" s="35"/>
      <c r="Y5371" s="182"/>
      <c r="Z5371" s="175"/>
      <c r="AA5371" s="182"/>
      <c r="AB5371" s="184"/>
    </row>
    <row r="5372" spans="1:28" ht="12.75">
      <c r="A5372" s="173"/>
      <c r="B5372" s="174"/>
      <c r="C5372" s="11"/>
      <c r="D5372" s="175"/>
      <c r="E5372" s="176"/>
      <c r="F5372" s="177"/>
      <c r="G5372" s="178"/>
      <c r="H5372" s="177"/>
      <c r="I5372" s="177"/>
      <c r="J5372" s="179"/>
      <c r="K5372" s="183"/>
      <c r="L5372" s="176"/>
      <c r="M5372" s="177"/>
      <c r="N5372" s="21"/>
      <c r="O5372" s="45"/>
      <c r="P5372" s="24"/>
      <c r="Q5372" s="24"/>
      <c r="R5372" s="180"/>
      <c r="S5372" s="181"/>
      <c r="T5372" s="35"/>
      <c r="U5372" s="35"/>
      <c r="V5372" s="35"/>
      <c r="W5372" s="35"/>
      <c r="X5372" s="35"/>
      <c r="Y5372" s="182"/>
      <c r="Z5372" s="175"/>
      <c r="AA5372" s="182"/>
      <c r="AB5372" s="184"/>
    </row>
    <row r="5373" spans="1:28" ht="12.75">
      <c r="A5373" s="173"/>
      <c r="B5373" s="174"/>
      <c r="C5373" s="11"/>
      <c r="D5373" s="175"/>
      <c r="E5373" s="176"/>
      <c r="F5373" s="177"/>
      <c r="G5373" s="178"/>
      <c r="H5373" s="177"/>
      <c r="I5373" s="177"/>
      <c r="J5373" s="179"/>
      <c r="K5373" s="183"/>
      <c r="L5373" s="176"/>
      <c r="M5373" s="177"/>
      <c r="N5373" s="21"/>
      <c r="O5373" s="45"/>
      <c r="P5373" s="24"/>
      <c r="Q5373" s="24"/>
      <c r="R5373" s="180"/>
      <c r="S5373" s="181"/>
      <c r="T5373" s="35"/>
      <c r="U5373" s="35"/>
      <c r="V5373" s="35"/>
      <c r="W5373" s="35"/>
      <c r="X5373" s="35"/>
      <c r="Y5373" s="182"/>
      <c r="Z5373" s="175"/>
      <c r="AA5373" s="182"/>
      <c r="AB5373" s="184"/>
    </row>
    <row r="5374" spans="1:28" ht="12.75">
      <c r="A5374" s="173"/>
      <c r="B5374" s="174"/>
      <c r="C5374" s="11"/>
      <c r="D5374" s="175"/>
      <c r="E5374" s="176"/>
      <c r="F5374" s="177"/>
      <c r="G5374" s="178"/>
      <c r="H5374" s="177"/>
      <c r="I5374" s="177"/>
      <c r="J5374" s="179"/>
      <c r="K5374" s="183"/>
      <c r="L5374" s="176"/>
      <c r="M5374" s="177"/>
      <c r="N5374" s="21"/>
      <c r="O5374" s="45"/>
      <c r="P5374" s="24"/>
      <c r="Q5374" s="24"/>
      <c r="R5374" s="180"/>
      <c r="S5374" s="181"/>
      <c r="T5374" s="35"/>
      <c r="U5374" s="35"/>
      <c r="V5374" s="35"/>
      <c r="W5374" s="35"/>
      <c r="X5374" s="35"/>
      <c r="Y5374" s="182"/>
      <c r="Z5374" s="175"/>
      <c r="AA5374" s="182"/>
      <c r="AB5374" s="184"/>
    </row>
    <row r="5375" spans="1:28" ht="12.75">
      <c r="A5375" s="173"/>
      <c r="B5375" s="174"/>
      <c r="C5375" s="11"/>
      <c r="D5375" s="175"/>
      <c r="E5375" s="176"/>
      <c r="F5375" s="177"/>
      <c r="G5375" s="178"/>
      <c r="H5375" s="177"/>
      <c r="I5375" s="177"/>
      <c r="J5375" s="179"/>
      <c r="K5375" s="183"/>
      <c r="L5375" s="176"/>
      <c r="M5375" s="177"/>
      <c r="N5375" s="21"/>
      <c r="O5375" s="45"/>
      <c r="P5375" s="24"/>
      <c r="Q5375" s="24"/>
      <c r="R5375" s="180"/>
      <c r="S5375" s="181"/>
      <c r="T5375" s="35"/>
      <c r="U5375" s="35"/>
      <c r="V5375" s="35"/>
      <c r="W5375" s="35"/>
      <c r="X5375" s="35"/>
      <c r="Y5375" s="182"/>
      <c r="Z5375" s="175"/>
      <c r="AA5375" s="182"/>
      <c r="AB5375" s="184"/>
    </row>
    <row r="5376" spans="1:28" ht="12.75">
      <c r="A5376" s="173"/>
      <c r="B5376" s="174"/>
      <c r="C5376" s="11"/>
      <c r="D5376" s="175"/>
      <c r="E5376" s="176"/>
      <c r="F5376" s="177"/>
      <c r="G5376" s="178"/>
      <c r="H5376" s="177"/>
      <c r="I5376" s="177"/>
      <c r="J5376" s="179"/>
      <c r="K5376" s="183"/>
      <c r="L5376" s="176"/>
      <c r="M5376" s="177"/>
      <c r="N5376" s="21"/>
      <c r="O5376" s="45"/>
      <c r="P5376" s="24"/>
      <c r="Q5376" s="24"/>
      <c r="R5376" s="180"/>
      <c r="S5376" s="181"/>
      <c r="T5376" s="35"/>
      <c r="U5376" s="35"/>
      <c r="V5376" s="35"/>
      <c r="W5376" s="35"/>
      <c r="X5376" s="35"/>
      <c r="Y5376" s="182"/>
      <c r="Z5376" s="175"/>
      <c r="AA5376" s="182"/>
      <c r="AB5376" s="184"/>
    </row>
    <row r="5377" spans="1:28" ht="12.75">
      <c r="A5377" s="173"/>
      <c r="B5377" s="174"/>
      <c r="C5377" s="11"/>
      <c r="D5377" s="175"/>
      <c r="E5377" s="176"/>
      <c r="F5377" s="177"/>
      <c r="G5377" s="178"/>
      <c r="H5377" s="177"/>
      <c r="I5377" s="177"/>
      <c r="J5377" s="179"/>
      <c r="K5377" s="183"/>
      <c r="L5377" s="176"/>
      <c r="M5377" s="177"/>
      <c r="N5377" s="21"/>
      <c r="O5377" s="45"/>
      <c r="P5377" s="24"/>
      <c r="Q5377" s="24"/>
      <c r="R5377" s="180"/>
      <c r="S5377" s="181"/>
      <c r="T5377" s="35"/>
      <c r="U5377" s="35"/>
      <c r="V5377" s="35"/>
      <c r="W5377" s="35"/>
      <c r="X5377" s="35"/>
      <c r="Y5377" s="182"/>
      <c r="Z5377" s="175"/>
      <c r="AA5377" s="182"/>
      <c r="AB5377" s="184"/>
    </row>
    <row r="5378" spans="1:28" ht="12.75">
      <c r="A5378" s="173"/>
      <c r="B5378" s="174"/>
      <c r="C5378" s="11"/>
      <c r="D5378" s="175"/>
      <c r="E5378" s="176"/>
      <c r="F5378" s="177"/>
      <c r="G5378" s="178"/>
      <c r="H5378" s="177"/>
      <c r="I5378" s="177"/>
      <c r="J5378" s="179"/>
      <c r="K5378" s="183"/>
      <c r="L5378" s="176"/>
      <c r="M5378" s="177"/>
      <c r="N5378" s="21"/>
      <c r="O5378" s="45"/>
      <c r="P5378" s="24"/>
      <c r="Q5378" s="24"/>
      <c r="R5378" s="180"/>
      <c r="S5378" s="181"/>
      <c r="T5378" s="35"/>
      <c r="U5378" s="35"/>
      <c r="V5378" s="35"/>
      <c r="W5378" s="35"/>
      <c r="X5378" s="35"/>
      <c r="Y5378" s="182"/>
      <c r="Z5378" s="175"/>
      <c r="AA5378" s="182"/>
      <c r="AB5378" s="184"/>
    </row>
    <row r="5379" spans="1:28" ht="12.75">
      <c r="A5379" s="173"/>
      <c r="B5379" s="174"/>
      <c r="C5379" s="11"/>
      <c r="D5379" s="175"/>
      <c r="E5379" s="176"/>
      <c r="F5379" s="177"/>
      <c r="G5379" s="178"/>
      <c r="H5379" s="177"/>
      <c r="I5379" s="177"/>
      <c r="J5379" s="179"/>
      <c r="K5379" s="183"/>
      <c r="L5379" s="176"/>
      <c r="M5379" s="177"/>
      <c r="N5379" s="21"/>
      <c r="O5379" s="45"/>
      <c r="P5379" s="24"/>
      <c r="Q5379" s="24"/>
      <c r="R5379" s="180"/>
      <c r="S5379" s="181"/>
      <c r="T5379" s="35"/>
      <c r="U5379" s="35"/>
      <c r="V5379" s="35"/>
      <c r="W5379" s="35"/>
      <c r="X5379" s="35"/>
      <c r="Y5379" s="182"/>
      <c r="Z5379" s="175"/>
      <c r="AA5379" s="182"/>
      <c r="AB5379" s="184"/>
    </row>
    <row r="5380" spans="1:28" ht="12.75">
      <c r="A5380" s="173"/>
      <c r="B5380" s="174"/>
      <c r="C5380" s="11"/>
      <c r="D5380" s="175"/>
      <c r="E5380" s="176"/>
      <c r="F5380" s="177"/>
      <c r="G5380" s="178"/>
      <c r="H5380" s="177"/>
      <c r="I5380" s="177"/>
      <c r="J5380" s="179"/>
      <c r="K5380" s="183"/>
      <c r="L5380" s="176"/>
      <c r="M5380" s="177"/>
      <c r="N5380" s="21"/>
      <c r="O5380" s="45"/>
      <c r="P5380" s="24"/>
      <c r="Q5380" s="24"/>
      <c r="R5380" s="180"/>
      <c r="S5380" s="181"/>
      <c r="T5380" s="35"/>
      <c r="U5380" s="35"/>
      <c r="V5380" s="35"/>
      <c r="W5380" s="35"/>
      <c r="X5380" s="35"/>
      <c r="Y5380" s="182"/>
      <c r="Z5380" s="175"/>
      <c r="AA5380" s="182"/>
      <c r="AB5380" s="184"/>
    </row>
    <row r="5381" spans="1:28" ht="12.75">
      <c r="A5381" s="173"/>
      <c r="B5381" s="174"/>
      <c r="C5381" s="11"/>
      <c r="D5381" s="175"/>
      <c r="E5381" s="176"/>
      <c r="F5381" s="177"/>
      <c r="G5381" s="178"/>
      <c r="H5381" s="177"/>
      <c r="I5381" s="177"/>
      <c r="J5381" s="179"/>
      <c r="K5381" s="183"/>
      <c r="L5381" s="176"/>
      <c r="M5381" s="177"/>
      <c r="N5381" s="21"/>
      <c r="O5381" s="45"/>
      <c r="P5381" s="24"/>
      <c r="Q5381" s="24"/>
      <c r="R5381" s="180"/>
      <c r="S5381" s="181"/>
      <c r="T5381" s="35"/>
      <c r="U5381" s="35"/>
      <c r="V5381" s="35"/>
      <c r="W5381" s="35"/>
      <c r="X5381" s="35"/>
      <c r="Y5381" s="182"/>
      <c r="Z5381" s="175"/>
      <c r="AA5381" s="182"/>
      <c r="AB5381" s="184"/>
    </row>
    <row r="5382" spans="1:28" ht="12.75">
      <c r="A5382" s="173"/>
      <c r="B5382" s="174"/>
      <c r="C5382" s="11"/>
      <c r="D5382" s="175"/>
      <c r="E5382" s="176"/>
      <c r="F5382" s="177"/>
      <c r="G5382" s="178"/>
      <c r="H5382" s="177"/>
      <c r="I5382" s="177"/>
      <c r="J5382" s="179"/>
      <c r="K5382" s="183"/>
      <c r="L5382" s="176"/>
      <c r="M5382" s="177"/>
      <c r="N5382" s="21"/>
      <c r="O5382" s="45"/>
      <c r="P5382" s="24"/>
      <c r="Q5382" s="24"/>
      <c r="R5382" s="180"/>
      <c r="S5382" s="181"/>
      <c r="T5382" s="35"/>
      <c r="U5382" s="35"/>
      <c r="V5382" s="35"/>
      <c r="W5382" s="35"/>
      <c r="X5382" s="35"/>
      <c r="Y5382" s="182"/>
      <c r="Z5382" s="175"/>
      <c r="AA5382" s="182"/>
      <c r="AB5382" s="184"/>
    </row>
    <row r="5383" spans="1:28" ht="12.75">
      <c r="A5383" s="173"/>
      <c r="B5383" s="174"/>
      <c r="C5383" s="11"/>
      <c r="D5383" s="175"/>
      <c r="E5383" s="176"/>
      <c r="F5383" s="177"/>
      <c r="G5383" s="178"/>
      <c r="H5383" s="177"/>
      <c r="I5383" s="177"/>
      <c r="J5383" s="179"/>
      <c r="K5383" s="183"/>
      <c r="L5383" s="176"/>
      <c r="M5383" s="177"/>
      <c r="N5383" s="21"/>
      <c r="O5383" s="45"/>
      <c r="P5383" s="24"/>
      <c r="Q5383" s="24"/>
      <c r="R5383" s="180"/>
      <c r="S5383" s="181"/>
      <c r="T5383" s="35"/>
      <c r="U5383" s="35"/>
      <c r="V5383" s="35"/>
      <c r="W5383" s="35"/>
      <c r="X5383" s="35"/>
      <c r="Y5383" s="182"/>
      <c r="Z5383" s="175"/>
      <c r="AA5383" s="182"/>
      <c r="AB5383" s="184"/>
    </row>
    <row r="5384" spans="1:28" ht="12.75">
      <c r="A5384" s="173"/>
      <c r="B5384" s="174"/>
      <c r="C5384" s="11"/>
      <c r="D5384" s="175"/>
      <c r="E5384" s="176"/>
      <c r="F5384" s="177"/>
      <c r="G5384" s="178"/>
      <c r="H5384" s="177"/>
      <c r="I5384" s="177"/>
      <c r="J5384" s="179"/>
      <c r="K5384" s="183"/>
      <c r="L5384" s="176"/>
      <c r="M5384" s="177"/>
      <c r="N5384" s="21"/>
      <c r="O5384" s="45"/>
      <c r="P5384" s="24"/>
      <c r="Q5384" s="24"/>
      <c r="R5384" s="180"/>
      <c r="S5384" s="181"/>
      <c r="T5384" s="35"/>
      <c r="U5384" s="35"/>
      <c r="V5384" s="35"/>
      <c r="W5384" s="35"/>
      <c r="X5384" s="35"/>
      <c r="Y5384" s="182"/>
      <c r="Z5384" s="175"/>
      <c r="AA5384" s="182"/>
      <c r="AB5384" s="184"/>
    </row>
    <row r="5385" spans="1:28" ht="12.75">
      <c r="A5385" s="173"/>
      <c r="B5385" s="174"/>
      <c r="C5385" s="11"/>
      <c r="D5385" s="175"/>
      <c r="E5385" s="176"/>
      <c r="F5385" s="177"/>
      <c r="G5385" s="178"/>
      <c r="H5385" s="177"/>
      <c r="I5385" s="177"/>
      <c r="J5385" s="179"/>
      <c r="K5385" s="183"/>
      <c r="L5385" s="176"/>
      <c r="M5385" s="177"/>
      <c r="N5385" s="21"/>
      <c r="O5385" s="45"/>
      <c r="P5385" s="24"/>
      <c r="Q5385" s="24"/>
      <c r="R5385" s="180"/>
      <c r="S5385" s="181"/>
      <c r="T5385" s="35"/>
      <c r="U5385" s="35"/>
      <c r="V5385" s="35"/>
      <c r="W5385" s="35"/>
      <c r="X5385" s="35"/>
      <c r="Y5385" s="182"/>
      <c r="Z5385" s="175"/>
      <c r="AA5385" s="182"/>
      <c r="AB5385" s="184"/>
    </row>
    <row r="5386" spans="1:28" ht="12.75">
      <c r="A5386" s="173"/>
      <c r="B5386" s="174"/>
      <c r="C5386" s="11"/>
      <c r="D5386" s="175"/>
      <c r="E5386" s="176"/>
      <c r="F5386" s="177"/>
      <c r="G5386" s="178"/>
      <c r="H5386" s="177"/>
      <c r="I5386" s="177"/>
      <c r="J5386" s="179"/>
      <c r="K5386" s="183"/>
      <c r="L5386" s="176"/>
      <c r="M5386" s="177"/>
      <c r="N5386" s="21"/>
      <c r="O5386" s="45"/>
      <c r="P5386" s="24"/>
      <c r="Q5386" s="24"/>
      <c r="R5386" s="180"/>
      <c r="S5386" s="181"/>
      <c r="T5386" s="35"/>
      <c r="U5386" s="35"/>
      <c r="V5386" s="35"/>
      <c r="W5386" s="35"/>
      <c r="X5386" s="35"/>
      <c r="Y5386" s="182"/>
      <c r="Z5386" s="175"/>
      <c r="AA5386" s="182"/>
      <c r="AB5386" s="184"/>
    </row>
    <row r="5387" spans="1:28" ht="12.75">
      <c r="A5387" s="173"/>
      <c r="B5387" s="174"/>
      <c r="C5387" s="11"/>
      <c r="D5387" s="175"/>
      <c r="E5387" s="176"/>
      <c r="F5387" s="177"/>
      <c r="G5387" s="178"/>
      <c r="H5387" s="177"/>
      <c r="I5387" s="177"/>
      <c r="J5387" s="179"/>
      <c r="K5387" s="183"/>
      <c r="L5387" s="176"/>
      <c r="M5387" s="177"/>
      <c r="N5387" s="21"/>
      <c r="O5387" s="45"/>
      <c r="P5387" s="24"/>
      <c r="Q5387" s="24"/>
      <c r="R5387" s="180"/>
      <c r="S5387" s="181"/>
      <c r="T5387" s="35"/>
      <c r="U5387" s="35"/>
      <c r="V5387" s="35"/>
      <c r="W5387" s="35"/>
      <c r="X5387" s="35"/>
      <c r="Y5387" s="182"/>
      <c r="Z5387" s="175"/>
      <c r="AA5387" s="182"/>
      <c r="AB5387" s="184"/>
    </row>
    <row r="5388" spans="1:28" ht="12.75">
      <c r="A5388" s="173"/>
      <c r="B5388" s="174"/>
      <c r="C5388" s="11"/>
      <c r="D5388" s="175"/>
      <c r="E5388" s="176"/>
      <c r="F5388" s="177"/>
      <c r="G5388" s="178"/>
      <c r="H5388" s="177"/>
      <c r="I5388" s="177"/>
      <c r="J5388" s="179"/>
      <c r="K5388" s="183"/>
      <c r="L5388" s="176"/>
      <c r="M5388" s="177"/>
      <c r="N5388" s="21"/>
      <c r="O5388" s="45"/>
      <c r="P5388" s="24"/>
      <c r="Q5388" s="24"/>
      <c r="R5388" s="180"/>
      <c r="S5388" s="181"/>
      <c r="T5388" s="35"/>
      <c r="U5388" s="35"/>
      <c r="V5388" s="35"/>
      <c r="W5388" s="35"/>
      <c r="X5388" s="35"/>
      <c r="Y5388" s="182"/>
      <c r="Z5388" s="175"/>
      <c r="AA5388" s="182"/>
      <c r="AB5388" s="184"/>
    </row>
    <row r="5389" spans="1:28" ht="12.75">
      <c r="A5389" s="173"/>
      <c r="B5389" s="174"/>
      <c r="C5389" s="11"/>
      <c r="D5389" s="175"/>
      <c r="E5389" s="176"/>
      <c r="F5389" s="177"/>
      <c r="G5389" s="178"/>
      <c r="H5389" s="177"/>
      <c r="I5389" s="177"/>
      <c r="J5389" s="179"/>
      <c r="K5389" s="183"/>
      <c r="L5389" s="176"/>
      <c r="M5389" s="177"/>
      <c r="N5389" s="21"/>
      <c r="O5389" s="45"/>
      <c r="P5389" s="24"/>
      <c r="Q5389" s="24"/>
      <c r="R5389" s="180"/>
      <c r="S5389" s="181"/>
      <c r="T5389" s="35"/>
      <c r="U5389" s="35"/>
      <c r="V5389" s="35"/>
      <c r="W5389" s="35"/>
      <c r="X5389" s="35"/>
      <c r="Y5389" s="182"/>
      <c r="Z5389" s="175"/>
      <c r="AA5389" s="182"/>
      <c r="AB5389" s="184"/>
    </row>
    <row r="5390" spans="1:28" ht="12.75">
      <c r="A5390" s="173"/>
      <c r="B5390" s="174"/>
      <c r="C5390" s="11"/>
      <c r="D5390" s="175"/>
      <c r="E5390" s="176"/>
      <c r="F5390" s="177"/>
      <c r="G5390" s="178"/>
      <c r="H5390" s="177"/>
      <c r="I5390" s="177"/>
      <c r="J5390" s="179"/>
      <c r="K5390" s="183"/>
      <c r="L5390" s="176"/>
      <c r="M5390" s="177"/>
      <c r="N5390" s="21"/>
      <c r="O5390" s="45"/>
      <c r="P5390" s="24"/>
      <c r="Q5390" s="24"/>
      <c r="R5390" s="180"/>
      <c r="S5390" s="181"/>
      <c r="T5390" s="35"/>
      <c r="U5390" s="35"/>
      <c r="V5390" s="35"/>
      <c r="W5390" s="35"/>
      <c r="X5390" s="35"/>
      <c r="Y5390" s="182"/>
      <c r="Z5390" s="175"/>
      <c r="AA5390" s="182"/>
      <c r="AB5390" s="184"/>
    </row>
    <row r="5391" spans="1:28" ht="12.75">
      <c r="A5391" s="173"/>
      <c r="B5391" s="174"/>
      <c r="C5391" s="11"/>
      <c r="D5391" s="175"/>
      <c r="E5391" s="176"/>
      <c r="F5391" s="177"/>
      <c r="G5391" s="178"/>
      <c r="H5391" s="177"/>
      <c r="I5391" s="177"/>
      <c r="J5391" s="179"/>
      <c r="K5391" s="183"/>
      <c r="L5391" s="176"/>
      <c r="M5391" s="177"/>
      <c r="N5391" s="21"/>
      <c r="O5391" s="45"/>
      <c r="P5391" s="24"/>
      <c r="Q5391" s="24"/>
      <c r="R5391" s="180"/>
      <c r="S5391" s="181"/>
      <c r="T5391" s="35"/>
      <c r="U5391" s="35"/>
      <c r="V5391" s="35"/>
      <c r="W5391" s="35"/>
      <c r="X5391" s="35"/>
      <c r="Y5391" s="182"/>
      <c r="Z5391" s="175"/>
      <c r="AA5391" s="182"/>
      <c r="AB5391" s="184"/>
    </row>
    <row r="5392" spans="1:28" ht="12.75">
      <c r="A5392" s="173"/>
      <c r="B5392" s="174"/>
      <c r="C5392" s="11"/>
      <c r="D5392" s="175"/>
      <c r="E5392" s="176"/>
      <c r="F5392" s="177"/>
      <c r="G5392" s="178"/>
      <c r="H5392" s="177"/>
      <c r="I5392" s="177"/>
      <c r="J5392" s="179"/>
      <c r="K5392" s="183"/>
      <c r="L5392" s="176"/>
      <c r="M5392" s="177"/>
      <c r="N5392" s="21"/>
      <c r="O5392" s="45"/>
      <c r="P5392" s="24"/>
      <c r="Q5392" s="24"/>
      <c r="R5392" s="180"/>
      <c r="S5392" s="181"/>
      <c r="T5392" s="35"/>
      <c r="U5392" s="35"/>
      <c r="V5392" s="35"/>
      <c r="W5392" s="35"/>
      <c r="X5392" s="35"/>
      <c r="Y5392" s="182"/>
      <c r="Z5392" s="175"/>
      <c r="AA5392" s="182"/>
      <c r="AB5392" s="184"/>
    </row>
    <row r="5393" spans="1:28" ht="12.75">
      <c r="A5393" s="173"/>
      <c r="B5393" s="174"/>
      <c r="C5393" s="11"/>
      <c r="D5393" s="175"/>
      <c r="E5393" s="176"/>
      <c r="F5393" s="177"/>
      <c r="G5393" s="178"/>
      <c r="H5393" s="177"/>
      <c r="I5393" s="177"/>
      <c r="J5393" s="179"/>
      <c r="K5393" s="183"/>
      <c r="L5393" s="176"/>
      <c r="M5393" s="177"/>
      <c r="N5393" s="21"/>
      <c r="O5393" s="45"/>
      <c r="P5393" s="24"/>
      <c r="Q5393" s="24"/>
      <c r="R5393" s="180"/>
      <c r="S5393" s="181"/>
      <c r="T5393" s="35"/>
      <c r="U5393" s="35"/>
      <c r="V5393" s="35"/>
      <c r="W5393" s="35"/>
      <c r="X5393" s="35"/>
      <c r="Y5393" s="182"/>
      <c r="Z5393" s="175"/>
      <c r="AA5393" s="182"/>
      <c r="AB5393" s="184"/>
    </row>
    <row r="5394" spans="1:28" ht="12.75">
      <c r="A5394" s="173"/>
      <c r="B5394" s="174"/>
      <c r="C5394" s="11"/>
      <c r="D5394" s="175"/>
      <c r="E5394" s="176"/>
      <c r="F5394" s="177"/>
      <c r="G5394" s="178"/>
      <c r="H5394" s="177"/>
      <c r="I5394" s="177"/>
      <c r="J5394" s="179"/>
      <c r="K5394" s="183"/>
      <c r="L5394" s="176"/>
      <c r="M5394" s="177"/>
      <c r="N5394" s="21"/>
      <c r="O5394" s="45"/>
      <c r="P5394" s="24"/>
      <c r="Q5394" s="24"/>
      <c r="R5394" s="180"/>
      <c r="S5394" s="181"/>
      <c r="T5394" s="35"/>
      <c r="U5394" s="35"/>
      <c r="V5394" s="35"/>
      <c r="W5394" s="35"/>
      <c r="X5394" s="35"/>
      <c r="Y5394" s="182"/>
      <c r="Z5394" s="175"/>
      <c r="AA5394" s="182"/>
      <c r="AB5394" s="184"/>
    </row>
    <row r="5395" spans="1:28" ht="12.75">
      <c r="A5395" s="173"/>
      <c r="B5395" s="174"/>
      <c r="C5395" s="11"/>
      <c r="D5395" s="175"/>
      <c r="E5395" s="176"/>
      <c r="F5395" s="177"/>
      <c r="G5395" s="178"/>
      <c r="H5395" s="177"/>
      <c r="I5395" s="177"/>
      <c r="J5395" s="179"/>
      <c r="K5395" s="183"/>
      <c r="L5395" s="176"/>
      <c r="M5395" s="177"/>
      <c r="N5395" s="21"/>
      <c r="O5395" s="45"/>
      <c r="P5395" s="24"/>
      <c r="Q5395" s="24"/>
      <c r="R5395" s="180"/>
      <c r="S5395" s="181"/>
      <c r="T5395" s="35"/>
      <c r="U5395" s="35"/>
      <c r="V5395" s="35"/>
      <c r="W5395" s="35"/>
      <c r="X5395" s="35"/>
      <c r="Y5395" s="182"/>
      <c r="Z5395" s="175"/>
      <c r="AA5395" s="182"/>
      <c r="AB5395" s="184"/>
    </row>
    <row r="5396" spans="1:28" ht="12.75">
      <c r="A5396" s="173"/>
      <c r="B5396" s="174"/>
      <c r="C5396" s="11"/>
      <c r="D5396" s="175"/>
      <c r="E5396" s="176"/>
      <c r="F5396" s="177"/>
      <c r="G5396" s="178"/>
      <c r="H5396" s="177"/>
      <c r="I5396" s="177"/>
      <c r="J5396" s="179"/>
      <c r="K5396" s="183"/>
      <c r="L5396" s="176"/>
      <c r="M5396" s="177"/>
      <c r="N5396" s="21"/>
      <c r="O5396" s="45"/>
      <c r="P5396" s="24"/>
      <c r="Q5396" s="24"/>
      <c r="R5396" s="180"/>
      <c r="S5396" s="181"/>
      <c r="T5396" s="35"/>
      <c r="U5396" s="35"/>
      <c r="V5396" s="35"/>
      <c r="W5396" s="35"/>
      <c r="X5396" s="35"/>
      <c r="Y5396" s="182"/>
      <c r="Z5396" s="175"/>
      <c r="AA5396" s="182"/>
      <c r="AB5396" s="184"/>
    </row>
    <row r="5397" spans="1:28" ht="12.75">
      <c r="A5397" s="173"/>
      <c r="B5397" s="174"/>
      <c r="C5397" s="11"/>
      <c r="D5397" s="175"/>
      <c r="E5397" s="176"/>
      <c r="F5397" s="177"/>
      <c r="G5397" s="178"/>
      <c r="H5397" s="177"/>
      <c r="I5397" s="177"/>
      <c r="J5397" s="179"/>
      <c r="K5397" s="183"/>
      <c r="L5397" s="176"/>
      <c r="M5397" s="177"/>
      <c r="N5397" s="21"/>
      <c r="O5397" s="45"/>
      <c r="P5397" s="24"/>
      <c r="Q5397" s="24"/>
      <c r="R5397" s="180"/>
      <c r="S5397" s="181"/>
      <c r="T5397" s="35"/>
      <c r="U5397" s="35"/>
      <c r="V5397" s="35"/>
      <c r="W5397" s="35"/>
      <c r="X5397" s="35"/>
      <c r="Y5397" s="182"/>
      <c r="Z5397" s="175"/>
      <c r="AA5397" s="182"/>
      <c r="AB5397" s="184"/>
    </row>
    <row r="5398" spans="1:28" ht="12.75">
      <c r="A5398" s="173"/>
      <c r="B5398" s="174"/>
      <c r="C5398" s="11"/>
      <c r="D5398" s="175"/>
      <c r="E5398" s="176"/>
      <c r="F5398" s="177"/>
      <c r="G5398" s="178"/>
      <c r="H5398" s="177"/>
      <c r="I5398" s="177"/>
      <c r="J5398" s="179"/>
      <c r="K5398" s="183"/>
      <c r="L5398" s="176"/>
      <c r="M5398" s="177"/>
      <c r="N5398" s="21"/>
      <c r="O5398" s="45"/>
      <c r="P5398" s="24"/>
      <c r="Q5398" s="24"/>
      <c r="R5398" s="180"/>
      <c r="S5398" s="181"/>
      <c r="T5398" s="35"/>
      <c r="U5398" s="35"/>
      <c r="V5398" s="35"/>
      <c r="W5398" s="35"/>
      <c r="X5398" s="35"/>
      <c r="Y5398" s="182"/>
      <c r="Z5398" s="175"/>
      <c r="AA5398" s="182"/>
      <c r="AB5398" s="184"/>
    </row>
    <row r="5399" spans="1:28" ht="12.75">
      <c r="A5399" s="173"/>
      <c r="B5399" s="174"/>
      <c r="C5399" s="11"/>
      <c r="D5399" s="175"/>
      <c r="E5399" s="176"/>
      <c r="F5399" s="177"/>
      <c r="G5399" s="178"/>
      <c r="H5399" s="177"/>
      <c r="I5399" s="177"/>
      <c r="J5399" s="179"/>
      <c r="K5399" s="183"/>
      <c r="L5399" s="176"/>
      <c r="M5399" s="177"/>
      <c r="N5399" s="21"/>
      <c r="O5399" s="45"/>
      <c r="P5399" s="24"/>
      <c r="Q5399" s="24"/>
      <c r="R5399" s="180"/>
      <c r="S5399" s="181"/>
      <c r="T5399" s="35"/>
      <c r="U5399" s="35"/>
      <c r="V5399" s="35"/>
      <c r="W5399" s="35"/>
      <c r="X5399" s="35"/>
      <c r="Y5399" s="182"/>
      <c r="Z5399" s="175"/>
      <c r="AA5399" s="182"/>
      <c r="AB5399" s="184"/>
    </row>
    <row r="5400" spans="1:28" ht="12.75">
      <c r="A5400" s="173"/>
      <c r="B5400" s="174"/>
      <c r="C5400" s="11"/>
      <c r="D5400" s="175"/>
      <c r="E5400" s="176"/>
      <c r="F5400" s="177"/>
      <c r="G5400" s="178"/>
      <c r="H5400" s="177"/>
      <c r="I5400" s="177"/>
      <c r="J5400" s="179"/>
      <c r="K5400" s="183"/>
      <c r="L5400" s="176"/>
      <c r="M5400" s="177"/>
      <c r="N5400" s="21"/>
      <c r="O5400" s="45"/>
      <c r="P5400" s="24"/>
      <c r="Q5400" s="24"/>
      <c r="R5400" s="180"/>
      <c r="S5400" s="181"/>
      <c r="T5400" s="35"/>
      <c r="U5400" s="35"/>
      <c r="V5400" s="35"/>
      <c r="W5400" s="35"/>
      <c r="X5400" s="35"/>
      <c r="Y5400" s="182"/>
      <c r="Z5400" s="175"/>
      <c r="AA5400" s="182"/>
      <c r="AB5400" s="184"/>
    </row>
    <row r="5401" spans="1:28" ht="12.75">
      <c r="A5401" s="173"/>
      <c r="B5401" s="174"/>
      <c r="C5401" s="11"/>
      <c r="D5401" s="175"/>
      <c r="E5401" s="176"/>
      <c r="F5401" s="177"/>
      <c r="G5401" s="178"/>
      <c r="H5401" s="177"/>
      <c r="I5401" s="177"/>
      <c r="J5401" s="179"/>
      <c r="K5401" s="183"/>
      <c r="L5401" s="176"/>
      <c r="M5401" s="177"/>
      <c r="N5401" s="21"/>
      <c r="O5401" s="45"/>
      <c r="P5401" s="24"/>
      <c r="Q5401" s="24"/>
      <c r="R5401" s="180"/>
      <c r="S5401" s="181"/>
      <c r="T5401" s="35"/>
      <c r="U5401" s="35"/>
      <c r="V5401" s="35"/>
      <c r="W5401" s="35"/>
      <c r="X5401" s="35"/>
      <c r="Y5401" s="182"/>
      <c r="Z5401" s="175"/>
      <c r="AA5401" s="182"/>
      <c r="AB5401" s="184"/>
    </row>
    <row r="5402" spans="1:28" ht="12.75">
      <c r="A5402" s="173"/>
      <c r="B5402" s="174"/>
      <c r="C5402" s="11"/>
      <c r="D5402" s="175"/>
      <c r="E5402" s="176"/>
      <c r="F5402" s="177"/>
      <c r="G5402" s="178"/>
      <c r="H5402" s="177"/>
      <c r="I5402" s="177"/>
      <c r="J5402" s="179"/>
      <c r="K5402" s="183"/>
      <c r="L5402" s="176"/>
      <c r="M5402" s="177"/>
      <c r="N5402" s="21"/>
      <c r="O5402" s="45"/>
      <c r="P5402" s="24"/>
      <c r="Q5402" s="24"/>
      <c r="R5402" s="180"/>
      <c r="S5402" s="181"/>
      <c r="T5402" s="35"/>
      <c r="U5402" s="35"/>
      <c r="V5402" s="35"/>
      <c r="W5402" s="35"/>
      <c r="X5402" s="35"/>
      <c r="Y5402" s="182"/>
      <c r="Z5402" s="175"/>
      <c r="AA5402" s="182"/>
      <c r="AB5402" s="184"/>
    </row>
    <row r="5403" spans="1:28" ht="12.75">
      <c r="A5403" s="173"/>
      <c r="B5403" s="174"/>
      <c r="C5403" s="11"/>
      <c r="D5403" s="175"/>
      <c r="E5403" s="176"/>
      <c r="F5403" s="177"/>
      <c r="G5403" s="178"/>
      <c r="H5403" s="177"/>
      <c r="I5403" s="177"/>
      <c r="J5403" s="179"/>
      <c r="K5403" s="183"/>
      <c r="L5403" s="176"/>
      <c r="M5403" s="177"/>
      <c r="N5403" s="21"/>
      <c r="O5403" s="45"/>
      <c r="P5403" s="24"/>
      <c r="Q5403" s="24"/>
      <c r="R5403" s="180"/>
      <c r="S5403" s="181"/>
      <c r="T5403" s="35"/>
      <c r="U5403" s="35"/>
      <c r="V5403" s="35"/>
      <c r="W5403" s="35"/>
      <c r="X5403" s="35"/>
      <c r="Y5403" s="182"/>
      <c r="Z5403" s="175"/>
      <c r="AA5403" s="182"/>
      <c r="AB5403" s="184"/>
    </row>
    <row r="5404" spans="1:28" ht="12.75">
      <c r="A5404" s="173"/>
      <c r="B5404" s="174"/>
      <c r="C5404" s="11"/>
      <c r="D5404" s="175"/>
      <c r="E5404" s="176"/>
      <c r="F5404" s="177"/>
      <c r="G5404" s="178"/>
      <c r="H5404" s="177"/>
      <c r="I5404" s="177"/>
      <c r="J5404" s="179"/>
      <c r="K5404" s="183"/>
      <c r="L5404" s="176"/>
      <c r="M5404" s="177"/>
      <c r="N5404" s="21"/>
      <c r="O5404" s="45"/>
      <c r="P5404" s="24"/>
      <c r="Q5404" s="24"/>
      <c r="R5404" s="180"/>
      <c r="S5404" s="181"/>
      <c r="T5404" s="35"/>
      <c r="U5404" s="35"/>
      <c r="V5404" s="35"/>
      <c r="W5404" s="35"/>
      <c r="X5404" s="35"/>
      <c r="Y5404" s="182"/>
      <c r="Z5404" s="175"/>
      <c r="AA5404" s="182"/>
      <c r="AB5404" s="184"/>
    </row>
    <row r="5405" spans="1:28" ht="12.75">
      <c r="A5405" s="173"/>
      <c r="B5405" s="174"/>
      <c r="C5405" s="11"/>
      <c r="D5405" s="175"/>
      <c r="E5405" s="176"/>
      <c r="F5405" s="177"/>
      <c r="G5405" s="178"/>
      <c r="H5405" s="177"/>
      <c r="I5405" s="177"/>
      <c r="J5405" s="179"/>
      <c r="K5405" s="183"/>
      <c r="L5405" s="176"/>
      <c r="M5405" s="177"/>
      <c r="N5405" s="21"/>
      <c r="O5405" s="45"/>
      <c r="P5405" s="24"/>
      <c r="Q5405" s="24"/>
      <c r="R5405" s="180"/>
      <c r="S5405" s="181"/>
      <c r="T5405" s="35"/>
      <c r="U5405" s="35"/>
      <c r="V5405" s="35"/>
      <c r="W5405" s="35"/>
      <c r="X5405" s="35"/>
      <c r="Y5405" s="182"/>
      <c r="Z5405" s="175"/>
      <c r="AA5405" s="182"/>
      <c r="AB5405" s="184"/>
    </row>
    <row r="5406" spans="1:28" ht="12.75">
      <c r="A5406" s="173"/>
      <c r="B5406" s="174"/>
      <c r="C5406" s="11"/>
      <c r="D5406" s="175"/>
      <c r="E5406" s="176"/>
      <c r="F5406" s="177"/>
      <c r="G5406" s="178"/>
      <c r="H5406" s="177"/>
      <c r="I5406" s="177"/>
      <c r="J5406" s="179"/>
      <c r="K5406" s="183"/>
      <c r="L5406" s="176"/>
      <c r="M5406" s="177"/>
      <c r="N5406" s="21"/>
      <c r="O5406" s="45"/>
      <c r="P5406" s="24"/>
      <c r="Q5406" s="24"/>
      <c r="R5406" s="180"/>
      <c r="S5406" s="181"/>
      <c r="T5406" s="35"/>
      <c r="U5406" s="35"/>
      <c r="V5406" s="35"/>
      <c r="W5406" s="35"/>
      <c r="X5406" s="35"/>
      <c r="Y5406" s="182"/>
      <c r="Z5406" s="175"/>
      <c r="AA5406" s="182"/>
      <c r="AB5406" s="184"/>
    </row>
    <row r="5407" spans="1:28" ht="12.75">
      <c r="A5407" s="173"/>
      <c r="B5407" s="174"/>
      <c r="C5407" s="11"/>
      <c r="D5407" s="175"/>
      <c r="E5407" s="176"/>
      <c r="F5407" s="177"/>
      <c r="G5407" s="178"/>
      <c r="H5407" s="177"/>
      <c r="I5407" s="177"/>
      <c r="J5407" s="179"/>
      <c r="K5407" s="183"/>
      <c r="L5407" s="176"/>
      <c r="M5407" s="177"/>
      <c r="N5407" s="21"/>
      <c r="O5407" s="45"/>
      <c r="P5407" s="24"/>
      <c r="Q5407" s="24"/>
      <c r="R5407" s="180"/>
      <c r="S5407" s="181"/>
      <c r="T5407" s="35"/>
      <c r="U5407" s="35"/>
      <c r="V5407" s="35"/>
      <c r="W5407" s="35"/>
      <c r="X5407" s="35"/>
      <c r="Y5407" s="182"/>
      <c r="Z5407" s="175"/>
      <c r="AA5407" s="182"/>
      <c r="AB5407" s="184"/>
    </row>
    <row r="5408" spans="1:28" ht="12.75">
      <c r="A5408" s="173"/>
      <c r="B5408" s="174"/>
      <c r="C5408" s="11"/>
      <c r="D5408" s="175"/>
      <c r="E5408" s="176"/>
      <c r="F5408" s="177"/>
      <c r="G5408" s="178"/>
      <c r="H5408" s="177"/>
      <c r="I5408" s="177"/>
      <c r="J5408" s="179"/>
      <c r="K5408" s="183"/>
      <c r="L5408" s="176"/>
      <c r="M5408" s="177"/>
      <c r="N5408" s="21"/>
      <c r="O5408" s="45"/>
      <c r="P5408" s="24"/>
      <c r="Q5408" s="24"/>
      <c r="R5408" s="180"/>
      <c r="S5408" s="181"/>
      <c r="T5408" s="35"/>
      <c r="U5408" s="35"/>
      <c r="V5408" s="35"/>
      <c r="W5408" s="35"/>
      <c r="X5408" s="35"/>
      <c r="Y5408" s="182"/>
      <c r="Z5408" s="175"/>
      <c r="AA5408" s="182"/>
      <c r="AB5408" s="184"/>
    </row>
    <row r="5409" spans="1:28" ht="12.75">
      <c r="A5409" s="173"/>
      <c r="B5409" s="174"/>
      <c r="C5409" s="11"/>
      <c r="D5409" s="175"/>
      <c r="E5409" s="176"/>
      <c r="F5409" s="177"/>
      <c r="G5409" s="178"/>
      <c r="H5409" s="177"/>
      <c r="I5409" s="177"/>
      <c r="J5409" s="179"/>
      <c r="K5409" s="183"/>
      <c r="L5409" s="176"/>
      <c r="M5409" s="177"/>
      <c r="N5409" s="21"/>
      <c r="O5409" s="45"/>
      <c r="P5409" s="24"/>
      <c r="Q5409" s="24"/>
      <c r="R5409" s="180"/>
      <c r="S5409" s="181"/>
      <c r="T5409" s="35"/>
      <c r="U5409" s="35"/>
      <c r="V5409" s="35"/>
      <c r="W5409" s="35"/>
      <c r="X5409" s="35"/>
      <c r="Y5409" s="182"/>
      <c r="Z5409" s="175"/>
      <c r="AA5409" s="182"/>
      <c r="AB5409" s="184"/>
    </row>
    <row r="5410" spans="1:28" ht="12.75">
      <c r="A5410" s="173"/>
      <c r="B5410" s="174"/>
      <c r="C5410" s="11"/>
      <c r="D5410" s="175"/>
      <c r="E5410" s="176"/>
      <c r="F5410" s="177"/>
      <c r="G5410" s="178"/>
      <c r="H5410" s="177"/>
      <c r="I5410" s="177"/>
      <c r="J5410" s="179"/>
      <c r="K5410" s="183"/>
      <c r="L5410" s="176"/>
      <c r="M5410" s="177"/>
      <c r="N5410" s="21"/>
      <c r="O5410" s="45"/>
      <c r="P5410" s="24"/>
      <c r="Q5410" s="24"/>
      <c r="R5410" s="180"/>
      <c r="S5410" s="181"/>
      <c r="T5410" s="35"/>
      <c r="U5410" s="35"/>
      <c r="V5410" s="35"/>
      <c r="W5410" s="35"/>
      <c r="X5410" s="35"/>
      <c r="Y5410" s="182"/>
      <c r="Z5410" s="175"/>
      <c r="AA5410" s="182"/>
      <c r="AB5410" s="184"/>
    </row>
    <row r="5411" spans="1:28" ht="12.75">
      <c r="A5411" s="173"/>
      <c r="B5411" s="174"/>
      <c r="C5411" s="11"/>
      <c r="D5411" s="175"/>
      <c r="E5411" s="176"/>
      <c r="F5411" s="177"/>
      <c r="G5411" s="178"/>
      <c r="H5411" s="177"/>
      <c r="I5411" s="177"/>
      <c r="J5411" s="179"/>
      <c r="K5411" s="183"/>
      <c r="L5411" s="176"/>
      <c r="M5411" s="177"/>
      <c r="N5411" s="21"/>
      <c r="O5411" s="45"/>
      <c r="P5411" s="24"/>
      <c r="Q5411" s="24"/>
      <c r="R5411" s="180"/>
      <c r="S5411" s="181"/>
      <c r="T5411" s="35"/>
      <c r="U5411" s="35"/>
      <c r="V5411" s="35"/>
      <c r="W5411" s="35"/>
      <c r="X5411" s="35"/>
      <c r="Y5411" s="182"/>
      <c r="Z5411" s="175"/>
      <c r="AA5411" s="182"/>
      <c r="AB5411" s="184"/>
    </row>
    <row r="5412" spans="1:28" ht="12.75">
      <c r="A5412" s="173"/>
      <c r="B5412" s="174"/>
      <c r="C5412" s="11"/>
      <c r="D5412" s="175"/>
      <c r="E5412" s="176"/>
      <c r="F5412" s="177"/>
      <c r="G5412" s="178"/>
      <c r="H5412" s="177"/>
      <c r="I5412" s="177"/>
      <c r="J5412" s="179"/>
      <c r="K5412" s="183"/>
      <c r="L5412" s="176"/>
      <c r="M5412" s="177"/>
      <c r="N5412" s="21"/>
      <c r="O5412" s="45"/>
      <c r="P5412" s="24"/>
      <c r="Q5412" s="24"/>
      <c r="R5412" s="180"/>
      <c r="S5412" s="181"/>
      <c r="T5412" s="35"/>
      <c r="U5412" s="35"/>
      <c r="V5412" s="35"/>
      <c r="W5412" s="35"/>
      <c r="X5412" s="35"/>
      <c r="Y5412" s="182"/>
      <c r="Z5412" s="175"/>
      <c r="AA5412" s="182"/>
      <c r="AB5412" s="184"/>
    </row>
    <row r="5413" spans="1:28" ht="12.75">
      <c r="A5413" s="173"/>
      <c r="B5413" s="174"/>
      <c r="C5413" s="11"/>
      <c r="D5413" s="175"/>
      <c r="E5413" s="176"/>
      <c r="F5413" s="177"/>
      <c r="G5413" s="178"/>
      <c r="H5413" s="177"/>
      <c r="I5413" s="177"/>
      <c r="J5413" s="179"/>
      <c r="K5413" s="183"/>
      <c r="L5413" s="176"/>
      <c r="M5413" s="177"/>
      <c r="N5413" s="21"/>
      <c r="O5413" s="45"/>
      <c r="P5413" s="24"/>
      <c r="Q5413" s="24"/>
      <c r="R5413" s="180"/>
      <c r="S5413" s="181"/>
      <c r="T5413" s="35"/>
      <c r="U5413" s="35"/>
      <c r="V5413" s="35"/>
      <c r="W5413" s="35"/>
      <c r="X5413" s="35"/>
      <c r="Y5413" s="182"/>
      <c r="Z5413" s="175"/>
      <c r="AA5413" s="182"/>
      <c r="AB5413" s="184"/>
    </row>
    <row r="5414" spans="1:28" ht="12.75">
      <c r="A5414" s="173"/>
      <c r="B5414" s="174"/>
      <c r="C5414" s="11"/>
      <c r="D5414" s="175"/>
      <c r="E5414" s="176"/>
      <c r="F5414" s="177"/>
      <c r="G5414" s="178"/>
      <c r="H5414" s="177"/>
      <c r="I5414" s="177"/>
      <c r="J5414" s="179"/>
      <c r="K5414" s="183"/>
      <c r="L5414" s="176"/>
      <c r="M5414" s="177"/>
      <c r="N5414" s="21"/>
      <c r="O5414" s="45"/>
      <c r="P5414" s="24"/>
      <c r="Q5414" s="24"/>
      <c r="R5414" s="180"/>
      <c r="S5414" s="181"/>
      <c r="T5414" s="35"/>
      <c r="U5414" s="35"/>
      <c r="V5414" s="35"/>
      <c r="W5414" s="35"/>
      <c r="X5414" s="35"/>
      <c r="Y5414" s="182"/>
      <c r="Z5414" s="175"/>
      <c r="AA5414" s="182"/>
      <c r="AB5414" s="184"/>
    </row>
    <row r="5415" spans="1:28" ht="12.75">
      <c r="A5415" s="173"/>
      <c r="B5415" s="174"/>
      <c r="C5415" s="11"/>
      <c r="D5415" s="175"/>
      <c r="E5415" s="176"/>
      <c r="F5415" s="177"/>
      <c r="G5415" s="178"/>
      <c r="H5415" s="177"/>
      <c r="I5415" s="177"/>
      <c r="J5415" s="179"/>
      <c r="K5415" s="183"/>
      <c r="L5415" s="176"/>
      <c r="M5415" s="177"/>
      <c r="N5415" s="21"/>
      <c r="O5415" s="45"/>
      <c r="P5415" s="24"/>
      <c r="Q5415" s="24"/>
      <c r="R5415" s="180"/>
      <c r="S5415" s="181"/>
      <c r="T5415" s="35"/>
      <c r="U5415" s="35"/>
      <c r="V5415" s="35"/>
      <c r="W5415" s="35"/>
      <c r="X5415" s="35"/>
      <c r="Y5415" s="182"/>
      <c r="Z5415" s="175"/>
      <c r="AA5415" s="182"/>
      <c r="AB5415" s="184"/>
    </row>
    <row r="5416" spans="1:28" ht="12.75">
      <c r="A5416" s="173"/>
      <c r="B5416" s="174"/>
      <c r="C5416" s="11"/>
      <c r="D5416" s="175"/>
      <c r="E5416" s="176"/>
      <c r="F5416" s="177"/>
      <c r="G5416" s="178"/>
      <c r="H5416" s="177"/>
      <c r="I5416" s="177"/>
      <c r="J5416" s="179"/>
      <c r="K5416" s="183"/>
      <c r="L5416" s="176"/>
      <c r="M5416" s="177"/>
      <c r="N5416" s="21"/>
      <c r="O5416" s="45"/>
      <c r="P5416" s="24"/>
      <c r="Q5416" s="24"/>
      <c r="R5416" s="180"/>
      <c r="S5416" s="181"/>
      <c r="T5416" s="35"/>
      <c r="U5416" s="35"/>
      <c r="V5416" s="35"/>
      <c r="W5416" s="35"/>
      <c r="X5416" s="35"/>
      <c r="Y5416" s="182"/>
      <c r="Z5416" s="175"/>
      <c r="AA5416" s="182"/>
      <c r="AB5416" s="184"/>
    </row>
    <row r="5417" spans="1:28" ht="12.75">
      <c r="A5417" s="173"/>
      <c r="B5417" s="174"/>
      <c r="C5417" s="11"/>
      <c r="D5417" s="175"/>
      <c r="E5417" s="176"/>
      <c r="F5417" s="177"/>
      <c r="G5417" s="178"/>
      <c r="H5417" s="177"/>
      <c r="I5417" s="177"/>
      <c r="J5417" s="179"/>
      <c r="K5417" s="183"/>
      <c r="L5417" s="176"/>
      <c r="M5417" s="177"/>
      <c r="N5417" s="21"/>
      <c r="O5417" s="45"/>
      <c r="P5417" s="24"/>
      <c r="Q5417" s="24"/>
      <c r="R5417" s="180"/>
      <c r="S5417" s="181"/>
      <c r="T5417" s="35"/>
      <c r="U5417" s="35"/>
      <c r="V5417" s="35"/>
      <c r="W5417" s="35"/>
      <c r="X5417" s="35"/>
      <c r="Y5417" s="182"/>
      <c r="Z5417" s="175"/>
      <c r="AA5417" s="182"/>
      <c r="AB5417" s="184"/>
    </row>
    <row r="5418" spans="1:28" ht="12.75">
      <c r="A5418" s="173"/>
      <c r="B5418" s="174"/>
      <c r="C5418" s="11"/>
      <c r="D5418" s="175"/>
      <c r="E5418" s="176"/>
      <c r="F5418" s="177"/>
      <c r="G5418" s="178"/>
      <c r="H5418" s="177"/>
      <c r="I5418" s="177"/>
      <c r="J5418" s="179"/>
      <c r="K5418" s="183"/>
      <c r="L5418" s="176"/>
      <c r="M5418" s="177"/>
      <c r="N5418" s="21"/>
      <c r="O5418" s="45"/>
      <c r="P5418" s="24"/>
      <c r="Q5418" s="24"/>
      <c r="R5418" s="180"/>
      <c r="S5418" s="181"/>
      <c r="T5418" s="35"/>
      <c r="U5418" s="35"/>
      <c r="V5418" s="35"/>
      <c r="W5418" s="35"/>
      <c r="X5418" s="35"/>
      <c r="Y5418" s="182"/>
      <c r="Z5418" s="175"/>
      <c r="AA5418" s="182"/>
      <c r="AB5418" s="184"/>
    </row>
    <row r="5419" spans="1:28" ht="12.75">
      <c r="A5419" s="173"/>
      <c r="B5419" s="174"/>
      <c r="C5419" s="11"/>
      <c r="D5419" s="175"/>
      <c r="E5419" s="176"/>
      <c r="F5419" s="177"/>
      <c r="G5419" s="178"/>
      <c r="H5419" s="177"/>
      <c r="I5419" s="177"/>
      <c r="J5419" s="179"/>
      <c r="K5419" s="183"/>
      <c r="L5419" s="176"/>
      <c r="M5419" s="177"/>
      <c r="N5419" s="21"/>
      <c r="O5419" s="45"/>
      <c r="P5419" s="24"/>
      <c r="Q5419" s="24"/>
      <c r="R5419" s="180"/>
      <c r="S5419" s="181"/>
      <c r="T5419" s="35"/>
      <c r="U5419" s="35"/>
      <c r="V5419" s="35"/>
      <c r="W5419" s="35"/>
      <c r="X5419" s="35"/>
      <c r="Y5419" s="182"/>
      <c r="Z5419" s="175"/>
      <c r="AA5419" s="182"/>
      <c r="AB5419" s="184"/>
    </row>
    <row r="5420" spans="1:28" ht="12.75">
      <c r="A5420" s="173"/>
      <c r="B5420" s="174"/>
      <c r="C5420" s="11"/>
      <c r="D5420" s="175"/>
      <c r="E5420" s="176"/>
      <c r="F5420" s="177"/>
      <c r="G5420" s="178"/>
      <c r="H5420" s="177"/>
      <c r="I5420" s="177"/>
      <c r="J5420" s="179"/>
      <c r="K5420" s="183"/>
      <c r="L5420" s="176"/>
      <c r="M5420" s="177"/>
      <c r="N5420" s="21"/>
      <c r="O5420" s="45"/>
      <c r="P5420" s="24"/>
      <c r="Q5420" s="24"/>
      <c r="R5420" s="180"/>
      <c r="S5420" s="181"/>
      <c r="T5420" s="35"/>
      <c r="U5420" s="35"/>
      <c r="V5420" s="35"/>
      <c r="W5420" s="35"/>
      <c r="X5420" s="35"/>
      <c r="Y5420" s="182"/>
      <c r="Z5420" s="175"/>
      <c r="AA5420" s="182"/>
      <c r="AB5420" s="184"/>
    </row>
    <row r="5421" spans="1:28" ht="12.75">
      <c r="A5421" s="173"/>
      <c r="B5421" s="174"/>
      <c r="C5421" s="11"/>
      <c r="D5421" s="175"/>
      <c r="E5421" s="176"/>
      <c r="F5421" s="177"/>
      <c r="G5421" s="178"/>
      <c r="H5421" s="177"/>
      <c r="I5421" s="177"/>
      <c r="J5421" s="179"/>
      <c r="K5421" s="183"/>
      <c r="L5421" s="176"/>
      <c r="M5421" s="177"/>
      <c r="N5421" s="21"/>
      <c r="O5421" s="45"/>
      <c r="P5421" s="24"/>
      <c r="Q5421" s="24"/>
      <c r="R5421" s="180"/>
      <c r="S5421" s="181"/>
      <c r="T5421" s="35"/>
      <c r="U5421" s="35"/>
      <c r="V5421" s="35"/>
      <c r="W5421" s="35"/>
      <c r="X5421" s="35"/>
      <c r="Y5421" s="182"/>
      <c r="Z5421" s="175"/>
      <c r="AA5421" s="182"/>
      <c r="AB5421" s="184"/>
    </row>
    <row r="5422" spans="1:28" ht="12.75">
      <c r="A5422" s="173"/>
      <c r="B5422" s="174"/>
      <c r="C5422" s="11"/>
      <c r="D5422" s="175"/>
      <c r="E5422" s="176"/>
      <c r="F5422" s="177"/>
      <c r="G5422" s="178"/>
      <c r="H5422" s="177"/>
      <c r="I5422" s="177"/>
      <c r="J5422" s="179"/>
      <c r="K5422" s="183"/>
      <c r="L5422" s="176"/>
      <c r="M5422" s="177"/>
      <c r="N5422" s="21"/>
      <c r="O5422" s="45"/>
      <c r="P5422" s="24"/>
      <c r="Q5422" s="24"/>
      <c r="R5422" s="180"/>
      <c r="S5422" s="181"/>
      <c r="T5422" s="35"/>
      <c r="U5422" s="35"/>
      <c r="V5422" s="35"/>
      <c r="W5422" s="35"/>
      <c r="X5422" s="35"/>
      <c r="Y5422" s="182"/>
      <c r="Z5422" s="175"/>
      <c r="AA5422" s="182"/>
      <c r="AB5422" s="184"/>
    </row>
    <row r="5423" spans="1:28" ht="12.75">
      <c r="A5423" s="173"/>
      <c r="B5423" s="174"/>
      <c r="C5423" s="11"/>
      <c r="D5423" s="175"/>
      <c r="E5423" s="176"/>
      <c r="F5423" s="177"/>
      <c r="G5423" s="178"/>
      <c r="H5423" s="177"/>
      <c r="I5423" s="177"/>
      <c r="J5423" s="179"/>
      <c r="K5423" s="183"/>
      <c r="L5423" s="176"/>
      <c r="M5423" s="177"/>
      <c r="N5423" s="21"/>
      <c r="O5423" s="45"/>
      <c r="P5423" s="24"/>
      <c r="Q5423" s="24"/>
      <c r="R5423" s="180"/>
      <c r="S5423" s="181"/>
      <c r="T5423" s="35"/>
      <c r="U5423" s="35"/>
      <c r="V5423" s="35"/>
      <c r="W5423" s="35"/>
      <c r="X5423" s="35"/>
      <c r="Y5423" s="182"/>
      <c r="Z5423" s="175"/>
      <c r="AA5423" s="182"/>
      <c r="AB5423" s="184"/>
    </row>
    <row r="5424" spans="1:28" ht="12.75">
      <c r="A5424" s="173"/>
      <c r="B5424" s="174"/>
      <c r="C5424" s="11"/>
      <c r="D5424" s="175"/>
      <c r="E5424" s="176"/>
      <c r="F5424" s="177"/>
      <c r="G5424" s="178"/>
      <c r="H5424" s="177"/>
      <c r="I5424" s="177"/>
      <c r="J5424" s="179"/>
      <c r="K5424" s="183"/>
      <c r="L5424" s="176"/>
      <c r="M5424" s="177"/>
      <c r="N5424" s="21"/>
      <c r="O5424" s="45"/>
      <c r="P5424" s="24"/>
      <c r="Q5424" s="24"/>
      <c r="R5424" s="180"/>
      <c r="S5424" s="181"/>
      <c r="T5424" s="35"/>
      <c r="U5424" s="35"/>
      <c r="V5424" s="35"/>
      <c r="W5424" s="35"/>
      <c r="X5424" s="35"/>
      <c r="Y5424" s="182"/>
      <c r="Z5424" s="175"/>
      <c r="AA5424" s="182"/>
      <c r="AB5424" s="184"/>
    </row>
    <row r="5425" spans="1:28" ht="12.75">
      <c r="A5425" s="173"/>
      <c r="B5425" s="174"/>
      <c r="C5425" s="11"/>
      <c r="D5425" s="175"/>
      <c r="E5425" s="176"/>
      <c r="F5425" s="177"/>
      <c r="G5425" s="178"/>
      <c r="H5425" s="177"/>
      <c r="I5425" s="177"/>
      <c r="J5425" s="179"/>
      <c r="K5425" s="183"/>
      <c r="L5425" s="176"/>
      <c r="M5425" s="177"/>
      <c r="N5425" s="21"/>
      <c r="O5425" s="45"/>
      <c r="P5425" s="24"/>
      <c r="Q5425" s="24"/>
      <c r="R5425" s="180"/>
      <c r="S5425" s="181"/>
      <c r="T5425" s="35"/>
      <c r="U5425" s="35"/>
      <c r="V5425" s="35"/>
      <c r="W5425" s="35"/>
      <c r="X5425" s="35"/>
      <c r="Y5425" s="182"/>
      <c r="Z5425" s="175"/>
      <c r="AA5425" s="182"/>
      <c r="AB5425" s="184"/>
    </row>
    <row r="5426" spans="1:28" ht="12.75">
      <c r="A5426" s="173"/>
      <c r="B5426" s="174"/>
      <c r="C5426" s="11"/>
      <c r="D5426" s="175"/>
      <c r="E5426" s="176"/>
      <c r="F5426" s="177"/>
      <c r="G5426" s="178"/>
      <c r="H5426" s="177"/>
      <c r="I5426" s="177"/>
      <c r="J5426" s="179"/>
      <c r="K5426" s="183"/>
      <c r="L5426" s="176"/>
      <c r="M5426" s="177"/>
      <c r="N5426" s="21"/>
      <c r="O5426" s="45"/>
      <c r="P5426" s="24"/>
      <c r="Q5426" s="24"/>
      <c r="R5426" s="180"/>
      <c r="S5426" s="181"/>
      <c r="T5426" s="35"/>
      <c r="U5426" s="35"/>
      <c r="V5426" s="35"/>
      <c r="W5426" s="35"/>
      <c r="X5426" s="35"/>
      <c r="Y5426" s="182"/>
      <c r="Z5426" s="175"/>
      <c r="AA5426" s="182"/>
      <c r="AB5426" s="184"/>
    </row>
    <row r="5427" spans="1:28" ht="12.75">
      <c r="A5427" s="173"/>
      <c r="B5427" s="174"/>
      <c r="C5427" s="11"/>
      <c r="D5427" s="175"/>
      <c r="E5427" s="176"/>
      <c r="F5427" s="177"/>
      <c r="G5427" s="178"/>
      <c r="H5427" s="177"/>
      <c r="I5427" s="177"/>
      <c r="J5427" s="179"/>
      <c r="K5427" s="183"/>
      <c r="L5427" s="176"/>
      <c r="M5427" s="177"/>
      <c r="N5427" s="21"/>
      <c r="O5427" s="45"/>
      <c r="P5427" s="24"/>
      <c r="Q5427" s="24"/>
      <c r="R5427" s="180"/>
      <c r="S5427" s="181"/>
      <c r="T5427" s="35"/>
      <c r="U5427" s="35"/>
      <c r="V5427" s="35"/>
      <c r="W5427" s="35"/>
      <c r="X5427" s="35"/>
      <c r="Y5427" s="182"/>
      <c r="Z5427" s="175"/>
      <c r="AA5427" s="182"/>
      <c r="AB5427" s="184"/>
    </row>
    <row r="5428" spans="1:28" ht="12.75">
      <c r="A5428" s="173"/>
      <c r="B5428" s="174"/>
      <c r="C5428" s="11"/>
      <c r="D5428" s="175"/>
      <c r="E5428" s="176"/>
      <c r="F5428" s="177"/>
      <c r="G5428" s="178"/>
      <c r="H5428" s="177"/>
      <c r="I5428" s="177"/>
      <c r="J5428" s="179"/>
      <c r="K5428" s="183"/>
      <c r="L5428" s="176"/>
      <c r="M5428" s="177"/>
      <c r="N5428" s="21"/>
      <c r="O5428" s="45"/>
      <c r="P5428" s="24"/>
      <c r="Q5428" s="24"/>
      <c r="R5428" s="180"/>
      <c r="S5428" s="181"/>
      <c r="T5428" s="35"/>
      <c r="U5428" s="35"/>
      <c r="V5428" s="35"/>
      <c r="W5428" s="35"/>
      <c r="X5428" s="35"/>
      <c r="Y5428" s="182"/>
      <c r="Z5428" s="175"/>
      <c r="AA5428" s="182"/>
      <c r="AB5428" s="184"/>
    </row>
    <row r="5429" spans="1:28" ht="12.75">
      <c r="A5429" s="173"/>
      <c r="B5429" s="174"/>
      <c r="C5429" s="11"/>
      <c r="D5429" s="175"/>
      <c r="E5429" s="176"/>
      <c r="F5429" s="177"/>
      <c r="G5429" s="178"/>
      <c r="H5429" s="177"/>
      <c r="I5429" s="177"/>
      <c r="J5429" s="179"/>
      <c r="K5429" s="183"/>
      <c r="L5429" s="176"/>
      <c r="M5429" s="177"/>
      <c r="N5429" s="21"/>
      <c r="O5429" s="45"/>
      <c r="P5429" s="24"/>
      <c r="Q5429" s="24"/>
      <c r="R5429" s="180"/>
      <c r="S5429" s="181"/>
      <c r="T5429" s="35"/>
      <c r="U5429" s="35"/>
      <c r="V5429" s="35"/>
      <c r="W5429" s="35"/>
      <c r="X5429" s="35"/>
      <c r="Y5429" s="182"/>
      <c r="Z5429" s="175"/>
      <c r="AA5429" s="182"/>
      <c r="AB5429" s="184"/>
    </row>
    <row r="5430" spans="1:28" ht="12.75">
      <c r="A5430" s="173"/>
      <c r="B5430" s="174"/>
      <c r="C5430" s="11"/>
      <c r="D5430" s="175"/>
      <c r="E5430" s="176"/>
      <c r="F5430" s="177"/>
      <c r="G5430" s="178"/>
      <c r="H5430" s="177"/>
      <c r="I5430" s="177"/>
      <c r="J5430" s="179"/>
      <c r="K5430" s="183"/>
      <c r="L5430" s="176"/>
      <c r="M5430" s="177"/>
      <c r="N5430" s="21"/>
      <c r="O5430" s="45"/>
      <c r="P5430" s="24"/>
      <c r="Q5430" s="24"/>
      <c r="R5430" s="180"/>
      <c r="S5430" s="181"/>
      <c r="T5430" s="35"/>
      <c r="U5430" s="35"/>
      <c r="V5430" s="35"/>
      <c r="W5430" s="35"/>
      <c r="X5430" s="35"/>
      <c r="Y5430" s="182"/>
      <c r="Z5430" s="175"/>
      <c r="AA5430" s="182"/>
      <c r="AB5430" s="184"/>
    </row>
    <row r="5431" spans="1:28" ht="12.75">
      <c r="A5431" s="173"/>
      <c r="B5431" s="174"/>
      <c r="C5431" s="11"/>
      <c r="D5431" s="175"/>
      <c r="E5431" s="176"/>
      <c r="F5431" s="177"/>
      <c r="G5431" s="178"/>
      <c r="H5431" s="177"/>
      <c r="I5431" s="177"/>
      <c r="J5431" s="179"/>
      <c r="K5431" s="183"/>
      <c r="L5431" s="176"/>
      <c r="M5431" s="177"/>
      <c r="N5431" s="21"/>
      <c r="O5431" s="45"/>
      <c r="P5431" s="24"/>
      <c r="Q5431" s="24"/>
      <c r="R5431" s="180"/>
      <c r="S5431" s="181"/>
      <c r="T5431" s="35"/>
      <c r="U5431" s="35"/>
      <c r="V5431" s="35"/>
      <c r="W5431" s="35"/>
      <c r="X5431" s="35"/>
      <c r="Y5431" s="182"/>
      <c r="Z5431" s="175"/>
      <c r="AA5431" s="182"/>
      <c r="AB5431" s="184"/>
    </row>
    <row r="5432" spans="1:28" ht="12.75">
      <c r="A5432" s="173"/>
      <c r="B5432" s="174"/>
      <c r="C5432" s="11"/>
      <c r="D5432" s="175"/>
      <c r="E5432" s="176"/>
      <c r="F5432" s="177"/>
      <c r="G5432" s="178"/>
      <c r="H5432" s="177"/>
      <c r="I5432" s="177"/>
      <c r="J5432" s="179"/>
      <c r="K5432" s="183"/>
      <c r="L5432" s="176"/>
      <c r="M5432" s="177"/>
      <c r="N5432" s="21"/>
      <c r="O5432" s="45"/>
      <c r="P5432" s="24"/>
      <c r="Q5432" s="24"/>
      <c r="R5432" s="180"/>
      <c r="S5432" s="181"/>
      <c r="T5432" s="35"/>
      <c r="U5432" s="35"/>
      <c r="V5432" s="35"/>
      <c r="W5432" s="35"/>
      <c r="X5432" s="35"/>
      <c r="Y5432" s="182"/>
      <c r="Z5432" s="175"/>
      <c r="AA5432" s="182"/>
      <c r="AB5432" s="184"/>
    </row>
    <row r="5433" spans="1:28" ht="12.75">
      <c r="A5433" s="173"/>
      <c r="B5433" s="174"/>
      <c r="C5433" s="11"/>
      <c r="D5433" s="175"/>
      <c r="E5433" s="176"/>
      <c r="F5433" s="177"/>
      <c r="G5433" s="178"/>
      <c r="H5433" s="177"/>
      <c r="I5433" s="177"/>
      <c r="J5433" s="179"/>
      <c r="K5433" s="183"/>
      <c r="L5433" s="176"/>
      <c r="M5433" s="177"/>
      <c r="N5433" s="21"/>
      <c r="O5433" s="45"/>
      <c r="P5433" s="24"/>
      <c r="Q5433" s="24"/>
      <c r="R5433" s="180"/>
      <c r="S5433" s="181"/>
      <c r="T5433" s="35"/>
      <c r="U5433" s="35"/>
      <c r="V5433" s="35"/>
      <c r="W5433" s="35"/>
      <c r="X5433" s="35"/>
      <c r="Y5433" s="182"/>
      <c r="Z5433" s="175"/>
      <c r="AA5433" s="182"/>
      <c r="AB5433" s="184"/>
    </row>
    <row r="5434" spans="1:28" ht="12.75">
      <c r="A5434" s="173"/>
      <c r="B5434" s="174"/>
      <c r="C5434" s="11"/>
      <c r="D5434" s="175"/>
      <c r="E5434" s="176"/>
      <c r="F5434" s="177"/>
      <c r="G5434" s="178"/>
      <c r="H5434" s="177"/>
      <c r="I5434" s="177"/>
      <c r="J5434" s="179"/>
      <c r="K5434" s="183"/>
      <c r="L5434" s="176"/>
      <c r="M5434" s="177"/>
      <c r="N5434" s="21"/>
      <c r="O5434" s="45"/>
      <c r="P5434" s="24"/>
      <c r="Q5434" s="24"/>
      <c r="R5434" s="180"/>
      <c r="S5434" s="181"/>
      <c r="T5434" s="35"/>
      <c r="U5434" s="35"/>
      <c r="V5434" s="35"/>
      <c r="W5434" s="35"/>
      <c r="X5434" s="35"/>
      <c r="Y5434" s="182"/>
      <c r="Z5434" s="175"/>
      <c r="AA5434" s="182"/>
      <c r="AB5434" s="184"/>
    </row>
    <row r="5435" spans="1:28" ht="12.75">
      <c r="A5435" s="173"/>
      <c r="B5435" s="174"/>
      <c r="C5435" s="11"/>
      <c r="D5435" s="175"/>
      <c r="E5435" s="176"/>
      <c r="F5435" s="177"/>
      <c r="G5435" s="178"/>
      <c r="H5435" s="177"/>
      <c r="I5435" s="177"/>
      <c r="J5435" s="179"/>
      <c r="K5435" s="183"/>
      <c r="L5435" s="176"/>
      <c r="M5435" s="177"/>
      <c r="N5435" s="21"/>
      <c r="O5435" s="45"/>
      <c r="P5435" s="24"/>
      <c r="Q5435" s="24"/>
      <c r="R5435" s="180"/>
      <c r="S5435" s="181"/>
      <c r="T5435" s="35"/>
      <c r="U5435" s="35"/>
      <c r="V5435" s="35"/>
      <c r="W5435" s="35"/>
      <c r="X5435" s="35"/>
      <c r="Y5435" s="182"/>
      <c r="Z5435" s="175"/>
      <c r="AA5435" s="182"/>
      <c r="AB5435" s="184"/>
    </row>
    <row r="5436" spans="1:28" ht="12.75">
      <c r="A5436" s="173"/>
      <c r="B5436" s="174"/>
      <c r="C5436" s="11"/>
      <c r="D5436" s="175"/>
      <c r="E5436" s="176"/>
      <c r="F5436" s="177"/>
      <c r="G5436" s="178"/>
      <c r="H5436" s="177"/>
      <c r="I5436" s="177"/>
      <c r="J5436" s="179"/>
      <c r="K5436" s="183"/>
      <c r="L5436" s="176"/>
      <c r="M5436" s="177"/>
      <c r="N5436" s="21"/>
      <c r="O5436" s="45"/>
      <c r="P5436" s="24"/>
      <c r="Q5436" s="24"/>
      <c r="R5436" s="180"/>
      <c r="S5436" s="181"/>
      <c r="T5436" s="35"/>
      <c r="U5436" s="35"/>
      <c r="V5436" s="35"/>
      <c r="W5436" s="35"/>
      <c r="X5436" s="35"/>
      <c r="Y5436" s="182"/>
      <c r="Z5436" s="175"/>
      <c r="AA5436" s="182"/>
      <c r="AB5436" s="184"/>
    </row>
    <row r="5437" spans="1:28" ht="12.75">
      <c r="A5437" s="173"/>
      <c r="B5437" s="174"/>
      <c r="C5437" s="11"/>
      <c r="D5437" s="175"/>
      <c r="E5437" s="176"/>
      <c r="F5437" s="177"/>
      <c r="G5437" s="178"/>
      <c r="H5437" s="177"/>
      <c r="I5437" s="177"/>
      <c r="J5437" s="179"/>
      <c r="K5437" s="183"/>
      <c r="L5437" s="176"/>
      <c r="M5437" s="177"/>
      <c r="N5437" s="21"/>
      <c r="O5437" s="45"/>
      <c r="P5437" s="24"/>
      <c r="Q5437" s="24"/>
      <c r="R5437" s="180"/>
      <c r="S5437" s="181"/>
      <c r="T5437" s="35"/>
      <c r="U5437" s="35"/>
      <c r="V5437" s="35"/>
      <c r="W5437" s="35"/>
      <c r="X5437" s="35"/>
      <c r="Y5437" s="182"/>
      <c r="Z5437" s="175"/>
      <c r="AA5437" s="182"/>
      <c r="AB5437" s="184"/>
    </row>
    <row r="5438" spans="1:28" ht="12.75">
      <c r="A5438" s="173"/>
      <c r="B5438" s="174"/>
      <c r="C5438" s="11"/>
      <c r="D5438" s="175"/>
      <c r="E5438" s="176"/>
      <c r="F5438" s="177"/>
      <c r="G5438" s="178"/>
      <c r="H5438" s="177"/>
      <c r="I5438" s="177"/>
      <c r="J5438" s="179"/>
      <c r="K5438" s="183"/>
      <c r="L5438" s="176"/>
      <c r="M5438" s="177"/>
      <c r="N5438" s="21"/>
      <c r="O5438" s="45"/>
      <c r="P5438" s="24"/>
      <c r="Q5438" s="24"/>
      <c r="R5438" s="180"/>
      <c r="S5438" s="181"/>
      <c r="T5438" s="35"/>
      <c r="U5438" s="35"/>
      <c r="V5438" s="35"/>
      <c r="W5438" s="35"/>
      <c r="X5438" s="35"/>
      <c r="Y5438" s="182"/>
      <c r="Z5438" s="175"/>
      <c r="AA5438" s="182"/>
      <c r="AB5438" s="184"/>
    </row>
    <row r="5439" spans="1:28" ht="12.75">
      <c r="A5439" s="173"/>
      <c r="B5439" s="174"/>
      <c r="C5439" s="11"/>
      <c r="D5439" s="175"/>
      <c r="E5439" s="176"/>
      <c r="F5439" s="177"/>
      <c r="G5439" s="178"/>
      <c r="H5439" s="177"/>
      <c r="I5439" s="177"/>
      <c r="J5439" s="179"/>
      <c r="K5439" s="183"/>
      <c r="L5439" s="176"/>
      <c r="M5439" s="177"/>
      <c r="N5439" s="21"/>
      <c r="O5439" s="45"/>
      <c r="P5439" s="24"/>
      <c r="Q5439" s="24"/>
      <c r="R5439" s="180"/>
      <c r="S5439" s="181"/>
      <c r="T5439" s="35"/>
      <c r="U5439" s="35"/>
      <c r="V5439" s="35"/>
      <c r="W5439" s="35"/>
      <c r="X5439" s="35"/>
      <c r="Y5439" s="182"/>
      <c r="Z5439" s="175"/>
      <c r="AA5439" s="182"/>
      <c r="AB5439" s="184"/>
    </row>
    <row r="5440" spans="1:28" ht="12.75">
      <c r="A5440" s="173"/>
      <c r="B5440" s="174"/>
      <c r="C5440" s="11"/>
      <c r="D5440" s="175"/>
      <c r="E5440" s="176"/>
      <c r="F5440" s="177"/>
      <c r="G5440" s="178"/>
      <c r="H5440" s="177"/>
      <c r="I5440" s="177"/>
      <c r="J5440" s="179"/>
      <c r="K5440" s="183"/>
      <c r="L5440" s="176"/>
      <c r="M5440" s="177"/>
      <c r="N5440" s="21"/>
      <c r="O5440" s="45"/>
      <c r="P5440" s="24"/>
      <c r="Q5440" s="24"/>
      <c r="R5440" s="180"/>
      <c r="S5440" s="181"/>
      <c r="T5440" s="35"/>
      <c r="U5440" s="35"/>
      <c r="V5440" s="35"/>
      <c r="W5440" s="35"/>
      <c r="X5440" s="35"/>
      <c r="Y5440" s="182"/>
      <c r="Z5440" s="175"/>
      <c r="AA5440" s="182"/>
      <c r="AB5440" s="184"/>
    </row>
    <row r="5441" spans="1:28" ht="12.75">
      <c r="A5441" s="173"/>
      <c r="B5441" s="174"/>
      <c r="C5441" s="11"/>
      <c r="D5441" s="175"/>
      <c r="E5441" s="176"/>
      <c r="F5441" s="177"/>
      <c r="G5441" s="178"/>
      <c r="H5441" s="177"/>
      <c r="I5441" s="177"/>
      <c r="J5441" s="179"/>
      <c r="K5441" s="183"/>
      <c r="L5441" s="176"/>
      <c r="M5441" s="177"/>
      <c r="N5441" s="21"/>
      <c r="O5441" s="45"/>
      <c r="P5441" s="24"/>
      <c r="Q5441" s="24"/>
      <c r="R5441" s="180"/>
      <c r="S5441" s="181"/>
      <c r="T5441" s="35"/>
      <c r="U5441" s="35"/>
      <c r="V5441" s="35"/>
      <c r="W5441" s="35"/>
      <c r="X5441" s="35"/>
      <c r="Y5441" s="182"/>
      <c r="Z5441" s="175"/>
      <c r="AA5441" s="182"/>
      <c r="AB5441" s="184"/>
    </row>
    <row r="5442" spans="1:28" ht="12.75">
      <c r="A5442" s="173"/>
      <c r="B5442" s="174"/>
      <c r="C5442" s="11"/>
      <c r="D5442" s="175"/>
      <c r="E5442" s="176"/>
      <c r="F5442" s="177"/>
      <c r="G5442" s="178"/>
      <c r="H5442" s="177"/>
      <c r="I5442" s="177"/>
      <c r="J5442" s="179"/>
      <c r="K5442" s="183"/>
      <c r="L5442" s="176"/>
      <c r="M5442" s="177"/>
      <c r="N5442" s="21"/>
      <c r="O5442" s="45"/>
      <c r="P5442" s="24"/>
      <c r="Q5442" s="24"/>
      <c r="R5442" s="180"/>
      <c r="S5442" s="181"/>
      <c r="T5442" s="35"/>
      <c r="U5442" s="35"/>
      <c r="V5442" s="35"/>
      <c r="W5442" s="35"/>
      <c r="X5442" s="35"/>
      <c r="Y5442" s="182"/>
      <c r="Z5442" s="175"/>
      <c r="AA5442" s="182"/>
      <c r="AB5442" s="184"/>
    </row>
    <row r="5443" spans="1:28" ht="12.75">
      <c r="A5443" s="173"/>
      <c r="B5443" s="174"/>
      <c r="C5443" s="11"/>
      <c r="D5443" s="175"/>
      <c r="E5443" s="176"/>
      <c r="F5443" s="177"/>
      <c r="G5443" s="178"/>
      <c r="H5443" s="177"/>
      <c r="I5443" s="177"/>
      <c r="J5443" s="179"/>
      <c r="K5443" s="183"/>
      <c r="L5443" s="176"/>
      <c r="M5443" s="177"/>
      <c r="N5443" s="21"/>
      <c r="O5443" s="45"/>
      <c r="P5443" s="24"/>
      <c r="Q5443" s="24"/>
      <c r="R5443" s="180"/>
      <c r="S5443" s="181"/>
      <c r="T5443" s="35"/>
      <c r="U5443" s="35"/>
      <c r="V5443" s="35"/>
      <c r="W5443" s="35"/>
      <c r="X5443" s="35"/>
      <c r="Y5443" s="182"/>
      <c r="Z5443" s="175"/>
      <c r="AA5443" s="182"/>
      <c r="AB5443" s="184"/>
    </row>
    <row r="5444" spans="1:28" ht="12.75">
      <c r="A5444" s="173"/>
      <c r="B5444" s="174"/>
      <c r="C5444" s="11"/>
      <c r="D5444" s="175"/>
      <c r="E5444" s="176"/>
      <c r="F5444" s="177"/>
      <c r="G5444" s="178"/>
      <c r="H5444" s="177"/>
      <c r="I5444" s="177"/>
      <c r="J5444" s="179"/>
      <c r="K5444" s="183"/>
      <c r="L5444" s="176"/>
      <c r="M5444" s="177"/>
      <c r="N5444" s="21"/>
      <c r="O5444" s="45"/>
      <c r="P5444" s="24"/>
      <c r="Q5444" s="24"/>
      <c r="R5444" s="180"/>
      <c r="S5444" s="181"/>
      <c r="T5444" s="35"/>
      <c r="U5444" s="35"/>
      <c r="V5444" s="35"/>
      <c r="W5444" s="35"/>
      <c r="X5444" s="35"/>
      <c r="Y5444" s="182"/>
      <c r="Z5444" s="175"/>
      <c r="AA5444" s="182"/>
      <c r="AB5444" s="184"/>
    </row>
    <row r="5445" spans="1:28" ht="12.75">
      <c r="A5445" s="173"/>
      <c r="B5445" s="174"/>
      <c r="C5445" s="11"/>
      <c r="D5445" s="175"/>
      <c r="E5445" s="176"/>
      <c r="F5445" s="177"/>
      <c r="G5445" s="178"/>
      <c r="H5445" s="177"/>
      <c r="I5445" s="177"/>
      <c r="J5445" s="179"/>
      <c r="K5445" s="183"/>
      <c r="L5445" s="176"/>
      <c r="M5445" s="177"/>
      <c r="N5445" s="21"/>
      <c r="O5445" s="45"/>
      <c r="P5445" s="24"/>
      <c r="Q5445" s="24"/>
      <c r="R5445" s="180"/>
      <c r="S5445" s="181"/>
      <c r="T5445" s="35"/>
      <c r="U5445" s="35"/>
      <c r="V5445" s="35"/>
      <c r="W5445" s="35"/>
      <c r="X5445" s="35"/>
      <c r="Y5445" s="182"/>
      <c r="Z5445" s="175"/>
      <c r="AA5445" s="182"/>
      <c r="AB5445" s="184"/>
    </row>
    <row r="5446" spans="1:28" ht="12.75">
      <c r="A5446" s="173"/>
      <c r="B5446" s="174"/>
      <c r="C5446" s="11"/>
      <c r="D5446" s="175"/>
      <c r="E5446" s="176"/>
      <c r="F5446" s="177"/>
      <c r="G5446" s="178"/>
      <c r="H5446" s="177"/>
      <c r="I5446" s="177"/>
      <c r="J5446" s="179"/>
      <c r="K5446" s="183"/>
      <c r="L5446" s="176"/>
      <c r="M5446" s="177"/>
      <c r="N5446" s="21"/>
      <c r="O5446" s="45"/>
      <c r="P5446" s="24"/>
      <c r="Q5446" s="24"/>
      <c r="R5446" s="180"/>
      <c r="S5446" s="181"/>
      <c r="T5446" s="35"/>
      <c r="U5446" s="35"/>
      <c r="V5446" s="35"/>
      <c r="W5446" s="35"/>
      <c r="X5446" s="35"/>
      <c r="Y5446" s="182"/>
      <c r="Z5446" s="175"/>
      <c r="AA5446" s="182"/>
      <c r="AB5446" s="184"/>
    </row>
    <row r="5447" spans="1:28" ht="12.75">
      <c r="A5447" s="173"/>
      <c r="B5447" s="174"/>
      <c r="C5447" s="11"/>
      <c r="D5447" s="175"/>
      <c r="E5447" s="176"/>
      <c r="F5447" s="177"/>
      <c r="G5447" s="178"/>
      <c r="H5447" s="177"/>
      <c r="I5447" s="177"/>
      <c r="J5447" s="179"/>
      <c r="K5447" s="183"/>
      <c r="L5447" s="176"/>
      <c r="M5447" s="177"/>
      <c r="N5447" s="21"/>
      <c r="O5447" s="45"/>
      <c r="P5447" s="24"/>
      <c r="Q5447" s="24"/>
      <c r="R5447" s="180"/>
      <c r="S5447" s="181"/>
      <c r="T5447" s="35"/>
      <c r="U5447" s="35"/>
      <c r="V5447" s="35"/>
      <c r="W5447" s="35"/>
      <c r="X5447" s="35"/>
      <c r="Y5447" s="182"/>
      <c r="Z5447" s="175"/>
      <c r="AA5447" s="182"/>
      <c r="AB5447" s="184"/>
    </row>
    <row r="5448" spans="1:28" ht="12.75">
      <c r="A5448" s="173"/>
      <c r="B5448" s="174"/>
      <c r="C5448" s="11"/>
      <c r="D5448" s="175"/>
      <c r="E5448" s="176"/>
      <c r="F5448" s="177"/>
      <c r="G5448" s="178"/>
      <c r="H5448" s="177"/>
      <c r="I5448" s="177"/>
      <c r="J5448" s="179"/>
      <c r="K5448" s="183"/>
      <c r="L5448" s="176"/>
      <c r="M5448" s="177"/>
      <c r="N5448" s="21"/>
      <c r="O5448" s="45"/>
      <c r="P5448" s="24"/>
      <c r="Q5448" s="24"/>
      <c r="R5448" s="180"/>
      <c r="S5448" s="181"/>
      <c r="T5448" s="35"/>
      <c r="U5448" s="35"/>
      <c r="V5448" s="35"/>
      <c r="W5448" s="35"/>
      <c r="X5448" s="35"/>
      <c r="Y5448" s="182"/>
      <c r="Z5448" s="175"/>
      <c r="AA5448" s="182"/>
      <c r="AB5448" s="184"/>
    </row>
    <row r="5449" spans="1:28" ht="12.75">
      <c r="A5449" s="173"/>
      <c r="B5449" s="174"/>
      <c r="C5449" s="11"/>
      <c r="D5449" s="175"/>
      <c r="E5449" s="176"/>
      <c r="F5449" s="177"/>
      <c r="G5449" s="178"/>
      <c r="H5449" s="177"/>
      <c r="I5449" s="177"/>
      <c r="J5449" s="179"/>
      <c r="K5449" s="183"/>
      <c r="L5449" s="176"/>
      <c r="M5449" s="177"/>
      <c r="N5449" s="21"/>
      <c r="O5449" s="45"/>
      <c r="P5449" s="24"/>
      <c r="Q5449" s="24"/>
      <c r="R5449" s="180"/>
      <c r="S5449" s="181"/>
      <c r="T5449" s="35"/>
      <c r="U5449" s="35"/>
      <c r="V5449" s="35"/>
      <c r="W5449" s="35"/>
      <c r="X5449" s="35"/>
      <c r="Y5449" s="182"/>
      <c r="Z5449" s="175"/>
      <c r="AA5449" s="182"/>
      <c r="AB5449" s="184"/>
    </row>
    <row r="5450" spans="1:28" ht="12.75">
      <c r="A5450" s="173"/>
      <c r="B5450" s="174"/>
      <c r="C5450" s="11"/>
      <c r="D5450" s="175"/>
      <c r="E5450" s="176"/>
      <c r="F5450" s="177"/>
      <c r="G5450" s="178"/>
      <c r="H5450" s="177"/>
      <c r="I5450" s="177"/>
      <c r="J5450" s="179"/>
      <c r="K5450" s="183"/>
      <c r="L5450" s="176"/>
      <c r="M5450" s="177"/>
      <c r="N5450" s="21"/>
      <c r="O5450" s="45"/>
      <c r="P5450" s="24"/>
      <c r="Q5450" s="24"/>
      <c r="R5450" s="180"/>
      <c r="S5450" s="181"/>
      <c r="T5450" s="35"/>
      <c r="U5450" s="35"/>
      <c r="V5450" s="35"/>
      <c r="W5450" s="35"/>
      <c r="X5450" s="35"/>
      <c r="Y5450" s="182"/>
      <c r="Z5450" s="175"/>
      <c r="AA5450" s="182"/>
      <c r="AB5450" s="184"/>
    </row>
    <row r="5451" spans="1:28" ht="12.75">
      <c r="A5451" s="173"/>
      <c r="B5451" s="174"/>
      <c r="C5451" s="11"/>
      <c r="D5451" s="175"/>
      <c r="E5451" s="176"/>
      <c r="F5451" s="177"/>
      <c r="G5451" s="178"/>
      <c r="H5451" s="177"/>
      <c r="I5451" s="177"/>
      <c r="J5451" s="179"/>
      <c r="K5451" s="183"/>
      <c r="L5451" s="176"/>
      <c r="M5451" s="177"/>
      <c r="N5451" s="21"/>
      <c r="O5451" s="45"/>
      <c r="P5451" s="24"/>
      <c r="Q5451" s="24"/>
      <c r="R5451" s="180"/>
      <c r="S5451" s="181"/>
      <c r="T5451" s="35"/>
      <c r="U5451" s="35"/>
      <c r="V5451" s="35"/>
      <c r="W5451" s="35"/>
      <c r="X5451" s="35"/>
      <c r="Y5451" s="182"/>
      <c r="Z5451" s="175"/>
      <c r="AA5451" s="182"/>
      <c r="AB5451" s="184"/>
    </row>
    <row r="5452" spans="1:28" ht="12.75">
      <c r="A5452" s="173"/>
      <c r="B5452" s="174"/>
      <c r="C5452" s="11"/>
      <c r="D5452" s="175"/>
      <c r="E5452" s="176"/>
      <c r="F5452" s="177"/>
      <c r="G5452" s="178"/>
      <c r="H5452" s="177"/>
      <c r="I5452" s="177"/>
      <c r="J5452" s="179"/>
      <c r="K5452" s="183"/>
      <c r="L5452" s="176"/>
      <c r="M5452" s="177"/>
      <c r="N5452" s="21"/>
      <c r="O5452" s="45"/>
      <c r="P5452" s="24"/>
      <c r="Q5452" s="24"/>
      <c r="R5452" s="180"/>
      <c r="S5452" s="181"/>
      <c r="T5452" s="35"/>
      <c r="U5452" s="35"/>
      <c r="V5452" s="35"/>
      <c r="W5452" s="35"/>
      <c r="X5452" s="35"/>
      <c r="Y5452" s="182"/>
      <c r="Z5452" s="175"/>
      <c r="AA5452" s="182"/>
      <c r="AB5452" s="184"/>
    </row>
    <row r="5453" spans="1:28" ht="12.75">
      <c r="A5453" s="173"/>
      <c r="B5453" s="174"/>
      <c r="C5453" s="11"/>
      <c r="D5453" s="175"/>
      <c r="E5453" s="176"/>
      <c r="F5453" s="177"/>
      <c r="G5453" s="178"/>
      <c r="H5453" s="177"/>
      <c r="I5453" s="177"/>
      <c r="J5453" s="179"/>
      <c r="K5453" s="183"/>
      <c r="L5453" s="176"/>
      <c r="M5453" s="177"/>
      <c r="N5453" s="21"/>
      <c r="O5453" s="45"/>
      <c r="P5453" s="24"/>
      <c r="Q5453" s="24"/>
      <c r="R5453" s="180"/>
      <c r="S5453" s="181"/>
      <c r="T5453" s="35"/>
      <c r="U5453" s="35"/>
      <c r="V5453" s="35"/>
      <c r="W5453" s="35"/>
      <c r="X5453" s="35"/>
      <c r="Y5453" s="182"/>
      <c r="Z5453" s="175"/>
      <c r="AA5453" s="182"/>
      <c r="AB5453" s="184"/>
    </row>
    <row r="5454" spans="1:28" ht="12.75">
      <c r="A5454" s="173"/>
      <c r="B5454" s="174"/>
      <c r="C5454" s="11"/>
      <c r="D5454" s="175"/>
      <c r="E5454" s="176"/>
      <c r="F5454" s="177"/>
      <c r="G5454" s="178"/>
      <c r="H5454" s="177"/>
      <c r="I5454" s="177"/>
      <c r="J5454" s="179"/>
      <c r="K5454" s="183"/>
      <c r="L5454" s="176"/>
      <c r="M5454" s="177"/>
      <c r="N5454" s="21"/>
      <c r="O5454" s="45"/>
      <c r="P5454" s="24"/>
      <c r="Q5454" s="24"/>
      <c r="R5454" s="180"/>
      <c r="S5454" s="181"/>
      <c r="T5454" s="35"/>
      <c r="U5454" s="35"/>
      <c r="V5454" s="35"/>
      <c r="W5454" s="35"/>
      <c r="X5454" s="35"/>
      <c r="Y5454" s="182"/>
      <c r="Z5454" s="175"/>
      <c r="AA5454" s="182"/>
      <c r="AB5454" s="184"/>
    </row>
    <row r="5455" spans="1:28" ht="12.75">
      <c r="A5455" s="173"/>
      <c r="B5455" s="174"/>
      <c r="C5455" s="11"/>
      <c r="D5455" s="175"/>
      <c r="E5455" s="176"/>
      <c r="F5455" s="177"/>
      <c r="G5455" s="178"/>
      <c r="H5455" s="177"/>
      <c r="I5455" s="177"/>
      <c r="J5455" s="179"/>
      <c r="K5455" s="183"/>
      <c r="L5455" s="176"/>
      <c r="M5455" s="177"/>
      <c r="N5455" s="21"/>
      <c r="O5455" s="45"/>
      <c r="P5455" s="24"/>
      <c r="Q5455" s="24"/>
      <c r="R5455" s="180"/>
      <c r="S5455" s="181"/>
      <c r="T5455" s="35"/>
      <c r="U5455" s="35"/>
      <c r="V5455" s="35"/>
      <c r="W5455" s="35"/>
      <c r="X5455" s="35"/>
      <c r="Y5455" s="182"/>
      <c r="Z5455" s="175"/>
      <c r="AA5455" s="182"/>
      <c r="AB5455" s="184"/>
    </row>
    <row r="5456" spans="1:28" ht="12.75">
      <c r="A5456" s="173"/>
      <c r="B5456" s="174"/>
      <c r="C5456" s="11"/>
      <c r="D5456" s="175"/>
      <c r="E5456" s="176"/>
      <c r="F5456" s="177"/>
      <c r="G5456" s="178"/>
      <c r="H5456" s="177"/>
      <c r="I5456" s="177"/>
      <c r="J5456" s="179"/>
      <c r="K5456" s="183"/>
      <c r="L5456" s="176"/>
      <c r="M5456" s="177"/>
      <c r="N5456" s="21"/>
      <c r="O5456" s="45"/>
      <c r="P5456" s="24"/>
      <c r="Q5456" s="24"/>
      <c r="R5456" s="180"/>
      <c r="S5456" s="181"/>
      <c r="T5456" s="35"/>
      <c r="U5456" s="35"/>
      <c r="V5456" s="35"/>
      <c r="W5456" s="35"/>
      <c r="X5456" s="35"/>
      <c r="Y5456" s="182"/>
      <c r="Z5456" s="175"/>
      <c r="AA5456" s="182"/>
      <c r="AB5456" s="184"/>
    </row>
    <row r="5457" spans="1:28" ht="12.75">
      <c r="A5457" s="173"/>
      <c r="B5457" s="174"/>
      <c r="C5457" s="11"/>
      <c r="D5457" s="175"/>
      <c r="E5457" s="176"/>
      <c r="F5457" s="177"/>
      <c r="G5457" s="178"/>
      <c r="H5457" s="177"/>
      <c r="I5457" s="177"/>
      <c r="J5457" s="179"/>
      <c r="K5457" s="183"/>
      <c r="L5457" s="176"/>
      <c r="M5457" s="177"/>
      <c r="N5457" s="21"/>
      <c r="O5457" s="45"/>
      <c r="P5457" s="24"/>
      <c r="Q5457" s="24"/>
      <c r="R5457" s="180"/>
      <c r="S5457" s="181"/>
      <c r="T5457" s="35"/>
      <c r="U5457" s="35"/>
      <c r="V5457" s="35"/>
      <c r="W5457" s="35"/>
      <c r="X5457" s="35"/>
      <c r="Y5457" s="182"/>
      <c r="Z5457" s="175"/>
      <c r="AA5457" s="182"/>
      <c r="AB5457" s="184"/>
    </row>
    <row r="5458" spans="1:28" ht="12.75">
      <c r="A5458" s="173"/>
      <c r="B5458" s="174"/>
      <c r="C5458" s="11"/>
      <c r="D5458" s="175"/>
      <c r="E5458" s="176"/>
      <c r="F5458" s="177"/>
      <c r="G5458" s="178"/>
      <c r="H5458" s="177"/>
      <c r="I5458" s="177"/>
      <c r="J5458" s="179"/>
      <c r="K5458" s="183"/>
      <c r="L5458" s="176"/>
      <c r="M5458" s="177"/>
      <c r="N5458" s="21"/>
      <c r="O5458" s="45"/>
      <c r="P5458" s="24"/>
      <c r="Q5458" s="24"/>
      <c r="R5458" s="180"/>
      <c r="S5458" s="181"/>
      <c r="T5458" s="35"/>
      <c r="U5458" s="35"/>
      <c r="V5458" s="35"/>
      <c r="W5458" s="35"/>
      <c r="X5458" s="35"/>
      <c r="Y5458" s="182"/>
      <c r="Z5458" s="175"/>
      <c r="AA5458" s="182"/>
      <c r="AB5458" s="184"/>
    </row>
    <row r="5459" spans="1:28" ht="12.75">
      <c r="A5459" s="173"/>
      <c r="B5459" s="174"/>
      <c r="C5459" s="11"/>
      <c r="D5459" s="175"/>
      <c r="E5459" s="176"/>
      <c r="F5459" s="177"/>
      <c r="G5459" s="178"/>
      <c r="H5459" s="177"/>
      <c r="I5459" s="177"/>
      <c r="J5459" s="179"/>
      <c r="K5459" s="183"/>
      <c r="L5459" s="176"/>
      <c r="M5459" s="177"/>
      <c r="N5459" s="21"/>
      <c r="O5459" s="45"/>
      <c r="P5459" s="24"/>
      <c r="Q5459" s="24"/>
      <c r="R5459" s="180"/>
      <c r="S5459" s="181"/>
      <c r="T5459" s="35"/>
      <c r="U5459" s="35"/>
      <c r="V5459" s="35"/>
      <c r="W5459" s="35"/>
      <c r="X5459" s="35"/>
      <c r="Y5459" s="182"/>
      <c r="Z5459" s="175"/>
      <c r="AA5459" s="182"/>
      <c r="AB5459" s="184"/>
    </row>
    <row r="5460" spans="1:28" ht="12.75">
      <c r="A5460" s="173"/>
      <c r="B5460" s="174"/>
      <c r="C5460" s="11"/>
      <c r="D5460" s="175"/>
      <c r="E5460" s="176"/>
      <c r="F5460" s="177"/>
      <c r="G5460" s="178"/>
      <c r="H5460" s="177"/>
      <c r="I5460" s="177"/>
      <c r="J5460" s="179"/>
      <c r="K5460" s="183"/>
      <c r="L5460" s="176"/>
      <c r="M5460" s="177"/>
      <c r="N5460" s="21"/>
      <c r="O5460" s="45"/>
      <c r="P5460" s="24"/>
      <c r="Q5460" s="24"/>
      <c r="R5460" s="180"/>
      <c r="S5460" s="181"/>
      <c r="T5460" s="35"/>
      <c r="U5460" s="35"/>
      <c r="V5460" s="35"/>
      <c r="W5460" s="35"/>
      <c r="X5460" s="35"/>
      <c r="Y5460" s="182"/>
      <c r="Z5460" s="175"/>
      <c r="AA5460" s="182"/>
      <c r="AB5460" s="184"/>
    </row>
    <row r="5461" spans="1:28" ht="12.75">
      <c r="A5461" s="173"/>
      <c r="B5461" s="174"/>
      <c r="C5461" s="11"/>
      <c r="D5461" s="175"/>
      <c r="E5461" s="176"/>
      <c r="F5461" s="177"/>
      <c r="G5461" s="178"/>
      <c r="H5461" s="177"/>
      <c r="I5461" s="177"/>
      <c r="J5461" s="179"/>
      <c r="K5461" s="183"/>
      <c r="L5461" s="176"/>
      <c r="M5461" s="177"/>
      <c r="N5461" s="21"/>
      <c r="O5461" s="45"/>
      <c r="P5461" s="24"/>
      <c r="Q5461" s="24"/>
      <c r="R5461" s="180"/>
      <c r="S5461" s="181"/>
      <c r="T5461" s="35"/>
      <c r="U5461" s="35"/>
      <c r="V5461" s="35"/>
      <c r="W5461" s="35"/>
      <c r="X5461" s="35"/>
      <c r="Y5461" s="182"/>
      <c r="Z5461" s="175"/>
      <c r="AA5461" s="182"/>
      <c r="AB5461" s="184"/>
    </row>
    <row r="5462" spans="1:28" ht="12.75">
      <c r="A5462" s="173"/>
      <c r="B5462" s="174"/>
      <c r="C5462" s="11"/>
      <c r="D5462" s="175"/>
      <c r="E5462" s="176"/>
      <c r="F5462" s="177"/>
      <c r="G5462" s="178"/>
      <c r="H5462" s="177"/>
      <c r="I5462" s="177"/>
      <c r="J5462" s="179"/>
      <c r="K5462" s="183"/>
      <c r="L5462" s="176"/>
      <c r="M5462" s="177"/>
      <c r="N5462" s="21"/>
      <c r="O5462" s="45"/>
      <c r="P5462" s="24"/>
      <c r="Q5462" s="24"/>
      <c r="R5462" s="180"/>
      <c r="S5462" s="181"/>
      <c r="T5462" s="35"/>
      <c r="U5462" s="35"/>
      <c r="V5462" s="35"/>
      <c r="W5462" s="35"/>
      <c r="X5462" s="35"/>
      <c r="Y5462" s="182"/>
      <c r="Z5462" s="175"/>
      <c r="AA5462" s="182"/>
      <c r="AB5462" s="184"/>
    </row>
    <row r="5463" spans="1:28" ht="12.75">
      <c r="A5463" s="173"/>
      <c r="B5463" s="174"/>
      <c r="C5463" s="11"/>
      <c r="D5463" s="175"/>
      <c r="E5463" s="176"/>
      <c r="F5463" s="177"/>
      <c r="G5463" s="178"/>
      <c r="H5463" s="177"/>
      <c r="I5463" s="177"/>
      <c r="J5463" s="179"/>
      <c r="K5463" s="183"/>
      <c r="L5463" s="176"/>
      <c r="M5463" s="177"/>
      <c r="N5463" s="21"/>
      <c r="O5463" s="45"/>
      <c r="P5463" s="24"/>
      <c r="Q5463" s="24"/>
      <c r="R5463" s="180"/>
      <c r="S5463" s="181"/>
      <c r="T5463" s="35"/>
      <c r="U5463" s="35"/>
      <c r="V5463" s="35"/>
      <c r="W5463" s="35"/>
      <c r="X5463" s="35"/>
      <c r="Y5463" s="182"/>
      <c r="Z5463" s="175"/>
      <c r="AA5463" s="182"/>
      <c r="AB5463" s="184"/>
    </row>
    <row r="5464" spans="1:28" ht="12.75">
      <c r="A5464" s="173"/>
      <c r="B5464" s="174"/>
      <c r="C5464" s="11"/>
      <c r="D5464" s="175"/>
      <c r="E5464" s="176"/>
      <c r="F5464" s="177"/>
      <c r="G5464" s="178"/>
      <c r="H5464" s="177"/>
      <c r="I5464" s="177"/>
      <c r="J5464" s="179"/>
      <c r="K5464" s="183"/>
      <c r="L5464" s="176"/>
      <c r="M5464" s="177"/>
      <c r="N5464" s="21"/>
      <c r="O5464" s="45"/>
      <c r="P5464" s="24"/>
      <c r="Q5464" s="24"/>
      <c r="R5464" s="180"/>
      <c r="S5464" s="181"/>
      <c r="T5464" s="35"/>
      <c r="U5464" s="35"/>
      <c r="V5464" s="35"/>
      <c r="W5464" s="35"/>
      <c r="X5464" s="35"/>
      <c r="Y5464" s="182"/>
      <c r="Z5464" s="175"/>
      <c r="AA5464" s="182"/>
      <c r="AB5464" s="184"/>
    </row>
    <row r="5465" spans="1:28" ht="12.75">
      <c r="A5465" s="173"/>
      <c r="B5465" s="174"/>
      <c r="C5465" s="11"/>
      <c r="D5465" s="175"/>
      <c r="E5465" s="176"/>
      <c r="F5465" s="177"/>
      <c r="G5465" s="178"/>
      <c r="H5465" s="177"/>
      <c r="I5465" s="177"/>
      <c r="J5465" s="179"/>
      <c r="K5465" s="183"/>
      <c r="L5465" s="176"/>
      <c r="M5465" s="177"/>
      <c r="N5465" s="21"/>
      <c r="O5465" s="45"/>
      <c r="P5465" s="24"/>
      <c r="Q5465" s="24"/>
      <c r="R5465" s="180"/>
      <c r="S5465" s="181"/>
      <c r="T5465" s="35"/>
      <c r="U5465" s="35"/>
      <c r="V5465" s="35"/>
      <c r="W5465" s="35"/>
      <c r="X5465" s="35"/>
      <c r="Y5465" s="182"/>
      <c r="Z5465" s="175"/>
      <c r="AA5465" s="182"/>
      <c r="AB5465" s="184"/>
    </row>
    <row r="5466" spans="1:28" ht="12.75">
      <c r="A5466" s="173"/>
      <c r="B5466" s="174"/>
      <c r="C5466" s="11"/>
      <c r="D5466" s="175"/>
      <c r="E5466" s="176"/>
      <c r="F5466" s="177"/>
      <c r="G5466" s="178"/>
      <c r="H5466" s="177"/>
      <c r="I5466" s="177"/>
      <c r="J5466" s="179"/>
      <c r="K5466" s="183"/>
      <c r="L5466" s="176"/>
      <c r="M5466" s="177"/>
      <c r="N5466" s="21"/>
      <c r="O5466" s="45"/>
      <c r="P5466" s="24"/>
      <c r="Q5466" s="24"/>
      <c r="R5466" s="180"/>
      <c r="S5466" s="181"/>
      <c r="T5466" s="35"/>
      <c r="U5466" s="35"/>
      <c r="V5466" s="35"/>
      <c r="W5466" s="35"/>
      <c r="X5466" s="35"/>
      <c r="Y5466" s="182"/>
      <c r="Z5466" s="175"/>
      <c r="AA5466" s="182"/>
      <c r="AB5466" s="184"/>
    </row>
    <row r="5467" spans="1:28" ht="12.75">
      <c r="A5467" s="173"/>
      <c r="B5467" s="174"/>
      <c r="C5467" s="11"/>
      <c r="D5467" s="175"/>
      <c r="E5467" s="176"/>
      <c r="F5467" s="177"/>
      <c r="G5467" s="178"/>
      <c r="H5467" s="177"/>
      <c r="I5467" s="177"/>
      <c r="J5467" s="179"/>
      <c r="K5467" s="183"/>
      <c r="L5467" s="176"/>
      <c r="M5467" s="177"/>
      <c r="N5467" s="21"/>
      <c r="O5467" s="45"/>
      <c r="P5467" s="24"/>
      <c r="Q5467" s="24"/>
      <c r="R5467" s="180"/>
      <c r="S5467" s="181"/>
      <c r="T5467" s="35"/>
      <c r="U5467" s="35"/>
      <c r="V5467" s="35"/>
      <c r="W5467" s="35"/>
      <c r="X5467" s="35"/>
      <c r="Y5467" s="182"/>
      <c r="Z5467" s="175"/>
      <c r="AA5467" s="182"/>
      <c r="AB5467" s="184"/>
    </row>
    <row r="5468" spans="1:28" ht="12.75">
      <c r="A5468" s="173"/>
      <c r="B5468" s="174"/>
      <c r="C5468" s="11"/>
      <c r="D5468" s="175"/>
      <c r="E5468" s="176"/>
      <c r="F5468" s="177"/>
      <c r="G5468" s="178"/>
      <c r="H5468" s="177"/>
      <c r="I5468" s="177"/>
      <c r="J5468" s="179"/>
      <c r="K5468" s="183"/>
      <c r="L5468" s="176"/>
      <c r="M5468" s="177"/>
      <c r="N5468" s="21"/>
      <c r="O5468" s="45"/>
      <c r="P5468" s="24"/>
      <c r="Q5468" s="24"/>
      <c r="R5468" s="180"/>
      <c r="S5468" s="181"/>
      <c r="T5468" s="35"/>
      <c r="U5468" s="35"/>
      <c r="V5468" s="35"/>
      <c r="W5468" s="35"/>
      <c r="X5468" s="35"/>
      <c r="Y5468" s="182"/>
      <c r="Z5468" s="175"/>
      <c r="AA5468" s="182"/>
      <c r="AB5468" s="184"/>
    </row>
    <row r="5469" spans="1:28" ht="12.75">
      <c r="A5469" s="173"/>
      <c r="B5469" s="174"/>
      <c r="C5469" s="11"/>
      <c r="D5469" s="175"/>
      <c r="E5469" s="176"/>
      <c r="F5469" s="177"/>
      <c r="G5469" s="178"/>
      <c r="H5469" s="177"/>
      <c r="I5469" s="177"/>
      <c r="J5469" s="179"/>
      <c r="K5469" s="183"/>
      <c r="L5469" s="176"/>
      <c r="M5469" s="177"/>
      <c r="N5469" s="21"/>
      <c r="O5469" s="45"/>
      <c r="P5469" s="24"/>
      <c r="Q5469" s="24"/>
      <c r="R5469" s="180"/>
      <c r="S5469" s="181"/>
      <c r="T5469" s="35"/>
      <c r="U5469" s="35"/>
      <c r="V5469" s="35"/>
      <c r="W5469" s="35"/>
      <c r="X5469" s="35"/>
      <c r="Y5469" s="182"/>
      <c r="Z5469" s="175"/>
      <c r="AA5469" s="182"/>
      <c r="AB5469" s="184"/>
    </row>
    <row r="5470" spans="1:28" ht="12.75">
      <c r="A5470" s="173"/>
      <c r="B5470" s="174"/>
      <c r="C5470" s="11"/>
      <c r="D5470" s="175"/>
      <c r="E5470" s="176"/>
      <c r="F5470" s="177"/>
      <c r="G5470" s="178"/>
      <c r="H5470" s="177"/>
      <c r="I5470" s="177"/>
      <c r="J5470" s="179"/>
      <c r="K5470" s="183"/>
      <c r="L5470" s="176"/>
      <c r="M5470" s="177"/>
      <c r="N5470" s="21"/>
      <c r="O5470" s="45"/>
      <c r="P5470" s="24"/>
      <c r="Q5470" s="24"/>
      <c r="R5470" s="180"/>
      <c r="S5470" s="181"/>
      <c r="T5470" s="35"/>
      <c r="U5470" s="35"/>
      <c r="V5470" s="35"/>
      <c r="W5470" s="35"/>
      <c r="X5470" s="35"/>
      <c r="Y5470" s="182"/>
      <c r="Z5470" s="175"/>
      <c r="AA5470" s="182"/>
      <c r="AB5470" s="184"/>
    </row>
    <row r="5471" spans="1:28" ht="12.75">
      <c r="A5471" s="173"/>
      <c r="B5471" s="174"/>
      <c r="C5471" s="11"/>
      <c r="D5471" s="175"/>
      <c r="E5471" s="176"/>
      <c r="F5471" s="177"/>
      <c r="G5471" s="178"/>
      <c r="H5471" s="177"/>
      <c r="I5471" s="177"/>
      <c r="J5471" s="179"/>
      <c r="K5471" s="183"/>
      <c r="L5471" s="176"/>
      <c r="M5471" s="177"/>
      <c r="N5471" s="21"/>
      <c r="O5471" s="45"/>
      <c r="P5471" s="24"/>
      <c r="Q5471" s="24"/>
      <c r="R5471" s="180"/>
      <c r="S5471" s="181"/>
      <c r="T5471" s="35"/>
      <c r="U5471" s="35"/>
      <c r="V5471" s="35"/>
      <c r="W5471" s="35"/>
      <c r="X5471" s="35"/>
      <c r="Y5471" s="182"/>
      <c r="Z5471" s="175"/>
      <c r="AA5471" s="182"/>
      <c r="AB5471" s="184"/>
    </row>
    <row r="5472" spans="1:28" ht="12.75">
      <c r="A5472" s="173"/>
      <c r="B5472" s="174"/>
      <c r="C5472" s="11"/>
      <c r="D5472" s="175"/>
      <c r="E5472" s="176"/>
      <c r="F5472" s="177"/>
      <c r="G5472" s="178"/>
      <c r="H5472" s="177"/>
      <c r="I5472" s="177"/>
      <c r="J5472" s="179"/>
      <c r="K5472" s="183"/>
      <c r="L5472" s="176"/>
      <c r="M5472" s="177"/>
      <c r="N5472" s="21"/>
      <c r="O5472" s="45"/>
      <c r="P5472" s="24"/>
      <c r="Q5472" s="24"/>
      <c r="R5472" s="180"/>
      <c r="S5472" s="181"/>
      <c r="T5472" s="35"/>
      <c r="U5472" s="35"/>
      <c r="V5472" s="35"/>
      <c r="W5472" s="35"/>
      <c r="X5472" s="35"/>
      <c r="Y5472" s="182"/>
      <c r="Z5472" s="175"/>
      <c r="AA5472" s="182"/>
      <c r="AB5472" s="184"/>
    </row>
    <row r="5473" spans="1:28" ht="12.75">
      <c r="A5473" s="173"/>
      <c r="B5473" s="174"/>
      <c r="C5473" s="11"/>
      <c r="D5473" s="175"/>
      <c r="E5473" s="176"/>
      <c r="F5473" s="177"/>
      <c r="G5473" s="178"/>
      <c r="H5473" s="177"/>
      <c r="I5473" s="177"/>
      <c r="J5473" s="179"/>
      <c r="K5473" s="183"/>
      <c r="L5473" s="176"/>
      <c r="M5473" s="177"/>
      <c r="N5473" s="21"/>
      <c r="O5473" s="45"/>
      <c r="P5473" s="24"/>
      <c r="Q5473" s="24"/>
      <c r="R5473" s="180"/>
      <c r="S5473" s="181"/>
      <c r="T5473" s="35"/>
      <c r="U5473" s="35"/>
      <c r="V5473" s="35"/>
      <c r="W5473" s="35"/>
      <c r="X5473" s="35"/>
      <c r="Y5473" s="182"/>
      <c r="Z5473" s="175"/>
      <c r="AA5473" s="182"/>
      <c r="AB5473" s="184"/>
    </row>
    <row r="5474" spans="1:28" ht="12.75">
      <c r="A5474" s="173"/>
      <c r="B5474" s="174"/>
      <c r="C5474" s="11"/>
      <c r="D5474" s="175"/>
      <c r="E5474" s="176"/>
      <c r="F5474" s="177"/>
      <c r="G5474" s="178"/>
      <c r="H5474" s="177"/>
      <c r="I5474" s="177"/>
      <c r="J5474" s="179"/>
      <c r="K5474" s="183"/>
      <c r="L5474" s="176"/>
      <c r="M5474" s="177"/>
      <c r="N5474" s="21"/>
      <c r="O5474" s="45"/>
      <c r="P5474" s="24"/>
      <c r="Q5474" s="24"/>
      <c r="R5474" s="180"/>
      <c r="S5474" s="181"/>
      <c r="T5474" s="35"/>
      <c r="U5474" s="35"/>
      <c r="V5474" s="35"/>
      <c r="W5474" s="35"/>
      <c r="X5474" s="35"/>
      <c r="Y5474" s="182"/>
      <c r="Z5474" s="175"/>
      <c r="AA5474" s="182"/>
      <c r="AB5474" s="184"/>
    </row>
    <row r="5475" spans="1:28" ht="12.75">
      <c r="A5475" s="173"/>
      <c r="B5475" s="174"/>
      <c r="C5475" s="11"/>
      <c r="D5475" s="175"/>
      <c r="E5475" s="176"/>
      <c r="F5475" s="177"/>
      <c r="G5475" s="178"/>
      <c r="H5475" s="177"/>
      <c r="I5475" s="177"/>
      <c r="J5475" s="179"/>
      <c r="K5475" s="183"/>
      <c r="L5475" s="176"/>
      <c r="M5475" s="177"/>
      <c r="N5475" s="21"/>
      <c r="O5475" s="45"/>
      <c r="P5475" s="24"/>
      <c r="Q5475" s="24"/>
      <c r="R5475" s="180"/>
      <c r="S5475" s="181"/>
      <c r="T5475" s="35"/>
      <c r="U5475" s="35"/>
      <c r="V5475" s="35"/>
      <c r="W5475" s="35"/>
      <c r="X5475" s="35"/>
      <c r="Y5475" s="182"/>
      <c r="Z5475" s="175"/>
      <c r="AA5475" s="182"/>
      <c r="AB5475" s="184"/>
    </row>
    <row r="5476" spans="1:28" ht="12.75">
      <c r="A5476" s="173"/>
      <c r="B5476" s="174"/>
      <c r="C5476" s="11"/>
      <c r="D5476" s="175"/>
      <c r="E5476" s="176"/>
      <c r="F5476" s="177"/>
      <c r="G5476" s="178"/>
      <c r="H5476" s="177"/>
      <c r="I5476" s="177"/>
      <c r="J5476" s="179"/>
      <c r="K5476" s="183"/>
      <c r="L5476" s="176"/>
      <c r="M5476" s="177"/>
      <c r="N5476" s="21"/>
      <c r="O5476" s="45"/>
      <c r="P5476" s="24"/>
      <c r="Q5476" s="24"/>
      <c r="R5476" s="180"/>
      <c r="S5476" s="181"/>
      <c r="T5476" s="35"/>
      <c r="U5476" s="35"/>
      <c r="V5476" s="35"/>
      <c r="W5476" s="35"/>
      <c r="X5476" s="35"/>
      <c r="Y5476" s="182"/>
      <c r="Z5476" s="175"/>
      <c r="AA5476" s="182"/>
      <c r="AB5476" s="184"/>
    </row>
    <row r="5477" spans="1:28" ht="12.75">
      <c r="A5477" s="173"/>
      <c r="B5477" s="174"/>
      <c r="C5477" s="11"/>
      <c r="D5477" s="175"/>
      <c r="E5477" s="176"/>
      <c r="F5477" s="177"/>
      <c r="G5477" s="178"/>
      <c r="H5477" s="177"/>
      <c r="I5477" s="177"/>
      <c r="J5477" s="179"/>
      <c r="K5477" s="183"/>
      <c r="L5477" s="176"/>
      <c r="M5477" s="177"/>
      <c r="N5477" s="21"/>
      <c r="O5477" s="45"/>
      <c r="P5477" s="24"/>
      <c r="Q5477" s="24"/>
      <c r="R5477" s="180"/>
      <c r="S5477" s="181"/>
      <c r="T5477" s="35"/>
      <c r="U5477" s="35"/>
      <c r="V5477" s="35"/>
      <c r="W5477" s="35"/>
      <c r="X5477" s="35"/>
      <c r="Y5477" s="182"/>
      <c r="Z5477" s="175"/>
      <c r="AA5477" s="182"/>
      <c r="AB5477" s="184"/>
    </row>
    <row r="5478" spans="1:28" ht="12.75">
      <c r="A5478" s="173"/>
      <c r="B5478" s="174"/>
      <c r="C5478" s="11"/>
      <c r="D5478" s="175"/>
      <c r="E5478" s="176"/>
      <c r="F5478" s="177"/>
      <c r="G5478" s="178"/>
      <c r="H5478" s="177"/>
      <c r="I5478" s="177"/>
      <c r="J5478" s="179"/>
      <c r="K5478" s="183"/>
      <c r="L5478" s="176"/>
      <c r="M5478" s="177"/>
      <c r="N5478" s="21"/>
      <c r="O5478" s="45"/>
      <c r="P5478" s="24"/>
      <c r="Q5478" s="24"/>
      <c r="R5478" s="180"/>
      <c r="S5478" s="181"/>
      <c r="T5478" s="35"/>
      <c r="U5478" s="35"/>
      <c r="V5478" s="35"/>
      <c r="W5478" s="35"/>
      <c r="X5478" s="35"/>
      <c r="Y5478" s="182"/>
      <c r="Z5478" s="175"/>
      <c r="AA5478" s="182"/>
      <c r="AB5478" s="184"/>
    </row>
    <row r="5479" spans="1:28" ht="12.75">
      <c r="A5479" s="173"/>
      <c r="B5479" s="174"/>
      <c r="C5479" s="11"/>
      <c r="D5479" s="175"/>
      <c r="E5479" s="176"/>
      <c r="F5479" s="177"/>
      <c r="G5479" s="178"/>
      <c r="H5479" s="177"/>
      <c r="I5479" s="177"/>
      <c r="J5479" s="179"/>
      <c r="K5479" s="183"/>
      <c r="L5479" s="176"/>
      <c r="M5479" s="177"/>
      <c r="N5479" s="21"/>
      <c r="O5479" s="45"/>
      <c r="P5479" s="24"/>
      <c r="Q5479" s="24"/>
      <c r="R5479" s="180"/>
      <c r="S5479" s="181"/>
      <c r="T5479" s="35"/>
      <c r="U5479" s="35"/>
      <c r="V5479" s="35"/>
      <c r="W5479" s="35"/>
      <c r="X5479" s="35"/>
      <c r="Y5479" s="182"/>
      <c r="Z5479" s="175"/>
      <c r="AA5479" s="182"/>
      <c r="AB5479" s="184"/>
    </row>
    <row r="5480" spans="1:28" ht="12.75">
      <c r="A5480" s="173"/>
      <c r="B5480" s="174"/>
      <c r="C5480" s="11"/>
      <c r="D5480" s="175"/>
      <c r="E5480" s="176"/>
      <c r="F5480" s="177"/>
      <c r="G5480" s="178"/>
      <c r="H5480" s="177"/>
      <c r="I5480" s="177"/>
      <c r="J5480" s="179"/>
      <c r="K5480" s="183"/>
      <c r="L5480" s="176"/>
      <c r="M5480" s="177"/>
      <c r="N5480" s="21"/>
      <c r="O5480" s="45"/>
      <c r="P5480" s="24"/>
      <c r="Q5480" s="24"/>
      <c r="R5480" s="180"/>
      <c r="S5480" s="181"/>
      <c r="T5480" s="35"/>
      <c r="U5480" s="35"/>
      <c r="V5480" s="35"/>
      <c r="W5480" s="35"/>
      <c r="X5480" s="35"/>
      <c r="Y5480" s="182"/>
      <c r="Z5480" s="175"/>
      <c r="AA5480" s="182"/>
      <c r="AB5480" s="184"/>
    </row>
    <row r="5481" spans="1:28" ht="12.75">
      <c r="A5481" s="173"/>
      <c r="B5481" s="174"/>
      <c r="C5481" s="11"/>
      <c r="D5481" s="175"/>
      <c r="E5481" s="176"/>
      <c r="F5481" s="177"/>
      <c r="G5481" s="178"/>
      <c r="H5481" s="177"/>
      <c r="I5481" s="177"/>
      <c r="J5481" s="179"/>
      <c r="K5481" s="183"/>
      <c r="L5481" s="176"/>
      <c r="M5481" s="177"/>
      <c r="N5481" s="21"/>
      <c r="O5481" s="45"/>
      <c r="P5481" s="24"/>
      <c r="Q5481" s="24"/>
      <c r="R5481" s="180"/>
      <c r="S5481" s="181"/>
      <c r="T5481" s="35"/>
      <c r="U5481" s="35"/>
      <c r="V5481" s="35"/>
      <c r="W5481" s="35"/>
      <c r="X5481" s="35"/>
      <c r="Y5481" s="182"/>
      <c r="Z5481" s="175"/>
      <c r="AA5481" s="182"/>
      <c r="AB5481" s="184"/>
    </row>
    <row r="5482" spans="1:28" ht="12.75">
      <c r="A5482" s="173"/>
      <c r="B5482" s="174"/>
      <c r="C5482" s="11"/>
      <c r="D5482" s="175"/>
      <c r="E5482" s="176"/>
      <c r="F5482" s="177"/>
      <c r="G5482" s="178"/>
      <c r="H5482" s="177"/>
      <c r="I5482" s="177"/>
      <c r="J5482" s="179"/>
      <c r="K5482" s="183"/>
      <c r="L5482" s="176"/>
      <c r="M5482" s="177"/>
      <c r="N5482" s="21"/>
      <c r="O5482" s="45"/>
      <c r="P5482" s="24"/>
      <c r="Q5482" s="24"/>
      <c r="R5482" s="180"/>
      <c r="S5482" s="181"/>
      <c r="T5482" s="35"/>
      <c r="U5482" s="35"/>
      <c r="V5482" s="35"/>
      <c r="W5482" s="35"/>
      <c r="X5482" s="35"/>
      <c r="Y5482" s="182"/>
      <c r="Z5482" s="175"/>
      <c r="AA5482" s="182"/>
      <c r="AB5482" s="184"/>
    </row>
    <row r="5483" spans="1:28" ht="12.75">
      <c r="A5483" s="173"/>
      <c r="B5483" s="174"/>
      <c r="C5483" s="11"/>
      <c r="D5483" s="175"/>
      <c r="E5483" s="176"/>
      <c r="F5483" s="177"/>
      <c r="G5483" s="178"/>
      <c r="H5483" s="177"/>
      <c r="I5483" s="177"/>
      <c r="J5483" s="179"/>
      <c r="K5483" s="183"/>
      <c r="L5483" s="176"/>
      <c r="M5483" s="177"/>
      <c r="N5483" s="21"/>
      <c r="O5483" s="45"/>
      <c r="P5483" s="24"/>
      <c r="Q5483" s="24"/>
      <c r="R5483" s="180"/>
      <c r="S5483" s="181"/>
      <c r="T5483" s="35"/>
      <c r="U5483" s="35"/>
      <c r="V5483" s="35"/>
      <c r="W5483" s="35"/>
      <c r="X5483" s="35"/>
      <c r="Y5483" s="182"/>
      <c r="Z5483" s="175"/>
      <c r="AA5483" s="182"/>
      <c r="AB5483" s="184"/>
    </row>
    <row r="5484" spans="1:28" ht="12.75">
      <c r="A5484" s="173"/>
      <c r="B5484" s="174"/>
      <c r="C5484" s="11"/>
      <c r="D5484" s="175"/>
      <c r="E5484" s="176"/>
      <c r="F5484" s="177"/>
      <c r="G5484" s="178"/>
      <c r="H5484" s="177"/>
      <c r="I5484" s="177"/>
      <c r="J5484" s="179"/>
      <c r="K5484" s="183"/>
      <c r="L5484" s="176"/>
      <c r="M5484" s="177"/>
      <c r="N5484" s="21"/>
      <c r="O5484" s="45"/>
      <c r="P5484" s="24"/>
      <c r="Q5484" s="24"/>
      <c r="R5484" s="180"/>
      <c r="S5484" s="181"/>
      <c r="T5484" s="35"/>
      <c r="U5484" s="35"/>
      <c r="V5484" s="35"/>
      <c r="W5484" s="35"/>
      <c r="X5484" s="35"/>
      <c r="Y5484" s="182"/>
      <c r="Z5484" s="175"/>
      <c r="AA5484" s="182"/>
      <c r="AB5484" s="184"/>
    </row>
    <row r="5485" spans="1:28" ht="12.75">
      <c r="A5485" s="173"/>
      <c r="B5485" s="174"/>
      <c r="C5485" s="11"/>
      <c r="D5485" s="175"/>
      <c r="E5485" s="176"/>
      <c r="F5485" s="177"/>
      <c r="G5485" s="178"/>
      <c r="H5485" s="177"/>
      <c r="I5485" s="177"/>
      <c r="J5485" s="179"/>
      <c r="K5485" s="183"/>
      <c r="L5485" s="176"/>
      <c r="M5485" s="177"/>
      <c r="N5485" s="21"/>
      <c r="O5485" s="45"/>
      <c r="P5485" s="24"/>
      <c r="Q5485" s="24"/>
      <c r="R5485" s="180"/>
      <c r="S5485" s="181"/>
      <c r="T5485" s="35"/>
      <c r="U5485" s="35"/>
      <c r="V5485" s="35"/>
      <c r="W5485" s="35"/>
      <c r="X5485" s="35"/>
      <c r="Y5485" s="182"/>
      <c r="Z5485" s="175"/>
      <c r="AA5485" s="182"/>
      <c r="AB5485" s="184"/>
    </row>
    <row r="5486" spans="1:28" ht="12.75">
      <c r="A5486" s="173"/>
      <c r="B5486" s="174"/>
      <c r="C5486" s="11"/>
      <c r="D5486" s="175"/>
      <c r="E5486" s="176"/>
      <c r="F5486" s="177"/>
      <c r="G5486" s="178"/>
      <c r="H5486" s="177"/>
      <c r="I5486" s="177"/>
      <c r="J5486" s="179"/>
      <c r="K5486" s="183"/>
      <c r="L5486" s="176"/>
      <c r="M5486" s="177"/>
      <c r="N5486" s="21"/>
      <c r="O5486" s="45"/>
      <c r="P5486" s="24"/>
      <c r="Q5486" s="24"/>
      <c r="R5486" s="180"/>
      <c r="S5486" s="181"/>
      <c r="T5486" s="35"/>
      <c r="U5486" s="35"/>
      <c r="V5486" s="35"/>
      <c r="W5486" s="35"/>
      <c r="X5486" s="35"/>
      <c r="Y5486" s="182"/>
      <c r="Z5486" s="175"/>
      <c r="AA5486" s="182"/>
      <c r="AB5486" s="184"/>
    </row>
    <row r="5487" spans="1:28" ht="12.75">
      <c r="A5487" s="173"/>
      <c r="B5487" s="174"/>
      <c r="C5487" s="11"/>
      <c r="D5487" s="175"/>
      <c r="E5487" s="176"/>
      <c r="F5487" s="177"/>
      <c r="G5487" s="178"/>
      <c r="H5487" s="177"/>
      <c r="I5487" s="177"/>
      <c r="J5487" s="179"/>
      <c r="K5487" s="183"/>
      <c r="L5487" s="176"/>
      <c r="M5487" s="177"/>
      <c r="N5487" s="21"/>
      <c r="O5487" s="45"/>
      <c r="P5487" s="24"/>
      <c r="Q5487" s="24"/>
      <c r="R5487" s="180"/>
      <c r="S5487" s="181"/>
      <c r="T5487" s="35"/>
      <c r="U5487" s="35"/>
      <c r="V5487" s="35"/>
      <c r="W5487" s="35"/>
      <c r="X5487" s="35"/>
      <c r="Y5487" s="182"/>
      <c r="Z5487" s="175"/>
      <c r="AA5487" s="182"/>
      <c r="AB5487" s="184"/>
    </row>
    <row r="5488" spans="1:28" ht="12.75">
      <c r="A5488" s="173"/>
      <c r="B5488" s="174"/>
      <c r="C5488" s="11"/>
      <c r="D5488" s="175"/>
      <c r="E5488" s="176"/>
      <c r="F5488" s="177"/>
      <c r="G5488" s="178"/>
      <c r="H5488" s="177"/>
      <c r="I5488" s="177"/>
      <c r="J5488" s="179"/>
      <c r="K5488" s="183"/>
      <c r="L5488" s="176"/>
      <c r="M5488" s="177"/>
      <c r="N5488" s="21"/>
      <c r="O5488" s="45"/>
      <c r="P5488" s="24"/>
      <c r="Q5488" s="24"/>
      <c r="R5488" s="180"/>
      <c r="S5488" s="181"/>
      <c r="T5488" s="35"/>
      <c r="U5488" s="35"/>
      <c r="V5488" s="35"/>
      <c r="W5488" s="35"/>
      <c r="X5488" s="35"/>
      <c r="Y5488" s="182"/>
      <c r="Z5488" s="175"/>
      <c r="AA5488" s="182"/>
      <c r="AB5488" s="184"/>
    </row>
    <row r="5489" spans="1:28" ht="12.75">
      <c r="A5489" s="173"/>
      <c r="B5489" s="174"/>
      <c r="C5489" s="11"/>
      <c r="D5489" s="175"/>
      <c r="E5489" s="176"/>
      <c r="F5489" s="177"/>
      <c r="G5489" s="178"/>
      <c r="H5489" s="177"/>
      <c r="I5489" s="177"/>
      <c r="J5489" s="179"/>
      <c r="K5489" s="183"/>
      <c r="L5489" s="176"/>
      <c r="M5489" s="177"/>
      <c r="N5489" s="21"/>
      <c r="O5489" s="45"/>
      <c r="P5489" s="24"/>
      <c r="Q5489" s="24"/>
      <c r="R5489" s="180"/>
      <c r="S5489" s="181"/>
      <c r="T5489" s="35"/>
      <c r="U5489" s="35"/>
      <c r="V5489" s="35"/>
      <c r="W5489" s="35"/>
      <c r="X5489" s="35"/>
      <c r="Y5489" s="182"/>
      <c r="Z5489" s="175"/>
      <c r="AA5489" s="182"/>
      <c r="AB5489" s="184"/>
    </row>
    <row r="5490" spans="1:28" ht="12.75">
      <c r="A5490" s="173"/>
      <c r="B5490" s="174"/>
      <c r="C5490" s="11"/>
      <c r="D5490" s="175"/>
      <c r="E5490" s="176"/>
      <c r="F5490" s="177"/>
      <c r="G5490" s="178"/>
      <c r="H5490" s="177"/>
      <c r="I5490" s="177"/>
      <c r="J5490" s="179"/>
      <c r="K5490" s="183"/>
      <c r="L5490" s="176"/>
      <c r="M5490" s="177"/>
      <c r="N5490" s="21"/>
      <c r="O5490" s="45"/>
      <c r="P5490" s="24"/>
      <c r="Q5490" s="24"/>
      <c r="R5490" s="180"/>
      <c r="S5490" s="181"/>
      <c r="T5490" s="35"/>
      <c r="U5490" s="35"/>
      <c r="V5490" s="35"/>
      <c r="W5490" s="35"/>
      <c r="X5490" s="35"/>
      <c r="Y5490" s="182"/>
      <c r="Z5490" s="175"/>
      <c r="AA5490" s="182"/>
      <c r="AB5490" s="184"/>
    </row>
    <row r="5491" spans="1:28" ht="12.75">
      <c r="A5491" s="173"/>
      <c r="B5491" s="174"/>
      <c r="C5491" s="11"/>
      <c r="D5491" s="175"/>
      <c r="E5491" s="176"/>
      <c r="F5491" s="177"/>
      <c r="G5491" s="178"/>
      <c r="H5491" s="177"/>
      <c r="I5491" s="177"/>
      <c r="J5491" s="179"/>
      <c r="K5491" s="183"/>
      <c r="L5491" s="176"/>
      <c r="M5491" s="177"/>
      <c r="N5491" s="21"/>
      <c r="O5491" s="45"/>
      <c r="P5491" s="24"/>
      <c r="Q5491" s="24"/>
      <c r="R5491" s="180"/>
      <c r="S5491" s="181"/>
      <c r="T5491" s="35"/>
      <c r="U5491" s="35"/>
      <c r="V5491" s="35"/>
      <c r="W5491" s="35"/>
      <c r="X5491" s="35"/>
      <c r="Y5491" s="182"/>
      <c r="Z5491" s="175"/>
      <c r="AA5491" s="182"/>
      <c r="AB5491" s="184"/>
    </row>
    <row r="5492" spans="1:28" ht="12.75">
      <c r="A5492" s="173"/>
      <c r="B5492" s="174"/>
      <c r="C5492" s="11"/>
      <c r="D5492" s="175"/>
      <c r="E5492" s="176"/>
      <c r="F5492" s="177"/>
      <c r="G5492" s="178"/>
      <c r="H5492" s="177"/>
      <c r="I5492" s="177"/>
      <c r="J5492" s="179"/>
      <c r="K5492" s="183"/>
      <c r="L5492" s="176"/>
      <c r="M5492" s="177"/>
      <c r="N5492" s="21"/>
      <c r="O5492" s="45"/>
      <c r="P5492" s="24"/>
      <c r="Q5492" s="24"/>
      <c r="R5492" s="180"/>
      <c r="S5492" s="181"/>
      <c r="T5492" s="35"/>
      <c r="U5492" s="35"/>
      <c r="V5492" s="35"/>
      <c r="W5492" s="35"/>
      <c r="X5492" s="35"/>
      <c r="Y5492" s="182"/>
      <c r="Z5492" s="175"/>
      <c r="AA5492" s="182"/>
      <c r="AB5492" s="184"/>
    </row>
    <row r="5493" spans="1:28" ht="12.75">
      <c r="A5493" s="173"/>
      <c r="B5493" s="174"/>
      <c r="C5493" s="11"/>
      <c r="D5493" s="175"/>
      <c r="E5493" s="176"/>
      <c r="F5493" s="177"/>
      <c r="G5493" s="178"/>
      <c r="H5493" s="177"/>
      <c r="I5493" s="177"/>
      <c r="J5493" s="179"/>
      <c r="K5493" s="183"/>
      <c r="L5493" s="176"/>
      <c r="M5493" s="177"/>
      <c r="N5493" s="21"/>
      <c r="O5493" s="45"/>
      <c r="P5493" s="24"/>
      <c r="Q5493" s="24"/>
      <c r="R5493" s="180"/>
      <c r="S5493" s="181"/>
      <c r="T5493" s="35"/>
      <c r="U5493" s="35"/>
      <c r="V5493" s="35"/>
      <c r="W5493" s="35"/>
      <c r="X5493" s="35"/>
      <c r="Y5493" s="182"/>
      <c r="Z5493" s="175"/>
      <c r="AA5493" s="182"/>
      <c r="AB5493" s="184"/>
    </row>
    <row r="5494" spans="1:28" ht="12.75">
      <c r="A5494" s="173"/>
      <c r="B5494" s="174"/>
      <c r="C5494" s="11"/>
      <c r="D5494" s="175"/>
      <c r="E5494" s="176"/>
      <c r="F5494" s="177"/>
      <c r="G5494" s="178"/>
      <c r="H5494" s="177"/>
      <c r="I5494" s="177"/>
      <c r="J5494" s="179"/>
      <c r="K5494" s="183"/>
      <c r="L5494" s="176"/>
      <c r="M5494" s="177"/>
      <c r="N5494" s="21"/>
      <c r="O5494" s="45"/>
      <c r="P5494" s="24"/>
      <c r="Q5494" s="24"/>
      <c r="R5494" s="180"/>
      <c r="S5494" s="181"/>
      <c r="T5494" s="35"/>
      <c r="U5494" s="35"/>
      <c r="V5494" s="35"/>
      <c r="W5494" s="35"/>
      <c r="X5494" s="35"/>
      <c r="Y5494" s="182"/>
      <c r="Z5494" s="175"/>
      <c r="AA5494" s="182"/>
      <c r="AB5494" s="184"/>
    </row>
    <row r="5495" spans="1:28" ht="12.75">
      <c r="A5495" s="173"/>
      <c r="B5495" s="174"/>
      <c r="C5495" s="11"/>
      <c r="D5495" s="175"/>
      <c r="E5495" s="176"/>
      <c r="F5495" s="177"/>
      <c r="G5495" s="178"/>
      <c r="H5495" s="177"/>
      <c r="I5495" s="177"/>
      <c r="J5495" s="179"/>
      <c r="K5495" s="183"/>
      <c r="L5495" s="176"/>
      <c r="M5495" s="177"/>
      <c r="N5495" s="21"/>
      <c r="O5495" s="45"/>
      <c r="P5495" s="24"/>
      <c r="Q5495" s="24"/>
      <c r="R5495" s="180"/>
      <c r="S5495" s="181"/>
      <c r="T5495" s="35"/>
      <c r="U5495" s="35"/>
      <c r="V5495" s="35"/>
      <c r="W5495" s="35"/>
      <c r="X5495" s="35"/>
      <c r="Y5495" s="182"/>
      <c r="Z5495" s="175"/>
      <c r="AA5495" s="182"/>
      <c r="AB5495" s="184"/>
    </row>
    <row r="5496" spans="1:28" ht="12.75">
      <c r="A5496" s="173"/>
      <c r="B5496" s="174"/>
      <c r="C5496" s="11"/>
      <c r="D5496" s="175"/>
      <c r="E5496" s="176"/>
      <c r="F5496" s="177"/>
      <c r="G5496" s="178"/>
      <c r="H5496" s="177"/>
      <c r="I5496" s="177"/>
      <c r="J5496" s="179"/>
      <c r="K5496" s="183"/>
      <c r="L5496" s="176"/>
      <c r="M5496" s="177"/>
      <c r="N5496" s="21"/>
      <c r="O5496" s="45"/>
      <c r="P5496" s="24"/>
      <c r="Q5496" s="24"/>
      <c r="R5496" s="180"/>
      <c r="S5496" s="181"/>
      <c r="T5496" s="35"/>
      <c r="U5496" s="35"/>
      <c r="V5496" s="35"/>
      <c r="W5496" s="35"/>
      <c r="X5496" s="35"/>
      <c r="Y5496" s="182"/>
      <c r="Z5496" s="175"/>
      <c r="AA5496" s="182"/>
      <c r="AB5496" s="184"/>
    </row>
  </sheetData>
  <autoFilter ref="A1:AB3034"/>
  <customSheetViews>
    <customSheetView guid="{13897EC5-53E2-46B3-AE6E-9A99F1D3E445}" filter="1" showAutoFilter="1">
      <pageMargins left="0.7" right="0.7" top="0.75" bottom="0.75" header="0.3" footer="0.3"/>
      <autoFilter ref="A1:AA4529">
        <filterColumn colId="14">
          <filters>
            <filter val="179258000"/>
            <filter val="anula NC185 y NC184"/>
            <filter val="anula NC186"/>
            <filter val="anula NC187"/>
            <filter val="Caso # IN208270"/>
            <filter val="Caso # IN242345"/>
            <filter val="CON RETE"/>
            <filter val="CON RETEN"/>
            <filter val="CON RETENCION"/>
            <filter val="EJ  1857700"/>
            <filter val="EJ  2979200*5"/>
            <filter val="EJ *12 2878500*12"/>
            <filter val="EJ *4 1793900*4"/>
            <filter val="EJ *5 1793900"/>
            <filter val="EJ 1245600"/>
            <filter val="EJ 1262800"/>
            <filter val="EJ 1623900"/>
            <filter val="EJ 1648800"/>
            <filter val="EJ 1650000*6 1490000*1"/>
            <filter val="EJ 1793900"/>
            <filter val="EJ 1816100*3 1633100"/>
            <filter val="EJ 1857700*2 1793900*3"/>
            <filter val="EJ 1857700*3 TYC 4500000"/>
            <filter val="EJ 2580400"/>
            <filter val="EJ 2860900"/>
            <filter val="EJ 2982600"/>
            <filter val="EJ 2982600*2"/>
            <filter val="EJ 2982800"/>
            <filter val="EJ 2988600"/>
            <filter val="EJ 3062400"/>
            <filter val="EJ 3062400*4 2982600*1"/>
            <filter val="EJ 3282600*4"/>
            <filter val="EJ 3497950"/>
            <filter val="EJ 3597980"/>
            <filter val="EJ 948980"/>
            <filter val="EJ* 1371100*3"/>
            <filter val="EJ* 1793900*4"/>
            <filter val="EJ*1 1623900"/>
            <filter val="EJ*1 1648800"/>
            <filter val="EJ*1 1750000"/>
            <filter val="EJ*1 1771100"/>
            <filter val="EJ*1 2979200"/>
            <filter val="EJ*1 3562300*1"/>
            <filter val="EJ*1 780600"/>
            <filter val="EJ*10"/>
            <filter val="EJ*10 1070000*1 990000*9"/>
            <filter val="EJ*10 1959600*5 1980900*3 2180800*2"/>
            <filter val="EJ*10 1980900*2 1870800*8"/>
            <filter val="EJ*10 2979200*10"/>
            <filter val="EJ*12 2792400*10 2870900*2"/>
            <filter val="EJ*12 2878500*8 2988600*2 2878500*2"/>
            <filter val="EJ*15 920000"/>
            <filter val="EJ*15 990000*11 1137000*3 1070000"/>
            <filter val="EJ*15 990000*6 1070000*6 920000*3"/>
            <filter val="EJ*2  1325600*2"/>
            <filter val="EJ*2 1162700*2"/>
            <filter val="EJ*2 1262800*2"/>
            <filter val="EJ*2 1623900*2"/>
            <filter val="EJ*2 1638223*2"/>
            <filter val="EJ*2 1638226*2"/>
            <filter val="EJ*2 1638500*2"/>
            <filter val="EJ*2 1648800*2"/>
            <filter val="EJ*2 1670900*2"/>
            <filter val="EJ*2 1750000*2"/>
            <filter val="EJ*2 1771100*2"/>
            <filter val="EJ*2 1793900*2"/>
            <filter val="EJ*2 1793900*2  TYC 4792500"/>
            <filter val="EJ*2 1816100*1 1633100*1"/>
            <filter val="EJ*2 1816100*2"/>
            <filter val="EJ*2 1840900*2"/>
            <filter val="EJ*2 1850000*1 1750000*1"/>
            <filter val="EJ*2 1880900*2"/>
            <filter val="EJ*2 1961700*2"/>
            <filter val="EJ*2 1980900*2"/>
            <filter val="EJ*2 2650700*2"/>
            <filter val="EJ*2 2792400*2"/>
            <filter val="EJ*2 2979200*1 3252980*1"/>
            <filter val="EJ*2 2979200*2"/>
            <filter val="EJ*2 2982600*2"/>
            <filter val="EJ*2 3079200*2"/>
            <filter val="EJ*2 3132800*2"/>
            <filter val="EJ*2 3562300*2"/>
            <filter val="EJ*2 3697950*2"/>
            <filter val="EJ*2 570200*2"/>
            <filter val="EJ*2 624200*2"/>
            <filter val="EJ*2 730600*1 900600*1"/>
            <filter val="EJ*2 744800*1 789800*1"/>
            <filter val="EJ*2 780600*2"/>
            <filter val="EJ*2 910200*2"/>
            <filter val="EJ*3  1863200*2 1633100*1"/>
            <filter val="EJ*3 1243800*2 1086600"/>
            <filter val="EJ*3 1262300*3 TYC 3600000"/>
            <filter val="EJ*3 1266900*3"/>
            <filter val="EJ*3 1274600*3 TYC"/>
            <filter val="EJ*3 1274600*3 TYC 3690000"/>
            <filter val="EJ*3 1371100*3"/>
            <filter val="EJ*3 1590000*3"/>
            <filter val="EJ*3 1623900*3"/>
            <filter val="EJ*3 1638223*3"/>
            <filter val="EJ*3 1750000*3"/>
            <filter val="EJ*3 1771100*3"/>
            <filter val="EJ*3 1776100*1 1793900*2 TYC 4792500"/>
            <filter val="EJ*3 1776100*3"/>
            <filter val="EJ*3 1792800*3"/>
            <filter val="EJ*3 1793900*3"/>
            <filter val="EJ*3 1793900*3 TYC 4473000"/>
            <filter val="EJ*3 1793900*3 TYC 4792500"/>
            <filter val="EJ*3 1816100 1863200*2"/>
            <filter val="EJ*3 1840900*3"/>
            <filter val="EJ*3 1850000*2 1750000*1"/>
            <filter val="EJ*3 1850000*3"/>
            <filter val="EJ*3 1857700*3"/>
            <filter val="EJ*3 1857700*3 TYC 4500000"/>
            <filter val="EJ*3 2792400*3"/>
            <filter val="EJ*3 2979200*3"/>
            <filter val="EJ*3 2982600*3"/>
            <filter val="EJ*3 3062400*3"/>
            <filter val="EJ*3 3350800*3"/>
            <filter val="EJ*3 789300*2 590000*1"/>
            <filter val="EJ*3 890800*3"/>
            <filter val="EJ*3 y TYC 1857700*3 y 4200000"/>
            <filter val="EJ*3*2982600"/>
            <filter val="EJ*4 1266900*4"/>
            <filter val="EJ*4 1348980*4"/>
            <filter val="EJ*4 1638223*4"/>
            <filter val="EJ*4 1650000*3 1580000*1"/>
            <filter val="EJ*4 1750000*4"/>
            <filter val="EJ*4 1771000*2 1793900*2"/>
            <filter val="EJ*4 1771100*4"/>
            <filter val="EJ*4 1793900*4"/>
            <filter val="EJ*4 1816100*2 1633100*1 1863200*1"/>
            <filter val="EJ*4 2979200*4"/>
            <filter val="EJ*4 2982600*4"/>
            <filter val="EJ*4 3132800*4"/>
            <filter val="EJ*4 3252980*4"/>
            <filter val="EJ*4 624200*1 789800*2 744800*1"/>
            <filter val="EJ*4 624200*3 390800*1"/>
            <filter val="EJ*4 744800*1 624200*2 789800*1"/>
            <filter val="EJ*5 1590000*6"/>
            <filter val="EJ*5 1670900*5 800000 transbordo"/>
            <filter val="EJ*5 1750000*5"/>
            <filter val="EJ*5 2979200*3 3090800*1 3062400*1"/>
            <filter val="EJ*5 2982600*2 y 3060400*3"/>
            <filter val="EJ*5 2982600*5"/>
            <filter val="EJ*5 3039600*5"/>
            <filter val="EJ*5 3042980*3 2982600*2"/>
            <filter val="EJ*5 3042980*5"/>
            <filter val="EJ*5 3062400*5"/>
            <filter val="EJ*5 3090800*4 3079200"/>
            <filter val="EJ*5 570200*5"/>
            <filter val="EJ*6 1580000*1 1490000*5"/>
            <filter val="EJ*6 1857700*3 1793900*3"/>
            <filter val="EJ*6 2720980*4 3042980*1 2979200*1"/>
            <filter val="EJ*6 2982600*2 3062400*4"/>
            <filter val="EJ*6 3062400*6"/>
            <filter val="EJ*6 3680000*4 1120000*1 1320000*1"/>
            <filter val="EJ*61870800"/>
            <filter val="EJ*61980900-5*9.798.000"/>
            <filter val="EJ*7 1730000*4 1590000*3"/>
            <filter val="EJ*7 1750000*3 1730000*4"/>
            <filter val="EJ*7 1750000*7"/>
            <filter val="EJ*7 2982600*7"/>
            <filter val="EJ*7 3062400*7"/>
            <filter val="EJ*7 3132800*2 2979200*2 3132800*3"/>
            <filter val="EJ*8 1959600*8"/>
            <filter val="EJ*8 2982600*8"/>
            <filter val="EJ*8 3042980*1 2982600*7"/>
            <filter val="EJ*8 3062400*3 2979200*5"/>
            <filter val="EJ*9 1650000*3 1490000*2 1580000*4"/>
            <filter val="EJ*9 730800*9"/>
            <filter val="EJ-2982600*10"/>
            <filter val="Hacer reten desde diciembre"/>
            <filter val="NUMA 1152250"/>
            <filter val="NUMA 1152250*3"/>
            <filter val="NUMA 750000*10"/>
            <filter val="NUMA 750000*5"/>
            <filter val="NUMA 750000*8"/>
            <filter val="NUMA 920000*2"/>
            <filter val="NUMA 920000*4"/>
            <filter val="NUMA*1 510000"/>
            <filter val="NUMA*1 931500"/>
            <filter val="NUMA*10 787200*10"/>
            <filter val="NUMA*2"/>
            <filter val="NUMA*2 1152250*2"/>
            <filter val="NUMA*2 509600*2"/>
            <filter val="NUMA*2 920000*2"/>
            <filter val="NUMA*3 1092500*3"/>
            <filter val="NUMA*3 499560"/>
            <filter val="NUMA*3 510000*3"/>
            <filter val="NUMA*3 920000*3"/>
            <filter val="NUMA*4 376800*4"/>
            <filter val="NUMA*4 920000*4"/>
            <filter val="RETE FUENTE"/>
            <filter val="Se envia nuevamente al correo recep"/>
            <filter val="Se envio correo a FE"/>
            <filter val="Sin imagen"/>
            <filter val="SR2686881"/>
            <filter val="SR3022456"/>
            <filter val="TIENE BL"/>
            <filter val="TYC 1793900"/>
            <filter val="TYC 4150000"/>
            <filter val="TYC 4200000"/>
            <filter val="TYC 4473000"/>
            <filter val="TYC 4792500"/>
          </filters>
        </filterColumn>
        <filterColumn colId="16">
          <filters>
            <filter val="AGUACHICA"/>
          </filters>
        </filterColumn>
      </autoFilter>
    </customSheetView>
    <customSheetView guid="{39509CF3-9D2D-43D8-B3BA-66D22729E70F}" filter="1" showAutoFilter="1">
      <pageMargins left="0.7" right="0.7" top="0.75" bottom="0.75" header="0.3" footer="0.3"/>
      <autoFilter ref="A1:AB5496">
        <filterColumn colId="0">
          <filters>
            <filter val="Agroinversiones El Recreo S.A.S ZOMAC"/>
            <filter val="GANADERIA MANZANARES S.A.S"/>
            <filter val="Inversiones El Rezago y CIA LTDA"/>
            <filter val="LA OKA S.A.S."/>
          </filters>
        </filterColumn>
      </autoFilter>
    </customSheetView>
    <customSheetView guid="{B0D94C60-A0E6-43E3-ABE0-6CB936F0E9A4}" filter="1" showAutoFilter="1">
      <pageMargins left="0.7" right="0.7" top="0.75" bottom="0.75" header="0.3" footer="0.3"/>
      <autoFilter ref="A3144"/>
    </customSheetView>
    <customSheetView guid="{BE427B5A-B1AE-4755-855B-A33FFD784AAB}" filter="1" showAutoFilter="1">
      <pageMargins left="0.7" right="0.7" top="0.75" bottom="0.75" header="0.3" footer="0.3"/>
      <autoFilter ref="A1:AA1365"/>
    </customSheetView>
    <customSheetView guid="{B597680B-F640-4C2D-A0E8-D38FFE2A733E}" filter="1" showAutoFilter="1">
      <pageMargins left="0.7" right="0.7" top="0.75" bottom="0.75" header="0.3" footer="0.3"/>
      <autoFilter ref="A1:Z231"/>
    </customSheetView>
    <customSheetView guid="{443826B1-392E-4D1E-AC28-E0F1C71544E2}" filter="1" showAutoFilter="1">
      <pageMargins left="0.7" right="0.7" top="0.75" bottom="0.75" header="0.3" footer="0.3"/>
      <autoFilter ref="A1:AA1248"/>
    </customSheetView>
    <customSheetView guid="{5BFFE4F1-6512-4A43-A6E8-8E8A72197DCC}" filter="1" showAutoFilter="1">
      <pageMargins left="0.7" right="0.7" top="0.75" bottom="0.75" header="0.3" footer="0.3"/>
      <autoFilter ref="A1:Z5496">
        <filterColumn colId="0">
          <filters>
            <filter val="Adrian Alberto Alvarez Henao"/>
            <filter val="GANADERIA MANZANARES S.A.S"/>
            <filter val="LA OKA S.A.S."/>
          </filters>
        </filterColumn>
      </autoFilter>
    </customSheetView>
    <customSheetView guid="{F4C44891-1869-4B46-9876-D4A61EEFD6B7}" filter="1" showAutoFilter="1">
      <pageMargins left="0.7" right="0.7" top="0.75" bottom="0.75" header="0.3" footer="0.3"/>
      <autoFilter ref="A1:Z3154">
        <filterColumn colId="0">
          <filters>
            <filter val="LA OKA S.A.S."/>
            <filter val="Luis Felipe Acevedo"/>
          </filters>
        </filterColumn>
      </autoFilter>
    </customSheetView>
    <customSheetView guid="{C8448F2F-1A73-48C1-B2C3-57CEA7A5F6E8}" filter="1" showAutoFilter="1">
      <pageMargins left="0.7" right="0.7" top="0.75" bottom="0.75" header="0.3" footer="0.3"/>
      <autoFilter ref="A1:Z295"/>
    </customSheetView>
    <customSheetView guid="{1503CF09-45A7-4E9B-9E94-CB98B0362283}" filter="1" showAutoFilter="1">
      <pageMargins left="0.7" right="0.7" top="0.75" bottom="0.75" header="0.3" footer="0.3"/>
      <autoFilter ref="A1:AA4752">
        <filterColumn colId="0">
          <filters>
            <filter val="2H Agropecuaria S.A.S."/>
            <filter val="Agroinversiones El Recreo S.A.S ZOMAC"/>
            <filter val="Agropecuaria el Potro Azul S.A.S"/>
            <filter val="Bioagrarius S.A.S."/>
            <filter val="COMERCIALIZADORA Y REPRESENTACIONES H2O"/>
            <filter val="Edward Fabian Mejia Abril"/>
            <filter val="Enrique Jaramillo Sanint"/>
            <filter val="Fidel Stiven Cano Tovar"/>
            <filter val="GANADERIA MANZANARES S.A.S"/>
            <filter val="Ganados Monterrey S.A"/>
            <filter val="Hacienda Mozambique S.A.S"/>
            <filter val="Invegarey S.A.S"/>
            <filter val="Inversiones Yepes Carrera S.A.S"/>
            <filter val="Juan Carlos Mendez Anaya"/>
            <filter val="Juan Jose Baena Diaz"/>
            <filter val="LA OKA S.A.S."/>
            <filter val="Lucely Suarez Escobar"/>
            <filter val="Luis Alfonso Silva Barco"/>
            <filter val="Marco Antonio Alvarez Vega"/>
            <filter val="Margie Rodriguez Rodriguez"/>
            <filter val="Maria Alicia Montaño Parra"/>
            <filter val="Maria Cecilia Gomez Urrea"/>
            <filter val="Martha Elena Manzur Abdala"/>
            <filter val="Monterojo S.A.S"/>
            <filter val="Palmas Oleaginosas Del Ariguani S.A.S."/>
            <filter val="Pedro Milton Botero Bernal"/>
            <filter val="Rodana Inversiones S.A.S."/>
            <filter val="Roque Paez Cardenas"/>
            <filter val="SUBAGAN S.A."/>
            <filter val="Subasta Ganadera Subagan - SOGA S.A."/>
            <filter val="Subastas Ganaderas Del Uraba Grande"/>
            <filter val="Super Granos Lobo S.A.S."/>
            <filter val="Surtiganados J S.A.S."/>
            <filter val="Tres VE. S.A.S."/>
            <filter val="Zonia Rosa Bechara De Barguil"/>
          </filters>
        </filterColumn>
      </autoFilter>
    </customSheetView>
  </customSheetViews>
  <conditionalFormatting sqref="M2:M468 L469 M470:M5496">
    <cfRule type="containsBlanks" dxfId="117" priority="1">
      <formula>LEN(TRIM(M2))=0</formula>
    </cfRule>
  </conditionalFormatting>
  <conditionalFormatting sqref="I1:I5496 J1:K1">
    <cfRule type="beginsWith" dxfId="116" priority="2" operator="beginsWith" text="-">
      <formula>LEFT((I1),LEN("-"))=("-")</formula>
    </cfRule>
  </conditionalFormatting>
  <conditionalFormatting sqref="A1:A5496 F2871">
    <cfRule type="expression" dxfId="115" priority="3">
      <formula>$I:$I&lt;0</formula>
    </cfRule>
  </conditionalFormatting>
  <conditionalFormatting sqref="N2:N2167 P942:P943 P966 P977 P1028:P1029 P1063:P1075 P1077:P1099 P1160 P1268:P1313 P1315:P1323 P1406:P1412 P1414:P1435 P1437:P1452 P1482 P1487 P1560 P1562:P1621 P1909 P1923 P1937:P2001 P2031 M2073 P2073 M2111 M2113 P2123:P2169 N2169:N2723 K2181 P2184 P2195 M2231:M2275 P2238 P2276:P2349 M2289 M2297 P2377 P2390:P2417 M2414:M2473 P2474:P2479 P2481:P2491 P2493 P2495:P2518 P2521:P2525 M2595:M2648 N2725:N5496 M2785:M3034 O2945 K2976:K2977 P3054:P3154">
    <cfRule type="cellIs" dxfId="114" priority="4" operator="equal">
      <formula>"NO"</formula>
    </cfRule>
  </conditionalFormatting>
  <conditionalFormatting sqref="N2:N2167 P942:P943 P966 P977 P1028:P1029 P1063:P1075 P1077:P1099 P1160 P1268:P1313 P1315:P1323 P1406:P1412 P1414:P1435 P1437:P1452 P1482 P1487 P1560 P1562:P1621 P1909 P1923 P1937:P2001 P2031 M2073 P2073 M2111 M2113 P2123:P2169 N2169:N2723 K2181 P2184 P2195 M2231:M2275 P2238 P2276:P2349 M2289 M2297 P2377 P2390:P2417 M2414:M2473 P2474:P2479 P2481:P2491 P2493 P2495:P2518 P2521:P2525 M2595:M2648 N2725:N5496 M2785:M3034 O2945 K2976:K2977 P3054:P3154">
    <cfRule type="cellIs" dxfId="113" priority="5" operator="equal">
      <formula>"Falta BL"</formula>
    </cfRule>
  </conditionalFormatting>
  <conditionalFormatting sqref="N2:N2167 P942:P943 P966 P977 P1028:P1029 P1063:P1075 P1077:P1099 P1160 P1268:P1313 P1315:P1323 P1406:P1412 P1414:P1435 P1437:P1452 P1482 P1487 P1560 P1562:P1621 P1909 P1923 P1937:P2001 P2031 M2073 P2073 M2111 M2113 P2123:P2169 N2169:N2723 K2181 P2184 P2195 M2231:M2275 P2238 P2276:P2349 M2289 M2297 P2377 P2390:P2417 M2414:M2473 P2474:P2479 P2481:P2491 P2493 P2495:P2518 P2521:P2525 M2595:M2648 N2725:N5496 M2785:M3034 O2945 K2976:K2977 P3054:P3154">
    <cfRule type="cellIs" dxfId="112" priority="6" operator="equal">
      <formula>"Sin radicar"</formula>
    </cfRule>
  </conditionalFormatting>
  <conditionalFormatting sqref="I1:I5496 J1:K1">
    <cfRule type="expression" dxfId="111" priority="7">
      <formula>IF(AND(I1&gt;0,J1=0),1,0)</formula>
    </cfRule>
  </conditionalFormatting>
  <conditionalFormatting sqref="A1:A5496 F2871">
    <cfRule type="expression" dxfId="110" priority="8">
      <formula>IF(AND(I1&gt;0,J1=0),1,0)</formula>
    </cfRule>
  </conditionalFormatting>
  <conditionalFormatting sqref="N2:N2167 P942:P943 P966 P977 P1028:P1029 P1063:P1075 P1077:P1099 P1160 P1268:P1313 P1315:P1323 P1406:P1412 P1414:P1435 P1437:P1452 P1482 P1487 P1560 P1562:P1621 P1909 P1923 P1937:P2001 P2031 M2073 P2073 M2111 M2113 P2123:P2169 N2169:N2723 K2181 P2184 P2195 M2231:M2275 P2238 P2276:P2349 M2289 M2297 P2377 P2390:P2417 M2414:M2473 P2474:P2479 P2481:P2491 P2493 P2495:P2518 P2521:P2525 M2595:M2648 N2725:N5496 M2785:M3034 O2945 K2976:K2977 P3054:P3154">
    <cfRule type="containsText" dxfId="109" priority="9" operator="containsText" text="Enviado radicar">
      <formula>NOT(ISERROR(SEARCH(("Enviado radicar"),(N2))))</formula>
    </cfRule>
  </conditionalFormatting>
  <conditionalFormatting sqref="N2:N2167 P942:P943 P966 P977 P1028:P1029 P1063:P1075 P1077:P1099 P1160 P1268:P1313 P1315:P1323 P1406:P1412 P1414:P1435 P1437:P1452 P1482 P1487 P1560 P1562:P1621 P1909 P1923 P1937:P2001 P2031 M2073 P2073 M2111 M2113 P2123:P2169 N2169:N2723 K2181 P2184 P2195 M2231:M2275 P2238 P2276:P2349 M2289 M2297 P2377 P2390:P2417 M2414:M2473 P2474:P2479 P2481:P2491 P2493 P2495:P2518 P2521:P2525 M2595:M2648 N2725:N5496 M2785:M3034 O2945 K2976:K2977 P3054:P3154">
    <cfRule type="containsText" dxfId="108" priority="10" operator="containsText" text="Preguntar">
      <formula>NOT(ISERROR(SEARCH(("Preguntar"),(N2))))</formula>
    </cfRule>
  </conditionalFormatting>
  <conditionalFormatting sqref="N2:N2167 P942:P943 P966 P977 P1028:P1029 P1063:P1075 P1077:P1099 P1160 P1268:P1313 P1315:P1323 P1406:P1412 P1414:P1435 P1437:P1452 P1482 P1487 P1560 P1562:P1621 P1909 P1923 P1937:P2001 P2031 M2073 P2073 M2111 M2113 P2123:P2169 N2169:N2723 K2181 P2184 P2195 M2231:M2275 P2238 P2276:P2349 M2289 M2297 P2377 P2390:P2417 M2414:M2473 P2474:P2479 P2481:P2491 P2493 P2495:P2518 P2521:P2525 M2595:M2648 N2725:N5496 M2785:M3034 O2945 K2976:K2977 P3054:P3154">
    <cfRule type="containsText" dxfId="107" priority="11" operator="containsText" text="No imagen">
      <formula>NOT(ISERROR(SEARCH(("No imagen"),(N2))))</formula>
    </cfRule>
  </conditionalFormatting>
  <conditionalFormatting sqref="N2:N2167 P942:P943 P966 P977 P1028:P1029 P1063:P1075 P1077:P1099 P1160 P1268:P1313 P1315:P1323 P1406:P1412 P1414:P1435 P1437:P1452 P1482 P1487 P1560 P1562:P1621 P1909 P1923 P1937:P2001 P2031 M2073 P2073 M2111 M2113 P2123:P2169 N2169:N2723 K2181 P2184 P2195 M2231:M2275 P2238 P2276:P2349 M2289 M2297 P2377 P2390:P2417 M2414:M2473 P2474:P2479 P2481:P2491 P2493 P2495:P2518 P2521:P2525 M2595:M2648 N2725:N5496 M2785:M3034 O2945 K2976:K2977 P3054:P3154">
    <cfRule type="containsText" dxfId="106" priority="12" operator="containsText" text="bloqueado">
      <formula>NOT(ISERROR(SEARCH(("bloqueado"),(N2))))</formula>
    </cfRule>
  </conditionalFormatting>
  <conditionalFormatting sqref="N2:N2167 P942:P943 P966 P977 P1028:P1029 P1063:P1075 P1077:P1099 P1160 P1268:P1313 P1315:P1323 P1406:P1412 P1414:P1435 P1437:P1452 P1482 P1487 P1560 P1562:P1621 P1909 P1923 P1937:P2001 P2031 M2073 P2073 M2111 M2113 P2123:P2169 N2169:N2723 K2181 P2184 P2195 M2231:M2275 P2238 P2276:P2349 M2289 M2297 P2377 P2390:P2417 M2414:M2473 P2474:P2479 P2481:P2491 P2493 P2495:P2518 P2521:P2525 M2595:M2648 N2725:N5496 M2785:M3034 O2945 K2976:K2977 P3054:P3154">
    <cfRule type="containsText" dxfId="105" priority="13" operator="containsText" text="BL enviado">
      <formula>NOT(ISERROR(SEARCH(("BL enviado"),(N2))))</formula>
    </cfRule>
  </conditionalFormatting>
  <conditionalFormatting sqref="N2:N2167 P942:P943 P966 P977 P1028:P1029 P1063:P1075 P1077:P1099 P1160 P1268:P1313 P1315:P1323 P1406:P1412 P1414:P1435 P1437:P1452 P1482 P1487 P1560 P1562:P1621 P1909 P1923 P1937:P2001 P2031 M2073 P2073 M2111 M2113 P2123:P2169 N2169:N2723 K2181 P2184 P2195 M2231:M2275 P2238 P2276:P2349 M2289 M2297 P2377 P2390:P2417 M2414:M2473 P2474:P2479 P2481:P2491 P2493 P2495:P2518 P2521:P2525 M2595:M2648 N2725:N5496 M2785:M3034 O2945 K2976:K2977 P3054:P3154">
    <cfRule type="containsText" dxfId="104" priority="14" operator="containsText" text="Falta radicar">
      <formula>NOT(ISERROR(SEARCH(("Falta radicar"),(N2))))</formula>
    </cfRule>
  </conditionalFormatting>
  <conditionalFormatting sqref="N2:N2167 P942:P943 P966 P977 P1028:P1029 P1063:P1075 P1077:P1099 P1160 P1268:P1313 P1315:P1323 P1406:P1412 P1414:P1435 P1437:P1452 P1482 P1487 P1560 P1562:P1621 P1909 P1923 P1937:P2001 P2031 M2073 P2073 M2111 M2113 P2123:P2169 N2169:N2723 K2181 P2184 P2195 M2231:M2275 P2238 P2276:P2349 M2289 M2297 P2377 P2390:P2417 M2414:M2473 P2474:P2479 P2481:P2491 P2493 P2495:P2518 P2521:P2525 M2595:M2648 N2725:N5496 M2785:M3034 O2945 K2976:K2977 P3054:P3154">
    <cfRule type="containsText" dxfId="103" priority="15" operator="containsText" text="No abre factura">
      <formula>NOT(ISERROR(SEARCH(("No abre factura"),(N2))))</formula>
    </cfRule>
  </conditionalFormatting>
  <conditionalFormatting sqref="S2:S3076 S3078:S5496">
    <cfRule type="notContainsBlanks" dxfId="102" priority="16">
      <formula>LEN(TRIM(S2))&gt;0</formula>
    </cfRule>
  </conditionalFormatting>
  <conditionalFormatting sqref="J2:J5496">
    <cfRule type="expression" dxfId="101" priority="17">
      <formula>NOT(ISBLANK(I2))</formula>
    </cfRule>
  </conditionalFormatting>
  <conditionalFormatting sqref="K2:K2518 S2 S230 S318 S371 S376 S498 S614 S708:S709 S742 S797 S865 S904 S943:S946 S1028:S1029 S1074:S1077 S1098:S1099 S1113 S1143 S1159:S1160 S1167 S1178 S1214 S1259 N2111 M2499 K2520:K5496 S2593 S2610 S2623 S2668 S2720 S2733:S2734 S2765:S2766 S2784 M2839 S2881 S2894 S3052">
    <cfRule type="expression" dxfId="100" priority="18">
      <formula>NOT(ISBLANK(I2))</formula>
    </cfRule>
  </conditionalFormatting>
  <conditionalFormatting sqref="N2:N2167 P942:P943 P966 P977 P1028:P1029 P1063:P1075 P1077:P1099 P1160 P1268:P1313 P1315:P1323 P1406:P1412 P1414:P1435 P1437:P1452 P1482 P1487 P1560 P1562:P1621 P1909 P1923 P1937:P2001 P2031 M2073 P2073 M2111 M2113 P2123:P2169 N2169:N2723 K2181 P2184 P2195 M2231:M2275 P2238 P2276:P2349 M2289 M2297 P2377 P2390:P2417 M2414:M2473 P2474:P2479 P2481:P2491 P2493 P2495:P2518 P2521:P2525 M2595:M2648 N2725:N5496 M2785:M3034 O2945 K2976:K2977 P3054:P3154">
    <cfRule type="containsText" dxfId="99" priority="19" operator="containsText" text="Radicando">
      <formula>NOT(ISERROR(SEARCH(("Radicando"),(N2))))</formula>
    </cfRule>
  </conditionalFormatting>
  <conditionalFormatting sqref="N439:N2167 P942:P943 P966 P977 P1028:P1029 P1063:P1075 P1077:P1099 P1160 P1268:P1313 P1315:P1323 P1406:P1412 P1414:P1435 P1437:P1452 P1482 P1487 P1560 P1562:P1621 P1909 P1923 P1937:P2001 P2031 M2073 P2073 M2111 M2113 P2123:P2169 N2169:N2723 K2181 P2184 P2195 M2231:M2275 P2238 P2276:P2349 M2289 M2297 P2377 P2390:P2417 M2414:M2473 P2474:P2479 P2481:P2491 P2493 P2495:P2518 P2521:P2525 M2595:M2648 N2725:N3154 M2785:M3034 O2945 K2976:K2977 P3054:P3154">
    <cfRule type="containsText" dxfId="98" priority="20" operator="containsText" text="NO, tiene">
      <formula>NOT(ISERROR(SEARCH(("NO, tiene"),(N439))))</formula>
    </cfRule>
  </conditionalFormatting>
  <conditionalFormatting sqref="N583">
    <cfRule type="containsText" dxfId="97" priority="21" operator="containsText" text="NO, tiene">
      <formula>NOT(ISERROR(SEARCH(("NO, tiene"),(N583))))</formula>
    </cfRule>
  </conditionalFormatting>
  <conditionalFormatting sqref="N1:N2167 O1 P1160 P1321 P1482 P1487 P1560 P1618 P1909 P1923 P1937:P2001 P2031 M2073 P2073 M2111 M2113 P2123:P2169 N2169:N2723 K2181 P2184 P2195 M2231:M2275 P2238 P2276:P2349 M2289 M2297 P2377 P2390:P2417 M2414:M2473 P2474:P2479 P2481:P2491 P2493 P2495:P2518 P2521:P2525 M2595:M2648 N2725:N5496 M2785:M3034 O2945 K2976:K2977 P3054:P3154">
    <cfRule type="containsText" dxfId="96" priority="22" operator="containsText" text="adjuntar bl">
      <formula>NOT(ISERROR(SEARCH(("adjuntar bl"),(N1))))</formula>
    </cfRule>
  </conditionalFormatting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K19"/>
  <sheetViews>
    <sheetView tabSelected="1" workbookViewId="0">
      <selection activeCell="F23" sqref="F23"/>
    </sheetView>
  </sheetViews>
  <sheetFormatPr baseColWidth="10" defaultRowHeight="12.75"/>
  <cols>
    <col min="1" max="1" width="17.85546875" customWidth="1"/>
    <col min="2" max="9" width="14.42578125" customWidth="1"/>
    <col min="10" max="11" width="15.28515625" customWidth="1"/>
    <col min="12" max="12" width="23" bestFit="1" customWidth="1"/>
    <col min="13" max="13" width="13.140625" bestFit="1" customWidth="1"/>
  </cols>
  <sheetData>
    <row r="4" spans="1:11" s="558" customFormat="1">
      <c r="B4" s="559" t="s">
        <v>4880</v>
      </c>
    </row>
    <row r="5" spans="1:11" s="560" customFormat="1" ht="25.5">
      <c r="B5" s="560" t="s">
        <v>4887</v>
      </c>
      <c r="D5" s="560" t="s">
        <v>4885</v>
      </c>
      <c r="F5" s="560" t="s">
        <v>4892</v>
      </c>
      <c r="H5" s="560" t="s">
        <v>4888</v>
      </c>
      <c r="J5" s="560" t="s">
        <v>4894</v>
      </c>
      <c r="K5" s="560" t="s">
        <v>4895</v>
      </c>
    </row>
    <row r="6" spans="1:11" s="560" customFormat="1" ht="25.5">
      <c r="A6" s="561" t="s">
        <v>4881</v>
      </c>
      <c r="B6" s="560" t="s">
        <v>4884</v>
      </c>
      <c r="C6" s="560" t="s">
        <v>4882</v>
      </c>
      <c r="D6" s="560" t="s">
        <v>4884</v>
      </c>
      <c r="E6" s="560" t="s">
        <v>4882</v>
      </c>
      <c r="F6" s="560" t="s">
        <v>4884</v>
      </c>
      <c r="G6" s="560" t="s">
        <v>4882</v>
      </c>
      <c r="H6" s="560" t="s">
        <v>4884</v>
      </c>
      <c r="I6" s="560" t="s">
        <v>4882</v>
      </c>
    </row>
    <row r="7" spans="1:11">
      <c r="A7" s="549" t="s">
        <v>4857</v>
      </c>
      <c r="B7" s="555">
        <v>100.71428571428571</v>
      </c>
      <c r="C7" s="553">
        <v>12136</v>
      </c>
      <c r="D7" s="555">
        <v>249.99221758873639</v>
      </c>
      <c r="E7" s="553">
        <v>7486.4429053606582</v>
      </c>
      <c r="F7" s="555">
        <v>234.61842105263159</v>
      </c>
      <c r="G7" s="553">
        <v>7200</v>
      </c>
      <c r="H7" s="555">
        <v>353.86506345996702</v>
      </c>
      <c r="I7" s="553">
        <v>7358.0224123123426</v>
      </c>
      <c r="J7" s="555">
        <v>302.72667688234998</v>
      </c>
      <c r="K7" s="553">
        <v>7498.2747551917228</v>
      </c>
    </row>
    <row r="8" spans="1:11">
      <c r="A8" s="549" t="s">
        <v>4858</v>
      </c>
      <c r="B8" s="555"/>
      <c r="C8" s="553"/>
      <c r="D8" s="555">
        <v>265.45118897209233</v>
      </c>
      <c r="E8" s="553">
        <v>7595.2787115883057</v>
      </c>
      <c r="F8" s="555">
        <v>287.96179185065381</v>
      </c>
      <c r="G8" s="553">
        <v>7229.8571428571431</v>
      </c>
      <c r="H8" s="555">
        <v>361.87693550865106</v>
      </c>
      <c r="I8" s="553">
        <v>7367.208584685688</v>
      </c>
      <c r="J8" s="555">
        <v>318.44980859893479</v>
      </c>
      <c r="K8" s="553">
        <v>7419.1044377981725</v>
      </c>
    </row>
    <row r="9" spans="1:11">
      <c r="A9" s="549" t="s">
        <v>4861</v>
      </c>
      <c r="B9" s="555">
        <v>88.588235294117652</v>
      </c>
      <c r="C9" s="553">
        <v>13700</v>
      </c>
      <c r="D9" s="555">
        <v>249.74717490531566</v>
      </c>
      <c r="E9" s="553">
        <v>8294.5258616122137</v>
      </c>
      <c r="F9" s="555">
        <v>283.90053716608594</v>
      </c>
      <c r="G9" s="553">
        <v>7240.5</v>
      </c>
      <c r="H9" s="555">
        <v>310.71197506238963</v>
      </c>
      <c r="I9" s="553">
        <v>8014.7247924398598</v>
      </c>
      <c r="J9" s="555">
        <v>287.38399977757746</v>
      </c>
      <c r="K9" s="553">
        <v>8137.3943357792805</v>
      </c>
    </row>
    <row r="10" spans="1:11">
      <c r="A10" s="549" t="s">
        <v>4854</v>
      </c>
      <c r="B10" s="555">
        <v>88.787878787878782</v>
      </c>
      <c r="C10" s="553">
        <v>14440</v>
      </c>
      <c r="D10" s="555">
        <v>213.59667784749428</v>
      </c>
      <c r="E10" s="553">
        <v>8916.3757362923552</v>
      </c>
      <c r="F10" s="555">
        <v>277.34176019453798</v>
      </c>
      <c r="G10" s="553">
        <v>7491.6111059431523</v>
      </c>
      <c r="H10" s="555">
        <v>371.11245776232272</v>
      </c>
      <c r="I10" s="553">
        <v>8311.5326627577851</v>
      </c>
      <c r="J10" s="555">
        <v>292.07301545156673</v>
      </c>
      <c r="K10" s="553">
        <v>8548.6598163246963</v>
      </c>
    </row>
    <row r="11" spans="1:11">
      <c r="A11" s="549" t="s">
        <v>4862</v>
      </c>
      <c r="B11" s="555">
        <v>68.727272727272734</v>
      </c>
      <c r="C11" s="553">
        <v>15200</v>
      </c>
      <c r="D11" s="555">
        <v>244.85879083496604</v>
      </c>
      <c r="E11" s="553">
        <v>9358.5119614948253</v>
      </c>
      <c r="F11" s="555">
        <v>295.50877047788811</v>
      </c>
      <c r="G11" s="553">
        <v>7619.3724962583365</v>
      </c>
      <c r="H11" s="555">
        <v>373.06197908926282</v>
      </c>
      <c r="I11" s="553">
        <v>8758.3880090294188</v>
      </c>
      <c r="J11" s="555">
        <v>313.60366131325492</v>
      </c>
      <c r="K11" s="553">
        <v>8848.5112125522628</v>
      </c>
    </row>
    <row r="12" spans="1:11">
      <c r="A12" s="549" t="s">
        <v>4860</v>
      </c>
      <c r="B12" s="555"/>
      <c r="C12" s="553"/>
      <c r="D12" s="555">
        <v>259.18206541115808</v>
      </c>
      <c r="E12" s="553">
        <v>9170.9646489236529</v>
      </c>
      <c r="F12" s="555">
        <v>284.77661686672468</v>
      </c>
      <c r="G12" s="553">
        <v>7400.0774959532428</v>
      </c>
      <c r="H12" s="555">
        <v>318.75083533521405</v>
      </c>
      <c r="I12" s="553">
        <v>8989.9407662137237</v>
      </c>
      <c r="J12" s="555">
        <v>298.88694563429129</v>
      </c>
      <c r="K12" s="553">
        <v>8806.9843864985469</v>
      </c>
    </row>
    <row r="13" spans="1:11">
      <c r="A13" s="549" t="s">
        <v>4859</v>
      </c>
      <c r="B13" s="555">
        <v>91.483870967741936</v>
      </c>
      <c r="C13" s="553">
        <v>14136</v>
      </c>
      <c r="D13" s="555">
        <v>268.28173701758567</v>
      </c>
      <c r="E13" s="553">
        <v>8650.9651606568623</v>
      </c>
      <c r="F13" s="555">
        <v>314.87255993671653</v>
      </c>
      <c r="G13" s="553">
        <v>7725.333333333333</v>
      </c>
      <c r="H13" s="555">
        <v>349.73292753683711</v>
      </c>
      <c r="I13" s="553">
        <v>8562.8344421817474</v>
      </c>
      <c r="J13" s="555">
        <v>313.24026694821976</v>
      </c>
      <c r="K13" s="553">
        <v>8602.8370175165819</v>
      </c>
    </row>
    <row r="14" spans="1:11">
      <c r="A14" s="549" t="s">
        <v>4855</v>
      </c>
      <c r="B14" s="555"/>
      <c r="C14" s="553"/>
      <c r="D14" s="555">
        <v>249.96258163349307</v>
      </c>
      <c r="E14" s="553">
        <v>7957.3666294928371</v>
      </c>
      <c r="F14" s="555"/>
      <c r="G14" s="553"/>
      <c r="H14" s="555">
        <v>349.75622818505218</v>
      </c>
      <c r="I14" s="553">
        <v>8138.0797147938792</v>
      </c>
      <c r="J14" s="555">
        <v>306.03710683865495</v>
      </c>
      <c r="K14" s="553">
        <v>8058.9101726619947</v>
      </c>
    </row>
    <row r="15" spans="1:11">
      <c r="A15" s="549" t="s">
        <v>4865</v>
      </c>
      <c r="B15" s="555">
        <v>92.483870967741936</v>
      </c>
      <c r="C15" s="553">
        <v>13528</v>
      </c>
      <c r="D15" s="555">
        <v>224.96891495134841</v>
      </c>
      <c r="E15" s="553">
        <v>8609.9265950227655</v>
      </c>
      <c r="F15" s="555">
        <v>210</v>
      </c>
      <c r="G15" s="553">
        <v>7450</v>
      </c>
      <c r="H15" s="555">
        <v>355.53964730105537</v>
      </c>
      <c r="I15" s="553">
        <v>7879.2619433513646</v>
      </c>
      <c r="J15" s="555">
        <v>294.46563005920484</v>
      </c>
      <c r="K15" s="553">
        <v>8271.5969046170685</v>
      </c>
    </row>
    <row r="16" spans="1:11">
      <c r="A16" s="549" t="s">
        <v>4864</v>
      </c>
      <c r="B16" s="555"/>
      <c r="C16" s="553"/>
      <c r="D16" s="555">
        <v>222.14253493298114</v>
      </c>
      <c r="E16" s="553">
        <v>8667.1401306496864</v>
      </c>
      <c r="F16" s="555">
        <v>300.46440058479533</v>
      </c>
      <c r="G16" s="553">
        <v>7185.2691806211542</v>
      </c>
      <c r="H16" s="555">
        <v>346.90638875211403</v>
      </c>
      <c r="I16" s="553">
        <v>8366.7771098690919</v>
      </c>
      <c r="J16" s="555">
        <v>267.95615455353618</v>
      </c>
      <c r="K16" s="553">
        <v>8431.6865323431939</v>
      </c>
    </row>
    <row r="17" spans="1:11">
      <c r="A17" s="549" t="s">
        <v>4863</v>
      </c>
      <c r="B17" s="555">
        <v>93.888888888888886</v>
      </c>
      <c r="C17" s="553">
        <v>13850</v>
      </c>
      <c r="D17" s="555">
        <v>235.39988428953043</v>
      </c>
      <c r="E17" s="553">
        <v>8464.5492540988853</v>
      </c>
      <c r="F17" s="555">
        <v>262.71413043478259</v>
      </c>
      <c r="G17" s="553">
        <v>8000</v>
      </c>
      <c r="H17" s="555">
        <v>361.47103909938727</v>
      </c>
      <c r="I17" s="553">
        <v>8411.400965977773</v>
      </c>
      <c r="J17" s="555">
        <v>296.05580962279106</v>
      </c>
      <c r="K17" s="553">
        <v>8509.1326716536296</v>
      </c>
    </row>
    <row r="18" spans="1:11">
      <c r="A18" s="549" t="s">
        <v>4856</v>
      </c>
      <c r="B18" s="555"/>
      <c r="C18" s="553"/>
      <c r="D18" s="555">
        <v>250.63874336814558</v>
      </c>
      <c r="E18" s="553">
        <v>8340</v>
      </c>
      <c r="F18" s="555"/>
      <c r="G18" s="553"/>
      <c r="H18" s="555">
        <v>350.04729766245117</v>
      </c>
      <c r="I18" s="553">
        <v>8099.1287282496642</v>
      </c>
      <c r="J18" s="555">
        <v>328.35815854369355</v>
      </c>
      <c r="K18" s="553">
        <v>8151.6824602679189</v>
      </c>
    </row>
    <row r="19" spans="1:11">
      <c r="A19" s="549" t="s">
        <v>4874</v>
      </c>
      <c r="B19" s="555">
        <v>89.239186192561093</v>
      </c>
      <c r="C19" s="553">
        <v>13855.714285714286</v>
      </c>
      <c r="D19" s="555">
        <v>243.3221722202228</v>
      </c>
      <c r="E19" s="553">
        <v>8565.5011964681344</v>
      </c>
      <c r="F19" s="555">
        <v>287.99071348492834</v>
      </c>
      <c r="G19" s="553">
        <v>7459.7394855479879</v>
      </c>
      <c r="H19" s="555">
        <v>346.3694407801861</v>
      </c>
      <c r="I19" s="553">
        <v>8340.0555757389429</v>
      </c>
      <c r="J19" s="555">
        <v>301.59860360611873</v>
      </c>
      <c r="K19" s="553">
        <v>8392.1704363164172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134F5C"/>
    <outlinePr summaryBelow="0" summaryRight="0"/>
  </sheetPr>
  <dimension ref="A1:P1712"/>
  <sheetViews>
    <sheetView workbookViewId="0">
      <pane ySplit="1" topLeftCell="A2" activePane="bottomLeft" state="frozen"/>
      <selection pane="bottomLeft" activeCell="H2" sqref="H2"/>
    </sheetView>
  </sheetViews>
  <sheetFormatPr baseColWidth="10" defaultColWidth="12.5703125" defaultRowHeight="15.75" customHeight="1"/>
  <cols>
    <col min="1" max="1" width="26.42578125" customWidth="1"/>
    <col min="2" max="2" width="6.140625" customWidth="1"/>
    <col min="3" max="3" width="12.85546875" customWidth="1"/>
    <col min="4" max="4" width="12.42578125" bestFit="1" customWidth="1"/>
    <col min="5" max="5" width="12.42578125" customWidth="1"/>
    <col min="6" max="6" width="11.7109375" bestFit="1" customWidth="1"/>
    <col min="7" max="7" width="16.42578125" bestFit="1" customWidth="1"/>
    <col min="8" max="8" width="7.85546875" customWidth="1"/>
    <col min="9" max="9" width="11.28515625" bestFit="1" customWidth="1"/>
    <col min="10" max="10" width="15.5703125" bestFit="1" customWidth="1"/>
    <col min="11" max="11" width="10" bestFit="1" customWidth="1"/>
    <col min="12" max="12" width="10.28515625" bestFit="1" customWidth="1"/>
    <col min="13" max="13" width="13.28515625" bestFit="1" customWidth="1"/>
    <col min="14" max="14" width="8.140625" bestFit="1" customWidth="1"/>
    <col min="15" max="15" width="8.140625" customWidth="1"/>
    <col min="16" max="16" width="11.42578125" bestFit="1" customWidth="1"/>
  </cols>
  <sheetData>
    <row r="1" spans="1:16" ht="49.5" customHeight="1">
      <c r="A1" s="190" t="s">
        <v>0</v>
      </c>
      <c r="B1" s="191" t="s">
        <v>3415</v>
      </c>
      <c r="C1" s="192" t="s">
        <v>3416</v>
      </c>
      <c r="D1" s="193" t="s">
        <v>3417</v>
      </c>
      <c r="E1" s="193" t="s">
        <v>27</v>
      </c>
      <c r="F1" s="194" t="s">
        <v>3418</v>
      </c>
      <c r="G1" s="192" t="s">
        <v>3419</v>
      </c>
      <c r="H1" s="195" t="s">
        <v>3420</v>
      </c>
      <c r="I1" s="195" t="s">
        <v>5</v>
      </c>
      <c r="J1" s="195" t="s">
        <v>4827</v>
      </c>
      <c r="K1" s="196" t="s">
        <v>3421</v>
      </c>
      <c r="L1" s="191" t="s">
        <v>3422</v>
      </c>
      <c r="M1" s="197" t="s">
        <v>8</v>
      </c>
      <c r="N1" s="198" t="s">
        <v>3423</v>
      </c>
      <c r="O1" s="546" t="s">
        <v>4883</v>
      </c>
      <c r="P1" s="546" t="s">
        <v>4879</v>
      </c>
    </row>
    <row r="2" spans="1:16" ht="12.75">
      <c r="A2" s="199" t="s">
        <v>3426</v>
      </c>
      <c r="B2" s="200" t="s">
        <v>3427</v>
      </c>
      <c r="C2" s="200" t="str">
        <f>VLOOKUP(B2,Fincas!$A$2:$C$1005,2,0)</f>
        <v>A_Jordan</v>
      </c>
      <c r="D2" s="201">
        <v>44566</v>
      </c>
      <c r="E2" s="267" t="str">
        <f>+TEXT(D2,"mmmm")</f>
        <v>enero</v>
      </c>
      <c r="F2" s="202">
        <v>44566</v>
      </c>
      <c r="G2" s="203">
        <v>44568</v>
      </c>
      <c r="H2" s="200" t="s">
        <v>3428</v>
      </c>
      <c r="I2" s="204">
        <v>7008146</v>
      </c>
      <c r="J2" s="204" t="str">
        <f>+VLOOKUP(I2,$F$962:$G$970,2,0)</f>
        <v>Res macho ceba</v>
      </c>
      <c r="K2" s="200">
        <v>13379</v>
      </c>
      <c r="L2" s="550">
        <v>7130</v>
      </c>
      <c r="M2" s="205">
        <f>L2*K2</f>
        <v>95392270</v>
      </c>
      <c r="N2" s="206">
        <v>34</v>
      </c>
      <c r="O2" s="554">
        <f>+K2/N2</f>
        <v>393.5</v>
      </c>
      <c r="P2" s="548">
        <f>+M2/N2</f>
        <v>2805655</v>
      </c>
    </row>
    <row r="3" spans="1:16" ht="12.75">
      <c r="A3" s="199" t="s">
        <v>3430</v>
      </c>
      <c r="B3" s="200" t="s">
        <v>3431</v>
      </c>
      <c r="C3" s="200" t="str">
        <f>VLOOKUP(B3,Fincas!$A$2:$C$1005,2,0)</f>
        <v>F_Totumito</v>
      </c>
      <c r="D3" s="201">
        <v>44569</v>
      </c>
      <c r="E3" s="267" t="str">
        <f t="shared" ref="E3:E66" si="0">+TEXT(D3,"mmmm")</f>
        <v>enero</v>
      </c>
      <c r="F3" s="202">
        <v>44573</v>
      </c>
      <c r="G3" s="203">
        <v>44573</v>
      </c>
      <c r="H3" s="200" t="s">
        <v>3432</v>
      </c>
      <c r="I3" s="212">
        <v>7008147</v>
      </c>
      <c r="J3" s="212" t="str">
        <f t="shared" ref="J3:J66" si="1">+VLOOKUP(I3,$F$962:$G$970,2,0)</f>
        <v>Res macho levante</v>
      </c>
      <c r="K3" s="200">
        <v>16689</v>
      </c>
      <c r="L3" s="550">
        <f>M3/K3</f>
        <v>7648.8669782491461</v>
      </c>
      <c r="M3" s="213">
        <v>127651941</v>
      </c>
      <c r="N3" s="206">
        <v>66</v>
      </c>
      <c r="O3" s="554">
        <f t="shared" ref="O3:O66" si="2">+K3/N3</f>
        <v>252.86363636363637</v>
      </c>
      <c r="P3" s="548">
        <f t="shared" ref="P3:P66" si="3">+M3/N3</f>
        <v>1934120.3181818181</v>
      </c>
    </row>
    <row r="4" spans="1:16" ht="12.75">
      <c r="A4" s="199" t="s">
        <v>3433</v>
      </c>
      <c r="B4" s="200" t="s">
        <v>3434</v>
      </c>
      <c r="C4" s="200" t="str">
        <f>VLOOKUP(B4,Fincas!$A$2:$C$1005,2,0)</f>
        <v>F_Yacare</v>
      </c>
      <c r="D4" s="201">
        <v>44572</v>
      </c>
      <c r="E4" s="267" t="str">
        <f t="shared" si="0"/>
        <v>enero</v>
      </c>
      <c r="F4" s="202">
        <v>44568</v>
      </c>
      <c r="G4" s="203">
        <v>44574</v>
      </c>
      <c r="H4" s="200" t="s">
        <v>3435</v>
      </c>
      <c r="I4" s="204">
        <v>7008146</v>
      </c>
      <c r="J4" s="204" t="str">
        <f t="shared" si="1"/>
        <v>Res macho ceba</v>
      </c>
      <c r="K4" s="200">
        <v>92284</v>
      </c>
      <c r="L4" s="550">
        <v>7550</v>
      </c>
      <c r="M4" s="205">
        <f t="shared" ref="M4:M13" si="4">L4*K4</f>
        <v>696744200</v>
      </c>
      <c r="N4" s="206">
        <v>268</v>
      </c>
      <c r="O4" s="554">
        <f t="shared" si="2"/>
        <v>344.34328358208955</v>
      </c>
      <c r="P4" s="548">
        <f t="shared" si="3"/>
        <v>2599791.7910447763</v>
      </c>
    </row>
    <row r="5" spans="1:16" ht="12.75">
      <c r="A5" s="199" t="s">
        <v>3436</v>
      </c>
      <c r="B5" s="200" t="s">
        <v>3437</v>
      </c>
      <c r="C5" s="200" t="str">
        <f>VLOOKUP(B5,Fincas!$A$2:$C$1005,2,0)</f>
        <v>F_Chaparral</v>
      </c>
      <c r="D5" s="201">
        <v>44574</v>
      </c>
      <c r="E5" s="267" t="str">
        <f t="shared" si="0"/>
        <v>enero</v>
      </c>
      <c r="F5" s="202">
        <v>44573</v>
      </c>
      <c r="G5" s="203">
        <v>44574</v>
      </c>
      <c r="H5" s="200" t="s">
        <v>3438</v>
      </c>
      <c r="I5" s="204">
        <v>7008146</v>
      </c>
      <c r="J5" s="204" t="str">
        <f t="shared" si="1"/>
        <v>Res macho ceba</v>
      </c>
      <c r="K5" s="200">
        <v>31107</v>
      </c>
      <c r="L5" s="550">
        <v>6600</v>
      </c>
      <c r="M5" s="205">
        <f t="shared" si="4"/>
        <v>205306200</v>
      </c>
      <c r="N5" s="206">
        <v>84</v>
      </c>
      <c r="O5" s="554">
        <f t="shared" si="2"/>
        <v>370.32142857142856</v>
      </c>
      <c r="P5" s="548">
        <f t="shared" si="3"/>
        <v>2444121.4285714286</v>
      </c>
    </row>
    <row r="6" spans="1:16" ht="12.75">
      <c r="A6" s="199" t="s">
        <v>3439</v>
      </c>
      <c r="B6" s="200" t="s">
        <v>3431</v>
      </c>
      <c r="C6" s="200" t="str">
        <f>VLOOKUP(B6,Fincas!$A$2:$C$1005,2,0)</f>
        <v>F_Totumito</v>
      </c>
      <c r="D6" s="201">
        <v>44572</v>
      </c>
      <c r="E6" s="267" t="str">
        <f t="shared" si="0"/>
        <v>enero</v>
      </c>
      <c r="F6" s="202">
        <v>44572</v>
      </c>
      <c r="G6" s="203">
        <v>44575</v>
      </c>
      <c r="H6" s="200" t="s">
        <v>841</v>
      </c>
      <c r="I6" s="212">
        <v>7008147</v>
      </c>
      <c r="J6" s="212" t="str">
        <f t="shared" si="1"/>
        <v>Res macho levante</v>
      </c>
      <c r="K6" s="200">
        <v>11382</v>
      </c>
      <c r="L6" s="550">
        <v>7500</v>
      </c>
      <c r="M6" s="205">
        <f t="shared" si="4"/>
        <v>85365000</v>
      </c>
      <c r="N6" s="206">
        <v>40</v>
      </c>
      <c r="O6" s="554">
        <f t="shared" si="2"/>
        <v>284.55</v>
      </c>
      <c r="P6" s="548">
        <f t="shared" si="3"/>
        <v>2134125</v>
      </c>
    </row>
    <row r="7" spans="1:16" ht="12.75">
      <c r="A7" s="199" t="s">
        <v>3426</v>
      </c>
      <c r="B7" s="200" t="s">
        <v>3431</v>
      </c>
      <c r="C7" s="200" t="str">
        <f>VLOOKUP(B7,Fincas!$A$2:$C$1005,2,0)</f>
        <v>F_Totumito</v>
      </c>
      <c r="D7" s="201">
        <v>44572</v>
      </c>
      <c r="E7" s="267" t="str">
        <f t="shared" si="0"/>
        <v>enero</v>
      </c>
      <c r="F7" s="202">
        <v>44568</v>
      </c>
      <c r="G7" s="203">
        <v>44575</v>
      </c>
      <c r="H7" s="200" t="s">
        <v>3440</v>
      </c>
      <c r="I7" s="212">
        <v>7008147</v>
      </c>
      <c r="J7" s="212" t="str">
        <f t="shared" si="1"/>
        <v>Res macho levante</v>
      </c>
      <c r="K7" s="200">
        <v>17434</v>
      </c>
      <c r="L7" s="550">
        <v>7600</v>
      </c>
      <c r="M7" s="205">
        <f t="shared" si="4"/>
        <v>132498400</v>
      </c>
      <c r="N7" s="206">
        <v>68</v>
      </c>
      <c r="O7" s="554">
        <f t="shared" si="2"/>
        <v>256.38235294117646</v>
      </c>
      <c r="P7" s="548">
        <f t="shared" si="3"/>
        <v>1948505.8823529412</v>
      </c>
    </row>
    <row r="8" spans="1:16" ht="12.75">
      <c r="A8" s="199" t="s">
        <v>3441</v>
      </c>
      <c r="B8" s="200" t="s">
        <v>3442</v>
      </c>
      <c r="C8" s="200" t="str">
        <f>VLOOKUP(B8,Fincas!$A$2:$C$1005,2,0)</f>
        <v>F_El Diamante</v>
      </c>
      <c r="D8" s="201">
        <v>44575</v>
      </c>
      <c r="E8" s="267" t="str">
        <f t="shared" si="0"/>
        <v>enero</v>
      </c>
      <c r="F8" s="202">
        <v>44575</v>
      </c>
      <c r="G8" s="203">
        <v>44578</v>
      </c>
      <c r="H8" s="200" t="s">
        <v>3443</v>
      </c>
      <c r="I8" s="212">
        <v>7008147</v>
      </c>
      <c r="J8" s="212" t="str">
        <f t="shared" si="1"/>
        <v>Res macho levante</v>
      </c>
      <c r="K8" s="200">
        <v>4640</v>
      </c>
      <c r="L8" s="550">
        <v>7766</v>
      </c>
      <c r="M8" s="205">
        <f t="shared" si="4"/>
        <v>36034240</v>
      </c>
      <c r="N8" s="214">
        <v>20</v>
      </c>
      <c r="O8" s="554">
        <f t="shared" si="2"/>
        <v>232</v>
      </c>
      <c r="P8" s="548">
        <f t="shared" si="3"/>
        <v>1801712</v>
      </c>
    </row>
    <row r="9" spans="1:16" ht="12.75">
      <c r="A9" s="199" t="s">
        <v>3441</v>
      </c>
      <c r="B9" s="200" t="s">
        <v>3442</v>
      </c>
      <c r="C9" s="200" t="str">
        <f>VLOOKUP(B9,Fincas!$A$2:$C$1005,2,0)</f>
        <v>F_El Diamante</v>
      </c>
      <c r="D9" s="201">
        <v>44575</v>
      </c>
      <c r="E9" s="267" t="str">
        <f t="shared" si="0"/>
        <v>enero</v>
      </c>
      <c r="F9" s="202">
        <v>44575</v>
      </c>
      <c r="G9" s="203">
        <v>44578</v>
      </c>
      <c r="H9" s="200" t="s">
        <v>3444</v>
      </c>
      <c r="I9" s="215">
        <v>7008459</v>
      </c>
      <c r="J9" s="215" t="str">
        <f t="shared" si="1"/>
        <v>Res macho Cría</v>
      </c>
      <c r="K9" s="200">
        <v>705</v>
      </c>
      <c r="L9" s="550">
        <v>12136</v>
      </c>
      <c r="M9" s="205">
        <f t="shared" si="4"/>
        <v>8555880</v>
      </c>
      <c r="N9" s="214">
        <v>7</v>
      </c>
      <c r="O9" s="554">
        <f t="shared" si="2"/>
        <v>100.71428571428571</v>
      </c>
      <c r="P9" s="548">
        <f t="shared" si="3"/>
        <v>1222268.5714285714</v>
      </c>
    </row>
    <row r="10" spans="1:16" ht="12.75">
      <c r="A10" s="199" t="s">
        <v>3445</v>
      </c>
      <c r="B10" s="200" t="s">
        <v>3446</v>
      </c>
      <c r="C10" s="200" t="str">
        <f>VLOOKUP(B10,Fincas!$A$2:$C$1005,2,0)</f>
        <v>F_Don Alfonso</v>
      </c>
      <c r="D10" s="201">
        <v>44575</v>
      </c>
      <c r="E10" s="267" t="str">
        <f t="shared" si="0"/>
        <v>enero</v>
      </c>
      <c r="F10" s="202">
        <v>44575</v>
      </c>
      <c r="G10" s="203">
        <v>44578</v>
      </c>
      <c r="H10" s="200" t="s">
        <v>3447</v>
      </c>
      <c r="I10" s="204">
        <v>7008146</v>
      </c>
      <c r="J10" s="204" t="str">
        <f t="shared" si="1"/>
        <v>Res macho ceba</v>
      </c>
      <c r="K10" s="200">
        <v>61980</v>
      </c>
      <c r="L10" s="550">
        <v>7500</v>
      </c>
      <c r="M10" s="205">
        <f t="shared" si="4"/>
        <v>464850000</v>
      </c>
      <c r="N10" s="206">
        <v>208</v>
      </c>
      <c r="O10" s="554">
        <f t="shared" si="2"/>
        <v>297.98076923076923</v>
      </c>
      <c r="P10" s="548">
        <f t="shared" si="3"/>
        <v>2234855.769230769</v>
      </c>
    </row>
    <row r="11" spans="1:16" ht="12.75">
      <c r="A11" s="199" t="s">
        <v>3448</v>
      </c>
      <c r="B11" s="200" t="s">
        <v>3449</v>
      </c>
      <c r="C11" s="200" t="str">
        <f>VLOOKUP(B11,Fincas!$A$2:$C$1005,2,0)</f>
        <v>F_La Estrella</v>
      </c>
      <c r="D11" s="201">
        <v>44578</v>
      </c>
      <c r="E11" s="267" t="str">
        <f t="shared" si="0"/>
        <v>enero</v>
      </c>
      <c r="F11" s="202">
        <v>44576</v>
      </c>
      <c r="G11" s="203">
        <v>44578</v>
      </c>
      <c r="H11" s="200" t="s">
        <v>3450</v>
      </c>
      <c r="I11" s="204">
        <v>7008146</v>
      </c>
      <c r="J11" s="204" t="str">
        <f t="shared" si="1"/>
        <v>Res macho ceba</v>
      </c>
      <c r="K11" s="200">
        <v>31111</v>
      </c>
      <c r="L11" s="550">
        <v>7200</v>
      </c>
      <c r="M11" s="205">
        <f t="shared" si="4"/>
        <v>223999200</v>
      </c>
      <c r="N11" s="206">
        <v>95</v>
      </c>
      <c r="O11" s="554">
        <f t="shared" si="2"/>
        <v>327.48421052631579</v>
      </c>
      <c r="P11" s="548">
        <f t="shared" si="3"/>
        <v>2357886.3157894737</v>
      </c>
    </row>
    <row r="12" spans="1:16" ht="12.75">
      <c r="A12" s="199" t="s">
        <v>3451</v>
      </c>
      <c r="B12" s="200" t="s">
        <v>3431</v>
      </c>
      <c r="C12" s="200" t="str">
        <f>VLOOKUP(B12,Fincas!$A$2:$C$1005,2,0)</f>
        <v>F_Totumito</v>
      </c>
      <c r="D12" s="201">
        <v>44573</v>
      </c>
      <c r="E12" s="267" t="str">
        <f t="shared" si="0"/>
        <v>enero</v>
      </c>
      <c r="F12" s="202">
        <v>44575</v>
      </c>
      <c r="G12" s="203">
        <v>44579</v>
      </c>
      <c r="H12" s="200" t="s">
        <v>3452</v>
      </c>
      <c r="I12" s="212">
        <v>7008147</v>
      </c>
      <c r="J12" s="212" t="str">
        <f t="shared" si="1"/>
        <v>Res macho levante</v>
      </c>
      <c r="K12" s="200">
        <v>9803</v>
      </c>
      <c r="L12" s="550">
        <v>7770</v>
      </c>
      <c r="M12" s="205">
        <f t="shared" si="4"/>
        <v>76169310</v>
      </c>
      <c r="N12" s="214">
        <v>40</v>
      </c>
      <c r="O12" s="554">
        <f t="shared" si="2"/>
        <v>245.07499999999999</v>
      </c>
      <c r="P12" s="548">
        <f t="shared" si="3"/>
        <v>1904232.75</v>
      </c>
    </row>
    <row r="13" spans="1:16" ht="12.75">
      <c r="A13" s="199" t="s">
        <v>3451</v>
      </c>
      <c r="B13" s="200" t="s">
        <v>3431</v>
      </c>
      <c r="C13" s="200" t="str">
        <f>VLOOKUP(B13,Fincas!$A$2:$C$1005,2,0)</f>
        <v>F_Totumito</v>
      </c>
      <c r="D13" s="201">
        <v>44575</v>
      </c>
      <c r="E13" s="267" t="str">
        <f t="shared" si="0"/>
        <v>enero</v>
      </c>
      <c r="F13" s="202">
        <v>44575</v>
      </c>
      <c r="G13" s="203">
        <v>44579</v>
      </c>
      <c r="H13" s="200" t="s">
        <v>3453</v>
      </c>
      <c r="I13" s="212">
        <v>7008147</v>
      </c>
      <c r="J13" s="212" t="str">
        <f t="shared" si="1"/>
        <v>Res macho levante</v>
      </c>
      <c r="K13" s="200">
        <v>11726</v>
      </c>
      <c r="L13" s="550">
        <v>7690</v>
      </c>
      <c r="M13" s="205">
        <f t="shared" si="4"/>
        <v>90172940</v>
      </c>
      <c r="N13" s="214">
        <v>42</v>
      </c>
      <c r="O13" s="554">
        <f t="shared" si="2"/>
        <v>279.1904761904762</v>
      </c>
      <c r="P13" s="548">
        <f t="shared" si="3"/>
        <v>2146974.7619047621</v>
      </c>
    </row>
    <row r="14" spans="1:16" ht="12.75">
      <c r="A14" s="199" t="s">
        <v>3454</v>
      </c>
      <c r="B14" s="200" t="s">
        <v>3431</v>
      </c>
      <c r="C14" s="200" t="str">
        <f>VLOOKUP(B14,Fincas!$A$2:$C$1005,2,0)</f>
        <v>F_Totumito</v>
      </c>
      <c r="D14" s="201">
        <v>44574</v>
      </c>
      <c r="E14" s="267" t="str">
        <f t="shared" si="0"/>
        <v>enero</v>
      </c>
      <c r="F14" s="202">
        <v>44574</v>
      </c>
      <c r="G14" s="203">
        <v>44579</v>
      </c>
      <c r="H14" s="200">
        <v>236391</v>
      </c>
      <c r="I14" s="212">
        <v>7008147</v>
      </c>
      <c r="J14" s="212" t="str">
        <f t="shared" si="1"/>
        <v>Res macho levante</v>
      </c>
      <c r="K14" s="200">
        <v>5750</v>
      </c>
      <c r="L14" s="550">
        <f t="shared" ref="L14:L15" si="5">M14/K14</f>
        <v>7586.9949565217394</v>
      </c>
      <c r="M14" s="213">
        <v>43625221</v>
      </c>
      <c r="N14" s="214">
        <v>20</v>
      </c>
      <c r="O14" s="554">
        <f t="shared" si="2"/>
        <v>287.5</v>
      </c>
      <c r="P14" s="548">
        <f t="shared" si="3"/>
        <v>2181261.0499999998</v>
      </c>
    </row>
    <row r="15" spans="1:16" ht="12.75">
      <c r="A15" s="199" t="s">
        <v>3454</v>
      </c>
      <c r="B15" s="200" t="s">
        <v>3431</v>
      </c>
      <c r="C15" s="200" t="str">
        <f>VLOOKUP(B15,Fincas!$A$2:$C$1005,2,0)</f>
        <v>F_Totumito</v>
      </c>
      <c r="D15" s="201">
        <v>44574</v>
      </c>
      <c r="E15" s="267" t="str">
        <f t="shared" si="0"/>
        <v>enero</v>
      </c>
      <c r="F15" s="202">
        <v>44574</v>
      </c>
      <c r="G15" s="203">
        <v>44579</v>
      </c>
      <c r="H15" s="200">
        <v>236404</v>
      </c>
      <c r="I15" s="212">
        <v>7008147</v>
      </c>
      <c r="J15" s="212" t="str">
        <f t="shared" si="1"/>
        <v>Res macho levante</v>
      </c>
      <c r="K15" s="200">
        <v>5210</v>
      </c>
      <c r="L15" s="550">
        <f t="shared" si="5"/>
        <v>7637.239923224568</v>
      </c>
      <c r="M15" s="213">
        <v>39790020</v>
      </c>
      <c r="N15" s="214">
        <v>18</v>
      </c>
      <c r="O15" s="554">
        <f t="shared" si="2"/>
        <v>289.44444444444446</v>
      </c>
      <c r="P15" s="548">
        <f t="shared" si="3"/>
        <v>2210556.6666666665</v>
      </c>
    </row>
    <row r="16" spans="1:16" ht="12.75">
      <c r="A16" s="199" t="s">
        <v>3456</v>
      </c>
      <c r="B16" s="200" t="s">
        <v>3457</v>
      </c>
      <c r="C16" s="200" t="str">
        <f>VLOOKUP(B16,Fincas!$A$2:$C$1005,2,0)</f>
        <v>F_La Carolina</v>
      </c>
      <c r="D16" s="201">
        <v>44579</v>
      </c>
      <c r="E16" s="267" t="str">
        <f t="shared" si="0"/>
        <v>enero</v>
      </c>
      <c r="F16" s="202">
        <v>44576</v>
      </c>
      <c r="G16" s="203">
        <v>44579</v>
      </c>
      <c r="H16" s="200" t="s">
        <v>3458</v>
      </c>
      <c r="I16" s="204">
        <v>7008146</v>
      </c>
      <c r="J16" s="204" t="str">
        <f t="shared" si="1"/>
        <v>Res macho ceba</v>
      </c>
      <c r="K16" s="200">
        <v>11634</v>
      </c>
      <c r="L16" s="550">
        <v>6850</v>
      </c>
      <c r="M16" s="205">
        <f t="shared" ref="M16:M30" si="6">L16*K16</f>
        <v>79692900</v>
      </c>
      <c r="N16" s="206">
        <v>37</v>
      </c>
      <c r="O16" s="554">
        <f t="shared" si="2"/>
        <v>314.43243243243245</v>
      </c>
      <c r="P16" s="548">
        <f t="shared" si="3"/>
        <v>2153862.1621621624</v>
      </c>
    </row>
    <row r="17" spans="1:16" ht="12.75">
      <c r="A17" s="199" t="s">
        <v>3430</v>
      </c>
      <c r="B17" s="200" t="s">
        <v>3431</v>
      </c>
      <c r="C17" s="200" t="str">
        <f>VLOOKUP(B17,Fincas!$A$2:$C$1005,2,0)</f>
        <v>F_Totumito</v>
      </c>
      <c r="D17" s="201">
        <v>44580</v>
      </c>
      <c r="E17" s="267" t="str">
        <f t="shared" si="0"/>
        <v>enero</v>
      </c>
      <c r="F17" s="202">
        <v>44579</v>
      </c>
      <c r="G17" s="203">
        <v>44580</v>
      </c>
      <c r="H17" s="200" t="s">
        <v>3452</v>
      </c>
      <c r="I17" s="212">
        <v>7008147</v>
      </c>
      <c r="J17" s="212" t="str">
        <f t="shared" si="1"/>
        <v>Res macho levante</v>
      </c>
      <c r="K17" s="200">
        <v>29667</v>
      </c>
      <c r="L17" s="550">
        <v>7600</v>
      </c>
      <c r="M17" s="205">
        <f t="shared" si="6"/>
        <v>225469200</v>
      </c>
      <c r="N17" s="206">
        <v>117</v>
      </c>
      <c r="O17" s="554">
        <f t="shared" si="2"/>
        <v>253.56410256410257</v>
      </c>
      <c r="P17" s="548">
        <f t="shared" si="3"/>
        <v>1927087.1794871795</v>
      </c>
    </row>
    <row r="18" spans="1:16" ht="12.75">
      <c r="A18" s="199" t="s">
        <v>3459</v>
      </c>
      <c r="B18" s="200" t="s">
        <v>3460</v>
      </c>
      <c r="C18" s="200" t="str">
        <f>VLOOKUP(B18,Fincas!$A$2:$C$1005,2,0)</f>
        <v>F_Holanda</v>
      </c>
      <c r="D18" s="201">
        <v>44580</v>
      </c>
      <c r="E18" s="267" t="str">
        <f t="shared" si="0"/>
        <v>enero</v>
      </c>
      <c r="F18" s="202">
        <v>44580</v>
      </c>
      <c r="G18" s="203">
        <v>44582</v>
      </c>
      <c r="H18" s="200" t="s">
        <v>3461</v>
      </c>
      <c r="I18" s="204">
        <v>7008146</v>
      </c>
      <c r="J18" s="204" t="str">
        <f t="shared" si="1"/>
        <v>Res macho ceba</v>
      </c>
      <c r="K18" s="200">
        <v>7102</v>
      </c>
      <c r="L18" s="550">
        <v>8000</v>
      </c>
      <c r="M18" s="205">
        <f t="shared" si="6"/>
        <v>56816000</v>
      </c>
      <c r="N18" s="206">
        <v>41</v>
      </c>
      <c r="O18" s="554">
        <f t="shared" si="2"/>
        <v>173.21951219512195</v>
      </c>
      <c r="P18" s="548">
        <f t="shared" si="3"/>
        <v>1385756.0975609757</v>
      </c>
    </row>
    <row r="19" spans="1:16" ht="12.75">
      <c r="A19" s="199" t="s">
        <v>3459</v>
      </c>
      <c r="B19" s="200" t="s">
        <v>3460</v>
      </c>
      <c r="C19" s="200" t="str">
        <f>VLOOKUP(B19,Fincas!$A$2:$C$1005,2,0)</f>
        <v>F_Holanda</v>
      </c>
      <c r="D19" s="201">
        <v>44580</v>
      </c>
      <c r="E19" s="267" t="str">
        <f t="shared" si="0"/>
        <v>enero</v>
      </c>
      <c r="F19" s="202">
        <v>44580</v>
      </c>
      <c r="G19" s="203">
        <v>44582</v>
      </c>
      <c r="H19" s="200" t="s">
        <v>3462</v>
      </c>
      <c r="I19" s="217">
        <v>7008151</v>
      </c>
      <c r="J19" s="217" t="str">
        <f t="shared" si="1"/>
        <v>Res novilla ceba</v>
      </c>
      <c r="K19" s="200">
        <v>17831</v>
      </c>
      <c r="L19" s="550">
        <v>7200</v>
      </c>
      <c r="M19" s="205">
        <f t="shared" si="6"/>
        <v>128383200</v>
      </c>
      <c r="N19" s="206">
        <v>76</v>
      </c>
      <c r="O19" s="554">
        <f t="shared" si="2"/>
        <v>234.61842105263159</v>
      </c>
      <c r="P19" s="548">
        <f t="shared" si="3"/>
        <v>1689252.6315789474</v>
      </c>
    </row>
    <row r="20" spans="1:16" ht="12.75">
      <c r="A20" s="199" t="s">
        <v>3463</v>
      </c>
      <c r="B20" s="200" t="s">
        <v>3464</v>
      </c>
      <c r="C20" s="200" t="str">
        <f>VLOOKUP(B20,Fincas!$A$2:$C$1005,2,0)</f>
        <v>F_Texas Araujo</v>
      </c>
      <c r="D20" s="201">
        <v>44577</v>
      </c>
      <c r="E20" s="267" t="str">
        <f t="shared" si="0"/>
        <v>enero</v>
      </c>
      <c r="F20" s="202">
        <v>44581</v>
      </c>
      <c r="G20" s="203">
        <v>44582</v>
      </c>
      <c r="H20" s="200" t="s">
        <v>3465</v>
      </c>
      <c r="I20" s="204">
        <v>7008146</v>
      </c>
      <c r="J20" s="204" t="str">
        <f t="shared" si="1"/>
        <v>Res macho ceba</v>
      </c>
      <c r="K20" s="200">
        <v>20310</v>
      </c>
      <c r="L20" s="550">
        <v>7700</v>
      </c>
      <c r="M20" s="205">
        <f t="shared" si="6"/>
        <v>156387000</v>
      </c>
      <c r="N20" s="214">
        <v>60</v>
      </c>
      <c r="O20" s="554">
        <f t="shared" si="2"/>
        <v>338.5</v>
      </c>
      <c r="P20" s="548">
        <f t="shared" si="3"/>
        <v>2606450</v>
      </c>
    </row>
    <row r="21" spans="1:16" ht="12.75">
      <c r="A21" s="199" t="s">
        <v>3466</v>
      </c>
      <c r="B21" s="200" t="s">
        <v>3467</v>
      </c>
      <c r="C21" s="200" t="str">
        <f>VLOOKUP(B21,Fincas!$A$2:$C$1005,2,0)</f>
        <v>F_La Florida</v>
      </c>
      <c r="D21" s="201">
        <v>44581</v>
      </c>
      <c r="E21" s="267" t="str">
        <f t="shared" si="0"/>
        <v>enero</v>
      </c>
      <c r="F21" s="202">
        <v>44580</v>
      </c>
      <c r="G21" s="203">
        <v>44585</v>
      </c>
      <c r="H21" s="200" t="s">
        <v>3468</v>
      </c>
      <c r="I21" s="204">
        <v>7008146</v>
      </c>
      <c r="J21" s="204" t="str">
        <f t="shared" si="1"/>
        <v>Res macho ceba</v>
      </c>
      <c r="K21" s="200">
        <v>31936</v>
      </c>
      <c r="L21" s="550">
        <v>7200</v>
      </c>
      <c r="M21" s="205">
        <f t="shared" si="6"/>
        <v>229939200</v>
      </c>
      <c r="N21" s="206">
        <v>92</v>
      </c>
      <c r="O21" s="554">
        <f t="shared" si="2"/>
        <v>347.13043478260869</v>
      </c>
      <c r="P21" s="548">
        <f t="shared" si="3"/>
        <v>2499339.1304347827</v>
      </c>
    </row>
    <row r="22" spans="1:16" ht="12.75">
      <c r="A22" s="199" t="s">
        <v>3463</v>
      </c>
      <c r="B22" s="200" t="s">
        <v>3469</v>
      </c>
      <c r="C22" s="200" t="str">
        <f>VLOOKUP(B22,Fincas!$A$2:$C$1005,2,0)</f>
        <v>F_Chumbimbo</v>
      </c>
      <c r="D22" s="201">
        <v>44579</v>
      </c>
      <c r="E22" s="267" t="str">
        <f t="shared" si="0"/>
        <v>enero</v>
      </c>
      <c r="F22" s="202">
        <v>44581</v>
      </c>
      <c r="G22" s="203">
        <v>44585</v>
      </c>
      <c r="H22" s="200" t="s">
        <v>3470</v>
      </c>
      <c r="I22" s="212">
        <v>7008147</v>
      </c>
      <c r="J22" s="212" t="str">
        <f t="shared" si="1"/>
        <v>Res macho levante</v>
      </c>
      <c r="K22" s="200">
        <v>7384</v>
      </c>
      <c r="L22" s="550">
        <v>7600</v>
      </c>
      <c r="M22" s="205">
        <f t="shared" si="6"/>
        <v>56118400</v>
      </c>
      <c r="N22" s="206">
        <v>26</v>
      </c>
      <c r="O22" s="554">
        <f t="shared" si="2"/>
        <v>284</v>
      </c>
      <c r="P22" s="548">
        <f t="shared" si="3"/>
        <v>2158400</v>
      </c>
    </row>
    <row r="23" spans="1:16" ht="12.75">
      <c r="A23" s="199" t="s">
        <v>3451</v>
      </c>
      <c r="B23" s="200" t="s">
        <v>3431</v>
      </c>
      <c r="C23" s="200" t="str">
        <f>VLOOKUP(B23,Fincas!$A$2:$C$1005,2,0)</f>
        <v>F_Totumito</v>
      </c>
      <c r="D23" s="201">
        <v>44579</v>
      </c>
      <c r="E23" s="267" t="str">
        <f t="shared" si="0"/>
        <v>enero</v>
      </c>
      <c r="F23" s="202">
        <v>44580</v>
      </c>
      <c r="G23" s="203">
        <v>44585</v>
      </c>
      <c r="H23" s="200" t="s">
        <v>3471</v>
      </c>
      <c r="I23" s="212">
        <v>7008147</v>
      </c>
      <c r="J23" s="212" t="str">
        <f t="shared" si="1"/>
        <v>Res macho levante</v>
      </c>
      <c r="K23" s="200">
        <v>11726</v>
      </c>
      <c r="L23" s="550">
        <v>7600</v>
      </c>
      <c r="M23" s="205">
        <f t="shared" si="6"/>
        <v>89117600</v>
      </c>
      <c r="N23" s="214">
        <v>50</v>
      </c>
      <c r="O23" s="554">
        <f t="shared" si="2"/>
        <v>234.52</v>
      </c>
      <c r="P23" s="548">
        <f t="shared" si="3"/>
        <v>1782352</v>
      </c>
    </row>
    <row r="24" spans="1:16" ht="12.75">
      <c r="A24" s="199" t="s">
        <v>3451</v>
      </c>
      <c r="B24" s="200" t="s">
        <v>3431</v>
      </c>
      <c r="C24" s="200" t="str">
        <f>VLOOKUP(B24,Fincas!$A$2:$C$1005,2,0)</f>
        <v>F_Totumito</v>
      </c>
      <c r="D24" s="201">
        <v>44579</v>
      </c>
      <c r="E24" s="267" t="str">
        <f t="shared" si="0"/>
        <v>enero</v>
      </c>
      <c r="F24" s="202">
        <v>44580</v>
      </c>
      <c r="G24" s="203">
        <v>44585</v>
      </c>
      <c r="H24" s="200" t="s">
        <v>3472</v>
      </c>
      <c r="I24" s="212">
        <v>7008147</v>
      </c>
      <c r="J24" s="212" t="str">
        <f t="shared" si="1"/>
        <v>Res macho levante</v>
      </c>
      <c r="K24" s="200">
        <v>5296</v>
      </c>
      <c r="L24" s="550">
        <v>7520</v>
      </c>
      <c r="M24" s="205">
        <f t="shared" si="6"/>
        <v>39825920</v>
      </c>
      <c r="N24" s="214">
        <v>19</v>
      </c>
      <c r="O24" s="554">
        <f t="shared" si="2"/>
        <v>278.73684210526318</v>
      </c>
      <c r="P24" s="548">
        <f t="shared" si="3"/>
        <v>2096101.0526315789</v>
      </c>
    </row>
    <row r="25" spans="1:16" ht="12.75">
      <c r="A25" s="199" t="s">
        <v>3473</v>
      </c>
      <c r="B25" s="200" t="s">
        <v>3474</v>
      </c>
      <c r="C25" s="200" t="str">
        <f>VLOOKUP(B25,Fincas!$A$2:$C$1005,2,0)</f>
        <v>F_Santa Elena</v>
      </c>
      <c r="D25" s="201">
        <v>44581</v>
      </c>
      <c r="E25" s="267" t="str">
        <f t="shared" si="0"/>
        <v>enero</v>
      </c>
      <c r="F25" s="202">
        <v>44581</v>
      </c>
      <c r="G25" s="203">
        <v>44585</v>
      </c>
      <c r="H25" s="200" t="s">
        <v>3475</v>
      </c>
      <c r="I25" s="212">
        <v>7008147</v>
      </c>
      <c r="J25" s="212" t="str">
        <f t="shared" si="1"/>
        <v>Res macho levante</v>
      </c>
      <c r="K25" s="200">
        <v>19181</v>
      </c>
      <c r="L25" s="550">
        <v>8000</v>
      </c>
      <c r="M25" s="205">
        <f t="shared" si="6"/>
        <v>153448000</v>
      </c>
      <c r="N25" s="206">
        <v>124</v>
      </c>
      <c r="O25" s="554">
        <f t="shared" si="2"/>
        <v>154.68548387096774</v>
      </c>
      <c r="P25" s="548">
        <f t="shared" si="3"/>
        <v>1237483.8709677418</v>
      </c>
    </row>
    <row r="26" spans="1:16" ht="12.75">
      <c r="A26" s="199" t="s">
        <v>3451</v>
      </c>
      <c r="B26" s="200" t="s">
        <v>3476</v>
      </c>
      <c r="C26" s="200" t="str">
        <f>VLOOKUP(B26,Fincas!$A$2:$C$1005,2,0)</f>
        <v>F_Guacharacas</v>
      </c>
      <c r="D26" s="201">
        <v>44579</v>
      </c>
      <c r="E26" s="267" t="str">
        <f t="shared" si="0"/>
        <v>enero</v>
      </c>
      <c r="F26" s="202">
        <v>44580</v>
      </c>
      <c r="G26" s="203">
        <v>44585</v>
      </c>
      <c r="H26" s="200" t="s">
        <v>3477</v>
      </c>
      <c r="I26" s="204">
        <v>7008146</v>
      </c>
      <c r="J26" s="204" t="str">
        <f t="shared" si="1"/>
        <v>Res macho ceba</v>
      </c>
      <c r="K26" s="200">
        <v>17514</v>
      </c>
      <c r="L26" s="550">
        <v>7500</v>
      </c>
      <c r="M26" s="205">
        <f t="shared" si="6"/>
        <v>131355000</v>
      </c>
      <c r="N26" s="214">
        <v>51</v>
      </c>
      <c r="O26" s="554">
        <f t="shared" si="2"/>
        <v>343.41176470588238</v>
      </c>
      <c r="P26" s="548">
        <f t="shared" si="3"/>
        <v>2575588.2352941176</v>
      </c>
    </row>
    <row r="27" spans="1:16" ht="12.75">
      <c r="A27" s="199" t="s">
        <v>3451</v>
      </c>
      <c r="B27" s="200" t="s">
        <v>3476</v>
      </c>
      <c r="C27" s="200" t="str">
        <f>VLOOKUP(B27,Fincas!$A$2:$C$1005,2,0)</f>
        <v>F_Guacharacas</v>
      </c>
      <c r="D27" s="201">
        <v>44579</v>
      </c>
      <c r="E27" s="267" t="str">
        <f t="shared" si="0"/>
        <v>enero</v>
      </c>
      <c r="F27" s="202">
        <v>44580</v>
      </c>
      <c r="G27" s="203">
        <v>44585</v>
      </c>
      <c r="H27" s="200" t="s">
        <v>3478</v>
      </c>
      <c r="I27" s="204">
        <v>7008146</v>
      </c>
      <c r="J27" s="204" t="str">
        <f t="shared" si="1"/>
        <v>Res macho ceba</v>
      </c>
      <c r="K27" s="200">
        <v>29082</v>
      </c>
      <c r="L27" s="550">
        <v>7585</v>
      </c>
      <c r="M27" s="205">
        <f t="shared" si="6"/>
        <v>220586970</v>
      </c>
      <c r="N27" s="214">
        <v>80</v>
      </c>
      <c r="O27" s="554">
        <f t="shared" si="2"/>
        <v>363.52499999999998</v>
      </c>
      <c r="P27" s="548">
        <f t="shared" si="3"/>
        <v>2757337.125</v>
      </c>
    </row>
    <row r="28" spans="1:16" ht="12.75">
      <c r="A28" s="199" t="s">
        <v>3479</v>
      </c>
      <c r="B28" s="200" t="s">
        <v>3480</v>
      </c>
      <c r="C28" s="200" t="str">
        <f>VLOOKUP(B28,Fincas!$A$2:$C$1005,2,0)</f>
        <v>F_Chenevo</v>
      </c>
      <c r="D28" s="201">
        <v>44585</v>
      </c>
      <c r="E28" s="267" t="str">
        <f t="shared" si="0"/>
        <v>enero</v>
      </c>
      <c r="F28" s="202">
        <v>44583</v>
      </c>
      <c r="G28" s="203">
        <v>44586</v>
      </c>
      <c r="H28" s="200" t="s">
        <v>3481</v>
      </c>
      <c r="I28" s="204">
        <v>7008146</v>
      </c>
      <c r="J28" s="204" t="str">
        <f t="shared" si="1"/>
        <v>Res macho ceba</v>
      </c>
      <c r="K28" s="200">
        <v>10932</v>
      </c>
      <c r="L28" s="550">
        <v>7200</v>
      </c>
      <c r="M28" s="205">
        <f t="shared" si="6"/>
        <v>78710400</v>
      </c>
      <c r="N28" s="206">
        <v>36</v>
      </c>
      <c r="O28" s="554">
        <f t="shared" si="2"/>
        <v>303.66666666666669</v>
      </c>
      <c r="P28" s="548">
        <f t="shared" si="3"/>
        <v>2186400</v>
      </c>
    </row>
    <row r="29" spans="1:16" ht="12.75">
      <c r="A29" s="199" t="s">
        <v>3479</v>
      </c>
      <c r="B29" s="200" t="s">
        <v>3480</v>
      </c>
      <c r="C29" s="200" t="str">
        <f>VLOOKUP(B29,Fincas!$A$2:$C$1005,2,0)</f>
        <v>F_Chenevo</v>
      </c>
      <c r="D29" s="201">
        <v>44585</v>
      </c>
      <c r="E29" s="267" t="str">
        <f t="shared" si="0"/>
        <v>enero</v>
      </c>
      <c r="F29" s="202">
        <v>44581</v>
      </c>
      <c r="G29" s="203">
        <v>44586</v>
      </c>
      <c r="H29" s="200" t="s">
        <v>2000</v>
      </c>
      <c r="I29" s="212">
        <v>7008147</v>
      </c>
      <c r="J29" s="212" t="str">
        <f t="shared" si="1"/>
        <v>Res macho levante</v>
      </c>
      <c r="K29" s="200">
        <v>12537</v>
      </c>
      <c r="L29" s="550">
        <v>7550</v>
      </c>
      <c r="M29" s="205">
        <f t="shared" si="6"/>
        <v>94654350</v>
      </c>
      <c r="N29" s="206">
        <v>59</v>
      </c>
      <c r="O29" s="554">
        <f t="shared" si="2"/>
        <v>212.4915254237288</v>
      </c>
      <c r="P29" s="548">
        <f t="shared" si="3"/>
        <v>1604311.0169491526</v>
      </c>
    </row>
    <row r="30" spans="1:16" ht="12.75">
      <c r="A30" s="199" t="s">
        <v>3482</v>
      </c>
      <c r="B30" s="200" t="s">
        <v>3483</v>
      </c>
      <c r="C30" s="200" t="str">
        <f>VLOOKUP(B30,Fincas!$A$2:$C$1005,2,0)</f>
        <v>F_San Andres</v>
      </c>
      <c r="D30" s="201">
        <v>44584</v>
      </c>
      <c r="E30" s="267" t="str">
        <f t="shared" si="0"/>
        <v>enero</v>
      </c>
      <c r="F30" s="202">
        <v>44582</v>
      </c>
      <c r="G30" s="203">
        <v>44586</v>
      </c>
      <c r="H30" s="200">
        <v>431</v>
      </c>
      <c r="I30" s="212">
        <v>7008147</v>
      </c>
      <c r="J30" s="212" t="str">
        <f t="shared" si="1"/>
        <v>Res macho levante</v>
      </c>
      <c r="K30" s="200">
        <v>29306</v>
      </c>
      <c r="L30" s="550">
        <v>7600</v>
      </c>
      <c r="M30" s="205">
        <f t="shared" si="6"/>
        <v>222725600</v>
      </c>
      <c r="N30" s="206">
        <v>120</v>
      </c>
      <c r="O30" s="554">
        <f t="shared" si="2"/>
        <v>244.21666666666667</v>
      </c>
      <c r="P30" s="548">
        <f t="shared" si="3"/>
        <v>1856046.6666666667</v>
      </c>
    </row>
    <row r="31" spans="1:16" ht="12.75">
      <c r="A31" s="199" t="s">
        <v>672</v>
      </c>
      <c r="B31" s="200" t="s">
        <v>3480</v>
      </c>
      <c r="C31" s="200" t="str">
        <f>VLOOKUP(B31,Fincas!$A$2:$C$1005,2,0)</f>
        <v>F_Chenevo</v>
      </c>
      <c r="D31" s="201">
        <v>44585</v>
      </c>
      <c r="E31" s="267" t="str">
        <f t="shared" si="0"/>
        <v>enero</v>
      </c>
      <c r="F31" s="202">
        <v>44581</v>
      </c>
      <c r="G31" s="203">
        <v>44587</v>
      </c>
      <c r="H31" s="200" t="s">
        <v>3484</v>
      </c>
      <c r="I31" s="212">
        <v>7008147</v>
      </c>
      <c r="J31" s="212" t="str">
        <f t="shared" si="1"/>
        <v>Res macho levante</v>
      </c>
      <c r="K31" s="200">
        <v>12076</v>
      </c>
      <c r="L31" s="550">
        <f t="shared" ref="L31:L32" si="7">M31/K31</f>
        <v>7174.5999503146741</v>
      </c>
      <c r="M31" s="213">
        <v>86640469</v>
      </c>
      <c r="N31" s="206">
        <v>55</v>
      </c>
      <c r="O31" s="554">
        <f t="shared" si="2"/>
        <v>219.56363636363636</v>
      </c>
      <c r="P31" s="548">
        <f t="shared" si="3"/>
        <v>1575281.2545454546</v>
      </c>
    </row>
    <row r="32" spans="1:16" ht="12.75">
      <c r="A32" s="199" t="s">
        <v>672</v>
      </c>
      <c r="B32" s="200" t="s">
        <v>3480</v>
      </c>
      <c r="C32" s="200" t="str">
        <f>VLOOKUP(B32,Fincas!$A$2:$C$1005,2,0)</f>
        <v>F_Chenevo</v>
      </c>
      <c r="D32" s="201">
        <v>44585</v>
      </c>
      <c r="E32" s="267" t="str">
        <f t="shared" si="0"/>
        <v>enero</v>
      </c>
      <c r="F32" s="202">
        <v>44581</v>
      </c>
      <c r="G32" s="203">
        <v>44587</v>
      </c>
      <c r="H32" s="200" t="s">
        <v>3485</v>
      </c>
      <c r="I32" s="204">
        <v>7008146</v>
      </c>
      <c r="J32" s="204" t="str">
        <f t="shared" si="1"/>
        <v>Res macho ceba</v>
      </c>
      <c r="K32" s="200">
        <v>7064</v>
      </c>
      <c r="L32" s="550">
        <f t="shared" si="7"/>
        <v>6550.8999150622876</v>
      </c>
      <c r="M32" s="213">
        <v>46275557</v>
      </c>
      <c r="N32" s="206">
        <v>20</v>
      </c>
      <c r="O32" s="554">
        <f t="shared" si="2"/>
        <v>353.2</v>
      </c>
      <c r="P32" s="548">
        <f t="shared" si="3"/>
        <v>2313777.85</v>
      </c>
    </row>
    <row r="33" spans="1:16" ht="12.75">
      <c r="A33" s="199" t="s">
        <v>501</v>
      </c>
      <c r="B33" s="200" t="s">
        <v>3486</v>
      </c>
      <c r="C33" s="200" t="str">
        <f>VLOOKUP(B33,Fincas!$A$2:$C$1005,2,0)</f>
        <v>F_El Recreo</v>
      </c>
      <c r="D33" s="201">
        <v>44582</v>
      </c>
      <c r="E33" s="267" t="str">
        <f t="shared" si="0"/>
        <v>enero</v>
      </c>
      <c r="F33" s="202">
        <v>44582</v>
      </c>
      <c r="G33" s="203">
        <v>44587</v>
      </c>
      <c r="H33" s="200" t="s">
        <v>3487</v>
      </c>
      <c r="I33" s="204">
        <v>7008146</v>
      </c>
      <c r="J33" s="204" t="str">
        <f t="shared" si="1"/>
        <v>Res macho ceba</v>
      </c>
      <c r="K33" s="200">
        <v>18606</v>
      </c>
      <c r="L33" s="550">
        <v>7100</v>
      </c>
      <c r="M33" s="205">
        <f t="shared" ref="M33:M37" si="8">L33*K33</f>
        <v>132102600</v>
      </c>
      <c r="N33" s="206">
        <v>46</v>
      </c>
      <c r="O33" s="554">
        <f t="shared" si="2"/>
        <v>404.47826086956519</v>
      </c>
      <c r="P33" s="548">
        <f t="shared" si="3"/>
        <v>2871795.6521739131</v>
      </c>
    </row>
    <row r="34" spans="1:16" ht="12.75">
      <c r="A34" s="199" t="s">
        <v>3488</v>
      </c>
      <c r="B34" s="200" t="s">
        <v>3489</v>
      </c>
      <c r="C34" s="200" t="str">
        <f>VLOOKUP(B34,Fincas!$A$2:$C$1005,2,0)</f>
        <v>F_La Pradilla</v>
      </c>
      <c r="D34" s="201">
        <v>44584</v>
      </c>
      <c r="E34" s="267" t="str">
        <f t="shared" si="0"/>
        <v>enero</v>
      </c>
      <c r="F34" s="202">
        <v>44583</v>
      </c>
      <c r="G34" s="203">
        <v>44587</v>
      </c>
      <c r="H34" s="200" t="s">
        <v>3490</v>
      </c>
      <c r="I34" s="204">
        <v>7008146</v>
      </c>
      <c r="J34" s="204" t="str">
        <f t="shared" si="1"/>
        <v>Res macho ceba</v>
      </c>
      <c r="K34" s="200">
        <v>5429</v>
      </c>
      <c r="L34" s="550">
        <v>7400</v>
      </c>
      <c r="M34" s="205">
        <f t="shared" si="8"/>
        <v>40174600</v>
      </c>
      <c r="N34" s="206">
        <v>15</v>
      </c>
      <c r="O34" s="554">
        <f t="shared" si="2"/>
        <v>361.93333333333334</v>
      </c>
      <c r="P34" s="548">
        <f t="shared" si="3"/>
        <v>2678306.6666666665</v>
      </c>
    </row>
    <row r="35" spans="1:16" ht="12.75">
      <c r="A35" s="199" t="s">
        <v>3488</v>
      </c>
      <c r="B35" s="200" t="s">
        <v>3489</v>
      </c>
      <c r="C35" s="200" t="str">
        <f>VLOOKUP(B35,Fincas!$A$2:$C$1005,2,0)</f>
        <v>F_La Pradilla</v>
      </c>
      <c r="D35" s="201">
        <v>44584</v>
      </c>
      <c r="E35" s="267" t="str">
        <f t="shared" si="0"/>
        <v>enero</v>
      </c>
      <c r="F35" s="202">
        <v>44583</v>
      </c>
      <c r="G35" s="203">
        <v>44587</v>
      </c>
      <c r="H35" s="200" t="s">
        <v>3491</v>
      </c>
      <c r="I35" s="204">
        <v>7008146</v>
      </c>
      <c r="J35" s="204" t="str">
        <f t="shared" si="1"/>
        <v>Res macho ceba</v>
      </c>
      <c r="K35" s="200">
        <v>2959</v>
      </c>
      <c r="L35" s="550">
        <v>7300</v>
      </c>
      <c r="M35" s="205">
        <f t="shared" si="8"/>
        <v>21600700</v>
      </c>
      <c r="N35" s="214">
        <v>9</v>
      </c>
      <c r="O35" s="554">
        <f t="shared" si="2"/>
        <v>328.77777777777777</v>
      </c>
      <c r="P35" s="548">
        <f t="shared" si="3"/>
        <v>2400077.777777778</v>
      </c>
    </row>
    <row r="36" spans="1:16" ht="12.75">
      <c r="A36" s="199" t="s">
        <v>3492</v>
      </c>
      <c r="B36" s="200" t="s">
        <v>3493</v>
      </c>
      <c r="C36" s="200" t="str">
        <f>VLOOKUP(B36,Fincas!$A$2:$C$1005,2,0)</f>
        <v>F_Las Camelias</v>
      </c>
      <c r="D36" s="201">
        <v>44575</v>
      </c>
      <c r="E36" s="267" t="str">
        <f t="shared" si="0"/>
        <v>enero</v>
      </c>
      <c r="F36" s="202">
        <v>44575</v>
      </c>
      <c r="G36" s="203">
        <v>44588</v>
      </c>
      <c r="H36" s="200" t="s">
        <v>3494</v>
      </c>
      <c r="I36" s="204">
        <v>7008146</v>
      </c>
      <c r="J36" s="204" t="str">
        <f t="shared" si="1"/>
        <v>Res macho ceba</v>
      </c>
      <c r="K36" s="200">
        <v>6323</v>
      </c>
      <c r="L36" s="550">
        <v>7800</v>
      </c>
      <c r="M36" s="205">
        <f t="shared" si="8"/>
        <v>49319400</v>
      </c>
      <c r="N36" s="206">
        <v>21</v>
      </c>
      <c r="O36" s="554">
        <f t="shared" si="2"/>
        <v>301.09523809523807</v>
      </c>
      <c r="P36" s="548">
        <f t="shared" si="3"/>
        <v>2348542.8571428573</v>
      </c>
    </row>
    <row r="37" spans="1:16" ht="12.75">
      <c r="A37" s="199" t="s">
        <v>3436</v>
      </c>
      <c r="B37" s="200" t="s">
        <v>3437</v>
      </c>
      <c r="C37" s="200" t="str">
        <f>VLOOKUP(B37,Fincas!$A$2:$C$1005,2,0)</f>
        <v>F_Chaparral</v>
      </c>
      <c r="D37" s="201">
        <v>44586</v>
      </c>
      <c r="E37" s="267" t="str">
        <f t="shared" si="0"/>
        <v>enero</v>
      </c>
      <c r="F37" s="202">
        <v>44583</v>
      </c>
      <c r="G37" s="203">
        <v>44588</v>
      </c>
      <c r="H37" s="200" t="s">
        <v>3495</v>
      </c>
      <c r="I37" s="212">
        <v>7008147</v>
      </c>
      <c r="J37" s="212" t="str">
        <f t="shared" si="1"/>
        <v>Res macho levante</v>
      </c>
      <c r="K37" s="200">
        <v>32637</v>
      </c>
      <c r="L37" s="550">
        <v>6800</v>
      </c>
      <c r="M37" s="205">
        <f t="shared" si="8"/>
        <v>221931600</v>
      </c>
      <c r="N37" s="206">
        <v>135</v>
      </c>
      <c r="O37" s="554">
        <f t="shared" si="2"/>
        <v>241.75555555555556</v>
      </c>
      <c r="P37" s="548">
        <f t="shared" si="3"/>
        <v>1643937.7777777778</v>
      </c>
    </row>
    <row r="38" spans="1:16" ht="12.75">
      <c r="A38" s="199" t="s">
        <v>3454</v>
      </c>
      <c r="B38" s="200" t="s">
        <v>3431</v>
      </c>
      <c r="C38" s="200" t="str">
        <f>VLOOKUP(B38,Fincas!$A$2:$C$1005,2,0)</f>
        <v>F_Totumito</v>
      </c>
      <c r="D38" s="201">
        <v>44582</v>
      </c>
      <c r="E38" s="267" t="str">
        <f t="shared" si="0"/>
        <v>enero</v>
      </c>
      <c r="F38" s="202">
        <v>44582</v>
      </c>
      <c r="G38" s="203">
        <v>44589</v>
      </c>
      <c r="H38" s="200">
        <v>227882</v>
      </c>
      <c r="I38" s="212">
        <v>7008147</v>
      </c>
      <c r="J38" s="212" t="str">
        <f t="shared" si="1"/>
        <v>Res macho levante</v>
      </c>
      <c r="K38" s="200">
        <v>6006</v>
      </c>
      <c r="L38" s="550">
        <f>M38/K38</f>
        <v>7687.4850149850154</v>
      </c>
      <c r="M38" s="213">
        <v>46171035</v>
      </c>
      <c r="N38" s="206">
        <v>22</v>
      </c>
      <c r="O38" s="554">
        <f t="shared" si="2"/>
        <v>273</v>
      </c>
      <c r="P38" s="548">
        <f t="shared" si="3"/>
        <v>2098683.4090909092</v>
      </c>
    </row>
    <row r="39" spans="1:16" ht="12.75">
      <c r="A39" s="199" t="s">
        <v>3426</v>
      </c>
      <c r="B39" s="200" t="s">
        <v>3496</v>
      </c>
      <c r="C39" s="200" t="str">
        <f>VLOOKUP(B39,Fincas!$A$2:$C$1005,2,0)</f>
        <v>A_El Tropezon</v>
      </c>
      <c r="D39" s="201">
        <v>44585</v>
      </c>
      <c r="E39" s="267" t="str">
        <f t="shared" si="0"/>
        <v>enero</v>
      </c>
      <c r="F39" s="202">
        <v>44582</v>
      </c>
      <c r="G39" s="203">
        <v>44589</v>
      </c>
      <c r="H39" s="200" t="s">
        <v>3497</v>
      </c>
      <c r="I39" s="204">
        <v>7008146</v>
      </c>
      <c r="J39" s="204" t="str">
        <f t="shared" si="1"/>
        <v>Res macho ceba</v>
      </c>
      <c r="K39" s="200">
        <v>3403</v>
      </c>
      <c r="L39" s="550">
        <v>7280</v>
      </c>
      <c r="M39" s="205">
        <f t="shared" ref="M39:M48" si="9">L39*K39</f>
        <v>24773840</v>
      </c>
      <c r="N39" s="206">
        <v>8</v>
      </c>
      <c r="O39" s="554">
        <f t="shared" si="2"/>
        <v>425.375</v>
      </c>
      <c r="P39" s="548">
        <f t="shared" si="3"/>
        <v>3096730</v>
      </c>
    </row>
    <row r="40" spans="1:16" ht="12.75">
      <c r="A40" s="199" t="s">
        <v>3451</v>
      </c>
      <c r="B40" s="200" t="s">
        <v>3498</v>
      </c>
      <c r="C40" s="200" t="str">
        <f>VLOOKUP(B40,Fincas!$A$2:$C$1005,2,0)</f>
        <v>F_Jordan</v>
      </c>
      <c r="D40" s="201">
        <v>44582</v>
      </c>
      <c r="E40" s="267" t="str">
        <f t="shared" si="0"/>
        <v>enero</v>
      </c>
      <c r="F40" s="202">
        <v>44582</v>
      </c>
      <c r="G40" s="203">
        <v>44589</v>
      </c>
      <c r="H40" s="200" t="s">
        <v>3499</v>
      </c>
      <c r="I40" s="204">
        <v>7008146</v>
      </c>
      <c r="J40" s="204" t="str">
        <f t="shared" si="1"/>
        <v>Res macho ceba</v>
      </c>
      <c r="K40" s="200">
        <v>13678</v>
      </c>
      <c r="L40" s="550">
        <v>7680</v>
      </c>
      <c r="M40" s="205">
        <f t="shared" si="9"/>
        <v>105047040</v>
      </c>
      <c r="N40" s="206">
        <v>33</v>
      </c>
      <c r="O40" s="554">
        <f t="shared" si="2"/>
        <v>414.4848484848485</v>
      </c>
      <c r="P40" s="548">
        <f t="shared" si="3"/>
        <v>3183243.6363636362</v>
      </c>
    </row>
    <row r="41" spans="1:16" ht="12.75">
      <c r="A41" s="199" t="s">
        <v>3451</v>
      </c>
      <c r="B41" s="200" t="s">
        <v>3496</v>
      </c>
      <c r="C41" s="200" t="str">
        <f>VLOOKUP(B41,Fincas!$A$2:$C$1005,2,0)</f>
        <v>A_El Tropezon</v>
      </c>
      <c r="D41" s="201">
        <v>44586</v>
      </c>
      <c r="E41" s="267" t="str">
        <f t="shared" si="0"/>
        <v>enero</v>
      </c>
      <c r="F41" s="202">
        <v>44586</v>
      </c>
      <c r="G41" s="203">
        <v>44589</v>
      </c>
      <c r="H41" s="200" t="s">
        <v>3500</v>
      </c>
      <c r="I41" s="204">
        <v>7008146</v>
      </c>
      <c r="J41" s="204" t="str">
        <f t="shared" si="1"/>
        <v>Res macho ceba</v>
      </c>
      <c r="K41" s="200">
        <v>7078</v>
      </c>
      <c r="L41" s="550">
        <v>7250</v>
      </c>
      <c r="M41" s="205">
        <f t="shared" si="9"/>
        <v>51315500</v>
      </c>
      <c r="N41" s="206">
        <v>16</v>
      </c>
      <c r="O41" s="554">
        <f t="shared" si="2"/>
        <v>442.375</v>
      </c>
      <c r="P41" s="548">
        <f t="shared" si="3"/>
        <v>3207218.75</v>
      </c>
    </row>
    <row r="42" spans="1:16" ht="12.75">
      <c r="A42" s="199" t="s">
        <v>3426</v>
      </c>
      <c r="B42" s="200" t="s">
        <v>3476</v>
      </c>
      <c r="C42" s="200" t="str">
        <f>VLOOKUP(B42,Fincas!$A$2:$C$1005,2,0)</f>
        <v>F_Guacharacas</v>
      </c>
      <c r="D42" s="201">
        <v>44580</v>
      </c>
      <c r="E42" s="267" t="str">
        <f t="shared" si="0"/>
        <v>enero</v>
      </c>
      <c r="F42" s="202">
        <v>44580</v>
      </c>
      <c r="G42" s="203">
        <v>44589</v>
      </c>
      <c r="H42" s="200" t="s">
        <v>3501</v>
      </c>
      <c r="I42" s="204">
        <v>7008146</v>
      </c>
      <c r="J42" s="204" t="str">
        <f t="shared" si="1"/>
        <v>Res macho ceba</v>
      </c>
      <c r="K42" s="200">
        <v>5888</v>
      </c>
      <c r="L42" s="550">
        <v>7600</v>
      </c>
      <c r="M42" s="205">
        <f t="shared" si="9"/>
        <v>44748800</v>
      </c>
      <c r="N42" s="206">
        <v>16</v>
      </c>
      <c r="O42" s="554">
        <f t="shared" si="2"/>
        <v>368</v>
      </c>
      <c r="P42" s="548">
        <f t="shared" si="3"/>
        <v>2796800</v>
      </c>
    </row>
    <row r="43" spans="1:16" ht="12.75">
      <c r="A43" s="199" t="s">
        <v>3426</v>
      </c>
      <c r="B43" s="200" t="s">
        <v>3427</v>
      </c>
      <c r="C43" s="200" t="str">
        <f>VLOOKUP(B43,Fincas!$A$2:$C$1005,2,0)</f>
        <v>A_Jordan</v>
      </c>
      <c r="D43" s="201">
        <v>44587</v>
      </c>
      <c r="E43" s="267" t="str">
        <f t="shared" si="0"/>
        <v>enero</v>
      </c>
      <c r="F43" s="202">
        <v>44587</v>
      </c>
      <c r="G43" s="203">
        <v>44589</v>
      </c>
      <c r="H43" s="200" t="s">
        <v>3502</v>
      </c>
      <c r="I43" s="204">
        <v>7008146</v>
      </c>
      <c r="J43" s="204" t="str">
        <f t="shared" si="1"/>
        <v>Res macho ceba</v>
      </c>
      <c r="K43" s="200">
        <v>6587</v>
      </c>
      <c r="L43" s="550">
        <v>7690</v>
      </c>
      <c r="M43" s="205">
        <f t="shared" si="9"/>
        <v>50654030</v>
      </c>
      <c r="N43" s="206">
        <v>15</v>
      </c>
      <c r="O43" s="554">
        <f t="shared" si="2"/>
        <v>439.13333333333333</v>
      </c>
      <c r="P43" s="548">
        <f t="shared" si="3"/>
        <v>3376935.3333333335</v>
      </c>
    </row>
    <row r="44" spans="1:16" ht="12.75">
      <c r="A44" s="199" t="s">
        <v>3426</v>
      </c>
      <c r="B44" s="200" t="s">
        <v>3431</v>
      </c>
      <c r="C44" s="200" t="str">
        <f>VLOOKUP(B44,Fincas!$A$2:$C$1005,2,0)</f>
        <v>F_Totumito</v>
      </c>
      <c r="D44" s="201">
        <v>44588</v>
      </c>
      <c r="E44" s="267" t="str">
        <f t="shared" si="0"/>
        <v>enero</v>
      </c>
      <c r="F44" s="202">
        <v>44588</v>
      </c>
      <c r="G44" s="203">
        <v>44589</v>
      </c>
      <c r="H44" s="200" t="s">
        <v>3503</v>
      </c>
      <c r="I44" s="212">
        <v>7008147</v>
      </c>
      <c r="J44" s="212" t="str">
        <f t="shared" si="1"/>
        <v>Res macho levante</v>
      </c>
      <c r="K44" s="200">
        <v>6036</v>
      </c>
      <c r="L44" s="550">
        <v>7750</v>
      </c>
      <c r="M44" s="205">
        <f t="shared" si="9"/>
        <v>46779000</v>
      </c>
      <c r="N44" s="214">
        <v>25</v>
      </c>
      <c r="O44" s="554">
        <f t="shared" si="2"/>
        <v>241.44</v>
      </c>
      <c r="P44" s="548">
        <f t="shared" si="3"/>
        <v>1871160</v>
      </c>
    </row>
    <row r="45" spans="1:16" ht="12.75">
      <c r="A45" s="199" t="s">
        <v>3426</v>
      </c>
      <c r="B45" s="200" t="s">
        <v>3431</v>
      </c>
      <c r="C45" s="200" t="str">
        <f>VLOOKUP(B45,Fincas!$A$2:$C$1005,2,0)</f>
        <v>F_Totumito</v>
      </c>
      <c r="D45" s="201">
        <v>44587</v>
      </c>
      <c r="E45" s="267" t="str">
        <f t="shared" si="0"/>
        <v>enero</v>
      </c>
      <c r="F45" s="202">
        <v>44588</v>
      </c>
      <c r="G45" s="203">
        <v>44589</v>
      </c>
      <c r="H45" s="200" t="s">
        <v>3504</v>
      </c>
      <c r="I45" s="212">
        <v>7008147</v>
      </c>
      <c r="J45" s="212" t="str">
        <f t="shared" si="1"/>
        <v>Res macho levante</v>
      </c>
      <c r="K45" s="200">
        <v>5370</v>
      </c>
      <c r="L45" s="550">
        <v>7808</v>
      </c>
      <c r="M45" s="205">
        <f t="shared" si="9"/>
        <v>41928960</v>
      </c>
      <c r="N45" s="214">
        <v>20</v>
      </c>
      <c r="O45" s="554">
        <f t="shared" si="2"/>
        <v>268.5</v>
      </c>
      <c r="P45" s="548">
        <f t="shared" si="3"/>
        <v>2096448</v>
      </c>
    </row>
    <row r="46" spans="1:16" ht="12.75">
      <c r="A46" s="199" t="s">
        <v>3505</v>
      </c>
      <c r="B46" s="200" t="s">
        <v>3498</v>
      </c>
      <c r="C46" s="200" t="str">
        <f>VLOOKUP(B46,Fincas!$A$2:$C$1005,2,0)</f>
        <v>F_Jordan</v>
      </c>
      <c r="D46" s="201">
        <v>44589</v>
      </c>
      <c r="E46" s="267" t="str">
        <f t="shared" si="0"/>
        <v>enero</v>
      </c>
      <c r="F46" s="202">
        <v>44582</v>
      </c>
      <c r="G46" s="203">
        <v>44589</v>
      </c>
      <c r="H46" s="200" t="s">
        <v>3506</v>
      </c>
      <c r="I46" s="204">
        <v>7008146</v>
      </c>
      <c r="J46" s="204" t="str">
        <f t="shared" si="1"/>
        <v>Res macho ceba</v>
      </c>
      <c r="K46" s="200">
        <v>333</v>
      </c>
      <c r="L46" s="550">
        <v>7000</v>
      </c>
      <c r="M46" s="205">
        <f t="shared" si="9"/>
        <v>2331000</v>
      </c>
      <c r="N46" s="214">
        <v>1</v>
      </c>
      <c r="O46" s="554">
        <f t="shared" si="2"/>
        <v>333</v>
      </c>
      <c r="P46" s="548">
        <f t="shared" si="3"/>
        <v>2331000</v>
      </c>
    </row>
    <row r="47" spans="1:16" ht="12.75">
      <c r="A47" s="199" t="s">
        <v>3451</v>
      </c>
      <c r="B47" s="200" t="s">
        <v>3507</v>
      </c>
      <c r="C47" s="200" t="str">
        <f>VLOOKUP(B47,Fincas!$A$2:$C$1005,2,0)</f>
        <v>F_Guadalajara</v>
      </c>
      <c r="D47" s="201">
        <v>44586</v>
      </c>
      <c r="E47" s="267" t="str">
        <f t="shared" si="0"/>
        <v>enero</v>
      </c>
      <c r="F47" s="202">
        <v>44586</v>
      </c>
      <c r="G47" s="203">
        <v>44592</v>
      </c>
      <c r="H47" s="200" t="s">
        <v>3508</v>
      </c>
      <c r="I47" s="204">
        <v>7008146</v>
      </c>
      <c r="J47" s="204" t="str">
        <f t="shared" si="1"/>
        <v>Res macho ceba</v>
      </c>
      <c r="K47" s="200">
        <v>6974</v>
      </c>
      <c r="L47" s="550">
        <v>7500</v>
      </c>
      <c r="M47" s="205">
        <f t="shared" si="9"/>
        <v>52305000</v>
      </c>
      <c r="N47" s="214">
        <v>17</v>
      </c>
      <c r="O47" s="554">
        <f t="shared" si="2"/>
        <v>410.23529411764707</v>
      </c>
      <c r="P47" s="548">
        <f t="shared" si="3"/>
        <v>3076764.7058823528</v>
      </c>
    </row>
    <row r="48" spans="1:16" ht="12.75">
      <c r="A48" s="199" t="s">
        <v>3451</v>
      </c>
      <c r="B48" s="200" t="s">
        <v>3507</v>
      </c>
      <c r="C48" s="200" t="str">
        <f>VLOOKUP(B48,Fincas!$A$2:$C$1005,2,0)</f>
        <v>F_Guadalajara</v>
      </c>
      <c r="D48" s="201">
        <v>44586</v>
      </c>
      <c r="E48" s="267" t="str">
        <f t="shared" si="0"/>
        <v>enero</v>
      </c>
      <c r="F48" s="202">
        <v>44586</v>
      </c>
      <c r="G48" s="203">
        <v>44592</v>
      </c>
      <c r="H48" s="200" t="s">
        <v>3509</v>
      </c>
      <c r="I48" s="204">
        <v>7008146</v>
      </c>
      <c r="J48" s="204" t="str">
        <f t="shared" si="1"/>
        <v>Res macho ceba</v>
      </c>
      <c r="K48" s="200">
        <v>11726</v>
      </c>
      <c r="L48" s="550">
        <v>7700</v>
      </c>
      <c r="M48" s="205">
        <f t="shared" si="9"/>
        <v>90290200</v>
      </c>
      <c r="N48" s="214">
        <v>32</v>
      </c>
      <c r="O48" s="554">
        <f t="shared" si="2"/>
        <v>366.4375</v>
      </c>
      <c r="P48" s="548">
        <f t="shared" si="3"/>
        <v>2821568.75</v>
      </c>
    </row>
    <row r="49" spans="1:16" ht="12.75">
      <c r="A49" s="199" t="s">
        <v>3454</v>
      </c>
      <c r="B49" s="200" t="s">
        <v>3507</v>
      </c>
      <c r="C49" s="200" t="str">
        <f>VLOOKUP(B49,Fincas!$A$2:$C$1005,2,0)</f>
        <v>F_Guadalajara</v>
      </c>
      <c r="D49" s="201">
        <v>44586</v>
      </c>
      <c r="E49" s="267" t="str">
        <f t="shared" si="0"/>
        <v>enero</v>
      </c>
      <c r="F49" s="202">
        <v>44586</v>
      </c>
      <c r="G49" s="203">
        <v>44592</v>
      </c>
      <c r="H49" s="200">
        <v>7407</v>
      </c>
      <c r="I49" s="204">
        <v>7008146</v>
      </c>
      <c r="J49" s="204" t="str">
        <f t="shared" si="1"/>
        <v>Res macho ceba</v>
      </c>
      <c r="K49" s="200">
        <v>11906</v>
      </c>
      <c r="L49" s="550">
        <f>M49/K49</f>
        <v>7536.7500419956323</v>
      </c>
      <c r="M49" s="213">
        <v>89732546</v>
      </c>
      <c r="N49" s="206">
        <v>36</v>
      </c>
      <c r="O49" s="554">
        <f t="shared" si="2"/>
        <v>330.72222222222223</v>
      </c>
      <c r="P49" s="548">
        <f t="shared" si="3"/>
        <v>2492570.722222222</v>
      </c>
    </row>
    <row r="50" spans="1:16" ht="12.75">
      <c r="A50" s="199" t="s">
        <v>3426</v>
      </c>
      <c r="B50" s="200" t="s">
        <v>3507</v>
      </c>
      <c r="C50" s="200" t="str">
        <f>VLOOKUP(B50,Fincas!$A$2:$C$1005,2,0)</f>
        <v>F_Guadalajara</v>
      </c>
      <c r="D50" s="201">
        <v>44587</v>
      </c>
      <c r="E50" s="267" t="str">
        <f t="shared" si="0"/>
        <v>enero</v>
      </c>
      <c r="F50" s="202">
        <v>44587</v>
      </c>
      <c r="G50" s="203">
        <v>44592</v>
      </c>
      <c r="H50" s="200" t="s">
        <v>3510</v>
      </c>
      <c r="I50" s="204">
        <v>7008146</v>
      </c>
      <c r="J50" s="204" t="str">
        <f t="shared" si="1"/>
        <v>Res macho ceba</v>
      </c>
      <c r="K50" s="200">
        <v>12213</v>
      </c>
      <c r="L50" s="550">
        <v>7580</v>
      </c>
      <c r="M50" s="205">
        <f t="shared" ref="M50:M61" si="10">L50*K50</f>
        <v>92574540</v>
      </c>
      <c r="N50" s="206">
        <v>34</v>
      </c>
      <c r="O50" s="554">
        <f t="shared" si="2"/>
        <v>359.20588235294116</v>
      </c>
      <c r="P50" s="548">
        <f t="shared" si="3"/>
        <v>2722780.588235294</v>
      </c>
    </row>
    <row r="51" spans="1:16" ht="12.75">
      <c r="A51" s="199" t="s">
        <v>3511</v>
      </c>
      <c r="B51" s="200" t="s">
        <v>3489</v>
      </c>
      <c r="C51" s="200" t="str">
        <f>VLOOKUP(B51,Fincas!$A$2:$C$1005,2,0)</f>
        <v>F_La Pradilla</v>
      </c>
      <c r="D51" s="201">
        <v>44588</v>
      </c>
      <c r="E51" s="267" t="str">
        <f t="shared" si="0"/>
        <v>enero</v>
      </c>
      <c r="F51" s="202">
        <v>44589</v>
      </c>
      <c r="G51" s="203">
        <v>44592</v>
      </c>
      <c r="H51" s="200" t="s">
        <v>3512</v>
      </c>
      <c r="I51" s="204">
        <v>7008146</v>
      </c>
      <c r="J51" s="204" t="str">
        <f t="shared" si="1"/>
        <v>Res macho ceba</v>
      </c>
      <c r="K51" s="200">
        <v>5992</v>
      </c>
      <c r="L51" s="550">
        <v>7200</v>
      </c>
      <c r="M51" s="205">
        <f t="shared" si="10"/>
        <v>43142400</v>
      </c>
      <c r="N51" s="214">
        <v>17</v>
      </c>
      <c r="O51" s="554">
        <f t="shared" si="2"/>
        <v>352.47058823529414</v>
      </c>
      <c r="P51" s="548">
        <f t="shared" si="3"/>
        <v>2537788.2352941176</v>
      </c>
    </row>
    <row r="52" spans="1:16" ht="12.75">
      <c r="A52" s="218" t="s">
        <v>3511</v>
      </c>
      <c r="B52" s="219" t="s">
        <v>3489</v>
      </c>
      <c r="C52" s="219" t="str">
        <f>VLOOKUP(B52,Fincas!$A$2:$C$1005,2,0)</f>
        <v>F_La Pradilla</v>
      </c>
      <c r="D52" s="220">
        <v>44588</v>
      </c>
      <c r="E52" s="267" t="str">
        <f t="shared" si="0"/>
        <v>enero</v>
      </c>
      <c r="F52" s="221">
        <v>44589</v>
      </c>
      <c r="G52" s="222">
        <v>44592</v>
      </c>
      <c r="H52" s="223" t="s">
        <v>3513</v>
      </c>
      <c r="I52" s="224">
        <v>7008146</v>
      </c>
      <c r="J52" s="234" t="str">
        <f t="shared" si="1"/>
        <v>Res macho ceba</v>
      </c>
      <c r="K52" s="223">
        <v>6012</v>
      </c>
      <c r="L52" s="551">
        <v>7200</v>
      </c>
      <c r="M52" s="225">
        <f t="shared" si="10"/>
        <v>43286400</v>
      </c>
      <c r="N52" s="226">
        <v>17</v>
      </c>
      <c r="O52" s="554">
        <f t="shared" si="2"/>
        <v>353.64705882352939</v>
      </c>
      <c r="P52" s="548">
        <f t="shared" si="3"/>
        <v>2546258.8235294116</v>
      </c>
    </row>
    <row r="53" spans="1:16" ht="12.75">
      <c r="A53" s="199" t="s">
        <v>3514</v>
      </c>
      <c r="B53" s="200" t="s">
        <v>3515</v>
      </c>
      <c r="C53" s="200" t="str">
        <f>VLOOKUP(B53,Fincas!$A$2:$C$1005,2,0)</f>
        <v>F_El Tigre</v>
      </c>
      <c r="D53" s="201">
        <v>44588</v>
      </c>
      <c r="E53" s="267" t="str">
        <f t="shared" si="0"/>
        <v>enero</v>
      </c>
      <c r="F53" s="202">
        <v>44590</v>
      </c>
      <c r="G53" s="203">
        <v>44592</v>
      </c>
      <c r="H53" s="200" t="s">
        <v>3516</v>
      </c>
      <c r="I53" s="212">
        <v>7008147</v>
      </c>
      <c r="J53" s="212" t="str">
        <f t="shared" si="1"/>
        <v>Res macho levante</v>
      </c>
      <c r="K53" s="200">
        <v>10316</v>
      </c>
      <c r="L53" s="550">
        <v>7650</v>
      </c>
      <c r="M53" s="205">
        <f t="shared" si="10"/>
        <v>78917400</v>
      </c>
      <c r="N53" s="206">
        <v>48</v>
      </c>
      <c r="O53" s="554">
        <f t="shared" si="2"/>
        <v>214.91666666666666</v>
      </c>
      <c r="P53" s="548">
        <f t="shared" si="3"/>
        <v>1644112.5</v>
      </c>
    </row>
    <row r="54" spans="1:16" ht="12.75">
      <c r="A54" s="199" t="s">
        <v>3514</v>
      </c>
      <c r="B54" s="200" t="s">
        <v>3515</v>
      </c>
      <c r="C54" s="200" t="str">
        <f>VLOOKUP(B54,Fincas!$A$2:$C$1005,2,0)</f>
        <v>F_El Tigre</v>
      </c>
      <c r="D54" s="201">
        <v>44589</v>
      </c>
      <c r="E54" s="267" t="str">
        <f t="shared" si="0"/>
        <v>enero</v>
      </c>
      <c r="F54" s="202">
        <v>44590</v>
      </c>
      <c r="G54" s="203">
        <v>44592</v>
      </c>
      <c r="H54" s="200" t="s">
        <v>3517</v>
      </c>
      <c r="I54" s="212">
        <v>7008147</v>
      </c>
      <c r="J54" s="212" t="str">
        <f t="shared" si="1"/>
        <v>Res macho levante</v>
      </c>
      <c r="K54" s="200">
        <v>10552</v>
      </c>
      <c r="L54" s="550">
        <v>7500</v>
      </c>
      <c r="M54" s="205">
        <f t="shared" si="10"/>
        <v>79140000</v>
      </c>
      <c r="N54" s="206">
        <v>50</v>
      </c>
      <c r="O54" s="554">
        <f t="shared" si="2"/>
        <v>211.04</v>
      </c>
      <c r="P54" s="548">
        <f t="shared" si="3"/>
        <v>1582800</v>
      </c>
    </row>
    <row r="55" spans="1:16" ht="12.75">
      <c r="A55" s="199" t="s">
        <v>3463</v>
      </c>
      <c r="B55" s="200" t="s">
        <v>3518</v>
      </c>
      <c r="C55" s="200" t="str">
        <f>VLOOKUP(B55,Fincas!$A$2:$C$1005,2,0)</f>
        <v>F_Las Carmelitas</v>
      </c>
      <c r="D55" s="201">
        <v>44593</v>
      </c>
      <c r="E55" s="267" t="str">
        <f t="shared" si="0"/>
        <v>febrero</v>
      </c>
      <c r="F55" s="202">
        <v>44595</v>
      </c>
      <c r="G55" s="203">
        <v>44595</v>
      </c>
      <c r="H55" s="200" t="s">
        <v>3519</v>
      </c>
      <c r="I55" s="212">
        <v>7008147</v>
      </c>
      <c r="J55" s="212" t="str">
        <f t="shared" si="1"/>
        <v>Res macho levante</v>
      </c>
      <c r="K55" s="200">
        <v>13700</v>
      </c>
      <c r="L55" s="550">
        <v>7600</v>
      </c>
      <c r="M55" s="205">
        <f t="shared" si="10"/>
        <v>104120000</v>
      </c>
      <c r="N55" s="206">
        <v>40</v>
      </c>
      <c r="O55" s="554">
        <f t="shared" si="2"/>
        <v>342.5</v>
      </c>
      <c r="P55" s="548">
        <f t="shared" si="3"/>
        <v>2603000</v>
      </c>
    </row>
    <row r="56" spans="1:16" ht="12.75">
      <c r="A56" s="199" t="s">
        <v>3426</v>
      </c>
      <c r="B56" s="200" t="s">
        <v>3498</v>
      </c>
      <c r="C56" s="200" t="str">
        <f>VLOOKUP(B56,Fincas!$A$2:$C$1005,2,0)</f>
        <v>F_Jordan</v>
      </c>
      <c r="D56" s="201">
        <v>44593</v>
      </c>
      <c r="E56" s="267" t="str">
        <f t="shared" si="0"/>
        <v>febrero</v>
      </c>
      <c r="F56" s="202">
        <v>44593</v>
      </c>
      <c r="G56" s="203">
        <v>44599</v>
      </c>
      <c r="H56" s="200" t="s">
        <v>3520</v>
      </c>
      <c r="I56" s="224">
        <v>7008146</v>
      </c>
      <c r="J56" s="234" t="str">
        <f t="shared" si="1"/>
        <v>Res macho ceba</v>
      </c>
      <c r="K56" s="200">
        <v>6417</v>
      </c>
      <c r="L56" s="550">
        <v>7450</v>
      </c>
      <c r="M56" s="205">
        <f t="shared" si="10"/>
        <v>47806650</v>
      </c>
      <c r="N56" s="206">
        <v>15</v>
      </c>
      <c r="O56" s="554">
        <f t="shared" si="2"/>
        <v>427.8</v>
      </c>
      <c r="P56" s="548">
        <f t="shared" si="3"/>
        <v>3187110</v>
      </c>
    </row>
    <row r="57" spans="1:16" ht="12.75">
      <c r="A57" s="199" t="s">
        <v>3426</v>
      </c>
      <c r="B57" s="200" t="s">
        <v>3496</v>
      </c>
      <c r="C57" s="200" t="str">
        <f>VLOOKUP(B57,Fincas!$A$2:$C$1005,2,0)</f>
        <v>A_El Tropezon</v>
      </c>
      <c r="D57" s="201">
        <v>44593</v>
      </c>
      <c r="E57" s="267" t="str">
        <f t="shared" si="0"/>
        <v>febrero</v>
      </c>
      <c r="F57" s="202">
        <v>44593</v>
      </c>
      <c r="G57" s="203">
        <v>44599</v>
      </c>
      <c r="H57" s="200" t="s">
        <v>3521</v>
      </c>
      <c r="I57" s="224">
        <v>7008146</v>
      </c>
      <c r="J57" s="234" t="str">
        <f t="shared" si="1"/>
        <v>Res macho ceba</v>
      </c>
      <c r="K57" s="200">
        <v>6323</v>
      </c>
      <c r="L57" s="550">
        <v>7570</v>
      </c>
      <c r="M57" s="205">
        <f t="shared" si="10"/>
        <v>47865110</v>
      </c>
      <c r="N57" s="206">
        <v>15</v>
      </c>
      <c r="O57" s="554">
        <f t="shared" si="2"/>
        <v>421.53333333333336</v>
      </c>
      <c r="P57" s="548">
        <f t="shared" si="3"/>
        <v>3191007.3333333335</v>
      </c>
    </row>
    <row r="58" spans="1:16" ht="12.75">
      <c r="A58" s="199" t="s">
        <v>3522</v>
      </c>
      <c r="B58" s="200" t="s">
        <v>3523</v>
      </c>
      <c r="C58" s="200" t="str">
        <f>VLOOKUP(B58,Fincas!$A$2:$C$1005,2,0)</f>
        <v>F_El Caldero</v>
      </c>
      <c r="D58" s="201">
        <v>44596</v>
      </c>
      <c r="E58" s="267" t="str">
        <f t="shared" si="0"/>
        <v>febrero</v>
      </c>
      <c r="F58" s="202">
        <v>44595</v>
      </c>
      <c r="G58" s="203">
        <v>44599</v>
      </c>
      <c r="H58" s="200" t="s">
        <v>3524</v>
      </c>
      <c r="I58" s="224">
        <v>7008146</v>
      </c>
      <c r="J58" s="234" t="str">
        <f t="shared" si="1"/>
        <v>Res macho ceba</v>
      </c>
      <c r="K58" s="200">
        <v>25978</v>
      </c>
      <c r="L58" s="550">
        <v>7500</v>
      </c>
      <c r="M58" s="205">
        <f t="shared" si="10"/>
        <v>194835000</v>
      </c>
      <c r="N58" s="206">
        <v>77</v>
      </c>
      <c r="O58" s="554">
        <f t="shared" si="2"/>
        <v>337.3766233766234</v>
      </c>
      <c r="P58" s="548">
        <f t="shared" si="3"/>
        <v>2530324.6753246752</v>
      </c>
    </row>
    <row r="59" spans="1:16" ht="12.75">
      <c r="A59" s="199" t="s">
        <v>3511</v>
      </c>
      <c r="B59" s="200" t="s">
        <v>3515</v>
      </c>
      <c r="C59" s="200" t="str">
        <f>VLOOKUP(B59,Fincas!$A$2:$C$1005,2,0)</f>
        <v>F_El Tigre</v>
      </c>
      <c r="D59" s="201">
        <v>44589</v>
      </c>
      <c r="E59" s="267" t="str">
        <f t="shared" si="0"/>
        <v>enero</v>
      </c>
      <c r="F59" s="202">
        <v>44594</v>
      </c>
      <c r="G59" s="203">
        <v>44599</v>
      </c>
      <c r="H59" s="200" t="s">
        <v>3525</v>
      </c>
      <c r="I59" s="212">
        <v>7008147</v>
      </c>
      <c r="J59" s="212" t="str">
        <f t="shared" si="1"/>
        <v>Res macho levante</v>
      </c>
      <c r="K59" s="200">
        <v>7550</v>
      </c>
      <c r="L59" s="550">
        <v>5149</v>
      </c>
      <c r="M59" s="205">
        <f t="shared" si="10"/>
        <v>38874950</v>
      </c>
      <c r="N59" s="214">
        <v>26</v>
      </c>
      <c r="O59" s="554">
        <f t="shared" si="2"/>
        <v>290.38461538461536</v>
      </c>
      <c r="P59" s="548">
        <f t="shared" si="3"/>
        <v>1495190.3846153845</v>
      </c>
    </row>
    <row r="60" spans="1:16" ht="12.75">
      <c r="A60" s="199" t="s">
        <v>3511</v>
      </c>
      <c r="B60" s="200" t="s">
        <v>3515</v>
      </c>
      <c r="C60" s="200" t="str">
        <f>VLOOKUP(B60,Fincas!$A$2:$C$1005,2,0)</f>
        <v>F_El Tigre</v>
      </c>
      <c r="D60" s="201">
        <v>44595</v>
      </c>
      <c r="E60" s="267" t="str">
        <f t="shared" si="0"/>
        <v>febrero</v>
      </c>
      <c r="F60" s="202">
        <v>44596</v>
      </c>
      <c r="G60" s="203">
        <v>44599</v>
      </c>
      <c r="H60" s="200" t="s">
        <v>3526</v>
      </c>
      <c r="I60" s="224">
        <v>7008146</v>
      </c>
      <c r="J60" s="234" t="str">
        <f t="shared" si="1"/>
        <v>Res macho ceba</v>
      </c>
      <c r="K60" s="200">
        <v>4591</v>
      </c>
      <c r="L60" s="550">
        <v>7700</v>
      </c>
      <c r="M60" s="205">
        <f t="shared" si="10"/>
        <v>35350700</v>
      </c>
      <c r="N60" s="206">
        <v>25</v>
      </c>
      <c r="O60" s="554">
        <f t="shared" si="2"/>
        <v>183.64</v>
      </c>
      <c r="P60" s="548">
        <f t="shared" si="3"/>
        <v>1414028</v>
      </c>
    </row>
    <row r="61" spans="1:16" ht="12.75">
      <c r="A61" s="199" t="s">
        <v>3436</v>
      </c>
      <c r="B61" s="200" t="s">
        <v>3434</v>
      </c>
      <c r="C61" s="200" t="str">
        <f>VLOOKUP(B61,Fincas!$A$2:$C$1005,2,0)</f>
        <v>F_Yacare</v>
      </c>
      <c r="D61" s="201">
        <v>44598</v>
      </c>
      <c r="E61" s="267" t="str">
        <f t="shared" si="0"/>
        <v>febrero</v>
      </c>
      <c r="F61" s="202">
        <v>44596</v>
      </c>
      <c r="G61" s="203">
        <v>44602</v>
      </c>
      <c r="H61" s="200" t="s">
        <v>3527</v>
      </c>
      <c r="I61" s="224">
        <v>7008146</v>
      </c>
      <c r="J61" s="234" t="str">
        <f t="shared" si="1"/>
        <v>Res macho ceba</v>
      </c>
      <c r="K61" s="200">
        <v>20559</v>
      </c>
      <c r="L61" s="550">
        <v>6400</v>
      </c>
      <c r="M61" s="205">
        <f t="shared" si="10"/>
        <v>131577600</v>
      </c>
      <c r="N61" s="206">
        <v>49</v>
      </c>
      <c r="O61" s="554">
        <f t="shared" si="2"/>
        <v>419.57142857142856</v>
      </c>
      <c r="P61" s="548">
        <f t="shared" si="3"/>
        <v>2685257.1428571427</v>
      </c>
    </row>
    <row r="62" spans="1:16" ht="12.75">
      <c r="A62" s="199" t="s">
        <v>3454</v>
      </c>
      <c r="B62" s="200" t="s">
        <v>3515</v>
      </c>
      <c r="C62" s="200" t="str">
        <f>VLOOKUP(B62,Fincas!$A$2:$C$1005,2,0)</f>
        <v>F_El Tigre</v>
      </c>
      <c r="D62" s="201">
        <v>44594</v>
      </c>
      <c r="E62" s="267" t="str">
        <f t="shared" si="0"/>
        <v>febrero</v>
      </c>
      <c r="F62" s="202">
        <v>44595</v>
      </c>
      <c r="G62" s="203">
        <v>44602</v>
      </c>
      <c r="H62" s="200">
        <v>38924</v>
      </c>
      <c r="I62" s="212">
        <v>7008147</v>
      </c>
      <c r="J62" s="212" t="str">
        <f t="shared" si="1"/>
        <v>Res macho levante</v>
      </c>
      <c r="K62" s="200">
        <v>5010</v>
      </c>
      <c r="L62" s="550">
        <f t="shared" ref="L62:L68" si="11">M62/K62</f>
        <v>7737.7299401197606</v>
      </c>
      <c r="M62" s="213">
        <v>38766027</v>
      </c>
      <c r="N62" s="206">
        <v>26</v>
      </c>
      <c r="O62" s="554">
        <f t="shared" si="2"/>
        <v>192.69230769230768</v>
      </c>
      <c r="P62" s="548">
        <f t="shared" si="3"/>
        <v>1491001.0384615385</v>
      </c>
    </row>
    <row r="63" spans="1:16" ht="12.75">
      <c r="A63" s="199" t="s">
        <v>3454</v>
      </c>
      <c r="B63" s="200" t="s">
        <v>3431</v>
      </c>
      <c r="C63" s="200" t="str">
        <f>VLOOKUP(B63,Fincas!$A$2:$C$1005,2,0)</f>
        <v>F_Totumito</v>
      </c>
      <c r="D63" s="201">
        <v>44593</v>
      </c>
      <c r="E63" s="267" t="str">
        <f t="shared" si="0"/>
        <v>febrero</v>
      </c>
      <c r="F63" s="202">
        <v>44593</v>
      </c>
      <c r="G63" s="203">
        <v>44602</v>
      </c>
      <c r="H63" s="200">
        <v>7442</v>
      </c>
      <c r="I63" s="212">
        <v>7008147</v>
      </c>
      <c r="J63" s="212" t="str">
        <f t="shared" si="1"/>
        <v>Res macho levante</v>
      </c>
      <c r="K63" s="200">
        <v>5588</v>
      </c>
      <c r="L63" s="550">
        <f t="shared" si="11"/>
        <v>8039.2000715819613</v>
      </c>
      <c r="M63" s="213">
        <v>44923050</v>
      </c>
      <c r="N63" s="214">
        <v>21</v>
      </c>
      <c r="O63" s="554">
        <f t="shared" si="2"/>
        <v>266.09523809523807</v>
      </c>
      <c r="P63" s="548">
        <f t="shared" si="3"/>
        <v>2139192.8571428573</v>
      </c>
    </row>
    <row r="64" spans="1:16" ht="12.75">
      <c r="A64" s="199" t="s">
        <v>3454</v>
      </c>
      <c r="B64" s="200" t="s">
        <v>3431</v>
      </c>
      <c r="C64" s="200" t="str">
        <f>VLOOKUP(B64,Fincas!$A$2:$C$1005,2,0)</f>
        <v>F_Totumito</v>
      </c>
      <c r="D64" s="201">
        <v>44593</v>
      </c>
      <c r="E64" s="267" t="str">
        <f t="shared" si="0"/>
        <v>febrero</v>
      </c>
      <c r="F64" s="202">
        <v>44593</v>
      </c>
      <c r="G64" s="203">
        <v>44602</v>
      </c>
      <c r="H64" s="200">
        <v>7443</v>
      </c>
      <c r="I64" s="212">
        <v>7008147</v>
      </c>
      <c r="J64" s="212" t="str">
        <f t="shared" si="1"/>
        <v>Res macho levante</v>
      </c>
      <c r="K64" s="200">
        <v>5690</v>
      </c>
      <c r="L64" s="550">
        <f t="shared" si="11"/>
        <v>7386.0149384885763</v>
      </c>
      <c r="M64" s="213">
        <v>42026425</v>
      </c>
      <c r="N64" s="214">
        <v>21</v>
      </c>
      <c r="O64" s="554">
        <f t="shared" si="2"/>
        <v>270.95238095238096</v>
      </c>
      <c r="P64" s="548">
        <f t="shared" si="3"/>
        <v>2001258.3333333333</v>
      </c>
    </row>
    <row r="65" spans="1:16" ht="12.75">
      <c r="A65" s="199" t="s">
        <v>3454</v>
      </c>
      <c r="B65" s="200" t="s">
        <v>3431</v>
      </c>
      <c r="C65" s="200" t="str">
        <f>VLOOKUP(B65,Fincas!$A$2:$C$1005,2,0)</f>
        <v>F_Totumito</v>
      </c>
      <c r="D65" s="201">
        <v>44593</v>
      </c>
      <c r="E65" s="267" t="str">
        <f t="shared" si="0"/>
        <v>febrero</v>
      </c>
      <c r="F65" s="202">
        <v>44593</v>
      </c>
      <c r="G65" s="203">
        <v>44602</v>
      </c>
      <c r="H65" s="200">
        <v>7444</v>
      </c>
      <c r="I65" s="212">
        <v>7008147</v>
      </c>
      <c r="J65" s="212" t="str">
        <f t="shared" si="1"/>
        <v>Res macho levante</v>
      </c>
      <c r="K65" s="200">
        <v>10393</v>
      </c>
      <c r="L65" s="550">
        <f t="shared" si="11"/>
        <v>7586.9949966323484</v>
      </c>
      <c r="M65" s="213">
        <v>78851639</v>
      </c>
      <c r="N65" s="214">
        <v>40</v>
      </c>
      <c r="O65" s="554">
        <f t="shared" si="2"/>
        <v>259.82499999999999</v>
      </c>
      <c r="P65" s="548">
        <f t="shared" si="3"/>
        <v>1971290.9750000001</v>
      </c>
    </row>
    <row r="66" spans="1:16" ht="12.75">
      <c r="A66" s="199" t="s">
        <v>3454</v>
      </c>
      <c r="B66" s="200" t="s">
        <v>3431</v>
      </c>
      <c r="C66" s="200" t="str">
        <f>VLOOKUP(B66,Fincas!$A$2:$C$1005,2,0)</f>
        <v>F_Totumito</v>
      </c>
      <c r="D66" s="201">
        <v>44593</v>
      </c>
      <c r="E66" s="267" t="str">
        <f t="shared" si="0"/>
        <v>febrero</v>
      </c>
      <c r="F66" s="202">
        <v>44593</v>
      </c>
      <c r="G66" s="203">
        <v>44602</v>
      </c>
      <c r="H66" s="200">
        <v>7445</v>
      </c>
      <c r="I66" s="212">
        <v>7008147</v>
      </c>
      <c r="J66" s="212" t="str">
        <f t="shared" si="1"/>
        <v>Res macho levante</v>
      </c>
      <c r="K66" s="200">
        <v>5580</v>
      </c>
      <c r="L66" s="550">
        <f t="shared" si="11"/>
        <v>7586.9949820788534</v>
      </c>
      <c r="M66" s="213">
        <v>42335432</v>
      </c>
      <c r="N66" s="214">
        <v>21</v>
      </c>
      <c r="O66" s="554">
        <f t="shared" si="2"/>
        <v>265.71428571428572</v>
      </c>
      <c r="P66" s="548">
        <f t="shared" si="3"/>
        <v>2015972.9523809524</v>
      </c>
    </row>
    <row r="67" spans="1:16" ht="12.75">
      <c r="A67" s="199" t="s">
        <v>3454</v>
      </c>
      <c r="B67" s="200" t="s">
        <v>3431</v>
      </c>
      <c r="C67" s="200" t="str">
        <f>VLOOKUP(B67,Fincas!$A$2:$C$1005,2,0)</f>
        <v>F_Totumito</v>
      </c>
      <c r="D67" s="201">
        <v>44594</v>
      </c>
      <c r="E67" s="267" t="str">
        <f t="shared" ref="E67:E130" si="12">+TEXT(D67,"mmmm")</f>
        <v>febrero</v>
      </c>
      <c r="F67" s="202">
        <v>44594</v>
      </c>
      <c r="G67" s="203">
        <v>44602</v>
      </c>
      <c r="H67" s="200">
        <v>7451</v>
      </c>
      <c r="I67" s="212">
        <v>7008147</v>
      </c>
      <c r="J67" s="212" t="str">
        <f t="shared" ref="J67:J130" si="13">+VLOOKUP(I67,$F$962:$G$970,2,0)</f>
        <v>Res macho levante</v>
      </c>
      <c r="K67" s="200">
        <v>5120</v>
      </c>
      <c r="L67" s="550">
        <f t="shared" si="11"/>
        <v>7582.3826171874998</v>
      </c>
      <c r="M67" s="213">
        <v>38821799</v>
      </c>
      <c r="N67" s="214">
        <v>18</v>
      </c>
      <c r="O67" s="554">
        <f t="shared" ref="O67:O130" si="14">+K67/N67</f>
        <v>284.44444444444446</v>
      </c>
      <c r="P67" s="548">
        <f t="shared" ref="P67:P130" si="15">+M67/N67</f>
        <v>2156766.611111111</v>
      </c>
    </row>
    <row r="68" spans="1:16" ht="12.75">
      <c r="A68" s="199" t="s">
        <v>3454</v>
      </c>
      <c r="B68" s="200" t="s">
        <v>3431</v>
      </c>
      <c r="C68" s="200" t="str">
        <f>VLOOKUP(B68,Fincas!$A$2:$C$1005,2,0)</f>
        <v>F_Totumito</v>
      </c>
      <c r="D68" s="201">
        <v>44594</v>
      </c>
      <c r="E68" s="267" t="str">
        <f t="shared" si="12"/>
        <v>febrero</v>
      </c>
      <c r="F68" s="202">
        <v>44594</v>
      </c>
      <c r="G68" s="203">
        <v>44602</v>
      </c>
      <c r="H68" s="200">
        <v>7452</v>
      </c>
      <c r="I68" s="212">
        <v>7008147</v>
      </c>
      <c r="J68" s="212" t="str">
        <f t="shared" si="13"/>
        <v>Res macho levante</v>
      </c>
      <c r="K68" s="200">
        <v>5688</v>
      </c>
      <c r="L68" s="550">
        <f t="shared" si="11"/>
        <v>7731.2285513361467</v>
      </c>
      <c r="M68" s="213">
        <v>43975228</v>
      </c>
      <c r="N68" s="214">
        <v>20</v>
      </c>
      <c r="O68" s="554">
        <f t="shared" si="14"/>
        <v>284.39999999999998</v>
      </c>
      <c r="P68" s="548">
        <f t="shared" si="15"/>
        <v>2198761.4</v>
      </c>
    </row>
    <row r="69" spans="1:16" ht="12.75">
      <c r="A69" s="199" t="s">
        <v>3528</v>
      </c>
      <c r="B69" s="200" t="s">
        <v>3431</v>
      </c>
      <c r="C69" s="200" t="str">
        <f>VLOOKUP(B69,Fincas!$A$2:$C$1005,2,0)</f>
        <v>F_Totumito</v>
      </c>
      <c r="D69" s="201">
        <v>44601</v>
      </c>
      <c r="E69" s="267" t="str">
        <f t="shared" si="12"/>
        <v>febrero</v>
      </c>
      <c r="F69" s="202">
        <v>44595</v>
      </c>
      <c r="G69" s="203">
        <v>44602</v>
      </c>
      <c r="H69" s="200" t="s">
        <v>3529</v>
      </c>
      <c r="I69" s="212">
        <v>7008147</v>
      </c>
      <c r="J69" s="212" t="str">
        <f t="shared" si="13"/>
        <v>Res macho levante</v>
      </c>
      <c r="K69" s="200">
        <v>10754</v>
      </c>
      <c r="L69" s="550">
        <v>7700</v>
      </c>
      <c r="M69" s="205">
        <f t="shared" ref="M69:M75" si="16">L69*K69</f>
        <v>82805800</v>
      </c>
      <c r="N69" s="206">
        <v>44</v>
      </c>
      <c r="O69" s="554">
        <f t="shared" si="14"/>
        <v>244.40909090909091</v>
      </c>
      <c r="P69" s="548">
        <f t="shared" si="15"/>
        <v>1881950</v>
      </c>
    </row>
    <row r="70" spans="1:16" ht="12.75">
      <c r="A70" s="199" t="s">
        <v>3530</v>
      </c>
      <c r="B70" s="200" t="s">
        <v>3531</v>
      </c>
      <c r="C70" s="200" t="str">
        <f>VLOOKUP(B70,Fincas!$A$2:$C$1005,2,0)</f>
        <v>F_El Boton</v>
      </c>
      <c r="D70" s="201">
        <v>44600</v>
      </c>
      <c r="E70" s="267" t="str">
        <f t="shared" si="12"/>
        <v>febrero</v>
      </c>
      <c r="F70" s="202">
        <v>44600</v>
      </c>
      <c r="G70" s="203">
        <v>44602</v>
      </c>
      <c r="H70" s="200" t="s">
        <v>3532</v>
      </c>
      <c r="I70" s="224">
        <v>7008146</v>
      </c>
      <c r="J70" s="234" t="str">
        <f t="shared" si="13"/>
        <v>Res macho ceba</v>
      </c>
      <c r="K70" s="200">
        <v>51048</v>
      </c>
      <c r="L70" s="550">
        <v>7600</v>
      </c>
      <c r="M70" s="205">
        <f t="shared" si="16"/>
        <v>387964800</v>
      </c>
      <c r="N70" s="206">
        <v>140</v>
      </c>
      <c r="O70" s="554">
        <f t="shared" si="14"/>
        <v>364.62857142857143</v>
      </c>
      <c r="P70" s="548">
        <f t="shared" si="15"/>
        <v>2771177.1428571427</v>
      </c>
    </row>
    <row r="71" spans="1:16" ht="12.75">
      <c r="A71" s="199" t="s">
        <v>3533</v>
      </c>
      <c r="B71" s="200" t="s">
        <v>3534</v>
      </c>
      <c r="C71" s="200" t="str">
        <f>VLOOKUP(B71,Fincas!$A$2:$C$1005,2,0)</f>
        <v>F_El Loro</v>
      </c>
      <c r="D71" s="201">
        <v>44600</v>
      </c>
      <c r="E71" s="267" t="str">
        <f t="shared" si="12"/>
        <v>febrero</v>
      </c>
      <c r="F71" s="202">
        <v>44600</v>
      </c>
      <c r="G71" s="203">
        <v>44603</v>
      </c>
      <c r="H71" s="200" t="s">
        <v>3535</v>
      </c>
      <c r="I71" s="224">
        <v>7008146</v>
      </c>
      <c r="J71" s="234" t="str">
        <f t="shared" si="13"/>
        <v>Res macho ceba</v>
      </c>
      <c r="K71" s="200">
        <v>13014</v>
      </c>
      <c r="L71" s="550">
        <v>7350</v>
      </c>
      <c r="M71" s="205">
        <f t="shared" si="16"/>
        <v>95652900</v>
      </c>
      <c r="N71" s="206">
        <v>34</v>
      </c>
      <c r="O71" s="554">
        <f t="shared" si="14"/>
        <v>382.76470588235293</v>
      </c>
      <c r="P71" s="548">
        <f t="shared" si="15"/>
        <v>2813320.588235294</v>
      </c>
    </row>
    <row r="72" spans="1:16" ht="12.75">
      <c r="A72" s="199" t="s">
        <v>3533</v>
      </c>
      <c r="B72" s="200" t="s">
        <v>3534</v>
      </c>
      <c r="C72" s="200" t="str">
        <f>VLOOKUP(B72,Fincas!$A$2:$C$1005,2,0)</f>
        <v>F_El Loro</v>
      </c>
      <c r="D72" s="201">
        <v>44601</v>
      </c>
      <c r="E72" s="267" t="str">
        <f t="shared" si="12"/>
        <v>febrero</v>
      </c>
      <c r="F72" s="202">
        <v>44601</v>
      </c>
      <c r="G72" s="203">
        <v>44603</v>
      </c>
      <c r="H72" s="200" t="s">
        <v>3536</v>
      </c>
      <c r="I72" s="224">
        <v>7008146</v>
      </c>
      <c r="J72" s="234" t="str">
        <f t="shared" si="13"/>
        <v>Res macho ceba</v>
      </c>
      <c r="K72" s="200">
        <v>18442</v>
      </c>
      <c r="L72" s="550">
        <v>7350</v>
      </c>
      <c r="M72" s="205">
        <f t="shared" si="16"/>
        <v>135548700</v>
      </c>
      <c r="N72" s="206">
        <v>55</v>
      </c>
      <c r="O72" s="554">
        <f t="shared" si="14"/>
        <v>335.30909090909091</v>
      </c>
      <c r="P72" s="548">
        <f t="shared" si="15"/>
        <v>2464521.8181818184</v>
      </c>
    </row>
    <row r="73" spans="1:16" ht="12.75">
      <c r="A73" s="199" t="s">
        <v>3533</v>
      </c>
      <c r="B73" s="200" t="s">
        <v>3534</v>
      </c>
      <c r="C73" s="200" t="str">
        <f>VLOOKUP(B73,Fincas!$A$2:$C$1005,2,0)</f>
        <v>F_El Loro</v>
      </c>
      <c r="D73" s="201">
        <v>44602</v>
      </c>
      <c r="E73" s="267" t="str">
        <f t="shared" si="12"/>
        <v>febrero</v>
      </c>
      <c r="F73" s="202">
        <v>44602</v>
      </c>
      <c r="G73" s="203">
        <v>44603</v>
      </c>
      <c r="H73" s="200" t="s">
        <v>3537</v>
      </c>
      <c r="I73" s="224">
        <v>7008146</v>
      </c>
      <c r="J73" s="234" t="str">
        <f t="shared" si="13"/>
        <v>Res macho ceba</v>
      </c>
      <c r="K73" s="200">
        <v>5724</v>
      </c>
      <c r="L73" s="550">
        <v>7350</v>
      </c>
      <c r="M73" s="205">
        <f t="shared" si="16"/>
        <v>42071400</v>
      </c>
      <c r="N73" s="206">
        <v>14</v>
      </c>
      <c r="O73" s="554">
        <f t="shared" si="14"/>
        <v>408.85714285714283</v>
      </c>
      <c r="P73" s="548">
        <f t="shared" si="15"/>
        <v>3005100</v>
      </c>
    </row>
    <row r="74" spans="1:16" ht="12.75">
      <c r="A74" s="199" t="s">
        <v>3463</v>
      </c>
      <c r="B74" s="200" t="s">
        <v>3518</v>
      </c>
      <c r="C74" s="200" t="str">
        <f>VLOOKUP(B74,Fincas!$A$2:$C$1005,2,0)</f>
        <v>F_Las Carmelitas</v>
      </c>
      <c r="D74" s="201">
        <v>44596</v>
      </c>
      <c r="E74" s="267" t="str">
        <f t="shared" si="12"/>
        <v>febrero</v>
      </c>
      <c r="F74" s="202">
        <v>44602</v>
      </c>
      <c r="G74" s="203">
        <v>44606</v>
      </c>
      <c r="H74" s="200" t="s">
        <v>3538</v>
      </c>
      <c r="I74" s="212">
        <v>7008147</v>
      </c>
      <c r="J74" s="212" t="str">
        <f t="shared" si="13"/>
        <v>Res macho levante</v>
      </c>
      <c r="K74" s="200">
        <v>6212</v>
      </c>
      <c r="L74" s="550">
        <v>7650</v>
      </c>
      <c r="M74" s="205">
        <f t="shared" si="16"/>
        <v>47521800</v>
      </c>
      <c r="N74" s="206">
        <v>20</v>
      </c>
      <c r="O74" s="554">
        <f t="shared" si="14"/>
        <v>310.60000000000002</v>
      </c>
      <c r="P74" s="548">
        <f t="shared" si="15"/>
        <v>2376090</v>
      </c>
    </row>
    <row r="75" spans="1:16" ht="12.75">
      <c r="A75" s="199" t="s">
        <v>3463</v>
      </c>
      <c r="B75" s="200" t="s">
        <v>3464</v>
      </c>
      <c r="C75" s="200" t="str">
        <f>VLOOKUP(B75,Fincas!$A$2:$C$1005,2,0)</f>
        <v>F_Texas Araujo</v>
      </c>
      <c r="D75" s="201">
        <v>44597</v>
      </c>
      <c r="E75" s="267" t="str">
        <f t="shared" si="12"/>
        <v>febrero</v>
      </c>
      <c r="F75" s="202">
        <v>44602</v>
      </c>
      <c r="G75" s="203">
        <v>44606</v>
      </c>
      <c r="H75" s="200" t="s">
        <v>3539</v>
      </c>
      <c r="I75" s="224">
        <v>7008146</v>
      </c>
      <c r="J75" s="234" t="str">
        <f t="shared" si="13"/>
        <v>Res macho ceba</v>
      </c>
      <c r="K75" s="200">
        <v>25636</v>
      </c>
      <c r="L75" s="550">
        <v>7670</v>
      </c>
      <c r="M75" s="205">
        <f t="shared" si="16"/>
        <v>196628120</v>
      </c>
      <c r="N75" s="206">
        <v>68</v>
      </c>
      <c r="O75" s="554">
        <f t="shared" si="14"/>
        <v>377</v>
      </c>
      <c r="P75" s="548">
        <f t="shared" si="15"/>
        <v>2891590</v>
      </c>
    </row>
    <row r="76" spans="1:16" ht="12.75">
      <c r="A76" s="199" t="s">
        <v>3436</v>
      </c>
      <c r="B76" s="200" t="s">
        <v>3540</v>
      </c>
      <c r="C76" s="200" t="str">
        <f>VLOOKUP(B76,Fincas!$A$2:$C$1005,2,0)</f>
        <v>Loma Rosa</v>
      </c>
      <c r="D76" s="201">
        <v>44598</v>
      </c>
      <c r="E76" s="267" t="str">
        <f t="shared" si="12"/>
        <v>febrero</v>
      </c>
      <c r="F76" s="202">
        <v>44599</v>
      </c>
      <c r="G76" s="203">
        <v>44609</v>
      </c>
      <c r="H76" s="200" t="s">
        <v>3541</v>
      </c>
      <c r="I76" s="224">
        <v>7008146</v>
      </c>
      <c r="J76" s="234" t="str">
        <f t="shared" si="13"/>
        <v>Res macho ceba</v>
      </c>
      <c r="K76" s="200">
        <v>35418</v>
      </c>
      <c r="L76" s="550">
        <f>M76/K76</f>
        <v>6476.2888926534533</v>
      </c>
      <c r="M76" s="213">
        <v>229377200</v>
      </c>
      <c r="N76" s="214">
        <v>100</v>
      </c>
      <c r="O76" s="554">
        <f t="shared" si="14"/>
        <v>354.18</v>
      </c>
      <c r="P76" s="548">
        <f t="shared" si="15"/>
        <v>2293772</v>
      </c>
    </row>
    <row r="77" spans="1:16" ht="12.75">
      <c r="A77" s="199" t="s">
        <v>416</v>
      </c>
      <c r="B77" s="200" t="s">
        <v>3507</v>
      </c>
      <c r="C77" s="200" t="str">
        <f>VLOOKUP(B77,Fincas!$A$2:$C$1005,2,0)</f>
        <v>F_Guadalajara</v>
      </c>
      <c r="D77" s="201">
        <v>44608</v>
      </c>
      <c r="E77" s="267" t="str">
        <f t="shared" si="12"/>
        <v>febrero</v>
      </c>
      <c r="F77" s="202">
        <v>44607</v>
      </c>
      <c r="G77" s="203">
        <v>44609</v>
      </c>
      <c r="H77" s="200" t="s">
        <v>3542</v>
      </c>
      <c r="I77" s="224">
        <v>7008146</v>
      </c>
      <c r="J77" s="234" t="str">
        <f t="shared" si="13"/>
        <v>Res macho ceba</v>
      </c>
      <c r="K77" s="200">
        <v>63763</v>
      </c>
      <c r="L77" s="550">
        <v>7600</v>
      </c>
      <c r="M77" s="205">
        <f t="shared" ref="M77:M84" si="17">L77*K77</f>
        <v>484598800</v>
      </c>
      <c r="N77" s="206">
        <v>171</v>
      </c>
      <c r="O77" s="554">
        <f t="shared" si="14"/>
        <v>372.88304093567251</v>
      </c>
      <c r="P77" s="548">
        <f t="shared" si="15"/>
        <v>2833911.111111111</v>
      </c>
    </row>
    <row r="78" spans="1:16" ht="12.75">
      <c r="A78" s="199" t="s">
        <v>501</v>
      </c>
      <c r="B78" s="200" t="s">
        <v>3486</v>
      </c>
      <c r="C78" s="200" t="str">
        <f>VLOOKUP(B78,Fincas!$A$2:$C$1005,2,0)</f>
        <v>F_El Recreo</v>
      </c>
      <c r="D78" s="201">
        <v>44610</v>
      </c>
      <c r="E78" s="267" t="str">
        <f t="shared" si="12"/>
        <v>febrero</v>
      </c>
      <c r="F78" s="202">
        <v>44610</v>
      </c>
      <c r="G78" s="203">
        <v>44613</v>
      </c>
      <c r="H78" s="200" t="s">
        <v>3543</v>
      </c>
      <c r="I78" s="212">
        <v>7008147</v>
      </c>
      <c r="J78" s="212" t="str">
        <f t="shared" si="13"/>
        <v>Res macho levante</v>
      </c>
      <c r="K78" s="200">
        <v>4297</v>
      </c>
      <c r="L78" s="550">
        <v>7650</v>
      </c>
      <c r="M78" s="205">
        <f t="shared" si="17"/>
        <v>32872050</v>
      </c>
      <c r="N78" s="206">
        <v>17</v>
      </c>
      <c r="O78" s="554">
        <f t="shared" si="14"/>
        <v>252.76470588235293</v>
      </c>
      <c r="P78" s="548">
        <f t="shared" si="15"/>
        <v>1933650</v>
      </c>
    </row>
    <row r="79" spans="1:16" ht="12.75">
      <c r="A79" s="199" t="s">
        <v>501</v>
      </c>
      <c r="B79" s="200" t="s">
        <v>3486</v>
      </c>
      <c r="C79" s="200" t="str">
        <f>VLOOKUP(B79,Fincas!$A$2:$C$1005,2,0)</f>
        <v>F_El Recreo</v>
      </c>
      <c r="D79" s="201">
        <v>44610</v>
      </c>
      <c r="E79" s="267" t="str">
        <f t="shared" si="12"/>
        <v>febrero</v>
      </c>
      <c r="F79" s="202">
        <v>44610</v>
      </c>
      <c r="G79" s="203">
        <v>44613</v>
      </c>
      <c r="H79" s="200" t="s">
        <v>3544</v>
      </c>
      <c r="I79" s="224">
        <v>7008146</v>
      </c>
      <c r="J79" s="234" t="str">
        <f t="shared" si="13"/>
        <v>Res macho ceba</v>
      </c>
      <c r="K79" s="200">
        <v>6064</v>
      </c>
      <c r="L79" s="550">
        <v>7200</v>
      </c>
      <c r="M79" s="205">
        <f t="shared" si="17"/>
        <v>43660800</v>
      </c>
      <c r="N79" s="214">
        <v>18</v>
      </c>
      <c r="O79" s="554">
        <f t="shared" si="14"/>
        <v>336.88888888888891</v>
      </c>
      <c r="P79" s="548">
        <f t="shared" si="15"/>
        <v>2425600</v>
      </c>
    </row>
    <row r="80" spans="1:16" ht="12.75">
      <c r="A80" s="199" t="s">
        <v>3533</v>
      </c>
      <c r="B80" s="200" t="s">
        <v>3534</v>
      </c>
      <c r="C80" s="200" t="str">
        <f>VLOOKUP(B80,Fincas!$A$2:$C$1005,2,0)</f>
        <v>F_El Loro</v>
      </c>
      <c r="D80" s="201">
        <v>44610</v>
      </c>
      <c r="E80" s="267" t="str">
        <f t="shared" si="12"/>
        <v>febrero</v>
      </c>
      <c r="F80" s="202">
        <v>44608</v>
      </c>
      <c r="G80" s="203">
        <v>44613</v>
      </c>
      <c r="H80" s="200" t="s">
        <v>3545</v>
      </c>
      <c r="I80" s="224">
        <v>7008146</v>
      </c>
      <c r="J80" s="234" t="str">
        <f t="shared" si="13"/>
        <v>Res macho ceba</v>
      </c>
      <c r="K80" s="200">
        <v>14311</v>
      </c>
      <c r="L80" s="550">
        <v>7350</v>
      </c>
      <c r="M80" s="205">
        <f t="shared" si="17"/>
        <v>105185850</v>
      </c>
      <c r="N80" s="206">
        <v>39</v>
      </c>
      <c r="O80" s="554">
        <f t="shared" si="14"/>
        <v>366.94871794871796</v>
      </c>
      <c r="P80" s="548">
        <f t="shared" si="15"/>
        <v>2697073.076923077</v>
      </c>
    </row>
    <row r="81" spans="1:16" ht="12.75">
      <c r="A81" s="199" t="s">
        <v>180</v>
      </c>
      <c r="B81" s="200" t="s">
        <v>3489</v>
      </c>
      <c r="C81" s="200" t="str">
        <f>VLOOKUP(B81,Fincas!$A$2:$C$1005,2,0)</f>
        <v>F_La Pradilla</v>
      </c>
      <c r="D81" s="201">
        <v>44611</v>
      </c>
      <c r="E81" s="267" t="str">
        <f t="shared" si="12"/>
        <v>febrero</v>
      </c>
      <c r="F81" s="202">
        <v>44602</v>
      </c>
      <c r="G81" s="203">
        <v>44613</v>
      </c>
      <c r="H81" s="200" t="s">
        <v>3546</v>
      </c>
      <c r="I81" s="224">
        <v>7008146</v>
      </c>
      <c r="J81" s="234" t="str">
        <f t="shared" si="13"/>
        <v>Res macho ceba</v>
      </c>
      <c r="K81" s="200">
        <v>6196</v>
      </c>
      <c r="L81" s="550">
        <v>7200</v>
      </c>
      <c r="M81" s="205">
        <f t="shared" si="17"/>
        <v>44611200</v>
      </c>
      <c r="N81" s="206">
        <v>18</v>
      </c>
      <c r="O81" s="554">
        <f t="shared" si="14"/>
        <v>344.22222222222223</v>
      </c>
      <c r="P81" s="548">
        <f t="shared" si="15"/>
        <v>2478400</v>
      </c>
    </row>
    <row r="82" spans="1:16" ht="12.75">
      <c r="A82" s="199" t="s">
        <v>3511</v>
      </c>
      <c r="B82" s="200" t="s">
        <v>2535</v>
      </c>
      <c r="C82" s="200" t="str">
        <f>VLOOKUP(B82,Fincas!$A$2:$C$1005,2,0)</f>
        <v>F_Buenaventura</v>
      </c>
      <c r="D82" s="201">
        <v>44603</v>
      </c>
      <c r="E82" s="267" t="str">
        <f t="shared" si="12"/>
        <v>febrero</v>
      </c>
      <c r="F82" s="202">
        <v>44604</v>
      </c>
      <c r="G82" s="203">
        <v>44614</v>
      </c>
      <c r="H82" s="200" t="s">
        <v>3547</v>
      </c>
      <c r="I82" s="224">
        <v>7008146</v>
      </c>
      <c r="J82" s="234" t="str">
        <f t="shared" si="13"/>
        <v>Res macho ceba</v>
      </c>
      <c r="K82" s="200">
        <v>3450</v>
      </c>
      <c r="L82" s="550">
        <v>7250</v>
      </c>
      <c r="M82" s="205">
        <f t="shared" si="17"/>
        <v>25012500</v>
      </c>
      <c r="N82" s="206">
        <v>9</v>
      </c>
      <c r="O82" s="554">
        <f t="shared" si="14"/>
        <v>383.33333333333331</v>
      </c>
      <c r="P82" s="548">
        <f t="shared" si="15"/>
        <v>2779166.6666666665</v>
      </c>
    </row>
    <row r="83" spans="1:16" ht="12.75">
      <c r="A83" s="199" t="s">
        <v>3548</v>
      </c>
      <c r="B83" s="200" t="s">
        <v>3549</v>
      </c>
      <c r="C83" s="200" t="str">
        <f>VLOOKUP(B83,Fincas!$A$2:$C$1005,2,0)</f>
        <v>F_El Imperio</v>
      </c>
      <c r="D83" s="201">
        <v>44613</v>
      </c>
      <c r="E83" s="267" t="str">
        <f t="shared" si="12"/>
        <v>febrero</v>
      </c>
      <c r="F83" s="202">
        <v>44613</v>
      </c>
      <c r="G83" s="203">
        <v>44615</v>
      </c>
      <c r="H83" s="200" t="s">
        <v>3550</v>
      </c>
      <c r="I83" s="224">
        <v>7008146</v>
      </c>
      <c r="J83" s="234" t="str">
        <f t="shared" si="13"/>
        <v>Res macho ceba</v>
      </c>
      <c r="K83" s="200">
        <v>11659</v>
      </c>
      <c r="L83" s="550">
        <v>7300</v>
      </c>
      <c r="M83" s="205">
        <f t="shared" si="17"/>
        <v>85110700</v>
      </c>
      <c r="N83" s="214">
        <v>35</v>
      </c>
      <c r="O83" s="554">
        <f t="shared" si="14"/>
        <v>333.1142857142857</v>
      </c>
      <c r="P83" s="548">
        <f t="shared" si="15"/>
        <v>2431734.2857142859</v>
      </c>
    </row>
    <row r="84" spans="1:16" ht="12.75">
      <c r="A84" s="199" t="s">
        <v>3511</v>
      </c>
      <c r="B84" s="200" t="s">
        <v>3551</v>
      </c>
      <c r="C84" s="200" t="str">
        <f>VLOOKUP(B84,Fincas!$A$2:$C$1005,2,0)</f>
        <v>F_La Castellana</v>
      </c>
      <c r="D84" s="201">
        <v>44609</v>
      </c>
      <c r="E84" s="267" t="str">
        <f t="shared" si="12"/>
        <v>febrero</v>
      </c>
      <c r="F84" s="202">
        <v>44610</v>
      </c>
      <c r="G84" s="203">
        <v>44616</v>
      </c>
      <c r="H84" s="200" t="s">
        <v>3552</v>
      </c>
      <c r="I84" s="212">
        <v>7008147</v>
      </c>
      <c r="J84" s="212" t="str">
        <f t="shared" si="13"/>
        <v>Res macho levante</v>
      </c>
      <c r="K84" s="200">
        <v>4046</v>
      </c>
      <c r="L84" s="550">
        <v>7700</v>
      </c>
      <c r="M84" s="205">
        <f t="shared" si="17"/>
        <v>31154200</v>
      </c>
      <c r="N84" s="206">
        <v>21</v>
      </c>
      <c r="O84" s="554">
        <f t="shared" si="14"/>
        <v>192.66666666666666</v>
      </c>
      <c r="P84" s="548">
        <f t="shared" si="15"/>
        <v>1483533.3333333333</v>
      </c>
    </row>
    <row r="85" spans="1:16" ht="12.75">
      <c r="A85" s="199" t="s">
        <v>3511</v>
      </c>
      <c r="B85" s="200" t="s">
        <v>3551</v>
      </c>
      <c r="C85" s="200" t="str">
        <f>VLOOKUP(B85,Fincas!$A$2:$C$1005,2,0)</f>
        <v>F_La Castellana</v>
      </c>
      <c r="D85" s="201">
        <v>44611</v>
      </c>
      <c r="E85" s="267" t="str">
        <f t="shared" si="12"/>
        <v>febrero</v>
      </c>
      <c r="F85" s="202">
        <v>44612</v>
      </c>
      <c r="G85" s="203">
        <v>44616</v>
      </c>
      <c r="H85" s="200" t="s">
        <v>3553</v>
      </c>
      <c r="I85" s="212">
        <v>7008147</v>
      </c>
      <c r="J85" s="212" t="str">
        <f t="shared" si="13"/>
        <v>Res macho levante</v>
      </c>
      <c r="K85" s="200">
        <v>3018</v>
      </c>
      <c r="L85" s="550">
        <f>M85/K85</f>
        <v>7107.355864811133</v>
      </c>
      <c r="M85" s="213">
        <v>21450000</v>
      </c>
      <c r="N85" s="206">
        <v>11</v>
      </c>
      <c r="O85" s="554">
        <f t="shared" si="14"/>
        <v>274.36363636363637</v>
      </c>
      <c r="P85" s="548">
        <f t="shared" si="15"/>
        <v>1950000</v>
      </c>
    </row>
    <row r="86" spans="1:16" ht="12.75">
      <c r="A86" s="199" t="s">
        <v>3426</v>
      </c>
      <c r="B86" s="200" t="s">
        <v>3498</v>
      </c>
      <c r="C86" s="200" t="str">
        <f>VLOOKUP(B86,Fincas!$A$2:$C$1005,2,0)</f>
        <v>F_Jordan</v>
      </c>
      <c r="D86" s="201">
        <v>44608</v>
      </c>
      <c r="E86" s="267" t="str">
        <f t="shared" si="12"/>
        <v>febrero</v>
      </c>
      <c r="F86" s="202">
        <v>44608</v>
      </c>
      <c r="G86" s="203">
        <v>44616</v>
      </c>
      <c r="H86" s="200" t="s">
        <v>3554</v>
      </c>
      <c r="I86" s="224">
        <v>7008146</v>
      </c>
      <c r="J86" s="234" t="str">
        <f t="shared" si="13"/>
        <v>Res macho ceba</v>
      </c>
      <c r="K86" s="200">
        <v>2896</v>
      </c>
      <c r="L86" s="550">
        <v>7680</v>
      </c>
      <c r="M86" s="205">
        <f t="shared" ref="M86:M93" si="18">L86*K86</f>
        <v>22241280</v>
      </c>
      <c r="N86" s="214">
        <v>7</v>
      </c>
      <c r="O86" s="554">
        <f t="shared" si="14"/>
        <v>413.71428571428572</v>
      </c>
      <c r="P86" s="548">
        <f t="shared" si="15"/>
        <v>3177325.7142857141</v>
      </c>
    </row>
    <row r="87" spans="1:16" ht="12.75">
      <c r="A87" s="199" t="s">
        <v>485</v>
      </c>
      <c r="B87" s="200" t="s">
        <v>3555</v>
      </c>
      <c r="C87" s="200" t="str">
        <f>VLOOKUP(B87,Fincas!$A$2:$C$1005,2,0)</f>
        <v>F_Juan Simón</v>
      </c>
      <c r="D87" s="201">
        <v>44616</v>
      </c>
      <c r="E87" s="267" t="str">
        <f t="shared" si="12"/>
        <v>febrero</v>
      </c>
      <c r="F87" s="202">
        <v>44616</v>
      </c>
      <c r="G87" s="203">
        <v>44617</v>
      </c>
      <c r="H87" s="200" t="s">
        <v>3556</v>
      </c>
      <c r="I87" s="224">
        <v>7008146</v>
      </c>
      <c r="J87" s="234" t="str">
        <f t="shared" si="13"/>
        <v>Res macho ceba</v>
      </c>
      <c r="K87" s="200">
        <v>17962</v>
      </c>
      <c r="L87" s="550">
        <v>7900</v>
      </c>
      <c r="M87" s="205">
        <f t="shared" si="18"/>
        <v>141899800</v>
      </c>
      <c r="N87" s="206">
        <v>58</v>
      </c>
      <c r="O87" s="554">
        <f t="shared" si="14"/>
        <v>309.68965517241378</v>
      </c>
      <c r="P87" s="548">
        <f t="shared" si="15"/>
        <v>2446548.2758620689</v>
      </c>
    </row>
    <row r="88" spans="1:16" ht="12.75">
      <c r="A88" s="199" t="s">
        <v>3426</v>
      </c>
      <c r="B88" s="200" t="s">
        <v>3557</v>
      </c>
      <c r="C88" s="200" t="str">
        <f>VLOOKUP(B88,Fincas!$A$2:$C$1005,2,0)</f>
        <v>F_San Clemente</v>
      </c>
      <c r="D88" s="201">
        <v>44613</v>
      </c>
      <c r="E88" s="267" t="str">
        <f t="shared" si="12"/>
        <v>febrero</v>
      </c>
      <c r="F88" s="202">
        <v>44617</v>
      </c>
      <c r="G88" s="203">
        <v>44617</v>
      </c>
      <c r="H88" s="200" t="s">
        <v>3558</v>
      </c>
      <c r="I88" s="217">
        <v>7008151</v>
      </c>
      <c r="J88" s="217" t="str">
        <f t="shared" si="13"/>
        <v>Res novilla ceba</v>
      </c>
      <c r="K88" s="200">
        <v>31993</v>
      </c>
      <c r="L88" s="550">
        <v>7249</v>
      </c>
      <c r="M88" s="205">
        <f t="shared" si="18"/>
        <v>231917257</v>
      </c>
      <c r="N88" s="214">
        <v>111</v>
      </c>
      <c r="O88" s="554">
        <f t="shared" si="14"/>
        <v>288.22522522522524</v>
      </c>
      <c r="P88" s="548">
        <f t="shared" si="15"/>
        <v>2089344.6576576577</v>
      </c>
    </row>
    <row r="89" spans="1:16" ht="12.75">
      <c r="A89" s="199" t="s">
        <v>3426</v>
      </c>
      <c r="B89" s="200" t="s">
        <v>3557</v>
      </c>
      <c r="C89" s="200" t="str">
        <f>VLOOKUP(B89,Fincas!$A$2:$C$1005,2,0)</f>
        <v>F_San Clemente</v>
      </c>
      <c r="D89" s="201">
        <v>44616</v>
      </c>
      <c r="E89" s="267" t="str">
        <f t="shared" si="12"/>
        <v>febrero</v>
      </c>
      <c r="F89" s="202">
        <v>44616</v>
      </c>
      <c r="G89" s="203">
        <v>44617</v>
      </c>
      <c r="H89" s="200" t="s">
        <v>3559</v>
      </c>
      <c r="I89" s="217">
        <v>7008151</v>
      </c>
      <c r="J89" s="217" t="str">
        <f t="shared" si="13"/>
        <v>Res novilla ceba</v>
      </c>
      <c r="K89" s="200">
        <v>3260</v>
      </c>
      <c r="L89" s="550">
        <v>6900</v>
      </c>
      <c r="M89" s="205">
        <f t="shared" si="18"/>
        <v>22494000</v>
      </c>
      <c r="N89" s="214">
        <v>12</v>
      </c>
      <c r="O89" s="554">
        <f t="shared" si="14"/>
        <v>271.66666666666669</v>
      </c>
      <c r="P89" s="548">
        <f t="shared" si="15"/>
        <v>1874500</v>
      </c>
    </row>
    <row r="90" spans="1:16" ht="12.75">
      <c r="A90" s="199" t="s">
        <v>3426</v>
      </c>
      <c r="B90" s="200" t="s">
        <v>3557</v>
      </c>
      <c r="C90" s="200" t="str">
        <f>VLOOKUP(B90,Fincas!$A$2:$C$1005,2,0)</f>
        <v>F_San Clemente</v>
      </c>
      <c r="D90" s="201">
        <v>44616</v>
      </c>
      <c r="E90" s="267" t="str">
        <f t="shared" si="12"/>
        <v>febrero</v>
      </c>
      <c r="F90" s="202">
        <v>44616</v>
      </c>
      <c r="G90" s="203">
        <v>44617</v>
      </c>
      <c r="H90" s="200" t="s">
        <v>3560</v>
      </c>
      <c r="I90" s="217">
        <v>7008151</v>
      </c>
      <c r="J90" s="217" t="str">
        <f t="shared" si="13"/>
        <v>Res novilla ceba</v>
      </c>
      <c r="K90" s="200">
        <v>4336</v>
      </c>
      <c r="L90" s="550">
        <v>6900</v>
      </c>
      <c r="M90" s="205">
        <f t="shared" si="18"/>
        <v>29918400</v>
      </c>
      <c r="N90" s="214">
        <v>14</v>
      </c>
      <c r="O90" s="554">
        <f t="shared" si="14"/>
        <v>309.71428571428572</v>
      </c>
      <c r="P90" s="548">
        <f t="shared" si="15"/>
        <v>2137028.5714285714</v>
      </c>
    </row>
    <row r="91" spans="1:16" ht="12.75">
      <c r="A91" s="199" t="s">
        <v>3426</v>
      </c>
      <c r="B91" s="200" t="s">
        <v>3557</v>
      </c>
      <c r="C91" s="200" t="str">
        <f>VLOOKUP(B91,Fincas!$A$2:$C$1005,2,0)</f>
        <v>F_San Clemente</v>
      </c>
      <c r="D91" s="201">
        <v>44616</v>
      </c>
      <c r="E91" s="267" t="str">
        <f t="shared" si="12"/>
        <v>febrero</v>
      </c>
      <c r="F91" s="202">
        <v>44616</v>
      </c>
      <c r="G91" s="203">
        <v>44617</v>
      </c>
      <c r="H91" s="200" t="s">
        <v>3561</v>
      </c>
      <c r="I91" s="217">
        <v>7008151</v>
      </c>
      <c r="J91" s="217" t="str">
        <f t="shared" si="13"/>
        <v>Res novilla ceba</v>
      </c>
      <c r="K91" s="200">
        <v>14910</v>
      </c>
      <c r="L91" s="550">
        <v>7110</v>
      </c>
      <c r="M91" s="205">
        <f t="shared" si="18"/>
        <v>106010100</v>
      </c>
      <c r="N91" s="214">
        <v>54</v>
      </c>
      <c r="O91" s="554">
        <f t="shared" si="14"/>
        <v>276.11111111111109</v>
      </c>
      <c r="P91" s="548">
        <f t="shared" si="15"/>
        <v>1963150</v>
      </c>
    </row>
    <row r="92" spans="1:16" ht="12.75">
      <c r="A92" s="199" t="s">
        <v>3426</v>
      </c>
      <c r="B92" s="200" t="s">
        <v>3557</v>
      </c>
      <c r="C92" s="200" t="str">
        <f>VLOOKUP(B92,Fincas!$A$2:$C$1005,2,0)</f>
        <v>F_San Clemente</v>
      </c>
      <c r="D92" s="201">
        <v>44616</v>
      </c>
      <c r="E92" s="267" t="str">
        <f t="shared" si="12"/>
        <v>febrero</v>
      </c>
      <c r="F92" s="202">
        <v>44616</v>
      </c>
      <c r="G92" s="203">
        <v>44617</v>
      </c>
      <c r="H92" s="200" t="s">
        <v>3562</v>
      </c>
      <c r="I92" s="217">
        <v>7008151</v>
      </c>
      <c r="J92" s="217" t="str">
        <f t="shared" si="13"/>
        <v>Res novilla ceba</v>
      </c>
      <c r="K92" s="200">
        <v>17518</v>
      </c>
      <c r="L92" s="550">
        <v>7000</v>
      </c>
      <c r="M92" s="205">
        <f t="shared" si="18"/>
        <v>122626000</v>
      </c>
      <c r="N92" s="214">
        <v>59</v>
      </c>
      <c r="O92" s="554">
        <f t="shared" si="14"/>
        <v>296.91525423728814</v>
      </c>
      <c r="P92" s="548">
        <f t="shared" si="15"/>
        <v>2078406.779661017</v>
      </c>
    </row>
    <row r="93" spans="1:16" ht="12.75">
      <c r="A93" s="199" t="s">
        <v>3463</v>
      </c>
      <c r="B93" s="200" t="s">
        <v>3464</v>
      </c>
      <c r="C93" s="200" t="str">
        <f>VLOOKUP(B93,Fincas!$A$2:$C$1005,2,0)</f>
        <v>F_Texas Araujo</v>
      </c>
      <c r="D93" s="201">
        <v>44612</v>
      </c>
      <c r="E93" s="267" t="str">
        <f t="shared" si="12"/>
        <v>febrero</v>
      </c>
      <c r="F93" s="202">
        <v>44616</v>
      </c>
      <c r="G93" s="203">
        <v>44620</v>
      </c>
      <c r="H93" s="200" t="s">
        <v>3563</v>
      </c>
      <c r="I93" s="224">
        <v>7008146</v>
      </c>
      <c r="J93" s="234" t="str">
        <f t="shared" si="13"/>
        <v>Res macho ceba</v>
      </c>
      <c r="K93" s="200">
        <v>6672</v>
      </c>
      <c r="L93" s="550">
        <v>7670</v>
      </c>
      <c r="M93" s="205">
        <f t="shared" si="18"/>
        <v>51174240</v>
      </c>
      <c r="N93" s="206">
        <v>17</v>
      </c>
      <c r="O93" s="554">
        <f t="shared" si="14"/>
        <v>392.47058823529414</v>
      </c>
      <c r="P93" s="548">
        <f t="shared" si="15"/>
        <v>3010249.411764706</v>
      </c>
    </row>
    <row r="94" spans="1:16" ht="12.75">
      <c r="A94" s="199" t="s">
        <v>3454</v>
      </c>
      <c r="B94" s="200" t="s">
        <v>3534</v>
      </c>
      <c r="C94" s="200" t="str">
        <f>VLOOKUP(B94,Fincas!$A$2:$C$1005,2,0)</f>
        <v>F_El Loro</v>
      </c>
      <c r="D94" s="201">
        <v>44614</v>
      </c>
      <c r="E94" s="267" t="str">
        <f t="shared" si="12"/>
        <v>febrero</v>
      </c>
      <c r="F94" s="202">
        <v>44622</v>
      </c>
      <c r="G94" s="203">
        <v>44620</v>
      </c>
      <c r="H94" s="200" t="s">
        <v>3564</v>
      </c>
      <c r="I94" s="224">
        <v>7008146</v>
      </c>
      <c r="J94" s="234" t="str">
        <f t="shared" si="13"/>
        <v>Res macho ceba</v>
      </c>
      <c r="K94" s="200">
        <v>6764</v>
      </c>
      <c r="L94" s="550">
        <f>M94/K94</f>
        <v>7034.2999704316971</v>
      </c>
      <c r="M94" s="213">
        <v>47580005</v>
      </c>
      <c r="N94" s="214">
        <v>18</v>
      </c>
      <c r="O94" s="554">
        <f t="shared" si="14"/>
        <v>375.77777777777777</v>
      </c>
      <c r="P94" s="548">
        <f t="shared" si="15"/>
        <v>2643333.611111111</v>
      </c>
    </row>
    <row r="95" spans="1:16" ht="12.75">
      <c r="A95" s="199" t="s">
        <v>3426</v>
      </c>
      <c r="B95" s="200" t="s">
        <v>3540</v>
      </c>
      <c r="C95" s="200" t="str">
        <f>VLOOKUP(B95,Fincas!$A$2:$C$1005,2,0)</f>
        <v>Loma Rosa</v>
      </c>
      <c r="D95" s="201">
        <v>44616</v>
      </c>
      <c r="E95" s="267" t="str">
        <f t="shared" si="12"/>
        <v>febrero</v>
      </c>
      <c r="F95" s="202">
        <v>44617</v>
      </c>
      <c r="G95" s="203">
        <v>44620</v>
      </c>
      <c r="H95" s="200" t="s">
        <v>3565</v>
      </c>
      <c r="I95" s="224">
        <v>7008146</v>
      </c>
      <c r="J95" s="234" t="str">
        <f t="shared" si="13"/>
        <v>Res macho ceba</v>
      </c>
      <c r="K95" s="200">
        <v>28763</v>
      </c>
      <c r="L95" s="550">
        <v>7478</v>
      </c>
      <c r="M95" s="205">
        <f>L95*K95</f>
        <v>215089714</v>
      </c>
      <c r="N95" s="214">
        <v>90</v>
      </c>
      <c r="O95" s="554">
        <f t="shared" si="14"/>
        <v>319.5888888888889</v>
      </c>
      <c r="P95" s="548">
        <f t="shared" si="15"/>
        <v>2389885.7111111111</v>
      </c>
    </row>
    <row r="96" spans="1:16" ht="12.75">
      <c r="A96" s="199" t="s">
        <v>3511</v>
      </c>
      <c r="B96" s="200" t="s">
        <v>3551</v>
      </c>
      <c r="C96" s="200" t="str">
        <f>VLOOKUP(B96,Fincas!$A$2:$C$1005,2,0)</f>
        <v>F_La Castellana</v>
      </c>
      <c r="D96" s="201">
        <v>44616</v>
      </c>
      <c r="E96" s="267" t="str">
        <f t="shared" si="12"/>
        <v>febrero</v>
      </c>
      <c r="F96" s="202">
        <v>44617</v>
      </c>
      <c r="G96" s="203">
        <v>44620</v>
      </c>
      <c r="H96" s="200" t="s">
        <v>3566</v>
      </c>
      <c r="I96" s="212">
        <v>7008147</v>
      </c>
      <c r="J96" s="212" t="str">
        <f t="shared" si="13"/>
        <v>Res macho levante</v>
      </c>
      <c r="K96" s="200">
        <v>2474</v>
      </c>
      <c r="L96" s="550">
        <v>7276</v>
      </c>
      <c r="M96" s="213">
        <v>18000000</v>
      </c>
      <c r="N96" s="214">
        <v>9</v>
      </c>
      <c r="O96" s="554">
        <f t="shared" si="14"/>
        <v>274.88888888888891</v>
      </c>
      <c r="P96" s="548">
        <f t="shared" si="15"/>
        <v>2000000</v>
      </c>
    </row>
    <row r="97" spans="1:16" ht="12.75">
      <c r="A97" s="199" t="s">
        <v>3463</v>
      </c>
      <c r="B97" s="200" t="s">
        <v>3469</v>
      </c>
      <c r="C97" s="200" t="str">
        <f>VLOOKUP(B97,Fincas!$A$2:$C$1005,2,0)</f>
        <v>F_Chumbimbo</v>
      </c>
      <c r="D97" s="201">
        <v>44615</v>
      </c>
      <c r="E97" s="267" t="str">
        <f t="shared" si="12"/>
        <v>febrero</v>
      </c>
      <c r="F97" s="202">
        <v>44621</v>
      </c>
      <c r="G97" s="203">
        <v>44620</v>
      </c>
      <c r="H97" s="200" t="s">
        <v>3567</v>
      </c>
      <c r="I97" s="217">
        <v>7008151</v>
      </c>
      <c r="J97" s="217" t="str">
        <f t="shared" si="13"/>
        <v>Res novilla ceba</v>
      </c>
      <c r="K97" s="200">
        <v>12312</v>
      </c>
      <c r="L97" s="550">
        <v>7500</v>
      </c>
      <c r="M97" s="205">
        <f t="shared" ref="M97:M106" si="19">L97*K97</f>
        <v>92340000</v>
      </c>
      <c r="N97" s="206">
        <v>38</v>
      </c>
      <c r="O97" s="554">
        <f t="shared" si="14"/>
        <v>324</v>
      </c>
      <c r="P97" s="548">
        <f t="shared" si="15"/>
        <v>2430000</v>
      </c>
    </row>
    <row r="98" spans="1:16" ht="12.75">
      <c r="A98" s="199" t="s">
        <v>3511</v>
      </c>
      <c r="B98" s="200" t="s">
        <v>3568</v>
      </c>
      <c r="C98" s="200" t="str">
        <f>VLOOKUP(B98,Fincas!$A$2:$C$1005,2,0)</f>
        <v>F_Guayacanes</v>
      </c>
      <c r="D98" s="201">
        <v>44622</v>
      </c>
      <c r="E98" s="267" t="str">
        <f t="shared" si="12"/>
        <v>marzo</v>
      </c>
      <c r="F98" s="202">
        <v>44623</v>
      </c>
      <c r="G98" s="203">
        <v>44623</v>
      </c>
      <c r="H98" s="200" t="s">
        <v>3569</v>
      </c>
      <c r="I98" s="224">
        <v>7008146</v>
      </c>
      <c r="J98" s="234" t="str">
        <f t="shared" si="13"/>
        <v>Res macho ceba</v>
      </c>
      <c r="K98" s="200">
        <v>4759</v>
      </c>
      <c r="L98" s="550">
        <v>7320</v>
      </c>
      <c r="M98" s="205">
        <f t="shared" si="19"/>
        <v>34835880</v>
      </c>
      <c r="N98" s="214">
        <v>17</v>
      </c>
      <c r="O98" s="554">
        <f t="shared" si="14"/>
        <v>279.94117647058823</v>
      </c>
      <c r="P98" s="548">
        <f t="shared" si="15"/>
        <v>2049169.4117647058</v>
      </c>
    </row>
    <row r="99" spans="1:16" ht="12.75">
      <c r="A99" s="199" t="s">
        <v>3463</v>
      </c>
      <c r="B99" s="200" t="s">
        <v>3464</v>
      </c>
      <c r="C99" s="200" t="str">
        <f>VLOOKUP(B99,Fincas!$A$2:$C$1005,2,0)</f>
        <v>F_Texas Araujo</v>
      </c>
      <c r="D99" s="201">
        <v>44621</v>
      </c>
      <c r="E99" s="267" t="str">
        <f t="shared" si="12"/>
        <v>marzo</v>
      </c>
      <c r="F99" s="202">
        <v>44622</v>
      </c>
      <c r="G99" s="203">
        <v>44623</v>
      </c>
      <c r="H99" s="200" t="s">
        <v>3570</v>
      </c>
      <c r="I99" s="224">
        <v>7008146</v>
      </c>
      <c r="J99" s="234" t="str">
        <f t="shared" si="13"/>
        <v>Res macho ceba</v>
      </c>
      <c r="K99" s="200">
        <v>7245</v>
      </c>
      <c r="L99" s="550">
        <v>7700</v>
      </c>
      <c r="M99" s="205">
        <f t="shared" si="19"/>
        <v>55786500</v>
      </c>
      <c r="N99" s="214">
        <v>23</v>
      </c>
      <c r="O99" s="554">
        <f t="shared" si="14"/>
        <v>315</v>
      </c>
      <c r="P99" s="548">
        <f t="shared" si="15"/>
        <v>2425500</v>
      </c>
    </row>
    <row r="100" spans="1:16" ht="12.75">
      <c r="A100" s="199" t="s">
        <v>3571</v>
      </c>
      <c r="B100" s="200" t="s">
        <v>3493</v>
      </c>
      <c r="C100" s="200" t="str">
        <f>VLOOKUP(B100,Fincas!$A$2:$C$1005,2,0)</f>
        <v>F_Las Camelias</v>
      </c>
      <c r="D100" s="201">
        <v>44621</v>
      </c>
      <c r="E100" s="267" t="str">
        <f t="shared" si="12"/>
        <v>marzo</v>
      </c>
      <c r="F100" s="202">
        <v>44623</v>
      </c>
      <c r="G100" s="203">
        <v>44624</v>
      </c>
      <c r="H100" s="200" t="s">
        <v>3572</v>
      </c>
      <c r="I100" s="224">
        <v>7008146</v>
      </c>
      <c r="J100" s="234" t="str">
        <f t="shared" si="13"/>
        <v>Res macho ceba</v>
      </c>
      <c r="K100" s="200">
        <v>11987</v>
      </c>
      <c r="L100" s="550">
        <v>7700</v>
      </c>
      <c r="M100" s="205">
        <f t="shared" si="19"/>
        <v>92299900</v>
      </c>
      <c r="N100" s="214">
        <v>36</v>
      </c>
      <c r="O100" s="554">
        <f t="shared" si="14"/>
        <v>332.97222222222223</v>
      </c>
      <c r="P100" s="548">
        <f t="shared" si="15"/>
        <v>2563886.111111111</v>
      </c>
    </row>
    <row r="101" spans="1:16" ht="12.75">
      <c r="A101" s="199" t="s">
        <v>3573</v>
      </c>
      <c r="B101" s="200" t="s">
        <v>3464</v>
      </c>
      <c r="C101" s="200" t="str">
        <f>VLOOKUP(B101,Fincas!$A$2:$C$1005,2,0)</f>
        <v>F_Texas Araujo</v>
      </c>
      <c r="D101" s="201">
        <v>44623</v>
      </c>
      <c r="E101" s="267" t="str">
        <f t="shared" si="12"/>
        <v>marzo</v>
      </c>
      <c r="F101" s="202">
        <v>44623</v>
      </c>
      <c r="G101" s="203">
        <v>44627</v>
      </c>
      <c r="H101" s="200" t="s">
        <v>3574</v>
      </c>
      <c r="I101" s="224">
        <v>7008146</v>
      </c>
      <c r="J101" s="234" t="str">
        <f t="shared" si="13"/>
        <v>Res macho ceba</v>
      </c>
      <c r="K101" s="200">
        <v>6356</v>
      </c>
      <c r="L101" s="550">
        <v>7800</v>
      </c>
      <c r="M101" s="205">
        <f t="shared" si="19"/>
        <v>49576800</v>
      </c>
      <c r="N101" s="214">
        <v>21</v>
      </c>
      <c r="O101" s="554">
        <f t="shared" si="14"/>
        <v>302.66666666666669</v>
      </c>
      <c r="P101" s="548">
        <f t="shared" si="15"/>
        <v>2360800</v>
      </c>
    </row>
    <row r="102" spans="1:16" ht="12.75">
      <c r="A102" s="199" t="s">
        <v>3575</v>
      </c>
      <c r="B102" s="200" t="s">
        <v>3557</v>
      </c>
      <c r="C102" s="200" t="str">
        <f>VLOOKUP(B102,Fincas!$A$2:$C$1005,2,0)</f>
        <v>F_San Clemente</v>
      </c>
      <c r="D102" s="201">
        <v>44623</v>
      </c>
      <c r="E102" s="267" t="str">
        <f t="shared" si="12"/>
        <v>marzo</v>
      </c>
      <c r="F102" s="202">
        <v>44623</v>
      </c>
      <c r="G102" s="203">
        <v>44627</v>
      </c>
      <c r="H102" s="200" t="s">
        <v>3576</v>
      </c>
      <c r="I102" s="217">
        <v>7008151</v>
      </c>
      <c r="J102" s="217" t="str">
        <f t="shared" si="13"/>
        <v>Res novilla ceba</v>
      </c>
      <c r="K102" s="200">
        <v>19420</v>
      </c>
      <c r="L102" s="550">
        <v>6900</v>
      </c>
      <c r="M102" s="205">
        <f t="shared" si="19"/>
        <v>133998000</v>
      </c>
      <c r="N102" s="214">
        <v>75</v>
      </c>
      <c r="O102" s="554">
        <f t="shared" si="14"/>
        <v>258.93333333333334</v>
      </c>
      <c r="P102" s="548">
        <f t="shared" si="15"/>
        <v>1786640</v>
      </c>
    </row>
    <row r="103" spans="1:16" ht="12.75">
      <c r="A103" s="199" t="s">
        <v>3577</v>
      </c>
      <c r="B103" s="200" t="s">
        <v>3578</v>
      </c>
      <c r="C103" s="200" t="str">
        <f>VLOOKUP(B103,Fincas!$A$2:$C$1005,2,0)</f>
        <v>F_Triana</v>
      </c>
      <c r="D103" s="201">
        <v>44621</v>
      </c>
      <c r="E103" s="267" t="str">
        <f t="shared" si="12"/>
        <v>marzo</v>
      </c>
      <c r="F103" s="202">
        <v>44621</v>
      </c>
      <c r="G103" s="203">
        <v>44624</v>
      </c>
      <c r="H103" s="200" t="s">
        <v>3579</v>
      </c>
      <c r="I103" s="224">
        <v>7008146</v>
      </c>
      <c r="J103" s="234" t="str">
        <f t="shared" si="13"/>
        <v>Res macho ceba</v>
      </c>
      <c r="K103" s="200">
        <v>270411</v>
      </c>
      <c r="L103" s="550">
        <v>7700</v>
      </c>
      <c r="M103" s="205">
        <f t="shared" si="19"/>
        <v>2082164700</v>
      </c>
      <c r="N103" s="214">
        <v>651</v>
      </c>
      <c r="O103" s="554">
        <f t="shared" si="14"/>
        <v>415.37788018433179</v>
      </c>
      <c r="P103" s="548">
        <f t="shared" si="15"/>
        <v>3198409.6774193547</v>
      </c>
    </row>
    <row r="104" spans="1:16" ht="12.75">
      <c r="A104" s="199" t="s">
        <v>3439</v>
      </c>
      <c r="B104" s="200" t="s">
        <v>3431</v>
      </c>
      <c r="C104" s="200" t="str">
        <f>VLOOKUP(B104,Fincas!$A$2:$C$1005,2,0)</f>
        <v>F_Totumito</v>
      </c>
      <c r="D104" s="201">
        <v>44628</v>
      </c>
      <c r="E104" s="267" t="str">
        <f t="shared" si="12"/>
        <v>marzo</v>
      </c>
      <c r="F104" s="202">
        <v>44624</v>
      </c>
      <c r="G104" s="203">
        <v>44630</v>
      </c>
      <c r="H104" s="200" t="s">
        <v>36</v>
      </c>
      <c r="I104" s="212">
        <v>7008147</v>
      </c>
      <c r="J104" s="212" t="str">
        <f t="shared" si="13"/>
        <v>Res macho levante</v>
      </c>
      <c r="K104" s="200">
        <v>8158</v>
      </c>
      <c r="L104" s="550">
        <v>8100</v>
      </c>
      <c r="M104" s="205">
        <f t="shared" si="19"/>
        <v>66079800</v>
      </c>
      <c r="N104" s="214">
        <v>32</v>
      </c>
      <c r="O104" s="554">
        <f t="shared" si="14"/>
        <v>254.9375</v>
      </c>
      <c r="P104" s="548">
        <f t="shared" si="15"/>
        <v>2064993.75</v>
      </c>
    </row>
    <row r="105" spans="1:16" ht="12.75">
      <c r="A105" s="199" t="s">
        <v>3580</v>
      </c>
      <c r="B105" s="200" t="s">
        <v>3442</v>
      </c>
      <c r="C105" s="200" t="str">
        <f>VLOOKUP(B105,Fincas!$A$2:$C$1005,2,0)</f>
        <v>F_El Diamante</v>
      </c>
      <c r="D105" s="201">
        <v>44630</v>
      </c>
      <c r="E105" s="267" t="str">
        <f t="shared" si="12"/>
        <v>marzo</v>
      </c>
      <c r="F105" s="202">
        <v>44630</v>
      </c>
      <c r="G105" s="203">
        <v>44631</v>
      </c>
      <c r="H105" s="200" t="s">
        <v>3581</v>
      </c>
      <c r="I105" s="227">
        <v>7008459</v>
      </c>
      <c r="J105" s="227" t="str">
        <f t="shared" si="13"/>
        <v>Res macho Cría</v>
      </c>
      <c r="K105" s="200">
        <v>1506</v>
      </c>
      <c r="L105" s="550">
        <v>13700</v>
      </c>
      <c r="M105" s="205">
        <f t="shared" si="19"/>
        <v>20632200</v>
      </c>
      <c r="N105" s="214">
        <v>17</v>
      </c>
      <c r="O105" s="554">
        <f t="shared" si="14"/>
        <v>88.588235294117652</v>
      </c>
      <c r="P105" s="548">
        <f t="shared" si="15"/>
        <v>1213658.8235294118</v>
      </c>
    </row>
    <row r="106" spans="1:16" ht="12.75">
      <c r="A106" s="199" t="s">
        <v>3433</v>
      </c>
      <c r="B106" s="200" t="s">
        <v>3434</v>
      </c>
      <c r="C106" s="200" t="str">
        <f>VLOOKUP(B106,Fincas!$A$2:$C$1005,2,0)</f>
        <v>F_Yacare</v>
      </c>
      <c r="D106" s="201">
        <v>44629</v>
      </c>
      <c r="E106" s="267" t="str">
        <f t="shared" si="12"/>
        <v>marzo</v>
      </c>
      <c r="F106" s="202">
        <v>44628</v>
      </c>
      <c r="G106" s="203">
        <v>44631</v>
      </c>
      <c r="H106" s="200" t="s">
        <v>3582</v>
      </c>
      <c r="I106" s="224">
        <v>7008146</v>
      </c>
      <c r="J106" s="234" t="str">
        <f t="shared" si="13"/>
        <v>Res macho ceba</v>
      </c>
      <c r="K106" s="200">
        <v>8615</v>
      </c>
      <c r="L106" s="550">
        <v>7300</v>
      </c>
      <c r="M106" s="205">
        <f t="shared" si="19"/>
        <v>62889500</v>
      </c>
      <c r="N106" s="214">
        <v>25</v>
      </c>
      <c r="O106" s="554">
        <f t="shared" si="14"/>
        <v>344.6</v>
      </c>
      <c r="P106" s="548">
        <f t="shared" si="15"/>
        <v>2515580</v>
      </c>
    </row>
    <row r="107" spans="1:16" ht="12.75">
      <c r="A107" s="199" t="s">
        <v>1419</v>
      </c>
      <c r="B107" s="200" t="s">
        <v>3583</v>
      </c>
      <c r="C107" s="200" t="str">
        <f>VLOOKUP(B107,Fincas!$A$2:$C$1005,2,0)</f>
        <v>F_Santa Mónica</v>
      </c>
      <c r="D107" s="201">
        <v>44623</v>
      </c>
      <c r="E107" s="267" t="str">
        <f t="shared" si="12"/>
        <v>marzo</v>
      </c>
      <c r="F107" s="202">
        <v>44624</v>
      </c>
      <c r="G107" s="203">
        <v>44631</v>
      </c>
      <c r="H107" s="200" t="s">
        <v>3584</v>
      </c>
      <c r="I107" s="224">
        <v>7008146</v>
      </c>
      <c r="J107" s="234" t="str">
        <f t="shared" si="13"/>
        <v>Res macho ceba</v>
      </c>
      <c r="K107" s="200">
        <v>3396</v>
      </c>
      <c r="L107" s="550">
        <f t="shared" ref="L107:L108" si="20">M107/K107</f>
        <v>7503.1802120141347</v>
      </c>
      <c r="M107" s="213">
        <v>25480800</v>
      </c>
      <c r="N107" s="214">
        <v>9</v>
      </c>
      <c r="O107" s="554">
        <f t="shared" si="14"/>
        <v>377.33333333333331</v>
      </c>
      <c r="P107" s="548">
        <f t="shared" si="15"/>
        <v>2831200</v>
      </c>
    </row>
    <row r="108" spans="1:16" ht="12.75">
      <c r="A108" s="199" t="s">
        <v>1419</v>
      </c>
      <c r="B108" s="200" t="s">
        <v>3583</v>
      </c>
      <c r="C108" s="200" t="str">
        <f>VLOOKUP(B108,Fincas!$A$2:$C$1005,2,0)</f>
        <v>F_Santa Mónica</v>
      </c>
      <c r="D108" s="201">
        <v>44623</v>
      </c>
      <c r="E108" s="267" t="str">
        <f t="shared" si="12"/>
        <v>marzo</v>
      </c>
      <c r="F108" s="202">
        <v>44624</v>
      </c>
      <c r="G108" s="203">
        <v>44631</v>
      </c>
      <c r="H108" s="200" t="s">
        <v>3585</v>
      </c>
      <c r="I108" s="224">
        <v>7008146</v>
      </c>
      <c r="J108" s="234" t="str">
        <f t="shared" si="13"/>
        <v>Res macho ceba</v>
      </c>
      <c r="K108" s="200">
        <v>4456</v>
      </c>
      <c r="L108" s="550">
        <f t="shared" si="20"/>
        <v>7454.5780969479356</v>
      </c>
      <c r="M108" s="213">
        <v>33217600</v>
      </c>
      <c r="N108" s="214">
        <v>17</v>
      </c>
      <c r="O108" s="554">
        <f t="shared" si="14"/>
        <v>262.11764705882354</v>
      </c>
      <c r="P108" s="548">
        <f t="shared" si="15"/>
        <v>1953976.4705882352</v>
      </c>
    </row>
    <row r="109" spans="1:16" ht="12.75">
      <c r="A109" s="199" t="s">
        <v>3586</v>
      </c>
      <c r="B109" s="200" t="s">
        <v>3587</v>
      </c>
      <c r="C109" s="200" t="str">
        <f>VLOOKUP(B109,Fincas!$A$2:$C$1005,2,0)</f>
        <v>F_Monaco</v>
      </c>
      <c r="D109" s="201">
        <v>44630</v>
      </c>
      <c r="E109" s="267" t="str">
        <f t="shared" si="12"/>
        <v>marzo</v>
      </c>
      <c r="F109" s="202">
        <v>44630</v>
      </c>
      <c r="G109" s="203">
        <v>44634</v>
      </c>
      <c r="H109" s="200" t="s">
        <v>3588</v>
      </c>
      <c r="I109" s="224">
        <v>7008146</v>
      </c>
      <c r="J109" s="234" t="str">
        <f t="shared" si="13"/>
        <v>Res macho ceba</v>
      </c>
      <c r="K109" s="200">
        <v>15315</v>
      </c>
      <c r="L109" s="550">
        <v>8100</v>
      </c>
      <c r="M109" s="205">
        <f t="shared" ref="M109:M111" si="21">L109*K109</f>
        <v>124051500</v>
      </c>
      <c r="N109" s="214">
        <v>40</v>
      </c>
      <c r="O109" s="554">
        <f t="shared" si="14"/>
        <v>382.875</v>
      </c>
      <c r="P109" s="548">
        <f t="shared" si="15"/>
        <v>3101287.5</v>
      </c>
    </row>
    <row r="110" spans="1:16" ht="12.75">
      <c r="A110" s="199" t="s">
        <v>3463</v>
      </c>
      <c r="B110" s="200" t="s">
        <v>3464</v>
      </c>
      <c r="C110" s="200" t="str">
        <f>VLOOKUP(B110,Fincas!$A$2:$C$1005,2,0)</f>
        <v>F_Texas Araujo</v>
      </c>
      <c r="D110" s="201">
        <v>44627</v>
      </c>
      <c r="E110" s="267" t="str">
        <f t="shared" si="12"/>
        <v>marzo</v>
      </c>
      <c r="F110" s="202">
        <v>44630</v>
      </c>
      <c r="G110" s="203">
        <v>44634</v>
      </c>
      <c r="H110" s="200" t="s">
        <v>3589</v>
      </c>
      <c r="I110" s="224">
        <v>7008146</v>
      </c>
      <c r="J110" s="234" t="str">
        <f t="shared" si="13"/>
        <v>Res macho ceba</v>
      </c>
      <c r="K110" s="200">
        <v>21804</v>
      </c>
      <c r="L110" s="550">
        <v>8250</v>
      </c>
      <c r="M110" s="205">
        <f t="shared" si="21"/>
        <v>179883000</v>
      </c>
      <c r="N110" s="214">
        <v>69</v>
      </c>
      <c r="O110" s="554">
        <f t="shared" si="14"/>
        <v>316</v>
      </c>
      <c r="P110" s="548">
        <f t="shared" si="15"/>
        <v>2607000</v>
      </c>
    </row>
    <row r="111" spans="1:16" ht="12.75">
      <c r="A111" s="199" t="s">
        <v>3590</v>
      </c>
      <c r="B111" s="200" t="s">
        <v>3591</v>
      </c>
      <c r="C111" s="200" t="str">
        <f>VLOOKUP(B111,Fincas!$A$2:$C$1005,2,0)</f>
        <v>F_La Majagua</v>
      </c>
      <c r="D111" s="201">
        <v>44627</v>
      </c>
      <c r="E111" s="267" t="str">
        <f t="shared" si="12"/>
        <v>marzo</v>
      </c>
      <c r="F111" s="202">
        <v>44623</v>
      </c>
      <c r="G111" s="203">
        <v>44637</v>
      </c>
      <c r="H111" s="200" t="s">
        <v>3494</v>
      </c>
      <c r="I111" s="224">
        <v>7008146</v>
      </c>
      <c r="J111" s="234" t="str">
        <f t="shared" si="13"/>
        <v>Res macho ceba</v>
      </c>
      <c r="K111" s="200">
        <v>3626</v>
      </c>
      <c r="L111" s="550">
        <v>7600</v>
      </c>
      <c r="M111" s="205">
        <f t="shared" si="21"/>
        <v>27557600</v>
      </c>
      <c r="N111" s="214">
        <v>12</v>
      </c>
      <c r="O111" s="554">
        <f t="shared" si="14"/>
        <v>302.16666666666669</v>
      </c>
      <c r="P111" s="548">
        <f t="shared" si="15"/>
        <v>2296466.6666666665</v>
      </c>
    </row>
    <row r="112" spans="1:16" ht="12.75">
      <c r="A112" s="199" t="s">
        <v>3511</v>
      </c>
      <c r="B112" s="200" t="s">
        <v>3551</v>
      </c>
      <c r="C112" s="200" t="str">
        <f>VLOOKUP(B112,Fincas!$A$2:$C$1005,2,0)</f>
        <v>F_La Castellana</v>
      </c>
      <c r="D112" s="201">
        <v>44622</v>
      </c>
      <c r="E112" s="267" t="str">
        <f t="shared" si="12"/>
        <v>marzo</v>
      </c>
      <c r="F112" s="202">
        <v>44623</v>
      </c>
      <c r="G112" s="203">
        <v>44638</v>
      </c>
      <c r="H112" s="200" t="s">
        <v>3592</v>
      </c>
      <c r="I112" s="212">
        <v>7008147</v>
      </c>
      <c r="J112" s="212" t="str">
        <f t="shared" si="13"/>
        <v>Res macho levante</v>
      </c>
      <c r="K112" s="200">
        <v>2691</v>
      </c>
      <c r="L112" s="550">
        <f t="shared" ref="L112:L120" si="22">M112/K112</f>
        <v>7766.6295057599409</v>
      </c>
      <c r="M112" s="213">
        <v>20900000</v>
      </c>
      <c r="N112" s="214">
        <v>11</v>
      </c>
      <c r="O112" s="554">
        <f t="shared" si="14"/>
        <v>244.63636363636363</v>
      </c>
      <c r="P112" s="548">
        <f t="shared" si="15"/>
        <v>1900000</v>
      </c>
    </row>
    <row r="113" spans="1:16" ht="12.75">
      <c r="A113" s="199" t="s">
        <v>3511</v>
      </c>
      <c r="B113" s="200" t="s">
        <v>3551</v>
      </c>
      <c r="C113" s="200" t="str">
        <f>VLOOKUP(B113,Fincas!$A$2:$C$1005,2,0)</f>
        <v>F_La Castellana</v>
      </c>
      <c r="D113" s="201">
        <v>44622</v>
      </c>
      <c r="E113" s="267" t="str">
        <f t="shared" si="12"/>
        <v>marzo</v>
      </c>
      <c r="F113" s="202">
        <v>44623</v>
      </c>
      <c r="G113" s="203">
        <v>44638</v>
      </c>
      <c r="H113" s="200" t="s">
        <v>3593</v>
      </c>
      <c r="I113" s="212">
        <v>7008147</v>
      </c>
      <c r="J113" s="212" t="str">
        <f t="shared" si="13"/>
        <v>Res macho levante</v>
      </c>
      <c r="K113" s="200">
        <v>1589</v>
      </c>
      <c r="L113" s="550">
        <f t="shared" si="22"/>
        <v>6828.1938325991187</v>
      </c>
      <c r="M113" s="213">
        <v>10850000</v>
      </c>
      <c r="N113" s="214">
        <v>7</v>
      </c>
      <c r="O113" s="554">
        <f t="shared" si="14"/>
        <v>227</v>
      </c>
      <c r="P113" s="548">
        <f t="shared" si="15"/>
        <v>1550000</v>
      </c>
    </row>
    <row r="114" spans="1:16" ht="12.75">
      <c r="A114" s="199" t="s">
        <v>3511</v>
      </c>
      <c r="B114" s="200" t="s">
        <v>3551</v>
      </c>
      <c r="C114" s="200" t="str">
        <f>VLOOKUP(B114,Fincas!$A$2:$C$1005,2,0)</f>
        <v>F_La Castellana</v>
      </c>
      <c r="D114" s="201">
        <v>44625</v>
      </c>
      <c r="E114" s="267" t="str">
        <f t="shared" si="12"/>
        <v>marzo</v>
      </c>
      <c r="F114" s="202">
        <v>44626</v>
      </c>
      <c r="G114" s="203">
        <v>44638</v>
      </c>
      <c r="H114" s="200">
        <v>12815</v>
      </c>
      <c r="I114" s="212">
        <v>7008147</v>
      </c>
      <c r="J114" s="212" t="str">
        <f t="shared" si="13"/>
        <v>Res macho levante</v>
      </c>
      <c r="K114" s="200">
        <v>2736</v>
      </c>
      <c r="L114" s="550">
        <f t="shared" si="22"/>
        <v>7894.7368421052633</v>
      </c>
      <c r="M114" s="213">
        <v>21600000</v>
      </c>
      <c r="N114" s="214">
        <v>12</v>
      </c>
      <c r="O114" s="554">
        <f t="shared" si="14"/>
        <v>228</v>
      </c>
      <c r="P114" s="548">
        <f t="shared" si="15"/>
        <v>1800000</v>
      </c>
    </row>
    <row r="115" spans="1:16" ht="12.75">
      <c r="A115" s="199" t="s">
        <v>3511</v>
      </c>
      <c r="B115" s="200" t="s">
        <v>3551</v>
      </c>
      <c r="C115" s="200" t="str">
        <f>VLOOKUP(B115,Fincas!$A$2:$C$1005,2,0)</f>
        <v>F_La Castellana</v>
      </c>
      <c r="D115" s="201">
        <v>44625</v>
      </c>
      <c r="E115" s="267" t="str">
        <f t="shared" si="12"/>
        <v>marzo</v>
      </c>
      <c r="F115" s="202">
        <v>44626</v>
      </c>
      <c r="G115" s="203">
        <v>44638</v>
      </c>
      <c r="H115" s="200">
        <v>12816</v>
      </c>
      <c r="I115" s="212">
        <v>7008147</v>
      </c>
      <c r="J115" s="212" t="str">
        <f t="shared" si="13"/>
        <v>Res macho levante</v>
      </c>
      <c r="K115" s="200">
        <v>2870</v>
      </c>
      <c r="L115" s="550">
        <f t="shared" si="22"/>
        <v>7317.0731707317073</v>
      </c>
      <c r="M115" s="213">
        <v>21000000</v>
      </c>
      <c r="N115" s="214">
        <v>12</v>
      </c>
      <c r="O115" s="554">
        <f t="shared" si="14"/>
        <v>239.16666666666666</v>
      </c>
      <c r="P115" s="548">
        <f t="shared" si="15"/>
        <v>1750000</v>
      </c>
    </row>
    <row r="116" spans="1:16" ht="12.75">
      <c r="A116" s="199" t="s">
        <v>3511</v>
      </c>
      <c r="B116" s="200" t="s">
        <v>3551</v>
      </c>
      <c r="C116" s="200" t="str">
        <f>VLOOKUP(B116,Fincas!$A$2:$C$1005,2,0)</f>
        <v>F_La Castellana</v>
      </c>
      <c r="D116" s="201">
        <v>44625</v>
      </c>
      <c r="E116" s="267" t="str">
        <f t="shared" si="12"/>
        <v>marzo</v>
      </c>
      <c r="F116" s="202">
        <v>44626</v>
      </c>
      <c r="G116" s="203">
        <v>44638</v>
      </c>
      <c r="H116" s="200">
        <v>12837</v>
      </c>
      <c r="I116" s="212">
        <v>7008147</v>
      </c>
      <c r="J116" s="212" t="str">
        <f t="shared" si="13"/>
        <v>Res macho levante</v>
      </c>
      <c r="K116" s="200">
        <v>4894</v>
      </c>
      <c r="L116" s="550">
        <f t="shared" si="22"/>
        <v>7764.609726195341</v>
      </c>
      <c r="M116" s="213">
        <v>38000000</v>
      </c>
      <c r="N116" s="214">
        <v>19</v>
      </c>
      <c r="O116" s="554">
        <f t="shared" si="14"/>
        <v>257.57894736842104</v>
      </c>
      <c r="P116" s="548">
        <f t="shared" si="15"/>
        <v>2000000</v>
      </c>
    </row>
    <row r="117" spans="1:16" ht="12.75">
      <c r="A117" s="199" t="s">
        <v>3454</v>
      </c>
      <c r="B117" s="200" t="s">
        <v>3431</v>
      </c>
      <c r="C117" s="200" t="str">
        <f>VLOOKUP(B117,Fincas!$A$2:$C$1005,2,0)</f>
        <v>F_Totumito</v>
      </c>
      <c r="D117" s="201">
        <v>44630</v>
      </c>
      <c r="E117" s="267" t="str">
        <f t="shared" si="12"/>
        <v>marzo</v>
      </c>
      <c r="F117" s="202">
        <v>44632</v>
      </c>
      <c r="G117" s="203">
        <v>44638</v>
      </c>
      <c r="H117" s="200" t="s">
        <v>3594</v>
      </c>
      <c r="I117" s="212">
        <v>7008147</v>
      </c>
      <c r="J117" s="212" t="str">
        <f t="shared" si="13"/>
        <v>Res macho levante</v>
      </c>
      <c r="K117" s="200">
        <v>4922</v>
      </c>
      <c r="L117" s="550">
        <f t="shared" si="22"/>
        <v>8742.630028443722</v>
      </c>
      <c r="M117" s="213">
        <v>43031225</v>
      </c>
      <c r="N117" s="214">
        <v>21</v>
      </c>
      <c r="O117" s="554">
        <f t="shared" si="14"/>
        <v>234.38095238095238</v>
      </c>
      <c r="P117" s="548">
        <f t="shared" si="15"/>
        <v>2049105.9523809524</v>
      </c>
    </row>
    <row r="118" spans="1:16" ht="12.75">
      <c r="A118" s="199" t="s">
        <v>3454</v>
      </c>
      <c r="B118" s="200" t="s">
        <v>3431</v>
      </c>
      <c r="C118" s="200" t="str">
        <f>VLOOKUP(B118,Fincas!$A$2:$C$1005,2,0)</f>
        <v>F_Totumito</v>
      </c>
      <c r="D118" s="201">
        <v>44631</v>
      </c>
      <c r="E118" s="267" t="str">
        <f t="shared" si="12"/>
        <v>marzo</v>
      </c>
      <c r="F118" s="202">
        <v>44632</v>
      </c>
      <c r="G118" s="203">
        <v>44638</v>
      </c>
      <c r="H118" s="200" t="s">
        <v>3595</v>
      </c>
      <c r="I118" s="212">
        <v>7008147</v>
      </c>
      <c r="J118" s="212" t="str">
        <f t="shared" si="13"/>
        <v>Res macho levante</v>
      </c>
      <c r="K118" s="200">
        <v>4998</v>
      </c>
      <c r="L118" s="550">
        <f t="shared" si="22"/>
        <v>8340.6700680272115</v>
      </c>
      <c r="M118" s="213">
        <v>41686669</v>
      </c>
      <c r="N118" s="214">
        <v>18</v>
      </c>
      <c r="O118" s="554">
        <f t="shared" si="14"/>
        <v>277.66666666666669</v>
      </c>
      <c r="P118" s="548">
        <f t="shared" si="15"/>
        <v>2315926.0555555555</v>
      </c>
    </row>
    <row r="119" spans="1:16" ht="12.75">
      <c r="A119" s="199" t="s">
        <v>3454</v>
      </c>
      <c r="B119" s="200" t="s">
        <v>3431</v>
      </c>
      <c r="C119" s="200" t="str">
        <f>VLOOKUP(B119,Fincas!$A$2:$C$1005,2,0)</f>
        <v>F_Totumito</v>
      </c>
      <c r="D119" s="201">
        <v>44631</v>
      </c>
      <c r="E119" s="267" t="str">
        <f t="shared" si="12"/>
        <v>marzo</v>
      </c>
      <c r="F119" s="202">
        <v>44632</v>
      </c>
      <c r="G119" s="203">
        <v>44638</v>
      </c>
      <c r="H119" s="200" t="s">
        <v>3596</v>
      </c>
      <c r="I119" s="212">
        <v>7008147</v>
      </c>
      <c r="J119" s="212" t="str">
        <f t="shared" si="13"/>
        <v>Res macho levante</v>
      </c>
      <c r="K119" s="200">
        <v>4706</v>
      </c>
      <c r="L119" s="550">
        <f t="shared" si="22"/>
        <v>8390.9150021249461</v>
      </c>
      <c r="M119" s="213">
        <v>39487646</v>
      </c>
      <c r="N119" s="214">
        <v>17</v>
      </c>
      <c r="O119" s="554">
        <f t="shared" si="14"/>
        <v>276.8235294117647</v>
      </c>
      <c r="P119" s="548">
        <f t="shared" si="15"/>
        <v>2322802.7058823528</v>
      </c>
    </row>
    <row r="120" spans="1:16" ht="12.75">
      <c r="A120" s="199" t="s">
        <v>3454</v>
      </c>
      <c r="B120" s="200" t="s">
        <v>3431</v>
      </c>
      <c r="C120" s="200" t="str">
        <f>VLOOKUP(B120,Fincas!$A$2:$C$1005,2,0)</f>
        <v>F_Totumito</v>
      </c>
      <c r="D120" s="201">
        <v>44630</v>
      </c>
      <c r="E120" s="267" t="str">
        <f t="shared" si="12"/>
        <v>marzo</v>
      </c>
      <c r="F120" s="202">
        <v>44632</v>
      </c>
      <c r="G120" s="203">
        <v>44638</v>
      </c>
      <c r="H120" s="200" t="s">
        <v>3597</v>
      </c>
      <c r="I120" s="212">
        <v>7008147</v>
      </c>
      <c r="J120" s="212" t="str">
        <f t="shared" si="13"/>
        <v>Res macho levante</v>
      </c>
      <c r="K120" s="200">
        <v>5260</v>
      </c>
      <c r="L120" s="550">
        <f t="shared" si="22"/>
        <v>8591.8950570342204</v>
      </c>
      <c r="M120" s="213">
        <v>45193368</v>
      </c>
      <c r="N120" s="214">
        <v>20</v>
      </c>
      <c r="O120" s="554">
        <f t="shared" si="14"/>
        <v>263</v>
      </c>
      <c r="P120" s="548">
        <f t="shared" si="15"/>
        <v>2259668.4</v>
      </c>
    </row>
    <row r="121" spans="1:16" ht="12.75">
      <c r="A121" s="199" t="s">
        <v>3451</v>
      </c>
      <c r="B121" s="200" t="s">
        <v>3598</v>
      </c>
      <c r="C121" s="200" t="str">
        <f>VLOOKUP(B121,Fincas!$A$2:$C$1005,2,0)</f>
        <v>F_El Prado</v>
      </c>
      <c r="D121" s="201">
        <v>44635</v>
      </c>
      <c r="E121" s="267" t="str">
        <f t="shared" si="12"/>
        <v>marzo</v>
      </c>
      <c r="F121" s="202">
        <v>44635</v>
      </c>
      <c r="G121" s="203">
        <v>44642</v>
      </c>
      <c r="H121" s="200">
        <v>63358</v>
      </c>
      <c r="I121" s="224">
        <v>7008146</v>
      </c>
      <c r="J121" s="234" t="str">
        <f t="shared" si="13"/>
        <v>Res macho ceba</v>
      </c>
      <c r="K121" s="200">
        <v>5658</v>
      </c>
      <c r="L121" s="550">
        <v>8650</v>
      </c>
      <c r="M121" s="205">
        <f t="shared" ref="M121:M137" si="23">L121*K121</f>
        <v>48941700</v>
      </c>
      <c r="N121" s="214">
        <v>18</v>
      </c>
      <c r="O121" s="554">
        <f t="shared" si="14"/>
        <v>314.33333333333331</v>
      </c>
      <c r="P121" s="548">
        <f t="shared" si="15"/>
        <v>2718983.3333333335</v>
      </c>
    </row>
    <row r="122" spans="1:16" ht="12.75">
      <c r="A122" s="199" t="s">
        <v>3451</v>
      </c>
      <c r="B122" s="200" t="s">
        <v>3598</v>
      </c>
      <c r="C122" s="200" t="str">
        <f>VLOOKUP(B122,Fincas!$A$2:$C$1005,2,0)</f>
        <v>F_El Prado</v>
      </c>
      <c r="D122" s="201">
        <v>44635</v>
      </c>
      <c r="E122" s="267" t="str">
        <f t="shared" si="12"/>
        <v>marzo</v>
      </c>
      <c r="F122" s="202">
        <v>44635</v>
      </c>
      <c r="G122" s="203">
        <v>44642</v>
      </c>
      <c r="H122" s="200">
        <v>63360</v>
      </c>
      <c r="I122" s="224">
        <v>7008146</v>
      </c>
      <c r="J122" s="234" t="str">
        <f t="shared" si="13"/>
        <v>Res macho ceba</v>
      </c>
      <c r="K122" s="200">
        <v>4616</v>
      </c>
      <c r="L122" s="550">
        <v>8700</v>
      </c>
      <c r="M122" s="205">
        <f t="shared" si="23"/>
        <v>40159200</v>
      </c>
      <c r="N122" s="214">
        <v>20</v>
      </c>
      <c r="O122" s="554">
        <f t="shared" si="14"/>
        <v>230.8</v>
      </c>
      <c r="P122" s="548">
        <f t="shared" si="15"/>
        <v>2007960</v>
      </c>
    </row>
    <row r="123" spans="1:16" ht="12.75">
      <c r="A123" s="199" t="s">
        <v>3451</v>
      </c>
      <c r="B123" s="200" t="s">
        <v>3598</v>
      </c>
      <c r="C123" s="200" t="str">
        <f>VLOOKUP(B123,Fincas!$A$2:$C$1005,2,0)</f>
        <v>F_El Prado</v>
      </c>
      <c r="D123" s="201">
        <v>44635</v>
      </c>
      <c r="E123" s="267" t="str">
        <f t="shared" si="12"/>
        <v>marzo</v>
      </c>
      <c r="F123" s="202">
        <v>44635</v>
      </c>
      <c r="G123" s="203">
        <v>44642</v>
      </c>
      <c r="H123" s="200">
        <v>63361</v>
      </c>
      <c r="I123" s="224">
        <v>7008146</v>
      </c>
      <c r="J123" s="234" t="str">
        <f t="shared" si="13"/>
        <v>Res macho ceba</v>
      </c>
      <c r="K123" s="200">
        <v>3834</v>
      </c>
      <c r="L123" s="550">
        <v>9000</v>
      </c>
      <c r="M123" s="205">
        <f t="shared" si="23"/>
        <v>34506000</v>
      </c>
      <c r="N123" s="214">
        <v>22</v>
      </c>
      <c r="O123" s="554">
        <f t="shared" si="14"/>
        <v>174.27272727272728</v>
      </c>
      <c r="P123" s="548">
        <f t="shared" si="15"/>
        <v>1568454.5454545454</v>
      </c>
    </row>
    <row r="124" spans="1:16" ht="12.75">
      <c r="A124" s="199" t="s">
        <v>3451</v>
      </c>
      <c r="B124" s="200" t="s">
        <v>3598</v>
      </c>
      <c r="C124" s="200" t="str">
        <f>VLOOKUP(B124,Fincas!$A$2:$C$1005,2,0)</f>
        <v>F_El Prado</v>
      </c>
      <c r="D124" s="201">
        <v>44635</v>
      </c>
      <c r="E124" s="267" t="str">
        <f t="shared" si="12"/>
        <v>marzo</v>
      </c>
      <c r="F124" s="202">
        <v>44635</v>
      </c>
      <c r="G124" s="203">
        <v>44642</v>
      </c>
      <c r="H124" s="200">
        <v>63362</v>
      </c>
      <c r="I124" s="224">
        <v>7008146</v>
      </c>
      <c r="J124" s="234" t="str">
        <f t="shared" si="13"/>
        <v>Res macho ceba</v>
      </c>
      <c r="K124" s="200">
        <v>5702</v>
      </c>
      <c r="L124" s="550">
        <v>8700</v>
      </c>
      <c r="M124" s="205">
        <f t="shared" si="23"/>
        <v>49607400</v>
      </c>
      <c r="N124" s="214">
        <v>18</v>
      </c>
      <c r="O124" s="554">
        <f t="shared" si="14"/>
        <v>316.77777777777777</v>
      </c>
      <c r="P124" s="548">
        <f t="shared" si="15"/>
        <v>2755966.6666666665</v>
      </c>
    </row>
    <row r="125" spans="1:16" ht="12.75">
      <c r="A125" s="199" t="s">
        <v>3451</v>
      </c>
      <c r="B125" s="200" t="s">
        <v>3598</v>
      </c>
      <c r="C125" s="200" t="str">
        <f>VLOOKUP(B125,Fincas!$A$2:$C$1005,2,0)</f>
        <v>F_El Prado</v>
      </c>
      <c r="D125" s="201">
        <v>44635</v>
      </c>
      <c r="E125" s="267" t="str">
        <f t="shared" si="12"/>
        <v>marzo</v>
      </c>
      <c r="F125" s="202">
        <v>44635</v>
      </c>
      <c r="G125" s="203">
        <v>44642</v>
      </c>
      <c r="H125" s="200">
        <v>63363</v>
      </c>
      <c r="I125" s="224">
        <v>7008146</v>
      </c>
      <c r="J125" s="234" t="str">
        <f t="shared" si="13"/>
        <v>Res macho ceba</v>
      </c>
      <c r="K125" s="200">
        <v>5784</v>
      </c>
      <c r="L125" s="550">
        <v>8650</v>
      </c>
      <c r="M125" s="205">
        <f t="shared" si="23"/>
        <v>50031600</v>
      </c>
      <c r="N125" s="214">
        <v>18</v>
      </c>
      <c r="O125" s="554">
        <f t="shared" si="14"/>
        <v>321.33333333333331</v>
      </c>
      <c r="P125" s="548">
        <f t="shared" si="15"/>
        <v>2779533.3333333335</v>
      </c>
    </row>
    <row r="126" spans="1:16" ht="12.75">
      <c r="A126" s="199" t="s">
        <v>3451</v>
      </c>
      <c r="B126" s="200" t="s">
        <v>3598</v>
      </c>
      <c r="C126" s="200" t="str">
        <f>VLOOKUP(B126,Fincas!$A$2:$C$1005,2,0)</f>
        <v>F_El Prado</v>
      </c>
      <c r="D126" s="201">
        <v>44635</v>
      </c>
      <c r="E126" s="267" t="str">
        <f t="shared" si="12"/>
        <v>marzo</v>
      </c>
      <c r="F126" s="202">
        <v>44635</v>
      </c>
      <c r="G126" s="203">
        <v>44642</v>
      </c>
      <c r="H126" s="200">
        <v>63368</v>
      </c>
      <c r="I126" s="224">
        <v>7008146</v>
      </c>
      <c r="J126" s="234" t="str">
        <f t="shared" si="13"/>
        <v>Res macho ceba</v>
      </c>
      <c r="K126" s="200">
        <v>4340</v>
      </c>
      <c r="L126" s="550">
        <v>8600</v>
      </c>
      <c r="M126" s="205">
        <f t="shared" si="23"/>
        <v>37324000</v>
      </c>
      <c r="N126" s="214">
        <v>20</v>
      </c>
      <c r="O126" s="554">
        <f t="shared" si="14"/>
        <v>217</v>
      </c>
      <c r="P126" s="548">
        <f t="shared" si="15"/>
        <v>1866200</v>
      </c>
    </row>
    <row r="127" spans="1:16" ht="12.75">
      <c r="A127" s="199" t="s">
        <v>3451</v>
      </c>
      <c r="B127" s="200" t="s">
        <v>3598</v>
      </c>
      <c r="C127" s="200" t="str">
        <f>VLOOKUP(B127,Fincas!$A$2:$C$1005,2,0)</f>
        <v>F_El Prado</v>
      </c>
      <c r="D127" s="201">
        <v>44635</v>
      </c>
      <c r="E127" s="267" t="str">
        <f t="shared" si="12"/>
        <v>marzo</v>
      </c>
      <c r="F127" s="202">
        <v>44635</v>
      </c>
      <c r="G127" s="203">
        <v>44642</v>
      </c>
      <c r="H127" s="200">
        <v>63369</v>
      </c>
      <c r="I127" s="224">
        <v>7008146</v>
      </c>
      <c r="J127" s="234" t="str">
        <f t="shared" si="13"/>
        <v>Res macho ceba</v>
      </c>
      <c r="K127" s="200">
        <v>3816</v>
      </c>
      <c r="L127" s="550">
        <v>8800</v>
      </c>
      <c r="M127" s="205">
        <f t="shared" si="23"/>
        <v>33580800</v>
      </c>
      <c r="N127" s="214">
        <v>15</v>
      </c>
      <c r="O127" s="554">
        <f t="shared" si="14"/>
        <v>254.4</v>
      </c>
      <c r="P127" s="548">
        <f t="shared" si="15"/>
        <v>2238720</v>
      </c>
    </row>
    <row r="128" spans="1:16" ht="12.75">
      <c r="A128" s="199" t="s">
        <v>3451</v>
      </c>
      <c r="B128" s="200" t="s">
        <v>3598</v>
      </c>
      <c r="C128" s="200" t="str">
        <f>VLOOKUP(B128,Fincas!$A$2:$C$1005,2,0)</f>
        <v>F_El Prado</v>
      </c>
      <c r="D128" s="201">
        <v>44635</v>
      </c>
      <c r="E128" s="267" t="str">
        <f t="shared" si="12"/>
        <v>marzo</v>
      </c>
      <c r="F128" s="202">
        <v>44635</v>
      </c>
      <c r="G128" s="203">
        <v>44642</v>
      </c>
      <c r="H128" s="200">
        <v>63370</v>
      </c>
      <c r="I128" s="224">
        <v>7008146</v>
      </c>
      <c r="J128" s="234" t="str">
        <f t="shared" si="13"/>
        <v>Res macho ceba</v>
      </c>
      <c r="K128" s="200">
        <v>4642</v>
      </c>
      <c r="L128" s="550">
        <v>8550</v>
      </c>
      <c r="M128" s="205">
        <f t="shared" si="23"/>
        <v>39689100</v>
      </c>
      <c r="N128" s="214">
        <v>16</v>
      </c>
      <c r="O128" s="554">
        <f t="shared" si="14"/>
        <v>290.125</v>
      </c>
      <c r="P128" s="548">
        <f t="shared" si="15"/>
        <v>2480568.75</v>
      </c>
    </row>
    <row r="129" spans="1:16" ht="12.75">
      <c r="A129" s="199" t="s">
        <v>3451</v>
      </c>
      <c r="B129" s="200" t="s">
        <v>3598</v>
      </c>
      <c r="C129" s="200" t="str">
        <f>VLOOKUP(B129,Fincas!$A$2:$C$1005,2,0)</f>
        <v>F_El Prado</v>
      </c>
      <c r="D129" s="201">
        <v>44635</v>
      </c>
      <c r="E129" s="267" t="str">
        <f t="shared" si="12"/>
        <v>marzo</v>
      </c>
      <c r="F129" s="202">
        <v>44635</v>
      </c>
      <c r="G129" s="203">
        <v>44642</v>
      </c>
      <c r="H129" s="200">
        <v>63372</v>
      </c>
      <c r="I129" s="224">
        <v>7008146</v>
      </c>
      <c r="J129" s="234" t="str">
        <f t="shared" si="13"/>
        <v>Res macho ceba</v>
      </c>
      <c r="K129" s="200">
        <v>5640</v>
      </c>
      <c r="L129" s="550">
        <v>8750</v>
      </c>
      <c r="M129" s="205">
        <f t="shared" si="23"/>
        <v>49350000</v>
      </c>
      <c r="N129" s="214">
        <v>18</v>
      </c>
      <c r="O129" s="554">
        <f t="shared" si="14"/>
        <v>313.33333333333331</v>
      </c>
      <c r="P129" s="548">
        <f t="shared" si="15"/>
        <v>2741666.6666666665</v>
      </c>
    </row>
    <row r="130" spans="1:16" ht="12.75">
      <c r="A130" s="199" t="s">
        <v>3451</v>
      </c>
      <c r="B130" s="200" t="s">
        <v>3598</v>
      </c>
      <c r="C130" s="200" t="str">
        <f>VLOOKUP(B130,Fincas!$A$2:$C$1005,2,0)</f>
        <v>F_El Prado</v>
      </c>
      <c r="D130" s="201">
        <v>44635</v>
      </c>
      <c r="E130" s="267" t="str">
        <f t="shared" si="12"/>
        <v>marzo</v>
      </c>
      <c r="F130" s="202">
        <v>44635</v>
      </c>
      <c r="G130" s="203">
        <v>44642</v>
      </c>
      <c r="H130" s="200">
        <v>63375</v>
      </c>
      <c r="I130" s="224">
        <v>7008146</v>
      </c>
      <c r="J130" s="234" t="str">
        <f t="shared" si="13"/>
        <v>Res macho ceba</v>
      </c>
      <c r="K130" s="200">
        <v>5220</v>
      </c>
      <c r="L130" s="550">
        <v>8500</v>
      </c>
      <c r="M130" s="205">
        <f t="shared" si="23"/>
        <v>44370000</v>
      </c>
      <c r="N130" s="214">
        <v>20</v>
      </c>
      <c r="O130" s="554">
        <f t="shared" si="14"/>
        <v>261</v>
      </c>
      <c r="P130" s="548">
        <f t="shared" si="15"/>
        <v>2218500</v>
      </c>
    </row>
    <row r="131" spans="1:16" ht="12.75">
      <c r="A131" s="199" t="s">
        <v>3451</v>
      </c>
      <c r="B131" s="200" t="s">
        <v>3598</v>
      </c>
      <c r="C131" s="200" t="str">
        <f>VLOOKUP(B131,Fincas!$A$2:$C$1005,2,0)</f>
        <v>F_El Prado</v>
      </c>
      <c r="D131" s="201">
        <v>44635</v>
      </c>
      <c r="E131" s="267" t="str">
        <f t="shared" ref="E131:E194" si="24">+TEXT(D131,"mmmm")</f>
        <v>marzo</v>
      </c>
      <c r="F131" s="202">
        <v>44635</v>
      </c>
      <c r="G131" s="203">
        <v>44642</v>
      </c>
      <c r="H131" s="200">
        <v>63377</v>
      </c>
      <c r="I131" s="224">
        <v>7008146</v>
      </c>
      <c r="J131" s="234" t="str">
        <f t="shared" ref="J131:J194" si="25">+VLOOKUP(I131,$F$962:$G$970,2,0)</f>
        <v>Res macho ceba</v>
      </c>
      <c r="K131" s="200">
        <v>5324</v>
      </c>
      <c r="L131" s="550">
        <v>8900</v>
      </c>
      <c r="M131" s="205">
        <f t="shared" si="23"/>
        <v>47383600</v>
      </c>
      <c r="N131" s="214">
        <v>20</v>
      </c>
      <c r="O131" s="554">
        <f t="shared" ref="O131:O194" si="26">+K131/N131</f>
        <v>266.2</v>
      </c>
      <c r="P131" s="548">
        <f t="shared" ref="P131:P194" si="27">+M131/N131</f>
        <v>2369180</v>
      </c>
    </row>
    <row r="132" spans="1:16" ht="12.75">
      <c r="A132" s="199" t="s">
        <v>3451</v>
      </c>
      <c r="B132" s="200" t="s">
        <v>3598</v>
      </c>
      <c r="C132" s="200" t="str">
        <f>VLOOKUP(B132,Fincas!$A$2:$C$1005,2,0)</f>
        <v>F_El Prado</v>
      </c>
      <c r="D132" s="201">
        <v>44635</v>
      </c>
      <c r="E132" s="267" t="str">
        <f t="shared" si="24"/>
        <v>marzo</v>
      </c>
      <c r="F132" s="202">
        <v>44635</v>
      </c>
      <c r="G132" s="203">
        <v>44642</v>
      </c>
      <c r="H132" s="200">
        <v>63378</v>
      </c>
      <c r="I132" s="224">
        <v>7008146</v>
      </c>
      <c r="J132" s="234" t="str">
        <f t="shared" si="25"/>
        <v>Res macho ceba</v>
      </c>
      <c r="K132" s="200">
        <v>5906</v>
      </c>
      <c r="L132" s="550">
        <v>8650</v>
      </c>
      <c r="M132" s="205">
        <f t="shared" si="23"/>
        <v>51086900</v>
      </c>
      <c r="N132" s="214">
        <v>20</v>
      </c>
      <c r="O132" s="554">
        <f t="shared" si="26"/>
        <v>295.3</v>
      </c>
      <c r="P132" s="548">
        <f t="shared" si="27"/>
        <v>2554345</v>
      </c>
    </row>
    <row r="133" spans="1:16" ht="12.75">
      <c r="A133" s="199" t="s">
        <v>3451</v>
      </c>
      <c r="B133" s="200" t="s">
        <v>3598</v>
      </c>
      <c r="C133" s="200" t="str">
        <f>VLOOKUP(B133,Fincas!$A$2:$C$1005,2,0)</f>
        <v>F_El Prado</v>
      </c>
      <c r="D133" s="201">
        <v>44635</v>
      </c>
      <c r="E133" s="267" t="str">
        <f t="shared" si="24"/>
        <v>marzo</v>
      </c>
      <c r="F133" s="202">
        <v>44635</v>
      </c>
      <c r="G133" s="203">
        <v>44642</v>
      </c>
      <c r="H133" s="200">
        <v>63379</v>
      </c>
      <c r="I133" s="224">
        <v>7008146</v>
      </c>
      <c r="J133" s="234" t="str">
        <f t="shared" si="25"/>
        <v>Res macho ceba</v>
      </c>
      <c r="K133" s="200">
        <v>5252</v>
      </c>
      <c r="L133" s="550">
        <v>8300</v>
      </c>
      <c r="M133" s="205">
        <f t="shared" si="23"/>
        <v>43591600</v>
      </c>
      <c r="N133" s="214">
        <v>20</v>
      </c>
      <c r="O133" s="554">
        <f t="shared" si="26"/>
        <v>262.60000000000002</v>
      </c>
      <c r="P133" s="548">
        <f t="shared" si="27"/>
        <v>2179580</v>
      </c>
    </row>
    <row r="134" spans="1:16" ht="12.75">
      <c r="A134" s="199" t="s">
        <v>3451</v>
      </c>
      <c r="B134" s="200" t="s">
        <v>3598</v>
      </c>
      <c r="C134" s="200" t="str">
        <f>VLOOKUP(B134,Fincas!$A$2:$C$1005,2,0)</f>
        <v>F_El Prado</v>
      </c>
      <c r="D134" s="201">
        <v>44635</v>
      </c>
      <c r="E134" s="267" t="str">
        <f t="shared" si="24"/>
        <v>marzo</v>
      </c>
      <c r="F134" s="202">
        <v>44635</v>
      </c>
      <c r="G134" s="203">
        <v>44642</v>
      </c>
      <c r="H134" s="200">
        <v>63381</v>
      </c>
      <c r="I134" s="224">
        <v>7008146</v>
      </c>
      <c r="J134" s="234" t="str">
        <f t="shared" si="25"/>
        <v>Res macho ceba</v>
      </c>
      <c r="K134" s="200">
        <v>5762</v>
      </c>
      <c r="L134" s="550">
        <v>7900</v>
      </c>
      <c r="M134" s="205">
        <f t="shared" si="23"/>
        <v>45519800</v>
      </c>
      <c r="N134" s="214">
        <v>20</v>
      </c>
      <c r="O134" s="554">
        <f t="shared" si="26"/>
        <v>288.10000000000002</v>
      </c>
      <c r="P134" s="548">
        <f t="shared" si="27"/>
        <v>2275990</v>
      </c>
    </row>
    <row r="135" spans="1:16" ht="12.75">
      <c r="A135" s="199" t="s">
        <v>3451</v>
      </c>
      <c r="B135" s="200" t="s">
        <v>3598</v>
      </c>
      <c r="C135" s="200" t="str">
        <f>VLOOKUP(B135,Fincas!$A$2:$C$1005,2,0)</f>
        <v>F_El Prado</v>
      </c>
      <c r="D135" s="201">
        <v>44635</v>
      </c>
      <c r="E135" s="267" t="str">
        <f t="shared" si="24"/>
        <v>marzo</v>
      </c>
      <c r="F135" s="202">
        <v>44635</v>
      </c>
      <c r="G135" s="203">
        <v>44642</v>
      </c>
      <c r="H135" s="200">
        <v>63384</v>
      </c>
      <c r="I135" s="224">
        <v>7008146</v>
      </c>
      <c r="J135" s="234" t="str">
        <f t="shared" si="25"/>
        <v>Res macho ceba</v>
      </c>
      <c r="K135" s="200">
        <v>4854</v>
      </c>
      <c r="L135" s="550">
        <v>8800</v>
      </c>
      <c r="M135" s="205">
        <f t="shared" si="23"/>
        <v>42715200</v>
      </c>
      <c r="N135" s="214">
        <v>21</v>
      </c>
      <c r="O135" s="554">
        <f t="shared" si="26"/>
        <v>231.14285714285714</v>
      </c>
      <c r="P135" s="548">
        <f t="shared" si="27"/>
        <v>2034057.142857143</v>
      </c>
    </row>
    <row r="136" spans="1:16" ht="12.75">
      <c r="A136" s="199" t="s">
        <v>3451</v>
      </c>
      <c r="B136" s="200" t="s">
        <v>3598</v>
      </c>
      <c r="C136" s="200" t="str">
        <f>VLOOKUP(B136,Fincas!$A$2:$C$1005,2,0)</f>
        <v>F_El Prado</v>
      </c>
      <c r="D136" s="201">
        <v>44635</v>
      </c>
      <c r="E136" s="267" t="str">
        <f t="shared" si="24"/>
        <v>marzo</v>
      </c>
      <c r="F136" s="202">
        <v>44635</v>
      </c>
      <c r="G136" s="203">
        <v>44642</v>
      </c>
      <c r="H136" s="200">
        <v>63388</v>
      </c>
      <c r="I136" s="224">
        <v>7008146</v>
      </c>
      <c r="J136" s="234" t="str">
        <f t="shared" si="25"/>
        <v>Res macho ceba</v>
      </c>
      <c r="K136" s="200">
        <v>342</v>
      </c>
      <c r="L136" s="550">
        <v>6500</v>
      </c>
      <c r="M136" s="205">
        <f t="shared" si="23"/>
        <v>2223000</v>
      </c>
      <c r="N136" s="214">
        <v>1</v>
      </c>
      <c r="O136" s="554">
        <f t="shared" si="26"/>
        <v>342</v>
      </c>
      <c r="P136" s="548">
        <f t="shared" si="27"/>
        <v>2223000</v>
      </c>
    </row>
    <row r="137" spans="1:16" ht="12.75">
      <c r="A137" s="199" t="s">
        <v>3473</v>
      </c>
      <c r="B137" s="200" t="s">
        <v>3474</v>
      </c>
      <c r="C137" s="200" t="str">
        <f>VLOOKUP(B137,Fincas!$A$2:$C$1005,2,0)</f>
        <v>F_Santa Elena</v>
      </c>
      <c r="D137" s="201">
        <v>44638</v>
      </c>
      <c r="E137" s="267" t="str">
        <f t="shared" si="24"/>
        <v>marzo</v>
      </c>
      <c r="F137" s="202">
        <v>44638</v>
      </c>
      <c r="G137" s="203">
        <v>44642</v>
      </c>
      <c r="H137" s="200" t="s">
        <v>3599</v>
      </c>
      <c r="I137" s="212">
        <v>7008147</v>
      </c>
      <c r="J137" s="212" t="str">
        <f t="shared" si="25"/>
        <v>Res macho levante</v>
      </c>
      <c r="K137" s="200">
        <v>20859</v>
      </c>
      <c r="L137" s="550">
        <v>8600</v>
      </c>
      <c r="M137" s="205">
        <f t="shared" si="23"/>
        <v>179387400</v>
      </c>
      <c r="N137" s="214">
        <v>140</v>
      </c>
      <c r="O137" s="554">
        <f t="shared" si="26"/>
        <v>148.99285714285713</v>
      </c>
      <c r="P137" s="548">
        <f t="shared" si="27"/>
        <v>1281338.5714285714</v>
      </c>
    </row>
    <row r="138" spans="1:16" ht="12.75">
      <c r="A138" s="199" t="s">
        <v>3451</v>
      </c>
      <c r="B138" s="200" t="s">
        <v>3600</v>
      </c>
      <c r="C138" s="200" t="str">
        <f>VLOOKUP(B138,Fincas!$A$2:$C$1005,2,0)</f>
        <v>F_La Leticia</v>
      </c>
      <c r="D138" s="201">
        <v>44635</v>
      </c>
      <c r="E138" s="267" t="str">
        <f t="shared" si="24"/>
        <v>marzo</v>
      </c>
      <c r="F138" s="202">
        <v>44635</v>
      </c>
      <c r="G138" s="203">
        <v>44642</v>
      </c>
      <c r="H138" s="200">
        <v>63396</v>
      </c>
      <c r="I138" s="224">
        <v>7008146</v>
      </c>
      <c r="J138" s="234" t="str">
        <f t="shared" si="25"/>
        <v>Res macho ceba</v>
      </c>
      <c r="K138" s="200">
        <v>12053</v>
      </c>
      <c r="L138" s="550">
        <f t="shared" ref="L138:L139" si="28">M138/K138</f>
        <v>8364</v>
      </c>
      <c r="M138" s="213">
        <v>100811292</v>
      </c>
      <c r="N138" s="214">
        <v>36</v>
      </c>
      <c r="O138" s="554">
        <f t="shared" si="26"/>
        <v>334.80555555555554</v>
      </c>
      <c r="P138" s="548">
        <f t="shared" si="27"/>
        <v>2800313.6666666665</v>
      </c>
    </row>
    <row r="139" spans="1:16" ht="12.75">
      <c r="A139" s="199" t="s">
        <v>3451</v>
      </c>
      <c r="B139" s="200" t="s">
        <v>3600</v>
      </c>
      <c r="C139" s="200" t="str">
        <f>VLOOKUP(B139,Fincas!$A$2:$C$1005,2,0)</f>
        <v>F_La Leticia</v>
      </c>
      <c r="D139" s="201">
        <v>44635</v>
      </c>
      <c r="E139" s="267" t="str">
        <f t="shared" si="24"/>
        <v>marzo</v>
      </c>
      <c r="F139" s="202">
        <v>44635</v>
      </c>
      <c r="G139" s="203">
        <v>44642</v>
      </c>
      <c r="H139" s="200">
        <v>63397</v>
      </c>
      <c r="I139" s="224">
        <v>7008146</v>
      </c>
      <c r="J139" s="234" t="str">
        <f t="shared" si="25"/>
        <v>Res macho ceba</v>
      </c>
      <c r="K139" s="200">
        <v>12020</v>
      </c>
      <c r="L139" s="550">
        <f t="shared" si="28"/>
        <v>8000.0054908485854</v>
      </c>
      <c r="M139" s="213">
        <v>96160066</v>
      </c>
      <c r="N139" s="214">
        <v>35</v>
      </c>
      <c r="O139" s="554">
        <f t="shared" si="26"/>
        <v>343.42857142857144</v>
      </c>
      <c r="P139" s="548">
        <f t="shared" si="27"/>
        <v>2747430.4571428574</v>
      </c>
    </row>
    <row r="140" spans="1:16" ht="12.75">
      <c r="A140" s="199" t="s">
        <v>3426</v>
      </c>
      <c r="B140" s="200" t="s">
        <v>3431</v>
      </c>
      <c r="C140" s="200" t="str">
        <f>VLOOKUP(B140,Fincas!$A$2:$C$1005,2,0)</f>
        <v>F_Totumito</v>
      </c>
      <c r="D140" s="201">
        <v>44638</v>
      </c>
      <c r="E140" s="267" t="str">
        <f t="shared" si="24"/>
        <v>marzo</v>
      </c>
      <c r="F140" s="202">
        <v>44638</v>
      </c>
      <c r="G140" s="203">
        <v>44642</v>
      </c>
      <c r="H140" s="200" t="s">
        <v>3601</v>
      </c>
      <c r="I140" s="212">
        <v>7008147</v>
      </c>
      <c r="J140" s="212" t="str">
        <f t="shared" si="25"/>
        <v>Res macho levante</v>
      </c>
      <c r="K140" s="200">
        <v>11071</v>
      </c>
      <c r="L140" s="550">
        <v>8553</v>
      </c>
      <c r="M140" s="205">
        <f t="shared" ref="M140:M141" si="29">L140*K140</f>
        <v>94690263</v>
      </c>
      <c r="N140" s="214">
        <v>44</v>
      </c>
      <c r="O140" s="554">
        <f t="shared" si="26"/>
        <v>251.61363636363637</v>
      </c>
      <c r="P140" s="548">
        <f t="shared" si="27"/>
        <v>2152051.4318181816</v>
      </c>
    </row>
    <row r="141" spans="1:16" ht="12.75">
      <c r="A141" s="199" t="s">
        <v>3602</v>
      </c>
      <c r="B141" s="200" t="s">
        <v>3603</v>
      </c>
      <c r="C141" s="200" t="str">
        <f>VLOOKUP(B141,Fincas!$A$2:$C$1005,2,0)</f>
        <v>F_Cocodrilla</v>
      </c>
      <c r="D141" s="201">
        <v>44643</v>
      </c>
      <c r="E141" s="267" t="str">
        <f t="shared" si="24"/>
        <v>marzo</v>
      </c>
      <c r="F141" s="202">
        <v>44643</v>
      </c>
      <c r="G141" s="203">
        <v>44643</v>
      </c>
      <c r="H141" s="216" t="s">
        <v>3604</v>
      </c>
      <c r="I141" s="224">
        <v>7008146</v>
      </c>
      <c r="J141" s="234" t="str">
        <f t="shared" si="25"/>
        <v>Res macho ceba</v>
      </c>
      <c r="K141" s="200">
        <v>37020</v>
      </c>
      <c r="L141" s="550">
        <v>7600</v>
      </c>
      <c r="M141" s="205">
        <f t="shared" si="29"/>
        <v>281352000</v>
      </c>
      <c r="N141" s="214">
        <v>100</v>
      </c>
      <c r="O141" s="554">
        <f t="shared" si="26"/>
        <v>370.2</v>
      </c>
      <c r="P141" s="548">
        <f t="shared" si="27"/>
        <v>2813520</v>
      </c>
    </row>
    <row r="142" spans="1:16" ht="12.75">
      <c r="A142" s="199" t="s">
        <v>1419</v>
      </c>
      <c r="B142" s="200" t="s">
        <v>3583</v>
      </c>
      <c r="C142" s="200" t="str">
        <f>VLOOKUP(B142,Fincas!$A$2:$C$1005,2,0)</f>
        <v>F_Santa Mónica</v>
      </c>
      <c r="D142" s="201">
        <v>44630</v>
      </c>
      <c r="E142" s="267" t="str">
        <f t="shared" si="24"/>
        <v>marzo</v>
      </c>
      <c r="F142" s="202">
        <v>44631</v>
      </c>
      <c r="G142" s="203">
        <v>44643</v>
      </c>
      <c r="H142" s="200" t="s">
        <v>3605</v>
      </c>
      <c r="I142" s="224">
        <v>7008146</v>
      </c>
      <c r="J142" s="234" t="str">
        <f t="shared" si="25"/>
        <v>Res macho ceba</v>
      </c>
      <c r="K142" s="200">
        <v>6502</v>
      </c>
      <c r="L142" s="550">
        <f t="shared" ref="L142:L148" si="30">M142/K142</f>
        <v>7252.9529375576749</v>
      </c>
      <c r="M142" s="213">
        <v>47158700</v>
      </c>
      <c r="N142" s="214">
        <v>16</v>
      </c>
      <c r="O142" s="554">
        <f t="shared" si="26"/>
        <v>406.375</v>
      </c>
      <c r="P142" s="548">
        <f t="shared" si="27"/>
        <v>2947418.75</v>
      </c>
    </row>
    <row r="143" spans="1:16" ht="12.75">
      <c r="A143" s="199" t="s">
        <v>1419</v>
      </c>
      <c r="B143" s="200" t="s">
        <v>3583</v>
      </c>
      <c r="C143" s="200" t="str">
        <f>VLOOKUP(B143,Fincas!$A$2:$C$1005,2,0)</f>
        <v>F_Santa Mónica</v>
      </c>
      <c r="D143" s="201">
        <v>44630</v>
      </c>
      <c r="E143" s="267" t="str">
        <f t="shared" si="24"/>
        <v>marzo</v>
      </c>
      <c r="F143" s="202">
        <v>44631</v>
      </c>
      <c r="G143" s="203">
        <v>44643</v>
      </c>
      <c r="H143" s="200" t="s">
        <v>3606</v>
      </c>
      <c r="I143" s="224">
        <v>7008146</v>
      </c>
      <c r="J143" s="234" t="str">
        <f t="shared" si="25"/>
        <v>Res macho ceba</v>
      </c>
      <c r="K143" s="200">
        <v>6244</v>
      </c>
      <c r="L143" s="550">
        <f t="shared" si="30"/>
        <v>7453.6515054452275</v>
      </c>
      <c r="M143" s="213">
        <v>46540600</v>
      </c>
      <c r="N143" s="214">
        <v>19</v>
      </c>
      <c r="O143" s="554">
        <f t="shared" si="26"/>
        <v>328.63157894736844</v>
      </c>
      <c r="P143" s="548">
        <f t="shared" si="27"/>
        <v>2449505.2631578948</v>
      </c>
    </row>
    <row r="144" spans="1:16" ht="12.75">
      <c r="A144" s="199" t="s">
        <v>1419</v>
      </c>
      <c r="B144" s="200" t="s">
        <v>3583</v>
      </c>
      <c r="C144" s="200" t="str">
        <f>VLOOKUP(B144,Fincas!$A$2:$C$1005,2,0)</f>
        <v>F_Santa Mónica</v>
      </c>
      <c r="D144" s="201">
        <v>44630</v>
      </c>
      <c r="E144" s="267" t="str">
        <f t="shared" si="24"/>
        <v>marzo</v>
      </c>
      <c r="F144" s="202">
        <v>44631</v>
      </c>
      <c r="G144" s="203">
        <v>44643</v>
      </c>
      <c r="H144" s="200" t="s">
        <v>3607</v>
      </c>
      <c r="I144" s="224">
        <v>7008146</v>
      </c>
      <c r="J144" s="234" t="str">
        <f t="shared" si="25"/>
        <v>Res macho ceba</v>
      </c>
      <c r="K144" s="200">
        <v>5516</v>
      </c>
      <c r="L144" s="550">
        <f t="shared" si="30"/>
        <v>7504.3509789702684</v>
      </c>
      <c r="M144" s="213">
        <v>41394000</v>
      </c>
      <c r="N144" s="214">
        <v>20</v>
      </c>
      <c r="O144" s="554">
        <f t="shared" si="26"/>
        <v>275.8</v>
      </c>
      <c r="P144" s="548">
        <f t="shared" si="27"/>
        <v>2069700</v>
      </c>
    </row>
    <row r="145" spans="1:16" ht="12.75">
      <c r="A145" s="199" t="s">
        <v>1419</v>
      </c>
      <c r="B145" s="200" t="s">
        <v>3583</v>
      </c>
      <c r="C145" s="200" t="str">
        <f>VLOOKUP(B145,Fincas!$A$2:$C$1005,2,0)</f>
        <v>F_Santa Mónica</v>
      </c>
      <c r="D145" s="201">
        <v>44630</v>
      </c>
      <c r="E145" s="267" t="str">
        <f t="shared" si="24"/>
        <v>marzo</v>
      </c>
      <c r="F145" s="202">
        <v>44631</v>
      </c>
      <c r="G145" s="203">
        <v>44643</v>
      </c>
      <c r="H145" s="200" t="s">
        <v>3608</v>
      </c>
      <c r="I145" s="224">
        <v>7008146</v>
      </c>
      <c r="J145" s="234" t="str">
        <f t="shared" si="25"/>
        <v>Res macho ceba</v>
      </c>
      <c r="K145" s="200">
        <v>4950</v>
      </c>
      <c r="L145" s="550">
        <f t="shared" si="30"/>
        <v>7153.393939393939</v>
      </c>
      <c r="M145" s="213">
        <v>35409300</v>
      </c>
      <c r="N145" s="214">
        <v>14</v>
      </c>
      <c r="O145" s="554">
        <f t="shared" si="26"/>
        <v>353.57142857142856</v>
      </c>
      <c r="P145" s="548">
        <f t="shared" si="27"/>
        <v>2529235.7142857141</v>
      </c>
    </row>
    <row r="146" spans="1:16" ht="12.75">
      <c r="A146" s="199" t="s">
        <v>1419</v>
      </c>
      <c r="B146" s="200" t="s">
        <v>3583</v>
      </c>
      <c r="C146" s="200" t="str">
        <f>VLOOKUP(B146,Fincas!$A$2:$C$1005,2,0)</f>
        <v>F_Santa Mónica</v>
      </c>
      <c r="D146" s="201">
        <v>44630</v>
      </c>
      <c r="E146" s="267" t="str">
        <f t="shared" si="24"/>
        <v>marzo</v>
      </c>
      <c r="F146" s="202">
        <v>44631</v>
      </c>
      <c r="G146" s="203">
        <v>44643</v>
      </c>
      <c r="H146" s="200" t="s">
        <v>3609</v>
      </c>
      <c r="I146" s="224">
        <v>7008146</v>
      </c>
      <c r="J146" s="234" t="str">
        <f t="shared" si="25"/>
        <v>Res macho ceba</v>
      </c>
      <c r="K146" s="200">
        <v>5770</v>
      </c>
      <c r="L146" s="550">
        <f t="shared" si="30"/>
        <v>7504.1594454072792</v>
      </c>
      <c r="M146" s="213">
        <v>43299000</v>
      </c>
      <c r="N146" s="214">
        <v>20</v>
      </c>
      <c r="O146" s="554">
        <f t="shared" si="26"/>
        <v>288.5</v>
      </c>
      <c r="P146" s="548">
        <f t="shared" si="27"/>
        <v>2164950</v>
      </c>
    </row>
    <row r="147" spans="1:16" ht="12.75">
      <c r="A147" s="199" t="s">
        <v>1419</v>
      </c>
      <c r="B147" s="200" t="s">
        <v>3583</v>
      </c>
      <c r="C147" s="200" t="str">
        <f>VLOOKUP(B147,Fincas!$A$2:$C$1005,2,0)</f>
        <v>F_Santa Mónica</v>
      </c>
      <c r="D147" s="201">
        <v>44630</v>
      </c>
      <c r="E147" s="267" t="str">
        <f t="shared" si="24"/>
        <v>marzo</v>
      </c>
      <c r="F147" s="202">
        <v>44631</v>
      </c>
      <c r="G147" s="203">
        <v>44643</v>
      </c>
      <c r="H147" s="200" t="s">
        <v>3610</v>
      </c>
      <c r="I147" s="224">
        <v>7008146</v>
      </c>
      <c r="J147" s="234" t="str">
        <f t="shared" si="25"/>
        <v>Res macho ceba</v>
      </c>
      <c r="K147" s="200">
        <v>5916</v>
      </c>
      <c r="L147" s="550">
        <f t="shared" si="30"/>
        <v>7454.0567951318462</v>
      </c>
      <c r="M147" s="213">
        <v>44098200</v>
      </c>
      <c r="N147" s="214">
        <v>20</v>
      </c>
      <c r="O147" s="554">
        <f t="shared" si="26"/>
        <v>295.8</v>
      </c>
      <c r="P147" s="548">
        <f t="shared" si="27"/>
        <v>2204910</v>
      </c>
    </row>
    <row r="148" spans="1:16" ht="12.75">
      <c r="A148" s="199" t="s">
        <v>1419</v>
      </c>
      <c r="B148" s="200" t="s">
        <v>3583</v>
      </c>
      <c r="C148" s="200" t="str">
        <f>VLOOKUP(B148,Fincas!$A$2:$C$1005,2,0)</f>
        <v>F_Santa Mónica</v>
      </c>
      <c r="D148" s="201">
        <v>44630</v>
      </c>
      <c r="E148" s="267" t="str">
        <f t="shared" si="24"/>
        <v>marzo</v>
      </c>
      <c r="F148" s="202">
        <v>44631</v>
      </c>
      <c r="G148" s="203">
        <v>44643</v>
      </c>
      <c r="H148" s="200" t="s">
        <v>3611</v>
      </c>
      <c r="I148" s="224">
        <v>7008146</v>
      </c>
      <c r="J148" s="234" t="str">
        <f t="shared" si="25"/>
        <v>Res macho ceba</v>
      </c>
      <c r="K148" s="200">
        <v>2140</v>
      </c>
      <c r="L148" s="550">
        <f t="shared" si="30"/>
        <v>7355.0467289719627</v>
      </c>
      <c r="M148" s="213">
        <v>15739800</v>
      </c>
      <c r="N148" s="214">
        <v>9</v>
      </c>
      <c r="O148" s="554">
        <f t="shared" si="26"/>
        <v>237.77777777777777</v>
      </c>
      <c r="P148" s="548">
        <f t="shared" si="27"/>
        <v>1748866.6666666667</v>
      </c>
    </row>
    <row r="149" spans="1:16" ht="12.75">
      <c r="A149" s="199" t="s">
        <v>3451</v>
      </c>
      <c r="B149" s="200" t="s">
        <v>3557</v>
      </c>
      <c r="C149" s="200" t="str">
        <f>VLOOKUP(B149,Fincas!$A$2:$C$1005,2,0)</f>
        <v>F_San Clemente</v>
      </c>
      <c r="D149" s="201">
        <v>44638</v>
      </c>
      <c r="E149" s="267" t="str">
        <f t="shared" si="24"/>
        <v>marzo</v>
      </c>
      <c r="F149" s="202">
        <v>44638</v>
      </c>
      <c r="G149" s="203">
        <v>44644</v>
      </c>
      <c r="H149" s="200">
        <v>63401</v>
      </c>
      <c r="I149" s="224">
        <v>7008146</v>
      </c>
      <c r="J149" s="234" t="str">
        <f t="shared" si="25"/>
        <v>Res macho ceba</v>
      </c>
      <c r="K149" s="200">
        <v>6224</v>
      </c>
      <c r="L149" s="550">
        <v>8250</v>
      </c>
      <c r="M149" s="205">
        <f>L149*K149</f>
        <v>51348000</v>
      </c>
      <c r="N149" s="214">
        <v>22</v>
      </c>
      <c r="O149" s="554">
        <f t="shared" si="26"/>
        <v>282.90909090909093</v>
      </c>
      <c r="P149" s="548">
        <f t="shared" si="27"/>
        <v>2334000</v>
      </c>
    </row>
    <row r="150" spans="1:16" ht="12.75">
      <c r="A150" s="199" t="s">
        <v>3528</v>
      </c>
      <c r="B150" s="200" t="s">
        <v>3431</v>
      </c>
      <c r="C150" s="200" t="str">
        <f>VLOOKUP(B150,Fincas!$A$2:$C$1005,2,0)</f>
        <v>F_Totumito</v>
      </c>
      <c r="D150" s="201">
        <v>44645</v>
      </c>
      <c r="E150" s="267" t="str">
        <f t="shared" si="24"/>
        <v>marzo</v>
      </c>
      <c r="F150" s="202">
        <v>44644</v>
      </c>
      <c r="G150" s="203">
        <v>44645</v>
      </c>
      <c r="H150" s="200" t="s">
        <v>3612</v>
      </c>
      <c r="I150" s="212">
        <v>7008147</v>
      </c>
      <c r="J150" s="212" t="str">
        <f t="shared" si="25"/>
        <v>Res macho levante</v>
      </c>
      <c r="K150" s="200">
        <v>16730</v>
      </c>
      <c r="L150" s="550">
        <v>8793</v>
      </c>
      <c r="M150" s="213">
        <v>147114418</v>
      </c>
      <c r="N150" s="206">
        <v>64</v>
      </c>
      <c r="O150" s="554">
        <f t="shared" si="26"/>
        <v>261.40625</v>
      </c>
      <c r="P150" s="548">
        <f t="shared" si="27"/>
        <v>2298662.78125</v>
      </c>
    </row>
    <row r="151" spans="1:16" ht="12.75">
      <c r="A151" s="199" t="s">
        <v>3426</v>
      </c>
      <c r="B151" s="200" t="s">
        <v>3557</v>
      </c>
      <c r="C151" s="200" t="str">
        <f>VLOOKUP(B151,Fincas!$A$2:$C$1005,2,0)</f>
        <v>F_San Clemente</v>
      </c>
      <c r="D151" s="201">
        <v>44644</v>
      </c>
      <c r="E151" s="267" t="str">
        <f t="shared" si="24"/>
        <v>marzo</v>
      </c>
      <c r="F151" s="202">
        <v>44643</v>
      </c>
      <c r="G151" s="203">
        <v>44645</v>
      </c>
      <c r="H151" s="200" t="s">
        <v>3613</v>
      </c>
      <c r="I151" s="217">
        <v>7008151</v>
      </c>
      <c r="J151" s="217" t="str">
        <f t="shared" si="25"/>
        <v>Res novilla ceba</v>
      </c>
      <c r="K151" s="200">
        <v>21475</v>
      </c>
      <c r="L151" s="550">
        <v>7662</v>
      </c>
      <c r="M151" s="205">
        <f t="shared" ref="M151:M161" si="31">L151*K151</f>
        <v>164541450</v>
      </c>
      <c r="N151" s="214">
        <v>82</v>
      </c>
      <c r="O151" s="554">
        <f t="shared" si="26"/>
        <v>261.89024390243901</v>
      </c>
      <c r="P151" s="548">
        <f t="shared" si="27"/>
        <v>2006603.0487804879</v>
      </c>
    </row>
    <row r="152" spans="1:16" ht="12.75">
      <c r="A152" s="199" t="s">
        <v>3511</v>
      </c>
      <c r="B152" s="200" t="s">
        <v>3442</v>
      </c>
      <c r="C152" s="200" t="str">
        <f>VLOOKUP(B152,Fincas!$A$2:$C$1005,2,0)</f>
        <v>F_El Diamante</v>
      </c>
      <c r="D152" s="201">
        <v>44637</v>
      </c>
      <c r="E152" s="267" t="str">
        <f t="shared" si="24"/>
        <v>marzo</v>
      </c>
      <c r="F152" s="202">
        <v>44638</v>
      </c>
      <c r="G152" s="203">
        <v>44648</v>
      </c>
      <c r="H152" s="200" t="s">
        <v>3614</v>
      </c>
      <c r="I152" s="212">
        <v>7008147</v>
      </c>
      <c r="J152" s="212" t="str">
        <f t="shared" si="25"/>
        <v>Res macho levante</v>
      </c>
      <c r="K152" s="200">
        <v>1314</v>
      </c>
      <c r="L152" s="550">
        <v>8100</v>
      </c>
      <c r="M152" s="205">
        <f t="shared" si="31"/>
        <v>10643400</v>
      </c>
      <c r="N152" s="214">
        <v>6</v>
      </c>
      <c r="O152" s="554">
        <f t="shared" si="26"/>
        <v>219</v>
      </c>
      <c r="P152" s="548">
        <f t="shared" si="27"/>
        <v>1773900</v>
      </c>
    </row>
    <row r="153" spans="1:16" ht="12.75">
      <c r="A153" s="199" t="s">
        <v>3511</v>
      </c>
      <c r="B153" s="200" t="s">
        <v>3442</v>
      </c>
      <c r="C153" s="200" t="str">
        <f>VLOOKUP(B153,Fincas!$A$2:$C$1005,2,0)</f>
        <v>F_El Diamante</v>
      </c>
      <c r="D153" s="201">
        <v>44637</v>
      </c>
      <c r="E153" s="267" t="str">
        <f t="shared" si="24"/>
        <v>marzo</v>
      </c>
      <c r="F153" s="202">
        <v>44638</v>
      </c>
      <c r="G153" s="203">
        <v>44648</v>
      </c>
      <c r="H153" s="200" t="s">
        <v>3615</v>
      </c>
      <c r="I153" s="212">
        <v>7008147</v>
      </c>
      <c r="J153" s="212" t="str">
        <f t="shared" si="25"/>
        <v>Res macho levante</v>
      </c>
      <c r="K153" s="200">
        <v>4541</v>
      </c>
      <c r="L153" s="550">
        <v>8100</v>
      </c>
      <c r="M153" s="205">
        <f t="shared" si="31"/>
        <v>36782100</v>
      </c>
      <c r="N153" s="214">
        <v>17</v>
      </c>
      <c r="O153" s="554">
        <f t="shared" si="26"/>
        <v>267.11764705882354</v>
      </c>
      <c r="P153" s="548">
        <f t="shared" si="27"/>
        <v>2163652.9411764704</v>
      </c>
    </row>
    <row r="154" spans="1:16" ht="12.75">
      <c r="A154" s="199" t="s">
        <v>404</v>
      </c>
      <c r="B154" s="200" t="s">
        <v>3534</v>
      </c>
      <c r="C154" s="200" t="str">
        <f>VLOOKUP(B154,Fincas!$A$2:$C$1005,2,0)</f>
        <v>F_El Loro</v>
      </c>
      <c r="D154" s="201">
        <v>44643</v>
      </c>
      <c r="E154" s="267" t="str">
        <f t="shared" si="24"/>
        <v>marzo</v>
      </c>
      <c r="F154" s="202">
        <v>44643</v>
      </c>
      <c r="G154" s="203">
        <v>44649</v>
      </c>
      <c r="H154" s="200" t="s">
        <v>3616</v>
      </c>
      <c r="I154" s="224">
        <v>7008146</v>
      </c>
      <c r="J154" s="234" t="str">
        <f t="shared" si="25"/>
        <v>Res macho ceba</v>
      </c>
      <c r="K154" s="200">
        <v>14497</v>
      </c>
      <c r="L154" s="550">
        <v>7350</v>
      </c>
      <c r="M154" s="205">
        <f t="shared" si="31"/>
        <v>106552950</v>
      </c>
      <c r="N154" s="214">
        <v>45</v>
      </c>
      <c r="O154" s="554">
        <f t="shared" si="26"/>
        <v>322.15555555555557</v>
      </c>
      <c r="P154" s="548">
        <f t="shared" si="27"/>
        <v>2367843.3333333335</v>
      </c>
    </row>
    <row r="155" spans="1:16" ht="12.75">
      <c r="A155" s="199" t="s">
        <v>3451</v>
      </c>
      <c r="B155" s="200" t="s">
        <v>3427</v>
      </c>
      <c r="C155" s="200" t="str">
        <f>VLOOKUP(B155,Fincas!$A$2:$C$1005,2,0)</f>
        <v>A_Jordan</v>
      </c>
      <c r="D155" s="201">
        <v>44643</v>
      </c>
      <c r="E155" s="267" t="str">
        <f t="shared" si="24"/>
        <v>marzo</v>
      </c>
      <c r="F155" s="202">
        <v>44643</v>
      </c>
      <c r="G155" s="203">
        <v>44649</v>
      </c>
      <c r="H155" s="200">
        <v>63431</v>
      </c>
      <c r="I155" s="212">
        <v>7008147</v>
      </c>
      <c r="J155" s="212" t="str">
        <f t="shared" si="25"/>
        <v>Res macho levante</v>
      </c>
      <c r="K155" s="200">
        <v>5632</v>
      </c>
      <c r="L155" s="550">
        <v>8550</v>
      </c>
      <c r="M155" s="205">
        <f t="shared" si="31"/>
        <v>48153600</v>
      </c>
      <c r="N155" s="214">
        <v>19</v>
      </c>
      <c r="O155" s="554">
        <f t="shared" si="26"/>
        <v>296.42105263157896</v>
      </c>
      <c r="P155" s="548">
        <f t="shared" si="27"/>
        <v>2534400</v>
      </c>
    </row>
    <row r="156" spans="1:16" ht="12.75">
      <c r="A156" s="199" t="s">
        <v>3451</v>
      </c>
      <c r="B156" s="200" t="s">
        <v>3427</v>
      </c>
      <c r="C156" s="200" t="str">
        <f>VLOOKUP(B156,Fincas!$A$2:$C$1005,2,0)</f>
        <v>A_Jordan</v>
      </c>
      <c r="D156" s="201">
        <v>44643</v>
      </c>
      <c r="E156" s="267" t="str">
        <f t="shared" si="24"/>
        <v>marzo</v>
      </c>
      <c r="F156" s="202">
        <v>44643</v>
      </c>
      <c r="G156" s="203">
        <v>44649</v>
      </c>
      <c r="H156" s="200">
        <v>63432</v>
      </c>
      <c r="I156" s="212">
        <v>7008147</v>
      </c>
      <c r="J156" s="212" t="str">
        <f t="shared" si="25"/>
        <v>Res macho levante</v>
      </c>
      <c r="K156" s="200">
        <v>5596</v>
      </c>
      <c r="L156" s="550">
        <v>8750</v>
      </c>
      <c r="M156" s="205">
        <f t="shared" si="31"/>
        <v>48965000</v>
      </c>
      <c r="N156" s="214">
        <v>18</v>
      </c>
      <c r="O156" s="554">
        <f t="shared" si="26"/>
        <v>310.88888888888891</v>
      </c>
      <c r="P156" s="548">
        <f t="shared" si="27"/>
        <v>2720277.777777778</v>
      </c>
    </row>
    <row r="157" spans="1:16" ht="12.75">
      <c r="A157" s="199" t="s">
        <v>3451</v>
      </c>
      <c r="B157" s="200" t="s">
        <v>3427</v>
      </c>
      <c r="C157" s="200" t="str">
        <f>VLOOKUP(B157,Fincas!$A$2:$C$1005,2,0)</f>
        <v>A_Jordan</v>
      </c>
      <c r="D157" s="201">
        <v>44643</v>
      </c>
      <c r="E157" s="267" t="str">
        <f t="shared" si="24"/>
        <v>marzo</v>
      </c>
      <c r="F157" s="202">
        <v>44643</v>
      </c>
      <c r="G157" s="203">
        <v>44649</v>
      </c>
      <c r="H157" s="200">
        <v>63456</v>
      </c>
      <c r="I157" s="212">
        <v>7008147</v>
      </c>
      <c r="J157" s="212" t="str">
        <f t="shared" si="25"/>
        <v>Res macho levante</v>
      </c>
      <c r="K157" s="200">
        <v>5512</v>
      </c>
      <c r="L157" s="550">
        <v>8150</v>
      </c>
      <c r="M157" s="205">
        <f t="shared" si="31"/>
        <v>44922800</v>
      </c>
      <c r="N157" s="214">
        <v>16</v>
      </c>
      <c r="O157" s="554">
        <f t="shared" si="26"/>
        <v>344.5</v>
      </c>
      <c r="P157" s="548">
        <f t="shared" si="27"/>
        <v>2807675</v>
      </c>
    </row>
    <row r="158" spans="1:16" ht="12.75">
      <c r="A158" s="199" t="s">
        <v>3451</v>
      </c>
      <c r="B158" s="200" t="s">
        <v>3557</v>
      </c>
      <c r="C158" s="200" t="str">
        <f>VLOOKUP(B158,Fincas!$A$2:$C$1005,2,0)</f>
        <v>F_San Clemente</v>
      </c>
      <c r="D158" s="201">
        <v>44645</v>
      </c>
      <c r="E158" s="267" t="str">
        <f t="shared" si="24"/>
        <v>marzo</v>
      </c>
      <c r="F158" s="202">
        <v>44645</v>
      </c>
      <c r="G158" s="203">
        <v>44649</v>
      </c>
      <c r="H158" s="200">
        <v>63499</v>
      </c>
      <c r="I158" s="217">
        <v>7008151</v>
      </c>
      <c r="J158" s="217" t="str">
        <f t="shared" si="25"/>
        <v>Res novilla ceba</v>
      </c>
      <c r="K158" s="200">
        <v>10515</v>
      </c>
      <c r="L158" s="550">
        <v>6900</v>
      </c>
      <c r="M158" s="205">
        <f t="shared" si="31"/>
        <v>72553500</v>
      </c>
      <c r="N158" s="214">
        <v>35</v>
      </c>
      <c r="O158" s="554">
        <f t="shared" si="26"/>
        <v>300.42857142857144</v>
      </c>
      <c r="P158" s="548">
        <f t="shared" si="27"/>
        <v>2072957.142857143</v>
      </c>
    </row>
    <row r="159" spans="1:16" ht="12.75">
      <c r="A159" s="199" t="s">
        <v>3451</v>
      </c>
      <c r="B159" s="200" t="s">
        <v>3617</v>
      </c>
      <c r="C159" s="200" t="str">
        <f>VLOOKUP(B159,Fincas!$A$2:$C$1005,2,0)</f>
        <v>F_Guadalupe</v>
      </c>
      <c r="D159" s="201">
        <v>44645</v>
      </c>
      <c r="E159" s="267" t="str">
        <f t="shared" si="24"/>
        <v>marzo</v>
      </c>
      <c r="F159" s="202">
        <v>44646</v>
      </c>
      <c r="G159" s="203">
        <v>44649</v>
      </c>
      <c r="H159" s="200">
        <v>63500</v>
      </c>
      <c r="I159" s="224">
        <v>7008146</v>
      </c>
      <c r="J159" s="234" t="str">
        <f t="shared" si="25"/>
        <v>Res macho ceba</v>
      </c>
      <c r="K159" s="200">
        <v>12914</v>
      </c>
      <c r="L159" s="550">
        <v>8630</v>
      </c>
      <c r="M159" s="205">
        <f t="shared" si="31"/>
        <v>111447820</v>
      </c>
      <c r="N159" s="214">
        <v>40</v>
      </c>
      <c r="O159" s="554">
        <f t="shared" si="26"/>
        <v>322.85000000000002</v>
      </c>
      <c r="P159" s="548">
        <f t="shared" si="27"/>
        <v>2786195.5</v>
      </c>
    </row>
    <row r="160" spans="1:16" ht="12.75">
      <c r="A160" s="199" t="s">
        <v>3426</v>
      </c>
      <c r="B160" s="200" t="s">
        <v>3498</v>
      </c>
      <c r="C160" s="200" t="str">
        <f>VLOOKUP(B160,Fincas!$A$2:$C$1005,2,0)</f>
        <v>F_Jordan</v>
      </c>
      <c r="D160" s="201">
        <v>44646</v>
      </c>
      <c r="E160" s="267" t="str">
        <f t="shared" si="24"/>
        <v>marzo</v>
      </c>
      <c r="F160" s="202">
        <v>44646</v>
      </c>
      <c r="G160" s="203">
        <v>44649</v>
      </c>
      <c r="H160" s="200" t="s">
        <v>3618</v>
      </c>
      <c r="I160" s="224">
        <v>7008146</v>
      </c>
      <c r="J160" s="234" t="str">
        <f t="shared" si="25"/>
        <v>Res macho ceba</v>
      </c>
      <c r="K160" s="200">
        <v>18623</v>
      </c>
      <c r="L160" s="550">
        <v>7200</v>
      </c>
      <c r="M160" s="205">
        <f t="shared" si="31"/>
        <v>134085600</v>
      </c>
      <c r="N160" s="214">
        <v>45</v>
      </c>
      <c r="O160" s="554">
        <f t="shared" si="26"/>
        <v>413.84444444444443</v>
      </c>
      <c r="P160" s="548">
        <f t="shared" si="27"/>
        <v>2979680</v>
      </c>
    </row>
    <row r="161" spans="1:16" ht="12.75">
      <c r="A161" s="199" t="s">
        <v>3426</v>
      </c>
      <c r="B161" s="200" t="s">
        <v>3557</v>
      </c>
      <c r="C161" s="200" t="str">
        <f>VLOOKUP(B161,Fincas!$A$2:$C$1005,2,0)</f>
        <v>F_San Clemente</v>
      </c>
      <c r="D161" s="201">
        <v>44648</v>
      </c>
      <c r="E161" s="267" t="str">
        <f t="shared" si="24"/>
        <v>marzo</v>
      </c>
      <c r="F161" s="202">
        <v>44648</v>
      </c>
      <c r="G161" s="203">
        <v>44649</v>
      </c>
      <c r="H161" s="200" t="s">
        <v>3619</v>
      </c>
      <c r="I161" s="217">
        <v>7008151</v>
      </c>
      <c r="J161" s="217" t="str">
        <f t="shared" si="25"/>
        <v>Res novilla ceba</v>
      </c>
      <c r="K161" s="200">
        <v>6287</v>
      </c>
      <c r="L161" s="550">
        <v>7500</v>
      </c>
      <c r="M161" s="205">
        <f t="shared" si="31"/>
        <v>47152500</v>
      </c>
      <c r="N161" s="206">
        <v>20</v>
      </c>
      <c r="O161" s="554">
        <f t="shared" si="26"/>
        <v>314.35000000000002</v>
      </c>
      <c r="P161" s="548">
        <f t="shared" si="27"/>
        <v>2357625</v>
      </c>
    </row>
    <row r="162" spans="1:16" ht="12.75">
      <c r="A162" s="199" t="s">
        <v>3454</v>
      </c>
      <c r="B162" s="200" t="s">
        <v>3427</v>
      </c>
      <c r="C162" s="200" t="str">
        <f>VLOOKUP(B162,Fincas!$A$2:$C$1005,2,0)</f>
        <v>A_Jordan</v>
      </c>
      <c r="D162" s="201">
        <v>44650</v>
      </c>
      <c r="E162" s="267" t="str">
        <f t="shared" si="24"/>
        <v>marzo</v>
      </c>
      <c r="F162" s="202">
        <v>44650</v>
      </c>
      <c r="G162" s="203">
        <v>44651</v>
      </c>
      <c r="H162" s="200">
        <v>7663</v>
      </c>
      <c r="I162" s="224">
        <v>7008146</v>
      </c>
      <c r="J162" s="234" t="str">
        <f t="shared" si="25"/>
        <v>Res macho ceba</v>
      </c>
      <c r="K162" s="200">
        <v>5957</v>
      </c>
      <c r="L162" s="550">
        <f t="shared" ref="L162:L163" si="32">M162/K162</f>
        <v>8441.1599798556326</v>
      </c>
      <c r="M162" s="213">
        <v>50283990</v>
      </c>
      <c r="N162" s="214">
        <v>14</v>
      </c>
      <c r="O162" s="554">
        <f t="shared" si="26"/>
        <v>425.5</v>
      </c>
      <c r="P162" s="548">
        <f t="shared" si="27"/>
        <v>3591713.5714285714</v>
      </c>
    </row>
    <row r="163" spans="1:16" ht="12.75">
      <c r="A163" s="199" t="s">
        <v>3454</v>
      </c>
      <c r="B163" s="200" t="s">
        <v>3427</v>
      </c>
      <c r="C163" s="200" t="str">
        <f>VLOOKUP(B163,Fincas!$A$2:$C$1005,2,0)</f>
        <v>A_Jordan</v>
      </c>
      <c r="D163" s="201">
        <v>44650</v>
      </c>
      <c r="E163" s="267" t="str">
        <f t="shared" si="24"/>
        <v>marzo</v>
      </c>
      <c r="F163" s="202">
        <v>44650</v>
      </c>
      <c r="G163" s="203">
        <v>44651</v>
      </c>
      <c r="H163" s="200">
        <v>7664</v>
      </c>
      <c r="I163" s="224">
        <v>7008146</v>
      </c>
      <c r="J163" s="234" t="str">
        <f t="shared" si="25"/>
        <v>Res macho ceba</v>
      </c>
      <c r="K163" s="200">
        <v>11507</v>
      </c>
      <c r="L163" s="550">
        <f t="shared" si="32"/>
        <v>8742.6299643695147</v>
      </c>
      <c r="M163" s="213">
        <v>100601443</v>
      </c>
      <c r="N163" s="214">
        <v>33</v>
      </c>
      <c r="O163" s="554">
        <f t="shared" si="26"/>
        <v>348.69696969696969</v>
      </c>
      <c r="P163" s="548">
        <f t="shared" si="27"/>
        <v>3048528.5757575757</v>
      </c>
    </row>
    <row r="164" spans="1:16" ht="12.75">
      <c r="A164" s="199" t="s">
        <v>3459</v>
      </c>
      <c r="B164" s="200" t="s">
        <v>3460</v>
      </c>
      <c r="C164" s="200" t="str">
        <f>VLOOKUP(B164,Fincas!$A$2:$C$1005,2,0)</f>
        <v>F_Holanda</v>
      </c>
      <c r="D164" s="201">
        <v>44652</v>
      </c>
      <c r="E164" s="267" t="str">
        <f t="shared" si="24"/>
        <v>abril</v>
      </c>
      <c r="F164" s="202">
        <v>44652</v>
      </c>
      <c r="G164" s="203">
        <v>44655</v>
      </c>
      <c r="H164" s="228" t="s">
        <v>3620</v>
      </c>
      <c r="I164" s="224">
        <v>7008146</v>
      </c>
      <c r="J164" s="234" t="str">
        <f t="shared" si="25"/>
        <v>Res macho ceba</v>
      </c>
      <c r="K164" s="200">
        <v>11341</v>
      </c>
      <c r="L164" s="550">
        <v>8200</v>
      </c>
      <c r="M164" s="229">
        <v>92996184</v>
      </c>
      <c r="N164" s="214">
        <v>38</v>
      </c>
      <c r="O164" s="554">
        <f t="shared" si="26"/>
        <v>298.44736842105266</v>
      </c>
      <c r="P164" s="548">
        <f t="shared" si="27"/>
        <v>2447268</v>
      </c>
    </row>
    <row r="165" spans="1:16" ht="12.75">
      <c r="A165" s="199" t="s">
        <v>3459</v>
      </c>
      <c r="B165" s="200" t="s">
        <v>3460</v>
      </c>
      <c r="C165" s="200" t="str">
        <f>VLOOKUP(B165,Fincas!$A$2:$C$1005,2,0)</f>
        <v>F_Holanda</v>
      </c>
      <c r="D165" s="201">
        <v>44653</v>
      </c>
      <c r="E165" s="267" t="str">
        <f t="shared" si="24"/>
        <v>abril</v>
      </c>
      <c r="F165" s="202">
        <v>44653</v>
      </c>
      <c r="G165" s="203">
        <v>44656</v>
      </c>
      <c r="H165" s="200" t="s">
        <v>3621</v>
      </c>
      <c r="I165" s="212">
        <v>7008147</v>
      </c>
      <c r="J165" s="212" t="str">
        <f t="shared" si="25"/>
        <v>Res macho levante</v>
      </c>
      <c r="K165" s="200">
        <v>4100</v>
      </c>
      <c r="L165" s="550">
        <v>8300</v>
      </c>
      <c r="M165" s="205">
        <f t="shared" ref="M165:M169" si="33">L165*K165</f>
        <v>34030000</v>
      </c>
      <c r="N165" s="214">
        <v>15</v>
      </c>
      <c r="O165" s="554">
        <f t="shared" si="26"/>
        <v>273.33333333333331</v>
      </c>
      <c r="P165" s="548">
        <f t="shared" si="27"/>
        <v>2268666.6666666665</v>
      </c>
    </row>
    <row r="166" spans="1:16" ht="12.75">
      <c r="A166" s="199" t="s">
        <v>3622</v>
      </c>
      <c r="B166" s="200" t="s">
        <v>3623</v>
      </c>
      <c r="C166" s="200" t="str">
        <f>VLOOKUP(B166,Fincas!$A$2:$C$1005,2,0)</f>
        <v>F_Vista Hermosa</v>
      </c>
      <c r="D166" s="201">
        <v>44652</v>
      </c>
      <c r="E166" s="267" t="str">
        <f t="shared" si="24"/>
        <v>abril</v>
      </c>
      <c r="F166" s="202">
        <v>44652</v>
      </c>
      <c r="G166" s="203">
        <v>44656</v>
      </c>
      <c r="H166" s="200" t="s">
        <v>3624</v>
      </c>
      <c r="I166" s="212">
        <v>7008147</v>
      </c>
      <c r="J166" s="212" t="str">
        <f t="shared" si="25"/>
        <v>Res macho levante</v>
      </c>
      <c r="K166" s="200">
        <v>2918</v>
      </c>
      <c r="L166" s="550">
        <v>8800</v>
      </c>
      <c r="M166" s="205">
        <f t="shared" si="33"/>
        <v>25678400</v>
      </c>
      <c r="N166" s="214">
        <v>15</v>
      </c>
      <c r="O166" s="554">
        <f t="shared" si="26"/>
        <v>194.53333333333333</v>
      </c>
      <c r="P166" s="548">
        <f t="shared" si="27"/>
        <v>1711893.3333333333</v>
      </c>
    </row>
    <row r="167" spans="1:16" ht="12.75">
      <c r="A167" s="199" t="s">
        <v>3463</v>
      </c>
      <c r="B167" s="200" t="s">
        <v>3469</v>
      </c>
      <c r="C167" s="200" t="str">
        <f>VLOOKUP(B167,Fincas!$A$2:$C$1005,2,0)</f>
        <v>F_Chumbimbo</v>
      </c>
      <c r="D167" s="201">
        <v>44652</v>
      </c>
      <c r="E167" s="267" t="str">
        <f t="shared" si="24"/>
        <v>abril</v>
      </c>
      <c r="F167" s="202">
        <v>44656</v>
      </c>
      <c r="G167" s="203">
        <v>44657</v>
      </c>
      <c r="H167" s="200" t="s">
        <v>3625</v>
      </c>
      <c r="I167" s="224">
        <v>7008146</v>
      </c>
      <c r="J167" s="234" t="str">
        <f t="shared" si="25"/>
        <v>Res macho ceba</v>
      </c>
      <c r="K167" s="200">
        <v>13262</v>
      </c>
      <c r="L167" s="550">
        <v>8200</v>
      </c>
      <c r="M167" s="205">
        <f t="shared" si="33"/>
        <v>108748400</v>
      </c>
      <c r="N167" s="214">
        <v>38</v>
      </c>
      <c r="O167" s="554">
        <f t="shared" si="26"/>
        <v>349</v>
      </c>
      <c r="P167" s="548">
        <f t="shared" si="27"/>
        <v>2861800</v>
      </c>
    </row>
    <row r="168" spans="1:16" ht="12.75">
      <c r="A168" s="199" t="s">
        <v>3463</v>
      </c>
      <c r="B168" s="200" t="s">
        <v>3469</v>
      </c>
      <c r="C168" s="200" t="str">
        <f>VLOOKUP(B168,Fincas!$A$2:$C$1005,2,0)</f>
        <v>F_Chumbimbo</v>
      </c>
      <c r="D168" s="201">
        <v>44652</v>
      </c>
      <c r="E168" s="267" t="str">
        <f t="shared" si="24"/>
        <v>abril</v>
      </c>
      <c r="F168" s="202">
        <v>44656</v>
      </c>
      <c r="G168" s="203">
        <v>44657</v>
      </c>
      <c r="H168" s="200" t="s">
        <v>3626</v>
      </c>
      <c r="I168" s="217">
        <v>7008151</v>
      </c>
      <c r="J168" s="217" t="str">
        <f t="shared" si="25"/>
        <v>Res novilla ceba</v>
      </c>
      <c r="K168" s="200">
        <v>12005</v>
      </c>
      <c r="L168" s="550">
        <v>7600</v>
      </c>
      <c r="M168" s="205">
        <f t="shared" si="33"/>
        <v>91238000</v>
      </c>
      <c r="N168" s="214">
        <v>49</v>
      </c>
      <c r="O168" s="554">
        <f t="shared" si="26"/>
        <v>245</v>
      </c>
      <c r="P168" s="548">
        <f t="shared" si="27"/>
        <v>1862000</v>
      </c>
    </row>
    <row r="169" spans="1:16" ht="12.75">
      <c r="A169" s="199" t="s">
        <v>3511</v>
      </c>
      <c r="B169" s="200" t="s">
        <v>3442</v>
      </c>
      <c r="C169" s="200" t="str">
        <f>VLOOKUP(B169,Fincas!$A$2:$C$1005,2,0)</f>
        <v>F_El Diamante</v>
      </c>
      <c r="D169" s="201">
        <v>44651</v>
      </c>
      <c r="E169" s="267" t="str">
        <f t="shared" si="24"/>
        <v>marzo</v>
      </c>
      <c r="F169" s="202">
        <v>44652</v>
      </c>
      <c r="G169" s="203">
        <v>44657</v>
      </c>
      <c r="H169" s="200" t="s">
        <v>3627</v>
      </c>
      <c r="I169" s="212">
        <v>7008147</v>
      </c>
      <c r="J169" s="212" t="str">
        <f t="shared" si="25"/>
        <v>Res macho levante</v>
      </c>
      <c r="K169" s="200">
        <v>3953</v>
      </c>
      <c r="L169" s="550">
        <v>8900</v>
      </c>
      <c r="M169" s="205">
        <f t="shared" si="33"/>
        <v>35181700</v>
      </c>
      <c r="N169" s="214">
        <v>17</v>
      </c>
      <c r="O169" s="554">
        <f t="shared" si="26"/>
        <v>232.52941176470588</v>
      </c>
      <c r="P169" s="548">
        <f t="shared" si="27"/>
        <v>2069511.7647058824</v>
      </c>
    </row>
    <row r="170" spans="1:16" ht="12.75">
      <c r="A170" s="199" t="s">
        <v>3511</v>
      </c>
      <c r="B170" s="200" t="s">
        <v>3442</v>
      </c>
      <c r="C170" s="200" t="str">
        <f>VLOOKUP(B170,Fincas!$A$2:$C$1005,2,0)</f>
        <v>F_El Diamante</v>
      </c>
      <c r="D170" s="201">
        <v>44651</v>
      </c>
      <c r="E170" s="267" t="str">
        <f t="shared" si="24"/>
        <v>marzo</v>
      </c>
      <c r="F170" s="202">
        <v>44652</v>
      </c>
      <c r="G170" s="203">
        <v>44657</v>
      </c>
      <c r="H170" s="200" t="s">
        <v>3628</v>
      </c>
      <c r="I170" s="212">
        <v>7008147</v>
      </c>
      <c r="J170" s="212" t="str">
        <f t="shared" si="25"/>
        <v>Res macho levante</v>
      </c>
      <c r="K170" s="200">
        <v>503</v>
      </c>
      <c r="L170" s="550">
        <f>M170/K170</f>
        <v>8051.6898608349902</v>
      </c>
      <c r="M170" s="213">
        <v>4050000</v>
      </c>
      <c r="N170" s="214">
        <v>3</v>
      </c>
      <c r="O170" s="554">
        <f t="shared" si="26"/>
        <v>167.66666666666666</v>
      </c>
      <c r="P170" s="548">
        <f t="shared" si="27"/>
        <v>1350000</v>
      </c>
    </row>
    <row r="171" spans="1:16" ht="12.75">
      <c r="A171" s="199" t="s">
        <v>3577</v>
      </c>
      <c r="B171" s="200" t="s">
        <v>3578</v>
      </c>
      <c r="C171" s="200" t="str">
        <f>VLOOKUP(B171,Fincas!$A$2:$C$1005,2,0)</f>
        <v>F_Triana</v>
      </c>
      <c r="D171" s="201">
        <v>44657</v>
      </c>
      <c r="E171" s="267" t="str">
        <f t="shared" si="24"/>
        <v>abril</v>
      </c>
      <c r="F171" s="202">
        <v>44657</v>
      </c>
      <c r="G171" s="203">
        <v>44658</v>
      </c>
      <c r="H171" s="200" t="s">
        <v>3629</v>
      </c>
      <c r="I171" s="224">
        <v>7008146</v>
      </c>
      <c r="J171" s="234" t="str">
        <f t="shared" si="25"/>
        <v>Res macho ceba</v>
      </c>
      <c r="K171" s="200">
        <v>81944</v>
      </c>
      <c r="L171" s="550">
        <v>8350</v>
      </c>
      <c r="M171" s="205">
        <f t="shared" ref="M171:M179" si="34">L171*K171</f>
        <v>684232400</v>
      </c>
      <c r="N171" s="214">
        <v>207</v>
      </c>
      <c r="O171" s="554">
        <f t="shared" si="26"/>
        <v>395.8647342995169</v>
      </c>
      <c r="P171" s="548">
        <f t="shared" si="27"/>
        <v>3305470.531400966</v>
      </c>
    </row>
    <row r="172" spans="1:16" ht="12.75">
      <c r="A172" s="199" t="s">
        <v>289</v>
      </c>
      <c r="B172" s="200" t="s">
        <v>3630</v>
      </c>
      <c r="C172" s="200" t="str">
        <f>VLOOKUP(B172,Fincas!$A$2:$C$1005,2,0)</f>
        <v>F_Corozal</v>
      </c>
      <c r="D172" s="201">
        <v>44656</v>
      </c>
      <c r="E172" s="267" t="str">
        <f t="shared" si="24"/>
        <v>abril</v>
      </c>
      <c r="F172" s="202">
        <v>44656</v>
      </c>
      <c r="G172" s="203">
        <v>44658</v>
      </c>
      <c r="H172" s="200" t="s">
        <v>3631</v>
      </c>
      <c r="I172" s="224">
        <v>7008146</v>
      </c>
      <c r="J172" s="234" t="str">
        <f t="shared" si="25"/>
        <v>Res macho ceba</v>
      </c>
      <c r="K172" s="200">
        <v>61003</v>
      </c>
      <c r="L172" s="550">
        <v>8500</v>
      </c>
      <c r="M172" s="205">
        <f t="shared" si="34"/>
        <v>518525500</v>
      </c>
      <c r="N172" s="214">
        <v>150</v>
      </c>
      <c r="O172" s="554">
        <f t="shared" si="26"/>
        <v>406.68666666666667</v>
      </c>
      <c r="P172" s="548">
        <f t="shared" si="27"/>
        <v>3456836.6666666665</v>
      </c>
    </row>
    <row r="173" spans="1:16" ht="12.75">
      <c r="A173" s="199" t="s">
        <v>3511</v>
      </c>
      <c r="B173" s="200" t="s">
        <v>3442</v>
      </c>
      <c r="C173" s="200" t="str">
        <f>VLOOKUP(B173,Fincas!$A$2:$C$1005,2,0)</f>
        <v>F_El Diamante</v>
      </c>
      <c r="D173" s="201">
        <v>44656</v>
      </c>
      <c r="E173" s="267" t="str">
        <f t="shared" si="24"/>
        <v>abril</v>
      </c>
      <c r="F173" s="202">
        <v>44658</v>
      </c>
      <c r="G173" s="203">
        <v>44658</v>
      </c>
      <c r="H173" s="200" t="s">
        <v>3632</v>
      </c>
      <c r="I173" s="212">
        <v>7008147</v>
      </c>
      <c r="J173" s="212" t="str">
        <f t="shared" si="25"/>
        <v>Res macho levante</v>
      </c>
      <c r="K173" s="200">
        <v>16286</v>
      </c>
      <c r="L173" s="550">
        <v>9020</v>
      </c>
      <c r="M173" s="205">
        <f t="shared" si="34"/>
        <v>146899720</v>
      </c>
      <c r="N173" s="214">
        <v>74</v>
      </c>
      <c r="O173" s="554">
        <f t="shared" si="26"/>
        <v>220.08108108108109</v>
      </c>
      <c r="P173" s="548">
        <f t="shared" si="27"/>
        <v>1985131.3513513512</v>
      </c>
    </row>
    <row r="174" spans="1:16" ht="12.75">
      <c r="A174" s="199" t="s">
        <v>3454</v>
      </c>
      <c r="B174" s="200" t="s">
        <v>3476</v>
      </c>
      <c r="C174" s="200" t="str">
        <f>VLOOKUP(B174,Fincas!$A$2:$C$1005,2,0)</f>
        <v>F_Guacharacas</v>
      </c>
      <c r="D174" s="201">
        <v>44655</v>
      </c>
      <c r="E174" s="267" t="str">
        <f t="shared" si="24"/>
        <v>abril</v>
      </c>
      <c r="F174" s="202">
        <v>44655</v>
      </c>
      <c r="G174" s="203">
        <v>44659</v>
      </c>
      <c r="H174" s="200">
        <v>7672</v>
      </c>
      <c r="I174" s="224">
        <v>7008146</v>
      </c>
      <c r="J174" s="234" t="str">
        <f t="shared" si="25"/>
        <v>Res macho ceba</v>
      </c>
      <c r="K174" s="200">
        <v>5669</v>
      </c>
      <c r="L174" s="550">
        <v>8441</v>
      </c>
      <c r="M174" s="205">
        <f t="shared" si="34"/>
        <v>47852029</v>
      </c>
      <c r="N174" s="214">
        <v>14</v>
      </c>
      <c r="O174" s="554">
        <f t="shared" si="26"/>
        <v>404.92857142857144</v>
      </c>
      <c r="P174" s="548">
        <f t="shared" si="27"/>
        <v>3418002.0714285714</v>
      </c>
    </row>
    <row r="175" spans="1:16" ht="12.75">
      <c r="A175" s="199" t="s">
        <v>3463</v>
      </c>
      <c r="B175" s="200" t="s">
        <v>3464</v>
      </c>
      <c r="C175" s="200" t="str">
        <f>VLOOKUP(B175,Fincas!$A$2:$C$1005,2,0)</f>
        <v>F_Texas Araujo</v>
      </c>
      <c r="D175" s="201">
        <v>44656</v>
      </c>
      <c r="E175" s="267" t="str">
        <f t="shared" si="24"/>
        <v>abril</v>
      </c>
      <c r="F175" s="202">
        <v>44658</v>
      </c>
      <c r="G175" s="203">
        <v>44659</v>
      </c>
      <c r="H175" s="200" t="s">
        <v>3633</v>
      </c>
      <c r="I175" s="224">
        <v>7008146</v>
      </c>
      <c r="J175" s="234" t="str">
        <f t="shared" si="25"/>
        <v>Res macho ceba</v>
      </c>
      <c r="K175" s="200">
        <v>6540</v>
      </c>
      <c r="L175" s="550">
        <v>8200</v>
      </c>
      <c r="M175" s="205">
        <f t="shared" si="34"/>
        <v>53628000</v>
      </c>
      <c r="N175" s="214">
        <v>20</v>
      </c>
      <c r="O175" s="554">
        <f t="shared" si="26"/>
        <v>327</v>
      </c>
      <c r="P175" s="548">
        <f t="shared" si="27"/>
        <v>2681400</v>
      </c>
    </row>
    <row r="176" spans="1:16" ht="12.75">
      <c r="A176" s="199" t="s">
        <v>3451</v>
      </c>
      <c r="B176" s="200" t="s">
        <v>3557</v>
      </c>
      <c r="C176" s="200" t="str">
        <f>VLOOKUP(B176,Fincas!$A$2:$C$1005,2,0)</f>
        <v>F_San Clemente</v>
      </c>
      <c r="D176" s="201">
        <v>44656</v>
      </c>
      <c r="E176" s="267" t="str">
        <f t="shared" si="24"/>
        <v>abril</v>
      </c>
      <c r="F176" s="202">
        <v>44656</v>
      </c>
      <c r="G176" s="203">
        <v>44662</v>
      </c>
      <c r="H176" s="200">
        <v>63729</v>
      </c>
      <c r="I176" s="217">
        <v>7008151</v>
      </c>
      <c r="J176" s="217" t="str">
        <f t="shared" si="25"/>
        <v>Res novilla ceba</v>
      </c>
      <c r="K176" s="200">
        <v>6170</v>
      </c>
      <c r="L176" s="550">
        <v>7500</v>
      </c>
      <c r="M176" s="205">
        <f t="shared" si="34"/>
        <v>46275000</v>
      </c>
      <c r="N176" s="214">
        <v>22</v>
      </c>
      <c r="O176" s="554">
        <f t="shared" si="26"/>
        <v>280.45454545454544</v>
      </c>
      <c r="P176" s="548">
        <f t="shared" si="27"/>
        <v>2103409.0909090908</v>
      </c>
    </row>
    <row r="177" spans="1:16" ht="12.75">
      <c r="A177" s="199" t="s">
        <v>3451</v>
      </c>
      <c r="B177" s="200" t="s">
        <v>3557</v>
      </c>
      <c r="C177" s="200" t="str">
        <f>VLOOKUP(B177,Fincas!$A$2:$C$1005,2,0)</f>
        <v>F_San Clemente</v>
      </c>
      <c r="D177" s="201">
        <v>44656</v>
      </c>
      <c r="E177" s="267" t="str">
        <f t="shared" si="24"/>
        <v>abril</v>
      </c>
      <c r="F177" s="202">
        <v>44656</v>
      </c>
      <c r="G177" s="203">
        <v>44662</v>
      </c>
      <c r="H177" s="200">
        <v>63730</v>
      </c>
      <c r="I177" s="217">
        <v>7008151</v>
      </c>
      <c r="J177" s="217" t="str">
        <f t="shared" si="25"/>
        <v>Res novilla ceba</v>
      </c>
      <c r="K177" s="200">
        <v>6512</v>
      </c>
      <c r="L177" s="550">
        <v>7300</v>
      </c>
      <c r="M177" s="205">
        <f t="shared" si="34"/>
        <v>47537600</v>
      </c>
      <c r="N177" s="214">
        <v>20</v>
      </c>
      <c r="O177" s="554">
        <f t="shared" si="26"/>
        <v>325.60000000000002</v>
      </c>
      <c r="P177" s="548">
        <f t="shared" si="27"/>
        <v>2376880</v>
      </c>
    </row>
    <row r="178" spans="1:16" ht="12.75">
      <c r="A178" s="199" t="s">
        <v>3426</v>
      </c>
      <c r="B178" s="200" t="s">
        <v>3557</v>
      </c>
      <c r="C178" s="200" t="str">
        <f>VLOOKUP(B178,Fincas!$A$2:$C$1005,2,0)</f>
        <v>F_San Clemente</v>
      </c>
      <c r="D178" s="201">
        <v>44662</v>
      </c>
      <c r="E178" s="267" t="str">
        <f t="shared" si="24"/>
        <v>abril</v>
      </c>
      <c r="F178" s="202">
        <v>44662</v>
      </c>
      <c r="G178" s="203">
        <v>44664</v>
      </c>
      <c r="H178" s="200" t="s">
        <v>3634</v>
      </c>
      <c r="I178" s="217">
        <v>7008151</v>
      </c>
      <c r="J178" s="217" t="str">
        <f t="shared" si="25"/>
        <v>Res novilla ceba</v>
      </c>
      <c r="K178" s="200">
        <v>14021</v>
      </c>
      <c r="L178" s="550">
        <v>7224</v>
      </c>
      <c r="M178" s="205">
        <f t="shared" si="34"/>
        <v>101287704</v>
      </c>
      <c r="N178" s="214">
        <v>60</v>
      </c>
      <c r="O178" s="554">
        <f t="shared" si="26"/>
        <v>233.68333333333334</v>
      </c>
      <c r="P178" s="548">
        <f t="shared" si="27"/>
        <v>1688128.4</v>
      </c>
    </row>
    <row r="179" spans="1:16" ht="12.75">
      <c r="A179" s="199" t="s">
        <v>3463</v>
      </c>
      <c r="B179" s="200" t="s">
        <v>3464</v>
      </c>
      <c r="C179" s="200" t="str">
        <f>VLOOKUP(B179,Fincas!$A$2:$C$1005,2,0)</f>
        <v>F_Texas Araujo</v>
      </c>
      <c r="D179" s="201">
        <v>44656</v>
      </c>
      <c r="E179" s="267" t="str">
        <f t="shared" si="24"/>
        <v>abril</v>
      </c>
      <c r="F179" s="202">
        <v>44656</v>
      </c>
      <c r="G179" s="203">
        <v>44669</v>
      </c>
      <c r="H179" s="200" t="s">
        <v>3635</v>
      </c>
      <c r="I179" s="224">
        <v>7008146</v>
      </c>
      <c r="J179" s="234" t="str">
        <f t="shared" si="25"/>
        <v>Res macho ceba</v>
      </c>
      <c r="K179" s="200">
        <v>14080</v>
      </c>
      <c r="L179" s="550">
        <v>8250</v>
      </c>
      <c r="M179" s="205">
        <f t="shared" si="34"/>
        <v>116160000</v>
      </c>
      <c r="N179" s="214">
        <v>40</v>
      </c>
      <c r="O179" s="554">
        <f t="shared" si="26"/>
        <v>352</v>
      </c>
      <c r="P179" s="548">
        <f t="shared" si="27"/>
        <v>2904000</v>
      </c>
    </row>
    <row r="180" spans="1:16" ht="12.75">
      <c r="A180" s="199" t="s">
        <v>1419</v>
      </c>
      <c r="B180" s="200" t="s">
        <v>3636</v>
      </c>
      <c r="C180" s="200" t="str">
        <f>VLOOKUP(B180,Fincas!$A$2:$C$1005,2,0)</f>
        <v>A_Santa Ines</v>
      </c>
      <c r="D180" s="201">
        <v>44658</v>
      </c>
      <c r="E180" s="267" t="str">
        <f t="shared" si="24"/>
        <v>abril</v>
      </c>
      <c r="F180" s="202">
        <v>44660</v>
      </c>
      <c r="G180" s="203">
        <v>44669</v>
      </c>
      <c r="H180" s="200" t="s">
        <v>3637</v>
      </c>
      <c r="I180" s="224">
        <v>7008146</v>
      </c>
      <c r="J180" s="234" t="str">
        <f t="shared" si="25"/>
        <v>Res macho ceba</v>
      </c>
      <c r="K180" s="200">
        <v>4340</v>
      </c>
      <c r="L180" s="550">
        <f t="shared" ref="L180:L181" si="35">M180/K180</f>
        <v>7852.764976958525</v>
      </c>
      <c r="M180" s="213">
        <v>34081000</v>
      </c>
      <c r="N180" s="214">
        <v>10</v>
      </c>
      <c r="O180" s="554">
        <f t="shared" si="26"/>
        <v>434</v>
      </c>
      <c r="P180" s="548">
        <f t="shared" si="27"/>
        <v>3408100</v>
      </c>
    </row>
    <row r="181" spans="1:16" ht="12.75">
      <c r="A181" s="199" t="s">
        <v>1419</v>
      </c>
      <c r="B181" s="200" t="s">
        <v>3636</v>
      </c>
      <c r="C181" s="200" t="str">
        <f>VLOOKUP(B181,Fincas!$A$2:$C$1005,2,0)</f>
        <v>A_Santa Ines</v>
      </c>
      <c r="D181" s="201">
        <v>44658</v>
      </c>
      <c r="E181" s="267" t="str">
        <f t="shared" si="24"/>
        <v>abril</v>
      </c>
      <c r="F181" s="202">
        <v>44660</v>
      </c>
      <c r="G181" s="203">
        <v>44669</v>
      </c>
      <c r="H181" s="200" t="s">
        <v>3638</v>
      </c>
      <c r="I181" s="224">
        <v>7008146</v>
      </c>
      <c r="J181" s="234" t="str">
        <f t="shared" si="25"/>
        <v>Res macho ceba</v>
      </c>
      <c r="K181" s="200">
        <v>6130</v>
      </c>
      <c r="L181" s="550">
        <f t="shared" si="35"/>
        <v>8052.7406199021207</v>
      </c>
      <c r="M181" s="213">
        <v>49363300</v>
      </c>
      <c r="N181" s="214">
        <v>14</v>
      </c>
      <c r="O181" s="554">
        <f t="shared" si="26"/>
        <v>437.85714285714283</v>
      </c>
      <c r="P181" s="548">
        <f t="shared" si="27"/>
        <v>3525950</v>
      </c>
    </row>
    <row r="182" spans="1:16" ht="12.75">
      <c r="A182" s="199" t="s">
        <v>3573</v>
      </c>
      <c r="B182" s="200" t="s">
        <v>3442</v>
      </c>
      <c r="C182" s="200" t="str">
        <f>VLOOKUP(B182,Fincas!$A$2:$C$1005,2,0)</f>
        <v>F_El Diamante</v>
      </c>
      <c r="D182" s="201">
        <v>44659</v>
      </c>
      <c r="E182" s="267" t="str">
        <f t="shared" si="24"/>
        <v>abril</v>
      </c>
      <c r="F182" s="202">
        <v>44660</v>
      </c>
      <c r="G182" s="203">
        <v>44670</v>
      </c>
      <c r="H182" s="200">
        <v>5992</v>
      </c>
      <c r="I182" s="212">
        <v>7008147</v>
      </c>
      <c r="J182" s="212" t="str">
        <f t="shared" si="25"/>
        <v>Res macho levante</v>
      </c>
      <c r="K182" s="200">
        <v>11184</v>
      </c>
      <c r="L182" s="550">
        <v>8450</v>
      </c>
      <c r="M182" s="205">
        <f>L182*K182</f>
        <v>94504800</v>
      </c>
      <c r="N182" s="214">
        <v>40</v>
      </c>
      <c r="O182" s="554">
        <f t="shared" si="26"/>
        <v>279.60000000000002</v>
      </c>
      <c r="P182" s="548">
        <f t="shared" si="27"/>
        <v>2362620</v>
      </c>
    </row>
    <row r="183" spans="1:16" ht="12.75">
      <c r="A183" s="199" t="s">
        <v>3454</v>
      </c>
      <c r="B183" s="200" t="s">
        <v>3427</v>
      </c>
      <c r="C183" s="200" t="str">
        <f>VLOOKUP(B183,Fincas!$A$2:$C$1005,2,0)</f>
        <v>A_Jordan</v>
      </c>
      <c r="D183" s="201">
        <v>44662</v>
      </c>
      <c r="E183" s="267" t="str">
        <f t="shared" si="24"/>
        <v>abril</v>
      </c>
      <c r="F183" s="202">
        <v>44662</v>
      </c>
      <c r="G183" s="203">
        <v>44670</v>
      </c>
      <c r="H183" s="200">
        <v>7682</v>
      </c>
      <c r="I183" s="224">
        <v>7008146</v>
      </c>
      <c r="J183" s="234" t="str">
        <f t="shared" si="25"/>
        <v>Res macho ceba</v>
      </c>
      <c r="K183" s="200">
        <v>5828</v>
      </c>
      <c r="L183" s="550">
        <f>M183/K183</f>
        <v>8943.6099862731644</v>
      </c>
      <c r="M183" s="213">
        <v>52123359</v>
      </c>
      <c r="N183" s="214">
        <v>19</v>
      </c>
      <c r="O183" s="554">
        <f t="shared" si="26"/>
        <v>306.73684210526318</v>
      </c>
      <c r="P183" s="548">
        <f t="shared" si="27"/>
        <v>2743334.6842105263</v>
      </c>
    </row>
    <row r="184" spans="1:16" ht="12.75">
      <c r="A184" s="199" t="s">
        <v>3451</v>
      </c>
      <c r="B184" s="200" t="s">
        <v>3557</v>
      </c>
      <c r="C184" s="200" t="str">
        <f>VLOOKUP(B184,Fincas!$A$2:$C$1005,2,0)</f>
        <v>F_San Clemente</v>
      </c>
      <c r="D184" s="201">
        <v>44663</v>
      </c>
      <c r="E184" s="267" t="str">
        <f t="shared" si="24"/>
        <v>abril</v>
      </c>
      <c r="F184" s="202">
        <v>44664</v>
      </c>
      <c r="G184" s="203">
        <v>44670</v>
      </c>
      <c r="H184" s="200" t="s">
        <v>3639</v>
      </c>
      <c r="I184" s="217">
        <v>7008151</v>
      </c>
      <c r="J184" s="217" t="str">
        <f t="shared" si="25"/>
        <v>Res novilla ceba</v>
      </c>
      <c r="K184" s="200">
        <v>5484</v>
      </c>
      <c r="L184" s="550">
        <v>7350</v>
      </c>
      <c r="M184" s="205">
        <f t="shared" ref="M184:M186" si="36">L184*K184</f>
        <v>40307400</v>
      </c>
      <c r="N184" s="214">
        <v>20</v>
      </c>
      <c r="O184" s="554">
        <f t="shared" si="26"/>
        <v>274.2</v>
      </c>
      <c r="P184" s="548">
        <f t="shared" si="27"/>
        <v>2015370</v>
      </c>
    </row>
    <row r="185" spans="1:16" ht="12.75">
      <c r="A185" s="199" t="s">
        <v>3548</v>
      </c>
      <c r="B185" s="200" t="s">
        <v>3549</v>
      </c>
      <c r="C185" s="200" t="str">
        <f>VLOOKUP(B185,Fincas!$A$2:$C$1005,2,0)</f>
        <v>F_El Imperio</v>
      </c>
      <c r="D185" s="201">
        <v>44671</v>
      </c>
      <c r="E185" s="267" t="str">
        <f t="shared" si="24"/>
        <v>abril</v>
      </c>
      <c r="F185" s="202">
        <v>44671</v>
      </c>
      <c r="G185" s="203">
        <v>44671</v>
      </c>
      <c r="H185" s="230" t="s">
        <v>3640</v>
      </c>
      <c r="I185" s="224">
        <v>7008146</v>
      </c>
      <c r="J185" s="234" t="str">
        <f t="shared" si="25"/>
        <v>Res macho ceba</v>
      </c>
      <c r="K185" s="200">
        <v>4596</v>
      </c>
      <c r="L185" s="550">
        <v>8000</v>
      </c>
      <c r="M185" s="205">
        <f t="shared" si="36"/>
        <v>36768000</v>
      </c>
      <c r="N185" s="214">
        <v>12</v>
      </c>
      <c r="O185" s="554">
        <f t="shared" si="26"/>
        <v>383</v>
      </c>
      <c r="P185" s="548">
        <f t="shared" si="27"/>
        <v>3064000</v>
      </c>
    </row>
    <row r="186" spans="1:16" ht="12.75">
      <c r="A186" s="199" t="s">
        <v>3580</v>
      </c>
      <c r="B186" s="200" t="s">
        <v>3442</v>
      </c>
      <c r="C186" s="200" t="str">
        <f>VLOOKUP(B186,Fincas!$A$2:$C$1005,2,0)</f>
        <v>F_El Diamante</v>
      </c>
      <c r="D186" s="201">
        <v>44670</v>
      </c>
      <c r="E186" s="267" t="str">
        <f t="shared" si="24"/>
        <v>abril</v>
      </c>
      <c r="F186" s="202">
        <v>44670</v>
      </c>
      <c r="G186" s="203">
        <v>44672</v>
      </c>
      <c r="H186" s="200" t="s">
        <v>3641</v>
      </c>
      <c r="I186" s="227">
        <v>7008459</v>
      </c>
      <c r="J186" s="227" t="str">
        <f t="shared" si="25"/>
        <v>Res macho Cría</v>
      </c>
      <c r="K186" s="200">
        <v>2930</v>
      </c>
      <c r="L186" s="550">
        <v>14440</v>
      </c>
      <c r="M186" s="205">
        <f t="shared" si="36"/>
        <v>42309200</v>
      </c>
      <c r="N186" s="214">
        <v>33</v>
      </c>
      <c r="O186" s="554">
        <f t="shared" si="26"/>
        <v>88.787878787878782</v>
      </c>
      <c r="P186" s="548">
        <f t="shared" si="27"/>
        <v>1282096.9696969697</v>
      </c>
    </row>
    <row r="187" spans="1:16" ht="12.75">
      <c r="A187" s="199" t="s">
        <v>3511</v>
      </c>
      <c r="B187" s="200" t="s">
        <v>3642</v>
      </c>
      <c r="C187" s="200" t="str">
        <f>VLOOKUP(B187,Fincas!$A$2:$C$1005,2,0)</f>
        <v>F_San Rafael</v>
      </c>
      <c r="D187" s="201">
        <v>44670</v>
      </c>
      <c r="E187" s="267" t="str">
        <f t="shared" si="24"/>
        <v>abril</v>
      </c>
      <c r="F187" s="202">
        <v>44671</v>
      </c>
      <c r="G187" s="203">
        <v>44673</v>
      </c>
      <c r="H187" s="200" t="s">
        <v>3643</v>
      </c>
      <c r="I187" s="212">
        <v>7008147</v>
      </c>
      <c r="J187" s="212" t="str">
        <f t="shared" si="25"/>
        <v>Res macho levante</v>
      </c>
      <c r="K187" s="200">
        <v>1449</v>
      </c>
      <c r="L187" s="550">
        <f>M187/K187</f>
        <v>9385.7832988267764</v>
      </c>
      <c r="M187" s="213">
        <v>13600000</v>
      </c>
      <c r="N187" s="214">
        <v>10</v>
      </c>
      <c r="O187" s="554">
        <f t="shared" si="26"/>
        <v>144.9</v>
      </c>
      <c r="P187" s="548">
        <f t="shared" si="27"/>
        <v>1360000</v>
      </c>
    </row>
    <row r="188" spans="1:16" ht="12.75">
      <c r="A188" s="199" t="s">
        <v>3511</v>
      </c>
      <c r="B188" s="200" t="s">
        <v>3642</v>
      </c>
      <c r="C188" s="200" t="str">
        <f>VLOOKUP(B188,Fincas!$A$2:$C$1005,2,0)</f>
        <v>F_San Rafael</v>
      </c>
      <c r="D188" s="201">
        <v>44670</v>
      </c>
      <c r="E188" s="267" t="str">
        <f t="shared" si="24"/>
        <v>abril</v>
      </c>
      <c r="F188" s="202">
        <v>44671</v>
      </c>
      <c r="G188" s="203">
        <v>44673</v>
      </c>
      <c r="H188" s="200" t="s">
        <v>3644</v>
      </c>
      <c r="I188" s="212">
        <v>7008147</v>
      </c>
      <c r="J188" s="212" t="str">
        <f t="shared" si="25"/>
        <v>Res macho levante</v>
      </c>
      <c r="K188" s="200">
        <v>2757</v>
      </c>
      <c r="L188" s="550">
        <v>8650</v>
      </c>
      <c r="M188" s="205">
        <f>L188*K188</f>
        <v>23848050</v>
      </c>
      <c r="N188" s="214">
        <v>9</v>
      </c>
      <c r="O188" s="554">
        <f t="shared" si="26"/>
        <v>306.33333333333331</v>
      </c>
      <c r="P188" s="548">
        <f t="shared" si="27"/>
        <v>2649783.3333333335</v>
      </c>
    </row>
    <row r="189" spans="1:16" ht="12.75">
      <c r="A189" s="199" t="s">
        <v>3511</v>
      </c>
      <c r="B189" s="200" t="s">
        <v>3642</v>
      </c>
      <c r="C189" s="200" t="str">
        <f>VLOOKUP(B189,Fincas!$A$2:$C$1005,2,0)</f>
        <v>F_San Rafael</v>
      </c>
      <c r="D189" s="201">
        <v>44670</v>
      </c>
      <c r="E189" s="267" t="str">
        <f t="shared" si="24"/>
        <v>abril</v>
      </c>
      <c r="F189" s="202">
        <v>44671</v>
      </c>
      <c r="G189" s="203">
        <v>44673</v>
      </c>
      <c r="H189" s="200" t="s">
        <v>3645</v>
      </c>
      <c r="I189" s="212">
        <v>7008147</v>
      </c>
      <c r="J189" s="212" t="str">
        <f t="shared" si="25"/>
        <v>Res macho levante</v>
      </c>
      <c r="K189" s="200">
        <v>4915</v>
      </c>
      <c r="L189" s="550">
        <f t="shared" ref="L189:L190" si="37">M189/K189</f>
        <v>8850.457782299085</v>
      </c>
      <c r="M189" s="213">
        <v>43500000</v>
      </c>
      <c r="N189" s="214">
        <v>29</v>
      </c>
      <c r="O189" s="554">
        <f t="shared" si="26"/>
        <v>169.48275862068965</v>
      </c>
      <c r="P189" s="548">
        <f t="shared" si="27"/>
        <v>1500000</v>
      </c>
    </row>
    <row r="190" spans="1:16" ht="12.75">
      <c r="A190" s="199" t="s">
        <v>3511</v>
      </c>
      <c r="B190" s="200" t="s">
        <v>3642</v>
      </c>
      <c r="C190" s="200" t="str">
        <f>VLOOKUP(B190,Fincas!$A$2:$C$1005,2,0)</f>
        <v>F_San Rafael</v>
      </c>
      <c r="D190" s="201">
        <v>44670</v>
      </c>
      <c r="E190" s="267" t="str">
        <f t="shared" si="24"/>
        <v>abril</v>
      </c>
      <c r="F190" s="202">
        <v>44671</v>
      </c>
      <c r="G190" s="203">
        <v>44673</v>
      </c>
      <c r="H190" s="200" t="s">
        <v>3646</v>
      </c>
      <c r="I190" s="212">
        <v>7008147</v>
      </c>
      <c r="J190" s="212" t="str">
        <f t="shared" si="25"/>
        <v>Res macho levante</v>
      </c>
      <c r="K190" s="200">
        <v>2169</v>
      </c>
      <c r="L190" s="550">
        <f t="shared" si="37"/>
        <v>10189.027201475334</v>
      </c>
      <c r="M190" s="213">
        <v>22100000</v>
      </c>
      <c r="N190" s="214">
        <v>17</v>
      </c>
      <c r="O190" s="554">
        <f t="shared" si="26"/>
        <v>127.58823529411765</v>
      </c>
      <c r="P190" s="548">
        <f t="shared" si="27"/>
        <v>1300000</v>
      </c>
    </row>
    <row r="191" spans="1:16" ht="12.75">
      <c r="A191" s="199" t="s">
        <v>3511</v>
      </c>
      <c r="B191" s="200" t="s">
        <v>3636</v>
      </c>
      <c r="C191" s="200" t="str">
        <f>VLOOKUP(B191,Fincas!$A$2:$C$1005,2,0)</f>
        <v>A_Santa Ines</v>
      </c>
      <c r="D191" s="201">
        <v>44660</v>
      </c>
      <c r="E191" s="267" t="str">
        <f t="shared" si="24"/>
        <v>abril</v>
      </c>
      <c r="F191" s="202">
        <v>44661</v>
      </c>
      <c r="G191" s="203">
        <v>44673</v>
      </c>
      <c r="H191" s="200" t="s">
        <v>3647</v>
      </c>
      <c r="I191" s="224">
        <v>7008146</v>
      </c>
      <c r="J191" s="234" t="str">
        <f t="shared" si="25"/>
        <v>Res macho ceba</v>
      </c>
      <c r="K191" s="200">
        <v>7264</v>
      </c>
      <c r="L191" s="550">
        <v>7950</v>
      </c>
      <c r="M191" s="205">
        <f t="shared" ref="M191:M194" si="38">L191*K191</f>
        <v>57748800</v>
      </c>
      <c r="N191" s="214">
        <v>11</v>
      </c>
      <c r="O191" s="554">
        <f t="shared" si="26"/>
        <v>660.36363636363637</v>
      </c>
      <c r="P191" s="548">
        <f t="shared" si="27"/>
        <v>5249890.9090909092</v>
      </c>
    </row>
    <row r="192" spans="1:16" ht="12.75">
      <c r="A192" s="199" t="s">
        <v>3463</v>
      </c>
      <c r="B192" s="200" t="s">
        <v>3464</v>
      </c>
      <c r="C192" s="200" t="str">
        <f>VLOOKUP(B192,Fincas!$A$2:$C$1005,2,0)</f>
        <v>F_Texas Araujo</v>
      </c>
      <c r="D192" s="201">
        <v>44664</v>
      </c>
      <c r="E192" s="267" t="str">
        <f t="shared" si="24"/>
        <v>abril</v>
      </c>
      <c r="F192" s="202">
        <v>44672</v>
      </c>
      <c r="G192" s="203">
        <v>44676</v>
      </c>
      <c r="H192" s="200" t="s">
        <v>3579</v>
      </c>
      <c r="I192" s="224">
        <v>7008146</v>
      </c>
      <c r="J192" s="234" t="str">
        <f t="shared" si="25"/>
        <v>Res macho ceba</v>
      </c>
      <c r="K192" s="200">
        <v>6642</v>
      </c>
      <c r="L192" s="550">
        <v>8400</v>
      </c>
      <c r="M192" s="205">
        <f t="shared" si="38"/>
        <v>55792800</v>
      </c>
      <c r="N192" s="214">
        <v>18</v>
      </c>
      <c r="O192" s="554">
        <f t="shared" si="26"/>
        <v>369</v>
      </c>
      <c r="P192" s="548">
        <f t="shared" si="27"/>
        <v>3099600</v>
      </c>
    </row>
    <row r="193" spans="1:16" ht="12.75">
      <c r="A193" s="199" t="s">
        <v>3463</v>
      </c>
      <c r="B193" s="200" t="s">
        <v>3493</v>
      </c>
      <c r="C193" s="200" t="str">
        <f>VLOOKUP(B193,Fincas!$A$2:$C$1005,2,0)</f>
        <v>F_Las Camelias</v>
      </c>
      <c r="D193" s="201">
        <v>44664</v>
      </c>
      <c r="E193" s="267" t="str">
        <f t="shared" si="24"/>
        <v>abril</v>
      </c>
      <c r="F193" s="202">
        <v>44672</v>
      </c>
      <c r="G193" s="203">
        <v>44676</v>
      </c>
      <c r="H193" s="200" t="s">
        <v>3648</v>
      </c>
      <c r="I193" s="224">
        <v>7008146</v>
      </c>
      <c r="J193" s="234" t="str">
        <f t="shared" si="25"/>
        <v>Res macho ceba</v>
      </c>
      <c r="K193" s="200">
        <v>11507</v>
      </c>
      <c r="L193" s="550">
        <v>8400</v>
      </c>
      <c r="M193" s="205">
        <f t="shared" si="38"/>
        <v>96658800</v>
      </c>
      <c r="N193" s="214">
        <v>37</v>
      </c>
      <c r="O193" s="554">
        <f t="shared" si="26"/>
        <v>311</v>
      </c>
      <c r="P193" s="548">
        <f t="shared" si="27"/>
        <v>2612400</v>
      </c>
    </row>
    <row r="194" spans="1:16" ht="12.75">
      <c r="A194" s="199" t="s">
        <v>3436</v>
      </c>
      <c r="B194" s="200" t="s">
        <v>3437</v>
      </c>
      <c r="C194" s="200" t="str">
        <f>VLOOKUP(B194,Fincas!$A$2:$C$1005,2,0)</f>
        <v>F_Chaparral</v>
      </c>
      <c r="D194" s="201">
        <v>44673</v>
      </c>
      <c r="E194" s="267" t="str">
        <f t="shared" si="24"/>
        <v>abril</v>
      </c>
      <c r="F194" s="202">
        <v>44673</v>
      </c>
      <c r="G194" s="203">
        <v>44677</v>
      </c>
      <c r="H194" s="200" t="s">
        <v>3649</v>
      </c>
      <c r="I194" s="212">
        <v>7008147</v>
      </c>
      <c r="J194" s="212" t="str">
        <f t="shared" si="25"/>
        <v>Res macho levante</v>
      </c>
      <c r="K194" s="200">
        <v>25513</v>
      </c>
      <c r="L194" s="550">
        <v>7558</v>
      </c>
      <c r="M194" s="205">
        <f t="shared" si="38"/>
        <v>192827254</v>
      </c>
      <c r="N194" s="214">
        <v>97</v>
      </c>
      <c r="O194" s="554">
        <f t="shared" si="26"/>
        <v>263.02061855670104</v>
      </c>
      <c r="P194" s="548">
        <f t="shared" si="27"/>
        <v>1987909.8350515463</v>
      </c>
    </row>
    <row r="195" spans="1:16" ht="12.75">
      <c r="A195" s="199" t="s">
        <v>1419</v>
      </c>
      <c r="B195" s="200" t="s">
        <v>3600</v>
      </c>
      <c r="C195" s="200" t="str">
        <f>VLOOKUP(B195,Fincas!$A$2:$C$1005,2,0)</f>
        <v>F_La Leticia</v>
      </c>
      <c r="D195" s="201">
        <v>44672</v>
      </c>
      <c r="E195" s="267" t="str">
        <f t="shared" ref="E195:E258" si="39">+TEXT(D195,"mmmm")</f>
        <v>abril</v>
      </c>
      <c r="F195" s="202">
        <v>44672</v>
      </c>
      <c r="G195" s="203">
        <v>44677</v>
      </c>
      <c r="H195" s="200" t="s">
        <v>3650</v>
      </c>
      <c r="I195" s="224">
        <v>7008146</v>
      </c>
      <c r="J195" s="234" t="str">
        <f t="shared" ref="J195:J258" si="40">+VLOOKUP(I195,$F$962:$G$970,2,0)</f>
        <v>Res macho ceba</v>
      </c>
      <c r="K195" s="200">
        <v>3096</v>
      </c>
      <c r="L195" s="550">
        <f t="shared" ref="L195:L198" si="41">M195/K195</f>
        <v>7853.4883720930229</v>
      </c>
      <c r="M195" s="213">
        <v>24314400</v>
      </c>
      <c r="N195" s="214">
        <v>9</v>
      </c>
      <c r="O195" s="554">
        <f t="shared" ref="O195:O258" si="42">+K195/N195</f>
        <v>344</v>
      </c>
      <c r="P195" s="548">
        <f t="shared" ref="P195:P258" si="43">+M195/N195</f>
        <v>2701600</v>
      </c>
    </row>
    <row r="196" spans="1:16" ht="12.75">
      <c r="A196" s="199" t="s">
        <v>1419</v>
      </c>
      <c r="B196" s="200" t="s">
        <v>3600</v>
      </c>
      <c r="C196" s="200" t="str">
        <f>VLOOKUP(B196,Fincas!$A$2:$C$1005,2,0)</f>
        <v>F_La Leticia</v>
      </c>
      <c r="D196" s="201">
        <v>44672</v>
      </c>
      <c r="E196" s="267" t="str">
        <f t="shared" si="39"/>
        <v>abril</v>
      </c>
      <c r="F196" s="202">
        <v>44672</v>
      </c>
      <c r="G196" s="203">
        <v>44677</v>
      </c>
      <c r="H196" s="200" t="s">
        <v>3651</v>
      </c>
      <c r="I196" s="224">
        <v>7008146</v>
      </c>
      <c r="J196" s="234" t="str">
        <f t="shared" si="40"/>
        <v>Res macho ceba</v>
      </c>
      <c r="K196" s="200">
        <v>2708</v>
      </c>
      <c r="L196" s="550">
        <f t="shared" si="41"/>
        <v>7753.9881831610046</v>
      </c>
      <c r="M196" s="213">
        <v>20997800</v>
      </c>
      <c r="N196" s="214">
        <v>9</v>
      </c>
      <c r="O196" s="554">
        <f t="shared" si="42"/>
        <v>300.88888888888891</v>
      </c>
      <c r="P196" s="548">
        <f t="shared" si="43"/>
        <v>2333088.888888889</v>
      </c>
    </row>
    <row r="197" spans="1:16" ht="12.75">
      <c r="A197" s="199" t="s">
        <v>1419</v>
      </c>
      <c r="B197" s="200" t="s">
        <v>3600</v>
      </c>
      <c r="C197" s="200" t="str">
        <f>VLOOKUP(B197,Fincas!$A$2:$C$1005,2,0)</f>
        <v>F_La Leticia</v>
      </c>
      <c r="D197" s="201">
        <v>44672</v>
      </c>
      <c r="E197" s="267" t="str">
        <f t="shared" si="39"/>
        <v>abril</v>
      </c>
      <c r="F197" s="202">
        <v>44672</v>
      </c>
      <c r="G197" s="203">
        <v>44677</v>
      </c>
      <c r="H197" s="200" t="s">
        <v>3652</v>
      </c>
      <c r="I197" s="224">
        <v>7008146</v>
      </c>
      <c r="J197" s="234" t="str">
        <f t="shared" si="40"/>
        <v>Res macho ceba</v>
      </c>
      <c r="K197" s="200">
        <v>5942</v>
      </c>
      <c r="L197" s="550">
        <f t="shared" si="41"/>
        <v>8453.2312352743193</v>
      </c>
      <c r="M197" s="213">
        <v>50229100</v>
      </c>
      <c r="N197" s="214">
        <v>16</v>
      </c>
      <c r="O197" s="554">
        <f t="shared" si="42"/>
        <v>371.375</v>
      </c>
      <c r="P197" s="548">
        <f t="shared" si="43"/>
        <v>3139318.75</v>
      </c>
    </row>
    <row r="198" spans="1:16" ht="12.75">
      <c r="A198" s="199" t="s">
        <v>1419</v>
      </c>
      <c r="B198" s="200" t="s">
        <v>3600</v>
      </c>
      <c r="C198" s="200" t="str">
        <f>VLOOKUP(B198,Fincas!$A$2:$C$1005,2,0)</f>
        <v>F_La Leticia</v>
      </c>
      <c r="D198" s="201">
        <v>44672</v>
      </c>
      <c r="E198" s="267" t="str">
        <f t="shared" si="39"/>
        <v>abril</v>
      </c>
      <c r="F198" s="202">
        <v>44672</v>
      </c>
      <c r="G198" s="203">
        <v>44677</v>
      </c>
      <c r="H198" s="200" t="s">
        <v>3653</v>
      </c>
      <c r="I198" s="224">
        <v>7008146</v>
      </c>
      <c r="J198" s="234" t="str">
        <f t="shared" si="40"/>
        <v>Res macho ceba</v>
      </c>
      <c r="K198" s="200">
        <v>5516</v>
      </c>
      <c r="L198" s="550">
        <f t="shared" si="41"/>
        <v>7953.4807831762146</v>
      </c>
      <c r="M198" s="213">
        <v>43871400</v>
      </c>
      <c r="N198" s="214">
        <v>16</v>
      </c>
      <c r="O198" s="554">
        <f t="shared" si="42"/>
        <v>344.75</v>
      </c>
      <c r="P198" s="548">
        <f t="shared" si="43"/>
        <v>2741962.5</v>
      </c>
    </row>
    <row r="199" spans="1:16" ht="12.75">
      <c r="A199" s="199" t="s">
        <v>3426</v>
      </c>
      <c r="B199" s="200" t="s">
        <v>3498</v>
      </c>
      <c r="C199" s="200" t="str">
        <f>VLOOKUP(B199,Fincas!$A$2:$C$1005,2,0)</f>
        <v>F_Jordan</v>
      </c>
      <c r="D199" s="201">
        <v>44660</v>
      </c>
      <c r="E199" s="267" t="str">
        <f t="shared" si="39"/>
        <v>abril</v>
      </c>
      <c r="F199" s="202">
        <v>44660</v>
      </c>
      <c r="G199" s="203">
        <v>44677</v>
      </c>
      <c r="H199" s="200" t="s">
        <v>3654</v>
      </c>
      <c r="I199" s="224">
        <v>7008146</v>
      </c>
      <c r="J199" s="234" t="str">
        <f t="shared" si="40"/>
        <v>Res macho ceba</v>
      </c>
      <c r="K199" s="200">
        <v>5586</v>
      </c>
      <c r="L199" s="550">
        <v>7800</v>
      </c>
      <c r="M199" s="205">
        <f t="shared" ref="M199:M215" si="44">L199*K199</f>
        <v>43570800</v>
      </c>
      <c r="N199" s="214">
        <v>15</v>
      </c>
      <c r="O199" s="554">
        <f t="shared" si="42"/>
        <v>372.4</v>
      </c>
      <c r="P199" s="548">
        <f t="shared" si="43"/>
        <v>2904720</v>
      </c>
    </row>
    <row r="200" spans="1:16" ht="12.75">
      <c r="A200" s="199" t="s">
        <v>3426</v>
      </c>
      <c r="B200" s="200" t="s">
        <v>3498</v>
      </c>
      <c r="C200" s="200" t="str">
        <f>VLOOKUP(B200,Fincas!$A$2:$C$1005,2,0)</f>
        <v>F_Jordan</v>
      </c>
      <c r="D200" s="201">
        <v>44660</v>
      </c>
      <c r="E200" s="267" t="str">
        <f t="shared" si="39"/>
        <v>abril</v>
      </c>
      <c r="F200" s="202">
        <v>44660</v>
      </c>
      <c r="G200" s="203">
        <v>44677</v>
      </c>
      <c r="H200" s="200" t="s">
        <v>3655</v>
      </c>
      <c r="I200" s="224">
        <v>7008146</v>
      </c>
      <c r="J200" s="234" t="str">
        <f t="shared" si="40"/>
        <v>Res macho ceba</v>
      </c>
      <c r="K200" s="200">
        <v>6153</v>
      </c>
      <c r="L200" s="550">
        <v>7600</v>
      </c>
      <c r="M200" s="205">
        <f t="shared" si="44"/>
        <v>46762800</v>
      </c>
      <c r="N200" s="214">
        <v>15</v>
      </c>
      <c r="O200" s="554">
        <f t="shared" si="42"/>
        <v>410.2</v>
      </c>
      <c r="P200" s="548">
        <f t="shared" si="43"/>
        <v>3117520</v>
      </c>
    </row>
    <row r="201" spans="1:16" ht="12.75">
      <c r="A201" s="199" t="s">
        <v>3511</v>
      </c>
      <c r="B201" s="200" t="s">
        <v>3551</v>
      </c>
      <c r="C201" s="200" t="str">
        <f>VLOOKUP(B201,Fincas!$A$2:$C$1005,2,0)</f>
        <v>F_La Castellana</v>
      </c>
      <c r="D201" s="201">
        <v>44671</v>
      </c>
      <c r="E201" s="267" t="str">
        <f t="shared" si="39"/>
        <v>abril</v>
      </c>
      <c r="F201" s="202">
        <v>44675</v>
      </c>
      <c r="G201" s="203">
        <v>44677</v>
      </c>
      <c r="H201" s="200">
        <v>10831</v>
      </c>
      <c r="I201" s="212">
        <v>7008147</v>
      </c>
      <c r="J201" s="212" t="str">
        <f t="shared" si="40"/>
        <v>Res macho levante</v>
      </c>
      <c r="K201" s="200">
        <v>1556</v>
      </c>
      <c r="L201" s="550">
        <v>8800</v>
      </c>
      <c r="M201" s="205">
        <f t="shared" si="44"/>
        <v>13692800</v>
      </c>
      <c r="N201" s="214">
        <v>6</v>
      </c>
      <c r="O201" s="554">
        <f t="shared" si="42"/>
        <v>259.33333333333331</v>
      </c>
      <c r="P201" s="548">
        <f t="shared" si="43"/>
        <v>2282133.3333333335</v>
      </c>
    </row>
    <row r="202" spans="1:16" ht="12.75">
      <c r="A202" s="199" t="s">
        <v>3511</v>
      </c>
      <c r="B202" s="200" t="s">
        <v>3551</v>
      </c>
      <c r="C202" s="200" t="str">
        <f>VLOOKUP(B202,Fincas!$A$2:$C$1005,2,0)</f>
        <v>F_La Castellana</v>
      </c>
      <c r="D202" s="201">
        <v>44671</v>
      </c>
      <c r="E202" s="267" t="str">
        <f t="shared" si="39"/>
        <v>abril</v>
      </c>
      <c r="F202" s="202">
        <v>44675</v>
      </c>
      <c r="G202" s="203">
        <v>44677</v>
      </c>
      <c r="H202" s="200">
        <v>10836</v>
      </c>
      <c r="I202" s="212">
        <v>7008147</v>
      </c>
      <c r="J202" s="212" t="str">
        <f t="shared" si="40"/>
        <v>Res macho levante</v>
      </c>
      <c r="K202" s="200">
        <v>1350</v>
      </c>
      <c r="L202" s="550">
        <v>9400</v>
      </c>
      <c r="M202" s="205">
        <f t="shared" si="44"/>
        <v>12690000</v>
      </c>
      <c r="N202" s="214">
        <v>7</v>
      </c>
      <c r="O202" s="554">
        <f t="shared" si="42"/>
        <v>192.85714285714286</v>
      </c>
      <c r="P202" s="548">
        <f t="shared" si="43"/>
        <v>1812857.142857143</v>
      </c>
    </row>
    <row r="203" spans="1:16" ht="12.75">
      <c r="A203" s="199" t="s">
        <v>3511</v>
      </c>
      <c r="B203" s="200" t="s">
        <v>3551</v>
      </c>
      <c r="C203" s="200" t="str">
        <f>VLOOKUP(B203,Fincas!$A$2:$C$1005,2,0)</f>
        <v>F_La Castellana</v>
      </c>
      <c r="D203" s="201">
        <v>44671</v>
      </c>
      <c r="E203" s="267" t="str">
        <f t="shared" si="39"/>
        <v>abril</v>
      </c>
      <c r="F203" s="202">
        <v>44675</v>
      </c>
      <c r="G203" s="203">
        <v>44677</v>
      </c>
      <c r="H203" s="200">
        <v>10837</v>
      </c>
      <c r="I203" s="212">
        <v>7008147</v>
      </c>
      <c r="J203" s="212" t="str">
        <f t="shared" si="40"/>
        <v>Res macho levante</v>
      </c>
      <c r="K203" s="200">
        <v>1025</v>
      </c>
      <c r="L203" s="550">
        <v>8800</v>
      </c>
      <c r="M203" s="205">
        <f t="shared" si="44"/>
        <v>9020000</v>
      </c>
      <c r="N203" s="214">
        <v>5</v>
      </c>
      <c r="O203" s="554">
        <f t="shared" si="42"/>
        <v>205</v>
      </c>
      <c r="P203" s="548">
        <f t="shared" si="43"/>
        <v>1804000</v>
      </c>
    </row>
    <row r="204" spans="1:16" ht="12.75">
      <c r="A204" s="199" t="s">
        <v>3511</v>
      </c>
      <c r="B204" s="200" t="s">
        <v>3551</v>
      </c>
      <c r="C204" s="200" t="str">
        <f>VLOOKUP(B204,Fincas!$A$2:$C$1005,2,0)</f>
        <v>F_La Castellana</v>
      </c>
      <c r="D204" s="201">
        <v>44671</v>
      </c>
      <c r="E204" s="267" t="str">
        <f t="shared" si="39"/>
        <v>abril</v>
      </c>
      <c r="F204" s="202">
        <v>44675</v>
      </c>
      <c r="G204" s="203">
        <v>44677</v>
      </c>
      <c r="H204" s="200">
        <v>19838</v>
      </c>
      <c r="I204" s="212">
        <v>7008147</v>
      </c>
      <c r="J204" s="212" t="str">
        <f t="shared" si="40"/>
        <v>Res macho levante</v>
      </c>
      <c r="K204" s="200">
        <v>4915</v>
      </c>
      <c r="L204" s="550">
        <v>8660</v>
      </c>
      <c r="M204" s="205">
        <f t="shared" si="44"/>
        <v>42563900</v>
      </c>
      <c r="N204" s="214">
        <v>17</v>
      </c>
      <c r="O204" s="554">
        <f t="shared" si="42"/>
        <v>289.11764705882354</v>
      </c>
      <c r="P204" s="548">
        <f t="shared" si="43"/>
        <v>2503758.8235294116</v>
      </c>
    </row>
    <row r="205" spans="1:16" ht="12.75">
      <c r="A205" s="199" t="s">
        <v>3511</v>
      </c>
      <c r="B205" s="200" t="s">
        <v>3551</v>
      </c>
      <c r="C205" s="200" t="str">
        <f>VLOOKUP(B205,Fincas!$A$2:$C$1005,2,0)</f>
        <v>F_La Castellana</v>
      </c>
      <c r="D205" s="201">
        <v>44671</v>
      </c>
      <c r="E205" s="267" t="str">
        <f t="shared" si="39"/>
        <v>abril</v>
      </c>
      <c r="F205" s="202">
        <v>44675</v>
      </c>
      <c r="G205" s="203">
        <v>44677</v>
      </c>
      <c r="H205" s="200">
        <v>10857</v>
      </c>
      <c r="I205" s="212">
        <v>7008147</v>
      </c>
      <c r="J205" s="212" t="str">
        <f t="shared" si="40"/>
        <v>Res macho levante</v>
      </c>
      <c r="K205" s="200">
        <v>935</v>
      </c>
      <c r="L205" s="550">
        <v>8600</v>
      </c>
      <c r="M205" s="205">
        <f t="shared" si="44"/>
        <v>8041000</v>
      </c>
      <c r="N205" s="214">
        <v>4</v>
      </c>
      <c r="O205" s="554">
        <f t="shared" si="42"/>
        <v>233.75</v>
      </c>
      <c r="P205" s="548">
        <f t="shared" si="43"/>
        <v>2010250</v>
      </c>
    </row>
    <row r="206" spans="1:16" ht="12.75">
      <c r="A206" s="199" t="s">
        <v>3511</v>
      </c>
      <c r="B206" s="200" t="s">
        <v>3551</v>
      </c>
      <c r="C206" s="200" t="str">
        <f>VLOOKUP(B206,Fincas!$A$2:$C$1005,2,0)</f>
        <v>F_La Castellana</v>
      </c>
      <c r="D206" s="201">
        <v>44673</v>
      </c>
      <c r="E206" s="267" t="str">
        <f t="shared" si="39"/>
        <v>abril</v>
      </c>
      <c r="F206" s="202">
        <v>44675</v>
      </c>
      <c r="G206" s="203">
        <v>44677</v>
      </c>
      <c r="H206" s="200">
        <v>6694</v>
      </c>
      <c r="I206" s="212">
        <v>7008147</v>
      </c>
      <c r="J206" s="212" t="str">
        <f t="shared" si="40"/>
        <v>Res macho levante</v>
      </c>
      <c r="K206" s="200">
        <v>1520</v>
      </c>
      <c r="L206" s="550">
        <v>8300</v>
      </c>
      <c r="M206" s="205">
        <f t="shared" si="44"/>
        <v>12616000</v>
      </c>
      <c r="N206" s="214">
        <v>6</v>
      </c>
      <c r="O206" s="554">
        <f t="shared" si="42"/>
        <v>253.33333333333334</v>
      </c>
      <c r="P206" s="548">
        <f t="shared" si="43"/>
        <v>2102666.6666666665</v>
      </c>
    </row>
    <row r="207" spans="1:16" ht="12.75">
      <c r="A207" s="199" t="s">
        <v>3511</v>
      </c>
      <c r="B207" s="200" t="s">
        <v>3551</v>
      </c>
      <c r="C207" s="200" t="str">
        <f>VLOOKUP(B207,Fincas!$A$2:$C$1005,2,0)</f>
        <v>F_La Castellana</v>
      </c>
      <c r="D207" s="201">
        <v>44673</v>
      </c>
      <c r="E207" s="267" t="str">
        <f t="shared" si="39"/>
        <v>abril</v>
      </c>
      <c r="F207" s="202">
        <v>44675</v>
      </c>
      <c r="G207" s="203">
        <v>44677</v>
      </c>
      <c r="H207" s="200">
        <v>6720</v>
      </c>
      <c r="I207" s="212">
        <v>7008147</v>
      </c>
      <c r="J207" s="212" t="str">
        <f t="shared" si="40"/>
        <v>Res macho levante</v>
      </c>
      <c r="K207" s="200">
        <v>1766</v>
      </c>
      <c r="L207" s="550">
        <v>7700</v>
      </c>
      <c r="M207" s="205">
        <f t="shared" si="44"/>
        <v>13598200</v>
      </c>
      <c r="N207" s="214">
        <v>7</v>
      </c>
      <c r="O207" s="554">
        <f t="shared" si="42"/>
        <v>252.28571428571428</v>
      </c>
      <c r="P207" s="548">
        <f t="shared" si="43"/>
        <v>1942600</v>
      </c>
    </row>
    <row r="208" spans="1:16" ht="12.75">
      <c r="A208" s="199" t="s">
        <v>3511</v>
      </c>
      <c r="B208" s="200" t="s">
        <v>3551</v>
      </c>
      <c r="C208" s="200" t="str">
        <f>VLOOKUP(B208,Fincas!$A$2:$C$1005,2,0)</f>
        <v>F_La Castellana</v>
      </c>
      <c r="D208" s="201">
        <v>44673</v>
      </c>
      <c r="E208" s="267" t="str">
        <f t="shared" si="39"/>
        <v>abril</v>
      </c>
      <c r="F208" s="202">
        <v>44675</v>
      </c>
      <c r="G208" s="203">
        <v>44677</v>
      </c>
      <c r="H208" s="200">
        <v>6721</v>
      </c>
      <c r="I208" s="212">
        <v>7008147</v>
      </c>
      <c r="J208" s="212" t="str">
        <f t="shared" si="40"/>
        <v>Res macho levante</v>
      </c>
      <c r="K208" s="200">
        <v>5970</v>
      </c>
      <c r="L208" s="550">
        <v>8100</v>
      </c>
      <c r="M208" s="205">
        <f t="shared" si="44"/>
        <v>48357000</v>
      </c>
      <c r="N208" s="214">
        <v>30</v>
      </c>
      <c r="O208" s="554">
        <f t="shared" si="42"/>
        <v>199</v>
      </c>
      <c r="P208" s="548">
        <f t="shared" si="43"/>
        <v>1611900</v>
      </c>
    </row>
    <row r="209" spans="1:16" ht="12.75">
      <c r="A209" s="199" t="s">
        <v>3426</v>
      </c>
      <c r="B209" s="200" t="s">
        <v>3557</v>
      </c>
      <c r="C209" s="200" t="str">
        <f>VLOOKUP(B209,Fincas!$A$2:$C$1005,2,0)</f>
        <v>F_San Clemente</v>
      </c>
      <c r="D209" s="201">
        <v>44676</v>
      </c>
      <c r="E209" s="267" t="str">
        <f t="shared" si="39"/>
        <v>abril</v>
      </c>
      <c r="F209" s="202">
        <v>44676</v>
      </c>
      <c r="G209" s="203">
        <v>44768</v>
      </c>
      <c r="H209" s="200" t="s">
        <v>3656</v>
      </c>
      <c r="I209" s="217">
        <v>7008151</v>
      </c>
      <c r="J209" s="217" t="str">
        <f t="shared" si="40"/>
        <v>Res novilla ceba</v>
      </c>
      <c r="K209" s="200">
        <v>23210</v>
      </c>
      <c r="L209" s="550">
        <v>7630</v>
      </c>
      <c r="M209" s="205">
        <f t="shared" si="44"/>
        <v>177092300</v>
      </c>
      <c r="N209" s="214">
        <v>80</v>
      </c>
      <c r="O209" s="554">
        <f t="shared" si="42"/>
        <v>290.125</v>
      </c>
      <c r="P209" s="548">
        <f t="shared" si="43"/>
        <v>2213653.75</v>
      </c>
    </row>
    <row r="210" spans="1:16" ht="12.75">
      <c r="A210" s="199" t="s">
        <v>3657</v>
      </c>
      <c r="B210" s="200" t="s">
        <v>3658</v>
      </c>
      <c r="C210" s="200" t="str">
        <f>VLOOKUP(B210,Fincas!$A$2:$C$1005,2,0)</f>
        <v>F_El Rosario</v>
      </c>
      <c r="D210" s="201">
        <v>44677</v>
      </c>
      <c r="E210" s="267" t="str">
        <f t="shared" si="39"/>
        <v>abril</v>
      </c>
      <c r="F210" s="202">
        <v>44677</v>
      </c>
      <c r="G210" s="203">
        <v>44677</v>
      </c>
      <c r="H210" s="200" t="s">
        <v>3659</v>
      </c>
      <c r="I210" s="212">
        <v>7008147</v>
      </c>
      <c r="J210" s="212" t="str">
        <f t="shared" si="40"/>
        <v>Res macho levante</v>
      </c>
      <c r="K210" s="200">
        <v>8857</v>
      </c>
      <c r="L210" s="550">
        <v>9300</v>
      </c>
      <c r="M210" s="205">
        <f t="shared" si="44"/>
        <v>82370100</v>
      </c>
      <c r="N210" s="214">
        <v>31</v>
      </c>
      <c r="O210" s="554">
        <f t="shared" si="42"/>
        <v>285.70967741935482</v>
      </c>
      <c r="P210" s="548">
        <f t="shared" si="43"/>
        <v>2657100</v>
      </c>
    </row>
    <row r="211" spans="1:16" ht="12.75">
      <c r="A211" s="199" t="s">
        <v>3511</v>
      </c>
      <c r="B211" s="200" t="s">
        <v>3642</v>
      </c>
      <c r="C211" s="200" t="str">
        <f>VLOOKUP(B211,Fincas!$A$2:$C$1005,2,0)</f>
        <v>F_San Rafael</v>
      </c>
      <c r="D211" s="201">
        <v>44671</v>
      </c>
      <c r="E211" s="267" t="str">
        <f t="shared" si="39"/>
        <v>abril</v>
      </c>
      <c r="F211" s="202">
        <v>44672</v>
      </c>
      <c r="G211" s="203">
        <v>44678</v>
      </c>
      <c r="H211" s="200">
        <v>10839</v>
      </c>
      <c r="I211" s="212">
        <v>7008147</v>
      </c>
      <c r="J211" s="212" t="str">
        <f t="shared" si="40"/>
        <v>Res macho levante</v>
      </c>
      <c r="K211" s="200">
        <v>1290</v>
      </c>
      <c r="L211" s="550">
        <v>9000</v>
      </c>
      <c r="M211" s="205">
        <f t="shared" si="44"/>
        <v>11610000</v>
      </c>
      <c r="N211" s="214">
        <v>8</v>
      </c>
      <c r="O211" s="554">
        <f t="shared" si="42"/>
        <v>161.25</v>
      </c>
      <c r="P211" s="548">
        <f t="shared" si="43"/>
        <v>1451250</v>
      </c>
    </row>
    <row r="212" spans="1:16" ht="12.75">
      <c r="A212" s="199" t="s">
        <v>3511</v>
      </c>
      <c r="B212" s="200" t="s">
        <v>3642</v>
      </c>
      <c r="C212" s="200" t="str">
        <f>VLOOKUP(B212,Fincas!$A$2:$C$1005,2,0)</f>
        <v>F_San Rafael</v>
      </c>
      <c r="D212" s="201">
        <v>44671</v>
      </c>
      <c r="E212" s="267" t="str">
        <f t="shared" si="39"/>
        <v>abril</v>
      </c>
      <c r="F212" s="202">
        <v>44672</v>
      </c>
      <c r="G212" s="203">
        <v>44678</v>
      </c>
      <c r="H212" s="210">
        <v>10841</v>
      </c>
      <c r="I212" s="212">
        <v>7008147</v>
      </c>
      <c r="J212" s="212" t="str">
        <f t="shared" si="40"/>
        <v>Res macho levante</v>
      </c>
      <c r="K212" s="210">
        <v>1274</v>
      </c>
      <c r="L212" s="550">
        <v>9000</v>
      </c>
      <c r="M212" s="205">
        <f t="shared" si="44"/>
        <v>11466000</v>
      </c>
      <c r="N212" s="214">
        <v>8</v>
      </c>
      <c r="O212" s="554">
        <f t="shared" si="42"/>
        <v>159.25</v>
      </c>
      <c r="P212" s="548">
        <f t="shared" si="43"/>
        <v>1433250</v>
      </c>
    </row>
    <row r="213" spans="1:16" ht="12.75">
      <c r="A213" s="231" t="s">
        <v>3511</v>
      </c>
      <c r="B213" s="219" t="s">
        <v>3642</v>
      </c>
      <c r="C213" s="219" t="str">
        <f>VLOOKUP(B213,Fincas!$A$2:$C$1005,2,0)</f>
        <v>F_San Rafael</v>
      </c>
      <c r="D213" s="220">
        <v>44671</v>
      </c>
      <c r="E213" s="267" t="str">
        <f t="shared" si="39"/>
        <v>abril</v>
      </c>
      <c r="F213" s="221">
        <v>44672</v>
      </c>
      <c r="G213" s="222">
        <v>44678</v>
      </c>
      <c r="H213" s="232" t="s">
        <v>3660</v>
      </c>
      <c r="I213" s="233">
        <v>7008147</v>
      </c>
      <c r="J213" s="233" t="str">
        <f t="shared" si="40"/>
        <v>Res macho levante</v>
      </c>
      <c r="K213" s="234">
        <v>159</v>
      </c>
      <c r="L213" s="551">
        <v>9000</v>
      </c>
      <c r="M213" s="225">
        <f t="shared" si="44"/>
        <v>1431000</v>
      </c>
      <c r="N213" s="226">
        <v>1</v>
      </c>
      <c r="O213" s="554">
        <f t="shared" si="42"/>
        <v>159</v>
      </c>
      <c r="P213" s="548">
        <f t="shared" si="43"/>
        <v>1431000</v>
      </c>
    </row>
    <row r="214" spans="1:16" ht="12.75">
      <c r="A214" s="199" t="s">
        <v>3511</v>
      </c>
      <c r="B214" s="200" t="s">
        <v>3642</v>
      </c>
      <c r="C214" s="200" t="str">
        <f>VLOOKUP(B214,Fincas!$A$2:$C$1005,2,0)</f>
        <v>F_San Rafael</v>
      </c>
      <c r="D214" s="201">
        <v>44671</v>
      </c>
      <c r="E214" s="267" t="str">
        <f t="shared" si="39"/>
        <v>abril</v>
      </c>
      <c r="F214" s="202">
        <v>44672</v>
      </c>
      <c r="G214" s="203">
        <v>44678</v>
      </c>
      <c r="H214" s="200">
        <v>10853</v>
      </c>
      <c r="I214" s="212">
        <v>7008147</v>
      </c>
      <c r="J214" s="212" t="str">
        <f t="shared" si="40"/>
        <v>Res macho levante</v>
      </c>
      <c r="K214" s="200">
        <v>3911</v>
      </c>
      <c r="L214" s="550">
        <v>9200</v>
      </c>
      <c r="M214" s="205">
        <f t="shared" si="44"/>
        <v>35981200</v>
      </c>
      <c r="N214" s="214">
        <v>22</v>
      </c>
      <c r="O214" s="554">
        <f t="shared" si="42"/>
        <v>177.77272727272728</v>
      </c>
      <c r="P214" s="548">
        <f t="shared" si="43"/>
        <v>1635509.0909090908</v>
      </c>
    </row>
    <row r="215" spans="1:16" ht="12.75">
      <c r="A215" s="199" t="s">
        <v>3511</v>
      </c>
      <c r="B215" s="200" t="s">
        <v>3642</v>
      </c>
      <c r="C215" s="200" t="str">
        <f>VLOOKUP(B215,Fincas!$A$2:$C$1005,2,0)</f>
        <v>F_San Rafael</v>
      </c>
      <c r="D215" s="201">
        <v>44671</v>
      </c>
      <c r="E215" s="267" t="str">
        <f t="shared" si="39"/>
        <v>abril</v>
      </c>
      <c r="F215" s="202">
        <v>44672</v>
      </c>
      <c r="G215" s="203">
        <v>44678</v>
      </c>
      <c r="H215" s="200">
        <v>10895</v>
      </c>
      <c r="I215" s="212">
        <v>7008147</v>
      </c>
      <c r="J215" s="212" t="str">
        <f t="shared" si="40"/>
        <v>Res macho levante</v>
      </c>
      <c r="K215" s="200">
        <v>1995</v>
      </c>
      <c r="L215" s="550">
        <v>8700</v>
      </c>
      <c r="M215" s="205">
        <f t="shared" si="44"/>
        <v>17356500</v>
      </c>
      <c r="N215" s="214">
        <v>11</v>
      </c>
      <c r="O215" s="554">
        <f t="shared" si="42"/>
        <v>181.36363636363637</v>
      </c>
      <c r="P215" s="548">
        <f t="shared" si="43"/>
        <v>1577863.6363636365</v>
      </c>
    </row>
    <row r="216" spans="1:16" ht="12.75">
      <c r="A216" s="199" t="s">
        <v>3511</v>
      </c>
      <c r="B216" s="200" t="s">
        <v>3661</v>
      </c>
      <c r="C216" s="200" t="str">
        <f>VLOOKUP(B216,Fincas!$A$2:$C$1005,2,0)</f>
        <v>F_Mis Deseos</v>
      </c>
      <c r="D216" s="201">
        <v>44672</v>
      </c>
      <c r="E216" s="267" t="str">
        <f t="shared" si="39"/>
        <v>abril</v>
      </c>
      <c r="F216" s="202">
        <v>44673</v>
      </c>
      <c r="G216" s="203">
        <v>44678</v>
      </c>
      <c r="H216" s="200">
        <v>6961</v>
      </c>
      <c r="I216" s="212">
        <v>7008147</v>
      </c>
      <c r="J216" s="212" t="str">
        <f t="shared" si="40"/>
        <v>Res macho levante</v>
      </c>
      <c r="K216" s="200">
        <v>4627</v>
      </c>
      <c r="L216" s="550">
        <f t="shared" ref="L216:L219" si="45">M216/K216</f>
        <v>9044.7374108493623</v>
      </c>
      <c r="M216" s="213">
        <v>41850000</v>
      </c>
      <c r="N216" s="214">
        <v>27</v>
      </c>
      <c r="O216" s="554">
        <f t="shared" si="42"/>
        <v>171.37037037037038</v>
      </c>
      <c r="P216" s="548">
        <f t="shared" si="43"/>
        <v>1550000</v>
      </c>
    </row>
    <row r="217" spans="1:16" ht="12.75">
      <c r="A217" s="199" t="s">
        <v>3511</v>
      </c>
      <c r="B217" s="200" t="s">
        <v>3661</v>
      </c>
      <c r="C217" s="200" t="str">
        <f>VLOOKUP(B217,Fincas!$A$2:$C$1005,2,0)</f>
        <v>F_Mis Deseos</v>
      </c>
      <c r="D217" s="201">
        <v>44672</v>
      </c>
      <c r="E217" s="267" t="str">
        <f t="shared" si="39"/>
        <v>abril</v>
      </c>
      <c r="F217" s="202">
        <v>44673</v>
      </c>
      <c r="G217" s="203">
        <v>44678</v>
      </c>
      <c r="H217" s="200">
        <v>6982</v>
      </c>
      <c r="I217" s="212">
        <v>7008147</v>
      </c>
      <c r="J217" s="212" t="str">
        <f t="shared" si="40"/>
        <v>Res macho levante</v>
      </c>
      <c r="K217" s="200">
        <v>1946</v>
      </c>
      <c r="L217" s="550">
        <f t="shared" si="45"/>
        <v>9044.1932168550866</v>
      </c>
      <c r="M217" s="213">
        <v>17600000</v>
      </c>
      <c r="N217" s="214">
        <v>11</v>
      </c>
      <c r="O217" s="554">
        <f t="shared" si="42"/>
        <v>176.90909090909091</v>
      </c>
      <c r="P217" s="548">
        <f t="shared" si="43"/>
        <v>1600000</v>
      </c>
    </row>
    <row r="218" spans="1:16" ht="12.75">
      <c r="A218" s="199" t="s">
        <v>3511</v>
      </c>
      <c r="B218" s="200" t="s">
        <v>3661</v>
      </c>
      <c r="C218" s="200" t="str">
        <f>VLOOKUP(B218,Fincas!$A$2:$C$1005,2,0)</f>
        <v>F_Mis Deseos</v>
      </c>
      <c r="D218" s="201">
        <v>44672</v>
      </c>
      <c r="E218" s="267" t="str">
        <f t="shared" si="39"/>
        <v>abril</v>
      </c>
      <c r="F218" s="202">
        <v>44673</v>
      </c>
      <c r="G218" s="203">
        <v>44678</v>
      </c>
      <c r="H218" s="200">
        <v>6988</v>
      </c>
      <c r="I218" s="212">
        <v>7008147</v>
      </c>
      <c r="J218" s="212" t="str">
        <f t="shared" si="40"/>
        <v>Res macho levante</v>
      </c>
      <c r="K218" s="200">
        <v>2212</v>
      </c>
      <c r="L218" s="550">
        <f t="shared" si="45"/>
        <v>8951.1754068716091</v>
      </c>
      <c r="M218" s="213">
        <v>19800000</v>
      </c>
      <c r="N218" s="214">
        <v>11</v>
      </c>
      <c r="O218" s="554">
        <f t="shared" si="42"/>
        <v>201.09090909090909</v>
      </c>
      <c r="P218" s="548">
        <f t="shared" si="43"/>
        <v>1800000</v>
      </c>
    </row>
    <row r="219" spans="1:16" ht="12.75">
      <c r="A219" s="199" t="s">
        <v>3511</v>
      </c>
      <c r="B219" s="200" t="s">
        <v>3661</v>
      </c>
      <c r="C219" s="200" t="str">
        <f>VLOOKUP(B219,Fincas!$A$2:$C$1005,2,0)</f>
        <v>F_Mis Deseos</v>
      </c>
      <c r="D219" s="201">
        <v>44672</v>
      </c>
      <c r="E219" s="267" t="str">
        <f t="shared" si="39"/>
        <v>abril</v>
      </c>
      <c r="F219" s="202">
        <v>44673</v>
      </c>
      <c r="G219" s="203">
        <v>44678</v>
      </c>
      <c r="H219" s="200">
        <v>6989</v>
      </c>
      <c r="I219" s="212">
        <v>7008147</v>
      </c>
      <c r="J219" s="212" t="str">
        <f t="shared" si="40"/>
        <v>Res macho levante</v>
      </c>
      <c r="K219" s="200">
        <v>2684</v>
      </c>
      <c r="L219" s="550">
        <f t="shared" si="45"/>
        <v>9649.7764530551412</v>
      </c>
      <c r="M219" s="213">
        <v>25900000</v>
      </c>
      <c r="N219" s="214">
        <v>14</v>
      </c>
      <c r="O219" s="554">
        <f t="shared" si="42"/>
        <v>191.71428571428572</v>
      </c>
      <c r="P219" s="548">
        <f t="shared" si="43"/>
        <v>1850000</v>
      </c>
    </row>
    <row r="220" spans="1:16" ht="12.75">
      <c r="A220" s="199" t="s">
        <v>3511</v>
      </c>
      <c r="B220" s="200" t="s">
        <v>3642</v>
      </c>
      <c r="C220" s="200" t="str">
        <f>VLOOKUP(B220,Fincas!$A$2:$C$1005,2,0)</f>
        <v>F_San Rafael</v>
      </c>
      <c r="D220" s="201">
        <v>44676</v>
      </c>
      <c r="E220" s="267" t="str">
        <f t="shared" si="39"/>
        <v>abril</v>
      </c>
      <c r="F220" s="202">
        <v>44672</v>
      </c>
      <c r="G220" s="203">
        <v>44678</v>
      </c>
      <c r="H220" s="200" t="s">
        <v>3662</v>
      </c>
      <c r="I220" s="212">
        <v>7008147</v>
      </c>
      <c r="J220" s="212" t="str">
        <f t="shared" si="40"/>
        <v>Res macho levante</v>
      </c>
      <c r="K220" s="200">
        <v>4412</v>
      </c>
      <c r="L220" s="550">
        <v>8900</v>
      </c>
      <c r="M220" s="205">
        <f t="shared" ref="M220:M221" si="46">L220*K220</f>
        <v>39266800</v>
      </c>
      <c r="N220" s="214">
        <v>27</v>
      </c>
      <c r="O220" s="554">
        <f t="shared" si="42"/>
        <v>163.40740740740742</v>
      </c>
      <c r="P220" s="548">
        <f t="shared" si="43"/>
        <v>1454325.9259259258</v>
      </c>
    </row>
    <row r="221" spans="1:16" ht="12.75">
      <c r="A221" s="199" t="s">
        <v>3511</v>
      </c>
      <c r="B221" s="200" t="s">
        <v>3663</v>
      </c>
      <c r="C221" s="200" t="str">
        <f>VLOOKUP(B221,Fincas!$A$2:$C$1005,2,0)</f>
        <v>F_Las Marias</v>
      </c>
      <c r="D221" s="201">
        <v>44676</v>
      </c>
      <c r="E221" s="267" t="str">
        <f t="shared" si="39"/>
        <v>abril</v>
      </c>
      <c r="F221" s="202">
        <v>44678</v>
      </c>
      <c r="G221" s="203">
        <v>44678</v>
      </c>
      <c r="H221" s="200" t="s">
        <v>3664</v>
      </c>
      <c r="I221" s="212">
        <v>7008147</v>
      </c>
      <c r="J221" s="212" t="str">
        <f t="shared" si="40"/>
        <v>Res macho levante</v>
      </c>
      <c r="K221" s="200">
        <v>6766</v>
      </c>
      <c r="L221" s="550">
        <v>9120</v>
      </c>
      <c r="M221" s="205">
        <f t="shared" si="46"/>
        <v>61705920</v>
      </c>
      <c r="N221" s="214">
        <v>42</v>
      </c>
      <c r="O221" s="554">
        <f t="shared" si="42"/>
        <v>161.0952380952381</v>
      </c>
      <c r="P221" s="548">
        <f t="shared" si="43"/>
        <v>1469188.5714285714</v>
      </c>
    </row>
    <row r="222" spans="1:16" ht="12.75">
      <c r="A222" s="199" t="s">
        <v>1419</v>
      </c>
      <c r="B222" s="200" t="s">
        <v>3583</v>
      </c>
      <c r="C222" s="200" t="str">
        <f>VLOOKUP(B222,Fincas!$A$2:$C$1005,2,0)</f>
        <v>F_Santa Mónica</v>
      </c>
      <c r="D222" s="201">
        <v>44672</v>
      </c>
      <c r="E222" s="267" t="str">
        <f t="shared" si="39"/>
        <v>abril</v>
      </c>
      <c r="F222" s="202">
        <v>44673</v>
      </c>
      <c r="G222" s="203">
        <v>44678</v>
      </c>
      <c r="H222" s="200" t="s">
        <v>3665</v>
      </c>
      <c r="I222" s="224">
        <v>7008146</v>
      </c>
      <c r="J222" s="234" t="str">
        <f t="shared" si="40"/>
        <v>Res macho ceba</v>
      </c>
      <c r="K222" s="200">
        <v>2894</v>
      </c>
      <c r="L222" s="550">
        <f t="shared" ref="L222:L227" si="47">M222/K222</f>
        <v>8153.7318590186596</v>
      </c>
      <c r="M222" s="213">
        <v>23596900</v>
      </c>
      <c r="N222" s="214">
        <v>9</v>
      </c>
      <c r="O222" s="554">
        <f t="shared" si="42"/>
        <v>321.55555555555554</v>
      </c>
      <c r="P222" s="548">
        <f t="shared" si="43"/>
        <v>2621877.777777778</v>
      </c>
    </row>
    <row r="223" spans="1:16" ht="12.75">
      <c r="A223" s="199" t="s">
        <v>1419</v>
      </c>
      <c r="B223" s="200" t="s">
        <v>3583</v>
      </c>
      <c r="C223" s="200" t="str">
        <f>VLOOKUP(B223,Fincas!$A$2:$C$1005,2,0)</f>
        <v>F_Santa Mónica</v>
      </c>
      <c r="D223" s="201">
        <v>44672</v>
      </c>
      <c r="E223" s="267" t="str">
        <f t="shared" si="39"/>
        <v>abril</v>
      </c>
      <c r="F223" s="202">
        <v>44673</v>
      </c>
      <c r="G223" s="203">
        <v>44678</v>
      </c>
      <c r="H223" s="200" t="s">
        <v>3666</v>
      </c>
      <c r="I223" s="224">
        <v>7008146</v>
      </c>
      <c r="J223" s="234" t="str">
        <f t="shared" si="40"/>
        <v>Res macho ceba</v>
      </c>
      <c r="K223" s="200">
        <v>3134</v>
      </c>
      <c r="L223" s="550">
        <f t="shared" si="47"/>
        <v>8053.4460753031271</v>
      </c>
      <c r="M223" s="213">
        <v>25239500</v>
      </c>
      <c r="N223" s="214">
        <v>9</v>
      </c>
      <c r="O223" s="554">
        <f t="shared" si="42"/>
        <v>348.22222222222223</v>
      </c>
      <c r="P223" s="548">
        <f t="shared" si="43"/>
        <v>2804388.888888889</v>
      </c>
    </row>
    <row r="224" spans="1:16" ht="12.75">
      <c r="A224" s="199" t="s">
        <v>1419</v>
      </c>
      <c r="B224" s="200" t="s">
        <v>3583</v>
      </c>
      <c r="C224" s="200" t="str">
        <f>VLOOKUP(B224,Fincas!$A$2:$C$1005,2,0)</f>
        <v>F_Santa Mónica</v>
      </c>
      <c r="D224" s="201">
        <v>44672</v>
      </c>
      <c r="E224" s="267" t="str">
        <f t="shared" si="39"/>
        <v>abril</v>
      </c>
      <c r="F224" s="202">
        <v>44673</v>
      </c>
      <c r="G224" s="203">
        <v>44678</v>
      </c>
      <c r="H224" s="200" t="s">
        <v>3667</v>
      </c>
      <c r="I224" s="224">
        <v>7008146</v>
      </c>
      <c r="J224" s="234" t="str">
        <f t="shared" si="40"/>
        <v>Res macho ceba</v>
      </c>
      <c r="K224" s="200">
        <v>2748</v>
      </c>
      <c r="L224" s="550">
        <f t="shared" si="47"/>
        <v>7403.9301310043666</v>
      </c>
      <c r="M224" s="213">
        <v>20346000</v>
      </c>
      <c r="N224" s="214">
        <v>9</v>
      </c>
      <c r="O224" s="554">
        <f t="shared" si="42"/>
        <v>305.33333333333331</v>
      </c>
      <c r="P224" s="548">
        <f t="shared" si="43"/>
        <v>2260666.6666666665</v>
      </c>
    </row>
    <row r="225" spans="1:16" ht="12.75">
      <c r="A225" s="199" t="s">
        <v>1419</v>
      </c>
      <c r="B225" s="200" t="s">
        <v>3583</v>
      </c>
      <c r="C225" s="200" t="str">
        <f>VLOOKUP(B225,Fincas!$A$2:$C$1005,2,0)</f>
        <v>F_Santa Mónica</v>
      </c>
      <c r="D225" s="201">
        <v>44672</v>
      </c>
      <c r="E225" s="267" t="str">
        <f t="shared" si="39"/>
        <v>abril</v>
      </c>
      <c r="F225" s="202">
        <v>44673</v>
      </c>
      <c r="G225" s="203">
        <v>44678</v>
      </c>
      <c r="H225" s="200" t="s">
        <v>3668</v>
      </c>
      <c r="I225" s="224">
        <v>7008146</v>
      </c>
      <c r="J225" s="234" t="str">
        <f t="shared" si="40"/>
        <v>Res macho ceba</v>
      </c>
      <c r="K225" s="200">
        <v>5474</v>
      </c>
      <c r="L225" s="550">
        <f t="shared" si="47"/>
        <v>7853.5074899525025</v>
      </c>
      <c r="M225" s="213">
        <v>42990100</v>
      </c>
      <c r="N225" s="214">
        <v>16</v>
      </c>
      <c r="O225" s="554">
        <f t="shared" si="42"/>
        <v>342.125</v>
      </c>
      <c r="P225" s="548">
        <f t="shared" si="43"/>
        <v>2686881.25</v>
      </c>
    </row>
    <row r="226" spans="1:16" ht="12.75">
      <c r="A226" s="199" t="s">
        <v>3454</v>
      </c>
      <c r="B226" s="200" t="s">
        <v>3557</v>
      </c>
      <c r="C226" s="200" t="str">
        <f>VLOOKUP(B226,Fincas!$A$2:$C$1005,2,0)</f>
        <v>F_San Clemente</v>
      </c>
      <c r="D226" s="201">
        <v>44673</v>
      </c>
      <c r="E226" s="267" t="str">
        <f t="shared" si="39"/>
        <v>abril</v>
      </c>
      <c r="F226" s="202">
        <v>44673</v>
      </c>
      <c r="G226" s="203">
        <v>44678</v>
      </c>
      <c r="H226" s="200">
        <v>7729</v>
      </c>
      <c r="I226" s="217">
        <v>7008151</v>
      </c>
      <c r="J226" s="217" t="str">
        <f t="shared" si="40"/>
        <v>Res novilla ceba</v>
      </c>
      <c r="K226" s="200">
        <v>5375</v>
      </c>
      <c r="L226" s="550">
        <f t="shared" si="47"/>
        <v>7536.7499534883718</v>
      </c>
      <c r="M226" s="213">
        <v>40510031</v>
      </c>
      <c r="N226" s="214">
        <v>20</v>
      </c>
      <c r="O226" s="554">
        <f t="shared" si="42"/>
        <v>268.75</v>
      </c>
      <c r="P226" s="548">
        <f t="shared" si="43"/>
        <v>2025501.55</v>
      </c>
    </row>
    <row r="227" spans="1:16" ht="12.75">
      <c r="A227" s="199" t="s">
        <v>3454</v>
      </c>
      <c r="B227" s="200" t="s">
        <v>3557</v>
      </c>
      <c r="C227" s="200" t="str">
        <f>VLOOKUP(B227,Fincas!$A$2:$C$1005,2,0)</f>
        <v>F_San Clemente</v>
      </c>
      <c r="D227" s="201">
        <v>44673</v>
      </c>
      <c r="E227" s="267" t="str">
        <f t="shared" si="39"/>
        <v>abril</v>
      </c>
      <c r="F227" s="202">
        <v>44673</v>
      </c>
      <c r="G227" s="203">
        <v>44678</v>
      </c>
      <c r="H227" s="200">
        <v>7730</v>
      </c>
      <c r="I227" s="217">
        <v>7008151</v>
      </c>
      <c r="J227" s="217" t="str">
        <f t="shared" si="40"/>
        <v>Res novilla ceba</v>
      </c>
      <c r="K227" s="200">
        <v>5196</v>
      </c>
      <c r="L227" s="550">
        <f t="shared" si="47"/>
        <v>7536.75</v>
      </c>
      <c r="M227" s="213">
        <v>39160953</v>
      </c>
      <c r="N227" s="214">
        <v>20</v>
      </c>
      <c r="O227" s="554">
        <f t="shared" si="42"/>
        <v>259.8</v>
      </c>
      <c r="P227" s="548">
        <f t="shared" si="43"/>
        <v>1958047.65</v>
      </c>
    </row>
    <row r="228" spans="1:16" ht="12.75">
      <c r="A228" s="199" t="s">
        <v>3426</v>
      </c>
      <c r="B228" s="200" t="s">
        <v>3498</v>
      </c>
      <c r="C228" s="200" t="str">
        <f>VLOOKUP(B228,Fincas!$A$2:$C$1005,2,0)</f>
        <v>F_Jordan</v>
      </c>
      <c r="D228" s="201">
        <v>44676</v>
      </c>
      <c r="E228" s="267" t="str">
        <f t="shared" si="39"/>
        <v>abril</v>
      </c>
      <c r="F228" s="202">
        <v>44676</v>
      </c>
      <c r="G228" s="203">
        <v>44678</v>
      </c>
      <c r="H228" s="200" t="s">
        <v>3669</v>
      </c>
      <c r="I228" s="224">
        <v>7008146</v>
      </c>
      <c r="J228" s="234" t="str">
        <f t="shared" si="40"/>
        <v>Res macho ceba</v>
      </c>
      <c r="K228" s="200">
        <v>12327</v>
      </c>
      <c r="L228" s="550">
        <v>8756</v>
      </c>
      <c r="M228" s="205">
        <f t="shared" ref="M228:M236" si="48">L228*K228</f>
        <v>107935212</v>
      </c>
      <c r="N228" s="214">
        <v>32</v>
      </c>
      <c r="O228" s="554">
        <f t="shared" si="42"/>
        <v>385.21875</v>
      </c>
      <c r="P228" s="548">
        <f t="shared" si="43"/>
        <v>3372975.375</v>
      </c>
    </row>
    <row r="229" spans="1:16" ht="12.75">
      <c r="A229" s="199" t="s">
        <v>3670</v>
      </c>
      <c r="B229" s="200" t="s">
        <v>3457</v>
      </c>
      <c r="C229" s="200" t="str">
        <f>VLOOKUP(B229,Fincas!$A$2:$C$1005,2,0)</f>
        <v>F_La Carolina</v>
      </c>
      <c r="D229" s="201">
        <v>44677</v>
      </c>
      <c r="E229" s="267" t="str">
        <f t="shared" si="39"/>
        <v>abril</v>
      </c>
      <c r="F229" s="202">
        <v>44677</v>
      </c>
      <c r="G229" s="203">
        <v>44679</v>
      </c>
      <c r="H229" s="200" t="s">
        <v>3671</v>
      </c>
      <c r="I229" s="212">
        <v>7008147</v>
      </c>
      <c r="J229" s="212" t="str">
        <f t="shared" si="40"/>
        <v>Res macho levante</v>
      </c>
      <c r="K229" s="200">
        <v>1882</v>
      </c>
      <c r="L229" s="550">
        <v>9500</v>
      </c>
      <c r="M229" s="205">
        <f t="shared" si="48"/>
        <v>17879000</v>
      </c>
      <c r="N229" s="214">
        <v>8</v>
      </c>
      <c r="O229" s="554">
        <f t="shared" si="42"/>
        <v>235.25</v>
      </c>
      <c r="P229" s="548">
        <f t="shared" si="43"/>
        <v>2234875</v>
      </c>
    </row>
    <row r="230" spans="1:16" ht="12.75">
      <c r="A230" s="199" t="s">
        <v>3463</v>
      </c>
      <c r="B230" s="200" t="s">
        <v>3464</v>
      </c>
      <c r="C230" s="200" t="str">
        <f>VLOOKUP(B230,Fincas!$A$2:$C$1005,2,0)</f>
        <v>F_Texas Araujo</v>
      </c>
      <c r="D230" s="201">
        <v>44676</v>
      </c>
      <c r="E230" s="267" t="str">
        <f t="shared" si="39"/>
        <v>abril</v>
      </c>
      <c r="F230" s="202">
        <v>44679</v>
      </c>
      <c r="G230" s="203">
        <v>44679</v>
      </c>
      <c r="H230" s="200" t="s">
        <v>3672</v>
      </c>
      <c r="I230" s="224">
        <v>7008146</v>
      </c>
      <c r="J230" s="234" t="str">
        <f t="shared" si="40"/>
        <v>Res macho ceba</v>
      </c>
      <c r="K230" s="200">
        <v>17992</v>
      </c>
      <c r="L230" s="550">
        <v>8950</v>
      </c>
      <c r="M230" s="205">
        <f t="shared" si="48"/>
        <v>161028400</v>
      </c>
      <c r="N230" s="214">
        <v>58</v>
      </c>
      <c r="O230" s="554">
        <f t="shared" si="42"/>
        <v>310.20689655172413</v>
      </c>
      <c r="P230" s="548">
        <f t="shared" si="43"/>
        <v>2776351.7241379311</v>
      </c>
    </row>
    <row r="231" spans="1:16" ht="12.75">
      <c r="A231" s="199" t="s">
        <v>3451</v>
      </c>
      <c r="B231" s="200" t="s">
        <v>3496</v>
      </c>
      <c r="C231" s="200" t="str">
        <f>VLOOKUP(B231,Fincas!$A$2:$C$1005,2,0)</f>
        <v>A_El Tropezon</v>
      </c>
      <c r="D231" s="201">
        <v>44677</v>
      </c>
      <c r="E231" s="267" t="str">
        <f t="shared" si="39"/>
        <v>abril</v>
      </c>
      <c r="F231" s="202">
        <v>44677</v>
      </c>
      <c r="G231" s="203">
        <v>44680</v>
      </c>
      <c r="H231" s="235" t="s">
        <v>3673</v>
      </c>
      <c r="I231" s="224">
        <v>7008146</v>
      </c>
      <c r="J231" s="234" t="str">
        <f t="shared" si="40"/>
        <v>Res macho ceba</v>
      </c>
      <c r="K231" s="200">
        <v>6266</v>
      </c>
      <c r="L231" s="550">
        <v>8900</v>
      </c>
      <c r="M231" s="205">
        <f t="shared" si="48"/>
        <v>55767400</v>
      </c>
      <c r="N231" s="214">
        <v>18</v>
      </c>
      <c r="O231" s="554">
        <f t="shared" si="42"/>
        <v>348.11111111111109</v>
      </c>
      <c r="P231" s="548">
        <f t="shared" si="43"/>
        <v>3098188.888888889</v>
      </c>
    </row>
    <row r="232" spans="1:16" ht="12.75">
      <c r="A232" s="199" t="s">
        <v>3451</v>
      </c>
      <c r="B232" s="200" t="s">
        <v>3496</v>
      </c>
      <c r="C232" s="200" t="str">
        <f>VLOOKUP(B232,Fincas!$A$2:$C$1005,2,0)</f>
        <v>A_El Tropezon</v>
      </c>
      <c r="D232" s="201">
        <v>44677</v>
      </c>
      <c r="E232" s="267" t="str">
        <f t="shared" si="39"/>
        <v>abril</v>
      </c>
      <c r="F232" s="202">
        <v>44677</v>
      </c>
      <c r="G232" s="203">
        <v>44680</v>
      </c>
      <c r="H232" s="200" t="s">
        <v>3674</v>
      </c>
      <c r="I232" s="224">
        <v>7008146</v>
      </c>
      <c r="J232" s="234" t="str">
        <f t="shared" si="40"/>
        <v>Res macho ceba</v>
      </c>
      <c r="K232" s="200">
        <v>5582</v>
      </c>
      <c r="L232" s="550">
        <v>9150</v>
      </c>
      <c r="M232" s="205">
        <f t="shared" si="48"/>
        <v>51075300</v>
      </c>
      <c r="N232" s="214">
        <v>17</v>
      </c>
      <c r="O232" s="554">
        <f t="shared" si="42"/>
        <v>328.35294117647061</v>
      </c>
      <c r="P232" s="548">
        <f t="shared" si="43"/>
        <v>3004429.411764706</v>
      </c>
    </row>
    <row r="233" spans="1:16" ht="12.75">
      <c r="A233" s="199" t="s">
        <v>3451</v>
      </c>
      <c r="B233" s="200" t="s">
        <v>3496</v>
      </c>
      <c r="C233" s="200" t="str">
        <f>VLOOKUP(B233,Fincas!$A$2:$C$1005,2,0)</f>
        <v>A_El Tropezon</v>
      </c>
      <c r="D233" s="201">
        <v>44677</v>
      </c>
      <c r="E233" s="267" t="str">
        <f t="shared" si="39"/>
        <v>abril</v>
      </c>
      <c r="F233" s="202">
        <v>44677</v>
      </c>
      <c r="G233" s="203">
        <v>44680</v>
      </c>
      <c r="H233" s="200" t="s">
        <v>3675</v>
      </c>
      <c r="I233" s="224">
        <v>7008146</v>
      </c>
      <c r="J233" s="234" t="str">
        <f t="shared" si="40"/>
        <v>Res macho ceba</v>
      </c>
      <c r="K233" s="200">
        <v>5542</v>
      </c>
      <c r="L233" s="550">
        <v>9650</v>
      </c>
      <c r="M233" s="205">
        <f t="shared" si="48"/>
        <v>53480300</v>
      </c>
      <c r="N233" s="214">
        <v>22</v>
      </c>
      <c r="O233" s="554">
        <f t="shared" si="42"/>
        <v>251.90909090909091</v>
      </c>
      <c r="P233" s="548">
        <f t="shared" si="43"/>
        <v>2430922.7272727271</v>
      </c>
    </row>
    <row r="234" spans="1:16" ht="12.75">
      <c r="A234" s="199" t="s">
        <v>3426</v>
      </c>
      <c r="B234" s="200" t="s">
        <v>3498</v>
      </c>
      <c r="C234" s="200" t="str">
        <f>VLOOKUP(B234,Fincas!$A$2:$C$1005,2,0)</f>
        <v>F_Jordan</v>
      </c>
      <c r="D234" s="201">
        <v>44676</v>
      </c>
      <c r="E234" s="267" t="str">
        <f t="shared" si="39"/>
        <v>abril</v>
      </c>
      <c r="F234" s="202">
        <v>44676</v>
      </c>
      <c r="G234" s="203">
        <v>44680</v>
      </c>
      <c r="H234" s="200" t="s">
        <v>3676</v>
      </c>
      <c r="I234" s="217">
        <v>7008151</v>
      </c>
      <c r="J234" s="217" t="str">
        <f t="shared" si="40"/>
        <v>Res novilla ceba</v>
      </c>
      <c r="K234" s="200">
        <v>17197</v>
      </c>
      <c r="L234" s="550">
        <v>7747</v>
      </c>
      <c r="M234" s="205">
        <f t="shared" si="48"/>
        <v>133225159</v>
      </c>
      <c r="N234" s="214">
        <v>54</v>
      </c>
      <c r="O234" s="554">
        <f t="shared" si="42"/>
        <v>318.46296296296299</v>
      </c>
      <c r="P234" s="548">
        <f t="shared" si="43"/>
        <v>2467132.5740740742</v>
      </c>
    </row>
    <row r="235" spans="1:16" ht="12.75">
      <c r="A235" s="199" t="s">
        <v>3426</v>
      </c>
      <c r="B235" s="200" t="s">
        <v>3498</v>
      </c>
      <c r="C235" s="200" t="str">
        <f>VLOOKUP(B235,Fincas!$A$2:$C$1005,2,0)</f>
        <v>F_Jordan</v>
      </c>
      <c r="D235" s="201">
        <v>44708</v>
      </c>
      <c r="E235" s="267" t="str">
        <f t="shared" si="39"/>
        <v>mayo</v>
      </c>
      <c r="F235" s="202">
        <v>44676</v>
      </c>
      <c r="G235" s="203">
        <v>44680</v>
      </c>
      <c r="H235" s="200" t="s">
        <v>3677</v>
      </c>
      <c r="I235" s="217">
        <v>7008151</v>
      </c>
      <c r="J235" s="217" t="str">
        <f t="shared" si="40"/>
        <v>Res novilla ceba</v>
      </c>
      <c r="K235" s="200">
        <v>6081</v>
      </c>
      <c r="L235" s="550">
        <v>7682</v>
      </c>
      <c r="M235" s="205">
        <f t="shared" si="48"/>
        <v>46714242</v>
      </c>
      <c r="N235" s="214">
        <v>20</v>
      </c>
      <c r="O235" s="554">
        <f t="shared" si="42"/>
        <v>304.05</v>
      </c>
      <c r="P235" s="548">
        <f t="shared" si="43"/>
        <v>2335712.1</v>
      </c>
    </row>
    <row r="236" spans="1:16" ht="12.75">
      <c r="A236" s="199" t="s">
        <v>3426</v>
      </c>
      <c r="B236" s="200" t="s">
        <v>3498</v>
      </c>
      <c r="C236" s="200" t="str">
        <f>VLOOKUP(B236,Fincas!$A$2:$C$1005,2,0)</f>
        <v>F_Jordan</v>
      </c>
      <c r="D236" s="201">
        <v>44708</v>
      </c>
      <c r="E236" s="267" t="str">
        <f t="shared" si="39"/>
        <v>mayo</v>
      </c>
      <c r="F236" s="202">
        <v>44676</v>
      </c>
      <c r="G236" s="203">
        <v>44680</v>
      </c>
      <c r="H236" s="200" t="s">
        <v>3678</v>
      </c>
      <c r="I236" s="217">
        <v>7008151</v>
      </c>
      <c r="J236" s="217" t="str">
        <f t="shared" si="40"/>
        <v>Res novilla ceba</v>
      </c>
      <c r="K236" s="200">
        <v>27508</v>
      </c>
      <c r="L236" s="550">
        <v>7712</v>
      </c>
      <c r="M236" s="205">
        <f t="shared" si="48"/>
        <v>212141696</v>
      </c>
      <c r="N236" s="214">
        <v>91</v>
      </c>
      <c r="O236" s="554">
        <f t="shared" si="42"/>
        <v>302.28571428571428</v>
      </c>
      <c r="P236" s="548">
        <f t="shared" si="43"/>
        <v>2331227.4285714286</v>
      </c>
    </row>
    <row r="237" spans="1:16" ht="12.75">
      <c r="A237" s="199" t="s">
        <v>1419</v>
      </c>
      <c r="B237" s="200" t="s">
        <v>3583</v>
      </c>
      <c r="C237" s="200" t="str">
        <f>VLOOKUP(B237,Fincas!$A$2:$C$1005,2,0)</f>
        <v>F_Santa Mónica</v>
      </c>
      <c r="D237" s="201">
        <v>44679</v>
      </c>
      <c r="E237" s="267" t="str">
        <f t="shared" si="39"/>
        <v>abril</v>
      </c>
      <c r="F237" s="202">
        <v>44680</v>
      </c>
      <c r="G237" s="203">
        <v>44680</v>
      </c>
      <c r="H237" s="200" t="s">
        <v>3679</v>
      </c>
      <c r="I237" s="224">
        <v>7008146</v>
      </c>
      <c r="J237" s="234" t="str">
        <f t="shared" si="40"/>
        <v>Res macho ceba</v>
      </c>
      <c r="K237" s="200">
        <v>2288</v>
      </c>
      <c r="L237" s="550">
        <f t="shared" ref="L237:L241" si="49">M237/K237</f>
        <v>8253.6713286713293</v>
      </c>
      <c r="M237" s="213">
        <v>18884400</v>
      </c>
      <c r="N237" s="214">
        <v>7</v>
      </c>
      <c r="O237" s="554">
        <f t="shared" si="42"/>
        <v>326.85714285714283</v>
      </c>
      <c r="P237" s="548">
        <f t="shared" si="43"/>
        <v>2697771.4285714286</v>
      </c>
    </row>
    <row r="238" spans="1:16" ht="12.75">
      <c r="A238" s="199" t="s">
        <v>1419</v>
      </c>
      <c r="B238" s="200" t="s">
        <v>3583</v>
      </c>
      <c r="C238" s="200" t="str">
        <f>VLOOKUP(B238,Fincas!$A$2:$C$1005,2,0)</f>
        <v>F_Santa Mónica</v>
      </c>
      <c r="D238" s="201">
        <v>44679</v>
      </c>
      <c r="E238" s="267" t="str">
        <f t="shared" si="39"/>
        <v>abril</v>
      </c>
      <c r="F238" s="202">
        <v>44680</v>
      </c>
      <c r="G238" s="203">
        <v>44680</v>
      </c>
      <c r="H238" s="200" t="s">
        <v>3680</v>
      </c>
      <c r="I238" s="224">
        <v>7008146</v>
      </c>
      <c r="J238" s="234" t="str">
        <f t="shared" si="40"/>
        <v>Res macho ceba</v>
      </c>
      <c r="K238" s="200">
        <v>5620</v>
      </c>
      <c r="L238" s="550">
        <f t="shared" si="49"/>
        <v>8153.6298932384343</v>
      </c>
      <c r="M238" s="213">
        <v>45823400</v>
      </c>
      <c r="N238" s="214">
        <v>17</v>
      </c>
      <c r="O238" s="554">
        <f t="shared" si="42"/>
        <v>330.58823529411762</v>
      </c>
      <c r="P238" s="548">
        <f t="shared" si="43"/>
        <v>2695494.1176470588</v>
      </c>
    </row>
    <row r="239" spans="1:16" ht="12.75">
      <c r="A239" s="199" t="s">
        <v>1419</v>
      </c>
      <c r="B239" s="200" t="s">
        <v>3636</v>
      </c>
      <c r="C239" s="200" t="str">
        <f>VLOOKUP(B239,Fincas!$A$2:$C$1005,2,0)</f>
        <v>A_Santa Ines</v>
      </c>
      <c r="D239" s="201">
        <v>44679</v>
      </c>
      <c r="E239" s="267" t="str">
        <f t="shared" si="39"/>
        <v>abril</v>
      </c>
      <c r="F239" s="202">
        <v>44681</v>
      </c>
      <c r="G239" s="203">
        <v>44680</v>
      </c>
      <c r="H239" s="200" t="s">
        <v>3681</v>
      </c>
      <c r="I239" s="224">
        <v>7008146</v>
      </c>
      <c r="J239" s="234" t="str">
        <f t="shared" si="40"/>
        <v>Res macho ceba</v>
      </c>
      <c r="K239" s="200">
        <v>3344</v>
      </c>
      <c r="L239" s="550">
        <f t="shared" si="49"/>
        <v>8252.5119617224882</v>
      </c>
      <c r="M239" s="213">
        <v>27596400</v>
      </c>
      <c r="N239" s="214">
        <v>7</v>
      </c>
      <c r="O239" s="554">
        <f t="shared" si="42"/>
        <v>477.71428571428572</v>
      </c>
      <c r="P239" s="548">
        <f t="shared" si="43"/>
        <v>3942342.8571428573</v>
      </c>
    </row>
    <row r="240" spans="1:16" ht="12.75">
      <c r="A240" s="199" t="s">
        <v>1419</v>
      </c>
      <c r="B240" s="200" t="s">
        <v>3636</v>
      </c>
      <c r="C240" s="200" t="str">
        <f>VLOOKUP(B240,Fincas!$A$2:$C$1005,2,0)</f>
        <v>A_Santa Ines</v>
      </c>
      <c r="D240" s="201">
        <v>44679</v>
      </c>
      <c r="E240" s="267" t="str">
        <f t="shared" si="39"/>
        <v>abril</v>
      </c>
      <c r="F240" s="202">
        <v>44681</v>
      </c>
      <c r="G240" s="203">
        <v>44680</v>
      </c>
      <c r="H240" s="200" t="s">
        <v>3682</v>
      </c>
      <c r="I240" s="224">
        <v>7008146</v>
      </c>
      <c r="J240" s="234" t="str">
        <f t="shared" si="40"/>
        <v>Res macho ceba</v>
      </c>
      <c r="K240" s="200">
        <v>6304</v>
      </c>
      <c r="L240" s="550">
        <f t="shared" si="49"/>
        <v>8352.8553299492378</v>
      </c>
      <c r="M240" s="213">
        <v>52656400</v>
      </c>
      <c r="N240" s="214">
        <v>15</v>
      </c>
      <c r="O240" s="554">
        <f t="shared" si="42"/>
        <v>420.26666666666665</v>
      </c>
      <c r="P240" s="548">
        <f t="shared" si="43"/>
        <v>3510426.6666666665</v>
      </c>
    </row>
    <row r="241" spans="1:16" ht="12.75">
      <c r="A241" s="199" t="s">
        <v>1419</v>
      </c>
      <c r="B241" s="200" t="s">
        <v>3636</v>
      </c>
      <c r="C241" s="200" t="str">
        <f>VLOOKUP(B241,Fincas!$A$2:$C$1005,2,0)</f>
        <v>A_Santa Ines</v>
      </c>
      <c r="D241" s="201">
        <v>44679</v>
      </c>
      <c r="E241" s="267" t="str">
        <f t="shared" si="39"/>
        <v>abril</v>
      </c>
      <c r="F241" s="202">
        <v>44681</v>
      </c>
      <c r="G241" s="203">
        <v>44680</v>
      </c>
      <c r="H241" s="200" t="s">
        <v>3683</v>
      </c>
      <c r="I241" s="224">
        <v>7008146</v>
      </c>
      <c r="J241" s="234" t="str">
        <f t="shared" si="40"/>
        <v>Res macho ceba</v>
      </c>
      <c r="K241" s="200">
        <v>6920</v>
      </c>
      <c r="L241" s="550">
        <f t="shared" si="49"/>
        <v>8452.6011560693642</v>
      </c>
      <c r="M241" s="213">
        <v>58492000</v>
      </c>
      <c r="N241" s="214">
        <v>15</v>
      </c>
      <c r="O241" s="554">
        <f t="shared" si="42"/>
        <v>461.33333333333331</v>
      </c>
      <c r="P241" s="548">
        <f t="shared" si="43"/>
        <v>3899466.6666666665</v>
      </c>
    </row>
    <row r="242" spans="1:16" ht="12.75">
      <c r="A242" s="199" t="s">
        <v>3511</v>
      </c>
      <c r="B242" s="200" t="s">
        <v>3642</v>
      </c>
      <c r="C242" s="200" t="str">
        <f>VLOOKUP(B242,Fincas!$A$2:$C$1005,2,0)</f>
        <v>F_San Rafael</v>
      </c>
      <c r="D242" s="201">
        <v>44677</v>
      </c>
      <c r="E242" s="267" t="str">
        <f t="shared" si="39"/>
        <v>abril</v>
      </c>
      <c r="F242" s="202">
        <v>44678</v>
      </c>
      <c r="G242" s="203">
        <v>44680</v>
      </c>
      <c r="H242" s="200" t="s">
        <v>3684</v>
      </c>
      <c r="I242" s="212">
        <v>7008147</v>
      </c>
      <c r="J242" s="212" t="str">
        <f t="shared" si="40"/>
        <v>Res macho levante</v>
      </c>
      <c r="K242" s="200">
        <v>5586</v>
      </c>
      <c r="L242" s="550">
        <v>9550</v>
      </c>
      <c r="M242" s="205">
        <f t="shared" ref="M242:M246" si="50">L242*K242</f>
        <v>53346300</v>
      </c>
      <c r="N242" s="214">
        <v>23</v>
      </c>
      <c r="O242" s="554">
        <f t="shared" si="42"/>
        <v>242.86956521739131</v>
      </c>
      <c r="P242" s="548">
        <f t="shared" si="43"/>
        <v>2319404.3478260869</v>
      </c>
    </row>
    <row r="243" spans="1:16" ht="12.75">
      <c r="A243" s="199" t="s">
        <v>3511</v>
      </c>
      <c r="B243" s="200" t="s">
        <v>3642</v>
      </c>
      <c r="C243" s="200" t="str">
        <f>VLOOKUP(B243,Fincas!$A$2:$C$1005,2,0)</f>
        <v>F_San Rafael</v>
      </c>
      <c r="D243" s="201">
        <v>44677</v>
      </c>
      <c r="E243" s="267" t="str">
        <f t="shared" si="39"/>
        <v>abril</v>
      </c>
      <c r="F243" s="202">
        <v>44678</v>
      </c>
      <c r="G243" s="203">
        <v>44680</v>
      </c>
      <c r="H243" s="200" t="s">
        <v>3685</v>
      </c>
      <c r="I243" s="212">
        <v>7008147</v>
      </c>
      <c r="J243" s="212" t="str">
        <f t="shared" si="40"/>
        <v>Res macho levante</v>
      </c>
      <c r="K243" s="200">
        <v>2063</v>
      </c>
      <c r="L243" s="550">
        <v>8700</v>
      </c>
      <c r="M243" s="205">
        <f t="shared" si="50"/>
        <v>17948100</v>
      </c>
      <c r="N243" s="214">
        <v>7</v>
      </c>
      <c r="O243" s="554">
        <f t="shared" si="42"/>
        <v>294.71428571428572</v>
      </c>
      <c r="P243" s="548">
        <f t="shared" si="43"/>
        <v>2564014.2857142859</v>
      </c>
    </row>
    <row r="244" spans="1:16" ht="12.75">
      <c r="A244" s="199" t="s">
        <v>3511</v>
      </c>
      <c r="B244" s="200" t="s">
        <v>3642</v>
      </c>
      <c r="C244" s="200" t="str">
        <f>VLOOKUP(B244,Fincas!$A$2:$C$1005,2,0)</f>
        <v>F_San Rafael</v>
      </c>
      <c r="D244" s="201">
        <v>44677</v>
      </c>
      <c r="E244" s="267" t="str">
        <f t="shared" si="39"/>
        <v>abril</v>
      </c>
      <c r="F244" s="202">
        <v>44678</v>
      </c>
      <c r="G244" s="203">
        <v>44680</v>
      </c>
      <c r="H244" s="200" t="s">
        <v>3686</v>
      </c>
      <c r="I244" s="212">
        <v>7008147</v>
      </c>
      <c r="J244" s="212" t="str">
        <f t="shared" si="40"/>
        <v>Res macho levante</v>
      </c>
      <c r="K244" s="200">
        <v>1647</v>
      </c>
      <c r="L244" s="550">
        <v>9100</v>
      </c>
      <c r="M244" s="205">
        <f t="shared" si="50"/>
        <v>14987700</v>
      </c>
      <c r="N244" s="214">
        <v>9</v>
      </c>
      <c r="O244" s="554">
        <f t="shared" si="42"/>
        <v>183</v>
      </c>
      <c r="P244" s="548">
        <f t="shared" si="43"/>
        <v>1665300</v>
      </c>
    </row>
    <row r="245" spans="1:16" ht="12.75">
      <c r="A245" s="199" t="s">
        <v>3511</v>
      </c>
      <c r="B245" s="200" t="s">
        <v>3642</v>
      </c>
      <c r="C245" s="200" t="str">
        <f>VLOOKUP(B245,Fincas!$A$2:$C$1005,2,0)</f>
        <v>F_San Rafael</v>
      </c>
      <c r="D245" s="201">
        <v>44677</v>
      </c>
      <c r="E245" s="267" t="str">
        <f t="shared" si="39"/>
        <v>abril</v>
      </c>
      <c r="F245" s="202">
        <v>44678</v>
      </c>
      <c r="G245" s="203">
        <v>44680</v>
      </c>
      <c r="H245" s="200" t="s">
        <v>3687</v>
      </c>
      <c r="I245" s="212">
        <v>7008147</v>
      </c>
      <c r="J245" s="212" t="str">
        <f t="shared" si="40"/>
        <v>Res macho levante</v>
      </c>
      <c r="K245" s="200">
        <v>6508</v>
      </c>
      <c r="L245" s="550">
        <v>9450</v>
      </c>
      <c r="M245" s="205">
        <f t="shared" si="50"/>
        <v>61500600</v>
      </c>
      <c r="N245" s="214">
        <v>24</v>
      </c>
      <c r="O245" s="554">
        <f t="shared" si="42"/>
        <v>271.16666666666669</v>
      </c>
      <c r="P245" s="548">
        <f t="shared" si="43"/>
        <v>2562525</v>
      </c>
    </row>
    <row r="246" spans="1:16" ht="12.75">
      <c r="A246" s="199" t="s">
        <v>3511</v>
      </c>
      <c r="B246" s="200" t="s">
        <v>3642</v>
      </c>
      <c r="C246" s="200" t="str">
        <f>VLOOKUP(B246,Fincas!$A$2:$C$1005,2,0)</f>
        <v>F_San Rafael</v>
      </c>
      <c r="D246" s="201">
        <v>44677</v>
      </c>
      <c r="E246" s="267" t="str">
        <f t="shared" si="39"/>
        <v>abril</v>
      </c>
      <c r="F246" s="202">
        <v>44678</v>
      </c>
      <c r="G246" s="203">
        <v>44680</v>
      </c>
      <c r="H246" s="200" t="s">
        <v>3688</v>
      </c>
      <c r="I246" s="212">
        <v>7008147</v>
      </c>
      <c r="J246" s="212" t="str">
        <f t="shared" si="40"/>
        <v>Res macho levante</v>
      </c>
      <c r="K246" s="200">
        <v>977</v>
      </c>
      <c r="L246" s="550">
        <v>9300</v>
      </c>
      <c r="M246" s="205">
        <f t="shared" si="50"/>
        <v>9086100</v>
      </c>
      <c r="N246" s="214">
        <v>5</v>
      </c>
      <c r="O246" s="554">
        <f t="shared" si="42"/>
        <v>195.4</v>
      </c>
      <c r="P246" s="548">
        <f t="shared" si="43"/>
        <v>1817220</v>
      </c>
    </row>
    <row r="247" spans="1:16" ht="12.75">
      <c r="A247" s="199" t="s">
        <v>1419</v>
      </c>
      <c r="B247" s="200" t="s">
        <v>3617</v>
      </c>
      <c r="C247" s="200" t="str">
        <f>VLOOKUP(B247,Fincas!$A$2:$C$1005,2,0)</f>
        <v>F_Guadalupe</v>
      </c>
      <c r="D247" s="201">
        <v>44679</v>
      </c>
      <c r="E247" s="267" t="str">
        <f t="shared" si="39"/>
        <v>abril</v>
      </c>
      <c r="F247" s="202">
        <v>44679</v>
      </c>
      <c r="G247" s="203">
        <v>44680</v>
      </c>
      <c r="H247" s="200">
        <v>23041</v>
      </c>
      <c r="I247" s="224">
        <v>7008146</v>
      </c>
      <c r="J247" s="234" t="str">
        <f t="shared" si="40"/>
        <v>Res macho ceba</v>
      </c>
      <c r="K247" s="200">
        <v>5540</v>
      </c>
      <c r="L247" s="550">
        <f t="shared" ref="L247:L249" si="51">M247/K247</f>
        <v>8503.0324909747287</v>
      </c>
      <c r="M247" s="213">
        <v>47106800</v>
      </c>
      <c r="N247" s="214">
        <v>14</v>
      </c>
      <c r="O247" s="554">
        <f t="shared" si="42"/>
        <v>395.71428571428572</v>
      </c>
      <c r="P247" s="548">
        <f t="shared" si="43"/>
        <v>3364771.4285714286</v>
      </c>
    </row>
    <row r="248" spans="1:16" ht="12.75">
      <c r="A248" s="199" t="s">
        <v>1419</v>
      </c>
      <c r="B248" s="200" t="s">
        <v>3617</v>
      </c>
      <c r="C248" s="200" t="str">
        <f>VLOOKUP(B248,Fincas!$A$2:$C$1005,2,0)</f>
        <v>F_Guadalupe</v>
      </c>
      <c r="D248" s="201">
        <v>44679</v>
      </c>
      <c r="E248" s="267" t="str">
        <f t="shared" si="39"/>
        <v>abril</v>
      </c>
      <c r="F248" s="202">
        <v>44679</v>
      </c>
      <c r="G248" s="203">
        <v>44680</v>
      </c>
      <c r="H248" s="200">
        <v>23023</v>
      </c>
      <c r="I248" s="224">
        <v>7008146</v>
      </c>
      <c r="J248" s="234" t="str">
        <f t="shared" si="40"/>
        <v>Res macho ceba</v>
      </c>
      <c r="K248" s="200">
        <v>5766</v>
      </c>
      <c r="L248" s="550">
        <f t="shared" si="51"/>
        <v>7953.537981269511</v>
      </c>
      <c r="M248" s="213">
        <v>45860100</v>
      </c>
      <c r="N248" s="214">
        <v>17</v>
      </c>
      <c r="O248" s="554">
        <f t="shared" si="42"/>
        <v>339.1764705882353</v>
      </c>
      <c r="P248" s="548">
        <f t="shared" si="43"/>
        <v>2697652.9411764704</v>
      </c>
    </row>
    <row r="249" spans="1:16" ht="12.75">
      <c r="A249" s="199" t="s">
        <v>1419</v>
      </c>
      <c r="B249" s="200" t="s">
        <v>3617</v>
      </c>
      <c r="C249" s="200" t="str">
        <f>VLOOKUP(B249,Fincas!$A$2:$C$1005,2,0)</f>
        <v>F_Guadalupe</v>
      </c>
      <c r="D249" s="201">
        <v>44679</v>
      </c>
      <c r="E249" s="267" t="str">
        <f t="shared" si="39"/>
        <v>abril</v>
      </c>
      <c r="F249" s="202">
        <v>44679</v>
      </c>
      <c r="G249" s="203">
        <v>44680</v>
      </c>
      <c r="H249" s="200">
        <v>23039</v>
      </c>
      <c r="I249" s="224">
        <v>7008146</v>
      </c>
      <c r="J249" s="234" t="str">
        <f t="shared" si="40"/>
        <v>Res macho ceba</v>
      </c>
      <c r="K249" s="200">
        <v>5574</v>
      </c>
      <c r="L249" s="550">
        <f t="shared" si="51"/>
        <v>8103.0139935414427</v>
      </c>
      <c r="M249" s="213">
        <v>45166200</v>
      </c>
      <c r="N249" s="214">
        <v>14</v>
      </c>
      <c r="O249" s="554">
        <f t="shared" si="42"/>
        <v>398.14285714285717</v>
      </c>
      <c r="P249" s="548">
        <f t="shared" si="43"/>
        <v>3226157.1428571427</v>
      </c>
    </row>
    <row r="250" spans="1:16" ht="12.75">
      <c r="A250" s="199" t="s">
        <v>3689</v>
      </c>
      <c r="B250" s="200" t="s">
        <v>3498</v>
      </c>
      <c r="C250" s="200" t="str">
        <f>VLOOKUP(B250,Fincas!$A$2:$C$1005,2,0)</f>
        <v>F_Jordan</v>
      </c>
      <c r="D250" s="201">
        <v>44679</v>
      </c>
      <c r="E250" s="267" t="str">
        <f t="shared" si="39"/>
        <v>abril</v>
      </c>
      <c r="F250" s="202">
        <v>44679</v>
      </c>
      <c r="G250" s="203">
        <v>44680</v>
      </c>
      <c r="H250" s="200" t="s">
        <v>3690</v>
      </c>
      <c r="I250" s="224">
        <v>7008146</v>
      </c>
      <c r="J250" s="234" t="str">
        <f t="shared" si="40"/>
        <v>Res macho ceba</v>
      </c>
      <c r="K250" s="200">
        <v>6805</v>
      </c>
      <c r="L250" s="550">
        <v>9050</v>
      </c>
      <c r="M250" s="205">
        <f t="shared" ref="M250:M256" si="52">L250*K250</f>
        <v>61585250</v>
      </c>
      <c r="N250" s="214">
        <v>17</v>
      </c>
      <c r="O250" s="554">
        <f t="shared" si="42"/>
        <v>400.29411764705884</v>
      </c>
      <c r="P250" s="548">
        <f t="shared" si="43"/>
        <v>3622661.7647058824</v>
      </c>
    </row>
    <row r="251" spans="1:16" ht="12.75">
      <c r="A251" s="199" t="s">
        <v>3689</v>
      </c>
      <c r="B251" s="200" t="s">
        <v>3498</v>
      </c>
      <c r="C251" s="200" t="str">
        <f>VLOOKUP(B251,Fincas!$A$2:$C$1005,2,0)</f>
        <v>F_Jordan</v>
      </c>
      <c r="D251" s="201">
        <v>44679</v>
      </c>
      <c r="E251" s="267" t="str">
        <f t="shared" si="39"/>
        <v>abril</v>
      </c>
      <c r="F251" s="202">
        <v>44679</v>
      </c>
      <c r="G251" s="203">
        <v>44680</v>
      </c>
      <c r="H251" s="200" t="s">
        <v>3691</v>
      </c>
      <c r="I251" s="224">
        <v>7008146</v>
      </c>
      <c r="J251" s="234" t="str">
        <f t="shared" si="40"/>
        <v>Res macho ceba</v>
      </c>
      <c r="K251" s="200">
        <v>6847</v>
      </c>
      <c r="L251" s="550">
        <v>9050</v>
      </c>
      <c r="M251" s="205">
        <f t="shared" si="52"/>
        <v>61965350</v>
      </c>
      <c r="N251" s="214">
        <v>17</v>
      </c>
      <c r="O251" s="554">
        <f t="shared" si="42"/>
        <v>402.76470588235293</v>
      </c>
      <c r="P251" s="548">
        <f t="shared" si="43"/>
        <v>3645020.588235294</v>
      </c>
    </row>
    <row r="252" spans="1:16" ht="12.75">
      <c r="A252" s="199" t="s">
        <v>3426</v>
      </c>
      <c r="B252" s="200" t="s">
        <v>3642</v>
      </c>
      <c r="C252" s="200" t="str">
        <f>VLOOKUP(B252,Fincas!$A$2:$C$1005,2,0)</f>
        <v>F_San Rafael</v>
      </c>
      <c r="D252" s="201">
        <v>44683</v>
      </c>
      <c r="E252" s="267" t="str">
        <f t="shared" si="39"/>
        <v>mayo</v>
      </c>
      <c r="F252" s="202">
        <v>44685</v>
      </c>
      <c r="G252" s="203">
        <v>44687</v>
      </c>
      <c r="H252" s="230" t="s">
        <v>3692</v>
      </c>
      <c r="I252" s="212">
        <v>7008147</v>
      </c>
      <c r="J252" s="212" t="str">
        <f t="shared" si="40"/>
        <v>Res macho levante</v>
      </c>
      <c r="K252" s="200">
        <v>16051</v>
      </c>
      <c r="L252" s="550">
        <v>9717</v>
      </c>
      <c r="M252" s="205">
        <f t="shared" si="52"/>
        <v>155967567</v>
      </c>
      <c r="N252" s="214">
        <v>66</v>
      </c>
      <c r="O252" s="554">
        <f t="shared" si="42"/>
        <v>243.19696969696969</v>
      </c>
      <c r="P252" s="548">
        <f t="shared" si="43"/>
        <v>2363144.9545454546</v>
      </c>
    </row>
    <row r="253" spans="1:16" ht="12.75">
      <c r="A253" s="199" t="s">
        <v>3522</v>
      </c>
      <c r="B253" s="200" t="s">
        <v>3523</v>
      </c>
      <c r="C253" s="200" t="str">
        <f>VLOOKUP(B253,Fincas!$A$2:$C$1005,2,0)</f>
        <v>F_El Caldero</v>
      </c>
      <c r="D253" s="201">
        <v>44691</v>
      </c>
      <c r="E253" s="267" t="str">
        <f t="shared" si="39"/>
        <v>mayo</v>
      </c>
      <c r="F253" s="202">
        <v>44691</v>
      </c>
      <c r="G253" s="203">
        <v>44691</v>
      </c>
      <c r="H253" s="200" t="s">
        <v>3693</v>
      </c>
      <c r="I253" s="224">
        <v>7008146</v>
      </c>
      <c r="J253" s="234" t="str">
        <f t="shared" si="40"/>
        <v>Res macho ceba</v>
      </c>
      <c r="K253" s="200">
        <v>23729</v>
      </c>
      <c r="L253" s="550">
        <v>9300</v>
      </c>
      <c r="M253" s="205">
        <f t="shared" si="52"/>
        <v>220679700</v>
      </c>
      <c r="N253" s="214">
        <v>70</v>
      </c>
      <c r="O253" s="554">
        <f t="shared" si="42"/>
        <v>338.98571428571427</v>
      </c>
      <c r="P253" s="548">
        <f t="shared" si="43"/>
        <v>3152567.1428571427</v>
      </c>
    </row>
    <row r="254" spans="1:16" ht="12.75">
      <c r="A254" s="199" t="s">
        <v>3511</v>
      </c>
      <c r="B254" s="200" t="s">
        <v>3694</v>
      </c>
      <c r="C254" s="200" t="str">
        <f>VLOOKUP(B254,Fincas!$A$2:$C$1005,2,0)</f>
        <v>F_Villa Cristina</v>
      </c>
      <c r="D254" s="201">
        <v>44690</v>
      </c>
      <c r="E254" s="267" t="str">
        <f t="shared" si="39"/>
        <v>mayo</v>
      </c>
      <c r="F254" s="202">
        <v>44660</v>
      </c>
      <c r="G254" s="203">
        <v>44691</v>
      </c>
      <c r="H254" s="200" t="s">
        <v>3695</v>
      </c>
      <c r="I254" s="224">
        <v>7008146</v>
      </c>
      <c r="J254" s="234" t="str">
        <f t="shared" si="40"/>
        <v>Res macho ceba</v>
      </c>
      <c r="K254" s="200">
        <v>11832</v>
      </c>
      <c r="L254" s="550">
        <v>8420</v>
      </c>
      <c r="M254" s="205">
        <f t="shared" si="52"/>
        <v>99625440</v>
      </c>
      <c r="N254" s="214">
        <v>34</v>
      </c>
      <c r="O254" s="554">
        <f t="shared" si="42"/>
        <v>348</v>
      </c>
      <c r="P254" s="548">
        <f t="shared" si="43"/>
        <v>2930160</v>
      </c>
    </row>
    <row r="255" spans="1:16" ht="12.75">
      <c r="A255" s="199" t="s">
        <v>3511</v>
      </c>
      <c r="B255" s="200" t="s">
        <v>3696</v>
      </c>
      <c r="C255" s="200" t="str">
        <f>VLOOKUP(B255,Fincas!$A$2:$C$1005,2,0)</f>
        <v>F_Las Delicias</v>
      </c>
      <c r="D255" s="201">
        <v>44691</v>
      </c>
      <c r="E255" s="267" t="str">
        <f t="shared" si="39"/>
        <v>mayo</v>
      </c>
      <c r="F255" s="202">
        <v>44692</v>
      </c>
      <c r="G255" s="203">
        <v>44692</v>
      </c>
      <c r="H255" s="200" t="s">
        <v>3697</v>
      </c>
      <c r="I255" s="212">
        <v>7008147</v>
      </c>
      <c r="J255" s="212" t="str">
        <f t="shared" si="40"/>
        <v>Res macho levante</v>
      </c>
      <c r="K255" s="200">
        <v>3714</v>
      </c>
      <c r="L255" s="550">
        <v>9200</v>
      </c>
      <c r="M255" s="205">
        <f t="shared" si="52"/>
        <v>34168800</v>
      </c>
      <c r="N255" s="214">
        <v>18</v>
      </c>
      <c r="O255" s="554">
        <f t="shared" si="42"/>
        <v>206.33333333333334</v>
      </c>
      <c r="P255" s="548">
        <f t="shared" si="43"/>
        <v>1898266.6666666667</v>
      </c>
    </row>
    <row r="256" spans="1:16" ht="12.75">
      <c r="A256" s="199" t="s">
        <v>3426</v>
      </c>
      <c r="B256" s="200" t="s">
        <v>3476</v>
      </c>
      <c r="C256" s="200" t="str">
        <f>VLOOKUP(B256,Fincas!$A$2:$C$1005,2,0)</f>
        <v>F_Guacharacas</v>
      </c>
      <c r="D256" s="201">
        <v>44682</v>
      </c>
      <c r="E256" s="267" t="str">
        <f t="shared" si="39"/>
        <v>mayo</v>
      </c>
      <c r="F256" s="202">
        <v>44682</v>
      </c>
      <c r="G256" s="203">
        <v>44692</v>
      </c>
      <c r="H256" s="200" t="s">
        <v>3698</v>
      </c>
      <c r="I256" s="224">
        <v>7008146</v>
      </c>
      <c r="J256" s="234" t="str">
        <f t="shared" si="40"/>
        <v>Res macho ceba</v>
      </c>
      <c r="K256" s="200">
        <v>16101</v>
      </c>
      <c r="L256" s="550">
        <v>8050</v>
      </c>
      <c r="M256" s="205">
        <f t="shared" si="52"/>
        <v>129613050</v>
      </c>
      <c r="N256" s="214">
        <v>46</v>
      </c>
      <c r="O256" s="554">
        <f t="shared" si="42"/>
        <v>350.02173913043481</v>
      </c>
      <c r="P256" s="548">
        <f t="shared" si="43"/>
        <v>2817675</v>
      </c>
    </row>
    <row r="257" spans="1:16" ht="12.75">
      <c r="A257" s="199" t="s">
        <v>1429</v>
      </c>
      <c r="B257" s="200" t="s">
        <v>3699</v>
      </c>
      <c r="C257" s="200" t="str">
        <f>VLOOKUP(B257,Fincas!$A$2:$C$1005,2,0)</f>
        <v>F_Las Pampas</v>
      </c>
      <c r="D257" s="201">
        <v>44691</v>
      </c>
      <c r="E257" s="267" t="str">
        <f t="shared" si="39"/>
        <v>mayo</v>
      </c>
      <c r="F257" s="202">
        <v>44691</v>
      </c>
      <c r="G257" s="203">
        <v>44692</v>
      </c>
      <c r="H257" s="200" t="s">
        <v>3700</v>
      </c>
      <c r="I257" s="224">
        <v>7008146</v>
      </c>
      <c r="J257" s="234" t="str">
        <f t="shared" si="40"/>
        <v>Res macho ceba</v>
      </c>
      <c r="K257" s="200">
        <v>75025</v>
      </c>
      <c r="L257" s="550">
        <f t="shared" ref="L257:L258" si="53">M257/K257</f>
        <v>8033.719430056648</v>
      </c>
      <c r="M257" s="213">
        <v>602729800.24000001</v>
      </c>
      <c r="N257" s="214">
        <v>217</v>
      </c>
      <c r="O257" s="554">
        <f t="shared" si="42"/>
        <v>345.73732718894007</v>
      </c>
      <c r="P257" s="548">
        <f t="shared" si="43"/>
        <v>2777556.6831336408</v>
      </c>
    </row>
    <row r="258" spans="1:16" ht="12.75">
      <c r="A258" s="199" t="s">
        <v>1429</v>
      </c>
      <c r="B258" s="200" t="s">
        <v>3699</v>
      </c>
      <c r="C258" s="200" t="str">
        <f>VLOOKUP(B258,Fincas!$A$2:$C$1005,2,0)</f>
        <v>F_Las Pampas</v>
      </c>
      <c r="D258" s="201">
        <v>44692</v>
      </c>
      <c r="E258" s="267" t="str">
        <f t="shared" si="39"/>
        <v>mayo</v>
      </c>
      <c r="F258" s="202">
        <v>44686</v>
      </c>
      <c r="G258" s="203">
        <v>44692</v>
      </c>
      <c r="H258" s="200" t="s">
        <v>3701</v>
      </c>
      <c r="I258" s="212">
        <v>7008147</v>
      </c>
      <c r="J258" s="212" t="str">
        <f t="shared" si="40"/>
        <v>Res macho levante</v>
      </c>
      <c r="K258" s="200">
        <v>148030</v>
      </c>
      <c r="L258" s="550">
        <f t="shared" si="53"/>
        <v>8328.2753495912984</v>
      </c>
      <c r="M258" s="213">
        <v>1232834600</v>
      </c>
      <c r="N258" s="214">
        <v>528</v>
      </c>
      <c r="O258" s="554">
        <f t="shared" si="42"/>
        <v>280.3598484848485</v>
      </c>
      <c r="P258" s="548">
        <f t="shared" si="43"/>
        <v>2334914.0151515151</v>
      </c>
    </row>
    <row r="259" spans="1:16" ht="12.75">
      <c r="A259" s="199" t="s">
        <v>3463</v>
      </c>
      <c r="B259" s="200" t="s">
        <v>3702</v>
      </c>
      <c r="C259" s="200" t="str">
        <f>VLOOKUP(B259,Fincas!$A$2:$C$1005,2,0)</f>
        <v>F_Tunez</v>
      </c>
      <c r="D259" s="201">
        <v>44686</v>
      </c>
      <c r="E259" s="267" t="str">
        <f t="shared" ref="E259:E321" si="54">+TEXT(D259,"mmmm")</f>
        <v>mayo</v>
      </c>
      <c r="F259" s="202">
        <v>44686</v>
      </c>
      <c r="G259" s="203">
        <v>44693</v>
      </c>
      <c r="H259" s="200" t="s">
        <v>3703</v>
      </c>
      <c r="I259" s="224">
        <v>7008146</v>
      </c>
      <c r="J259" s="234" t="str">
        <f t="shared" ref="J259:J322" si="55">+VLOOKUP(I259,$F$962:$G$970,2,0)</f>
        <v>Res macho ceba</v>
      </c>
      <c r="K259" s="200">
        <v>20130</v>
      </c>
      <c r="L259" s="550">
        <v>9050</v>
      </c>
      <c r="M259" s="205">
        <f t="shared" ref="M259:M261" si="56">L259*K259</f>
        <v>182176500</v>
      </c>
      <c r="N259" s="214">
        <v>55</v>
      </c>
      <c r="O259" s="554">
        <f t="shared" ref="O259:O322" si="57">+K259/N259</f>
        <v>366</v>
      </c>
      <c r="P259" s="548">
        <f>+M259/N259</f>
        <v>3312300</v>
      </c>
    </row>
    <row r="260" spans="1:16" ht="12.75">
      <c r="A260" s="199" t="s">
        <v>3511</v>
      </c>
      <c r="B260" s="200" t="s">
        <v>3696</v>
      </c>
      <c r="C260" s="200" t="str">
        <f>VLOOKUP(B260,Fincas!$A$2:$C$1005,2,0)</f>
        <v>F_Las Delicias</v>
      </c>
      <c r="D260" s="201">
        <v>44686</v>
      </c>
      <c r="E260" s="267" t="str">
        <f t="shared" si="54"/>
        <v>mayo</v>
      </c>
      <c r="F260" s="202">
        <v>44688</v>
      </c>
      <c r="G260" s="203">
        <v>44693</v>
      </c>
      <c r="H260" s="200">
        <v>7177</v>
      </c>
      <c r="I260" s="212">
        <v>7008147</v>
      </c>
      <c r="J260" s="212" t="str">
        <f t="shared" si="55"/>
        <v>Res macho levante</v>
      </c>
      <c r="K260" s="200">
        <v>1286</v>
      </c>
      <c r="L260" s="550">
        <v>9300</v>
      </c>
      <c r="M260" s="205">
        <f t="shared" si="56"/>
        <v>11959800</v>
      </c>
      <c r="N260" s="214">
        <v>7</v>
      </c>
      <c r="O260" s="554">
        <f t="shared" si="57"/>
        <v>183.71428571428572</v>
      </c>
      <c r="P260" s="548">
        <f>+M260/N260</f>
        <v>1708542.857142857</v>
      </c>
    </row>
    <row r="261" spans="1:16" ht="12.75">
      <c r="A261" s="199" t="s">
        <v>3511</v>
      </c>
      <c r="B261" s="200" t="s">
        <v>3696</v>
      </c>
      <c r="C261" s="200" t="str">
        <f>VLOOKUP(B261,Fincas!$A$2:$C$1005,2,0)</f>
        <v>F_Las Delicias</v>
      </c>
      <c r="D261" s="201">
        <v>44686</v>
      </c>
      <c r="E261" s="267" t="str">
        <f t="shared" si="54"/>
        <v>mayo</v>
      </c>
      <c r="F261" s="202">
        <v>44688</v>
      </c>
      <c r="G261" s="203">
        <v>44693</v>
      </c>
      <c r="H261" s="200">
        <v>7200</v>
      </c>
      <c r="I261" s="212">
        <v>7008147</v>
      </c>
      <c r="J261" s="212" t="str">
        <f t="shared" si="55"/>
        <v>Res macho levante</v>
      </c>
      <c r="K261" s="200">
        <v>4926</v>
      </c>
      <c r="L261" s="550">
        <v>9700</v>
      </c>
      <c r="M261" s="205">
        <f t="shared" si="56"/>
        <v>47782200</v>
      </c>
      <c r="N261" s="214">
        <v>26</v>
      </c>
      <c r="O261" s="554">
        <f t="shared" si="57"/>
        <v>189.46153846153845</v>
      </c>
      <c r="P261" s="548">
        <f>+M261/N261</f>
        <v>1837776.923076923</v>
      </c>
    </row>
    <row r="262" spans="1:16" ht="12.75">
      <c r="A262" s="199" t="s">
        <v>3511</v>
      </c>
      <c r="B262" s="200" t="s">
        <v>3696</v>
      </c>
      <c r="C262" s="200" t="str">
        <f>VLOOKUP(B262,Fincas!$A$2:$C$1005,2,0)</f>
        <v>F_Las Delicias</v>
      </c>
      <c r="D262" s="201">
        <v>44686</v>
      </c>
      <c r="E262" s="267" t="str">
        <f t="shared" si="54"/>
        <v>mayo</v>
      </c>
      <c r="F262" s="202">
        <v>44688</v>
      </c>
      <c r="G262" s="203">
        <v>44693</v>
      </c>
      <c r="H262" s="200">
        <v>7197</v>
      </c>
      <c r="I262" s="212">
        <v>7008147</v>
      </c>
      <c r="J262" s="212" t="str">
        <f t="shared" si="55"/>
        <v>Res macho levante</v>
      </c>
      <c r="K262" s="200">
        <v>3298</v>
      </c>
      <c r="L262" s="550">
        <f>M262/K262</f>
        <v>9278.350515463917</v>
      </c>
      <c r="M262" s="213">
        <v>30600000</v>
      </c>
      <c r="N262" s="214">
        <v>18</v>
      </c>
      <c r="O262" s="554">
        <f t="shared" si="57"/>
        <v>183.22222222222223</v>
      </c>
      <c r="P262" s="548">
        <f>+M262/N262</f>
        <v>1700000</v>
      </c>
    </row>
    <row r="263" spans="1:16" ht="12.75">
      <c r="A263" s="199" t="s">
        <v>3511</v>
      </c>
      <c r="B263" s="200" t="s">
        <v>3696</v>
      </c>
      <c r="C263" s="200" t="str">
        <f>VLOOKUP(B263,Fincas!$A$2:$C$1005,2,0)</f>
        <v>F_Las Delicias</v>
      </c>
      <c r="D263" s="201">
        <v>44686</v>
      </c>
      <c r="E263" s="267" t="str">
        <f t="shared" si="54"/>
        <v>mayo</v>
      </c>
      <c r="F263" s="202">
        <v>44688</v>
      </c>
      <c r="G263" s="203">
        <v>44693</v>
      </c>
      <c r="H263" s="200">
        <v>7193</v>
      </c>
      <c r="I263" s="212">
        <v>7008147</v>
      </c>
      <c r="J263" s="212" t="str">
        <f t="shared" si="55"/>
        <v>Res macho levante</v>
      </c>
      <c r="K263" s="200">
        <v>5130</v>
      </c>
      <c r="L263" s="550">
        <v>9200</v>
      </c>
      <c r="M263" s="205">
        <f>L263*K263</f>
        <v>47196000</v>
      </c>
      <c r="N263" s="214">
        <v>30</v>
      </c>
      <c r="O263" s="554">
        <f t="shared" si="57"/>
        <v>171</v>
      </c>
      <c r="P263" s="548">
        <f>+M263/N263</f>
        <v>1573200</v>
      </c>
    </row>
    <row r="264" spans="1:16" ht="12.75">
      <c r="A264" s="199" t="s">
        <v>3511</v>
      </c>
      <c r="B264" s="200" t="s">
        <v>3696</v>
      </c>
      <c r="C264" s="200" t="str">
        <f>VLOOKUP(B264,Fincas!$A$2:$C$1005,2,0)</f>
        <v>F_Las Delicias</v>
      </c>
      <c r="D264" s="201">
        <v>44687</v>
      </c>
      <c r="E264" s="267" t="str">
        <f t="shared" si="54"/>
        <v>mayo</v>
      </c>
      <c r="F264" s="202">
        <v>44688</v>
      </c>
      <c r="G264" s="203">
        <v>44693</v>
      </c>
      <c r="H264" s="200">
        <v>6932</v>
      </c>
      <c r="I264" s="212">
        <v>7008147</v>
      </c>
      <c r="J264" s="212" t="str">
        <f t="shared" si="55"/>
        <v>Res macho levante</v>
      </c>
      <c r="K264" s="200">
        <v>6369</v>
      </c>
      <c r="L264" s="550">
        <f t="shared" ref="L264:L266" si="58">M264/K264</f>
        <v>9326.4248704663205</v>
      </c>
      <c r="M264" s="213">
        <v>59400000</v>
      </c>
      <c r="N264" s="214">
        <v>27</v>
      </c>
      <c r="O264" s="554">
        <f t="shared" si="57"/>
        <v>235.88888888888889</v>
      </c>
      <c r="P264" s="548">
        <f>+M264/N264</f>
        <v>2200000</v>
      </c>
    </row>
    <row r="265" spans="1:16" ht="12.75">
      <c r="A265" s="199" t="s">
        <v>3511</v>
      </c>
      <c r="B265" s="200" t="s">
        <v>3696</v>
      </c>
      <c r="C265" s="200" t="str">
        <f>VLOOKUP(B265,Fincas!$A$2:$C$1005,2,0)</f>
        <v>F_Las Delicias</v>
      </c>
      <c r="D265" s="201">
        <v>44687</v>
      </c>
      <c r="E265" s="267" t="str">
        <f t="shared" si="54"/>
        <v>mayo</v>
      </c>
      <c r="F265" s="202">
        <v>44688</v>
      </c>
      <c r="G265" s="203">
        <v>44693</v>
      </c>
      <c r="H265" s="200">
        <v>6931</v>
      </c>
      <c r="I265" s="212">
        <v>7008147</v>
      </c>
      <c r="J265" s="212" t="str">
        <f t="shared" si="55"/>
        <v>Res macho levante</v>
      </c>
      <c r="K265" s="200">
        <v>3241</v>
      </c>
      <c r="L265" s="550">
        <f t="shared" si="58"/>
        <v>9028.0777537796985</v>
      </c>
      <c r="M265" s="213">
        <v>29260000</v>
      </c>
      <c r="N265" s="214">
        <v>19</v>
      </c>
      <c r="O265" s="554">
        <f t="shared" si="57"/>
        <v>170.57894736842104</v>
      </c>
      <c r="P265" s="548">
        <f>+M265/N265</f>
        <v>1540000</v>
      </c>
    </row>
    <row r="266" spans="1:16" ht="12.75">
      <c r="A266" s="199" t="s">
        <v>3511</v>
      </c>
      <c r="B266" s="200" t="s">
        <v>3696</v>
      </c>
      <c r="C266" s="200" t="str">
        <f>VLOOKUP(B266,Fincas!$A$2:$C$1005,2,0)</f>
        <v>F_Las Delicias</v>
      </c>
      <c r="D266" s="201">
        <v>44687</v>
      </c>
      <c r="E266" s="267" t="str">
        <f t="shared" si="54"/>
        <v>mayo</v>
      </c>
      <c r="F266" s="202">
        <v>44688</v>
      </c>
      <c r="G266" s="203">
        <v>44693</v>
      </c>
      <c r="H266" s="200">
        <v>6948</v>
      </c>
      <c r="I266" s="212">
        <v>7008147</v>
      </c>
      <c r="J266" s="212" t="str">
        <f t="shared" si="55"/>
        <v>Res macho levante</v>
      </c>
      <c r="K266" s="200">
        <v>980</v>
      </c>
      <c r="L266" s="550">
        <f t="shared" si="58"/>
        <v>8316.3265306122448</v>
      </c>
      <c r="M266" s="213">
        <v>8150000</v>
      </c>
      <c r="N266" s="214">
        <v>5</v>
      </c>
      <c r="O266" s="554">
        <f t="shared" si="57"/>
        <v>196</v>
      </c>
      <c r="P266" s="548">
        <f>+M266/N266</f>
        <v>1630000</v>
      </c>
    </row>
    <row r="267" spans="1:16" ht="12.75">
      <c r="A267" s="199" t="s">
        <v>3511</v>
      </c>
      <c r="B267" s="200" t="s">
        <v>3694</v>
      </c>
      <c r="C267" s="200" t="str">
        <f>VLOOKUP(B267,Fincas!$A$2:$C$1005,2,0)</f>
        <v>F_Villa Cristina</v>
      </c>
      <c r="D267" s="201">
        <v>44686</v>
      </c>
      <c r="E267" s="267" t="str">
        <f t="shared" si="54"/>
        <v>mayo</v>
      </c>
      <c r="F267" s="202">
        <v>44687</v>
      </c>
      <c r="G267" s="203">
        <v>44693</v>
      </c>
      <c r="H267" s="200" t="s">
        <v>3704</v>
      </c>
      <c r="I267" s="224">
        <v>7008146</v>
      </c>
      <c r="J267" s="234" t="str">
        <f t="shared" si="55"/>
        <v>Res macho ceba</v>
      </c>
      <c r="K267" s="200">
        <v>4482</v>
      </c>
      <c r="L267" s="550">
        <v>8700</v>
      </c>
      <c r="M267" s="205">
        <f t="shared" ref="M267:M268" si="59">L267*K267</f>
        <v>38993400</v>
      </c>
      <c r="N267" s="214">
        <v>15</v>
      </c>
      <c r="O267" s="554">
        <f t="shared" si="57"/>
        <v>298.8</v>
      </c>
      <c r="P267" s="548">
        <f>+M267/N267</f>
        <v>2599560</v>
      </c>
    </row>
    <row r="268" spans="1:16" ht="12.75">
      <c r="A268" s="199" t="s">
        <v>3511</v>
      </c>
      <c r="B268" s="200" t="s">
        <v>3705</v>
      </c>
      <c r="C268" s="200" t="str">
        <f>VLOOKUP(B268,Fincas!$A$2:$C$1005,2,0)</f>
        <v>F_San Martin</v>
      </c>
      <c r="D268" s="201">
        <v>44690</v>
      </c>
      <c r="E268" s="267" t="str">
        <f t="shared" si="54"/>
        <v>mayo</v>
      </c>
      <c r="F268" s="202">
        <v>44690</v>
      </c>
      <c r="G268" s="203">
        <v>44693</v>
      </c>
      <c r="H268" s="200" t="s">
        <v>3706</v>
      </c>
      <c r="I268" s="224">
        <v>7008146</v>
      </c>
      <c r="J268" s="234" t="str">
        <f t="shared" si="55"/>
        <v>Res macho ceba</v>
      </c>
      <c r="K268" s="200">
        <v>28728</v>
      </c>
      <c r="L268" s="550">
        <v>8670</v>
      </c>
      <c r="M268" s="205">
        <f t="shared" si="59"/>
        <v>249071760</v>
      </c>
      <c r="N268" s="214">
        <v>104</v>
      </c>
      <c r="O268" s="554">
        <f t="shared" si="57"/>
        <v>276.23076923076923</v>
      </c>
      <c r="P268" s="548">
        <f>+M268/N268</f>
        <v>2394920.769230769</v>
      </c>
    </row>
    <row r="269" spans="1:16" ht="12.75">
      <c r="A269" s="199" t="s">
        <v>1419</v>
      </c>
      <c r="B269" s="200" t="s">
        <v>3434</v>
      </c>
      <c r="C269" s="200" t="str">
        <f>VLOOKUP(B269,Fincas!$A$2:$C$1005,2,0)</f>
        <v>F_Yacare</v>
      </c>
      <c r="D269" s="201">
        <v>44688</v>
      </c>
      <c r="E269" s="267" t="str">
        <f t="shared" si="54"/>
        <v>mayo</v>
      </c>
      <c r="F269" s="202">
        <v>44690</v>
      </c>
      <c r="G269" s="203">
        <v>44693</v>
      </c>
      <c r="H269" s="200" t="s">
        <v>3707</v>
      </c>
      <c r="I269" s="224">
        <v>7008146</v>
      </c>
      <c r="J269" s="234" t="str">
        <f t="shared" si="55"/>
        <v>Res macho ceba</v>
      </c>
      <c r="K269" s="200">
        <v>4140</v>
      </c>
      <c r="L269" s="550">
        <f>M269/K269</f>
        <v>8302.608695652174</v>
      </c>
      <c r="M269" s="213">
        <v>34372800</v>
      </c>
      <c r="N269" s="214">
        <v>9</v>
      </c>
      <c r="O269" s="554">
        <f t="shared" si="57"/>
        <v>460</v>
      </c>
      <c r="P269" s="548">
        <f>+M269/N269</f>
        <v>3819200</v>
      </c>
    </row>
    <row r="270" spans="1:16" ht="12.75">
      <c r="A270" s="199" t="s">
        <v>1429</v>
      </c>
      <c r="B270" s="200" t="s">
        <v>3708</v>
      </c>
      <c r="C270" s="200" t="str">
        <f>VLOOKUP(B270,Fincas!$A$2:$C$1005,2,0)</f>
        <v>F_El Arbolito</v>
      </c>
      <c r="D270" s="201">
        <v>44691</v>
      </c>
      <c r="E270" s="267" t="str">
        <f t="shared" si="54"/>
        <v>mayo</v>
      </c>
      <c r="F270" s="202">
        <v>44686</v>
      </c>
      <c r="G270" s="203">
        <v>44692</v>
      </c>
      <c r="H270" s="200" t="s">
        <v>3709</v>
      </c>
      <c r="I270" s="224">
        <v>7008146</v>
      </c>
      <c r="J270" s="234" t="str">
        <f t="shared" si="55"/>
        <v>Res macho ceba</v>
      </c>
      <c r="K270" s="200">
        <v>90730</v>
      </c>
      <c r="L270" s="550">
        <v>8100</v>
      </c>
      <c r="M270" s="205">
        <f>L270*K270</f>
        <v>734913000</v>
      </c>
      <c r="N270" s="214">
        <v>218</v>
      </c>
      <c r="O270" s="554">
        <f t="shared" si="57"/>
        <v>416.1926605504587</v>
      </c>
      <c r="P270" s="548">
        <f>+M270/N270</f>
        <v>3371160.5504587158</v>
      </c>
    </row>
    <row r="271" spans="1:16" ht="12.75">
      <c r="A271" s="199" t="s">
        <v>3454</v>
      </c>
      <c r="B271" s="200" t="s">
        <v>3710</v>
      </c>
      <c r="C271" s="200" t="str">
        <f>VLOOKUP(B271,Fincas!$A$2:$C$1005,2,0)</f>
        <v>A_Linda Loma</v>
      </c>
      <c r="D271" s="201">
        <v>44686</v>
      </c>
      <c r="E271" s="267" t="str">
        <f t="shared" si="54"/>
        <v>mayo</v>
      </c>
      <c r="F271" s="202">
        <v>44692</v>
      </c>
      <c r="G271" s="203">
        <v>44694</v>
      </c>
      <c r="H271" s="200">
        <v>7816</v>
      </c>
      <c r="I271" s="212">
        <v>7008147</v>
      </c>
      <c r="J271" s="212" t="str">
        <f t="shared" si="55"/>
        <v>Res macho levante</v>
      </c>
      <c r="K271" s="235">
        <v>12279</v>
      </c>
      <c r="L271" s="550">
        <f t="shared" ref="L271:L272" si="60">M271/K271</f>
        <v>9848.0200342047392</v>
      </c>
      <c r="M271" s="213">
        <v>120923838</v>
      </c>
      <c r="N271" s="214">
        <v>42</v>
      </c>
      <c r="O271" s="554">
        <f t="shared" si="57"/>
        <v>292.35714285714283</v>
      </c>
      <c r="P271" s="548">
        <f>+M271/N271</f>
        <v>2879139</v>
      </c>
    </row>
    <row r="272" spans="1:16" ht="12.75">
      <c r="A272" s="199" t="s">
        <v>3454</v>
      </c>
      <c r="B272" s="200" t="s">
        <v>3710</v>
      </c>
      <c r="C272" s="200" t="str">
        <f>VLOOKUP(B272,Fincas!$A$2:$C$1005,2,0)</f>
        <v>A_Linda Loma</v>
      </c>
      <c r="D272" s="201">
        <v>44686</v>
      </c>
      <c r="E272" s="267" t="str">
        <f t="shared" si="54"/>
        <v>mayo</v>
      </c>
      <c r="F272" s="202">
        <v>44692</v>
      </c>
      <c r="G272" s="203">
        <v>44694</v>
      </c>
      <c r="H272" s="200">
        <v>7818</v>
      </c>
      <c r="I272" s="212">
        <v>7008147</v>
      </c>
      <c r="J272" s="212" t="str">
        <f t="shared" si="55"/>
        <v>Res macho levante</v>
      </c>
      <c r="K272" s="235">
        <v>11383</v>
      </c>
      <c r="L272" s="550">
        <f t="shared" si="60"/>
        <v>10049</v>
      </c>
      <c r="M272" s="213">
        <v>114387767</v>
      </c>
      <c r="N272" s="214">
        <v>40</v>
      </c>
      <c r="O272" s="554">
        <f t="shared" si="57"/>
        <v>284.57499999999999</v>
      </c>
      <c r="P272" s="548">
        <f>+M272/N272</f>
        <v>2859694.1749999998</v>
      </c>
    </row>
    <row r="273" spans="1:16" ht="12.75">
      <c r="A273" s="199" t="s">
        <v>3454</v>
      </c>
      <c r="B273" s="200" t="s">
        <v>3710</v>
      </c>
      <c r="C273" s="200" t="str">
        <f>VLOOKUP(B273,Fincas!$A$2:$C$1005,2,0)</f>
        <v>A_Linda Loma</v>
      </c>
      <c r="D273" s="201">
        <v>44685</v>
      </c>
      <c r="E273" s="267" t="str">
        <f t="shared" si="54"/>
        <v>mayo</v>
      </c>
      <c r="F273" s="202">
        <v>44692</v>
      </c>
      <c r="G273" s="203">
        <v>44694</v>
      </c>
      <c r="H273" s="200">
        <v>7803</v>
      </c>
      <c r="I273" s="212">
        <v>7008147</v>
      </c>
      <c r="J273" s="212" t="str">
        <f t="shared" si="55"/>
        <v>Res macho levante</v>
      </c>
      <c r="K273" s="200">
        <v>5374</v>
      </c>
      <c r="L273" s="550">
        <f t="shared" ref="L273:L275" si="61">M273/K273</f>
        <v>9446.0599181243015</v>
      </c>
      <c r="M273" s="213">
        <v>50763126</v>
      </c>
      <c r="N273" s="214">
        <v>20</v>
      </c>
      <c r="O273" s="554">
        <f t="shared" si="57"/>
        <v>268.7</v>
      </c>
      <c r="P273" s="548">
        <f>+M273/N273</f>
        <v>2538156.2999999998</v>
      </c>
    </row>
    <row r="274" spans="1:16" ht="12.75">
      <c r="A274" s="199" t="s">
        <v>3454</v>
      </c>
      <c r="B274" s="200" t="s">
        <v>3710</v>
      </c>
      <c r="C274" s="200" t="str">
        <f>VLOOKUP(B274,Fincas!$A$2:$C$1005,2,0)</f>
        <v>A_Linda Loma</v>
      </c>
      <c r="D274" s="201">
        <v>44685</v>
      </c>
      <c r="E274" s="267" t="str">
        <f t="shared" si="54"/>
        <v>mayo</v>
      </c>
      <c r="F274" s="202">
        <v>44692</v>
      </c>
      <c r="G274" s="203">
        <v>44694</v>
      </c>
      <c r="H274" s="200">
        <v>7804</v>
      </c>
      <c r="I274" s="212">
        <v>7008147</v>
      </c>
      <c r="J274" s="212" t="str">
        <f t="shared" si="55"/>
        <v>Res macho levante</v>
      </c>
      <c r="K274" s="200">
        <v>5342</v>
      </c>
      <c r="L274" s="550">
        <f t="shared" si="61"/>
        <v>9395.8150505428675</v>
      </c>
      <c r="M274" s="213">
        <v>50192444</v>
      </c>
      <c r="N274" s="214">
        <v>20</v>
      </c>
      <c r="O274" s="554">
        <f t="shared" si="57"/>
        <v>267.10000000000002</v>
      </c>
      <c r="P274" s="548">
        <f>+M274/N274</f>
        <v>2509622.2000000002</v>
      </c>
    </row>
    <row r="275" spans="1:16" ht="12.75">
      <c r="A275" s="199" t="s">
        <v>3454</v>
      </c>
      <c r="B275" s="200" t="s">
        <v>3710</v>
      </c>
      <c r="C275" s="200" t="str">
        <f>VLOOKUP(B275,Fincas!$A$2:$C$1005,2,0)</f>
        <v>A_Linda Loma</v>
      </c>
      <c r="D275" s="201">
        <v>44685</v>
      </c>
      <c r="E275" s="267" t="str">
        <f t="shared" si="54"/>
        <v>mayo</v>
      </c>
      <c r="F275" s="202">
        <v>44692</v>
      </c>
      <c r="G275" s="203">
        <v>44694</v>
      </c>
      <c r="H275" s="200">
        <v>7810</v>
      </c>
      <c r="I275" s="212">
        <v>7008147</v>
      </c>
      <c r="J275" s="212" t="str">
        <f t="shared" si="55"/>
        <v>Res macho levante</v>
      </c>
      <c r="K275" s="200">
        <v>11112</v>
      </c>
      <c r="L275" s="550">
        <f t="shared" si="61"/>
        <v>9898.2650287976958</v>
      </c>
      <c r="M275" s="213">
        <v>109989521</v>
      </c>
      <c r="N275" s="214">
        <v>40</v>
      </c>
      <c r="O275" s="554">
        <f t="shared" si="57"/>
        <v>277.8</v>
      </c>
      <c r="P275" s="548">
        <f>+M275/N275</f>
        <v>2749738.0249999999</v>
      </c>
    </row>
    <row r="276" spans="1:16" ht="12.75">
      <c r="A276" s="199" t="s">
        <v>3505</v>
      </c>
      <c r="B276" s="200" t="s">
        <v>3496</v>
      </c>
      <c r="C276" s="200" t="str">
        <f>VLOOKUP(B276,Fincas!$A$2:$C$1005,2,0)</f>
        <v>A_El Tropezon</v>
      </c>
      <c r="D276" s="201">
        <v>44692</v>
      </c>
      <c r="E276" s="267" t="str">
        <f t="shared" si="54"/>
        <v>mayo</v>
      </c>
      <c r="F276" s="202">
        <v>44692</v>
      </c>
      <c r="G276" s="203">
        <v>44694</v>
      </c>
      <c r="H276" s="237" t="s">
        <v>3711</v>
      </c>
      <c r="I276" s="224">
        <v>7008146</v>
      </c>
      <c r="J276" s="234" t="str">
        <f t="shared" si="55"/>
        <v>Res macho ceba</v>
      </c>
      <c r="K276" s="200">
        <v>12890</v>
      </c>
      <c r="L276" s="550">
        <v>9260</v>
      </c>
      <c r="M276" s="205">
        <f t="shared" ref="M276:M278" si="62">L276*K276</f>
        <v>119361400</v>
      </c>
      <c r="N276" s="214">
        <v>30</v>
      </c>
      <c r="O276" s="554">
        <f t="shared" si="57"/>
        <v>429.66666666666669</v>
      </c>
      <c r="P276" s="548">
        <f>+M276/N276</f>
        <v>3978713.3333333335</v>
      </c>
    </row>
    <row r="277" spans="1:16" ht="12.75">
      <c r="A277" s="199" t="s">
        <v>3463</v>
      </c>
      <c r="B277" s="200" t="s">
        <v>3464</v>
      </c>
      <c r="C277" s="200" t="str">
        <f>VLOOKUP(B277,Fincas!$A$2:$C$1005,2,0)</f>
        <v>F_Texas Araujo</v>
      </c>
      <c r="D277" s="201">
        <v>44690</v>
      </c>
      <c r="E277" s="267" t="str">
        <f t="shared" si="54"/>
        <v>mayo</v>
      </c>
      <c r="F277" s="202">
        <v>44694</v>
      </c>
      <c r="G277" s="203">
        <v>44694</v>
      </c>
      <c r="H277" s="200" t="s">
        <v>3712</v>
      </c>
      <c r="I277" s="224">
        <v>7008146</v>
      </c>
      <c r="J277" s="234" t="str">
        <f t="shared" si="55"/>
        <v>Res macho ceba</v>
      </c>
      <c r="K277" s="200">
        <v>19069</v>
      </c>
      <c r="L277" s="550">
        <v>9100</v>
      </c>
      <c r="M277" s="205">
        <f t="shared" si="62"/>
        <v>173527900</v>
      </c>
      <c r="N277" s="214">
        <v>54</v>
      </c>
      <c r="O277" s="554">
        <f t="shared" si="57"/>
        <v>353.12962962962962</v>
      </c>
      <c r="P277" s="548">
        <f>+M277/N277</f>
        <v>3213479.6296296297</v>
      </c>
    </row>
    <row r="278" spans="1:16" ht="12.75">
      <c r="A278" s="199" t="s">
        <v>3713</v>
      </c>
      <c r="B278" s="200" t="s">
        <v>3642</v>
      </c>
      <c r="C278" s="200" t="str">
        <f>VLOOKUP(B278,Fincas!$A$2:$C$1005,2,0)</f>
        <v>F_San Rafael</v>
      </c>
      <c r="D278" s="201">
        <v>44694</v>
      </c>
      <c r="E278" s="267" t="str">
        <f t="shared" si="54"/>
        <v>mayo</v>
      </c>
      <c r="F278" s="202">
        <v>44691</v>
      </c>
      <c r="G278" s="203">
        <v>44694</v>
      </c>
      <c r="H278" s="200" t="s">
        <v>3714</v>
      </c>
      <c r="I278" s="212">
        <v>7008147</v>
      </c>
      <c r="J278" s="212" t="str">
        <f t="shared" si="55"/>
        <v>Res macho levante</v>
      </c>
      <c r="K278" s="200">
        <v>6281</v>
      </c>
      <c r="L278" s="550">
        <v>9500</v>
      </c>
      <c r="M278" s="205">
        <f t="shared" si="62"/>
        <v>59669500</v>
      </c>
      <c r="N278" s="214">
        <v>30</v>
      </c>
      <c r="O278" s="554">
        <f t="shared" si="57"/>
        <v>209.36666666666667</v>
      </c>
      <c r="P278" s="548">
        <f>+M278/N278</f>
        <v>1988983.3333333333</v>
      </c>
    </row>
    <row r="279" spans="1:16" ht="12.75">
      <c r="A279" s="199" t="s">
        <v>1419</v>
      </c>
      <c r="B279" s="200" t="s">
        <v>3636</v>
      </c>
      <c r="C279" s="200" t="str">
        <f>VLOOKUP(B279,Fincas!$A$2:$C$1005,2,0)</f>
        <v>A_Santa Ines</v>
      </c>
      <c r="D279" s="201">
        <v>44693</v>
      </c>
      <c r="E279" s="267" t="str">
        <f t="shared" si="54"/>
        <v>mayo</v>
      </c>
      <c r="F279" s="202">
        <v>44695</v>
      </c>
      <c r="G279" s="203">
        <v>44697</v>
      </c>
      <c r="H279" s="200" t="s">
        <v>3715</v>
      </c>
      <c r="I279" s="224">
        <v>7008146</v>
      </c>
      <c r="J279" s="234" t="str">
        <f t="shared" si="55"/>
        <v>Res macho ceba</v>
      </c>
      <c r="K279" s="200">
        <v>6520</v>
      </c>
      <c r="L279" s="550">
        <f t="shared" ref="L279:L281" si="63">M279/K279</f>
        <v>8602.7607361963182</v>
      </c>
      <c r="M279" s="213">
        <v>56090000</v>
      </c>
      <c r="N279" s="214">
        <v>15</v>
      </c>
      <c r="O279" s="554">
        <f t="shared" si="57"/>
        <v>434.66666666666669</v>
      </c>
      <c r="P279" s="548">
        <f>+M279/N279</f>
        <v>3739333.3333333335</v>
      </c>
    </row>
    <row r="280" spans="1:16" ht="12.75">
      <c r="A280" s="199" t="s">
        <v>1419</v>
      </c>
      <c r="B280" s="200" t="s">
        <v>3636</v>
      </c>
      <c r="C280" s="200" t="str">
        <f>VLOOKUP(B280,Fincas!$A$2:$C$1005,2,0)</f>
        <v>A_Santa Ines</v>
      </c>
      <c r="D280" s="201">
        <v>44693</v>
      </c>
      <c r="E280" s="267" t="str">
        <f t="shared" si="54"/>
        <v>mayo</v>
      </c>
      <c r="F280" s="202">
        <v>44695</v>
      </c>
      <c r="G280" s="203">
        <v>44697</v>
      </c>
      <c r="H280" s="200" t="s">
        <v>3716</v>
      </c>
      <c r="I280" s="224">
        <v>7008146</v>
      </c>
      <c r="J280" s="234" t="str">
        <f t="shared" si="55"/>
        <v>Res macho ceba</v>
      </c>
      <c r="K280" s="200">
        <v>6760</v>
      </c>
      <c r="L280" s="550">
        <f t="shared" si="63"/>
        <v>8552.6627218934918</v>
      </c>
      <c r="M280" s="213">
        <v>57816000</v>
      </c>
      <c r="N280" s="214">
        <v>15</v>
      </c>
      <c r="O280" s="554">
        <f t="shared" si="57"/>
        <v>450.66666666666669</v>
      </c>
      <c r="P280" s="548">
        <f>+M280/N280</f>
        <v>3854400</v>
      </c>
    </row>
    <row r="281" spans="1:16" ht="12.75">
      <c r="A281" s="199" t="s">
        <v>1419</v>
      </c>
      <c r="B281" s="200" t="s">
        <v>3636</v>
      </c>
      <c r="C281" s="200" t="str">
        <f>VLOOKUP(B281,Fincas!$A$2:$C$1005,2,0)</f>
        <v>A_Santa Ines</v>
      </c>
      <c r="D281" s="201">
        <v>44693</v>
      </c>
      <c r="E281" s="267" t="str">
        <f t="shared" si="54"/>
        <v>mayo</v>
      </c>
      <c r="F281" s="202">
        <v>44695</v>
      </c>
      <c r="G281" s="203">
        <v>44697</v>
      </c>
      <c r="H281" s="200" t="s">
        <v>3717</v>
      </c>
      <c r="I281" s="224">
        <v>7008146</v>
      </c>
      <c r="J281" s="234" t="str">
        <f t="shared" si="55"/>
        <v>Res macho ceba</v>
      </c>
      <c r="K281" s="200">
        <v>6180</v>
      </c>
      <c r="L281" s="550">
        <f t="shared" si="63"/>
        <v>8454.3689320388348</v>
      </c>
      <c r="M281" s="213">
        <v>52248000</v>
      </c>
      <c r="N281" s="214">
        <v>15</v>
      </c>
      <c r="O281" s="554">
        <f t="shared" si="57"/>
        <v>412</v>
      </c>
      <c r="P281" s="548">
        <f>+M281/N281</f>
        <v>3483200</v>
      </c>
    </row>
    <row r="282" spans="1:16" ht="12.75">
      <c r="A282" s="199" t="s">
        <v>3454</v>
      </c>
      <c r="B282" s="200" t="s">
        <v>3557</v>
      </c>
      <c r="C282" s="200" t="str">
        <f>VLOOKUP(B282,Fincas!$A$2:$C$1005,2,0)</f>
        <v>F_San Clemente</v>
      </c>
      <c r="D282" s="201">
        <v>44684</v>
      </c>
      <c r="E282" s="267" t="str">
        <f t="shared" si="54"/>
        <v>mayo</v>
      </c>
      <c r="F282" s="202">
        <v>44684</v>
      </c>
      <c r="G282" s="203">
        <v>44697</v>
      </c>
      <c r="H282" s="200">
        <v>7795</v>
      </c>
      <c r="I282" s="217">
        <v>7008151</v>
      </c>
      <c r="J282" s="217" t="str">
        <f t="shared" si="55"/>
        <v>Res novilla ceba</v>
      </c>
      <c r="K282" s="200">
        <v>5657</v>
      </c>
      <c r="L282" s="550">
        <v>7235</v>
      </c>
      <c r="M282" s="205">
        <f t="shared" ref="M282:M290" si="64">L282*K282</f>
        <v>40928395</v>
      </c>
      <c r="N282" s="214">
        <v>20</v>
      </c>
      <c r="O282" s="554">
        <f t="shared" si="57"/>
        <v>282.85000000000002</v>
      </c>
      <c r="P282" s="548">
        <f>+M282/N282</f>
        <v>2046419.75</v>
      </c>
    </row>
    <row r="283" spans="1:16" ht="12.75">
      <c r="A283" s="199" t="s">
        <v>3511</v>
      </c>
      <c r="B283" s="200" t="s">
        <v>3718</v>
      </c>
      <c r="C283" s="200" t="str">
        <f>VLOOKUP(B283,Fincas!$A$2:$C$1005,2,0)</f>
        <v>F_El Playon</v>
      </c>
      <c r="D283" s="201">
        <v>44693</v>
      </c>
      <c r="E283" s="267" t="str">
        <f t="shared" si="54"/>
        <v>mayo</v>
      </c>
      <c r="F283" s="202">
        <v>44695</v>
      </c>
      <c r="G283" s="203">
        <v>44697</v>
      </c>
      <c r="H283" s="200" t="s">
        <v>3719</v>
      </c>
      <c r="I283" s="212">
        <v>7008147</v>
      </c>
      <c r="J283" s="212" t="str">
        <f t="shared" si="55"/>
        <v>Res macho levante</v>
      </c>
      <c r="K283" s="200">
        <v>6152</v>
      </c>
      <c r="L283" s="550">
        <v>9020</v>
      </c>
      <c r="M283" s="205">
        <f t="shared" si="64"/>
        <v>55491040</v>
      </c>
      <c r="N283" s="214">
        <v>24</v>
      </c>
      <c r="O283" s="554">
        <f t="shared" si="57"/>
        <v>256.33333333333331</v>
      </c>
      <c r="P283" s="548">
        <f>+M283/N283</f>
        <v>2312126.6666666665</v>
      </c>
    </row>
    <row r="284" spans="1:16" ht="12.75">
      <c r="A284" s="199" t="s">
        <v>3426</v>
      </c>
      <c r="B284" s="200" t="s">
        <v>3557</v>
      </c>
      <c r="C284" s="200" t="str">
        <f>VLOOKUP(B284,Fincas!$A$2:$C$1005,2,0)</f>
        <v>F_San Clemente</v>
      </c>
      <c r="D284" s="201">
        <v>44685</v>
      </c>
      <c r="E284" s="267" t="str">
        <f t="shared" si="54"/>
        <v>mayo</v>
      </c>
      <c r="F284" s="202">
        <v>44685</v>
      </c>
      <c r="G284" s="203">
        <v>44697</v>
      </c>
      <c r="H284" s="200">
        <v>27400</v>
      </c>
      <c r="I284" s="217">
        <v>7008151</v>
      </c>
      <c r="J284" s="217" t="str">
        <f t="shared" si="55"/>
        <v>Res novilla ceba</v>
      </c>
      <c r="K284" s="200">
        <v>5062</v>
      </c>
      <c r="L284" s="550">
        <v>7650</v>
      </c>
      <c r="M284" s="205">
        <f t="shared" si="64"/>
        <v>38724300</v>
      </c>
      <c r="N284" s="214">
        <v>16</v>
      </c>
      <c r="O284" s="554">
        <f t="shared" si="57"/>
        <v>316.375</v>
      </c>
      <c r="P284" s="548">
        <f>+M284/N284</f>
        <v>2420268.75</v>
      </c>
    </row>
    <row r="285" spans="1:16" ht="12.75">
      <c r="A285" s="199" t="s">
        <v>3426</v>
      </c>
      <c r="B285" s="200" t="s">
        <v>3557</v>
      </c>
      <c r="C285" s="200" t="str">
        <f>VLOOKUP(B285,Fincas!$A$2:$C$1005,2,0)</f>
        <v>F_San Clemente</v>
      </c>
      <c r="D285" s="201">
        <v>44685</v>
      </c>
      <c r="E285" s="267" t="str">
        <f t="shared" si="54"/>
        <v>mayo</v>
      </c>
      <c r="F285" s="202">
        <v>44685</v>
      </c>
      <c r="G285" s="203">
        <v>44697</v>
      </c>
      <c r="H285" s="200">
        <v>27415</v>
      </c>
      <c r="I285" s="217">
        <v>7008151</v>
      </c>
      <c r="J285" s="217" t="str">
        <f t="shared" si="55"/>
        <v>Res novilla ceba</v>
      </c>
      <c r="K285" s="200">
        <v>2728</v>
      </c>
      <c r="L285" s="550">
        <v>7700</v>
      </c>
      <c r="M285" s="205">
        <f t="shared" si="64"/>
        <v>21005600</v>
      </c>
      <c r="N285" s="214">
        <v>11</v>
      </c>
      <c r="O285" s="554">
        <f t="shared" si="57"/>
        <v>248</v>
      </c>
      <c r="P285" s="548">
        <f>+M285/N285</f>
        <v>1909600</v>
      </c>
    </row>
    <row r="286" spans="1:16" ht="12.75">
      <c r="A286" s="199" t="s">
        <v>3426</v>
      </c>
      <c r="B286" s="200" t="s">
        <v>3557</v>
      </c>
      <c r="C286" s="200" t="str">
        <f>VLOOKUP(B286,Fincas!$A$2:$C$1005,2,0)</f>
        <v>F_San Clemente</v>
      </c>
      <c r="D286" s="201">
        <v>44685</v>
      </c>
      <c r="E286" s="267" t="str">
        <f t="shared" si="54"/>
        <v>mayo</v>
      </c>
      <c r="F286" s="202">
        <v>44685</v>
      </c>
      <c r="G286" s="203">
        <v>44697</v>
      </c>
      <c r="H286" s="200">
        <v>27420</v>
      </c>
      <c r="I286" s="217">
        <v>7008151</v>
      </c>
      <c r="J286" s="217" t="str">
        <f t="shared" si="55"/>
        <v>Res novilla ceba</v>
      </c>
      <c r="K286" s="200">
        <v>6202</v>
      </c>
      <c r="L286" s="550">
        <v>7750</v>
      </c>
      <c r="M286" s="205">
        <f t="shared" si="64"/>
        <v>48065500</v>
      </c>
      <c r="N286" s="214">
        <v>20</v>
      </c>
      <c r="O286" s="554">
        <f t="shared" si="57"/>
        <v>310.10000000000002</v>
      </c>
      <c r="P286" s="548">
        <f>+M286/N286</f>
        <v>2403275</v>
      </c>
    </row>
    <row r="287" spans="1:16" ht="12.75">
      <c r="A287" s="199" t="s">
        <v>3426</v>
      </c>
      <c r="B287" s="200" t="s">
        <v>3557</v>
      </c>
      <c r="C287" s="200" t="str">
        <f>VLOOKUP(B287,Fincas!$A$2:$C$1005,2,0)</f>
        <v>F_San Clemente</v>
      </c>
      <c r="D287" s="201">
        <v>44685</v>
      </c>
      <c r="E287" s="267" t="str">
        <f t="shared" si="54"/>
        <v>mayo</v>
      </c>
      <c r="F287" s="202">
        <v>44685</v>
      </c>
      <c r="G287" s="203">
        <v>44697</v>
      </c>
      <c r="H287" s="200">
        <v>27451</v>
      </c>
      <c r="I287" s="217">
        <v>7008151</v>
      </c>
      <c r="J287" s="217" t="str">
        <f t="shared" si="55"/>
        <v>Res novilla ceba</v>
      </c>
      <c r="K287" s="200">
        <v>3410</v>
      </c>
      <c r="L287" s="550">
        <v>7550</v>
      </c>
      <c r="M287" s="205">
        <f t="shared" si="64"/>
        <v>25745500</v>
      </c>
      <c r="N287" s="214">
        <v>12</v>
      </c>
      <c r="O287" s="554">
        <f t="shared" si="57"/>
        <v>284.16666666666669</v>
      </c>
      <c r="P287" s="548">
        <f>+M287/N287</f>
        <v>2145458.3333333335</v>
      </c>
    </row>
    <row r="288" spans="1:16" ht="12.75">
      <c r="A288" s="199" t="s">
        <v>3426</v>
      </c>
      <c r="B288" s="200" t="s">
        <v>3557</v>
      </c>
      <c r="C288" s="200" t="str">
        <f>VLOOKUP(B288,Fincas!$A$2:$C$1005,2,0)</f>
        <v>F_San Clemente</v>
      </c>
      <c r="D288" s="201">
        <v>44685</v>
      </c>
      <c r="E288" s="267" t="str">
        <f t="shared" si="54"/>
        <v>mayo</v>
      </c>
      <c r="F288" s="202">
        <v>44685</v>
      </c>
      <c r="G288" s="203">
        <v>44697</v>
      </c>
      <c r="H288" s="200">
        <v>27455</v>
      </c>
      <c r="I288" s="217">
        <v>7008151</v>
      </c>
      <c r="J288" s="217" t="str">
        <f t="shared" si="55"/>
        <v>Res novilla ceba</v>
      </c>
      <c r="K288" s="200">
        <v>3052</v>
      </c>
      <c r="L288" s="550">
        <v>7500</v>
      </c>
      <c r="M288" s="205">
        <f t="shared" si="64"/>
        <v>22890000</v>
      </c>
      <c r="N288" s="214">
        <v>10</v>
      </c>
      <c r="O288" s="554">
        <f t="shared" si="57"/>
        <v>305.2</v>
      </c>
      <c r="P288" s="548">
        <f>+M288/N288</f>
        <v>2289000</v>
      </c>
    </row>
    <row r="289" spans="1:16" ht="12.75">
      <c r="A289" s="199" t="s">
        <v>3426</v>
      </c>
      <c r="B289" s="200" t="s">
        <v>3557</v>
      </c>
      <c r="C289" s="200" t="str">
        <f>VLOOKUP(B289,Fincas!$A$2:$C$1005,2,0)</f>
        <v>F_San Clemente</v>
      </c>
      <c r="D289" s="201">
        <v>44685</v>
      </c>
      <c r="E289" s="267" t="str">
        <f t="shared" si="54"/>
        <v>mayo</v>
      </c>
      <c r="F289" s="202">
        <v>44685</v>
      </c>
      <c r="G289" s="203">
        <v>44697</v>
      </c>
      <c r="H289" s="200">
        <v>27456</v>
      </c>
      <c r="I289" s="217">
        <v>7008151</v>
      </c>
      <c r="J289" s="217" t="str">
        <f t="shared" si="55"/>
        <v>Res novilla ceba</v>
      </c>
      <c r="K289" s="200">
        <v>5076</v>
      </c>
      <c r="L289" s="550">
        <v>7600</v>
      </c>
      <c r="M289" s="205">
        <f t="shared" si="64"/>
        <v>38577600</v>
      </c>
      <c r="N289" s="214">
        <v>16</v>
      </c>
      <c r="O289" s="554">
        <f t="shared" si="57"/>
        <v>317.25</v>
      </c>
      <c r="P289" s="548">
        <f>+M289/N289</f>
        <v>2411100</v>
      </c>
    </row>
    <row r="290" spans="1:16" ht="12.75">
      <c r="A290" s="199" t="s">
        <v>3426</v>
      </c>
      <c r="B290" s="200" t="s">
        <v>3557</v>
      </c>
      <c r="C290" s="200" t="str">
        <f>VLOOKUP(B290,Fincas!$A$2:$C$1005,2,0)</f>
        <v>F_San Clemente</v>
      </c>
      <c r="D290" s="201">
        <v>44685</v>
      </c>
      <c r="E290" s="267" t="str">
        <f t="shared" si="54"/>
        <v>mayo</v>
      </c>
      <c r="F290" s="202">
        <v>44685</v>
      </c>
      <c r="G290" s="203">
        <v>44697</v>
      </c>
      <c r="H290" s="200">
        <v>27465</v>
      </c>
      <c r="I290" s="217">
        <v>7008151</v>
      </c>
      <c r="J290" s="217" t="str">
        <f t="shared" si="55"/>
        <v>Res novilla ceba</v>
      </c>
      <c r="K290" s="200">
        <v>4584</v>
      </c>
      <c r="L290" s="550">
        <v>7600</v>
      </c>
      <c r="M290" s="205">
        <f t="shared" si="64"/>
        <v>34838400</v>
      </c>
      <c r="N290" s="214">
        <v>14</v>
      </c>
      <c r="O290" s="554">
        <f t="shared" si="57"/>
        <v>327.42857142857144</v>
      </c>
      <c r="P290" s="548">
        <f>+M290/N290</f>
        <v>2488457.1428571427</v>
      </c>
    </row>
    <row r="291" spans="1:16" ht="12.75">
      <c r="A291" s="199" t="s">
        <v>3454</v>
      </c>
      <c r="B291" s="200" t="s">
        <v>3696</v>
      </c>
      <c r="C291" s="200" t="str">
        <f>VLOOKUP(B291,Fincas!$A$2:$C$1005,2,0)</f>
        <v>F_Las Delicias</v>
      </c>
      <c r="D291" s="201">
        <v>44691</v>
      </c>
      <c r="E291" s="267" t="str">
        <f t="shared" si="54"/>
        <v>mayo</v>
      </c>
      <c r="F291" s="202">
        <v>44692</v>
      </c>
      <c r="G291" s="203">
        <v>44698</v>
      </c>
      <c r="H291" s="200" t="s">
        <v>3721</v>
      </c>
      <c r="I291" s="212">
        <v>7008147</v>
      </c>
      <c r="J291" s="212" t="str">
        <f t="shared" si="55"/>
        <v>Res macho levante</v>
      </c>
      <c r="K291" s="200">
        <v>6124</v>
      </c>
      <c r="L291" s="550">
        <v>9145</v>
      </c>
      <c r="M291" s="213">
        <v>56001469</v>
      </c>
      <c r="N291" s="214">
        <v>25</v>
      </c>
      <c r="O291" s="554">
        <f t="shared" si="57"/>
        <v>244.96</v>
      </c>
      <c r="P291" s="548">
        <f>+M291/N291</f>
        <v>2240058.7599999998</v>
      </c>
    </row>
    <row r="292" spans="1:16" ht="12.75">
      <c r="A292" s="199" t="s">
        <v>3511</v>
      </c>
      <c r="B292" s="200" t="s">
        <v>3661</v>
      </c>
      <c r="C292" s="200" t="str">
        <f>VLOOKUP(B292,Fincas!$A$2:$C$1005,2,0)</f>
        <v>F_Mis Deseos</v>
      </c>
      <c r="D292" s="201">
        <v>44694</v>
      </c>
      <c r="E292" s="267" t="str">
        <f t="shared" si="54"/>
        <v>mayo</v>
      </c>
      <c r="F292" s="202">
        <v>44695</v>
      </c>
      <c r="G292" s="203">
        <v>44698</v>
      </c>
      <c r="H292" s="200" t="s">
        <v>3722</v>
      </c>
      <c r="I292" s="212">
        <v>7008147</v>
      </c>
      <c r="J292" s="212" t="str">
        <f t="shared" si="55"/>
        <v>Res macho levante</v>
      </c>
      <c r="K292" s="200">
        <v>4106</v>
      </c>
      <c r="L292" s="550">
        <v>9200</v>
      </c>
      <c r="M292" s="205">
        <f t="shared" ref="M292:M301" si="65">L292*K292</f>
        <v>37775200</v>
      </c>
      <c r="N292" s="214">
        <v>17</v>
      </c>
      <c r="O292" s="554">
        <f t="shared" si="57"/>
        <v>241.52941176470588</v>
      </c>
      <c r="P292" s="548">
        <f>+M292/N292</f>
        <v>2222070.588235294</v>
      </c>
    </row>
    <row r="293" spans="1:16" ht="12.75">
      <c r="A293" s="199" t="s">
        <v>3426</v>
      </c>
      <c r="B293" s="200" t="s">
        <v>3427</v>
      </c>
      <c r="C293" s="200" t="str">
        <f>VLOOKUP(B293,Fincas!$A$2:$C$1005,2,0)</f>
        <v>A_Jordan</v>
      </c>
      <c r="D293" s="201">
        <v>44685</v>
      </c>
      <c r="E293" s="267" t="str">
        <f t="shared" si="54"/>
        <v>mayo</v>
      </c>
      <c r="F293" s="202">
        <v>44690</v>
      </c>
      <c r="G293" s="203">
        <v>44698</v>
      </c>
      <c r="H293" s="200" t="s">
        <v>3723</v>
      </c>
      <c r="I293" s="212">
        <v>7008147</v>
      </c>
      <c r="J293" s="212" t="str">
        <f t="shared" si="55"/>
        <v>Res macho levante</v>
      </c>
      <c r="K293" s="200">
        <v>6046</v>
      </c>
      <c r="L293" s="550">
        <v>9750</v>
      </c>
      <c r="M293" s="205">
        <f t="shared" si="65"/>
        <v>58948500</v>
      </c>
      <c r="N293" s="214">
        <v>20</v>
      </c>
      <c r="O293" s="554">
        <f t="shared" si="57"/>
        <v>302.3</v>
      </c>
      <c r="P293" s="548">
        <f>+M293/N293</f>
        <v>2947425</v>
      </c>
    </row>
    <row r="294" spans="1:16" ht="12.75">
      <c r="A294" s="199" t="s">
        <v>3426</v>
      </c>
      <c r="B294" s="200" t="s">
        <v>3498</v>
      </c>
      <c r="C294" s="200" t="str">
        <f>VLOOKUP(B294,Fincas!$A$2:$C$1005,2,0)</f>
        <v>F_Jordan</v>
      </c>
      <c r="D294" s="201">
        <v>44693</v>
      </c>
      <c r="E294" s="267" t="str">
        <f t="shared" si="54"/>
        <v>mayo</v>
      </c>
      <c r="F294" s="202">
        <v>44693</v>
      </c>
      <c r="G294" s="203">
        <v>44698</v>
      </c>
      <c r="H294" s="200" t="s">
        <v>3724</v>
      </c>
      <c r="I294" s="224">
        <v>7008146</v>
      </c>
      <c r="J294" s="234" t="str">
        <f t="shared" si="55"/>
        <v>Res macho ceba</v>
      </c>
      <c r="K294" s="200">
        <v>12861</v>
      </c>
      <c r="L294" s="550">
        <v>9050</v>
      </c>
      <c r="M294" s="205">
        <f t="shared" si="65"/>
        <v>116392050</v>
      </c>
      <c r="N294" s="214">
        <v>31</v>
      </c>
      <c r="O294" s="554">
        <f t="shared" si="57"/>
        <v>414.87096774193549</v>
      </c>
      <c r="P294" s="548">
        <f>+M294/N294</f>
        <v>3754582.2580645164</v>
      </c>
    </row>
    <row r="295" spans="1:16" ht="12.75">
      <c r="A295" s="199" t="s">
        <v>3426</v>
      </c>
      <c r="B295" s="200" t="s">
        <v>3498</v>
      </c>
      <c r="C295" s="200" t="str">
        <f>VLOOKUP(B295,Fincas!$A$2:$C$1005,2,0)</f>
        <v>F_Jordan</v>
      </c>
      <c r="D295" s="201">
        <v>44693</v>
      </c>
      <c r="E295" s="267" t="str">
        <f t="shared" si="54"/>
        <v>mayo</v>
      </c>
      <c r="F295" s="202">
        <v>44693</v>
      </c>
      <c r="G295" s="203">
        <v>44698</v>
      </c>
      <c r="H295" s="200" t="s">
        <v>3725</v>
      </c>
      <c r="I295" s="224">
        <v>7008146</v>
      </c>
      <c r="J295" s="234" t="str">
        <f t="shared" si="55"/>
        <v>Res macho ceba</v>
      </c>
      <c r="K295" s="200">
        <v>3804</v>
      </c>
      <c r="L295" s="550">
        <v>9510</v>
      </c>
      <c r="M295" s="205">
        <f t="shared" si="65"/>
        <v>36176040</v>
      </c>
      <c r="N295" s="214">
        <v>13</v>
      </c>
      <c r="O295" s="554">
        <f t="shared" si="57"/>
        <v>292.61538461538464</v>
      </c>
      <c r="P295" s="548">
        <f>+M295/N295</f>
        <v>2782772.3076923075</v>
      </c>
    </row>
    <row r="296" spans="1:16" ht="12.75">
      <c r="A296" s="199" t="s">
        <v>3426</v>
      </c>
      <c r="B296" s="200" t="s">
        <v>3557</v>
      </c>
      <c r="C296" s="200" t="str">
        <f>VLOOKUP(B296,Fincas!$A$2:$C$1005,2,0)</f>
        <v>F_San Clemente</v>
      </c>
      <c r="D296" s="201">
        <v>44693</v>
      </c>
      <c r="E296" s="267" t="str">
        <f t="shared" si="54"/>
        <v>mayo</v>
      </c>
      <c r="F296" s="202">
        <v>44693</v>
      </c>
      <c r="G296" s="203">
        <v>44698</v>
      </c>
      <c r="H296" s="200" t="s">
        <v>3726</v>
      </c>
      <c r="I296" s="217">
        <v>7008151</v>
      </c>
      <c r="J296" s="217" t="str">
        <f t="shared" si="55"/>
        <v>Res novilla ceba</v>
      </c>
      <c r="K296" s="200">
        <v>15914</v>
      </c>
      <c r="L296" s="550">
        <v>7844</v>
      </c>
      <c r="M296" s="205">
        <f t="shared" si="65"/>
        <v>124829416</v>
      </c>
      <c r="N296" s="214">
        <v>60</v>
      </c>
      <c r="O296" s="554">
        <f t="shared" si="57"/>
        <v>265.23333333333335</v>
      </c>
      <c r="P296" s="548">
        <f>+M296/N296</f>
        <v>2080490.2666666666</v>
      </c>
    </row>
    <row r="297" spans="1:16" ht="12.75">
      <c r="A297" s="199" t="s">
        <v>3505</v>
      </c>
      <c r="B297" s="200" t="s">
        <v>3498</v>
      </c>
      <c r="C297" s="200" t="str">
        <f>VLOOKUP(B297,Fincas!$A$2:$C$1005,2,0)</f>
        <v>F_Jordan</v>
      </c>
      <c r="D297" s="201">
        <v>44695</v>
      </c>
      <c r="E297" s="267" t="str">
        <f t="shared" si="54"/>
        <v>mayo</v>
      </c>
      <c r="F297" s="202">
        <v>44695</v>
      </c>
      <c r="G297" s="203">
        <v>44700</v>
      </c>
      <c r="H297" s="200" t="s">
        <v>3727</v>
      </c>
      <c r="I297" s="224">
        <v>7008146</v>
      </c>
      <c r="J297" s="234" t="str">
        <f t="shared" si="55"/>
        <v>Res macho ceba</v>
      </c>
      <c r="K297" s="200">
        <v>27919</v>
      </c>
      <c r="L297" s="550">
        <v>9400</v>
      </c>
      <c r="M297" s="205">
        <f t="shared" si="65"/>
        <v>262438600</v>
      </c>
      <c r="N297" s="214">
        <v>62</v>
      </c>
      <c r="O297" s="554">
        <f t="shared" si="57"/>
        <v>450.30645161290323</v>
      </c>
      <c r="P297" s="548">
        <f>+M297/N297</f>
        <v>4232880.6451612907</v>
      </c>
    </row>
    <row r="298" spans="1:16" ht="12.75">
      <c r="A298" s="199" t="s">
        <v>3511</v>
      </c>
      <c r="B298" s="200" t="s">
        <v>3728</v>
      </c>
      <c r="C298" s="200" t="str">
        <f>VLOOKUP(B298,Fincas!$A$2:$C$1005,2,0)</f>
        <v>F_Gualanday</v>
      </c>
      <c r="D298" s="201">
        <v>44693</v>
      </c>
      <c r="E298" s="267" t="str">
        <f t="shared" si="54"/>
        <v>mayo</v>
      </c>
      <c r="F298" s="202">
        <v>44694</v>
      </c>
      <c r="G298" s="203">
        <v>44700</v>
      </c>
      <c r="H298" s="200" t="s">
        <v>3729</v>
      </c>
      <c r="I298" s="212">
        <v>7008147</v>
      </c>
      <c r="J298" s="212" t="str">
        <f t="shared" si="55"/>
        <v>Res macho levante</v>
      </c>
      <c r="K298" s="200">
        <v>2126</v>
      </c>
      <c r="L298" s="550">
        <v>9300</v>
      </c>
      <c r="M298" s="205">
        <f t="shared" si="65"/>
        <v>19771800</v>
      </c>
      <c r="N298" s="214">
        <v>10</v>
      </c>
      <c r="O298" s="554">
        <f t="shared" si="57"/>
        <v>212.6</v>
      </c>
      <c r="P298" s="548">
        <f>+M298/N298</f>
        <v>1977180</v>
      </c>
    </row>
    <row r="299" spans="1:16" ht="12.75">
      <c r="A299" s="199" t="s">
        <v>3511</v>
      </c>
      <c r="B299" s="200" t="s">
        <v>3728</v>
      </c>
      <c r="C299" s="200" t="str">
        <f>VLOOKUP(B299,Fincas!$A$2:$C$1005,2,0)</f>
        <v>F_Gualanday</v>
      </c>
      <c r="D299" s="201">
        <v>44693</v>
      </c>
      <c r="E299" s="267" t="str">
        <f t="shared" si="54"/>
        <v>mayo</v>
      </c>
      <c r="F299" s="202">
        <v>44694</v>
      </c>
      <c r="G299" s="203">
        <v>44700</v>
      </c>
      <c r="H299" s="200" t="s">
        <v>3730</v>
      </c>
      <c r="I299" s="212">
        <v>7008147</v>
      </c>
      <c r="J299" s="212" t="str">
        <f t="shared" si="55"/>
        <v>Res macho levante</v>
      </c>
      <c r="K299" s="200">
        <v>3565</v>
      </c>
      <c r="L299" s="550">
        <v>9000</v>
      </c>
      <c r="M299" s="205">
        <f t="shared" si="65"/>
        <v>32085000</v>
      </c>
      <c r="N299" s="214">
        <v>13</v>
      </c>
      <c r="O299" s="554">
        <f t="shared" si="57"/>
        <v>274.23076923076923</v>
      </c>
      <c r="P299" s="548">
        <f>+M299/N299</f>
        <v>2468076.923076923</v>
      </c>
    </row>
    <row r="300" spans="1:16" ht="12.75">
      <c r="A300" s="199" t="s">
        <v>3511</v>
      </c>
      <c r="B300" s="200" t="s">
        <v>3728</v>
      </c>
      <c r="C300" s="200" t="str">
        <f>VLOOKUP(B300,Fincas!$A$2:$C$1005,2,0)</f>
        <v>F_Gualanday</v>
      </c>
      <c r="D300" s="201">
        <v>44693</v>
      </c>
      <c r="E300" s="267" t="str">
        <f t="shared" si="54"/>
        <v>mayo</v>
      </c>
      <c r="F300" s="202">
        <v>44694</v>
      </c>
      <c r="G300" s="203">
        <v>44700</v>
      </c>
      <c r="H300" s="200" t="s">
        <v>3731</v>
      </c>
      <c r="I300" s="212">
        <v>7008147</v>
      </c>
      <c r="J300" s="212" t="str">
        <f t="shared" si="55"/>
        <v>Res macho levante</v>
      </c>
      <c r="K300" s="200">
        <v>3272</v>
      </c>
      <c r="L300" s="550">
        <v>9100</v>
      </c>
      <c r="M300" s="205">
        <f t="shared" si="65"/>
        <v>29775200</v>
      </c>
      <c r="N300" s="214">
        <v>12</v>
      </c>
      <c r="O300" s="554">
        <f t="shared" si="57"/>
        <v>272.66666666666669</v>
      </c>
      <c r="P300" s="548">
        <f>+M300/N300</f>
        <v>2481266.6666666665</v>
      </c>
    </row>
    <row r="301" spans="1:16" ht="12.75">
      <c r="A301" s="199" t="s">
        <v>3426</v>
      </c>
      <c r="B301" s="200" t="s">
        <v>3732</v>
      </c>
      <c r="C301" s="200" t="str">
        <f>VLOOKUP(B301,Fincas!$A$2:$C$1005,2,0)</f>
        <v>F_El Milagro</v>
      </c>
      <c r="D301" s="201">
        <v>44607</v>
      </c>
      <c r="E301" s="267" t="str">
        <f t="shared" si="54"/>
        <v>febrero</v>
      </c>
      <c r="F301" s="202">
        <v>44693</v>
      </c>
      <c r="G301" s="203">
        <v>44700</v>
      </c>
      <c r="H301" s="200" t="s">
        <v>3733</v>
      </c>
      <c r="I301" s="217">
        <v>7008151</v>
      </c>
      <c r="J301" s="217" t="str">
        <f t="shared" si="55"/>
        <v>Res novilla ceba</v>
      </c>
      <c r="K301" s="200">
        <v>14946</v>
      </c>
      <c r="L301" s="550">
        <v>7950</v>
      </c>
      <c r="M301" s="205">
        <f t="shared" si="65"/>
        <v>118820700</v>
      </c>
      <c r="N301" s="214">
        <v>60</v>
      </c>
      <c r="O301" s="554">
        <f t="shared" si="57"/>
        <v>249.1</v>
      </c>
      <c r="P301" s="548">
        <f>+M301/N301</f>
        <v>1980345</v>
      </c>
    </row>
    <row r="302" spans="1:16" ht="12.75">
      <c r="A302" s="199" t="s">
        <v>3454</v>
      </c>
      <c r="B302" s="200" t="s">
        <v>3728</v>
      </c>
      <c r="C302" s="200" t="str">
        <f>VLOOKUP(B302,Fincas!$A$2:$C$1005,2,0)</f>
        <v>F_Gualanday</v>
      </c>
      <c r="D302" s="201">
        <v>44698</v>
      </c>
      <c r="E302" s="267" t="str">
        <f t="shared" si="54"/>
        <v>mayo</v>
      </c>
      <c r="F302" s="202">
        <v>44698</v>
      </c>
      <c r="G302" s="203">
        <v>44701</v>
      </c>
      <c r="H302" s="200">
        <v>2678</v>
      </c>
      <c r="I302" s="212">
        <v>7008147</v>
      </c>
      <c r="J302" s="212" t="str">
        <f t="shared" si="55"/>
        <v>Res macho levante</v>
      </c>
      <c r="K302" s="200">
        <v>3595</v>
      </c>
      <c r="L302" s="550">
        <f t="shared" ref="L302:L306" si="66">M302/K302</f>
        <v>8943.6100139082064</v>
      </c>
      <c r="M302" s="213">
        <v>32152278</v>
      </c>
      <c r="N302" s="214">
        <v>13</v>
      </c>
      <c r="O302" s="554">
        <f t="shared" si="57"/>
        <v>276.53846153846155</v>
      </c>
      <c r="P302" s="548">
        <f>+M302/N302</f>
        <v>2473252.153846154</v>
      </c>
    </row>
    <row r="303" spans="1:16" ht="12.75">
      <c r="A303" s="199" t="s">
        <v>3454</v>
      </c>
      <c r="B303" s="200" t="s">
        <v>3728</v>
      </c>
      <c r="C303" s="200" t="str">
        <f>VLOOKUP(B303,Fincas!$A$2:$C$1005,2,0)</f>
        <v>F_Gualanday</v>
      </c>
      <c r="D303" s="201">
        <v>44698</v>
      </c>
      <c r="E303" s="267" t="str">
        <f t="shared" si="54"/>
        <v>mayo</v>
      </c>
      <c r="F303" s="202">
        <v>44698</v>
      </c>
      <c r="G303" s="203">
        <v>44701</v>
      </c>
      <c r="H303" s="200">
        <v>2671</v>
      </c>
      <c r="I303" s="212">
        <v>7008147</v>
      </c>
      <c r="J303" s="212" t="str">
        <f t="shared" si="55"/>
        <v>Res macho levante</v>
      </c>
      <c r="K303" s="200">
        <v>248</v>
      </c>
      <c r="L303" s="550">
        <f t="shared" si="66"/>
        <v>8843.1209677419356</v>
      </c>
      <c r="M303" s="213">
        <v>2193094</v>
      </c>
      <c r="N303" s="214">
        <v>1</v>
      </c>
      <c r="O303" s="554">
        <f t="shared" si="57"/>
        <v>248</v>
      </c>
      <c r="P303" s="548">
        <f>+M303/N303</f>
        <v>2193094</v>
      </c>
    </row>
    <row r="304" spans="1:16" ht="12.75">
      <c r="A304" s="199" t="s">
        <v>3454</v>
      </c>
      <c r="B304" s="200" t="s">
        <v>3728</v>
      </c>
      <c r="C304" s="200" t="str">
        <f>VLOOKUP(B304,Fincas!$A$2:$C$1005,2,0)</f>
        <v>F_Gualanday</v>
      </c>
      <c r="D304" s="201">
        <v>44698</v>
      </c>
      <c r="E304" s="267" t="str">
        <f t="shared" si="54"/>
        <v>mayo</v>
      </c>
      <c r="F304" s="202">
        <v>44698</v>
      </c>
      <c r="G304" s="203">
        <v>44701</v>
      </c>
      <c r="H304" s="200">
        <v>2670</v>
      </c>
      <c r="I304" s="212">
        <v>7008147</v>
      </c>
      <c r="J304" s="212" t="str">
        <f t="shared" si="55"/>
        <v>Res macho levante</v>
      </c>
      <c r="K304" s="200">
        <v>5233</v>
      </c>
      <c r="L304" s="550">
        <f t="shared" si="66"/>
        <v>9044.099942671508</v>
      </c>
      <c r="M304" s="213">
        <v>47327775</v>
      </c>
      <c r="N304" s="214">
        <v>25</v>
      </c>
      <c r="O304" s="554">
        <f t="shared" si="57"/>
        <v>209.32</v>
      </c>
      <c r="P304" s="548">
        <f>+M304/N304</f>
        <v>1893111</v>
      </c>
    </row>
    <row r="305" spans="1:16" ht="12.75">
      <c r="A305" s="199" t="s">
        <v>3454</v>
      </c>
      <c r="B305" s="200" t="s">
        <v>3728</v>
      </c>
      <c r="C305" s="200" t="str">
        <f>VLOOKUP(B305,Fincas!$A$2:$C$1005,2,0)</f>
        <v>F_Gualanday</v>
      </c>
      <c r="D305" s="201">
        <v>44698</v>
      </c>
      <c r="E305" s="267" t="str">
        <f t="shared" si="54"/>
        <v>mayo</v>
      </c>
      <c r="F305" s="202">
        <v>44698</v>
      </c>
      <c r="G305" s="203">
        <v>44701</v>
      </c>
      <c r="H305" s="200">
        <v>2675</v>
      </c>
      <c r="I305" s="212">
        <v>7008147</v>
      </c>
      <c r="J305" s="212" t="str">
        <f t="shared" si="55"/>
        <v>Res macho levante</v>
      </c>
      <c r="K305" s="200">
        <v>6657</v>
      </c>
      <c r="L305" s="550">
        <f t="shared" si="66"/>
        <v>9044.1000450653446</v>
      </c>
      <c r="M305" s="213">
        <v>60206574</v>
      </c>
      <c r="N305" s="214">
        <v>25</v>
      </c>
      <c r="O305" s="554">
        <f t="shared" si="57"/>
        <v>266.27999999999997</v>
      </c>
      <c r="P305" s="548">
        <f>+M305/N305</f>
        <v>2408262.96</v>
      </c>
    </row>
    <row r="306" spans="1:16" ht="12.75">
      <c r="A306" s="199" t="s">
        <v>3454</v>
      </c>
      <c r="B306" s="200" t="s">
        <v>3728</v>
      </c>
      <c r="C306" s="200" t="str">
        <f>VLOOKUP(B306,Fincas!$A$2:$C$1005,2,0)</f>
        <v>F_Gualanday</v>
      </c>
      <c r="D306" s="201">
        <v>44698</v>
      </c>
      <c r="E306" s="267" t="str">
        <f t="shared" si="54"/>
        <v>mayo</v>
      </c>
      <c r="F306" s="202">
        <v>44699</v>
      </c>
      <c r="G306" s="203">
        <v>44701</v>
      </c>
      <c r="H306" s="200" t="s">
        <v>3734</v>
      </c>
      <c r="I306" s="224">
        <v>7008146</v>
      </c>
      <c r="J306" s="234" t="str">
        <f t="shared" si="55"/>
        <v>Res macho ceba</v>
      </c>
      <c r="K306" s="200">
        <v>1480</v>
      </c>
      <c r="L306" s="550">
        <f t="shared" si="66"/>
        <v>8541.65</v>
      </c>
      <c r="M306" s="213">
        <v>12641642</v>
      </c>
      <c r="N306" s="214">
        <v>4</v>
      </c>
      <c r="O306" s="554">
        <f t="shared" si="57"/>
        <v>370</v>
      </c>
      <c r="P306" s="548">
        <f>+M306/N306</f>
        <v>3160410.5</v>
      </c>
    </row>
    <row r="307" spans="1:16" ht="12.75">
      <c r="A307" s="199" t="s">
        <v>3735</v>
      </c>
      <c r="B307" s="200" t="s">
        <v>3431</v>
      </c>
      <c r="C307" s="200" t="str">
        <f>VLOOKUP(B307,Fincas!$A$2:$C$1005,2,0)</f>
        <v>F_Totumito</v>
      </c>
      <c r="D307" s="201">
        <v>44699</v>
      </c>
      <c r="E307" s="267" t="str">
        <f t="shared" si="54"/>
        <v>mayo</v>
      </c>
      <c r="F307" s="202">
        <v>44699</v>
      </c>
      <c r="G307" s="203">
        <v>44701</v>
      </c>
      <c r="H307" s="200" t="s">
        <v>805</v>
      </c>
      <c r="I307" s="212">
        <v>7008147</v>
      </c>
      <c r="J307" s="212" t="str">
        <f t="shared" si="55"/>
        <v>Res macho levante</v>
      </c>
      <c r="K307" s="200">
        <v>5530</v>
      </c>
      <c r="L307" s="550">
        <v>9900</v>
      </c>
      <c r="M307" s="205">
        <f t="shared" ref="M307:M311" si="67">L307*K307</f>
        <v>54747000</v>
      </c>
      <c r="N307" s="214">
        <v>21</v>
      </c>
      <c r="O307" s="554">
        <f t="shared" si="57"/>
        <v>263.33333333333331</v>
      </c>
      <c r="P307" s="548">
        <f>+M307/N307</f>
        <v>2607000</v>
      </c>
    </row>
    <row r="308" spans="1:16" ht="12.75">
      <c r="A308" s="199" t="s">
        <v>3473</v>
      </c>
      <c r="B308" s="200" t="s">
        <v>3474</v>
      </c>
      <c r="C308" s="200" t="str">
        <f>VLOOKUP(B308,Fincas!$A$2:$C$1005,2,0)</f>
        <v>F_Santa Elena</v>
      </c>
      <c r="D308" s="201">
        <v>44698</v>
      </c>
      <c r="E308" s="267" t="str">
        <f t="shared" si="54"/>
        <v>mayo</v>
      </c>
      <c r="F308" s="202">
        <v>44700</v>
      </c>
      <c r="G308" s="203">
        <v>44702</v>
      </c>
      <c r="H308" s="238" t="s">
        <v>3736</v>
      </c>
      <c r="I308" s="212">
        <v>7008147</v>
      </c>
      <c r="J308" s="212" t="str">
        <f t="shared" si="55"/>
        <v>Res macho levante</v>
      </c>
      <c r="K308" s="200">
        <v>20869</v>
      </c>
      <c r="L308" s="550">
        <v>9800</v>
      </c>
      <c r="M308" s="205">
        <f t="shared" si="67"/>
        <v>204516200</v>
      </c>
      <c r="N308" s="214">
        <v>145</v>
      </c>
      <c r="O308" s="554">
        <f t="shared" si="57"/>
        <v>143.92413793103449</v>
      </c>
      <c r="P308" s="548">
        <f>+M308/N308</f>
        <v>1410456.551724138</v>
      </c>
    </row>
    <row r="309" spans="1:16" ht="12.75">
      <c r="A309" s="199" t="s">
        <v>3511</v>
      </c>
      <c r="B309" s="200" t="s">
        <v>3737</v>
      </c>
      <c r="C309" s="200" t="str">
        <f>VLOOKUP(B309,Fincas!$A$2:$C$1005,2,0)</f>
        <v>F_Los Santos</v>
      </c>
      <c r="D309" s="201">
        <v>44700</v>
      </c>
      <c r="E309" s="267" t="str">
        <f t="shared" si="54"/>
        <v>mayo</v>
      </c>
      <c r="F309" s="202">
        <v>44700</v>
      </c>
      <c r="G309" s="203">
        <v>44702</v>
      </c>
      <c r="H309" s="200" t="s">
        <v>3738</v>
      </c>
      <c r="I309" s="212">
        <v>7008147</v>
      </c>
      <c r="J309" s="212" t="str">
        <f t="shared" si="55"/>
        <v>Res macho levante</v>
      </c>
      <c r="K309" s="200">
        <v>6071</v>
      </c>
      <c r="L309" s="550">
        <v>9370</v>
      </c>
      <c r="M309" s="205">
        <f t="shared" si="67"/>
        <v>56885270</v>
      </c>
      <c r="N309" s="214">
        <v>25</v>
      </c>
      <c r="O309" s="554">
        <f t="shared" si="57"/>
        <v>242.84</v>
      </c>
      <c r="P309" s="548">
        <f>+M309/N309</f>
        <v>2275410.7999999998</v>
      </c>
    </row>
    <row r="310" spans="1:16" ht="12.75">
      <c r="A310" s="199" t="s">
        <v>3580</v>
      </c>
      <c r="B310" s="200" t="s">
        <v>3442</v>
      </c>
      <c r="C310" s="200" t="str">
        <f>VLOOKUP(B310,Fincas!$A$2:$C$1005,2,0)</f>
        <v>F_El Diamante</v>
      </c>
      <c r="D310" s="201">
        <v>44701</v>
      </c>
      <c r="E310" s="267" t="str">
        <f t="shared" si="54"/>
        <v>mayo</v>
      </c>
      <c r="F310" s="202">
        <v>44701</v>
      </c>
      <c r="G310" s="203">
        <v>44702</v>
      </c>
      <c r="H310" s="200" t="s">
        <v>3739</v>
      </c>
      <c r="I310" s="227">
        <v>7008459</v>
      </c>
      <c r="J310" s="227" t="str">
        <f t="shared" si="55"/>
        <v>Res macho Cría</v>
      </c>
      <c r="K310" s="200">
        <v>756</v>
      </c>
      <c r="L310" s="550">
        <v>15200</v>
      </c>
      <c r="M310" s="205">
        <f t="shared" si="67"/>
        <v>11491200</v>
      </c>
      <c r="N310" s="214">
        <v>11</v>
      </c>
      <c r="O310" s="554">
        <f t="shared" si="57"/>
        <v>68.727272727272734</v>
      </c>
      <c r="P310" s="548">
        <f>+M310/N310</f>
        <v>1044654.5454545454</v>
      </c>
    </row>
    <row r="311" spans="1:16" ht="12.75">
      <c r="A311" s="199" t="s">
        <v>3622</v>
      </c>
      <c r="B311" s="200" t="s">
        <v>3442</v>
      </c>
      <c r="C311" s="200" t="str">
        <f>VLOOKUP(B311,Fincas!$A$2:$C$1005,2,0)</f>
        <v>F_El Diamante</v>
      </c>
      <c r="D311" s="201">
        <v>44699</v>
      </c>
      <c r="E311" s="267" t="str">
        <f t="shared" si="54"/>
        <v>mayo</v>
      </c>
      <c r="F311" s="202">
        <v>44701</v>
      </c>
      <c r="G311" s="203">
        <v>44702</v>
      </c>
      <c r="H311" s="200" t="s">
        <v>3740</v>
      </c>
      <c r="I311" s="224">
        <v>7008146</v>
      </c>
      <c r="J311" s="234" t="str">
        <f t="shared" si="55"/>
        <v>Res macho ceba</v>
      </c>
      <c r="K311" s="200">
        <v>5615</v>
      </c>
      <c r="L311" s="550">
        <v>9000</v>
      </c>
      <c r="M311" s="205">
        <f t="shared" si="67"/>
        <v>50535000</v>
      </c>
      <c r="N311" s="214">
        <v>20</v>
      </c>
      <c r="O311" s="554">
        <f t="shared" si="57"/>
        <v>280.75</v>
      </c>
      <c r="P311" s="548">
        <f>+M311/N311</f>
        <v>2526750</v>
      </c>
    </row>
    <row r="312" spans="1:16" ht="12.75">
      <c r="A312" s="199" t="s">
        <v>3741</v>
      </c>
      <c r="B312" s="200" t="s">
        <v>3442</v>
      </c>
      <c r="C312" s="200" t="str">
        <f>VLOOKUP(B312,Fincas!$A$2:$C$1005,2,0)</f>
        <v>F_El Diamante</v>
      </c>
      <c r="D312" s="201">
        <v>44700</v>
      </c>
      <c r="E312" s="267" t="str">
        <f t="shared" si="54"/>
        <v>mayo</v>
      </c>
      <c r="F312" s="202">
        <v>44701</v>
      </c>
      <c r="G312" s="203">
        <v>44702</v>
      </c>
      <c r="H312" s="200" t="s">
        <v>3742</v>
      </c>
      <c r="I312" s="212">
        <v>7008147</v>
      </c>
      <c r="J312" s="212" t="str">
        <f t="shared" si="55"/>
        <v>Res macho levante</v>
      </c>
      <c r="K312" s="200">
        <v>2448</v>
      </c>
      <c r="L312" s="550">
        <f t="shared" ref="L312:L313" si="68">M312/K312</f>
        <v>9145.5</v>
      </c>
      <c r="M312" s="213">
        <v>22388184</v>
      </c>
      <c r="N312" s="214">
        <v>9</v>
      </c>
      <c r="O312" s="554">
        <f t="shared" si="57"/>
        <v>272</v>
      </c>
      <c r="P312" s="548">
        <f>+M312/N312</f>
        <v>2487576</v>
      </c>
    </row>
    <row r="313" spans="1:16" ht="12.75">
      <c r="A313" s="199" t="s">
        <v>3741</v>
      </c>
      <c r="B313" s="200" t="s">
        <v>3442</v>
      </c>
      <c r="C313" s="200" t="str">
        <f>VLOOKUP(B313,Fincas!$A$2:$C$1005,2,0)</f>
        <v>F_El Diamante</v>
      </c>
      <c r="D313" s="201">
        <v>44700</v>
      </c>
      <c r="E313" s="267" t="str">
        <f t="shared" si="54"/>
        <v>mayo</v>
      </c>
      <c r="F313" s="202">
        <v>44701</v>
      </c>
      <c r="G313" s="203">
        <v>44702</v>
      </c>
      <c r="H313" s="200" t="s">
        <v>3743</v>
      </c>
      <c r="I313" s="212">
        <v>7008147</v>
      </c>
      <c r="J313" s="212" t="str">
        <f t="shared" si="55"/>
        <v>Res macho levante</v>
      </c>
      <c r="K313" s="200">
        <v>2622</v>
      </c>
      <c r="L313" s="550">
        <f t="shared" si="68"/>
        <v>9045</v>
      </c>
      <c r="M313" s="213">
        <v>23715990</v>
      </c>
      <c r="N313" s="214">
        <v>10</v>
      </c>
      <c r="O313" s="554">
        <f t="shared" si="57"/>
        <v>262.2</v>
      </c>
      <c r="P313" s="548">
        <f>+M313/N313</f>
        <v>2371599</v>
      </c>
    </row>
    <row r="314" spans="1:16" ht="12.75">
      <c r="A314" s="199" t="s">
        <v>3426</v>
      </c>
      <c r="B314" s="200" t="s">
        <v>3427</v>
      </c>
      <c r="C314" s="200" t="str">
        <f>VLOOKUP(B314,Fincas!$A$2:$C$1005,2,0)</f>
        <v>A_Jordan</v>
      </c>
      <c r="D314" s="201">
        <v>44694</v>
      </c>
      <c r="E314" s="267" t="str">
        <f t="shared" si="54"/>
        <v>mayo</v>
      </c>
      <c r="F314" s="202">
        <v>44694</v>
      </c>
      <c r="G314" s="203">
        <v>44704</v>
      </c>
      <c r="H314" s="200" t="s">
        <v>3744</v>
      </c>
      <c r="I314" s="212">
        <v>7008147</v>
      </c>
      <c r="J314" s="212" t="str">
        <f t="shared" si="55"/>
        <v>Res macho levante</v>
      </c>
      <c r="K314" s="200">
        <v>7926</v>
      </c>
      <c r="L314" s="550">
        <v>9350</v>
      </c>
      <c r="M314" s="205">
        <f t="shared" ref="M314:M317" si="69">L314*K314</f>
        <v>74108100</v>
      </c>
      <c r="N314" s="214">
        <v>25</v>
      </c>
      <c r="O314" s="554">
        <f t="shared" si="57"/>
        <v>317.04000000000002</v>
      </c>
      <c r="P314" s="548">
        <f>+M314/N314</f>
        <v>2964324</v>
      </c>
    </row>
    <row r="315" spans="1:16" ht="12.75">
      <c r="A315" s="199" t="s">
        <v>3511</v>
      </c>
      <c r="B315" s="200" t="s">
        <v>3694</v>
      </c>
      <c r="C315" s="200" t="str">
        <f>VLOOKUP(B315,Fincas!$A$2:$C$1005,2,0)</f>
        <v>F_Villa Cristina</v>
      </c>
      <c r="D315" s="201">
        <v>44700</v>
      </c>
      <c r="E315" s="267" t="str">
        <f t="shared" si="54"/>
        <v>mayo</v>
      </c>
      <c r="F315" s="202">
        <v>44699</v>
      </c>
      <c r="G315" s="203">
        <v>44704</v>
      </c>
      <c r="H315" s="200" t="s">
        <v>3745</v>
      </c>
      <c r="I315" s="224">
        <v>7008146</v>
      </c>
      <c r="J315" s="234" t="str">
        <f t="shared" si="55"/>
        <v>Res macho ceba</v>
      </c>
      <c r="K315" s="200">
        <v>11874</v>
      </c>
      <c r="L315" s="550">
        <v>8820</v>
      </c>
      <c r="M315" s="205">
        <f t="shared" si="69"/>
        <v>104728680</v>
      </c>
      <c r="N315" s="214">
        <v>36</v>
      </c>
      <c r="O315" s="554">
        <f t="shared" si="57"/>
        <v>329.83333333333331</v>
      </c>
      <c r="P315" s="548">
        <f>+M315/N315</f>
        <v>2909130</v>
      </c>
    </row>
    <row r="316" spans="1:16" ht="12.75">
      <c r="A316" s="199" t="s">
        <v>3426</v>
      </c>
      <c r="B316" s="200" t="s">
        <v>3732</v>
      </c>
      <c r="C316" s="200" t="str">
        <f>VLOOKUP(B316,Fincas!$A$2:$C$1005,2,0)</f>
        <v>F_El Milagro</v>
      </c>
      <c r="D316" s="201">
        <v>44701</v>
      </c>
      <c r="E316" s="267" t="str">
        <f t="shared" si="54"/>
        <v>mayo</v>
      </c>
      <c r="F316" s="202">
        <v>44701</v>
      </c>
      <c r="G316" s="203">
        <v>44704</v>
      </c>
      <c r="H316" s="200" t="s">
        <v>3746</v>
      </c>
      <c r="I316" s="217">
        <v>7008151</v>
      </c>
      <c r="J316" s="217" t="str">
        <f t="shared" si="55"/>
        <v>Res novilla ceba</v>
      </c>
      <c r="K316" s="200">
        <v>16426</v>
      </c>
      <c r="L316" s="550">
        <v>7900</v>
      </c>
      <c r="M316" s="205">
        <f t="shared" si="69"/>
        <v>129765400</v>
      </c>
      <c r="N316" s="214">
        <v>60</v>
      </c>
      <c r="O316" s="554">
        <f t="shared" si="57"/>
        <v>273.76666666666665</v>
      </c>
      <c r="P316" s="548">
        <f>+M316/N316</f>
        <v>2162756.6666666665</v>
      </c>
    </row>
    <row r="317" spans="1:16" ht="12.75">
      <c r="A317" s="199" t="s">
        <v>3426</v>
      </c>
      <c r="B317" s="200" t="s">
        <v>3732</v>
      </c>
      <c r="C317" s="200" t="str">
        <f>VLOOKUP(B317,Fincas!$A$2:$C$1005,2,0)</f>
        <v>F_El Milagro</v>
      </c>
      <c r="D317" s="201">
        <v>44701</v>
      </c>
      <c r="E317" s="267" t="str">
        <f t="shared" si="54"/>
        <v>mayo</v>
      </c>
      <c r="F317" s="202">
        <v>44701</v>
      </c>
      <c r="G317" s="203">
        <v>44704</v>
      </c>
      <c r="H317" s="200" t="s">
        <v>3747</v>
      </c>
      <c r="I317" s="217">
        <v>7008151</v>
      </c>
      <c r="J317" s="217" t="str">
        <f t="shared" si="55"/>
        <v>Res novilla ceba</v>
      </c>
      <c r="K317" s="200">
        <v>6076</v>
      </c>
      <c r="L317" s="550">
        <v>7900</v>
      </c>
      <c r="M317" s="205">
        <f t="shared" si="69"/>
        <v>48000400</v>
      </c>
      <c r="N317" s="214">
        <v>21</v>
      </c>
      <c r="O317" s="554">
        <f t="shared" si="57"/>
        <v>289.33333333333331</v>
      </c>
      <c r="P317" s="548">
        <f>+M317/N317</f>
        <v>2285733.3333333335</v>
      </c>
    </row>
    <row r="318" spans="1:16" ht="12.75">
      <c r="A318" s="199" t="s">
        <v>1419</v>
      </c>
      <c r="B318" s="200" t="s">
        <v>3636</v>
      </c>
      <c r="C318" s="200" t="str">
        <f>VLOOKUP(B318,Fincas!$A$2:$C$1005,2,0)</f>
        <v>A_Santa Ines</v>
      </c>
      <c r="D318" s="201">
        <v>44700</v>
      </c>
      <c r="E318" s="267" t="str">
        <f t="shared" si="54"/>
        <v>mayo</v>
      </c>
      <c r="F318" s="202">
        <v>44702</v>
      </c>
      <c r="G318" s="203">
        <v>44701</v>
      </c>
      <c r="H318" s="200" t="s">
        <v>3748</v>
      </c>
      <c r="I318" s="224">
        <v>7008146</v>
      </c>
      <c r="J318" s="234" t="str">
        <f t="shared" si="55"/>
        <v>Res macho ceba</v>
      </c>
      <c r="K318" s="200">
        <v>6780</v>
      </c>
      <c r="L318" s="550">
        <f t="shared" ref="L318:L323" si="70">M318/K318</f>
        <v>8302.6548672566369</v>
      </c>
      <c r="M318" s="213">
        <v>56292000</v>
      </c>
      <c r="N318" s="214">
        <v>15</v>
      </c>
      <c r="O318" s="554">
        <f t="shared" si="57"/>
        <v>452</v>
      </c>
      <c r="P318" s="548">
        <f>+M318/N318</f>
        <v>3752800</v>
      </c>
    </row>
    <row r="319" spans="1:16" ht="12.75">
      <c r="A319" s="199" t="s">
        <v>1419</v>
      </c>
      <c r="B319" s="200" t="s">
        <v>3636</v>
      </c>
      <c r="C319" s="200" t="str">
        <f>VLOOKUP(B319,Fincas!$A$2:$C$1005,2,0)</f>
        <v>A_Santa Ines</v>
      </c>
      <c r="D319" s="201">
        <v>44700</v>
      </c>
      <c r="E319" s="267" t="str">
        <f t="shared" si="54"/>
        <v>mayo</v>
      </c>
      <c r="F319" s="202">
        <v>44702</v>
      </c>
      <c r="G319" s="203">
        <v>44701</v>
      </c>
      <c r="H319" s="200" t="s">
        <v>3749</v>
      </c>
      <c r="I319" s="224">
        <v>7008146</v>
      </c>
      <c r="J319" s="234" t="str">
        <f t="shared" si="55"/>
        <v>Res macho ceba</v>
      </c>
      <c r="K319" s="200">
        <v>7914</v>
      </c>
      <c r="L319" s="550">
        <f t="shared" si="70"/>
        <v>8302.2744503411668</v>
      </c>
      <c r="M319" s="213">
        <v>65704200</v>
      </c>
      <c r="N319" s="214">
        <v>15</v>
      </c>
      <c r="O319" s="554">
        <f t="shared" si="57"/>
        <v>527.6</v>
      </c>
      <c r="P319" s="548">
        <f>+M319/N319</f>
        <v>4380280</v>
      </c>
    </row>
    <row r="320" spans="1:16" ht="12.75">
      <c r="A320" s="199" t="s">
        <v>1419</v>
      </c>
      <c r="B320" s="200" t="s">
        <v>3636</v>
      </c>
      <c r="C320" s="200" t="str">
        <f>VLOOKUP(B320,Fincas!$A$2:$C$1005,2,0)</f>
        <v>A_Santa Ines</v>
      </c>
      <c r="D320" s="201">
        <v>44700</v>
      </c>
      <c r="E320" s="267" t="str">
        <f t="shared" si="54"/>
        <v>mayo</v>
      </c>
      <c r="F320" s="202">
        <v>44702</v>
      </c>
      <c r="G320" s="203">
        <v>44701</v>
      </c>
      <c r="H320" s="200" t="s">
        <v>3750</v>
      </c>
      <c r="I320" s="224">
        <v>7008146</v>
      </c>
      <c r="J320" s="234" t="str">
        <f t="shared" si="55"/>
        <v>Res macho ceba</v>
      </c>
      <c r="K320" s="200">
        <v>7976</v>
      </c>
      <c r="L320" s="550">
        <f t="shared" si="70"/>
        <v>8352.2567703109326</v>
      </c>
      <c r="M320" s="213">
        <v>66617600</v>
      </c>
      <c r="N320" s="214">
        <v>15</v>
      </c>
      <c r="O320" s="554">
        <f t="shared" si="57"/>
        <v>531.73333333333335</v>
      </c>
      <c r="P320" s="548">
        <f>+M320/N320</f>
        <v>4441173.333333333</v>
      </c>
    </row>
    <row r="321" spans="1:16" ht="12.75">
      <c r="A321" s="199" t="s">
        <v>1419</v>
      </c>
      <c r="B321" s="200" t="s">
        <v>3636</v>
      </c>
      <c r="C321" s="200" t="str">
        <f>VLOOKUP(B321,Fincas!$A$2:$C$1005,2,0)</f>
        <v>A_Santa Ines</v>
      </c>
      <c r="D321" s="201">
        <v>44700</v>
      </c>
      <c r="E321" s="267" t="str">
        <f t="shared" si="54"/>
        <v>mayo</v>
      </c>
      <c r="F321" s="202">
        <v>44702</v>
      </c>
      <c r="G321" s="203">
        <v>44701</v>
      </c>
      <c r="H321" s="200" t="s">
        <v>3751</v>
      </c>
      <c r="I321" s="224">
        <v>7008146</v>
      </c>
      <c r="J321" s="234" t="str">
        <f t="shared" si="55"/>
        <v>Res macho ceba</v>
      </c>
      <c r="K321" s="200">
        <v>7988</v>
      </c>
      <c r="L321" s="550">
        <f t="shared" si="70"/>
        <v>8452.2533800701058</v>
      </c>
      <c r="M321" s="213">
        <v>67516600</v>
      </c>
      <c r="N321" s="214">
        <v>15</v>
      </c>
      <c r="O321" s="554">
        <f t="shared" si="57"/>
        <v>532.5333333333333</v>
      </c>
      <c r="P321" s="548">
        <f>+M321/N321</f>
        <v>4501106.666666667</v>
      </c>
    </row>
    <row r="322" spans="1:16" ht="12.75">
      <c r="A322" s="199" t="s">
        <v>1419</v>
      </c>
      <c r="B322" s="200" t="s">
        <v>3636</v>
      </c>
      <c r="C322" s="200" t="str">
        <f>VLOOKUP(B322,Fincas!$A$2:$C$1005,2,0)</f>
        <v>A_Santa Ines</v>
      </c>
      <c r="D322" s="201">
        <v>44700</v>
      </c>
      <c r="E322" s="267" t="str">
        <f t="shared" ref="E322:E385" si="71">+TEXT(D322,"mmmm")</f>
        <v>mayo</v>
      </c>
      <c r="F322" s="202">
        <v>44702</v>
      </c>
      <c r="G322" s="203">
        <v>44701</v>
      </c>
      <c r="H322" s="200" t="s">
        <v>3752</v>
      </c>
      <c r="I322" s="224">
        <v>7008146</v>
      </c>
      <c r="J322" s="234" t="str">
        <f t="shared" si="55"/>
        <v>Res macho ceba</v>
      </c>
      <c r="K322" s="200">
        <v>8198</v>
      </c>
      <c r="L322" s="550">
        <f t="shared" si="70"/>
        <v>8502.195657477434</v>
      </c>
      <c r="M322" s="213">
        <v>69701000</v>
      </c>
      <c r="N322" s="214">
        <v>15</v>
      </c>
      <c r="O322" s="554">
        <f t="shared" si="57"/>
        <v>546.5333333333333</v>
      </c>
      <c r="P322" s="548">
        <f t="shared" ref="P322:P385" si="72">+M322/N322</f>
        <v>4646733.333333333</v>
      </c>
    </row>
    <row r="323" spans="1:16" ht="12.75">
      <c r="A323" s="199" t="s">
        <v>1419</v>
      </c>
      <c r="B323" s="200" t="s">
        <v>3636</v>
      </c>
      <c r="C323" s="200" t="str">
        <f>VLOOKUP(B323,Fincas!$A$2:$C$1005,2,0)</f>
        <v>A_Santa Ines</v>
      </c>
      <c r="D323" s="201">
        <v>44700</v>
      </c>
      <c r="E323" s="267" t="str">
        <f t="shared" si="71"/>
        <v>mayo</v>
      </c>
      <c r="F323" s="202">
        <v>44702</v>
      </c>
      <c r="G323" s="203">
        <v>44701</v>
      </c>
      <c r="H323" s="200" t="s">
        <v>3753</v>
      </c>
      <c r="I323" s="224">
        <v>7008146</v>
      </c>
      <c r="J323" s="234" t="str">
        <f t="shared" ref="J323:J386" si="73">+VLOOKUP(I323,$F$962:$G$970,2,0)</f>
        <v>Res macho ceba</v>
      </c>
      <c r="K323" s="200">
        <v>3296</v>
      </c>
      <c r="L323" s="550">
        <f t="shared" si="70"/>
        <v>7902.5485436893205</v>
      </c>
      <c r="M323" s="213">
        <v>26046800</v>
      </c>
      <c r="N323" s="214">
        <v>7</v>
      </c>
      <c r="O323" s="554">
        <f t="shared" ref="O323:O386" si="74">+K323/N323</f>
        <v>470.85714285714283</v>
      </c>
      <c r="P323" s="548">
        <f t="shared" si="72"/>
        <v>3720971.4285714286</v>
      </c>
    </row>
    <row r="324" spans="1:16" ht="12.75">
      <c r="A324" s="199" t="s">
        <v>3622</v>
      </c>
      <c r="B324" s="200" t="s">
        <v>3754</v>
      </c>
      <c r="C324" s="200" t="str">
        <f>VLOOKUP(B324,Fincas!$A$2:$C$1005,2,0)</f>
        <v>Alm. FeedLot</v>
      </c>
      <c r="D324" s="201">
        <v>44699</v>
      </c>
      <c r="E324" s="267" t="str">
        <f t="shared" si="71"/>
        <v>mayo</v>
      </c>
      <c r="F324" s="202">
        <v>44701</v>
      </c>
      <c r="G324" s="203">
        <v>44704</v>
      </c>
      <c r="H324" s="200" t="s">
        <v>3755</v>
      </c>
      <c r="I324" s="224">
        <v>7008146</v>
      </c>
      <c r="J324" s="234" t="str">
        <f t="shared" si="73"/>
        <v>Res macho ceba</v>
      </c>
      <c r="K324" s="200">
        <v>17416</v>
      </c>
      <c r="L324" s="550">
        <v>9000</v>
      </c>
      <c r="M324" s="205">
        <f>L324*K324</f>
        <v>156744000</v>
      </c>
      <c r="N324" s="214">
        <v>52</v>
      </c>
      <c r="O324" s="554">
        <f t="shared" si="74"/>
        <v>334.92307692307691</v>
      </c>
      <c r="P324" s="548">
        <f t="shared" si="72"/>
        <v>3014307.6923076925</v>
      </c>
    </row>
    <row r="325" spans="1:16" ht="12.75">
      <c r="A325" s="199" t="s">
        <v>3454</v>
      </c>
      <c r="B325" s="200" t="s">
        <v>3756</v>
      </c>
      <c r="C325" s="200" t="str">
        <f>VLOOKUP(B325,Fincas!$A$2:$C$1005,2,0)</f>
        <v>F_Villa Lupe</v>
      </c>
      <c r="D325" s="201">
        <v>44699</v>
      </c>
      <c r="E325" s="267" t="str">
        <f t="shared" si="71"/>
        <v>mayo</v>
      </c>
      <c r="F325" s="202">
        <v>44700</v>
      </c>
      <c r="G325" s="203">
        <v>44704</v>
      </c>
      <c r="H325" s="200" t="s">
        <v>3757</v>
      </c>
      <c r="I325" s="224">
        <v>7008146</v>
      </c>
      <c r="J325" s="234" t="str">
        <f t="shared" si="73"/>
        <v>Res macho ceba</v>
      </c>
      <c r="K325" s="200">
        <v>5646</v>
      </c>
      <c r="L325" s="550">
        <f t="shared" ref="L325:L336" si="75">M325/K325</f>
        <v>8843.1200850159403</v>
      </c>
      <c r="M325" s="213">
        <v>49928256</v>
      </c>
      <c r="N325" s="214">
        <v>18</v>
      </c>
      <c r="O325" s="554">
        <f t="shared" si="74"/>
        <v>313.66666666666669</v>
      </c>
      <c r="P325" s="548">
        <f t="shared" si="72"/>
        <v>2773792</v>
      </c>
    </row>
    <row r="326" spans="1:16" ht="12.75">
      <c r="A326" s="199" t="s">
        <v>3454</v>
      </c>
      <c r="B326" s="200" t="s">
        <v>3756</v>
      </c>
      <c r="C326" s="200" t="str">
        <f>VLOOKUP(B326,Fincas!$A$2:$C$1005,2,0)</f>
        <v>F_Villa Lupe</v>
      </c>
      <c r="D326" s="201">
        <v>44699</v>
      </c>
      <c r="E326" s="267" t="str">
        <f t="shared" si="71"/>
        <v>mayo</v>
      </c>
      <c r="F326" s="202">
        <v>44700</v>
      </c>
      <c r="G326" s="203">
        <v>44704</v>
      </c>
      <c r="H326" s="200" t="s">
        <v>3758</v>
      </c>
      <c r="I326" s="224">
        <v>7008146</v>
      </c>
      <c r="J326" s="234" t="str">
        <f t="shared" si="73"/>
        <v>Res macho ceba</v>
      </c>
      <c r="K326" s="200">
        <v>390</v>
      </c>
      <c r="L326" s="550">
        <f t="shared" si="75"/>
        <v>8742.6307692307691</v>
      </c>
      <c r="M326" s="213">
        <v>3409626</v>
      </c>
      <c r="N326" s="214">
        <v>1</v>
      </c>
      <c r="O326" s="554">
        <f t="shared" si="74"/>
        <v>390</v>
      </c>
      <c r="P326" s="548">
        <f t="shared" si="72"/>
        <v>3409626</v>
      </c>
    </row>
    <row r="327" spans="1:16" ht="12.75">
      <c r="A327" s="199" t="s">
        <v>3454</v>
      </c>
      <c r="B327" s="200" t="s">
        <v>3756</v>
      </c>
      <c r="C327" s="200" t="str">
        <f>VLOOKUP(B327,Fincas!$A$2:$C$1005,2,0)</f>
        <v>F_Villa Lupe</v>
      </c>
      <c r="D327" s="201">
        <v>44699</v>
      </c>
      <c r="E327" s="267" t="str">
        <f t="shared" si="71"/>
        <v>mayo</v>
      </c>
      <c r="F327" s="202">
        <v>44700</v>
      </c>
      <c r="G327" s="203">
        <v>44704</v>
      </c>
      <c r="H327" s="200" t="s">
        <v>3759</v>
      </c>
      <c r="I327" s="224">
        <v>7008146</v>
      </c>
      <c r="J327" s="234" t="str">
        <f t="shared" si="73"/>
        <v>Res macho ceba</v>
      </c>
      <c r="K327" s="200">
        <v>2834</v>
      </c>
      <c r="L327" s="550">
        <f t="shared" si="75"/>
        <v>9094.3450952717012</v>
      </c>
      <c r="M327" s="213">
        <v>25773374</v>
      </c>
      <c r="N327" s="214">
        <v>8</v>
      </c>
      <c r="O327" s="554">
        <f t="shared" si="74"/>
        <v>354.25</v>
      </c>
      <c r="P327" s="548">
        <f t="shared" si="72"/>
        <v>3221671.75</v>
      </c>
    </row>
    <row r="328" spans="1:16" ht="12.75">
      <c r="A328" s="199" t="s">
        <v>3454</v>
      </c>
      <c r="B328" s="200" t="s">
        <v>3756</v>
      </c>
      <c r="C328" s="200" t="str">
        <f>VLOOKUP(B328,Fincas!$A$2:$C$1005,2,0)</f>
        <v>F_Villa Lupe</v>
      </c>
      <c r="D328" s="201">
        <v>44699</v>
      </c>
      <c r="E328" s="267" t="str">
        <f t="shared" si="71"/>
        <v>mayo</v>
      </c>
      <c r="F328" s="202">
        <v>44700</v>
      </c>
      <c r="G328" s="203">
        <v>44704</v>
      </c>
      <c r="H328" s="200" t="s">
        <v>3760</v>
      </c>
      <c r="I328" s="224">
        <v>7008146</v>
      </c>
      <c r="J328" s="234" t="str">
        <f t="shared" si="73"/>
        <v>Res macho ceba</v>
      </c>
      <c r="K328" s="200">
        <v>2462</v>
      </c>
      <c r="L328" s="550">
        <f t="shared" si="75"/>
        <v>8792.8748984565391</v>
      </c>
      <c r="M328" s="213">
        <v>21648058</v>
      </c>
      <c r="N328" s="214">
        <v>7</v>
      </c>
      <c r="O328" s="554">
        <f t="shared" si="74"/>
        <v>351.71428571428572</v>
      </c>
      <c r="P328" s="548">
        <f t="shared" si="72"/>
        <v>3092579.7142857141</v>
      </c>
    </row>
    <row r="329" spans="1:16" ht="12.75">
      <c r="A329" s="199" t="s">
        <v>3454</v>
      </c>
      <c r="B329" s="200" t="s">
        <v>3756</v>
      </c>
      <c r="C329" s="200" t="str">
        <f>VLOOKUP(B329,Fincas!$A$2:$C$1005,2,0)</f>
        <v>F_Villa Lupe</v>
      </c>
      <c r="D329" s="201">
        <v>44699</v>
      </c>
      <c r="E329" s="267" t="str">
        <f t="shared" si="71"/>
        <v>mayo</v>
      </c>
      <c r="F329" s="202">
        <v>44700</v>
      </c>
      <c r="G329" s="203">
        <v>44704</v>
      </c>
      <c r="H329" s="200" t="s">
        <v>3761</v>
      </c>
      <c r="I329" s="224">
        <v>7008146</v>
      </c>
      <c r="J329" s="234" t="str">
        <f t="shared" si="73"/>
        <v>Res macho ceba</v>
      </c>
      <c r="K329" s="200">
        <v>294</v>
      </c>
      <c r="L329" s="550">
        <f t="shared" si="75"/>
        <v>8742.6292517006805</v>
      </c>
      <c r="M329" s="213">
        <v>2570333</v>
      </c>
      <c r="N329" s="214">
        <v>1</v>
      </c>
      <c r="O329" s="554">
        <f t="shared" si="74"/>
        <v>294</v>
      </c>
      <c r="P329" s="548">
        <f t="shared" si="72"/>
        <v>2570333</v>
      </c>
    </row>
    <row r="330" spans="1:16" ht="12.75">
      <c r="A330" s="199" t="s">
        <v>1419</v>
      </c>
      <c r="B330" s="200" t="s">
        <v>3617</v>
      </c>
      <c r="C330" s="200" t="str">
        <f>VLOOKUP(B330,Fincas!$A$2:$C$1005,2,0)</f>
        <v>F_Guadalupe</v>
      </c>
      <c r="D330" s="201">
        <v>44700</v>
      </c>
      <c r="E330" s="267" t="str">
        <f t="shared" si="71"/>
        <v>mayo</v>
      </c>
      <c r="F330" s="202">
        <v>44700</v>
      </c>
      <c r="G330" s="203">
        <v>44705</v>
      </c>
      <c r="H330" s="200" t="s">
        <v>3762</v>
      </c>
      <c r="I330" s="224">
        <v>7008146</v>
      </c>
      <c r="J330" s="234" t="str">
        <f t="shared" si="73"/>
        <v>Res macho ceba</v>
      </c>
      <c r="K330" s="200">
        <v>3504</v>
      </c>
      <c r="L330" s="550">
        <f t="shared" si="75"/>
        <v>8303.4246575342459</v>
      </c>
      <c r="M330" s="213">
        <v>29095200</v>
      </c>
      <c r="N330" s="214">
        <v>10</v>
      </c>
      <c r="O330" s="554">
        <f t="shared" si="74"/>
        <v>350.4</v>
      </c>
      <c r="P330" s="548">
        <f t="shared" si="72"/>
        <v>2909520</v>
      </c>
    </row>
    <row r="331" spans="1:16" ht="12.75">
      <c r="A331" s="199" t="s">
        <v>1419</v>
      </c>
      <c r="B331" s="200" t="s">
        <v>3617</v>
      </c>
      <c r="C331" s="200" t="str">
        <f>VLOOKUP(B331,Fincas!$A$2:$C$1005,2,0)</f>
        <v>F_Guadalupe</v>
      </c>
      <c r="D331" s="201">
        <v>44700</v>
      </c>
      <c r="E331" s="267" t="str">
        <f t="shared" si="71"/>
        <v>mayo</v>
      </c>
      <c r="F331" s="202">
        <v>44700</v>
      </c>
      <c r="G331" s="203">
        <v>44705</v>
      </c>
      <c r="H331" s="200" t="s">
        <v>3763</v>
      </c>
      <c r="I331" s="224">
        <v>7008146</v>
      </c>
      <c r="J331" s="234" t="str">
        <f t="shared" si="73"/>
        <v>Res macho ceba</v>
      </c>
      <c r="K331" s="200">
        <v>2692</v>
      </c>
      <c r="L331" s="550">
        <f t="shared" si="75"/>
        <v>8403.120356612184</v>
      </c>
      <c r="M331" s="213">
        <v>22621200</v>
      </c>
      <c r="N331" s="214">
        <v>7</v>
      </c>
      <c r="O331" s="554">
        <f t="shared" si="74"/>
        <v>384.57142857142856</v>
      </c>
      <c r="P331" s="548">
        <f t="shared" si="72"/>
        <v>3231600</v>
      </c>
    </row>
    <row r="332" spans="1:16" ht="12.75">
      <c r="A332" s="199" t="s">
        <v>1419</v>
      </c>
      <c r="B332" s="200" t="s">
        <v>3617</v>
      </c>
      <c r="C332" s="200" t="str">
        <f>VLOOKUP(B332,Fincas!$A$2:$C$1005,2,0)</f>
        <v>F_Guadalupe</v>
      </c>
      <c r="D332" s="201">
        <v>44700</v>
      </c>
      <c r="E332" s="267" t="str">
        <f t="shared" si="71"/>
        <v>mayo</v>
      </c>
      <c r="F332" s="202">
        <v>44700</v>
      </c>
      <c r="G332" s="203">
        <v>44705</v>
      </c>
      <c r="H332" s="200" t="s">
        <v>3764</v>
      </c>
      <c r="I332" s="224">
        <v>7008146</v>
      </c>
      <c r="J332" s="234" t="str">
        <f t="shared" si="73"/>
        <v>Res macho ceba</v>
      </c>
      <c r="K332" s="200">
        <v>3020</v>
      </c>
      <c r="L332" s="550">
        <f t="shared" si="75"/>
        <v>8503.1788079470207</v>
      </c>
      <c r="M332" s="213">
        <v>25679600</v>
      </c>
      <c r="N332" s="214">
        <v>8</v>
      </c>
      <c r="O332" s="554">
        <f t="shared" si="74"/>
        <v>377.5</v>
      </c>
      <c r="P332" s="548">
        <f t="shared" si="72"/>
        <v>3209950</v>
      </c>
    </row>
    <row r="333" spans="1:16" ht="12.75">
      <c r="A333" s="199" t="s">
        <v>1419</v>
      </c>
      <c r="B333" s="200" t="s">
        <v>3617</v>
      </c>
      <c r="C333" s="200" t="str">
        <f>VLOOKUP(B333,Fincas!$A$2:$C$1005,2,0)</f>
        <v>F_Guadalupe</v>
      </c>
      <c r="D333" s="201">
        <v>44700</v>
      </c>
      <c r="E333" s="267" t="str">
        <f t="shared" si="71"/>
        <v>mayo</v>
      </c>
      <c r="F333" s="202">
        <v>44700</v>
      </c>
      <c r="G333" s="203">
        <v>44705</v>
      </c>
      <c r="H333" s="200" t="s">
        <v>3765</v>
      </c>
      <c r="I333" s="224">
        <v>7008146</v>
      </c>
      <c r="J333" s="234" t="str">
        <f t="shared" si="73"/>
        <v>Res macho ceba</v>
      </c>
      <c r="K333" s="200">
        <v>2672</v>
      </c>
      <c r="L333" s="550">
        <f t="shared" si="75"/>
        <v>8303.1437125748507</v>
      </c>
      <c r="M333" s="213">
        <v>22186000</v>
      </c>
      <c r="N333" s="214">
        <v>7</v>
      </c>
      <c r="O333" s="554">
        <f t="shared" si="74"/>
        <v>381.71428571428572</v>
      </c>
      <c r="P333" s="548">
        <f t="shared" si="72"/>
        <v>3169428.5714285714</v>
      </c>
    </row>
    <row r="334" spans="1:16" ht="12.75">
      <c r="A334" s="199" t="s">
        <v>1419</v>
      </c>
      <c r="B334" s="200" t="s">
        <v>3617</v>
      </c>
      <c r="C334" s="200" t="str">
        <f>VLOOKUP(B334,Fincas!$A$2:$C$1005,2,0)</f>
        <v>F_Guadalupe</v>
      </c>
      <c r="D334" s="201">
        <v>44700</v>
      </c>
      <c r="E334" s="267" t="str">
        <f t="shared" si="71"/>
        <v>mayo</v>
      </c>
      <c r="F334" s="202">
        <v>44700</v>
      </c>
      <c r="G334" s="203">
        <v>44705</v>
      </c>
      <c r="H334" s="200" t="s">
        <v>3766</v>
      </c>
      <c r="I334" s="224">
        <v>7008146</v>
      </c>
      <c r="J334" s="234" t="str">
        <f t="shared" si="73"/>
        <v>Res macho ceba</v>
      </c>
      <c r="K334" s="200">
        <v>4720</v>
      </c>
      <c r="L334" s="550">
        <f t="shared" si="75"/>
        <v>8653.8135593220341</v>
      </c>
      <c r="M334" s="213">
        <v>40846000</v>
      </c>
      <c r="N334" s="214">
        <v>15</v>
      </c>
      <c r="O334" s="554">
        <f t="shared" si="74"/>
        <v>314.66666666666669</v>
      </c>
      <c r="P334" s="548">
        <f t="shared" si="72"/>
        <v>2723066.6666666665</v>
      </c>
    </row>
    <row r="335" spans="1:16" ht="12.75">
      <c r="A335" s="199" t="s">
        <v>1419</v>
      </c>
      <c r="B335" s="200" t="s">
        <v>3617</v>
      </c>
      <c r="C335" s="200" t="str">
        <f>VLOOKUP(B335,Fincas!$A$2:$C$1005,2,0)</f>
        <v>F_Guadalupe</v>
      </c>
      <c r="D335" s="201">
        <v>44700</v>
      </c>
      <c r="E335" s="267" t="str">
        <f t="shared" si="71"/>
        <v>mayo</v>
      </c>
      <c r="F335" s="202">
        <v>44700</v>
      </c>
      <c r="G335" s="203">
        <v>44705</v>
      </c>
      <c r="H335" s="200" t="s">
        <v>3767</v>
      </c>
      <c r="I335" s="224">
        <v>7008146</v>
      </c>
      <c r="J335" s="234" t="str">
        <f t="shared" si="73"/>
        <v>Res macho ceba</v>
      </c>
      <c r="K335" s="200">
        <v>5284</v>
      </c>
      <c r="L335" s="550">
        <f t="shared" si="75"/>
        <v>9053.4065102195309</v>
      </c>
      <c r="M335" s="213">
        <v>47838200</v>
      </c>
      <c r="N335" s="214">
        <v>15</v>
      </c>
      <c r="O335" s="554">
        <f t="shared" si="74"/>
        <v>352.26666666666665</v>
      </c>
      <c r="P335" s="548">
        <f t="shared" si="72"/>
        <v>3189213.3333333335</v>
      </c>
    </row>
    <row r="336" spans="1:16" ht="12.75">
      <c r="A336" s="199" t="s">
        <v>1419</v>
      </c>
      <c r="B336" s="200" t="s">
        <v>3617</v>
      </c>
      <c r="C336" s="200" t="str">
        <f>VLOOKUP(B336,Fincas!$A$2:$C$1005,2,0)</f>
        <v>F_Guadalupe</v>
      </c>
      <c r="D336" s="201">
        <v>44700</v>
      </c>
      <c r="E336" s="267" t="str">
        <f t="shared" si="71"/>
        <v>mayo</v>
      </c>
      <c r="F336" s="202">
        <v>44700</v>
      </c>
      <c r="G336" s="203">
        <v>44705</v>
      </c>
      <c r="H336" s="200" t="s">
        <v>3768</v>
      </c>
      <c r="I336" s="224">
        <v>7008146</v>
      </c>
      <c r="J336" s="234" t="str">
        <f t="shared" si="73"/>
        <v>Res macho ceba</v>
      </c>
      <c r="K336" s="200">
        <v>6212</v>
      </c>
      <c r="L336" s="550">
        <f t="shared" si="75"/>
        <v>8603.2839665164192</v>
      </c>
      <c r="M336" s="213">
        <v>53443600</v>
      </c>
      <c r="N336" s="214">
        <v>17</v>
      </c>
      <c r="O336" s="554">
        <f t="shared" si="74"/>
        <v>365.41176470588238</v>
      </c>
      <c r="P336" s="548">
        <f t="shared" si="72"/>
        <v>3143741.1764705884</v>
      </c>
    </row>
    <row r="337" spans="1:16" ht="12.75">
      <c r="A337" s="199" t="s">
        <v>3463</v>
      </c>
      <c r="B337" s="200" t="s">
        <v>3769</v>
      </c>
      <c r="C337" s="200" t="str">
        <f>VLOOKUP(B337,Fincas!$A$2:$C$1005,2,0)</f>
        <v>F_Patio Bonito</v>
      </c>
      <c r="D337" s="201">
        <v>44699</v>
      </c>
      <c r="E337" s="267" t="str">
        <f t="shared" si="71"/>
        <v>mayo</v>
      </c>
      <c r="F337" s="202">
        <v>44700</v>
      </c>
      <c r="G337" s="203">
        <v>44706</v>
      </c>
      <c r="H337" s="200" t="s">
        <v>3770</v>
      </c>
      <c r="I337" s="217">
        <v>7008151</v>
      </c>
      <c r="J337" s="217" t="str">
        <f t="shared" si="73"/>
        <v>Res novilla ceba</v>
      </c>
      <c r="K337" s="200">
        <v>14473</v>
      </c>
      <c r="L337" s="550">
        <v>8000</v>
      </c>
      <c r="M337" s="205">
        <f t="shared" ref="M337:M342" si="76">L337*K337</f>
        <v>115784000</v>
      </c>
      <c r="N337" s="214">
        <v>44</v>
      </c>
      <c r="O337" s="554">
        <f t="shared" si="74"/>
        <v>328.93181818181819</v>
      </c>
      <c r="P337" s="548">
        <f t="shared" si="72"/>
        <v>2631454.5454545454</v>
      </c>
    </row>
    <row r="338" spans="1:16" ht="12.75">
      <c r="A338" s="199" t="s">
        <v>3771</v>
      </c>
      <c r="B338" s="200" t="s">
        <v>3772</v>
      </c>
      <c r="C338" s="200" t="str">
        <f>VLOOKUP(B338,Fincas!$A$2:$C$1005,2,0)</f>
        <v>F_Salonica</v>
      </c>
      <c r="D338" s="201">
        <v>44704</v>
      </c>
      <c r="E338" s="267" t="str">
        <f t="shared" si="71"/>
        <v>mayo</v>
      </c>
      <c r="F338" s="202">
        <v>44702</v>
      </c>
      <c r="G338" s="203">
        <v>44706</v>
      </c>
      <c r="H338" s="200" t="s">
        <v>3773</v>
      </c>
      <c r="I338" s="212">
        <v>7008147</v>
      </c>
      <c r="J338" s="212" t="str">
        <f t="shared" si="73"/>
        <v>Res macho levante</v>
      </c>
      <c r="K338" s="200">
        <v>34626</v>
      </c>
      <c r="L338" s="550">
        <v>9850</v>
      </c>
      <c r="M338" s="205">
        <f t="shared" si="76"/>
        <v>341066100</v>
      </c>
      <c r="N338" s="214">
        <v>120</v>
      </c>
      <c r="O338" s="554">
        <f t="shared" si="74"/>
        <v>288.55</v>
      </c>
      <c r="P338" s="548">
        <f t="shared" si="72"/>
        <v>2842217.5</v>
      </c>
    </row>
    <row r="339" spans="1:16" ht="12.75">
      <c r="A339" s="199" t="s">
        <v>3774</v>
      </c>
      <c r="B339" s="200" t="s">
        <v>3702</v>
      </c>
      <c r="C339" s="200" t="str">
        <f>VLOOKUP(B339,Fincas!$A$2:$C$1005,2,0)</f>
        <v>F_Tunez</v>
      </c>
      <c r="D339" s="201">
        <v>44694</v>
      </c>
      <c r="E339" s="267" t="str">
        <f t="shared" si="71"/>
        <v>mayo</v>
      </c>
      <c r="F339" s="202">
        <v>44694</v>
      </c>
      <c r="G339" s="203">
        <v>44706</v>
      </c>
      <c r="H339" s="200">
        <v>100694</v>
      </c>
      <c r="I339" s="224">
        <v>7008146</v>
      </c>
      <c r="J339" s="234" t="str">
        <f t="shared" si="73"/>
        <v>Res macho ceba</v>
      </c>
      <c r="K339" s="200">
        <v>13582</v>
      </c>
      <c r="L339" s="550">
        <v>9350</v>
      </c>
      <c r="M339" s="205">
        <f t="shared" si="76"/>
        <v>126991700</v>
      </c>
      <c r="N339" s="214">
        <v>45</v>
      </c>
      <c r="O339" s="554">
        <f t="shared" si="74"/>
        <v>301.82222222222219</v>
      </c>
      <c r="P339" s="548">
        <f t="shared" si="72"/>
        <v>2822037.777777778</v>
      </c>
    </row>
    <row r="340" spans="1:16" ht="12.75">
      <c r="A340" s="199" t="s">
        <v>3426</v>
      </c>
      <c r="B340" s="200" t="s">
        <v>3658</v>
      </c>
      <c r="C340" s="200" t="str">
        <f>VLOOKUP(B340,Fincas!$A$2:$C$1005,2,0)</f>
        <v>F_El Rosario</v>
      </c>
      <c r="D340" s="201">
        <v>44704</v>
      </c>
      <c r="E340" s="267" t="str">
        <f t="shared" si="71"/>
        <v>mayo</v>
      </c>
      <c r="F340" s="202">
        <v>44704</v>
      </c>
      <c r="G340" s="203">
        <v>44706</v>
      </c>
      <c r="H340" s="200" t="s">
        <v>3775</v>
      </c>
      <c r="I340" s="224">
        <v>7008146</v>
      </c>
      <c r="J340" s="234" t="str">
        <f t="shared" si="73"/>
        <v>Res macho ceba</v>
      </c>
      <c r="K340" s="200">
        <v>53964</v>
      </c>
      <c r="L340" s="550">
        <v>10000</v>
      </c>
      <c r="M340" s="205">
        <f t="shared" si="76"/>
        <v>539640000</v>
      </c>
      <c r="N340" s="214">
        <v>200</v>
      </c>
      <c r="O340" s="554">
        <f t="shared" si="74"/>
        <v>269.82</v>
      </c>
      <c r="P340" s="548">
        <f t="shared" si="72"/>
        <v>2698200</v>
      </c>
    </row>
    <row r="341" spans="1:16" ht="12.75">
      <c r="A341" s="199" t="s">
        <v>3776</v>
      </c>
      <c r="B341" s="200" t="s">
        <v>3493</v>
      </c>
      <c r="C341" s="200" t="str">
        <f>VLOOKUP(B341,Fincas!$A$2:$C$1005,2,0)</f>
        <v>F_Las Camelias</v>
      </c>
      <c r="D341" s="201">
        <v>44706</v>
      </c>
      <c r="E341" s="267" t="str">
        <f t="shared" si="71"/>
        <v>mayo</v>
      </c>
      <c r="F341" s="202">
        <v>44706</v>
      </c>
      <c r="G341" s="203">
        <v>44707</v>
      </c>
      <c r="H341" s="200" t="s">
        <v>3777</v>
      </c>
      <c r="I341" s="224">
        <v>7008146</v>
      </c>
      <c r="J341" s="234" t="str">
        <f t="shared" si="73"/>
        <v>Res macho ceba</v>
      </c>
      <c r="K341" s="200">
        <v>11174</v>
      </c>
      <c r="L341" s="550">
        <v>9400</v>
      </c>
      <c r="M341" s="205">
        <f t="shared" si="76"/>
        <v>105035600</v>
      </c>
      <c r="N341" s="214">
        <v>40</v>
      </c>
      <c r="O341" s="554">
        <f t="shared" si="74"/>
        <v>279.35000000000002</v>
      </c>
      <c r="P341" s="548">
        <f t="shared" si="72"/>
        <v>2625890</v>
      </c>
    </row>
    <row r="342" spans="1:16" ht="12.75">
      <c r="A342" s="199" t="s">
        <v>3511</v>
      </c>
      <c r="B342" s="200" t="s">
        <v>3696</v>
      </c>
      <c r="C342" s="200" t="str">
        <f>VLOOKUP(B342,Fincas!$A$2:$C$1005,2,0)</f>
        <v>F_Las Delicias</v>
      </c>
      <c r="D342" s="201">
        <v>44700</v>
      </c>
      <c r="E342" s="267" t="str">
        <f t="shared" si="71"/>
        <v>mayo</v>
      </c>
      <c r="F342" s="202">
        <v>44701</v>
      </c>
      <c r="G342" s="203">
        <v>44707</v>
      </c>
      <c r="H342" s="200">
        <v>7429</v>
      </c>
      <c r="I342" s="212">
        <v>7008147</v>
      </c>
      <c r="J342" s="212" t="str">
        <f t="shared" si="73"/>
        <v>Res macho levante</v>
      </c>
      <c r="K342" s="200">
        <v>2124</v>
      </c>
      <c r="L342" s="550">
        <v>9200</v>
      </c>
      <c r="M342" s="205">
        <f t="shared" si="76"/>
        <v>19540800</v>
      </c>
      <c r="N342" s="214">
        <v>10</v>
      </c>
      <c r="O342" s="554">
        <f t="shared" si="74"/>
        <v>212.4</v>
      </c>
      <c r="P342" s="548">
        <f t="shared" si="72"/>
        <v>1954080</v>
      </c>
    </row>
    <row r="343" spans="1:16" ht="12.75">
      <c r="A343" s="199" t="s">
        <v>3511</v>
      </c>
      <c r="B343" s="200" t="s">
        <v>3696</v>
      </c>
      <c r="C343" s="200" t="str">
        <f>VLOOKUP(B343,Fincas!$A$2:$C$1005,2,0)</f>
        <v>F_Las Delicias</v>
      </c>
      <c r="D343" s="201">
        <v>44700</v>
      </c>
      <c r="E343" s="267" t="str">
        <f t="shared" si="71"/>
        <v>mayo</v>
      </c>
      <c r="F343" s="202">
        <v>44701</v>
      </c>
      <c r="G343" s="203">
        <v>44707</v>
      </c>
      <c r="H343" s="200">
        <v>7457</v>
      </c>
      <c r="I343" s="212">
        <v>7008147</v>
      </c>
      <c r="J343" s="212" t="str">
        <f t="shared" si="73"/>
        <v>Res macho levante</v>
      </c>
      <c r="K343" s="200">
        <v>1259</v>
      </c>
      <c r="L343" s="550">
        <f t="shared" ref="L343:L345" si="77">M343/K343</f>
        <v>9729.9444003177123</v>
      </c>
      <c r="M343" s="213">
        <v>12250000</v>
      </c>
      <c r="N343" s="214">
        <v>5</v>
      </c>
      <c r="O343" s="554">
        <f t="shared" si="74"/>
        <v>251.8</v>
      </c>
      <c r="P343" s="548">
        <f t="shared" si="72"/>
        <v>2450000</v>
      </c>
    </row>
    <row r="344" spans="1:16" ht="12.75">
      <c r="A344" s="199" t="s">
        <v>3454</v>
      </c>
      <c r="B344" s="200" t="s">
        <v>3658</v>
      </c>
      <c r="C344" s="200" t="str">
        <f>VLOOKUP(B344,Fincas!$A$2:$C$1005,2,0)</f>
        <v>F_El Rosario</v>
      </c>
      <c r="D344" s="201">
        <v>44699</v>
      </c>
      <c r="E344" s="267" t="str">
        <f t="shared" si="71"/>
        <v>mayo</v>
      </c>
      <c r="F344" s="202">
        <v>44700</v>
      </c>
      <c r="G344" s="203">
        <v>44707</v>
      </c>
      <c r="H344" s="200">
        <v>7865</v>
      </c>
      <c r="I344" s="224">
        <v>7008146</v>
      </c>
      <c r="J344" s="234" t="str">
        <f t="shared" si="73"/>
        <v>Res macho ceba</v>
      </c>
      <c r="K344" s="200">
        <v>5826</v>
      </c>
      <c r="L344" s="550">
        <f t="shared" si="77"/>
        <v>9546.5499485066939</v>
      </c>
      <c r="M344" s="213">
        <v>55618200</v>
      </c>
      <c r="N344" s="214">
        <v>19</v>
      </c>
      <c r="O344" s="554">
        <f t="shared" si="74"/>
        <v>306.63157894736844</v>
      </c>
      <c r="P344" s="548">
        <f t="shared" si="72"/>
        <v>2927273.6842105263</v>
      </c>
    </row>
    <row r="345" spans="1:16" ht="12.75">
      <c r="A345" s="199" t="s">
        <v>3454</v>
      </c>
      <c r="B345" s="200" t="s">
        <v>3658</v>
      </c>
      <c r="C345" s="200" t="str">
        <f>VLOOKUP(B345,Fincas!$A$2:$C$1005,2,0)</f>
        <v>F_El Rosario</v>
      </c>
      <c r="D345" s="201">
        <v>44699</v>
      </c>
      <c r="E345" s="267" t="str">
        <f t="shared" si="71"/>
        <v>mayo</v>
      </c>
      <c r="F345" s="202">
        <v>44700</v>
      </c>
      <c r="G345" s="203">
        <v>44707</v>
      </c>
      <c r="H345" s="200">
        <v>7867</v>
      </c>
      <c r="I345" s="224">
        <v>7008146</v>
      </c>
      <c r="J345" s="234" t="str">
        <f t="shared" si="73"/>
        <v>Res macho ceba</v>
      </c>
      <c r="K345" s="200">
        <v>5905</v>
      </c>
      <c r="L345" s="550">
        <f t="shared" si="77"/>
        <v>9446.0599491955963</v>
      </c>
      <c r="M345" s="213">
        <v>55778984</v>
      </c>
      <c r="N345" s="214">
        <v>19</v>
      </c>
      <c r="O345" s="554">
        <f t="shared" si="74"/>
        <v>310.78947368421052</v>
      </c>
      <c r="P345" s="548">
        <f t="shared" si="72"/>
        <v>2935736</v>
      </c>
    </row>
    <row r="346" spans="1:16" ht="12.75">
      <c r="A346" s="199" t="s">
        <v>3426</v>
      </c>
      <c r="B346" s="200" t="s">
        <v>3496</v>
      </c>
      <c r="C346" s="200" t="str">
        <f>VLOOKUP(B346,Fincas!$A$2:$C$1005,2,0)</f>
        <v>A_El Tropezon</v>
      </c>
      <c r="D346" s="201">
        <v>44694</v>
      </c>
      <c r="E346" s="267" t="str">
        <f t="shared" si="71"/>
        <v>mayo</v>
      </c>
      <c r="F346" s="202">
        <v>44694</v>
      </c>
      <c r="G346" s="203">
        <v>44707</v>
      </c>
      <c r="H346" s="200" t="s">
        <v>3778</v>
      </c>
      <c r="I346" s="212">
        <v>7008147</v>
      </c>
      <c r="J346" s="212" t="str">
        <f t="shared" si="73"/>
        <v>Res macho levante</v>
      </c>
      <c r="K346" s="200">
        <v>17175</v>
      </c>
      <c r="L346" s="550">
        <v>9737</v>
      </c>
      <c r="M346" s="205">
        <f>L346*K346</f>
        <v>167232975</v>
      </c>
      <c r="N346" s="214">
        <v>54</v>
      </c>
      <c r="O346" s="554">
        <f t="shared" si="74"/>
        <v>318.05555555555554</v>
      </c>
      <c r="P346" s="548">
        <f t="shared" si="72"/>
        <v>3096906.9444444445</v>
      </c>
    </row>
    <row r="347" spans="1:16" ht="12.75">
      <c r="A347" s="199" t="s">
        <v>3454</v>
      </c>
      <c r="B347" s="200" t="s">
        <v>3732</v>
      </c>
      <c r="C347" s="200" t="str">
        <f>VLOOKUP(B347,Fincas!$A$2:$C$1005,2,0)</f>
        <v>F_El Milagro</v>
      </c>
      <c r="D347" s="201">
        <v>44700</v>
      </c>
      <c r="E347" s="267" t="str">
        <f t="shared" si="71"/>
        <v>mayo</v>
      </c>
      <c r="F347" s="202">
        <v>44700</v>
      </c>
      <c r="G347" s="203">
        <v>44708</v>
      </c>
      <c r="H347" s="200">
        <v>7876</v>
      </c>
      <c r="I347" s="217">
        <v>7008151</v>
      </c>
      <c r="J347" s="217" t="str">
        <f t="shared" si="73"/>
        <v>Res novilla ceba</v>
      </c>
      <c r="K347" s="200">
        <v>4869</v>
      </c>
      <c r="L347" s="550">
        <f t="shared" ref="L347:L348" si="78">M347/K347</f>
        <v>7335.769973300472</v>
      </c>
      <c r="M347" s="213">
        <v>35717864</v>
      </c>
      <c r="N347" s="214">
        <v>17</v>
      </c>
      <c r="O347" s="554">
        <f t="shared" si="74"/>
        <v>286.41176470588238</v>
      </c>
      <c r="P347" s="548">
        <f t="shared" si="72"/>
        <v>2101050.8235294116</v>
      </c>
    </row>
    <row r="348" spans="1:16" ht="12.75">
      <c r="A348" s="199" t="s">
        <v>3454</v>
      </c>
      <c r="B348" s="200" t="s">
        <v>3732</v>
      </c>
      <c r="C348" s="200" t="str">
        <f>VLOOKUP(B348,Fincas!$A$2:$C$1005,2,0)</f>
        <v>F_El Milagro</v>
      </c>
      <c r="D348" s="201">
        <v>44700</v>
      </c>
      <c r="E348" s="267" t="str">
        <f t="shared" si="71"/>
        <v>mayo</v>
      </c>
      <c r="F348" s="202">
        <v>44700</v>
      </c>
      <c r="G348" s="203">
        <v>44708</v>
      </c>
      <c r="H348" s="200">
        <v>7879</v>
      </c>
      <c r="I348" s="217">
        <v>7008151</v>
      </c>
      <c r="J348" s="217" t="str">
        <f t="shared" si="73"/>
        <v>Res novilla ceba</v>
      </c>
      <c r="K348" s="200">
        <v>5289</v>
      </c>
      <c r="L348" s="550">
        <f t="shared" si="78"/>
        <v>8189.9349593495936</v>
      </c>
      <c r="M348" s="213">
        <v>43316566</v>
      </c>
      <c r="N348" s="214">
        <v>18</v>
      </c>
      <c r="O348" s="554">
        <f t="shared" si="74"/>
        <v>293.83333333333331</v>
      </c>
      <c r="P348" s="548">
        <f t="shared" si="72"/>
        <v>2406475.888888889</v>
      </c>
    </row>
    <row r="349" spans="1:16" ht="12.75">
      <c r="A349" s="199" t="s">
        <v>3426</v>
      </c>
      <c r="B349" s="200" t="s">
        <v>3779</v>
      </c>
      <c r="C349" s="200" t="str">
        <f>VLOOKUP(B349,Fincas!$A$2:$C$1005,2,0)</f>
        <v>F_La Aldea</v>
      </c>
      <c r="D349" s="201">
        <v>44706</v>
      </c>
      <c r="E349" s="267" t="str">
        <f t="shared" si="71"/>
        <v>mayo</v>
      </c>
      <c r="F349" s="202">
        <v>44706</v>
      </c>
      <c r="G349" s="203">
        <v>44707</v>
      </c>
      <c r="H349" s="200" t="s">
        <v>3780</v>
      </c>
      <c r="I349" s="212">
        <v>7008147</v>
      </c>
      <c r="J349" s="212" t="str">
        <f t="shared" si="73"/>
        <v>Res macho levante</v>
      </c>
      <c r="K349" s="200">
        <v>5644</v>
      </c>
      <c r="L349" s="550">
        <v>10300</v>
      </c>
      <c r="M349" s="205">
        <f t="shared" ref="M349:M357" si="79">L349*K349</f>
        <v>58133200</v>
      </c>
      <c r="N349" s="214">
        <v>23</v>
      </c>
      <c r="O349" s="554">
        <f t="shared" si="74"/>
        <v>245.39130434782609</v>
      </c>
      <c r="P349" s="548">
        <f t="shared" si="72"/>
        <v>2527530.4347826089</v>
      </c>
    </row>
    <row r="350" spans="1:16" ht="12.75">
      <c r="A350" s="199" t="s">
        <v>3511</v>
      </c>
      <c r="B350" s="200" t="s">
        <v>3737</v>
      </c>
      <c r="C350" s="200" t="str">
        <f>VLOOKUP(B350,Fincas!$A$2:$C$1005,2,0)</f>
        <v>F_Los Santos</v>
      </c>
      <c r="D350" s="201">
        <v>44705</v>
      </c>
      <c r="E350" s="267" t="str">
        <f t="shared" si="71"/>
        <v>mayo</v>
      </c>
      <c r="F350" s="202">
        <v>44706</v>
      </c>
      <c r="G350" s="203">
        <v>44709</v>
      </c>
      <c r="H350" s="200" t="s">
        <v>3781</v>
      </c>
      <c r="I350" s="212">
        <v>7008147</v>
      </c>
      <c r="J350" s="212" t="str">
        <f t="shared" si="73"/>
        <v>Res macho levante</v>
      </c>
      <c r="K350" s="200">
        <v>3982</v>
      </c>
      <c r="L350" s="550">
        <v>9300</v>
      </c>
      <c r="M350" s="205">
        <f t="shared" si="79"/>
        <v>37032600</v>
      </c>
      <c r="N350" s="214">
        <v>18</v>
      </c>
      <c r="O350" s="554">
        <f t="shared" si="74"/>
        <v>221.22222222222223</v>
      </c>
      <c r="P350" s="548">
        <f t="shared" si="72"/>
        <v>2057366.6666666667</v>
      </c>
    </row>
    <row r="351" spans="1:16" ht="12.75">
      <c r="A351" s="199" t="s">
        <v>3511</v>
      </c>
      <c r="B351" s="200" t="s">
        <v>3737</v>
      </c>
      <c r="C351" s="200" t="str">
        <f>VLOOKUP(B351,Fincas!$A$2:$C$1005,2,0)</f>
        <v>F_Los Santos</v>
      </c>
      <c r="D351" s="201">
        <v>44705</v>
      </c>
      <c r="E351" s="267" t="str">
        <f t="shared" si="71"/>
        <v>mayo</v>
      </c>
      <c r="F351" s="202">
        <v>44706</v>
      </c>
      <c r="G351" s="203">
        <v>44709</v>
      </c>
      <c r="H351" s="200" t="s">
        <v>3782</v>
      </c>
      <c r="I351" s="212">
        <v>7008147</v>
      </c>
      <c r="J351" s="212" t="str">
        <f t="shared" si="73"/>
        <v>Res macho levante</v>
      </c>
      <c r="K351" s="200">
        <v>6879</v>
      </c>
      <c r="L351" s="550">
        <v>9350</v>
      </c>
      <c r="M351" s="205">
        <f t="shared" si="79"/>
        <v>64318650</v>
      </c>
      <c r="N351" s="214">
        <v>24</v>
      </c>
      <c r="O351" s="554">
        <f t="shared" si="74"/>
        <v>286.625</v>
      </c>
      <c r="P351" s="548">
        <f t="shared" si="72"/>
        <v>2679943.75</v>
      </c>
    </row>
    <row r="352" spans="1:16" ht="12.75">
      <c r="A352" s="199" t="s">
        <v>3511</v>
      </c>
      <c r="B352" s="200" t="s">
        <v>3756</v>
      </c>
      <c r="C352" s="200" t="str">
        <f>VLOOKUP(B352,Fincas!$A$2:$C$1005,2,0)</f>
        <v>F_Villa Lupe</v>
      </c>
      <c r="D352" s="201">
        <v>44705</v>
      </c>
      <c r="E352" s="267" t="str">
        <f t="shared" si="71"/>
        <v>mayo</v>
      </c>
      <c r="F352" s="202">
        <v>44706</v>
      </c>
      <c r="G352" s="203">
        <v>44709</v>
      </c>
      <c r="H352" s="200" t="s">
        <v>3783</v>
      </c>
      <c r="I352" s="224">
        <v>7008146</v>
      </c>
      <c r="J352" s="234" t="str">
        <f t="shared" si="73"/>
        <v>Res macho ceba</v>
      </c>
      <c r="K352" s="200">
        <v>1845</v>
      </c>
      <c r="L352" s="550">
        <v>8900</v>
      </c>
      <c r="M352" s="205">
        <f t="shared" si="79"/>
        <v>16420500</v>
      </c>
      <c r="N352" s="214">
        <v>6</v>
      </c>
      <c r="O352" s="554">
        <f t="shared" si="74"/>
        <v>307.5</v>
      </c>
      <c r="P352" s="548">
        <f t="shared" si="72"/>
        <v>2736750</v>
      </c>
    </row>
    <row r="353" spans="1:16" ht="12.75">
      <c r="A353" s="199" t="s">
        <v>3511</v>
      </c>
      <c r="B353" s="200" t="s">
        <v>3756</v>
      </c>
      <c r="C353" s="200" t="str">
        <f>VLOOKUP(B353,Fincas!$A$2:$C$1005,2,0)</f>
        <v>F_Villa Lupe</v>
      </c>
      <c r="D353" s="201">
        <v>44705</v>
      </c>
      <c r="E353" s="267" t="str">
        <f t="shared" si="71"/>
        <v>mayo</v>
      </c>
      <c r="F353" s="202">
        <v>44706</v>
      </c>
      <c r="G353" s="203">
        <v>44709</v>
      </c>
      <c r="H353" s="200" t="s">
        <v>3784</v>
      </c>
      <c r="I353" s="224">
        <v>7008146</v>
      </c>
      <c r="J353" s="234" t="str">
        <f t="shared" si="73"/>
        <v>Res macho ceba</v>
      </c>
      <c r="K353" s="200">
        <v>4037</v>
      </c>
      <c r="L353" s="550">
        <v>8850</v>
      </c>
      <c r="M353" s="205">
        <f t="shared" si="79"/>
        <v>35727450</v>
      </c>
      <c r="N353" s="214">
        <v>14</v>
      </c>
      <c r="O353" s="554">
        <f t="shared" si="74"/>
        <v>288.35714285714283</v>
      </c>
      <c r="P353" s="548">
        <f t="shared" si="72"/>
        <v>2551960.7142857141</v>
      </c>
    </row>
    <row r="354" spans="1:16" ht="12.75">
      <c r="A354" s="199" t="s">
        <v>3785</v>
      </c>
      <c r="B354" s="200" t="s">
        <v>3756</v>
      </c>
      <c r="C354" s="200" t="str">
        <f>VLOOKUP(B354,Fincas!$A$2:$C$1005,2,0)</f>
        <v>F_Villa Lupe</v>
      </c>
      <c r="D354" s="201">
        <v>44707</v>
      </c>
      <c r="E354" s="267" t="str">
        <f t="shared" si="71"/>
        <v>mayo</v>
      </c>
      <c r="F354" s="202">
        <v>44707</v>
      </c>
      <c r="G354" s="203">
        <v>44709</v>
      </c>
      <c r="H354" s="200" t="s">
        <v>3546</v>
      </c>
      <c r="I354" s="224">
        <v>7008146</v>
      </c>
      <c r="J354" s="234" t="str">
        <f t="shared" si="73"/>
        <v>Res macho ceba</v>
      </c>
      <c r="K354" s="200">
        <v>21488</v>
      </c>
      <c r="L354" s="550">
        <v>9000</v>
      </c>
      <c r="M354" s="205">
        <f t="shared" si="79"/>
        <v>193392000</v>
      </c>
      <c r="N354" s="214">
        <v>68</v>
      </c>
      <c r="O354" s="554">
        <f t="shared" si="74"/>
        <v>316</v>
      </c>
      <c r="P354" s="548">
        <f t="shared" si="72"/>
        <v>2844000</v>
      </c>
    </row>
    <row r="355" spans="1:16" ht="12.75">
      <c r="A355" s="199" t="s">
        <v>501</v>
      </c>
      <c r="B355" s="200" t="s">
        <v>3786</v>
      </c>
      <c r="C355" s="200" t="str">
        <f>VLOOKUP(B355,Fincas!$A$2:$C$1005,2,0)</f>
        <v>F_El Tambo</v>
      </c>
      <c r="D355" s="201">
        <v>44709</v>
      </c>
      <c r="E355" s="267" t="str">
        <f t="shared" si="71"/>
        <v>mayo</v>
      </c>
      <c r="F355" s="202">
        <v>44708</v>
      </c>
      <c r="G355" s="203">
        <v>44710</v>
      </c>
      <c r="H355" s="200" t="s">
        <v>3787</v>
      </c>
      <c r="I355" s="212">
        <v>7008147</v>
      </c>
      <c r="J355" s="212" t="str">
        <f t="shared" si="73"/>
        <v>Res macho levante</v>
      </c>
      <c r="K355" s="200">
        <v>16212</v>
      </c>
      <c r="L355" s="550">
        <v>9700</v>
      </c>
      <c r="M355" s="205">
        <f t="shared" si="79"/>
        <v>157256400</v>
      </c>
      <c r="N355" s="214">
        <v>65</v>
      </c>
      <c r="O355" s="554">
        <f t="shared" si="74"/>
        <v>249.41538461538462</v>
      </c>
      <c r="P355" s="548">
        <f t="shared" si="72"/>
        <v>2419329.230769231</v>
      </c>
    </row>
    <row r="356" spans="1:16" ht="12.75">
      <c r="A356" s="199" t="s">
        <v>501</v>
      </c>
      <c r="B356" s="200" t="s">
        <v>3786</v>
      </c>
      <c r="C356" s="200" t="str">
        <f>VLOOKUP(B356,Fincas!$A$2:$C$1005,2,0)</f>
        <v>F_El Tambo</v>
      </c>
      <c r="D356" s="201">
        <v>44709</v>
      </c>
      <c r="E356" s="267" t="str">
        <f t="shared" si="71"/>
        <v>mayo</v>
      </c>
      <c r="F356" s="202">
        <v>44708</v>
      </c>
      <c r="G356" s="203">
        <v>44710</v>
      </c>
      <c r="H356" s="200" t="s">
        <v>3788</v>
      </c>
      <c r="I356" s="224">
        <v>7008146</v>
      </c>
      <c r="J356" s="234" t="str">
        <f t="shared" si="73"/>
        <v>Res macho ceba</v>
      </c>
      <c r="K356" s="200">
        <v>12626</v>
      </c>
      <c r="L356" s="550">
        <v>9000</v>
      </c>
      <c r="M356" s="205">
        <f t="shared" si="79"/>
        <v>113634000</v>
      </c>
      <c r="N356" s="214">
        <v>35</v>
      </c>
      <c r="O356" s="554">
        <f t="shared" si="74"/>
        <v>360.74285714285713</v>
      </c>
      <c r="P356" s="548">
        <f t="shared" si="72"/>
        <v>3246685.7142857141</v>
      </c>
    </row>
    <row r="357" spans="1:16" ht="12.75">
      <c r="A357" s="199" t="s">
        <v>501</v>
      </c>
      <c r="B357" s="200" t="s">
        <v>3786</v>
      </c>
      <c r="C357" s="200" t="str">
        <f>VLOOKUP(B357,Fincas!$A$2:$C$1005,2,0)</f>
        <v>F_El Tambo</v>
      </c>
      <c r="D357" s="201">
        <v>44709</v>
      </c>
      <c r="E357" s="267" t="str">
        <f t="shared" si="71"/>
        <v>mayo</v>
      </c>
      <c r="F357" s="202">
        <v>44708</v>
      </c>
      <c r="G357" s="203">
        <v>44710</v>
      </c>
      <c r="H357" s="200" t="s">
        <v>3789</v>
      </c>
      <c r="I357" s="224">
        <v>7008146</v>
      </c>
      <c r="J357" s="234" t="str">
        <f t="shared" si="73"/>
        <v>Res macho ceba</v>
      </c>
      <c r="K357" s="200">
        <v>12988</v>
      </c>
      <c r="L357" s="550">
        <v>9250</v>
      </c>
      <c r="M357" s="205">
        <f t="shared" si="79"/>
        <v>120139000</v>
      </c>
      <c r="N357" s="214">
        <v>45</v>
      </c>
      <c r="O357" s="554">
        <f t="shared" si="74"/>
        <v>288.62222222222221</v>
      </c>
      <c r="P357" s="548">
        <f t="shared" si="72"/>
        <v>2669755.5555555555</v>
      </c>
    </row>
    <row r="358" spans="1:16" ht="12.75">
      <c r="A358" s="199" t="s">
        <v>1419</v>
      </c>
      <c r="B358" s="200" t="s">
        <v>3790</v>
      </c>
      <c r="C358" s="200" t="str">
        <f>VLOOKUP(B358,Fincas!$A$2:$C$1005,2,0)</f>
        <v>F_Predio Aguachi</v>
      </c>
      <c r="D358" s="201">
        <v>44707</v>
      </c>
      <c r="E358" s="267" t="str">
        <f t="shared" si="71"/>
        <v>mayo</v>
      </c>
      <c r="F358" s="202">
        <v>44709</v>
      </c>
      <c r="G358" s="203">
        <v>44712</v>
      </c>
      <c r="H358" s="200" t="s">
        <v>3791</v>
      </c>
      <c r="I358" s="224">
        <v>7008146</v>
      </c>
      <c r="J358" s="234" t="str">
        <f t="shared" si="73"/>
        <v>Res macho ceba</v>
      </c>
      <c r="K358" s="200">
        <v>6772</v>
      </c>
      <c r="L358" s="550">
        <f t="shared" ref="L358:L360" si="80">M358/K358</f>
        <v>8202.480803307737</v>
      </c>
      <c r="M358" s="213">
        <v>55547200</v>
      </c>
      <c r="N358" s="214">
        <v>14</v>
      </c>
      <c r="O358" s="554">
        <f t="shared" si="74"/>
        <v>483.71428571428572</v>
      </c>
      <c r="P358" s="548">
        <f t="shared" si="72"/>
        <v>3967657.1428571427</v>
      </c>
    </row>
    <row r="359" spans="1:16" ht="12.75">
      <c r="A359" s="199" t="s">
        <v>1419</v>
      </c>
      <c r="B359" s="200" t="s">
        <v>3790</v>
      </c>
      <c r="C359" s="200" t="str">
        <f>VLOOKUP(B359,Fincas!$A$2:$C$1005,2,0)</f>
        <v>F_Predio Aguachi</v>
      </c>
      <c r="D359" s="201">
        <v>44707</v>
      </c>
      <c r="E359" s="267" t="str">
        <f t="shared" si="71"/>
        <v>mayo</v>
      </c>
      <c r="F359" s="202">
        <v>44709</v>
      </c>
      <c r="G359" s="203">
        <v>44712</v>
      </c>
      <c r="H359" s="200" t="s">
        <v>3792</v>
      </c>
      <c r="I359" s="224">
        <v>7008146</v>
      </c>
      <c r="J359" s="234" t="str">
        <f t="shared" si="73"/>
        <v>Res macho ceba</v>
      </c>
      <c r="K359" s="200">
        <v>2672</v>
      </c>
      <c r="L359" s="550">
        <f t="shared" si="80"/>
        <v>7953.1437125748507</v>
      </c>
      <c r="M359" s="213">
        <v>21250800</v>
      </c>
      <c r="N359" s="214">
        <v>7</v>
      </c>
      <c r="O359" s="554">
        <f t="shared" si="74"/>
        <v>381.71428571428572</v>
      </c>
      <c r="P359" s="548">
        <f t="shared" si="72"/>
        <v>3035828.5714285714</v>
      </c>
    </row>
    <row r="360" spans="1:16" ht="12.75">
      <c r="A360" s="199" t="s">
        <v>1419</v>
      </c>
      <c r="B360" s="200" t="s">
        <v>3790</v>
      </c>
      <c r="C360" s="200" t="str">
        <f>VLOOKUP(B360,Fincas!$A$2:$C$1005,2,0)</f>
        <v>F_Predio Aguachi</v>
      </c>
      <c r="D360" s="201">
        <v>44707</v>
      </c>
      <c r="E360" s="267" t="str">
        <f t="shared" si="71"/>
        <v>mayo</v>
      </c>
      <c r="F360" s="202">
        <v>44709</v>
      </c>
      <c r="G360" s="203">
        <v>44712</v>
      </c>
      <c r="H360" s="200" t="s">
        <v>3793</v>
      </c>
      <c r="I360" s="224">
        <v>7008146</v>
      </c>
      <c r="J360" s="234" t="str">
        <f t="shared" si="73"/>
        <v>Res macho ceba</v>
      </c>
      <c r="K360" s="200">
        <v>6876</v>
      </c>
      <c r="L360" s="550">
        <f t="shared" si="80"/>
        <v>8052.6178010471203</v>
      </c>
      <c r="M360" s="213">
        <v>55369800</v>
      </c>
      <c r="N360" s="214">
        <v>15</v>
      </c>
      <c r="O360" s="554">
        <f t="shared" si="74"/>
        <v>458.4</v>
      </c>
      <c r="P360" s="548">
        <f t="shared" si="72"/>
        <v>3691320</v>
      </c>
    </row>
    <row r="361" spans="1:16" ht="12.75">
      <c r="A361" s="199" t="s">
        <v>3511</v>
      </c>
      <c r="B361" s="200" t="s">
        <v>3769</v>
      </c>
      <c r="C361" s="200" t="str">
        <f>VLOOKUP(B361,Fincas!$A$2:$C$1005,2,0)</f>
        <v>F_Patio Bonito</v>
      </c>
      <c r="D361" s="201">
        <v>44707</v>
      </c>
      <c r="E361" s="267" t="str">
        <f t="shared" si="71"/>
        <v>mayo</v>
      </c>
      <c r="F361" s="202">
        <v>44708</v>
      </c>
      <c r="G361" s="203">
        <v>44712</v>
      </c>
      <c r="H361" s="200">
        <v>7554</v>
      </c>
      <c r="I361" s="217">
        <v>7008151</v>
      </c>
      <c r="J361" s="217" t="str">
        <f t="shared" si="73"/>
        <v>Res novilla ceba</v>
      </c>
      <c r="K361" s="200">
        <v>4516</v>
      </c>
      <c r="L361" s="550">
        <v>7000</v>
      </c>
      <c r="M361" s="205">
        <f t="shared" ref="M361:M363" si="81">L361*K361</f>
        <v>31612000</v>
      </c>
      <c r="N361" s="214">
        <v>15</v>
      </c>
      <c r="O361" s="554">
        <f t="shared" si="74"/>
        <v>301.06666666666666</v>
      </c>
      <c r="P361" s="548">
        <f t="shared" si="72"/>
        <v>2107466.6666666665</v>
      </c>
    </row>
    <row r="362" spans="1:16" ht="12.75">
      <c r="A362" s="199" t="s">
        <v>3511</v>
      </c>
      <c r="B362" s="200" t="s">
        <v>3769</v>
      </c>
      <c r="C362" s="200" t="str">
        <f>VLOOKUP(B362,Fincas!$A$2:$C$1005,2,0)</f>
        <v>F_Patio Bonito</v>
      </c>
      <c r="D362" s="201">
        <v>44707</v>
      </c>
      <c r="E362" s="267" t="str">
        <f t="shared" si="71"/>
        <v>mayo</v>
      </c>
      <c r="F362" s="202">
        <v>44708</v>
      </c>
      <c r="G362" s="203">
        <v>44712</v>
      </c>
      <c r="H362" s="200">
        <v>7558</v>
      </c>
      <c r="I362" s="217">
        <v>7008151</v>
      </c>
      <c r="J362" s="217" t="str">
        <f t="shared" si="73"/>
        <v>Res novilla ceba</v>
      </c>
      <c r="K362" s="200">
        <v>2263</v>
      </c>
      <c r="L362" s="550">
        <v>7000</v>
      </c>
      <c r="M362" s="205">
        <f t="shared" si="81"/>
        <v>15841000</v>
      </c>
      <c r="N362" s="214">
        <v>8</v>
      </c>
      <c r="O362" s="554">
        <f t="shared" si="74"/>
        <v>282.875</v>
      </c>
      <c r="P362" s="548">
        <f t="shared" si="72"/>
        <v>1980125</v>
      </c>
    </row>
    <row r="363" spans="1:16" ht="12.75">
      <c r="A363" s="199" t="s">
        <v>3511</v>
      </c>
      <c r="B363" s="200" t="s">
        <v>3790</v>
      </c>
      <c r="C363" s="200" t="str">
        <f>VLOOKUP(B363,Fincas!$A$2:$C$1005,2,0)</f>
        <v>F_Predio Aguachi</v>
      </c>
      <c r="D363" s="201">
        <v>44708</v>
      </c>
      <c r="E363" s="267" t="str">
        <f t="shared" si="71"/>
        <v>mayo</v>
      </c>
      <c r="F363" s="202">
        <v>44709</v>
      </c>
      <c r="G363" s="203">
        <v>44712</v>
      </c>
      <c r="H363" s="200" t="s">
        <v>3794</v>
      </c>
      <c r="I363" s="224">
        <v>7008146</v>
      </c>
      <c r="J363" s="234" t="str">
        <f t="shared" si="73"/>
        <v>Res macho ceba</v>
      </c>
      <c r="K363" s="200">
        <v>4005</v>
      </c>
      <c r="L363" s="550">
        <v>8500</v>
      </c>
      <c r="M363" s="205">
        <f t="shared" si="81"/>
        <v>34042500</v>
      </c>
      <c r="N363" s="214">
        <v>9</v>
      </c>
      <c r="O363" s="554">
        <f t="shared" si="74"/>
        <v>445</v>
      </c>
      <c r="P363" s="548">
        <f t="shared" si="72"/>
        <v>3782500</v>
      </c>
    </row>
    <row r="364" spans="1:16" ht="12.75">
      <c r="A364" s="199" t="s">
        <v>1419</v>
      </c>
      <c r="B364" s="200" t="s">
        <v>3600</v>
      </c>
      <c r="C364" s="200" t="str">
        <f>VLOOKUP(B364,Fincas!$A$2:$C$1005,2,0)</f>
        <v>F_La Leticia</v>
      </c>
      <c r="D364" s="201">
        <v>44707</v>
      </c>
      <c r="E364" s="267" t="str">
        <f t="shared" si="71"/>
        <v>mayo</v>
      </c>
      <c r="F364" s="202">
        <v>44707</v>
      </c>
      <c r="G364" s="203">
        <v>44712</v>
      </c>
      <c r="H364" s="200" t="s">
        <v>3795</v>
      </c>
      <c r="I364" s="224">
        <v>7008146</v>
      </c>
      <c r="J364" s="234" t="str">
        <f t="shared" si="73"/>
        <v>Res macho ceba</v>
      </c>
      <c r="K364" s="200">
        <v>5534</v>
      </c>
      <c r="L364" s="550">
        <f t="shared" ref="L364:L365" si="82">M364/K364</f>
        <v>8303.2526201662458</v>
      </c>
      <c r="M364" s="213">
        <v>45950200</v>
      </c>
      <c r="N364" s="214">
        <v>15</v>
      </c>
      <c r="O364" s="554">
        <f t="shared" si="74"/>
        <v>368.93333333333334</v>
      </c>
      <c r="P364" s="548">
        <f t="shared" si="72"/>
        <v>3063346.6666666665</v>
      </c>
    </row>
    <row r="365" spans="1:16" ht="12.75">
      <c r="A365" s="199" t="s">
        <v>1419</v>
      </c>
      <c r="B365" s="200" t="s">
        <v>3600</v>
      </c>
      <c r="C365" s="200" t="str">
        <f>VLOOKUP(B365,Fincas!$A$2:$C$1005,2,0)</f>
        <v>F_La Leticia</v>
      </c>
      <c r="D365" s="201">
        <v>44707</v>
      </c>
      <c r="E365" s="267" t="str">
        <f t="shared" si="71"/>
        <v>mayo</v>
      </c>
      <c r="F365" s="202">
        <v>44707</v>
      </c>
      <c r="G365" s="203">
        <v>44712</v>
      </c>
      <c r="H365" s="200" t="s">
        <v>3796</v>
      </c>
      <c r="I365" s="224">
        <v>7008146</v>
      </c>
      <c r="J365" s="234" t="str">
        <f t="shared" si="73"/>
        <v>Res macho ceba</v>
      </c>
      <c r="K365" s="200">
        <v>6222</v>
      </c>
      <c r="L365" s="550">
        <f t="shared" si="82"/>
        <v>8403.0858244937317</v>
      </c>
      <c r="M365" s="213">
        <v>52284000</v>
      </c>
      <c r="N365" s="214">
        <v>16</v>
      </c>
      <c r="O365" s="554">
        <f t="shared" si="74"/>
        <v>388.875</v>
      </c>
      <c r="P365" s="548">
        <f t="shared" si="72"/>
        <v>3267750</v>
      </c>
    </row>
    <row r="366" spans="1:16" ht="12.75">
      <c r="A366" s="199" t="s">
        <v>3451</v>
      </c>
      <c r="B366" s="200" t="s">
        <v>3600</v>
      </c>
      <c r="C366" s="200" t="str">
        <f>VLOOKUP(B366,Fincas!$A$2:$C$1005,2,0)</f>
        <v>F_La Leticia</v>
      </c>
      <c r="D366" s="201">
        <v>44708</v>
      </c>
      <c r="E366" s="267" t="str">
        <f t="shared" si="71"/>
        <v>mayo</v>
      </c>
      <c r="F366" s="202">
        <v>44708</v>
      </c>
      <c r="G366" s="203">
        <v>44712</v>
      </c>
      <c r="H366" s="200">
        <v>64624</v>
      </c>
      <c r="I366" s="224">
        <v>7008146</v>
      </c>
      <c r="J366" s="234" t="str">
        <f t="shared" si="73"/>
        <v>Res macho ceba</v>
      </c>
      <c r="K366" s="200">
        <v>5980</v>
      </c>
      <c r="L366" s="550">
        <v>9650</v>
      </c>
      <c r="M366" s="205">
        <f t="shared" ref="M366:M378" si="83">L366*K366</f>
        <v>57707000</v>
      </c>
      <c r="N366" s="214">
        <v>18</v>
      </c>
      <c r="O366" s="554">
        <f t="shared" si="74"/>
        <v>332.22222222222223</v>
      </c>
      <c r="P366" s="548">
        <f t="shared" si="72"/>
        <v>3205944.4444444445</v>
      </c>
    </row>
    <row r="367" spans="1:16" ht="12.75">
      <c r="A367" s="199" t="s">
        <v>3451</v>
      </c>
      <c r="B367" s="200" t="s">
        <v>3600</v>
      </c>
      <c r="C367" s="200" t="str">
        <f>VLOOKUP(B367,Fincas!$A$2:$C$1005,2,0)</f>
        <v>F_La Leticia</v>
      </c>
      <c r="D367" s="201">
        <v>44708</v>
      </c>
      <c r="E367" s="267" t="str">
        <f t="shared" si="71"/>
        <v>mayo</v>
      </c>
      <c r="F367" s="202">
        <v>44708</v>
      </c>
      <c r="G367" s="203">
        <v>44712</v>
      </c>
      <c r="H367" s="200">
        <v>64625</v>
      </c>
      <c r="I367" s="224">
        <v>7008146</v>
      </c>
      <c r="J367" s="234" t="str">
        <f t="shared" si="73"/>
        <v>Res macho ceba</v>
      </c>
      <c r="K367" s="200">
        <v>5962</v>
      </c>
      <c r="L367" s="550">
        <v>9650</v>
      </c>
      <c r="M367" s="205">
        <f t="shared" si="83"/>
        <v>57533300</v>
      </c>
      <c r="N367" s="214">
        <v>18</v>
      </c>
      <c r="O367" s="554">
        <f t="shared" si="74"/>
        <v>331.22222222222223</v>
      </c>
      <c r="P367" s="548">
        <f t="shared" si="72"/>
        <v>3196294.4444444445</v>
      </c>
    </row>
    <row r="368" spans="1:16" ht="12.75">
      <c r="A368" s="199" t="s">
        <v>3511</v>
      </c>
      <c r="B368" s="200" t="s">
        <v>3483</v>
      </c>
      <c r="C368" s="200" t="str">
        <f>VLOOKUP(B368,Fincas!$A$2:$C$1005,2,0)</f>
        <v>F_San Andres</v>
      </c>
      <c r="D368" s="201">
        <v>44713</v>
      </c>
      <c r="E368" s="267" t="str">
        <f t="shared" si="71"/>
        <v>junio</v>
      </c>
      <c r="F368" s="202">
        <v>44713</v>
      </c>
      <c r="G368" s="203">
        <v>44715</v>
      </c>
      <c r="H368" s="240" t="s">
        <v>3797</v>
      </c>
      <c r="I368" s="212">
        <v>7008147</v>
      </c>
      <c r="J368" s="212" t="str">
        <f t="shared" si="73"/>
        <v>Res macho levante</v>
      </c>
      <c r="K368" s="200">
        <v>26560</v>
      </c>
      <c r="L368" s="550">
        <v>9520</v>
      </c>
      <c r="M368" s="205">
        <f t="shared" si="83"/>
        <v>252851200</v>
      </c>
      <c r="N368" s="214">
        <v>108</v>
      </c>
      <c r="O368" s="554">
        <f t="shared" si="74"/>
        <v>245.92592592592592</v>
      </c>
      <c r="P368" s="548">
        <f t="shared" si="72"/>
        <v>2341214.8148148148</v>
      </c>
    </row>
    <row r="369" spans="1:16" ht="12.75">
      <c r="A369" s="199" t="s">
        <v>3511</v>
      </c>
      <c r="B369" s="200" t="s">
        <v>3798</v>
      </c>
      <c r="C369" s="200" t="str">
        <f>VLOOKUP(B369,Fincas!$A$2:$C$1005,2,0)</f>
        <v>La Fortuna</v>
      </c>
      <c r="D369" s="201">
        <v>44713</v>
      </c>
      <c r="E369" s="267" t="str">
        <f t="shared" si="71"/>
        <v>junio</v>
      </c>
      <c r="F369" s="202">
        <v>44713</v>
      </c>
      <c r="G369" s="203">
        <v>44715</v>
      </c>
      <c r="H369" s="200">
        <v>11476</v>
      </c>
      <c r="I369" s="224">
        <v>7008146</v>
      </c>
      <c r="J369" s="234" t="str">
        <f t="shared" si="73"/>
        <v>Res macho ceba</v>
      </c>
      <c r="K369" s="200">
        <v>1014</v>
      </c>
      <c r="L369" s="550">
        <v>9400</v>
      </c>
      <c r="M369" s="205">
        <f t="shared" si="83"/>
        <v>9531600</v>
      </c>
      <c r="N369" s="214">
        <v>5</v>
      </c>
      <c r="O369" s="554">
        <f t="shared" si="74"/>
        <v>202.8</v>
      </c>
      <c r="P369" s="548">
        <f t="shared" si="72"/>
        <v>1906320</v>
      </c>
    </row>
    <row r="370" spans="1:16" ht="12.75">
      <c r="A370" s="199" t="s">
        <v>3511</v>
      </c>
      <c r="B370" s="200" t="s">
        <v>3798</v>
      </c>
      <c r="C370" s="200" t="str">
        <f>VLOOKUP(B370,Fincas!$A$2:$C$1005,2,0)</f>
        <v>La Fortuna</v>
      </c>
      <c r="D370" s="201">
        <v>44713</v>
      </c>
      <c r="E370" s="267" t="str">
        <f t="shared" si="71"/>
        <v>junio</v>
      </c>
      <c r="F370" s="202">
        <v>44713</v>
      </c>
      <c r="G370" s="203">
        <v>44715</v>
      </c>
      <c r="H370" s="200">
        <v>11505</v>
      </c>
      <c r="I370" s="224">
        <v>7008146</v>
      </c>
      <c r="J370" s="234" t="str">
        <f t="shared" si="73"/>
        <v>Res macho ceba</v>
      </c>
      <c r="K370" s="200">
        <v>2186</v>
      </c>
      <c r="L370" s="550">
        <v>9900</v>
      </c>
      <c r="M370" s="205">
        <f t="shared" si="83"/>
        <v>21641400</v>
      </c>
      <c r="N370" s="214">
        <v>9</v>
      </c>
      <c r="O370" s="554">
        <f t="shared" si="74"/>
        <v>242.88888888888889</v>
      </c>
      <c r="P370" s="548">
        <f t="shared" si="72"/>
        <v>2404600</v>
      </c>
    </row>
    <row r="371" spans="1:16" ht="12.75">
      <c r="A371" s="199" t="s">
        <v>3511</v>
      </c>
      <c r="B371" s="200" t="s">
        <v>3798</v>
      </c>
      <c r="C371" s="200" t="str">
        <f>VLOOKUP(B371,Fincas!$A$2:$C$1005,2,0)</f>
        <v>La Fortuna</v>
      </c>
      <c r="D371" s="201">
        <v>44713</v>
      </c>
      <c r="E371" s="267" t="str">
        <f t="shared" si="71"/>
        <v>junio</v>
      </c>
      <c r="F371" s="202">
        <v>44713</v>
      </c>
      <c r="G371" s="203">
        <v>44715</v>
      </c>
      <c r="H371" s="200">
        <v>11534</v>
      </c>
      <c r="I371" s="224">
        <v>7008146</v>
      </c>
      <c r="J371" s="234" t="str">
        <f t="shared" si="73"/>
        <v>Res macho ceba</v>
      </c>
      <c r="K371" s="200">
        <v>1033</v>
      </c>
      <c r="L371" s="550">
        <v>8600</v>
      </c>
      <c r="M371" s="205">
        <f t="shared" si="83"/>
        <v>8883800</v>
      </c>
      <c r="N371" s="214">
        <v>4</v>
      </c>
      <c r="O371" s="554">
        <f t="shared" si="74"/>
        <v>258.25</v>
      </c>
      <c r="P371" s="548">
        <f t="shared" si="72"/>
        <v>2220950</v>
      </c>
    </row>
    <row r="372" spans="1:16" ht="12.75">
      <c r="A372" s="199" t="s">
        <v>3511</v>
      </c>
      <c r="B372" s="200" t="s">
        <v>3798</v>
      </c>
      <c r="C372" s="200" t="str">
        <f>VLOOKUP(B372,Fincas!$A$2:$C$1005,2,0)</f>
        <v>La Fortuna</v>
      </c>
      <c r="D372" s="201">
        <v>44713</v>
      </c>
      <c r="E372" s="267" t="str">
        <f t="shared" si="71"/>
        <v>junio</v>
      </c>
      <c r="F372" s="202">
        <v>44713</v>
      </c>
      <c r="G372" s="203">
        <v>44715</v>
      </c>
      <c r="H372" s="200">
        <v>11549</v>
      </c>
      <c r="I372" s="224">
        <v>7008146</v>
      </c>
      <c r="J372" s="234" t="str">
        <f t="shared" si="73"/>
        <v>Res macho ceba</v>
      </c>
      <c r="K372" s="200">
        <v>460</v>
      </c>
      <c r="L372" s="550">
        <v>9700</v>
      </c>
      <c r="M372" s="205">
        <f t="shared" si="83"/>
        <v>4462000</v>
      </c>
      <c r="N372" s="214">
        <v>2</v>
      </c>
      <c r="O372" s="554">
        <f t="shared" si="74"/>
        <v>230</v>
      </c>
      <c r="P372" s="548">
        <f t="shared" si="72"/>
        <v>2231000</v>
      </c>
    </row>
    <row r="373" spans="1:16" ht="12.75">
      <c r="A373" s="199" t="s">
        <v>3511</v>
      </c>
      <c r="B373" s="200" t="s">
        <v>3798</v>
      </c>
      <c r="C373" s="200" t="str">
        <f>VLOOKUP(B373,Fincas!$A$2:$C$1005,2,0)</f>
        <v>La Fortuna</v>
      </c>
      <c r="D373" s="201">
        <v>44713</v>
      </c>
      <c r="E373" s="267" t="str">
        <f t="shared" si="71"/>
        <v>junio</v>
      </c>
      <c r="F373" s="202">
        <v>44713</v>
      </c>
      <c r="G373" s="203">
        <v>44715</v>
      </c>
      <c r="H373" s="200" t="s">
        <v>3799</v>
      </c>
      <c r="I373" s="224">
        <v>7008146</v>
      </c>
      <c r="J373" s="234" t="str">
        <f t="shared" si="73"/>
        <v>Res macho ceba</v>
      </c>
      <c r="K373" s="200">
        <v>1203</v>
      </c>
      <c r="L373" s="550">
        <v>8500</v>
      </c>
      <c r="M373" s="205">
        <f t="shared" si="83"/>
        <v>10225500</v>
      </c>
      <c r="N373" s="214">
        <v>4</v>
      </c>
      <c r="O373" s="554">
        <f t="shared" si="74"/>
        <v>300.75</v>
      </c>
      <c r="P373" s="548">
        <f t="shared" si="72"/>
        <v>2556375</v>
      </c>
    </row>
    <row r="374" spans="1:16" ht="12.75">
      <c r="A374" s="241" t="s">
        <v>3511</v>
      </c>
      <c r="B374" s="200" t="s">
        <v>3798</v>
      </c>
      <c r="C374" s="200" t="str">
        <f>VLOOKUP(B374,Fincas!$A$2:$C$1005,2,0)</f>
        <v>La Fortuna</v>
      </c>
      <c r="D374" s="201">
        <v>44713</v>
      </c>
      <c r="E374" s="267" t="str">
        <f t="shared" si="71"/>
        <v>junio</v>
      </c>
      <c r="F374" s="202">
        <v>44713</v>
      </c>
      <c r="G374" s="203">
        <v>44715</v>
      </c>
      <c r="H374" s="200">
        <v>11583</v>
      </c>
      <c r="I374" s="224">
        <v>7008146</v>
      </c>
      <c r="J374" s="234" t="str">
        <f t="shared" si="73"/>
        <v>Res macho ceba</v>
      </c>
      <c r="K374" s="200">
        <v>2859</v>
      </c>
      <c r="L374" s="550">
        <v>8900</v>
      </c>
      <c r="M374" s="205">
        <f t="shared" si="83"/>
        <v>25445100</v>
      </c>
      <c r="N374" s="214">
        <v>11</v>
      </c>
      <c r="O374" s="554">
        <f t="shared" si="74"/>
        <v>259.90909090909093</v>
      </c>
      <c r="P374" s="548">
        <f t="shared" si="72"/>
        <v>2313190.9090909092</v>
      </c>
    </row>
    <row r="375" spans="1:16" ht="12.75">
      <c r="A375" s="199" t="s">
        <v>3800</v>
      </c>
      <c r="B375" s="200" t="s">
        <v>3801</v>
      </c>
      <c r="C375" s="200" t="str">
        <f>VLOOKUP(B375,Fincas!$A$2:$C$1005,2,0)</f>
        <v>Nicaragua</v>
      </c>
      <c r="D375" s="201">
        <v>44714</v>
      </c>
      <c r="E375" s="267" t="str">
        <f t="shared" si="71"/>
        <v>junio</v>
      </c>
      <c r="F375" s="202">
        <v>44714</v>
      </c>
      <c r="G375" s="203">
        <v>44715</v>
      </c>
      <c r="H375" s="200" t="s">
        <v>3802</v>
      </c>
      <c r="I375" s="217">
        <v>7008151</v>
      </c>
      <c r="J375" s="217" t="str">
        <f t="shared" si="73"/>
        <v>Res novilla ceba</v>
      </c>
      <c r="K375" s="200">
        <v>20714</v>
      </c>
      <c r="L375" s="550">
        <v>7950</v>
      </c>
      <c r="M375" s="205">
        <f t="shared" si="83"/>
        <v>164676300</v>
      </c>
      <c r="N375" s="214">
        <v>65</v>
      </c>
      <c r="O375" s="554">
        <f t="shared" si="74"/>
        <v>318.67692307692306</v>
      </c>
      <c r="P375" s="548">
        <f t="shared" si="72"/>
        <v>2533481.5384615385</v>
      </c>
    </row>
    <row r="376" spans="1:16" ht="12.75">
      <c r="A376" s="199" t="s">
        <v>3577</v>
      </c>
      <c r="B376" s="200" t="s">
        <v>3578</v>
      </c>
      <c r="C376" s="200" t="str">
        <f>VLOOKUP(B376,Fincas!$A$2:$C$1005,2,0)</f>
        <v>F_Triana</v>
      </c>
      <c r="D376" s="201">
        <v>44713</v>
      </c>
      <c r="E376" s="267" t="str">
        <f t="shared" si="71"/>
        <v>junio</v>
      </c>
      <c r="F376" s="202">
        <v>44713</v>
      </c>
      <c r="G376" s="203">
        <v>44715</v>
      </c>
      <c r="H376" s="200" t="s">
        <v>3803</v>
      </c>
      <c r="I376" s="224">
        <v>7008146</v>
      </c>
      <c r="J376" s="234" t="str">
        <f t="shared" si="73"/>
        <v>Res macho ceba</v>
      </c>
      <c r="K376" s="200">
        <v>340914</v>
      </c>
      <c r="L376" s="550">
        <v>9500</v>
      </c>
      <c r="M376" s="205">
        <f t="shared" si="83"/>
        <v>3238683000</v>
      </c>
      <c r="N376" s="214">
        <v>857</v>
      </c>
      <c r="O376" s="554">
        <f t="shared" si="74"/>
        <v>397.79929988331389</v>
      </c>
      <c r="P376" s="548">
        <f t="shared" si="72"/>
        <v>3779093.3488914818</v>
      </c>
    </row>
    <row r="377" spans="1:16" ht="12.75">
      <c r="A377" s="199" t="s">
        <v>3511</v>
      </c>
      <c r="B377" s="200" t="s">
        <v>3754</v>
      </c>
      <c r="C377" s="200" t="str">
        <f>VLOOKUP(B377,Fincas!$A$2:$C$1005,2,0)</f>
        <v>Alm. FeedLot</v>
      </c>
      <c r="D377" s="201">
        <v>44713</v>
      </c>
      <c r="E377" s="267" t="str">
        <f t="shared" si="71"/>
        <v>junio</v>
      </c>
      <c r="F377" s="202">
        <v>44714</v>
      </c>
      <c r="G377" s="203">
        <v>44715</v>
      </c>
      <c r="H377" s="200" t="s">
        <v>3804</v>
      </c>
      <c r="I377" s="224">
        <v>7008146</v>
      </c>
      <c r="J377" s="234" t="str">
        <f t="shared" si="73"/>
        <v>Res macho ceba</v>
      </c>
      <c r="K377" s="200">
        <v>6519</v>
      </c>
      <c r="L377" s="550">
        <v>9120</v>
      </c>
      <c r="M377" s="205">
        <f t="shared" si="83"/>
        <v>59453280</v>
      </c>
      <c r="N377" s="214">
        <v>18</v>
      </c>
      <c r="O377" s="554">
        <f t="shared" si="74"/>
        <v>362.16666666666669</v>
      </c>
      <c r="P377" s="548">
        <f t="shared" si="72"/>
        <v>3302960</v>
      </c>
    </row>
    <row r="378" spans="1:16" ht="12.75">
      <c r="A378" s="199" t="s">
        <v>3514</v>
      </c>
      <c r="B378" s="200" t="s">
        <v>3737</v>
      </c>
      <c r="C378" s="200" t="str">
        <f>VLOOKUP(B378,Fincas!$A$2:$C$1005,2,0)</f>
        <v>F_Los Santos</v>
      </c>
      <c r="D378" s="201">
        <v>44714</v>
      </c>
      <c r="E378" s="267" t="str">
        <f t="shared" si="71"/>
        <v>junio</v>
      </c>
      <c r="F378" s="202">
        <v>44718</v>
      </c>
      <c r="G378" s="203">
        <v>44718</v>
      </c>
      <c r="H378" s="200" t="s">
        <v>3805</v>
      </c>
      <c r="I378" s="212">
        <v>7008147</v>
      </c>
      <c r="J378" s="212" t="str">
        <f t="shared" si="73"/>
        <v>Res macho levante</v>
      </c>
      <c r="K378" s="200">
        <v>16673</v>
      </c>
      <c r="L378" s="550">
        <v>9400</v>
      </c>
      <c r="M378" s="205">
        <f t="shared" si="83"/>
        <v>156726200</v>
      </c>
      <c r="N378" s="214">
        <v>64</v>
      </c>
      <c r="O378" s="554">
        <f t="shared" si="74"/>
        <v>260.515625</v>
      </c>
      <c r="P378" s="548">
        <f t="shared" si="72"/>
        <v>2448846.875</v>
      </c>
    </row>
    <row r="379" spans="1:16" ht="12.75">
      <c r="A379" s="199" t="s">
        <v>1419</v>
      </c>
      <c r="B379" s="200" t="s">
        <v>3464</v>
      </c>
      <c r="C379" s="200" t="str">
        <f>VLOOKUP(B379,Fincas!$A$2:$C$1005,2,0)</f>
        <v>F_Texas Araujo</v>
      </c>
      <c r="D379" s="201">
        <v>44714</v>
      </c>
      <c r="E379" s="267" t="str">
        <f t="shared" si="71"/>
        <v>junio</v>
      </c>
      <c r="F379" s="202">
        <v>44714</v>
      </c>
      <c r="G379" s="203">
        <v>44718</v>
      </c>
      <c r="H379" s="200" t="s">
        <v>3806</v>
      </c>
      <c r="I379" s="224">
        <v>7008146</v>
      </c>
      <c r="J379" s="234" t="str">
        <f t="shared" si="73"/>
        <v>Res macho ceba</v>
      </c>
      <c r="K379" s="200">
        <v>5930</v>
      </c>
      <c r="L379" s="550">
        <f t="shared" ref="L379:L380" si="84">M379/K379</f>
        <v>8803.6424957841482</v>
      </c>
      <c r="M379" s="213">
        <v>52205600</v>
      </c>
      <c r="N379" s="214">
        <v>18</v>
      </c>
      <c r="O379" s="554">
        <f t="shared" si="74"/>
        <v>329.44444444444446</v>
      </c>
      <c r="P379" s="548">
        <f t="shared" si="72"/>
        <v>2900311.111111111</v>
      </c>
    </row>
    <row r="380" spans="1:16" ht="12.75">
      <c r="A380" s="199" t="s">
        <v>3454</v>
      </c>
      <c r="B380" s="200" t="s">
        <v>3493</v>
      </c>
      <c r="C380" s="200" t="str">
        <f>VLOOKUP(B380,Fincas!$A$2:$C$1005,2,0)</f>
        <v>F_Las Camelias</v>
      </c>
      <c r="D380" s="201">
        <v>44714</v>
      </c>
      <c r="E380" s="267" t="str">
        <f t="shared" si="71"/>
        <v>junio</v>
      </c>
      <c r="F380" s="202">
        <v>44714</v>
      </c>
      <c r="G380" s="203">
        <v>44718</v>
      </c>
      <c r="H380" s="200" t="s">
        <v>3807</v>
      </c>
      <c r="I380" s="224">
        <v>7008146</v>
      </c>
      <c r="J380" s="234" t="str">
        <f t="shared" si="73"/>
        <v>Res macho ceba</v>
      </c>
      <c r="K380" s="200">
        <v>5971</v>
      </c>
      <c r="L380" s="550">
        <f t="shared" si="84"/>
        <v>9245.0800535923627</v>
      </c>
      <c r="M380" s="213">
        <v>55202373</v>
      </c>
      <c r="N380" s="214">
        <v>18</v>
      </c>
      <c r="O380" s="554">
        <f t="shared" si="74"/>
        <v>331.72222222222223</v>
      </c>
      <c r="P380" s="548">
        <f t="shared" si="72"/>
        <v>3066798.5</v>
      </c>
    </row>
    <row r="381" spans="1:16" ht="12.75">
      <c r="A381" s="199" t="s">
        <v>3800</v>
      </c>
      <c r="B381" s="200" t="s">
        <v>3801</v>
      </c>
      <c r="C381" s="200" t="str">
        <f>VLOOKUP(B381,Fincas!$A$2:$C$1005,2,0)</f>
        <v>Nicaragua</v>
      </c>
      <c r="D381" s="201">
        <v>44718</v>
      </c>
      <c r="E381" s="267" t="str">
        <f t="shared" si="71"/>
        <v>junio</v>
      </c>
      <c r="F381" s="202">
        <v>44718</v>
      </c>
      <c r="G381" s="203">
        <v>44719</v>
      </c>
      <c r="H381" s="200" t="s">
        <v>3808</v>
      </c>
      <c r="I381" s="217">
        <v>7008151</v>
      </c>
      <c r="J381" s="217" t="str">
        <f t="shared" si="73"/>
        <v>Res novilla ceba</v>
      </c>
      <c r="K381" s="200">
        <v>27884</v>
      </c>
      <c r="L381" s="550">
        <v>8000</v>
      </c>
      <c r="M381" s="205">
        <f>L381*K381</f>
        <v>223072000</v>
      </c>
      <c r="N381" s="214">
        <v>79</v>
      </c>
      <c r="O381" s="554">
        <f t="shared" si="74"/>
        <v>352.96202531645571</v>
      </c>
      <c r="P381" s="548">
        <f t="shared" si="72"/>
        <v>2823696.2025316455</v>
      </c>
    </row>
    <row r="382" spans="1:16" ht="12.75">
      <c r="A382" s="199" t="s">
        <v>3454</v>
      </c>
      <c r="B382" s="200" t="s">
        <v>3798</v>
      </c>
      <c r="C382" s="200" t="str">
        <f>VLOOKUP(B382,Fincas!$A$2:$C$1005,2,0)</f>
        <v>La Fortuna</v>
      </c>
      <c r="D382" s="201">
        <v>44714</v>
      </c>
      <c r="E382" s="267" t="str">
        <f t="shared" si="71"/>
        <v>junio</v>
      </c>
      <c r="F382" s="202">
        <v>44714</v>
      </c>
      <c r="G382" s="203">
        <v>44719</v>
      </c>
      <c r="H382" s="200" t="s">
        <v>3809</v>
      </c>
      <c r="I382" s="224">
        <v>7008146</v>
      </c>
      <c r="J382" s="234" t="str">
        <f t="shared" si="73"/>
        <v>Res macho ceba</v>
      </c>
      <c r="K382" s="200">
        <v>5706</v>
      </c>
      <c r="L382" s="550">
        <f t="shared" ref="L382:L385" si="85">M382/K382</f>
        <v>9496.3049421661417</v>
      </c>
      <c r="M382" s="213">
        <v>54185916</v>
      </c>
      <c r="N382" s="214">
        <v>20</v>
      </c>
      <c r="O382" s="554">
        <f t="shared" si="74"/>
        <v>285.3</v>
      </c>
      <c r="P382" s="548">
        <f t="shared" si="72"/>
        <v>2709295.8</v>
      </c>
    </row>
    <row r="383" spans="1:16" ht="12.75">
      <c r="A383" s="199" t="s">
        <v>3454</v>
      </c>
      <c r="B383" s="200" t="s">
        <v>3798</v>
      </c>
      <c r="C383" s="200" t="str">
        <f>VLOOKUP(B383,Fincas!$A$2:$C$1005,2,0)</f>
        <v>La Fortuna</v>
      </c>
      <c r="D383" s="201">
        <v>44714</v>
      </c>
      <c r="E383" s="267" t="str">
        <f t="shared" si="71"/>
        <v>junio</v>
      </c>
      <c r="F383" s="202">
        <v>44714</v>
      </c>
      <c r="G383" s="203">
        <v>44719</v>
      </c>
      <c r="H383" s="200" t="s">
        <v>3810</v>
      </c>
      <c r="I383" s="224">
        <v>7008146</v>
      </c>
      <c r="J383" s="234" t="str">
        <f t="shared" si="73"/>
        <v>Res macho ceba</v>
      </c>
      <c r="K383" s="200">
        <v>5467</v>
      </c>
      <c r="L383" s="550">
        <f t="shared" si="85"/>
        <v>9496.3049204316812</v>
      </c>
      <c r="M383" s="213">
        <v>51916299</v>
      </c>
      <c r="N383" s="214">
        <v>20</v>
      </c>
      <c r="O383" s="554">
        <f t="shared" si="74"/>
        <v>273.35000000000002</v>
      </c>
      <c r="P383" s="548">
        <f t="shared" si="72"/>
        <v>2595814.9500000002</v>
      </c>
    </row>
    <row r="384" spans="1:16" ht="12.75">
      <c r="A384" s="199" t="s">
        <v>3454</v>
      </c>
      <c r="B384" s="200" t="s">
        <v>3498</v>
      </c>
      <c r="C384" s="200" t="str">
        <f>VLOOKUP(B384,Fincas!$A$2:$C$1005,2,0)</f>
        <v>F_Jordan</v>
      </c>
      <c r="D384" s="201">
        <v>44713</v>
      </c>
      <c r="E384" s="267" t="str">
        <f t="shared" si="71"/>
        <v>junio</v>
      </c>
      <c r="F384" s="202">
        <v>44713</v>
      </c>
      <c r="G384" s="203">
        <v>44719</v>
      </c>
      <c r="H384" s="200">
        <v>7945</v>
      </c>
      <c r="I384" s="224">
        <v>7008146</v>
      </c>
      <c r="J384" s="234" t="str">
        <f t="shared" si="73"/>
        <v>Res macho ceba</v>
      </c>
      <c r="K384" s="200">
        <v>6123</v>
      </c>
      <c r="L384" s="550">
        <f t="shared" si="85"/>
        <v>8843.1200391964721</v>
      </c>
      <c r="M384" s="213">
        <v>54146424</v>
      </c>
      <c r="N384" s="214">
        <v>15</v>
      </c>
      <c r="O384" s="554">
        <f t="shared" si="74"/>
        <v>408.2</v>
      </c>
      <c r="P384" s="548">
        <f t="shared" si="72"/>
        <v>3609761.6</v>
      </c>
    </row>
    <row r="385" spans="1:16" ht="12.75">
      <c r="A385" s="199" t="s">
        <v>3454</v>
      </c>
      <c r="B385" s="200" t="s">
        <v>3557</v>
      </c>
      <c r="C385" s="200" t="str">
        <f>VLOOKUP(B385,Fincas!$A$2:$C$1005,2,0)</f>
        <v>F_San Clemente</v>
      </c>
      <c r="D385" s="201">
        <v>44714</v>
      </c>
      <c r="E385" s="267" t="str">
        <f t="shared" si="71"/>
        <v>junio</v>
      </c>
      <c r="F385" s="202">
        <v>44714</v>
      </c>
      <c r="G385" s="203">
        <v>44719</v>
      </c>
      <c r="H385" s="200">
        <v>239279</v>
      </c>
      <c r="I385" s="217">
        <v>7008151</v>
      </c>
      <c r="J385" s="217" t="str">
        <f t="shared" si="73"/>
        <v>Res novilla ceba</v>
      </c>
      <c r="K385" s="200">
        <v>5618</v>
      </c>
      <c r="L385" s="550">
        <f t="shared" si="85"/>
        <v>7536.7500889996436</v>
      </c>
      <c r="M385" s="213">
        <v>42341462</v>
      </c>
      <c r="N385" s="214">
        <v>21</v>
      </c>
      <c r="O385" s="554">
        <f t="shared" si="74"/>
        <v>267.52380952380952</v>
      </c>
      <c r="P385" s="548">
        <f t="shared" si="72"/>
        <v>2016260.0952380951</v>
      </c>
    </row>
    <row r="386" spans="1:16" ht="12.75">
      <c r="A386" s="199" t="s">
        <v>3426</v>
      </c>
      <c r="B386" s="200" t="s">
        <v>3498</v>
      </c>
      <c r="C386" s="200" t="str">
        <f>VLOOKUP(B386,Fincas!$A$2:$C$1005,2,0)</f>
        <v>F_Jordan</v>
      </c>
      <c r="D386" s="201">
        <v>44716</v>
      </c>
      <c r="E386" s="267" t="str">
        <f t="shared" ref="E386:E449" si="86">+TEXT(D386,"mmmm")</f>
        <v>junio</v>
      </c>
      <c r="F386" s="202">
        <v>44716</v>
      </c>
      <c r="G386" s="203">
        <v>44719</v>
      </c>
      <c r="H386" s="200" t="s">
        <v>3811</v>
      </c>
      <c r="I386" s="224">
        <v>7008146</v>
      </c>
      <c r="J386" s="234" t="str">
        <f t="shared" si="73"/>
        <v>Res macho ceba</v>
      </c>
      <c r="K386" s="200">
        <v>6536</v>
      </c>
      <c r="L386" s="550">
        <v>8000</v>
      </c>
      <c r="M386" s="205">
        <f t="shared" ref="M386:M388" si="87">L386*K386</f>
        <v>52288000</v>
      </c>
      <c r="N386" s="214">
        <v>15</v>
      </c>
      <c r="O386" s="554">
        <f t="shared" si="74"/>
        <v>435.73333333333335</v>
      </c>
      <c r="P386" s="548">
        <f t="shared" ref="P386:P449" si="88">+M386/N386</f>
        <v>3485866.6666666665</v>
      </c>
    </row>
    <row r="387" spans="1:16" ht="12.75">
      <c r="A387" s="199" t="s">
        <v>3426</v>
      </c>
      <c r="B387" s="200" t="s">
        <v>3779</v>
      </c>
      <c r="C387" s="200" t="str">
        <f>VLOOKUP(B387,Fincas!$A$2:$C$1005,2,0)</f>
        <v>F_La Aldea</v>
      </c>
      <c r="D387" s="201">
        <v>44719</v>
      </c>
      <c r="E387" s="267" t="str">
        <f t="shared" si="86"/>
        <v>junio</v>
      </c>
      <c r="F387" s="202">
        <v>44719</v>
      </c>
      <c r="G387" s="203">
        <v>44719</v>
      </c>
      <c r="H387" s="200" t="s">
        <v>3812</v>
      </c>
      <c r="I387" s="212">
        <v>7008147</v>
      </c>
      <c r="J387" s="212" t="str">
        <f t="shared" ref="J387:J450" si="89">+VLOOKUP(I387,$F$962:$G$970,2,0)</f>
        <v>Res macho levante</v>
      </c>
      <c r="K387" s="200">
        <v>30840</v>
      </c>
      <c r="L387" s="550">
        <v>10138</v>
      </c>
      <c r="M387" s="205">
        <f t="shared" si="87"/>
        <v>312655920</v>
      </c>
      <c r="N387" s="214">
        <v>120</v>
      </c>
      <c r="O387" s="554">
        <f t="shared" ref="O387:O450" si="90">+K387/N387</f>
        <v>257</v>
      </c>
      <c r="P387" s="548">
        <f t="shared" si="88"/>
        <v>2605466</v>
      </c>
    </row>
    <row r="388" spans="1:16" ht="12.75">
      <c r="A388" s="199" t="s">
        <v>3548</v>
      </c>
      <c r="B388" s="200" t="s">
        <v>3549</v>
      </c>
      <c r="C388" s="200" t="str">
        <f>VLOOKUP(B388,Fincas!$A$2:$C$1005,2,0)</f>
        <v>F_El Imperio</v>
      </c>
      <c r="D388" s="201">
        <v>44719</v>
      </c>
      <c r="E388" s="267" t="str">
        <f t="shared" si="86"/>
        <v>junio</v>
      </c>
      <c r="F388" s="202">
        <v>44749</v>
      </c>
      <c r="G388" s="203">
        <v>44749</v>
      </c>
      <c r="H388" s="200" t="s">
        <v>3813</v>
      </c>
      <c r="I388" s="224">
        <v>7008146</v>
      </c>
      <c r="J388" s="234" t="str">
        <f t="shared" si="89"/>
        <v>Res macho ceba</v>
      </c>
      <c r="K388" s="200">
        <v>10279</v>
      </c>
      <c r="L388" s="550">
        <v>9200</v>
      </c>
      <c r="M388" s="205">
        <f t="shared" si="87"/>
        <v>94566800</v>
      </c>
      <c r="N388" s="214">
        <v>29</v>
      </c>
      <c r="O388" s="554">
        <f t="shared" si="90"/>
        <v>354.44827586206895</v>
      </c>
      <c r="P388" s="548">
        <f t="shared" si="88"/>
        <v>3260924.1379310344</v>
      </c>
    </row>
    <row r="389" spans="1:16" ht="12.75">
      <c r="A389" s="199" t="s">
        <v>3454</v>
      </c>
      <c r="B389" s="200" t="s">
        <v>3661</v>
      </c>
      <c r="C389" s="200" t="str">
        <f>VLOOKUP(B389,Fincas!$A$2:$C$1005,2,0)</f>
        <v>F_Mis Deseos</v>
      </c>
      <c r="D389" s="201">
        <v>44713</v>
      </c>
      <c r="E389" s="267" t="str">
        <f t="shared" si="86"/>
        <v>junio</v>
      </c>
      <c r="F389" s="202">
        <v>44714</v>
      </c>
      <c r="G389" s="203">
        <v>44721</v>
      </c>
      <c r="H389" s="200">
        <v>39539</v>
      </c>
      <c r="I389" s="212">
        <v>7008147</v>
      </c>
      <c r="J389" s="212" t="str">
        <f t="shared" si="89"/>
        <v>Res macho levante</v>
      </c>
      <c r="K389" s="200">
        <v>4440</v>
      </c>
      <c r="L389" s="550">
        <f>M389/K389</f>
        <v>9395.815090090091</v>
      </c>
      <c r="M389" s="213">
        <v>41717419</v>
      </c>
      <c r="N389" s="214">
        <v>19</v>
      </c>
      <c r="O389" s="554">
        <f t="shared" si="90"/>
        <v>233.68421052631578</v>
      </c>
      <c r="P389" s="548">
        <f t="shared" si="88"/>
        <v>2195653.6315789474</v>
      </c>
    </row>
    <row r="390" spans="1:16" ht="12.75">
      <c r="A390" s="199" t="s">
        <v>3511</v>
      </c>
      <c r="B390" s="200" t="s">
        <v>3661</v>
      </c>
      <c r="C390" s="200" t="str">
        <f>VLOOKUP(B390,Fincas!$A$2:$C$1005,2,0)</f>
        <v>F_Mis Deseos</v>
      </c>
      <c r="D390" s="201">
        <v>44719</v>
      </c>
      <c r="E390" s="267" t="str">
        <f t="shared" si="86"/>
        <v>junio</v>
      </c>
      <c r="F390" s="202">
        <v>44720</v>
      </c>
      <c r="G390" s="203">
        <v>44721</v>
      </c>
      <c r="H390" s="200" t="s">
        <v>3814</v>
      </c>
      <c r="I390" s="212">
        <v>7008147</v>
      </c>
      <c r="J390" s="212" t="str">
        <f t="shared" si="89"/>
        <v>Res macho levante</v>
      </c>
      <c r="K390" s="200">
        <v>288</v>
      </c>
      <c r="L390" s="550">
        <v>8800</v>
      </c>
      <c r="M390" s="205">
        <f t="shared" ref="M390:M400" si="91">L390*K390</f>
        <v>2534400</v>
      </c>
      <c r="N390" s="214">
        <v>1</v>
      </c>
      <c r="O390" s="554">
        <f t="shared" si="90"/>
        <v>288</v>
      </c>
      <c r="P390" s="548">
        <f t="shared" si="88"/>
        <v>2534400</v>
      </c>
    </row>
    <row r="391" spans="1:16" ht="12.75">
      <c r="A391" s="199" t="s">
        <v>3511</v>
      </c>
      <c r="B391" s="200" t="s">
        <v>3661</v>
      </c>
      <c r="C391" s="200" t="str">
        <f>VLOOKUP(B391,Fincas!$A$2:$C$1005,2,0)</f>
        <v>F_Mis Deseos</v>
      </c>
      <c r="D391" s="201">
        <v>44719</v>
      </c>
      <c r="E391" s="267" t="str">
        <f t="shared" si="86"/>
        <v>junio</v>
      </c>
      <c r="F391" s="202">
        <v>44720</v>
      </c>
      <c r="G391" s="203">
        <v>44721</v>
      </c>
      <c r="H391" s="200" t="s">
        <v>3815</v>
      </c>
      <c r="I391" s="212">
        <v>7008147</v>
      </c>
      <c r="J391" s="212" t="str">
        <f t="shared" si="89"/>
        <v>Res macho levante</v>
      </c>
      <c r="K391" s="200">
        <v>256</v>
      </c>
      <c r="L391" s="550">
        <v>8450</v>
      </c>
      <c r="M391" s="205">
        <f t="shared" si="91"/>
        <v>2163200</v>
      </c>
      <c r="N391" s="214">
        <v>1</v>
      </c>
      <c r="O391" s="554">
        <f t="shared" si="90"/>
        <v>256</v>
      </c>
      <c r="P391" s="548">
        <f t="shared" si="88"/>
        <v>2163200</v>
      </c>
    </row>
    <row r="392" spans="1:16" ht="12.75">
      <c r="A392" s="199" t="s">
        <v>3511</v>
      </c>
      <c r="B392" s="200" t="s">
        <v>3661</v>
      </c>
      <c r="C392" s="200" t="str">
        <f>VLOOKUP(B392,Fincas!$A$2:$C$1005,2,0)</f>
        <v>F_Mis Deseos</v>
      </c>
      <c r="D392" s="201">
        <v>44719</v>
      </c>
      <c r="E392" s="267" t="str">
        <f t="shared" si="86"/>
        <v>junio</v>
      </c>
      <c r="F392" s="202">
        <v>44720</v>
      </c>
      <c r="G392" s="203">
        <v>44721</v>
      </c>
      <c r="H392" s="200" t="s">
        <v>3816</v>
      </c>
      <c r="I392" s="212">
        <v>7008147</v>
      </c>
      <c r="J392" s="212" t="str">
        <f t="shared" si="89"/>
        <v>Res macho levante</v>
      </c>
      <c r="K392" s="200">
        <v>267</v>
      </c>
      <c r="L392" s="550">
        <v>8400</v>
      </c>
      <c r="M392" s="205">
        <f t="shared" si="91"/>
        <v>2242800</v>
      </c>
      <c r="N392" s="214">
        <v>1</v>
      </c>
      <c r="O392" s="554">
        <f t="shared" si="90"/>
        <v>267</v>
      </c>
      <c r="P392" s="548">
        <f t="shared" si="88"/>
        <v>2242800</v>
      </c>
    </row>
    <row r="393" spans="1:16" ht="12.75">
      <c r="A393" s="199" t="s">
        <v>3511</v>
      </c>
      <c r="B393" s="200" t="s">
        <v>3661</v>
      </c>
      <c r="C393" s="200" t="str">
        <f>VLOOKUP(B393,Fincas!$A$2:$C$1005,2,0)</f>
        <v>F_Mis Deseos</v>
      </c>
      <c r="D393" s="201">
        <v>44719</v>
      </c>
      <c r="E393" s="267" t="str">
        <f t="shared" si="86"/>
        <v>junio</v>
      </c>
      <c r="F393" s="202">
        <v>44720</v>
      </c>
      <c r="G393" s="203">
        <v>44721</v>
      </c>
      <c r="H393" s="200" t="s">
        <v>3817</v>
      </c>
      <c r="I393" s="212">
        <v>7008147</v>
      </c>
      <c r="J393" s="212" t="str">
        <f t="shared" si="89"/>
        <v>Res macho levante</v>
      </c>
      <c r="K393" s="200">
        <v>240</v>
      </c>
      <c r="L393" s="550">
        <v>9200</v>
      </c>
      <c r="M393" s="205">
        <f t="shared" si="91"/>
        <v>2208000</v>
      </c>
      <c r="N393" s="214">
        <v>1</v>
      </c>
      <c r="O393" s="554">
        <f t="shared" si="90"/>
        <v>240</v>
      </c>
      <c r="P393" s="548">
        <f t="shared" si="88"/>
        <v>2208000</v>
      </c>
    </row>
    <row r="394" spans="1:16" ht="12.75">
      <c r="A394" s="199" t="s">
        <v>3511</v>
      </c>
      <c r="B394" s="200" t="s">
        <v>3661</v>
      </c>
      <c r="C394" s="200" t="str">
        <f>VLOOKUP(B394,Fincas!$A$2:$C$1005,2,0)</f>
        <v>F_Mis Deseos</v>
      </c>
      <c r="D394" s="201">
        <v>44719</v>
      </c>
      <c r="E394" s="267" t="str">
        <f t="shared" si="86"/>
        <v>junio</v>
      </c>
      <c r="F394" s="202">
        <v>44720</v>
      </c>
      <c r="G394" s="203">
        <v>44721</v>
      </c>
      <c r="H394" s="200" t="s">
        <v>3818</v>
      </c>
      <c r="I394" s="212">
        <v>7008147</v>
      </c>
      <c r="J394" s="212" t="str">
        <f t="shared" si="89"/>
        <v>Res macho levante</v>
      </c>
      <c r="K394" s="200">
        <v>1487</v>
      </c>
      <c r="L394" s="550">
        <v>8450</v>
      </c>
      <c r="M394" s="205">
        <f t="shared" si="91"/>
        <v>12565150</v>
      </c>
      <c r="N394" s="214">
        <v>6</v>
      </c>
      <c r="O394" s="554">
        <f t="shared" si="90"/>
        <v>247.83333333333334</v>
      </c>
      <c r="P394" s="548">
        <f t="shared" si="88"/>
        <v>2094191.6666666667</v>
      </c>
    </row>
    <row r="395" spans="1:16" ht="12.75">
      <c r="A395" s="199" t="s">
        <v>3511</v>
      </c>
      <c r="B395" s="200" t="s">
        <v>3661</v>
      </c>
      <c r="C395" s="200" t="str">
        <f>VLOOKUP(B395,Fincas!$A$2:$C$1005,2,0)</f>
        <v>F_Mis Deseos</v>
      </c>
      <c r="D395" s="201">
        <v>44719</v>
      </c>
      <c r="E395" s="267" t="str">
        <f t="shared" si="86"/>
        <v>junio</v>
      </c>
      <c r="F395" s="202">
        <v>44720</v>
      </c>
      <c r="G395" s="203">
        <v>44721</v>
      </c>
      <c r="H395" s="200" t="s">
        <v>3819</v>
      </c>
      <c r="I395" s="212">
        <v>7008147</v>
      </c>
      <c r="J395" s="212" t="str">
        <f t="shared" si="89"/>
        <v>Res macho levante</v>
      </c>
      <c r="K395" s="200">
        <v>1768</v>
      </c>
      <c r="L395" s="550">
        <v>9050</v>
      </c>
      <c r="M395" s="205">
        <f t="shared" si="91"/>
        <v>16000400</v>
      </c>
      <c r="N395" s="214">
        <v>8</v>
      </c>
      <c r="O395" s="554">
        <f t="shared" si="90"/>
        <v>221</v>
      </c>
      <c r="P395" s="548">
        <f t="shared" si="88"/>
        <v>2000050</v>
      </c>
    </row>
    <row r="396" spans="1:16" ht="12.75">
      <c r="A396" s="199" t="s">
        <v>3511</v>
      </c>
      <c r="B396" s="200" t="s">
        <v>3661</v>
      </c>
      <c r="C396" s="200" t="str">
        <f>VLOOKUP(B396,Fincas!$A$2:$C$1005,2,0)</f>
        <v>F_Mis Deseos</v>
      </c>
      <c r="D396" s="201">
        <v>44719</v>
      </c>
      <c r="E396" s="267" t="str">
        <f t="shared" si="86"/>
        <v>junio</v>
      </c>
      <c r="F396" s="202">
        <v>44720</v>
      </c>
      <c r="G396" s="203">
        <v>44721</v>
      </c>
      <c r="H396" s="200" t="s">
        <v>3820</v>
      </c>
      <c r="I396" s="212">
        <v>7008147</v>
      </c>
      <c r="J396" s="212" t="str">
        <f t="shared" si="89"/>
        <v>Res macho levante</v>
      </c>
      <c r="K396" s="200">
        <v>3928</v>
      </c>
      <c r="L396" s="550">
        <v>8550</v>
      </c>
      <c r="M396" s="205">
        <f t="shared" si="91"/>
        <v>33584400</v>
      </c>
      <c r="N396" s="214">
        <v>16</v>
      </c>
      <c r="O396" s="554">
        <f t="shared" si="90"/>
        <v>245.5</v>
      </c>
      <c r="P396" s="548">
        <f t="shared" si="88"/>
        <v>2099025</v>
      </c>
    </row>
    <row r="397" spans="1:16" ht="12.75">
      <c r="A397" s="199" t="s">
        <v>3511</v>
      </c>
      <c r="B397" s="200" t="s">
        <v>3661</v>
      </c>
      <c r="C397" s="200" t="str">
        <f>VLOOKUP(B397,Fincas!$A$2:$C$1005,2,0)</f>
        <v>F_Mis Deseos</v>
      </c>
      <c r="D397" s="201">
        <v>44719</v>
      </c>
      <c r="E397" s="267" t="str">
        <f t="shared" si="86"/>
        <v>junio</v>
      </c>
      <c r="F397" s="202">
        <v>44720</v>
      </c>
      <c r="G397" s="203">
        <v>44721</v>
      </c>
      <c r="H397" s="200" t="s">
        <v>3821</v>
      </c>
      <c r="I397" s="212">
        <v>7008147</v>
      </c>
      <c r="J397" s="212" t="str">
        <f t="shared" si="89"/>
        <v>Res macho levante</v>
      </c>
      <c r="K397" s="200">
        <v>5108</v>
      </c>
      <c r="L397" s="550">
        <v>9550</v>
      </c>
      <c r="M397" s="205">
        <f t="shared" si="91"/>
        <v>48781400</v>
      </c>
      <c r="N397" s="214">
        <v>21</v>
      </c>
      <c r="O397" s="554">
        <f t="shared" si="90"/>
        <v>243.23809523809524</v>
      </c>
      <c r="P397" s="548">
        <f t="shared" si="88"/>
        <v>2322923.8095238097</v>
      </c>
    </row>
    <row r="398" spans="1:16" ht="12.75">
      <c r="A398" s="199" t="s">
        <v>3511</v>
      </c>
      <c r="B398" s="200" t="s">
        <v>3661</v>
      </c>
      <c r="C398" s="200" t="str">
        <f>VLOOKUP(B398,Fincas!$A$2:$C$1005,2,0)</f>
        <v>F_Mis Deseos</v>
      </c>
      <c r="D398" s="201">
        <v>44719</v>
      </c>
      <c r="E398" s="267" t="str">
        <f t="shared" si="86"/>
        <v>junio</v>
      </c>
      <c r="F398" s="202">
        <v>44720</v>
      </c>
      <c r="G398" s="203">
        <v>44721</v>
      </c>
      <c r="H398" s="200" t="s">
        <v>3822</v>
      </c>
      <c r="I398" s="212">
        <v>7008147</v>
      </c>
      <c r="J398" s="212" t="str">
        <f t="shared" si="89"/>
        <v>Res macho levante</v>
      </c>
      <c r="K398" s="200">
        <v>2526</v>
      </c>
      <c r="L398" s="550">
        <v>8600</v>
      </c>
      <c r="M398" s="205">
        <f t="shared" si="91"/>
        <v>21723600</v>
      </c>
      <c r="N398" s="214">
        <v>9</v>
      </c>
      <c r="O398" s="554">
        <f t="shared" si="90"/>
        <v>280.66666666666669</v>
      </c>
      <c r="P398" s="548">
        <f t="shared" si="88"/>
        <v>2413733.3333333335</v>
      </c>
    </row>
    <row r="399" spans="1:16" ht="12.75">
      <c r="A399" s="199" t="s">
        <v>3511</v>
      </c>
      <c r="B399" s="200" t="s">
        <v>3661</v>
      </c>
      <c r="C399" s="200" t="str">
        <f>VLOOKUP(B399,Fincas!$A$2:$C$1005,2,0)</f>
        <v>F_Mis Deseos</v>
      </c>
      <c r="D399" s="201">
        <v>44719</v>
      </c>
      <c r="E399" s="267" t="str">
        <f t="shared" si="86"/>
        <v>junio</v>
      </c>
      <c r="F399" s="202">
        <v>44720</v>
      </c>
      <c r="G399" s="203">
        <v>44721</v>
      </c>
      <c r="H399" s="200" t="s">
        <v>3823</v>
      </c>
      <c r="I399" s="212">
        <v>7008147</v>
      </c>
      <c r="J399" s="212" t="str">
        <f t="shared" si="89"/>
        <v>Res macho levante</v>
      </c>
      <c r="K399" s="200">
        <v>2328</v>
      </c>
      <c r="L399" s="550">
        <v>9650</v>
      </c>
      <c r="M399" s="205">
        <f t="shared" si="91"/>
        <v>22465200</v>
      </c>
      <c r="N399" s="214">
        <v>9</v>
      </c>
      <c r="O399" s="554">
        <f t="shared" si="90"/>
        <v>258.66666666666669</v>
      </c>
      <c r="P399" s="548">
        <f t="shared" si="88"/>
        <v>2496133.3333333335</v>
      </c>
    </row>
    <row r="400" spans="1:16" ht="12.75">
      <c r="A400" s="199" t="s">
        <v>3511</v>
      </c>
      <c r="B400" s="200" t="s">
        <v>3661</v>
      </c>
      <c r="C400" s="200" t="str">
        <f>VLOOKUP(B400,Fincas!$A$2:$C$1005,2,0)</f>
        <v>F_Mis Deseos</v>
      </c>
      <c r="D400" s="201">
        <v>44719</v>
      </c>
      <c r="E400" s="267" t="str">
        <f t="shared" si="86"/>
        <v>junio</v>
      </c>
      <c r="F400" s="202">
        <v>44720</v>
      </c>
      <c r="G400" s="203">
        <v>44721</v>
      </c>
      <c r="H400" s="200" t="s">
        <v>3824</v>
      </c>
      <c r="I400" s="212">
        <v>7008147</v>
      </c>
      <c r="J400" s="212" t="str">
        <f t="shared" si="89"/>
        <v>Res macho levante</v>
      </c>
      <c r="K400" s="200">
        <v>1335</v>
      </c>
      <c r="L400" s="550">
        <v>9350</v>
      </c>
      <c r="M400" s="205">
        <f t="shared" si="91"/>
        <v>12482250</v>
      </c>
      <c r="N400" s="214">
        <v>5</v>
      </c>
      <c r="O400" s="554">
        <f t="shared" si="90"/>
        <v>267</v>
      </c>
      <c r="P400" s="548">
        <f t="shared" si="88"/>
        <v>2496450</v>
      </c>
    </row>
    <row r="401" spans="1:16" ht="12.75">
      <c r="A401" s="199" t="s">
        <v>1419</v>
      </c>
      <c r="B401" s="200" t="s">
        <v>3464</v>
      </c>
      <c r="C401" s="200" t="str">
        <f>VLOOKUP(B401,Fincas!$A$2:$C$1005,2,0)</f>
        <v>F_Texas Araujo</v>
      </c>
      <c r="D401" s="201">
        <v>44721</v>
      </c>
      <c r="E401" s="267" t="str">
        <f t="shared" si="86"/>
        <v>junio</v>
      </c>
      <c r="F401" s="202">
        <v>44723</v>
      </c>
      <c r="G401" s="203">
        <v>44722</v>
      </c>
      <c r="H401" s="200">
        <v>25155</v>
      </c>
      <c r="I401" s="224">
        <v>7008146</v>
      </c>
      <c r="J401" s="234" t="str">
        <f t="shared" si="89"/>
        <v>Res macho ceba</v>
      </c>
      <c r="K401" s="200">
        <v>4446</v>
      </c>
      <c r="L401" s="550">
        <f t="shared" ref="L401:L407" si="92">M401/K401</f>
        <v>8603.5087719298244</v>
      </c>
      <c r="M401" s="213">
        <v>38251200</v>
      </c>
      <c r="N401" s="214">
        <v>13</v>
      </c>
      <c r="O401" s="554">
        <f t="shared" si="90"/>
        <v>342</v>
      </c>
      <c r="P401" s="548">
        <f t="shared" si="88"/>
        <v>2942400</v>
      </c>
    </row>
    <row r="402" spans="1:16" ht="12.75">
      <c r="A402" s="199" t="s">
        <v>1419</v>
      </c>
      <c r="B402" s="200" t="s">
        <v>3464</v>
      </c>
      <c r="C402" s="200" t="str">
        <f>VLOOKUP(B402,Fincas!$A$2:$C$1005,2,0)</f>
        <v>F_Texas Araujo</v>
      </c>
      <c r="D402" s="201">
        <v>44721</v>
      </c>
      <c r="E402" s="267" t="str">
        <f t="shared" si="86"/>
        <v>junio</v>
      </c>
      <c r="F402" s="202">
        <v>44723</v>
      </c>
      <c r="G402" s="203">
        <v>44722</v>
      </c>
      <c r="H402" s="200">
        <v>25147</v>
      </c>
      <c r="I402" s="224">
        <v>7008146</v>
      </c>
      <c r="J402" s="234" t="str">
        <f t="shared" si="89"/>
        <v>Res macho ceba</v>
      </c>
      <c r="K402" s="200">
        <v>4990</v>
      </c>
      <c r="L402" s="550">
        <f t="shared" si="92"/>
        <v>8053.1262525050097</v>
      </c>
      <c r="M402" s="213">
        <v>40185100</v>
      </c>
      <c r="N402" s="214">
        <v>13</v>
      </c>
      <c r="O402" s="554">
        <f t="shared" si="90"/>
        <v>383.84615384615387</v>
      </c>
      <c r="P402" s="548">
        <f t="shared" si="88"/>
        <v>3091161.5384615385</v>
      </c>
    </row>
    <row r="403" spans="1:16" ht="12.75">
      <c r="A403" s="199" t="s">
        <v>1419</v>
      </c>
      <c r="B403" s="200" t="s">
        <v>3464</v>
      </c>
      <c r="C403" s="200" t="str">
        <f>VLOOKUP(B403,Fincas!$A$2:$C$1005,2,0)</f>
        <v>F_Texas Araujo</v>
      </c>
      <c r="D403" s="201">
        <v>44721</v>
      </c>
      <c r="E403" s="267" t="str">
        <f t="shared" si="86"/>
        <v>junio</v>
      </c>
      <c r="F403" s="202">
        <v>44723</v>
      </c>
      <c r="G403" s="203">
        <v>44722</v>
      </c>
      <c r="H403" s="200">
        <v>25148</v>
      </c>
      <c r="I403" s="224">
        <v>7008146</v>
      </c>
      <c r="J403" s="234" t="str">
        <f t="shared" si="89"/>
        <v>Res macho ceba</v>
      </c>
      <c r="K403" s="200">
        <v>5860</v>
      </c>
      <c r="L403" s="550">
        <f t="shared" si="92"/>
        <v>8703.6860068259393</v>
      </c>
      <c r="M403" s="213">
        <v>51003600</v>
      </c>
      <c r="N403" s="214">
        <v>18</v>
      </c>
      <c r="O403" s="554">
        <f t="shared" si="90"/>
        <v>325.55555555555554</v>
      </c>
      <c r="P403" s="548">
        <f t="shared" si="88"/>
        <v>2833533.3333333335</v>
      </c>
    </row>
    <row r="404" spans="1:16" ht="12.75">
      <c r="A404" s="199" t="s">
        <v>1419</v>
      </c>
      <c r="B404" s="200" t="s">
        <v>3464</v>
      </c>
      <c r="C404" s="200" t="str">
        <f>VLOOKUP(B404,Fincas!$A$2:$C$1005,2,0)</f>
        <v>F_Texas Araujo</v>
      </c>
      <c r="D404" s="201">
        <v>44721</v>
      </c>
      <c r="E404" s="267" t="str">
        <f t="shared" si="86"/>
        <v>junio</v>
      </c>
      <c r="F404" s="202">
        <v>44723</v>
      </c>
      <c r="G404" s="203">
        <v>44722</v>
      </c>
      <c r="H404" s="200">
        <v>25146</v>
      </c>
      <c r="I404" s="224">
        <v>7008146</v>
      </c>
      <c r="J404" s="234" t="str">
        <f t="shared" si="89"/>
        <v>Res macho ceba</v>
      </c>
      <c r="K404" s="200">
        <v>5130</v>
      </c>
      <c r="L404" s="550">
        <f t="shared" si="92"/>
        <v>8353.040935672514</v>
      </c>
      <c r="M404" s="213">
        <v>42851100</v>
      </c>
      <c r="N404" s="214">
        <v>13</v>
      </c>
      <c r="O404" s="554">
        <f t="shared" si="90"/>
        <v>394.61538461538464</v>
      </c>
      <c r="P404" s="548">
        <f t="shared" si="88"/>
        <v>3296238.4615384615</v>
      </c>
    </row>
    <row r="405" spans="1:16" ht="12.75">
      <c r="A405" s="199" t="s">
        <v>1419</v>
      </c>
      <c r="B405" s="200" t="s">
        <v>3464</v>
      </c>
      <c r="C405" s="200" t="str">
        <f>VLOOKUP(B405,Fincas!$A$2:$C$1005,2,0)</f>
        <v>F_Texas Araujo</v>
      </c>
      <c r="D405" s="201">
        <v>44721</v>
      </c>
      <c r="E405" s="267" t="str">
        <f t="shared" si="86"/>
        <v>junio</v>
      </c>
      <c r="F405" s="202">
        <v>44723</v>
      </c>
      <c r="G405" s="203">
        <v>44722</v>
      </c>
      <c r="H405" s="200">
        <v>25164</v>
      </c>
      <c r="I405" s="224">
        <v>7008146</v>
      </c>
      <c r="J405" s="234" t="str">
        <f t="shared" si="89"/>
        <v>Res macho ceba</v>
      </c>
      <c r="K405" s="200">
        <v>6258</v>
      </c>
      <c r="L405" s="550">
        <f t="shared" si="92"/>
        <v>8203.6433365292432</v>
      </c>
      <c r="M405" s="213">
        <v>51338400</v>
      </c>
      <c r="N405" s="214">
        <v>19</v>
      </c>
      <c r="O405" s="554">
        <f t="shared" si="90"/>
        <v>329.36842105263156</v>
      </c>
      <c r="P405" s="548">
        <f t="shared" si="88"/>
        <v>2702021.0526315789</v>
      </c>
    </row>
    <row r="406" spans="1:16" ht="12.75">
      <c r="A406" s="199" t="s">
        <v>1419</v>
      </c>
      <c r="B406" s="200" t="s">
        <v>3464</v>
      </c>
      <c r="C406" s="200" t="str">
        <f>VLOOKUP(B406,Fincas!$A$2:$C$1005,2,0)</f>
        <v>F_Texas Araujo</v>
      </c>
      <c r="D406" s="201">
        <v>44721</v>
      </c>
      <c r="E406" s="267" t="str">
        <f t="shared" si="86"/>
        <v>junio</v>
      </c>
      <c r="F406" s="202">
        <v>44723</v>
      </c>
      <c r="G406" s="203">
        <v>44722</v>
      </c>
      <c r="H406" s="200">
        <v>25175</v>
      </c>
      <c r="I406" s="224">
        <v>7008146</v>
      </c>
      <c r="J406" s="234" t="str">
        <f t="shared" si="89"/>
        <v>Res macho ceba</v>
      </c>
      <c r="K406" s="200">
        <v>4534</v>
      </c>
      <c r="L406" s="550">
        <f t="shared" si="92"/>
        <v>9553.7053374503757</v>
      </c>
      <c r="M406" s="213">
        <v>43316500</v>
      </c>
      <c r="N406" s="214">
        <v>14</v>
      </c>
      <c r="O406" s="554">
        <f t="shared" si="90"/>
        <v>323.85714285714283</v>
      </c>
      <c r="P406" s="548">
        <f t="shared" si="88"/>
        <v>3094035.7142857141</v>
      </c>
    </row>
    <row r="407" spans="1:16" ht="12.75">
      <c r="A407" s="199" t="s">
        <v>1419</v>
      </c>
      <c r="B407" s="200" t="s">
        <v>3464</v>
      </c>
      <c r="C407" s="200" t="str">
        <f>VLOOKUP(B407,Fincas!$A$2:$C$1005,2,0)</f>
        <v>F_Texas Araujo</v>
      </c>
      <c r="D407" s="201">
        <v>44721</v>
      </c>
      <c r="E407" s="267" t="str">
        <f t="shared" si="86"/>
        <v>junio</v>
      </c>
      <c r="F407" s="202">
        <v>44723</v>
      </c>
      <c r="G407" s="203">
        <v>44722</v>
      </c>
      <c r="H407" s="200">
        <v>25184</v>
      </c>
      <c r="I407" s="224">
        <v>7008146</v>
      </c>
      <c r="J407" s="234" t="str">
        <f t="shared" si="89"/>
        <v>Res macho ceba</v>
      </c>
      <c r="K407" s="200">
        <v>1616</v>
      </c>
      <c r="L407" s="550">
        <f t="shared" si="92"/>
        <v>8853.712871287129</v>
      </c>
      <c r="M407" s="213">
        <v>14307600</v>
      </c>
      <c r="N407" s="214">
        <v>5</v>
      </c>
      <c r="O407" s="554">
        <f t="shared" si="90"/>
        <v>323.2</v>
      </c>
      <c r="P407" s="548">
        <f t="shared" si="88"/>
        <v>2861520</v>
      </c>
    </row>
    <row r="408" spans="1:16" ht="12.75">
      <c r="A408" s="199" t="s">
        <v>3511</v>
      </c>
      <c r="B408" s="200" t="s">
        <v>3696</v>
      </c>
      <c r="C408" s="200" t="str">
        <f>VLOOKUP(B408,Fincas!$A$2:$C$1005,2,0)</f>
        <v>F_Las Delicias</v>
      </c>
      <c r="D408" s="201">
        <v>44714</v>
      </c>
      <c r="E408" s="267" t="str">
        <f t="shared" si="86"/>
        <v>junio</v>
      </c>
      <c r="F408" s="202">
        <v>44715</v>
      </c>
      <c r="G408" s="203">
        <v>44722</v>
      </c>
      <c r="H408" s="200">
        <v>7642</v>
      </c>
      <c r="I408" s="212">
        <v>7008147</v>
      </c>
      <c r="J408" s="212" t="str">
        <f t="shared" si="89"/>
        <v>Res macho levante</v>
      </c>
      <c r="K408" s="200">
        <v>4657</v>
      </c>
      <c r="L408" s="550">
        <v>9250</v>
      </c>
      <c r="M408" s="205">
        <f t="shared" ref="M408:M431" si="93">L408*K408</f>
        <v>43077250</v>
      </c>
      <c r="N408" s="214">
        <v>17</v>
      </c>
      <c r="O408" s="554">
        <f t="shared" si="90"/>
        <v>273.94117647058823</v>
      </c>
      <c r="P408" s="548">
        <f t="shared" si="88"/>
        <v>2533955.8823529412</v>
      </c>
    </row>
    <row r="409" spans="1:16" ht="12.75">
      <c r="A409" s="199" t="s">
        <v>3511</v>
      </c>
      <c r="B409" s="200" t="s">
        <v>3696</v>
      </c>
      <c r="C409" s="200" t="str">
        <f>VLOOKUP(B409,Fincas!$A$2:$C$1005,2,0)</f>
        <v>F_Las Delicias</v>
      </c>
      <c r="D409" s="201">
        <v>44714</v>
      </c>
      <c r="E409" s="267" t="str">
        <f t="shared" si="86"/>
        <v>junio</v>
      </c>
      <c r="F409" s="202">
        <v>44715</v>
      </c>
      <c r="G409" s="203">
        <v>44722</v>
      </c>
      <c r="H409" s="200">
        <v>7646</v>
      </c>
      <c r="I409" s="212">
        <v>7008147</v>
      </c>
      <c r="J409" s="212" t="str">
        <f t="shared" si="89"/>
        <v>Res macho levante</v>
      </c>
      <c r="K409" s="200">
        <v>6054</v>
      </c>
      <c r="L409" s="550">
        <v>9250</v>
      </c>
      <c r="M409" s="205">
        <f t="shared" si="93"/>
        <v>55999500</v>
      </c>
      <c r="N409" s="214">
        <v>23</v>
      </c>
      <c r="O409" s="554">
        <f t="shared" si="90"/>
        <v>263.21739130434781</v>
      </c>
      <c r="P409" s="548">
        <f t="shared" si="88"/>
        <v>2434760.8695652173</v>
      </c>
    </row>
    <row r="410" spans="1:16" ht="12.75">
      <c r="A410" s="199" t="s">
        <v>3511</v>
      </c>
      <c r="B410" s="200" t="s">
        <v>3825</v>
      </c>
      <c r="C410" s="200" t="str">
        <f>VLOOKUP(B410,Fincas!$A$2:$C$1005,2,0)</f>
        <v>F_Tulcan</v>
      </c>
      <c r="D410" s="201">
        <v>44714</v>
      </c>
      <c r="E410" s="267" t="str">
        <f t="shared" si="86"/>
        <v>junio</v>
      </c>
      <c r="F410" s="202">
        <v>44715</v>
      </c>
      <c r="G410" s="203">
        <v>44722</v>
      </c>
      <c r="H410" s="200">
        <v>7634</v>
      </c>
      <c r="I410" s="224">
        <v>7008146</v>
      </c>
      <c r="J410" s="234" t="str">
        <f t="shared" si="89"/>
        <v>Res macho ceba</v>
      </c>
      <c r="K410" s="200">
        <v>5165</v>
      </c>
      <c r="L410" s="550">
        <v>8850</v>
      </c>
      <c r="M410" s="205">
        <f t="shared" si="93"/>
        <v>45710250</v>
      </c>
      <c r="N410" s="214">
        <v>14</v>
      </c>
      <c r="O410" s="554">
        <f t="shared" si="90"/>
        <v>368.92857142857144</v>
      </c>
      <c r="P410" s="548">
        <f t="shared" si="88"/>
        <v>3265017.8571428573</v>
      </c>
    </row>
    <row r="411" spans="1:16" ht="12.75">
      <c r="A411" s="199" t="s">
        <v>3511</v>
      </c>
      <c r="B411" s="200" t="s">
        <v>3825</v>
      </c>
      <c r="C411" s="200" t="str">
        <f>VLOOKUP(B411,Fincas!$A$2:$C$1005,2,0)</f>
        <v>F_Tulcan</v>
      </c>
      <c r="D411" s="201">
        <v>44714</v>
      </c>
      <c r="E411" s="267" t="str">
        <f t="shared" si="86"/>
        <v>junio</v>
      </c>
      <c r="F411" s="202">
        <v>44715</v>
      </c>
      <c r="G411" s="203">
        <v>44722</v>
      </c>
      <c r="H411" s="200">
        <v>7640</v>
      </c>
      <c r="I411" s="224">
        <v>7008146</v>
      </c>
      <c r="J411" s="234" t="str">
        <f t="shared" si="89"/>
        <v>Res macho ceba</v>
      </c>
      <c r="K411" s="200">
        <v>7322</v>
      </c>
      <c r="L411" s="550">
        <v>9050</v>
      </c>
      <c r="M411" s="205">
        <f t="shared" si="93"/>
        <v>66264100</v>
      </c>
      <c r="N411" s="214">
        <v>20</v>
      </c>
      <c r="O411" s="554">
        <f t="shared" si="90"/>
        <v>366.1</v>
      </c>
      <c r="P411" s="548">
        <f t="shared" si="88"/>
        <v>3313205</v>
      </c>
    </row>
    <row r="412" spans="1:16" ht="12.75">
      <c r="A412" s="199" t="s">
        <v>3511</v>
      </c>
      <c r="B412" s="200" t="s">
        <v>3826</v>
      </c>
      <c r="C412" s="200" t="str">
        <f>VLOOKUP(B412,Fincas!$A$2:$C$1005,2,0)</f>
        <v>F_Venecia</v>
      </c>
      <c r="D412" s="201">
        <v>44714</v>
      </c>
      <c r="E412" s="267" t="str">
        <f t="shared" si="86"/>
        <v>junio</v>
      </c>
      <c r="F412" s="202">
        <v>44715</v>
      </c>
      <c r="G412" s="203">
        <v>44722</v>
      </c>
      <c r="H412" s="200">
        <v>7605</v>
      </c>
      <c r="I412" s="224">
        <v>7008146</v>
      </c>
      <c r="J412" s="234" t="str">
        <f t="shared" si="89"/>
        <v>Res macho ceba</v>
      </c>
      <c r="K412" s="200">
        <v>1123</v>
      </c>
      <c r="L412" s="550">
        <v>8900</v>
      </c>
      <c r="M412" s="205">
        <f t="shared" si="93"/>
        <v>9994700</v>
      </c>
      <c r="N412" s="214">
        <v>3</v>
      </c>
      <c r="O412" s="554">
        <f t="shared" si="90"/>
        <v>374.33333333333331</v>
      </c>
      <c r="P412" s="548">
        <f t="shared" si="88"/>
        <v>3331566.6666666665</v>
      </c>
    </row>
    <row r="413" spans="1:16" ht="12.75">
      <c r="A413" s="199" t="s">
        <v>3511</v>
      </c>
      <c r="B413" s="200" t="s">
        <v>3826</v>
      </c>
      <c r="C413" s="200" t="str">
        <f>VLOOKUP(B413,Fincas!$A$2:$C$1005,2,0)</f>
        <v>F_Venecia</v>
      </c>
      <c r="D413" s="201">
        <v>44714</v>
      </c>
      <c r="E413" s="267" t="str">
        <f t="shared" si="86"/>
        <v>junio</v>
      </c>
      <c r="F413" s="202">
        <v>44715</v>
      </c>
      <c r="G413" s="203">
        <v>44722</v>
      </c>
      <c r="H413" s="200">
        <v>7615</v>
      </c>
      <c r="I413" s="224">
        <v>7008146</v>
      </c>
      <c r="J413" s="234" t="str">
        <f t="shared" si="89"/>
        <v>Res macho ceba</v>
      </c>
      <c r="K413" s="200">
        <v>2682</v>
      </c>
      <c r="L413" s="550">
        <v>8750</v>
      </c>
      <c r="M413" s="205">
        <f t="shared" si="93"/>
        <v>23467500</v>
      </c>
      <c r="N413" s="214">
        <v>10</v>
      </c>
      <c r="O413" s="554">
        <f t="shared" si="90"/>
        <v>268.2</v>
      </c>
      <c r="P413" s="548">
        <f t="shared" si="88"/>
        <v>2346750</v>
      </c>
    </row>
    <row r="414" spans="1:16" ht="12.75">
      <c r="A414" s="199" t="s">
        <v>3511</v>
      </c>
      <c r="B414" s="200" t="s">
        <v>3826</v>
      </c>
      <c r="C414" s="200" t="str">
        <f>VLOOKUP(B414,Fincas!$A$2:$C$1005,2,0)</f>
        <v>F_Venecia</v>
      </c>
      <c r="D414" s="201">
        <v>44714</v>
      </c>
      <c r="E414" s="267" t="str">
        <f t="shared" si="86"/>
        <v>junio</v>
      </c>
      <c r="F414" s="202">
        <v>44715</v>
      </c>
      <c r="G414" s="203">
        <v>44722</v>
      </c>
      <c r="H414" s="200">
        <v>7625</v>
      </c>
      <c r="I414" s="224">
        <v>7008146</v>
      </c>
      <c r="J414" s="234" t="str">
        <f t="shared" si="89"/>
        <v>Res macho ceba</v>
      </c>
      <c r="K414" s="200">
        <v>2185</v>
      </c>
      <c r="L414" s="550">
        <v>8850</v>
      </c>
      <c r="M414" s="205">
        <f t="shared" si="93"/>
        <v>19337250</v>
      </c>
      <c r="N414" s="214">
        <v>6</v>
      </c>
      <c r="O414" s="554">
        <f t="shared" si="90"/>
        <v>364.16666666666669</v>
      </c>
      <c r="P414" s="548">
        <f t="shared" si="88"/>
        <v>3222875</v>
      </c>
    </row>
    <row r="415" spans="1:16" ht="12.75">
      <c r="A415" s="199" t="s">
        <v>3511</v>
      </c>
      <c r="B415" s="200" t="s">
        <v>3754</v>
      </c>
      <c r="C415" s="200" t="str">
        <f>VLOOKUP(B415,Fincas!$A$2:$C$1005,2,0)</f>
        <v>Alm. FeedLot</v>
      </c>
      <c r="D415" s="201">
        <v>44718</v>
      </c>
      <c r="E415" s="267" t="str">
        <f t="shared" si="86"/>
        <v>junio</v>
      </c>
      <c r="F415" s="202">
        <v>44715</v>
      </c>
      <c r="G415" s="203">
        <v>44722</v>
      </c>
      <c r="H415" s="200" t="s">
        <v>3827</v>
      </c>
      <c r="I415" s="224">
        <v>7008146</v>
      </c>
      <c r="J415" s="234" t="str">
        <f t="shared" si="89"/>
        <v>Res macho ceba</v>
      </c>
      <c r="K415" s="200">
        <v>6561</v>
      </c>
      <c r="L415" s="550">
        <v>9020</v>
      </c>
      <c r="M415" s="205">
        <f t="shared" si="93"/>
        <v>59180220</v>
      </c>
      <c r="N415" s="214">
        <v>19</v>
      </c>
      <c r="O415" s="554">
        <f t="shared" si="90"/>
        <v>345.31578947368422</v>
      </c>
      <c r="P415" s="548">
        <f t="shared" si="88"/>
        <v>3114748.4210526315</v>
      </c>
    </row>
    <row r="416" spans="1:16" ht="12.75">
      <c r="A416" s="199" t="s">
        <v>3426</v>
      </c>
      <c r="B416" s="200" t="s">
        <v>3498</v>
      </c>
      <c r="C416" s="200" t="str">
        <f>VLOOKUP(B416,Fincas!$A$2:$C$1005,2,0)</f>
        <v>F_Jordan</v>
      </c>
      <c r="D416" s="201">
        <v>44719</v>
      </c>
      <c r="E416" s="267" t="str">
        <f t="shared" si="86"/>
        <v>junio</v>
      </c>
      <c r="F416" s="202">
        <v>44716</v>
      </c>
      <c r="G416" s="203">
        <v>44722</v>
      </c>
      <c r="H416" s="200" t="s">
        <v>3828</v>
      </c>
      <c r="I416" s="224">
        <v>7008146</v>
      </c>
      <c r="J416" s="234" t="str">
        <f t="shared" si="89"/>
        <v>Res macho ceba</v>
      </c>
      <c r="K416" s="200">
        <v>23218</v>
      </c>
      <c r="L416" s="550">
        <v>9400</v>
      </c>
      <c r="M416" s="205">
        <f t="shared" si="93"/>
        <v>218249200</v>
      </c>
      <c r="N416" s="214">
        <v>62</v>
      </c>
      <c r="O416" s="554">
        <f t="shared" si="90"/>
        <v>374.48387096774195</v>
      </c>
      <c r="P416" s="548">
        <f t="shared" si="88"/>
        <v>3520148.3870967743</v>
      </c>
    </row>
    <row r="417" spans="1:16" ht="12.75">
      <c r="A417" s="199" t="s">
        <v>3426</v>
      </c>
      <c r="B417" s="200" t="s">
        <v>3732</v>
      </c>
      <c r="C417" s="200" t="str">
        <f>VLOOKUP(B417,Fincas!$A$2:$C$1005,2,0)</f>
        <v>F_El Milagro</v>
      </c>
      <c r="D417" s="201">
        <v>44720</v>
      </c>
      <c r="E417" s="267" t="str">
        <f t="shared" si="86"/>
        <v>junio</v>
      </c>
      <c r="F417" s="202">
        <v>44714</v>
      </c>
      <c r="G417" s="203">
        <v>44722</v>
      </c>
      <c r="H417" s="200" t="s">
        <v>3829</v>
      </c>
      <c r="I417" s="217">
        <v>7008151</v>
      </c>
      <c r="J417" s="217" t="str">
        <f t="shared" si="89"/>
        <v>Res novilla ceba</v>
      </c>
      <c r="K417" s="200">
        <v>26730</v>
      </c>
      <c r="L417" s="550">
        <v>7950</v>
      </c>
      <c r="M417" s="205">
        <f t="shared" si="93"/>
        <v>212503500</v>
      </c>
      <c r="N417" s="214">
        <v>90</v>
      </c>
      <c r="O417" s="554">
        <f t="shared" si="90"/>
        <v>297</v>
      </c>
      <c r="P417" s="548">
        <f t="shared" si="88"/>
        <v>2361150</v>
      </c>
    </row>
    <row r="418" spans="1:16" ht="12.75">
      <c r="A418" s="199" t="s">
        <v>3426</v>
      </c>
      <c r="B418" s="200" t="s">
        <v>3732</v>
      </c>
      <c r="C418" s="200" t="str">
        <f>VLOOKUP(B418,Fincas!$A$2:$C$1005,2,0)</f>
        <v>F_El Milagro</v>
      </c>
      <c r="D418" s="201">
        <v>44720</v>
      </c>
      <c r="E418" s="267" t="str">
        <f t="shared" si="86"/>
        <v>junio</v>
      </c>
      <c r="F418" s="202">
        <v>44714</v>
      </c>
      <c r="G418" s="203">
        <v>44722</v>
      </c>
      <c r="H418" s="200" t="s">
        <v>3830</v>
      </c>
      <c r="I418" s="217">
        <v>7008151</v>
      </c>
      <c r="J418" s="217" t="str">
        <f t="shared" si="89"/>
        <v>Res novilla ceba</v>
      </c>
      <c r="K418" s="200">
        <v>9921</v>
      </c>
      <c r="L418" s="550">
        <v>7950</v>
      </c>
      <c r="M418" s="205">
        <f t="shared" si="93"/>
        <v>78871950</v>
      </c>
      <c r="N418" s="214">
        <v>37</v>
      </c>
      <c r="O418" s="554">
        <f t="shared" si="90"/>
        <v>268.13513513513516</v>
      </c>
      <c r="P418" s="548">
        <f t="shared" si="88"/>
        <v>2131674.3243243243</v>
      </c>
    </row>
    <row r="419" spans="1:16" ht="12.75">
      <c r="A419" s="199" t="s">
        <v>3426</v>
      </c>
      <c r="B419" s="200" t="s">
        <v>3732</v>
      </c>
      <c r="C419" s="200" t="str">
        <f>VLOOKUP(B419,Fincas!$A$2:$C$1005,2,0)</f>
        <v>F_El Milagro</v>
      </c>
      <c r="D419" s="201">
        <v>44720</v>
      </c>
      <c r="E419" s="267" t="str">
        <f t="shared" si="86"/>
        <v>junio</v>
      </c>
      <c r="F419" s="202">
        <v>44714</v>
      </c>
      <c r="G419" s="203">
        <v>44722</v>
      </c>
      <c r="H419" s="200" t="s">
        <v>3831</v>
      </c>
      <c r="I419" s="217">
        <v>7008151</v>
      </c>
      <c r="J419" s="217" t="str">
        <f t="shared" si="89"/>
        <v>Res novilla ceba</v>
      </c>
      <c r="K419" s="200">
        <v>7327</v>
      </c>
      <c r="L419" s="550">
        <v>7950</v>
      </c>
      <c r="M419" s="205">
        <f t="shared" si="93"/>
        <v>58249650</v>
      </c>
      <c r="N419" s="214">
        <v>25</v>
      </c>
      <c r="O419" s="554">
        <f t="shared" si="90"/>
        <v>293.08</v>
      </c>
      <c r="P419" s="548">
        <f t="shared" si="88"/>
        <v>2329986</v>
      </c>
    </row>
    <row r="420" spans="1:16" ht="12.75">
      <c r="A420" s="199" t="s">
        <v>3451</v>
      </c>
      <c r="B420" s="200" t="s">
        <v>3476</v>
      </c>
      <c r="C420" s="200" t="str">
        <f>VLOOKUP(B420,Fincas!$A$2:$C$1005,2,0)</f>
        <v>F_Guacharacas</v>
      </c>
      <c r="D420" s="201">
        <v>44749</v>
      </c>
      <c r="E420" s="267" t="str">
        <f t="shared" si="86"/>
        <v>julio</v>
      </c>
      <c r="F420" s="202">
        <v>44749</v>
      </c>
      <c r="G420" s="203">
        <v>44725</v>
      </c>
      <c r="H420" s="200">
        <v>64792</v>
      </c>
      <c r="I420" s="224">
        <v>7008146</v>
      </c>
      <c r="J420" s="234" t="str">
        <f t="shared" si="89"/>
        <v>Res macho ceba</v>
      </c>
      <c r="K420" s="200">
        <v>6108</v>
      </c>
      <c r="L420" s="550">
        <v>9400</v>
      </c>
      <c r="M420" s="205">
        <f t="shared" si="93"/>
        <v>57415200</v>
      </c>
      <c r="N420" s="214">
        <v>18</v>
      </c>
      <c r="O420" s="554">
        <f t="shared" si="90"/>
        <v>339.33333333333331</v>
      </c>
      <c r="P420" s="548">
        <f t="shared" si="88"/>
        <v>3189733.3333333335</v>
      </c>
    </row>
    <row r="421" spans="1:16" ht="12.75">
      <c r="A421" s="199" t="s">
        <v>3505</v>
      </c>
      <c r="B421" s="200" t="s">
        <v>3496</v>
      </c>
      <c r="C421" s="200" t="str">
        <f>VLOOKUP(B421,Fincas!$A$2:$C$1005,2,0)</f>
        <v>A_El Tropezon</v>
      </c>
      <c r="D421" s="201">
        <v>44720</v>
      </c>
      <c r="E421" s="267" t="str">
        <f t="shared" si="86"/>
        <v>junio</v>
      </c>
      <c r="F421" s="202">
        <v>44720</v>
      </c>
      <c r="G421" s="203">
        <v>44725</v>
      </c>
      <c r="H421" s="200" t="s">
        <v>3832</v>
      </c>
      <c r="I421" s="224">
        <v>7008146</v>
      </c>
      <c r="J421" s="234" t="str">
        <f t="shared" si="89"/>
        <v>Res macho ceba</v>
      </c>
      <c r="K421" s="200">
        <v>2022</v>
      </c>
      <c r="L421" s="550">
        <v>9450</v>
      </c>
      <c r="M421" s="205">
        <f t="shared" si="93"/>
        <v>19107900</v>
      </c>
      <c r="N421" s="214">
        <v>5</v>
      </c>
      <c r="O421" s="554">
        <f t="shared" si="90"/>
        <v>404.4</v>
      </c>
      <c r="P421" s="548">
        <f t="shared" si="88"/>
        <v>3821580</v>
      </c>
    </row>
    <row r="422" spans="1:16" ht="12.75">
      <c r="A422" s="199" t="s">
        <v>3426</v>
      </c>
      <c r="B422" s="200" t="s">
        <v>3710</v>
      </c>
      <c r="C422" s="200" t="str">
        <f>VLOOKUP(B422,Fincas!$A$2:$C$1005,2,0)</f>
        <v>A_Linda Loma</v>
      </c>
      <c r="D422" s="201">
        <v>44715</v>
      </c>
      <c r="E422" s="267" t="str">
        <f t="shared" si="86"/>
        <v>junio</v>
      </c>
      <c r="F422" s="202">
        <v>44713</v>
      </c>
      <c r="G422" s="203">
        <v>44725</v>
      </c>
      <c r="H422" s="200" t="s">
        <v>3833</v>
      </c>
      <c r="I422" s="224">
        <v>7008146</v>
      </c>
      <c r="J422" s="234" t="str">
        <f t="shared" si="89"/>
        <v>Res macho ceba</v>
      </c>
      <c r="K422" s="200">
        <v>18666</v>
      </c>
      <c r="L422" s="550">
        <v>9260</v>
      </c>
      <c r="M422" s="205">
        <f t="shared" si="93"/>
        <v>172847160</v>
      </c>
      <c r="N422" s="214">
        <v>47</v>
      </c>
      <c r="O422" s="554">
        <f t="shared" si="90"/>
        <v>397.14893617021278</v>
      </c>
      <c r="P422" s="548">
        <f t="shared" si="88"/>
        <v>3677599.1489361702</v>
      </c>
    </row>
    <row r="423" spans="1:16" ht="12.75">
      <c r="A423" s="199" t="s">
        <v>3426</v>
      </c>
      <c r="B423" s="200" t="s">
        <v>3710</v>
      </c>
      <c r="C423" s="200" t="str">
        <f>VLOOKUP(B423,Fincas!$A$2:$C$1005,2,0)</f>
        <v>A_Linda Loma</v>
      </c>
      <c r="D423" s="201">
        <v>44715</v>
      </c>
      <c r="E423" s="267" t="str">
        <f t="shared" si="86"/>
        <v>junio</v>
      </c>
      <c r="F423" s="202">
        <v>44713</v>
      </c>
      <c r="G423" s="203">
        <v>44725</v>
      </c>
      <c r="H423" s="200" t="s">
        <v>3834</v>
      </c>
      <c r="I423" s="224">
        <v>7008146</v>
      </c>
      <c r="J423" s="234" t="str">
        <f t="shared" si="89"/>
        <v>Res macho ceba</v>
      </c>
      <c r="K423" s="200">
        <v>20811</v>
      </c>
      <c r="L423" s="550">
        <v>9260</v>
      </c>
      <c r="M423" s="205">
        <f t="shared" si="93"/>
        <v>192709860</v>
      </c>
      <c r="N423" s="214">
        <v>49</v>
      </c>
      <c r="O423" s="554">
        <f t="shared" si="90"/>
        <v>424.71428571428572</v>
      </c>
      <c r="P423" s="548">
        <f t="shared" si="88"/>
        <v>3932854.2857142859</v>
      </c>
    </row>
    <row r="424" spans="1:16" ht="12.75">
      <c r="A424" s="199" t="s">
        <v>3426</v>
      </c>
      <c r="B424" s="200" t="s">
        <v>3710</v>
      </c>
      <c r="C424" s="200" t="str">
        <f>VLOOKUP(B424,Fincas!$A$2:$C$1005,2,0)</f>
        <v>A_Linda Loma</v>
      </c>
      <c r="D424" s="201">
        <v>44720</v>
      </c>
      <c r="E424" s="267" t="str">
        <f t="shared" si="86"/>
        <v>junio</v>
      </c>
      <c r="F424" s="202">
        <v>44720</v>
      </c>
      <c r="G424" s="203">
        <v>44725</v>
      </c>
      <c r="H424" s="200" t="s">
        <v>3835</v>
      </c>
      <c r="I424" s="224">
        <v>7008146</v>
      </c>
      <c r="J424" s="234" t="str">
        <f t="shared" si="89"/>
        <v>Res macho ceba</v>
      </c>
      <c r="K424" s="200">
        <v>40789</v>
      </c>
      <c r="L424" s="550">
        <v>9450</v>
      </c>
      <c r="M424" s="205">
        <f t="shared" si="93"/>
        <v>385456050</v>
      </c>
      <c r="N424" s="214">
        <v>115</v>
      </c>
      <c r="O424" s="554">
        <f t="shared" si="90"/>
        <v>354.68695652173915</v>
      </c>
      <c r="P424" s="548">
        <f t="shared" si="88"/>
        <v>3351791.7391304346</v>
      </c>
    </row>
    <row r="425" spans="1:16" ht="12.75">
      <c r="A425" s="199" t="s">
        <v>3836</v>
      </c>
      <c r="B425" s="200" t="s">
        <v>3446</v>
      </c>
      <c r="C425" s="200" t="str">
        <f>VLOOKUP(B425,Fincas!$A$2:$C$1005,2,0)</f>
        <v>F_Don Alfonso</v>
      </c>
      <c r="D425" s="201">
        <v>44725</v>
      </c>
      <c r="E425" s="267" t="str">
        <f t="shared" si="86"/>
        <v>junio</v>
      </c>
      <c r="F425" s="202">
        <v>44725</v>
      </c>
      <c r="G425" s="203">
        <v>44725</v>
      </c>
      <c r="H425" s="200" t="s">
        <v>3837</v>
      </c>
      <c r="I425" s="224">
        <v>7008146</v>
      </c>
      <c r="J425" s="234" t="str">
        <f t="shared" si="89"/>
        <v>Res macho ceba</v>
      </c>
      <c r="K425" s="200">
        <v>50765</v>
      </c>
      <c r="L425" s="550">
        <v>9200</v>
      </c>
      <c r="M425" s="205">
        <f t="shared" si="93"/>
        <v>467038000</v>
      </c>
      <c r="N425" s="214">
        <v>160</v>
      </c>
      <c r="O425" s="554">
        <f t="shared" si="90"/>
        <v>317.28125</v>
      </c>
      <c r="P425" s="548">
        <f t="shared" si="88"/>
        <v>2918987.5</v>
      </c>
    </row>
    <row r="426" spans="1:16" ht="12.75">
      <c r="A426" s="199" t="s">
        <v>3771</v>
      </c>
      <c r="B426" s="200" t="s">
        <v>3779</v>
      </c>
      <c r="C426" s="200" t="str">
        <f>VLOOKUP(B426,Fincas!$A$2:$C$1005,2,0)</f>
        <v>F_La Aldea</v>
      </c>
      <c r="D426" s="201">
        <v>44630</v>
      </c>
      <c r="E426" s="267" t="str">
        <f t="shared" si="86"/>
        <v>marzo</v>
      </c>
      <c r="F426" s="202">
        <v>44721</v>
      </c>
      <c r="G426" s="203">
        <v>44725</v>
      </c>
      <c r="H426" s="200" t="s">
        <v>3838</v>
      </c>
      <c r="I426" s="212">
        <v>7008147</v>
      </c>
      <c r="J426" s="212" t="str">
        <f t="shared" si="89"/>
        <v>Res macho levante</v>
      </c>
      <c r="K426" s="200">
        <v>5310</v>
      </c>
      <c r="L426" s="550">
        <v>9900</v>
      </c>
      <c r="M426" s="205">
        <f t="shared" si="93"/>
        <v>52569000</v>
      </c>
      <c r="N426" s="214">
        <v>22</v>
      </c>
      <c r="O426" s="554">
        <f t="shared" si="90"/>
        <v>241.36363636363637</v>
      </c>
      <c r="P426" s="548">
        <f t="shared" si="88"/>
        <v>2389500</v>
      </c>
    </row>
    <row r="427" spans="1:16" ht="12.75">
      <c r="A427" s="199" t="s">
        <v>3771</v>
      </c>
      <c r="B427" s="200" t="s">
        <v>3779</v>
      </c>
      <c r="C427" s="200" t="str">
        <f>VLOOKUP(B427,Fincas!$A$2:$C$1005,2,0)</f>
        <v>F_La Aldea</v>
      </c>
      <c r="D427" s="201">
        <v>44725</v>
      </c>
      <c r="E427" s="267" t="str">
        <f t="shared" si="86"/>
        <v>junio</v>
      </c>
      <c r="F427" s="202">
        <v>44721</v>
      </c>
      <c r="G427" s="203">
        <v>44725</v>
      </c>
      <c r="H427" s="200" t="s">
        <v>3839</v>
      </c>
      <c r="I427" s="212">
        <v>7008147</v>
      </c>
      <c r="J427" s="212" t="str">
        <f t="shared" si="89"/>
        <v>Res macho levante</v>
      </c>
      <c r="K427" s="200">
        <v>10623</v>
      </c>
      <c r="L427" s="550">
        <v>9850</v>
      </c>
      <c r="M427" s="205">
        <f t="shared" si="93"/>
        <v>104636550</v>
      </c>
      <c r="N427" s="214">
        <v>40</v>
      </c>
      <c r="O427" s="554">
        <f t="shared" si="90"/>
        <v>265.57499999999999</v>
      </c>
      <c r="P427" s="548">
        <f t="shared" si="88"/>
        <v>2615913.75</v>
      </c>
    </row>
    <row r="428" spans="1:16" ht="12.75">
      <c r="A428" s="199" t="s">
        <v>3771</v>
      </c>
      <c r="B428" s="200" t="s">
        <v>3772</v>
      </c>
      <c r="C428" s="200" t="str">
        <f>VLOOKUP(B428,Fincas!$A$2:$C$1005,2,0)</f>
        <v>F_Salonica</v>
      </c>
      <c r="D428" s="201">
        <v>44725</v>
      </c>
      <c r="E428" s="267" t="str">
        <f t="shared" si="86"/>
        <v>junio</v>
      </c>
      <c r="F428" s="202">
        <v>44721</v>
      </c>
      <c r="G428" s="203">
        <v>44725</v>
      </c>
      <c r="H428" s="200" t="s">
        <v>3840</v>
      </c>
      <c r="I428" s="212">
        <v>7008147</v>
      </c>
      <c r="J428" s="212" t="str">
        <f t="shared" si="89"/>
        <v>Res macho levante</v>
      </c>
      <c r="K428" s="200">
        <v>44988</v>
      </c>
      <c r="L428" s="550">
        <v>9800</v>
      </c>
      <c r="M428" s="205">
        <f t="shared" si="93"/>
        <v>440882400</v>
      </c>
      <c r="N428" s="214">
        <v>160</v>
      </c>
      <c r="O428" s="554">
        <f t="shared" si="90"/>
        <v>281.17500000000001</v>
      </c>
      <c r="P428" s="548">
        <f t="shared" si="88"/>
        <v>2755515</v>
      </c>
    </row>
    <row r="429" spans="1:16" ht="12.75">
      <c r="A429" s="199" t="s">
        <v>3511</v>
      </c>
      <c r="B429" s="200" t="s">
        <v>3841</v>
      </c>
      <c r="C429" s="200" t="str">
        <f>VLOOKUP(B429,Fincas!$A$2:$C$1005,2,0)</f>
        <v>La Tranquilidad</v>
      </c>
      <c r="D429" s="201">
        <v>44722</v>
      </c>
      <c r="E429" s="267" t="str">
        <f t="shared" si="86"/>
        <v>junio</v>
      </c>
      <c r="F429" s="202">
        <v>44723</v>
      </c>
      <c r="G429" s="203">
        <v>44725</v>
      </c>
      <c r="H429" s="200" t="s">
        <v>3842</v>
      </c>
      <c r="I429" s="212">
        <v>7008147</v>
      </c>
      <c r="J429" s="212" t="str">
        <f t="shared" si="89"/>
        <v>Res macho levante</v>
      </c>
      <c r="K429" s="200">
        <v>3987</v>
      </c>
      <c r="L429" s="550">
        <v>9200</v>
      </c>
      <c r="M429" s="205">
        <f t="shared" si="93"/>
        <v>36680400</v>
      </c>
      <c r="N429" s="214">
        <v>19</v>
      </c>
      <c r="O429" s="554">
        <f t="shared" si="90"/>
        <v>209.84210526315789</v>
      </c>
      <c r="P429" s="548">
        <f t="shared" si="88"/>
        <v>1930547.3684210526</v>
      </c>
    </row>
    <row r="430" spans="1:16" ht="12.75">
      <c r="A430" s="199" t="s">
        <v>3511</v>
      </c>
      <c r="B430" s="200" t="s">
        <v>3841</v>
      </c>
      <c r="C430" s="200" t="str">
        <f>VLOOKUP(B430,Fincas!$A$2:$C$1005,2,0)</f>
        <v>La Tranquilidad</v>
      </c>
      <c r="D430" s="201">
        <v>44722</v>
      </c>
      <c r="E430" s="267" t="str">
        <f t="shared" si="86"/>
        <v>junio</v>
      </c>
      <c r="F430" s="202">
        <v>44723</v>
      </c>
      <c r="G430" s="203">
        <v>44725</v>
      </c>
      <c r="H430" s="200" t="s">
        <v>3843</v>
      </c>
      <c r="I430" s="212">
        <v>7008147</v>
      </c>
      <c r="J430" s="212" t="str">
        <f t="shared" si="89"/>
        <v>Res macho levante</v>
      </c>
      <c r="K430" s="200">
        <v>5050</v>
      </c>
      <c r="L430" s="550">
        <v>9500</v>
      </c>
      <c r="M430" s="205">
        <f t="shared" si="93"/>
        <v>47975000</v>
      </c>
      <c r="N430" s="214">
        <v>24</v>
      </c>
      <c r="O430" s="554">
        <f t="shared" si="90"/>
        <v>210.41666666666666</v>
      </c>
      <c r="P430" s="548">
        <f t="shared" si="88"/>
        <v>1998958.3333333333</v>
      </c>
    </row>
    <row r="431" spans="1:16" ht="12.75">
      <c r="A431" s="199" t="s">
        <v>3844</v>
      </c>
      <c r="B431" s="200" t="s">
        <v>3464</v>
      </c>
      <c r="C431" s="200" t="str">
        <f>VLOOKUP(B431,Fincas!$A$2:$C$1005,2,0)</f>
        <v>F_Texas Araujo</v>
      </c>
      <c r="D431" s="201">
        <v>44726</v>
      </c>
      <c r="E431" s="267" t="str">
        <f t="shared" si="86"/>
        <v>junio</v>
      </c>
      <c r="F431" s="202">
        <v>44726</v>
      </c>
      <c r="G431" s="203">
        <v>44726</v>
      </c>
      <c r="H431" s="200" t="s">
        <v>3845</v>
      </c>
      <c r="I431" s="224">
        <v>7008146</v>
      </c>
      <c r="J431" s="234" t="str">
        <f t="shared" si="89"/>
        <v>Res macho ceba</v>
      </c>
      <c r="K431" s="200">
        <v>17974</v>
      </c>
      <c r="L431" s="550">
        <v>10008</v>
      </c>
      <c r="M431" s="205">
        <f t="shared" si="93"/>
        <v>179883792</v>
      </c>
      <c r="N431" s="214">
        <v>59</v>
      </c>
      <c r="O431" s="554">
        <f t="shared" si="90"/>
        <v>304.64406779661016</v>
      </c>
      <c r="P431" s="548">
        <f t="shared" si="88"/>
        <v>3048877.8305084747</v>
      </c>
    </row>
    <row r="432" spans="1:16" ht="12.75">
      <c r="A432" s="199" t="s">
        <v>3454</v>
      </c>
      <c r="B432" s="200" t="s">
        <v>3498</v>
      </c>
      <c r="C432" s="200" t="str">
        <f>VLOOKUP(B432,Fincas!$A$2:$C$1005,2,0)</f>
        <v>F_Jordan</v>
      </c>
      <c r="D432" s="201">
        <v>44721</v>
      </c>
      <c r="E432" s="267" t="str">
        <f t="shared" si="86"/>
        <v>junio</v>
      </c>
      <c r="F432" s="202">
        <v>44721</v>
      </c>
      <c r="G432" s="203">
        <v>44726</v>
      </c>
      <c r="H432" s="200">
        <v>239391</v>
      </c>
      <c r="I432" s="224">
        <v>7008146</v>
      </c>
      <c r="J432" s="234" t="str">
        <f t="shared" si="89"/>
        <v>Res macho ceba</v>
      </c>
      <c r="K432" s="200">
        <v>6512</v>
      </c>
      <c r="L432" s="550">
        <v>9195</v>
      </c>
      <c r="M432" s="213">
        <v>59876766</v>
      </c>
      <c r="N432" s="214">
        <v>17</v>
      </c>
      <c r="O432" s="554">
        <f t="shared" si="90"/>
        <v>383.05882352941177</v>
      </c>
      <c r="P432" s="548">
        <f t="shared" si="88"/>
        <v>3522162.7058823528</v>
      </c>
    </row>
    <row r="433" spans="1:16" ht="12.75">
      <c r="A433" s="199" t="s">
        <v>3846</v>
      </c>
      <c r="B433" s="200" t="s">
        <v>3476</v>
      </c>
      <c r="C433" s="200" t="str">
        <f>VLOOKUP(B433,Fincas!$A$2:$C$1005,2,0)</f>
        <v>F_Guacharacas</v>
      </c>
      <c r="D433" s="201">
        <v>44720</v>
      </c>
      <c r="E433" s="267" t="str">
        <f t="shared" si="86"/>
        <v>junio</v>
      </c>
      <c r="F433" s="202">
        <v>44719</v>
      </c>
      <c r="G433" s="203">
        <v>44726</v>
      </c>
      <c r="H433" s="200" t="s">
        <v>3847</v>
      </c>
      <c r="I433" s="224">
        <v>7008146</v>
      </c>
      <c r="J433" s="234" t="str">
        <f t="shared" si="89"/>
        <v>Res macho ceba</v>
      </c>
      <c r="K433" s="200">
        <v>13226</v>
      </c>
      <c r="L433" s="550">
        <v>9000</v>
      </c>
      <c r="M433" s="205">
        <f t="shared" ref="M433:M434" si="94">L433*K433</f>
        <v>119034000</v>
      </c>
      <c r="N433" s="214">
        <v>30</v>
      </c>
      <c r="O433" s="554">
        <f t="shared" si="90"/>
        <v>440.86666666666667</v>
      </c>
      <c r="P433" s="548">
        <f t="shared" si="88"/>
        <v>3967800</v>
      </c>
    </row>
    <row r="434" spans="1:16" ht="12.75">
      <c r="A434" s="199" t="s">
        <v>3511</v>
      </c>
      <c r="B434" s="200" t="s">
        <v>3636</v>
      </c>
      <c r="C434" s="200" t="str">
        <f>VLOOKUP(B434,Fincas!$A$2:$C$1005,2,0)</f>
        <v>A_Santa Ines</v>
      </c>
      <c r="D434" s="201">
        <v>44713</v>
      </c>
      <c r="E434" s="267" t="str">
        <f t="shared" si="86"/>
        <v>junio</v>
      </c>
      <c r="F434" s="202">
        <v>44714</v>
      </c>
      <c r="G434" s="203">
        <v>44727</v>
      </c>
      <c r="H434" s="200" t="s">
        <v>3848</v>
      </c>
      <c r="I434" s="224">
        <v>7008146</v>
      </c>
      <c r="J434" s="234" t="str">
        <f t="shared" si="89"/>
        <v>Res macho ceba</v>
      </c>
      <c r="K434" s="200">
        <v>7726</v>
      </c>
      <c r="L434" s="550">
        <v>8650</v>
      </c>
      <c r="M434" s="205">
        <f t="shared" si="94"/>
        <v>66829900</v>
      </c>
      <c r="N434" s="214">
        <v>15</v>
      </c>
      <c r="O434" s="554">
        <f t="shared" si="90"/>
        <v>515.06666666666672</v>
      </c>
      <c r="P434" s="548">
        <f t="shared" si="88"/>
        <v>4455326.666666667</v>
      </c>
    </row>
    <row r="435" spans="1:16" ht="12.75">
      <c r="A435" s="199" t="s">
        <v>3454</v>
      </c>
      <c r="B435" s="200" t="s">
        <v>3849</v>
      </c>
      <c r="C435" s="200" t="str">
        <f>VLOOKUP(B435,Fincas!$A$2:$C$1005,2,0)</f>
        <v>F_Bello Horizont</v>
      </c>
      <c r="D435" s="201">
        <v>44720</v>
      </c>
      <c r="E435" s="267" t="str">
        <f t="shared" si="86"/>
        <v>junio</v>
      </c>
      <c r="F435" s="202">
        <v>44721</v>
      </c>
      <c r="G435" s="203">
        <v>44727</v>
      </c>
      <c r="H435" s="200" t="s">
        <v>3850</v>
      </c>
      <c r="I435" s="224">
        <v>7008146</v>
      </c>
      <c r="J435" s="234" t="str">
        <f t="shared" si="89"/>
        <v>Res macho ceba</v>
      </c>
      <c r="K435" s="200">
        <f>5640-K436</f>
        <v>282</v>
      </c>
      <c r="L435" s="550">
        <f t="shared" ref="L435:L436" si="95">M435/K435</f>
        <v>9044.099290780141</v>
      </c>
      <c r="M435" s="213">
        <v>2550436</v>
      </c>
      <c r="N435" s="214">
        <v>1</v>
      </c>
      <c r="O435" s="554">
        <f t="shared" si="90"/>
        <v>282</v>
      </c>
      <c r="P435" s="548">
        <f t="shared" si="88"/>
        <v>2550436</v>
      </c>
    </row>
    <row r="436" spans="1:16" ht="12.75">
      <c r="A436" s="199" t="s">
        <v>3454</v>
      </c>
      <c r="B436" s="200" t="s">
        <v>3849</v>
      </c>
      <c r="C436" s="200" t="str">
        <f>VLOOKUP(B436,Fincas!$A$2:$C$1005,2,0)</f>
        <v>F_Bello Horizont</v>
      </c>
      <c r="D436" s="201">
        <v>44720</v>
      </c>
      <c r="E436" s="267" t="str">
        <f t="shared" si="86"/>
        <v>junio</v>
      </c>
      <c r="F436" s="202">
        <v>44721</v>
      </c>
      <c r="G436" s="203">
        <v>44727</v>
      </c>
      <c r="H436" s="200" t="s">
        <v>3851</v>
      </c>
      <c r="I436" s="224">
        <v>7008146</v>
      </c>
      <c r="J436" s="234" t="str">
        <f t="shared" si="89"/>
        <v>Res macho ceba</v>
      </c>
      <c r="K436" s="200">
        <v>5358</v>
      </c>
      <c r="L436" s="550">
        <f t="shared" si="95"/>
        <v>9044.1000373273619</v>
      </c>
      <c r="M436" s="213">
        <v>48458288</v>
      </c>
      <c r="N436" s="214">
        <v>17</v>
      </c>
      <c r="O436" s="554">
        <f t="shared" si="90"/>
        <v>315.1764705882353</v>
      </c>
      <c r="P436" s="548">
        <f t="shared" si="88"/>
        <v>2850487.5294117648</v>
      </c>
    </row>
    <row r="437" spans="1:16" ht="12.75">
      <c r="A437" s="199" t="s">
        <v>3511</v>
      </c>
      <c r="B437" s="200" t="s">
        <v>3849</v>
      </c>
      <c r="C437" s="200" t="str">
        <f>VLOOKUP(B437,Fincas!$A$2:$C$1005,2,0)</f>
        <v>F_Bello Horizont</v>
      </c>
      <c r="D437" s="201">
        <v>44723</v>
      </c>
      <c r="E437" s="267" t="str">
        <f t="shared" si="86"/>
        <v>junio</v>
      </c>
      <c r="F437" s="202">
        <v>44723</v>
      </c>
      <c r="G437" s="203">
        <v>44727</v>
      </c>
      <c r="H437" s="200" t="s">
        <v>3852</v>
      </c>
      <c r="I437" s="224">
        <v>7008146</v>
      </c>
      <c r="J437" s="234" t="str">
        <f t="shared" si="89"/>
        <v>Res macho ceba</v>
      </c>
      <c r="K437" s="200">
        <v>6041</v>
      </c>
      <c r="L437" s="550">
        <v>9020</v>
      </c>
      <c r="M437" s="205">
        <f t="shared" ref="M437:M447" si="96">L437*K437</f>
        <v>54489820</v>
      </c>
      <c r="N437" s="214">
        <v>22</v>
      </c>
      <c r="O437" s="554">
        <f t="shared" si="90"/>
        <v>274.59090909090907</v>
      </c>
      <c r="P437" s="548">
        <f t="shared" si="88"/>
        <v>2476810</v>
      </c>
    </row>
    <row r="438" spans="1:16" ht="12.75">
      <c r="A438" s="199" t="s">
        <v>3426</v>
      </c>
      <c r="B438" s="200" t="s">
        <v>3498</v>
      </c>
      <c r="C438" s="200" t="str">
        <f>VLOOKUP(B438,Fincas!$A$2:$C$1005,2,0)</f>
        <v>F_Jordan</v>
      </c>
      <c r="D438" s="201">
        <v>44719</v>
      </c>
      <c r="E438" s="267" t="str">
        <f t="shared" si="86"/>
        <v>junio</v>
      </c>
      <c r="F438" s="202">
        <v>44719</v>
      </c>
      <c r="G438" s="203">
        <v>44727</v>
      </c>
      <c r="H438" s="200" t="s">
        <v>3853</v>
      </c>
      <c r="I438" s="224">
        <v>7008146</v>
      </c>
      <c r="J438" s="234" t="str">
        <f t="shared" si="89"/>
        <v>Res macho ceba</v>
      </c>
      <c r="K438" s="200">
        <v>5458</v>
      </c>
      <c r="L438" s="550">
        <v>9550</v>
      </c>
      <c r="M438" s="205">
        <f t="shared" si="96"/>
        <v>52123900</v>
      </c>
      <c r="N438" s="214">
        <v>18</v>
      </c>
      <c r="O438" s="554">
        <f t="shared" si="90"/>
        <v>303.22222222222223</v>
      </c>
      <c r="P438" s="548">
        <f t="shared" si="88"/>
        <v>2895772.222222222</v>
      </c>
    </row>
    <row r="439" spans="1:16" ht="12.75">
      <c r="A439" s="199" t="s">
        <v>3511</v>
      </c>
      <c r="B439" s="200" t="s">
        <v>3854</v>
      </c>
      <c r="C439" s="200" t="str">
        <f>VLOOKUP(B439,Fincas!$A$2:$C$1005,2,0)</f>
        <v>F_San Antonio</v>
      </c>
      <c r="D439" s="201">
        <v>44721</v>
      </c>
      <c r="E439" s="267" t="str">
        <f t="shared" si="86"/>
        <v>junio</v>
      </c>
      <c r="F439" s="202">
        <v>44722</v>
      </c>
      <c r="G439" s="203">
        <v>44727</v>
      </c>
      <c r="H439" s="200">
        <v>7737</v>
      </c>
      <c r="I439" s="224">
        <v>7008146</v>
      </c>
      <c r="J439" s="234" t="str">
        <f t="shared" si="89"/>
        <v>Res macho ceba</v>
      </c>
      <c r="K439" s="200">
        <v>1454</v>
      </c>
      <c r="L439" s="550">
        <v>8500</v>
      </c>
      <c r="M439" s="205">
        <f t="shared" si="96"/>
        <v>12359000</v>
      </c>
      <c r="N439" s="214">
        <v>5</v>
      </c>
      <c r="O439" s="554">
        <f t="shared" si="90"/>
        <v>290.8</v>
      </c>
      <c r="P439" s="548">
        <f t="shared" si="88"/>
        <v>2471800</v>
      </c>
    </row>
    <row r="440" spans="1:16" ht="12.75">
      <c r="A440" s="199" t="s">
        <v>3511</v>
      </c>
      <c r="B440" s="200" t="s">
        <v>3854</v>
      </c>
      <c r="C440" s="200" t="str">
        <f>VLOOKUP(B440,Fincas!$A$2:$C$1005,2,0)</f>
        <v>F_San Antonio</v>
      </c>
      <c r="D440" s="201">
        <v>44721</v>
      </c>
      <c r="E440" s="267" t="str">
        <f t="shared" si="86"/>
        <v>junio</v>
      </c>
      <c r="F440" s="202">
        <v>44722</v>
      </c>
      <c r="G440" s="203">
        <v>44727</v>
      </c>
      <c r="H440" s="200">
        <v>7763</v>
      </c>
      <c r="I440" s="224">
        <v>7008146</v>
      </c>
      <c r="J440" s="234" t="str">
        <f t="shared" si="89"/>
        <v>Res macho ceba</v>
      </c>
      <c r="K440" s="200">
        <v>1883</v>
      </c>
      <c r="L440" s="550">
        <v>8500</v>
      </c>
      <c r="M440" s="205">
        <f t="shared" si="96"/>
        <v>16005500</v>
      </c>
      <c r="N440" s="214">
        <v>5</v>
      </c>
      <c r="O440" s="554">
        <f t="shared" si="90"/>
        <v>376.6</v>
      </c>
      <c r="P440" s="548">
        <f t="shared" si="88"/>
        <v>3201100</v>
      </c>
    </row>
    <row r="441" spans="1:16" ht="12.75">
      <c r="A441" s="199" t="s">
        <v>3511</v>
      </c>
      <c r="B441" s="200" t="s">
        <v>3854</v>
      </c>
      <c r="C441" s="200" t="str">
        <f>VLOOKUP(B441,Fincas!$A$2:$C$1005,2,0)</f>
        <v>F_San Antonio</v>
      </c>
      <c r="D441" s="201">
        <v>44721</v>
      </c>
      <c r="E441" s="267" t="str">
        <f t="shared" si="86"/>
        <v>junio</v>
      </c>
      <c r="F441" s="202">
        <v>44722</v>
      </c>
      <c r="G441" s="203">
        <v>44727</v>
      </c>
      <c r="H441" s="200">
        <v>7780</v>
      </c>
      <c r="I441" s="224">
        <v>7008146</v>
      </c>
      <c r="J441" s="234" t="str">
        <f t="shared" si="89"/>
        <v>Res macho ceba</v>
      </c>
      <c r="K441" s="200">
        <v>2189</v>
      </c>
      <c r="L441" s="550">
        <v>8650</v>
      </c>
      <c r="M441" s="205">
        <f t="shared" si="96"/>
        <v>18934850</v>
      </c>
      <c r="N441" s="214">
        <v>6</v>
      </c>
      <c r="O441" s="554">
        <f t="shared" si="90"/>
        <v>364.83333333333331</v>
      </c>
      <c r="P441" s="548">
        <f t="shared" si="88"/>
        <v>3155808.3333333335</v>
      </c>
    </row>
    <row r="442" spans="1:16" ht="12.75">
      <c r="A442" s="199" t="s">
        <v>3511</v>
      </c>
      <c r="B442" s="200" t="s">
        <v>3854</v>
      </c>
      <c r="C442" s="200" t="str">
        <f>VLOOKUP(B442,Fincas!$A$2:$C$1005,2,0)</f>
        <v>F_San Antonio</v>
      </c>
      <c r="D442" s="201">
        <v>44721</v>
      </c>
      <c r="E442" s="267" t="str">
        <f t="shared" si="86"/>
        <v>junio</v>
      </c>
      <c r="F442" s="202">
        <v>44722</v>
      </c>
      <c r="G442" s="203">
        <v>44727</v>
      </c>
      <c r="H442" s="200">
        <v>7786</v>
      </c>
      <c r="I442" s="224">
        <v>7008146</v>
      </c>
      <c r="J442" s="234" t="str">
        <f t="shared" si="89"/>
        <v>Res macho ceba</v>
      </c>
      <c r="K442" s="200">
        <v>365</v>
      </c>
      <c r="L442" s="550">
        <v>8300</v>
      </c>
      <c r="M442" s="205">
        <f t="shared" si="96"/>
        <v>3029500</v>
      </c>
      <c r="N442" s="214">
        <v>1</v>
      </c>
      <c r="O442" s="554">
        <f t="shared" si="90"/>
        <v>365</v>
      </c>
      <c r="P442" s="548">
        <f t="shared" si="88"/>
        <v>3029500</v>
      </c>
    </row>
    <row r="443" spans="1:16" ht="12.75">
      <c r="A443" s="199" t="s">
        <v>3511</v>
      </c>
      <c r="B443" s="200" t="s">
        <v>3696</v>
      </c>
      <c r="C443" s="200" t="str">
        <f>VLOOKUP(B443,Fincas!$A$2:$C$1005,2,0)</f>
        <v>F_Las Delicias</v>
      </c>
      <c r="D443" s="201">
        <v>44721</v>
      </c>
      <c r="E443" s="267" t="str">
        <f t="shared" si="86"/>
        <v>junio</v>
      </c>
      <c r="F443" s="202">
        <v>44722</v>
      </c>
      <c r="G443" s="203">
        <v>44727</v>
      </c>
      <c r="H443" s="200">
        <v>7757</v>
      </c>
      <c r="I443" s="212">
        <v>7008147</v>
      </c>
      <c r="J443" s="212" t="str">
        <f t="shared" si="89"/>
        <v>Res macho levante</v>
      </c>
      <c r="K443" s="200">
        <v>3694</v>
      </c>
      <c r="L443" s="550">
        <v>8800</v>
      </c>
      <c r="M443" s="205">
        <f t="shared" si="96"/>
        <v>32507200</v>
      </c>
      <c r="N443" s="214">
        <v>17</v>
      </c>
      <c r="O443" s="554">
        <f t="shared" si="90"/>
        <v>217.29411764705881</v>
      </c>
      <c r="P443" s="548">
        <f t="shared" si="88"/>
        <v>1912188.2352941176</v>
      </c>
    </row>
    <row r="444" spans="1:16" ht="12.75">
      <c r="A444" s="199" t="s">
        <v>3511</v>
      </c>
      <c r="B444" s="200" t="s">
        <v>3696</v>
      </c>
      <c r="C444" s="200" t="str">
        <f>VLOOKUP(B444,Fincas!$A$2:$C$1005,2,0)</f>
        <v>F_Las Delicias</v>
      </c>
      <c r="D444" s="201">
        <v>44721</v>
      </c>
      <c r="E444" s="267" t="str">
        <f t="shared" si="86"/>
        <v>junio</v>
      </c>
      <c r="F444" s="202">
        <v>44722</v>
      </c>
      <c r="G444" s="203">
        <v>44727</v>
      </c>
      <c r="H444" s="200">
        <v>7782</v>
      </c>
      <c r="I444" s="212">
        <v>7008147</v>
      </c>
      <c r="J444" s="212" t="str">
        <f t="shared" si="89"/>
        <v>Res macho levante</v>
      </c>
      <c r="K444" s="200">
        <v>2082</v>
      </c>
      <c r="L444" s="550">
        <v>8600</v>
      </c>
      <c r="M444" s="205">
        <f t="shared" si="96"/>
        <v>17905200</v>
      </c>
      <c r="N444" s="214">
        <v>9</v>
      </c>
      <c r="O444" s="554">
        <f t="shared" si="90"/>
        <v>231.33333333333334</v>
      </c>
      <c r="P444" s="548">
        <f t="shared" si="88"/>
        <v>1989466.6666666667</v>
      </c>
    </row>
    <row r="445" spans="1:16" ht="12.75">
      <c r="A445" s="199" t="s">
        <v>3511</v>
      </c>
      <c r="B445" s="200" t="s">
        <v>3449</v>
      </c>
      <c r="C445" s="200" t="str">
        <f>VLOOKUP(B445,Fincas!$A$2:$C$1005,2,0)</f>
        <v>F_La Estrella</v>
      </c>
      <c r="D445" s="201">
        <v>44721</v>
      </c>
      <c r="E445" s="267" t="str">
        <f t="shared" si="86"/>
        <v>junio</v>
      </c>
      <c r="F445" s="202">
        <v>44722</v>
      </c>
      <c r="G445" s="203">
        <v>44727</v>
      </c>
      <c r="H445" s="200">
        <v>7744</v>
      </c>
      <c r="I445" s="224">
        <v>7008146</v>
      </c>
      <c r="J445" s="234" t="str">
        <f t="shared" si="89"/>
        <v>Res macho ceba</v>
      </c>
      <c r="K445" s="200">
        <v>2598</v>
      </c>
      <c r="L445" s="550">
        <v>9300</v>
      </c>
      <c r="M445" s="205">
        <f t="shared" si="96"/>
        <v>24161400</v>
      </c>
      <c r="N445" s="214">
        <v>13</v>
      </c>
      <c r="O445" s="554">
        <f t="shared" si="90"/>
        <v>199.84615384615384</v>
      </c>
      <c r="P445" s="548">
        <f t="shared" si="88"/>
        <v>1858569.2307692308</v>
      </c>
    </row>
    <row r="446" spans="1:16" ht="12.75">
      <c r="A446" s="199" t="s">
        <v>3511</v>
      </c>
      <c r="B446" s="200" t="s">
        <v>3449</v>
      </c>
      <c r="C446" s="200" t="str">
        <f>VLOOKUP(B446,Fincas!$A$2:$C$1005,2,0)</f>
        <v>F_La Estrella</v>
      </c>
      <c r="D446" s="201">
        <v>44721</v>
      </c>
      <c r="E446" s="267" t="str">
        <f t="shared" si="86"/>
        <v>junio</v>
      </c>
      <c r="F446" s="202">
        <v>44722</v>
      </c>
      <c r="G446" s="203">
        <v>44727</v>
      </c>
      <c r="H446" s="200">
        <v>7770</v>
      </c>
      <c r="I446" s="224">
        <v>7008146</v>
      </c>
      <c r="J446" s="234" t="str">
        <f t="shared" si="89"/>
        <v>Res macho ceba</v>
      </c>
      <c r="K446" s="200">
        <v>2382</v>
      </c>
      <c r="L446" s="550">
        <v>10000</v>
      </c>
      <c r="M446" s="205">
        <f t="shared" si="96"/>
        <v>23820000</v>
      </c>
      <c r="N446" s="214">
        <v>13</v>
      </c>
      <c r="O446" s="554">
        <f t="shared" si="90"/>
        <v>183.23076923076923</v>
      </c>
      <c r="P446" s="548">
        <f t="shared" si="88"/>
        <v>1832307.6923076923</v>
      </c>
    </row>
    <row r="447" spans="1:16" ht="12.75">
      <c r="A447" s="199" t="s">
        <v>3511</v>
      </c>
      <c r="B447" s="200" t="s">
        <v>3849</v>
      </c>
      <c r="C447" s="200" t="str">
        <f>VLOOKUP(B447,Fincas!$A$2:$C$1005,2,0)</f>
        <v>F_Bello Horizont</v>
      </c>
      <c r="D447" s="201">
        <v>44727</v>
      </c>
      <c r="E447" s="267" t="str">
        <f t="shared" si="86"/>
        <v>junio</v>
      </c>
      <c r="F447" s="202">
        <v>44727</v>
      </c>
      <c r="G447" s="203">
        <v>44728</v>
      </c>
      <c r="H447" s="200" t="s">
        <v>3855</v>
      </c>
      <c r="I447" s="224">
        <v>7008146</v>
      </c>
      <c r="J447" s="234" t="str">
        <f t="shared" si="89"/>
        <v>Res macho ceba</v>
      </c>
      <c r="K447" s="200">
        <v>5193</v>
      </c>
      <c r="L447" s="550">
        <v>9020</v>
      </c>
      <c r="M447" s="205">
        <f t="shared" si="96"/>
        <v>46840860</v>
      </c>
      <c r="N447" s="214">
        <v>16</v>
      </c>
      <c r="O447" s="554">
        <f t="shared" si="90"/>
        <v>324.5625</v>
      </c>
      <c r="P447" s="548">
        <f t="shared" si="88"/>
        <v>2927553.75</v>
      </c>
    </row>
    <row r="448" spans="1:16" ht="12.75">
      <c r="A448" s="199" t="s">
        <v>3454</v>
      </c>
      <c r="B448" s="200" t="s">
        <v>3849</v>
      </c>
      <c r="C448" s="200" t="str">
        <f>VLOOKUP(B448,Fincas!$A$2:$C$1005,2,0)</f>
        <v>F_Bello Horizont</v>
      </c>
      <c r="D448" s="201">
        <v>44727</v>
      </c>
      <c r="E448" s="267" t="str">
        <f t="shared" si="86"/>
        <v>junio</v>
      </c>
      <c r="F448" s="202">
        <v>44728</v>
      </c>
      <c r="G448" s="203">
        <v>44733</v>
      </c>
      <c r="H448" s="200" t="s">
        <v>3856</v>
      </c>
      <c r="I448" s="224">
        <v>7008146</v>
      </c>
      <c r="J448" s="234" t="str">
        <f t="shared" si="89"/>
        <v>Res macho ceba</v>
      </c>
      <c r="K448" s="200">
        <v>6016</v>
      </c>
      <c r="L448" s="550">
        <f>M448/K448</f>
        <v>9094.3450797872338</v>
      </c>
      <c r="M448" s="213">
        <v>54711580</v>
      </c>
      <c r="N448" s="214">
        <v>20</v>
      </c>
      <c r="O448" s="554">
        <f t="shared" si="90"/>
        <v>300.8</v>
      </c>
      <c r="P448" s="548">
        <f t="shared" si="88"/>
        <v>2735579</v>
      </c>
    </row>
    <row r="449" spans="1:16" ht="12.75">
      <c r="A449" s="199" t="s">
        <v>3857</v>
      </c>
      <c r="B449" s="200" t="s">
        <v>3858</v>
      </c>
      <c r="C449" s="200" t="str">
        <f>VLOOKUP(B449,Fincas!$A$2:$C$1005,2,0)</f>
        <v>F_Providencia</v>
      </c>
      <c r="D449" s="201">
        <v>44730</v>
      </c>
      <c r="E449" s="267" t="str">
        <f t="shared" si="86"/>
        <v>junio</v>
      </c>
      <c r="F449" s="202">
        <v>44729</v>
      </c>
      <c r="G449" s="203">
        <v>44733</v>
      </c>
      <c r="H449" s="200" t="s">
        <v>3859</v>
      </c>
      <c r="I449" s="224">
        <v>7008146</v>
      </c>
      <c r="J449" s="234" t="str">
        <f t="shared" si="89"/>
        <v>Res macho ceba</v>
      </c>
      <c r="K449" s="200">
        <v>19202</v>
      </c>
      <c r="L449" s="550">
        <v>8800</v>
      </c>
      <c r="M449" s="205">
        <f t="shared" ref="M449:M451" si="97">L449*K449</f>
        <v>168977600</v>
      </c>
      <c r="N449" s="214">
        <v>48</v>
      </c>
      <c r="O449" s="554">
        <f t="shared" si="90"/>
        <v>400.04166666666669</v>
      </c>
      <c r="P449" s="548">
        <f t="shared" si="88"/>
        <v>3520366.6666666665</v>
      </c>
    </row>
    <row r="450" spans="1:16" ht="12.75">
      <c r="A450" s="199" t="s">
        <v>3426</v>
      </c>
      <c r="B450" s="200" t="s">
        <v>3496</v>
      </c>
      <c r="C450" s="200" t="str">
        <f>VLOOKUP(B450,Fincas!$A$2:$C$1005,2,0)</f>
        <v>A_El Tropezon</v>
      </c>
      <c r="D450" s="201">
        <v>44719</v>
      </c>
      <c r="E450" s="267" t="str">
        <f t="shared" ref="E450:E513" si="98">+TEXT(D450,"mmmm")</f>
        <v>junio</v>
      </c>
      <c r="F450" s="202">
        <v>44719</v>
      </c>
      <c r="G450" s="203">
        <v>44733</v>
      </c>
      <c r="H450" s="200" t="s">
        <v>3860</v>
      </c>
      <c r="I450" s="224">
        <v>7008146</v>
      </c>
      <c r="J450" s="234" t="str">
        <f t="shared" si="89"/>
        <v>Res macho ceba</v>
      </c>
      <c r="K450" s="200">
        <v>11901</v>
      </c>
      <c r="L450" s="550">
        <v>9550</v>
      </c>
      <c r="M450" s="205">
        <f t="shared" si="97"/>
        <v>113654550</v>
      </c>
      <c r="N450" s="214">
        <v>37</v>
      </c>
      <c r="O450" s="554">
        <f t="shared" si="90"/>
        <v>321.64864864864865</v>
      </c>
      <c r="P450" s="548">
        <f t="shared" ref="P450:P513" si="99">+M450/N450</f>
        <v>3071744.5945945946</v>
      </c>
    </row>
    <row r="451" spans="1:16" ht="12.75">
      <c r="A451" s="199" t="s">
        <v>3426</v>
      </c>
      <c r="B451" s="200" t="s">
        <v>3496</v>
      </c>
      <c r="C451" s="200" t="str">
        <f>VLOOKUP(B451,Fincas!$A$2:$C$1005,2,0)</f>
        <v>A_El Tropezon</v>
      </c>
      <c r="D451" s="201">
        <v>44719</v>
      </c>
      <c r="E451" s="267" t="str">
        <f t="shared" si="98"/>
        <v>junio</v>
      </c>
      <c r="F451" s="202">
        <v>44719</v>
      </c>
      <c r="G451" s="203">
        <v>44733</v>
      </c>
      <c r="H451" s="200" t="s">
        <v>3861</v>
      </c>
      <c r="I451" s="224">
        <v>7008146</v>
      </c>
      <c r="J451" s="234" t="str">
        <f t="shared" ref="J451:J514" si="100">+VLOOKUP(I451,$F$962:$G$970,2,0)</f>
        <v>Res macho ceba</v>
      </c>
      <c r="K451" s="200">
        <v>5837</v>
      </c>
      <c r="L451" s="550">
        <v>9550</v>
      </c>
      <c r="M451" s="205">
        <f t="shared" si="97"/>
        <v>55743350</v>
      </c>
      <c r="N451" s="214">
        <v>18</v>
      </c>
      <c r="O451" s="554">
        <f t="shared" ref="O451:O514" si="101">+K451/N451</f>
        <v>324.27777777777777</v>
      </c>
      <c r="P451" s="548">
        <f t="shared" si="99"/>
        <v>3096852.777777778</v>
      </c>
    </row>
    <row r="452" spans="1:16" ht="12.75">
      <c r="A452" s="199" t="s">
        <v>3454</v>
      </c>
      <c r="B452" s="200" t="s">
        <v>3600</v>
      </c>
      <c r="C452" s="200" t="str">
        <f>VLOOKUP(B452,Fincas!$A$2:$C$1005,2,0)</f>
        <v>F_La Leticia</v>
      </c>
      <c r="D452" s="201">
        <v>44725</v>
      </c>
      <c r="E452" s="267" t="str">
        <f t="shared" si="98"/>
        <v>junio</v>
      </c>
      <c r="F452" s="202">
        <v>44725</v>
      </c>
      <c r="G452" s="203">
        <v>44733</v>
      </c>
      <c r="H452" s="200">
        <v>8041</v>
      </c>
      <c r="I452" s="224">
        <v>7008146</v>
      </c>
      <c r="J452" s="234" t="str">
        <f t="shared" si="100"/>
        <v>Res macho ceba</v>
      </c>
      <c r="K452" s="200">
        <v>12984</v>
      </c>
      <c r="L452" s="550">
        <f>M452/K452</f>
        <v>9295.3250154035741</v>
      </c>
      <c r="M452" s="213">
        <v>120690500</v>
      </c>
      <c r="N452" s="214">
        <v>36</v>
      </c>
      <c r="O452" s="554">
        <f t="shared" si="101"/>
        <v>360.66666666666669</v>
      </c>
      <c r="P452" s="548">
        <f t="shared" si="99"/>
        <v>3352513.888888889</v>
      </c>
    </row>
    <row r="453" spans="1:16" ht="12.75">
      <c r="A453" s="199" t="s">
        <v>3426</v>
      </c>
      <c r="B453" s="200" t="s">
        <v>3476</v>
      </c>
      <c r="C453" s="200" t="str">
        <f>VLOOKUP(B453,Fincas!$A$2:$C$1005,2,0)</f>
        <v>F_Guacharacas</v>
      </c>
      <c r="D453" s="201">
        <v>44720</v>
      </c>
      <c r="E453" s="267" t="str">
        <f t="shared" si="98"/>
        <v>junio</v>
      </c>
      <c r="F453" s="202">
        <v>44720</v>
      </c>
      <c r="G453" s="203">
        <v>44733</v>
      </c>
      <c r="H453" s="200" t="s">
        <v>3862</v>
      </c>
      <c r="I453" s="224">
        <v>7008146</v>
      </c>
      <c r="J453" s="234" t="str">
        <f t="shared" si="100"/>
        <v>Res macho ceba</v>
      </c>
      <c r="K453" s="200">
        <v>19212</v>
      </c>
      <c r="L453" s="550">
        <v>9411</v>
      </c>
      <c r="M453" s="205">
        <f t="shared" ref="M453:M464" si="102">L453*K453</f>
        <v>180804132</v>
      </c>
      <c r="N453" s="214">
        <v>52</v>
      </c>
      <c r="O453" s="554">
        <f t="shared" si="101"/>
        <v>369.46153846153845</v>
      </c>
      <c r="P453" s="548">
        <f t="shared" si="99"/>
        <v>3477002.5384615385</v>
      </c>
    </row>
    <row r="454" spans="1:16" ht="12.75">
      <c r="A454" s="199" t="s">
        <v>3426</v>
      </c>
      <c r="B454" s="200" t="s">
        <v>3427</v>
      </c>
      <c r="C454" s="200" t="str">
        <f>VLOOKUP(B454,Fincas!$A$2:$C$1005,2,0)</f>
        <v>A_Jordan</v>
      </c>
      <c r="D454" s="201">
        <v>44719</v>
      </c>
      <c r="E454" s="267" t="str">
        <f t="shared" si="98"/>
        <v>junio</v>
      </c>
      <c r="F454" s="202">
        <v>44719</v>
      </c>
      <c r="G454" s="203">
        <v>44733</v>
      </c>
      <c r="H454" s="200" t="s">
        <v>3863</v>
      </c>
      <c r="I454" s="212">
        <v>7008147</v>
      </c>
      <c r="J454" s="212" t="str">
        <f t="shared" si="100"/>
        <v>Res macho levante</v>
      </c>
      <c r="K454" s="200">
        <v>4905</v>
      </c>
      <c r="L454" s="550">
        <v>9550</v>
      </c>
      <c r="M454" s="205">
        <f t="shared" si="102"/>
        <v>46842750</v>
      </c>
      <c r="N454" s="214">
        <v>18</v>
      </c>
      <c r="O454" s="554">
        <f t="shared" si="101"/>
        <v>272.5</v>
      </c>
      <c r="P454" s="548">
        <f t="shared" si="99"/>
        <v>2602375</v>
      </c>
    </row>
    <row r="455" spans="1:16" ht="12.75">
      <c r="A455" s="199" t="s">
        <v>3426</v>
      </c>
      <c r="B455" s="200" t="s">
        <v>3496</v>
      </c>
      <c r="C455" s="200" t="str">
        <f>VLOOKUP(B455,Fincas!$A$2:$C$1005,2,0)</f>
        <v>A_El Tropezon</v>
      </c>
      <c r="D455" s="201">
        <v>44728</v>
      </c>
      <c r="E455" s="267" t="str">
        <f t="shared" si="98"/>
        <v>junio</v>
      </c>
      <c r="F455" s="202">
        <v>44728</v>
      </c>
      <c r="G455" s="203">
        <v>44733</v>
      </c>
      <c r="H455" s="200" t="s">
        <v>3864</v>
      </c>
      <c r="I455" s="224">
        <v>7008146</v>
      </c>
      <c r="J455" s="234" t="str">
        <f t="shared" si="100"/>
        <v>Res macho ceba</v>
      </c>
      <c r="K455" s="200">
        <v>24290</v>
      </c>
      <c r="L455" s="550">
        <v>9450</v>
      </c>
      <c r="M455" s="205">
        <f t="shared" si="102"/>
        <v>229540500</v>
      </c>
      <c r="N455" s="214">
        <v>68</v>
      </c>
      <c r="O455" s="554">
        <f t="shared" si="101"/>
        <v>357.20588235294116</v>
      </c>
      <c r="P455" s="548">
        <f t="shared" si="99"/>
        <v>3375595.588235294</v>
      </c>
    </row>
    <row r="456" spans="1:16" ht="12.75">
      <c r="A456" s="199" t="s">
        <v>3426</v>
      </c>
      <c r="B456" s="200" t="s">
        <v>3732</v>
      </c>
      <c r="C456" s="200" t="str">
        <f>VLOOKUP(B456,Fincas!$A$2:$C$1005,2,0)</f>
        <v>F_El Milagro</v>
      </c>
      <c r="D456" s="201">
        <v>44728</v>
      </c>
      <c r="E456" s="267" t="str">
        <f t="shared" si="98"/>
        <v>junio</v>
      </c>
      <c r="F456" s="202">
        <v>44728</v>
      </c>
      <c r="G456" s="203">
        <v>44733</v>
      </c>
      <c r="H456" s="200" t="s">
        <v>3865</v>
      </c>
      <c r="I456" s="217">
        <v>7008151</v>
      </c>
      <c r="J456" s="217" t="str">
        <f t="shared" si="100"/>
        <v>Res novilla ceba</v>
      </c>
      <c r="K456" s="200">
        <v>11563</v>
      </c>
      <c r="L456" s="550">
        <v>7770</v>
      </c>
      <c r="M456" s="205">
        <f t="shared" si="102"/>
        <v>89844510</v>
      </c>
      <c r="N456" s="214">
        <v>36</v>
      </c>
      <c r="O456" s="554">
        <f t="shared" si="101"/>
        <v>321.19444444444446</v>
      </c>
      <c r="P456" s="548">
        <f t="shared" si="99"/>
        <v>2495680.8333333335</v>
      </c>
    </row>
    <row r="457" spans="1:16" ht="12.75">
      <c r="A457" s="199" t="s">
        <v>3528</v>
      </c>
      <c r="B457" s="200" t="s">
        <v>3801</v>
      </c>
      <c r="C457" s="200" t="str">
        <f>VLOOKUP(B457,Fincas!$A$2:$C$1005,2,0)</f>
        <v>Nicaragua</v>
      </c>
      <c r="D457" s="201">
        <v>44733</v>
      </c>
      <c r="E457" s="267" t="str">
        <f t="shared" si="98"/>
        <v>junio</v>
      </c>
      <c r="F457" s="202">
        <v>44733</v>
      </c>
      <c r="G457" s="203">
        <v>44734</v>
      </c>
      <c r="H457" s="200" t="s">
        <v>3866</v>
      </c>
      <c r="I457" s="217">
        <v>7008151</v>
      </c>
      <c r="J457" s="217" t="str">
        <f t="shared" si="100"/>
        <v>Res novilla ceba</v>
      </c>
      <c r="K457" s="200">
        <v>24526</v>
      </c>
      <c r="L457" s="550">
        <v>7750</v>
      </c>
      <c r="M457" s="205">
        <f t="shared" si="102"/>
        <v>190076500</v>
      </c>
      <c r="N457" s="214">
        <v>80</v>
      </c>
      <c r="O457" s="554">
        <f t="shared" si="101"/>
        <v>306.57499999999999</v>
      </c>
      <c r="P457" s="548">
        <f t="shared" si="99"/>
        <v>2375956.25</v>
      </c>
    </row>
    <row r="458" spans="1:16" ht="12.75">
      <c r="A458" s="199" t="s">
        <v>3511</v>
      </c>
      <c r="B458" s="200" t="s">
        <v>3737</v>
      </c>
      <c r="C458" s="200" t="str">
        <f>VLOOKUP(B458,Fincas!$A$2:$C$1005,2,0)</f>
        <v>F_Los Santos</v>
      </c>
      <c r="D458" s="201">
        <v>44730</v>
      </c>
      <c r="E458" s="267" t="str">
        <f t="shared" si="98"/>
        <v>junio</v>
      </c>
      <c r="F458" s="202">
        <v>44730</v>
      </c>
      <c r="G458" s="203">
        <v>44734</v>
      </c>
      <c r="H458" s="200" t="s">
        <v>3867</v>
      </c>
      <c r="I458" s="212">
        <v>7008147</v>
      </c>
      <c r="J458" s="212" t="str">
        <f t="shared" si="100"/>
        <v>Res macho levante</v>
      </c>
      <c r="K458" s="200">
        <v>4585</v>
      </c>
      <c r="L458" s="550">
        <v>9100</v>
      </c>
      <c r="M458" s="205">
        <f t="shared" si="102"/>
        <v>41723500</v>
      </c>
      <c r="N458" s="214">
        <v>19</v>
      </c>
      <c r="O458" s="554">
        <f t="shared" si="101"/>
        <v>241.31578947368422</v>
      </c>
      <c r="P458" s="548">
        <f t="shared" si="99"/>
        <v>2195973.6842105263</v>
      </c>
    </row>
    <row r="459" spans="1:16" ht="12.75">
      <c r="A459" s="199" t="s">
        <v>3426</v>
      </c>
      <c r="B459" s="200" t="s">
        <v>3732</v>
      </c>
      <c r="C459" s="200" t="str">
        <f>VLOOKUP(B459,Fincas!$A$2:$C$1005,2,0)</f>
        <v>F_El Milagro</v>
      </c>
      <c r="D459" s="201">
        <v>44723</v>
      </c>
      <c r="E459" s="267" t="str">
        <f t="shared" si="98"/>
        <v>junio</v>
      </c>
      <c r="F459" s="202">
        <v>44723</v>
      </c>
      <c r="G459" s="203">
        <v>44735</v>
      </c>
      <c r="H459" s="200" t="s">
        <v>3868</v>
      </c>
      <c r="I459" s="217">
        <v>7008151</v>
      </c>
      <c r="J459" s="217" t="str">
        <f t="shared" si="100"/>
        <v>Res novilla ceba</v>
      </c>
      <c r="K459" s="200">
        <v>14585</v>
      </c>
      <c r="L459" s="550">
        <v>7834</v>
      </c>
      <c r="M459" s="205">
        <f t="shared" si="102"/>
        <v>114258890</v>
      </c>
      <c r="N459" s="214">
        <v>55</v>
      </c>
      <c r="O459" s="554">
        <f t="shared" si="101"/>
        <v>265.18181818181819</v>
      </c>
      <c r="P459" s="548">
        <f t="shared" si="99"/>
        <v>2077434.3636363635</v>
      </c>
    </row>
    <row r="460" spans="1:16" ht="12.75">
      <c r="A460" s="199" t="s">
        <v>3586</v>
      </c>
      <c r="B460" s="200" t="s">
        <v>3587</v>
      </c>
      <c r="C460" s="200" t="str">
        <f>VLOOKUP(B460,Fincas!$A$2:$C$1005,2,0)</f>
        <v>F_Monaco</v>
      </c>
      <c r="D460" s="201">
        <v>44734</v>
      </c>
      <c r="E460" s="267" t="str">
        <f t="shared" si="98"/>
        <v>junio</v>
      </c>
      <c r="F460" s="202">
        <v>44734</v>
      </c>
      <c r="G460" s="203">
        <v>44735</v>
      </c>
      <c r="H460" s="200" t="s">
        <v>3869</v>
      </c>
      <c r="I460" s="224">
        <v>7008146</v>
      </c>
      <c r="J460" s="234" t="str">
        <f t="shared" si="100"/>
        <v>Res macho ceba</v>
      </c>
      <c r="K460" s="200">
        <v>24001</v>
      </c>
      <c r="L460" s="550">
        <v>9300</v>
      </c>
      <c r="M460" s="205">
        <f t="shared" si="102"/>
        <v>223209300</v>
      </c>
      <c r="N460" s="214">
        <v>60</v>
      </c>
      <c r="O460" s="554">
        <f t="shared" si="101"/>
        <v>400.01666666666665</v>
      </c>
      <c r="P460" s="548">
        <f t="shared" si="99"/>
        <v>3720155</v>
      </c>
    </row>
    <row r="461" spans="1:16" ht="12.75">
      <c r="A461" s="199" t="s">
        <v>3870</v>
      </c>
      <c r="B461" s="200" t="s">
        <v>3427</v>
      </c>
      <c r="C461" s="200" t="str">
        <f>VLOOKUP(B461,Fincas!$A$2:$C$1005,2,0)</f>
        <v>A_Jordan</v>
      </c>
      <c r="D461" s="201">
        <v>44733</v>
      </c>
      <c r="E461" s="267" t="str">
        <f t="shared" si="98"/>
        <v>junio</v>
      </c>
      <c r="F461" s="202">
        <v>44733</v>
      </c>
      <c r="G461" s="203">
        <v>44736</v>
      </c>
      <c r="H461" s="200" t="s">
        <v>3871</v>
      </c>
      <c r="I461" s="212">
        <v>7008147</v>
      </c>
      <c r="J461" s="212" t="str">
        <f t="shared" si="100"/>
        <v>Res macho levante</v>
      </c>
      <c r="K461" s="200">
        <v>3165</v>
      </c>
      <c r="L461" s="550">
        <v>9500</v>
      </c>
      <c r="M461" s="205">
        <f t="shared" si="102"/>
        <v>30067500</v>
      </c>
      <c r="N461" s="214">
        <v>9</v>
      </c>
      <c r="O461" s="554">
        <f t="shared" si="101"/>
        <v>351.66666666666669</v>
      </c>
      <c r="P461" s="548">
        <f t="shared" si="99"/>
        <v>3340833.3333333335</v>
      </c>
    </row>
    <row r="462" spans="1:16" ht="12.75">
      <c r="A462" s="199" t="s">
        <v>3511</v>
      </c>
      <c r="B462" s="200" t="s">
        <v>3718</v>
      </c>
      <c r="C462" s="200" t="str">
        <f>VLOOKUP(B462,Fincas!$A$2:$C$1005,2,0)</f>
        <v>F_El Playon</v>
      </c>
      <c r="D462" s="201">
        <v>44735</v>
      </c>
      <c r="E462" s="267" t="str">
        <f t="shared" si="98"/>
        <v>junio</v>
      </c>
      <c r="F462" s="202">
        <v>44736</v>
      </c>
      <c r="G462" s="203">
        <v>44739</v>
      </c>
      <c r="H462" s="200" t="s">
        <v>3872</v>
      </c>
      <c r="I462" s="212">
        <v>7008147</v>
      </c>
      <c r="J462" s="212" t="str">
        <f t="shared" si="100"/>
        <v>Res macho levante</v>
      </c>
      <c r="K462" s="200">
        <v>11315</v>
      </c>
      <c r="L462" s="550">
        <v>9020</v>
      </c>
      <c r="M462" s="205">
        <f t="shared" si="102"/>
        <v>102061300</v>
      </c>
      <c r="N462" s="214">
        <v>48</v>
      </c>
      <c r="O462" s="554">
        <f t="shared" si="101"/>
        <v>235.72916666666666</v>
      </c>
      <c r="P462" s="548">
        <f t="shared" si="99"/>
        <v>2126277.0833333335</v>
      </c>
    </row>
    <row r="463" spans="1:16" ht="12.75">
      <c r="A463" s="199" t="s">
        <v>3873</v>
      </c>
      <c r="B463" s="200" t="s">
        <v>3493</v>
      </c>
      <c r="C463" s="200" t="str">
        <f>VLOOKUP(B463,Fincas!$A$2:$C$1005,2,0)</f>
        <v>F_Las Camelias</v>
      </c>
      <c r="D463" s="201">
        <v>44727</v>
      </c>
      <c r="E463" s="267" t="str">
        <f t="shared" si="98"/>
        <v>junio</v>
      </c>
      <c r="F463" s="202">
        <v>44727</v>
      </c>
      <c r="G463" s="203">
        <v>44740</v>
      </c>
      <c r="H463" s="200">
        <v>6048</v>
      </c>
      <c r="I463" s="224">
        <v>7008146</v>
      </c>
      <c r="J463" s="234" t="str">
        <f t="shared" si="100"/>
        <v>Res macho ceba</v>
      </c>
      <c r="K463" s="200">
        <v>6386</v>
      </c>
      <c r="L463" s="550">
        <v>9450</v>
      </c>
      <c r="M463" s="205">
        <f t="shared" si="102"/>
        <v>60347700</v>
      </c>
      <c r="N463" s="214">
        <v>17</v>
      </c>
      <c r="O463" s="554">
        <f t="shared" si="101"/>
        <v>375.64705882352939</v>
      </c>
      <c r="P463" s="548">
        <f t="shared" si="99"/>
        <v>3549864.7058823528</v>
      </c>
    </row>
    <row r="464" spans="1:16" ht="12.75">
      <c r="A464" s="199" t="s">
        <v>3426</v>
      </c>
      <c r="B464" s="200" t="s">
        <v>3600</v>
      </c>
      <c r="C464" s="200" t="str">
        <f>VLOOKUP(B464,Fincas!$A$2:$C$1005,2,0)</f>
        <v>F_La Leticia</v>
      </c>
      <c r="D464" s="201">
        <v>44736</v>
      </c>
      <c r="E464" s="267" t="str">
        <f t="shared" si="98"/>
        <v>junio</v>
      </c>
      <c r="F464" s="202">
        <v>44735</v>
      </c>
      <c r="G464" s="203">
        <v>44740</v>
      </c>
      <c r="H464" s="200" t="s">
        <v>3874</v>
      </c>
      <c r="I464" s="224">
        <v>7008146</v>
      </c>
      <c r="J464" s="234" t="str">
        <f t="shared" si="100"/>
        <v>Res macho ceba</v>
      </c>
      <c r="K464" s="200">
        <v>26215</v>
      </c>
      <c r="L464" s="550">
        <v>9528</v>
      </c>
      <c r="M464" s="205">
        <f t="shared" si="102"/>
        <v>249776520</v>
      </c>
      <c r="N464" s="214">
        <v>72</v>
      </c>
      <c r="O464" s="554">
        <f t="shared" si="101"/>
        <v>364.09722222222223</v>
      </c>
      <c r="P464" s="548">
        <f t="shared" si="99"/>
        <v>3469118.3333333335</v>
      </c>
    </row>
    <row r="465" spans="1:16" ht="12.75">
      <c r="A465" s="199" t="s">
        <v>3454</v>
      </c>
      <c r="B465" s="200" t="s">
        <v>3732</v>
      </c>
      <c r="C465" s="200" t="str">
        <f>VLOOKUP(B465,Fincas!$A$2:$C$1005,2,0)</f>
        <v>F_El Milagro</v>
      </c>
      <c r="D465" s="201">
        <v>44720</v>
      </c>
      <c r="E465" s="267" t="str">
        <f t="shared" si="98"/>
        <v>junio</v>
      </c>
      <c r="F465" s="202">
        <v>44722</v>
      </c>
      <c r="G465" s="203">
        <v>44740</v>
      </c>
      <c r="H465" s="200" t="s">
        <v>3875</v>
      </c>
      <c r="I465" s="217">
        <v>7008151</v>
      </c>
      <c r="J465" s="217" t="str">
        <f t="shared" si="100"/>
        <v>Res novilla ceba</v>
      </c>
      <c r="K465" s="200">
        <v>2718</v>
      </c>
      <c r="L465" s="550">
        <f t="shared" ref="L465:L472" si="103">M465/K465</f>
        <v>7084.5448859455482</v>
      </c>
      <c r="M465" s="213">
        <v>19255793</v>
      </c>
      <c r="N465" s="214">
        <v>10</v>
      </c>
      <c r="O465" s="554">
        <f t="shared" si="101"/>
        <v>271.8</v>
      </c>
      <c r="P465" s="548">
        <f t="shared" si="99"/>
        <v>1925579.3</v>
      </c>
    </row>
    <row r="466" spans="1:16" ht="12.75">
      <c r="A466" s="199" t="s">
        <v>3454</v>
      </c>
      <c r="B466" s="200" t="s">
        <v>3732</v>
      </c>
      <c r="C466" s="200" t="str">
        <f>VLOOKUP(B466,Fincas!$A$2:$C$1005,2,0)</f>
        <v>F_El Milagro</v>
      </c>
      <c r="D466" s="201">
        <v>44720</v>
      </c>
      <c r="E466" s="267" t="str">
        <f t="shared" si="98"/>
        <v>junio</v>
      </c>
      <c r="F466" s="202">
        <v>44722</v>
      </c>
      <c r="G466" s="203">
        <v>44740</v>
      </c>
      <c r="H466" s="200">
        <v>39573</v>
      </c>
      <c r="I466" s="217">
        <v>7008151</v>
      </c>
      <c r="J466" s="217" t="str">
        <f t="shared" si="100"/>
        <v>Res novilla ceba</v>
      </c>
      <c r="K466" s="200">
        <v>2108</v>
      </c>
      <c r="L466" s="550">
        <f t="shared" si="103"/>
        <v>7034.299810246679</v>
      </c>
      <c r="M466" s="213">
        <v>14828304</v>
      </c>
      <c r="N466" s="214">
        <v>8</v>
      </c>
      <c r="O466" s="554">
        <f t="shared" si="101"/>
        <v>263.5</v>
      </c>
      <c r="P466" s="548">
        <f t="shared" si="99"/>
        <v>1853538</v>
      </c>
    </row>
    <row r="467" spans="1:16" ht="12.75">
      <c r="A467" s="199" t="s">
        <v>3454</v>
      </c>
      <c r="B467" s="200" t="s">
        <v>3732</v>
      </c>
      <c r="C467" s="200" t="str">
        <f>VLOOKUP(B467,Fincas!$A$2:$C$1005,2,0)</f>
        <v>F_El Milagro</v>
      </c>
      <c r="D467" s="201">
        <v>44720</v>
      </c>
      <c r="E467" s="267" t="str">
        <f t="shared" si="98"/>
        <v>junio</v>
      </c>
      <c r="F467" s="202">
        <v>44722</v>
      </c>
      <c r="G467" s="203">
        <v>44740</v>
      </c>
      <c r="H467" s="200">
        <v>39574</v>
      </c>
      <c r="I467" s="217">
        <v>7008151</v>
      </c>
      <c r="J467" s="217" t="str">
        <f t="shared" si="100"/>
        <v>Res novilla ceba</v>
      </c>
      <c r="K467" s="200">
        <v>1936</v>
      </c>
      <c r="L467" s="550">
        <f t="shared" si="103"/>
        <v>7034.3001033057853</v>
      </c>
      <c r="M467" s="213">
        <v>13618405</v>
      </c>
      <c r="N467" s="214">
        <v>8</v>
      </c>
      <c r="O467" s="554">
        <f t="shared" si="101"/>
        <v>242</v>
      </c>
      <c r="P467" s="548">
        <f t="shared" si="99"/>
        <v>1702300.625</v>
      </c>
    </row>
    <row r="468" spans="1:16" ht="12.75">
      <c r="A468" s="199" t="s">
        <v>3454</v>
      </c>
      <c r="B468" s="200" t="s">
        <v>3732</v>
      </c>
      <c r="C468" s="200" t="str">
        <f>VLOOKUP(B468,Fincas!$A$2:$C$1005,2,0)</f>
        <v>F_El Milagro</v>
      </c>
      <c r="D468" s="201">
        <v>44720</v>
      </c>
      <c r="E468" s="267" t="str">
        <f t="shared" si="98"/>
        <v>junio</v>
      </c>
      <c r="F468" s="202">
        <v>44722</v>
      </c>
      <c r="G468" s="203">
        <v>44740</v>
      </c>
      <c r="H468" s="200">
        <v>39649</v>
      </c>
      <c r="I468" s="217">
        <v>7008151</v>
      </c>
      <c r="J468" s="217" t="str">
        <f t="shared" si="100"/>
        <v>Res novilla ceba</v>
      </c>
      <c r="K468" s="200">
        <v>582</v>
      </c>
      <c r="L468" s="550">
        <f t="shared" si="103"/>
        <v>6330.8694158075605</v>
      </c>
      <c r="M468" s="213">
        <v>3684566</v>
      </c>
      <c r="N468" s="214">
        <v>2</v>
      </c>
      <c r="O468" s="554">
        <f t="shared" si="101"/>
        <v>291</v>
      </c>
      <c r="P468" s="548">
        <f t="shared" si="99"/>
        <v>1842283</v>
      </c>
    </row>
    <row r="469" spans="1:16" ht="12.75">
      <c r="A469" s="199" t="s">
        <v>3454</v>
      </c>
      <c r="B469" s="200" t="s">
        <v>3732</v>
      </c>
      <c r="C469" s="200" t="str">
        <f>VLOOKUP(B469,Fincas!$A$2:$C$1005,2,0)</f>
        <v>F_El Milagro</v>
      </c>
      <c r="D469" s="201">
        <v>44720</v>
      </c>
      <c r="E469" s="267" t="str">
        <f t="shared" si="98"/>
        <v>junio</v>
      </c>
      <c r="F469" s="202">
        <v>44722</v>
      </c>
      <c r="G469" s="203">
        <v>44740</v>
      </c>
      <c r="H469" s="200">
        <v>39654</v>
      </c>
      <c r="I469" s="217">
        <v>7008151</v>
      </c>
      <c r="J469" s="217" t="str">
        <f t="shared" si="100"/>
        <v>Res novilla ceba</v>
      </c>
      <c r="K469" s="200">
        <v>206</v>
      </c>
      <c r="L469" s="550">
        <f t="shared" si="103"/>
        <v>7436.2621359223303</v>
      </c>
      <c r="M469" s="213">
        <v>1531870</v>
      </c>
      <c r="N469" s="214">
        <v>1</v>
      </c>
      <c r="O469" s="554">
        <f t="shared" si="101"/>
        <v>206</v>
      </c>
      <c r="P469" s="548">
        <f t="shared" si="99"/>
        <v>1531870</v>
      </c>
    </row>
    <row r="470" spans="1:16" ht="12.75">
      <c r="A470" s="199" t="s">
        <v>3454</v>
      </c>
      <c r="B470" s="200" t="s">
        <v>3732</v>
      </c>
      <c r="C470" s="200" t="str">
        <f>VLOOKUP(B470,Fincas!$A$2:$C$1005,2,0)</f>
        <v>F_El Milagro</v>
      </c>
      <c r="D470" s="201">
        <v>44720</v>
      </c>
      <c r="E470" s="267" t="str">
        <f t="shared" si="98"/>
        <v>junio</v>
      </c>
      <c r="F470" s="202">
        <v>44722</v>
      </c>
      <c r="G470" s="203">
        <v>44740</v>
      </c>
      <c r="H470" s="200">
        <v>39656</v>
      </c>
      <c r="I470" s="217">
        <v>7008151</v>
      </c>
      <c r="J470" s="217" t="str">
        <f t="shared" si="100"/>
        <v>Res novilla ceba</v>
      </c>
      <c r="K470" s="200">
        <v>186</v>
      </c>
      <c r="L470" s="550">
        <f t="shared" si="103"/>
        <v>6632.3387096774195</v>
      </c>
      <c r="M470" s="213">
        <v>1233615</v>
      </c>
      <c r="N470" s="214">
        <v>1</v>
      </c>
      <c r="O470" s="554">
        <f t="shared" si="101"/>
        <v>186</v>
      </c>
      <c r="P470" s="548">
        <f t="shared" si="99"/>
        <v>1233615</v>
      </c>
    </row>
    <row r="471" spans="1:16" ht="12.75">
      <c r="A471" s="199" t="s">
        <v>3454</v>
      </c>
      <c r="B471" s="200" t="s">
        <v>3732</v>
      </c>
      <c r="C471" s="200" t="str">
        <f>VLOOKUP(B471,Fincas!$A$2:$C$1005,2,0)</f>
        <v>F_El Milagro</v>
      </c>
      <c r="D471" s="201">
        <v>44720</v>
      </c>
      <c r="E471" s="267" t="str">
        <f t="shared" si="98"/>
        <v>junio</v>
      </c>
      <c r="F471" s="202">
        <v>44722</v>
      </c>
      <c r="G471" s="203">
        <v>44740</v>
      </c>
      <c r="H471" s="200">
        <v>39648</v>
      </c>
      <c r="I471" s="217">
        <v>7008151</v>
      </c>
      <c r="J471" s="217" t="str">
        <f t="shared" si="100"/>
        <v>Res novilla ceba</v>
      </c>
      <c r="K471" s="200">
        <v>274</v>
      </c>
      <c r="L471" s="550">
        <f t="shared" si="103"/>
        <v>6632.3394160583939</v>
      </c>
      <c r="M471" s="213">
        <v>1817261</v>
      </c>
      <c r="N471" s="214">
        <v>1</v>
      </c>
      <c r="O471" s="554">
        <f t="shared" si="101"/>
        <v>274</v>
      </c>
      <c r="P471" s="548">
        <f t="shared" si="99"/>
        <v>1817261</v>
      </c>
    </row>
    <row r="472" spans="1:16" ht="12.75">
      <c r="A472" s="199" t="s">
        <v>3454</v>
      </c>
      <c r="B472" s="200" t="s">
        <v>3732</v>
      </c>
      <c r="C472" s="200" t="str">
        <f>VLOOKUP(B472,Fincas!$A$2:$C$1005,2,0)</f>
        <v>F_El Milagro</v>
      </c>
      <c r="D472" s="201">
        <v>44720</v>
      </c>
      <c r="E472" s="267" t="str">
        <f t="shared" si="98"/>
        <v>junio</v>
      </c>
      <c r="F472" s="202">
        <v>44722</v>
      </c>
      <c r="G472" s="203">
        <v>44740</v>
      </c>
      <c r="H472" s="200">
        <v>39657</v>
      </c>
      <c r="I472" s="217">
        <v>7008151</v>
      </c>
      <c r="J472" s="217" t="str">
        <f t="shared" si="100"/>
        <v>Res novilla ceba</v>
      </c>
      <c r="K472" s="200">
        <v>428</v>
      </c>
      <c r="L472" s="550">
        <f t="shared" si="103"/>
        <v>7235.2803738317753</v>
      </c>
      <c r="M472" s="213">
        <v>3096700</v>
      </c>
      <c r="N472" s="214">
        <v>2</v>
      </c>
      <c r="O472" s="554">
        <f t="shared" si="101"/>
        <v>214</v>
      </c>
      <c r="P472" s="548">
        <f t="shared" si="99"/>
        <v>1548350</v>
      </c>
    </row>
    <row r="473" spans="1:16" ht="12.75">
      <c r="A473" s="199" t="s">
        <v>3426</v>
      </c>
      <c r="B473" s="200" t="s">
        <v>3427</v>
      </c>
      <c r="C473" s="200" t="str">
        <f>VLOOKUP(B473,Fincas!$A$2:$C$1005,2,0)</f>
        <v>A_Jordan</v>
      </c>
      <c r="D473" s="201">
        <v>44736</v>
      </c>
      <c r="E473" s="267" t="str">
        <f t="shared" si="98"/>
        <v>junio</v>
      </c>
      <c r="F473" s="202">
        <v>44737</v>
      </c>
      <c r="G473" s="203">
        <v>44740</v>
      </c>
      <c r="H473" s="200" t="s">
        <v>3876</v>
      </c>
      <c r="I473" s="224">
        <v>7008146</v>
      </c>
      <c r="J473" s="234" t="str">
        <f t="shared" si="100"/>
        <v>Res macho ceba</v>
      </c>
      <c r="K473" s="200">
        <v>19862</v>
      </c>
      <c r="L473" s="550">
        <v>9512</v>
      </c>
      <c r="M473" s="205">
        <f t="shared" ref="M473:M476" si="104">L473*K473</f>
        <v>188927344</v>
      </c>
      <c r="N473" s="214">
        <v>54</v>
      </c>
      <c r="O473" s="554">
        <f t="shared" si="101"/>
        <v>367.81481481481484</v>
      </c>
      <c r="P473" s="548">
        <f t="shared" si="99"/>
        <v>3498654.5185185187</v>
      </c>
    </row>
    <row r="474" spans="1:16" ht="12.75">
      <c r="A474" s="199" t="s">
        <v>3511</v>
      </c>
      <c r="B474" s="200" t="s">
        <v>3732</v>
      </c>
      <c r="C474" s="200" t="str">
        <f>VLOOKUP(B474,Fincas!$A$2:$C$1005,2,0)</f>
        <v>F_El Milagro</v>
      </c>
      <c r="D474" s="201">
        <v>44721</v>
      </c>
      <c r="E474" s="267" t="str">
        <f t="shared" si="98"/>
        <v>junio</v>
      </c>
      <c r="F474" s="202">
        <v>44722</v>
      </c>
      <c r="G474" s="203">
        <v>44740</v>
      </c>
      <c r="H474" s="200">
        <v>7762</v>
      </c>
      <c r="I474" s="217">
        <v>7008151</v>
      </c>
      <c r="J474" s="217" t="str">
        <f t="shared" si="100"/>
        <v>Res novilla ceba</v>
      </c>
      <c r="K474" s="200">
        <v>3119</v>
      </c>
      <c r="L474" s="550">
        <v>7550</v>
      </c>
      <c r="M474" s="205">
        <f t="shared" si="104"/>
        <v>23548450</v>
      </c>
      <c r="N474" s="214">
        <v>10</v>
      </c>
      <c r="O474" s="554">
        <f t="shared" si="101"/>
        <v>311.89999999999998</v>
      </c>
      <c r="P474" s="548">
        <f t="shared" si="99"/>
        <v>2354845</v>
      </c>
    </row>
    <row r="475" spans="1:16" ht="12.75">
      <c r="A475" s="199" t="s">
        <v>3511</v>
      </c>
      <c r="B475" s="200" t="s">
        <v>3732</v>
      </c>
      <c r="C475" s="200" t="str">
        <f>VLOOKUP(B475,Fincas!$A$2:$C$1005,2,0)</f>
        <v>F_El Milagro</v>
      </c>
      <c r="D475" s="201">
        <v>44721</v>
      </c>
      <c r="E475" s="267" t="str">
        <f t="shared" si="98"/>
        <v>junio</v>
      </c>
      <c r="F475" s="202">
        <v>44722</v>
      </c>
      <c r="G475" s="203">
        <v>44740</v>
      </c>
      <c r="H475" s="200">
        <v>7779</v>
      </c>
      <c r="I475" s="217">
        <v>7008151</v>
      </c>
      <c r="J475" s="217" t="str">
        <f t="shared" si="100"/>
        <v>Res novilla ceba</v>
      </c>
      <c r="K475" s="200">
        <v>1648</v>
      </c>
      <c r="L475" s="550">
        <v>7300</v>
      </c>
      <c r="M475" s="205">
        <f t="shared" si="104"/>
        <v>12030400</v>
      </c>
      <c r="N475" s="214">
        <v>5</v>
      </c>
      <c r="O475" s="554">
        <f t="shared" si="101"/>
        <v>329.6</v>
      </c>
      <c r="P475" s="548">
        <f t="shared" si="99"/>
        <v>2406080</v>
      </c>
    </row>
    <row r="476" spans="1:16" ht="12.75">
      <c r="A476" s="199" t="s">
        <v>3522</v>
      </c>
      <c r="B476" s="200" t="s">
        <v>3523</v>
      </c>
      <c r="C476" s="200" t="str">
        <f>VLOOKUP(B476,Fincas!$A$2:$C$1005,2,0)</f>
        <v>F_El Caldero</v>
      </c>
      <c r="D476" s="201">
        <v>44737</v>
      </c>
      <c r="E476" s="267" t="str">
        <f t="shared" si="98"/>
        <v>junio</v>
      </c>
      <c r="F476" s="202">
        <v>44738</v>
      </c>
      <c r="G476" s="203">
        <v>44740</v>
      </c>
      <c r="H476" s="200" t="s">
        <v>3877</v>
      </c>
      <c r="I476" s="224">
        <v>7008146</v>
      </c>
      <c r="J476" s="234" t="str">
        <f t="shared" si="100"/>
        <v>Res macho ceba</v>
      </c>
      <c r="K476" s="200">
        <v>36828</v>
      </c>
      <c r="L476" s="550">
        <v>9100</v>
      </c>
      <c r="M476" s="205">
        <f t="shared" si="104"/>
        <v>335134800</v>
      </c>
      <c r="N476" s="214">
        <v>106</v>
      </c>
      <c r="O476" s="554">
        <f t="shared" si="101"/>
        <v>347.43396226415092</v>
      </c>
      <c r="P476" s="548">
        <f t="shared" si="99"/>
        <v>3161649.0566037735</v>
      </c>
    </row>
    <row r="477" spans="1:16" ht="12.75">
      <c r="A477" s="199" t="s">
        <v>1419</v>
      </c>
      <c r="B477" s="200" t="s">
        <v>3636</v>
      </c>
      <c r="C477" s="200" t="str">
        <f>VLOOKUP(B477,Fincas!$A$2:$C$1005,2,0)</f>
        <v>A_Santa Ines</v>
      </c>
      <c r="D477" s="201">
        <v>44728</v>
      </c>
      <c r="E477" s="267" t="str">
        <f t="shared" si="98"/>
        <v>junio</v>
      </c>
      <c r="F477" s="202">
        <v>44730</v>
      </c>
      <c r="G477" s="203">
        <v>44740</v>
      </c>
      <c r="H477" s="200">
        <v>25527</v>
      </c>
      <c r="I477" s="224">
        <v>7008146</v>
      </c>
      <c r="J477" s="234" t="str">
        <f t="shared" si="100"/>
        <v>Res macho ceba</v>
      </c>
      <c r="K477" s="200">
        <v>5388</v>
      </c>
      <c r="L477" s="550">
        <f t="shared" ref="L477:L479" si="105">M477/K477</f>
        <v>7802.8953229398667</v>
      </c>
      <c r="M477" s="213">
        <v>42042000</v>
      </c>
      <c r="N477" s="214">
        <v>13</v>
      </c>
      <c r="O477" s="554">
        <f t="shared" si="101"/>
        <v>414.46153846153845</v>
      </c>
      <c r="P477" s="548">
        <f t="shared" si="99"/>
        <v>3234000</v>
      </c>
    </row>
    <row r="478" spans="1:16" ht="12.75">
      <c r="A478" s="199" t="s">
        <v>1419</v>
      </c>
      <c r="B478" s="200" t="s">
        <v>3636</v>
      </c>
      <c r="C478" s="200" t="str">
        <f>VLOOKUP(B478,Fincas!$A$2:$C$1005,2,0)</f>
        <v>A_Santa Ines</v>
      </c>
      <c r="D478" s="201">
        <v>44728</v>
      </c>
      <c r="E478" s="267" t="str">
        <f t="shared" si="98"/>
        <v>junio</v>
      </c>
      <c r="F478" s="202">
        <v>44730</v>
      </c>
      <c r="G478" s="203">
        <v>44740</v>
      </c>
      <c r="H478" s="200">
        <v>25528</v>
      </c>
      <c r="I478" s="224">
        <v>7008146</v>
      </c>
      <c r="J478" s="234" t="str">
        <f t="shared" si="100"/>
        <v>Res macho ceba</v>
      </c>
      <c r="K478" s="200">
        <v>3070</v>
      </c>
      <c r="L478" s="550">
        <f t="shared" si="105"/>
        <v>8153.9087947882736</v>
      </c>
      <c r="M478" s="213">
        <v>25032500</v>
      </c>
      <c r="N478" s="214">
        <v>10</v>
      </c>
      <c r="O478" s="554">
        <f t="shared" si="101"/>
        <v>307</v>
      </c>
      <c r="P478" s="548">
        <f t="shared" si="99"/>
        <v>2503250</v>
      </c>
    </row>
    <row r="479" spans="1:16" ht="12.75">
      <c r="A479" s="199" t="s">
        <v>1419</v>
      </c>
      <c r="B479" s="200" t="s">
        <v>3636</v>
      </c>
      <c r="C479" s="200" t="str">
        <f>VLOOKUP(B479,Fincas!$A$2:$C$1005,2,0)</f>
        <v>A_Santa Ines</v>
      </c>
      <c r="D479" s="201">
        <v>44728</v>
      </c>
      <c r="E479" s="267" t="str">
        <f t="shared" si="98"/>
        <v>junio</v>
      </c>
      <c r="F479" s="202">
        <v>44730</v>
      </c>
      <c r="G479" s="203">
        <v>44740</v>
      </c>
      <c r="H479" s="200">
        <v>25529</v>
      </c>
      <c r="I479" s="224">
        <v>7008146</v>
      </c>
      <c r="J479" s="234" t="str">
        <f t="shared" si="100"/>
        <v>Res macho ceba</v>
      </c>
      <c r="K479" s="200">
        <v>6642</v>
      </c>
      <c r="L479" s="550">
        <f t="shared" si="105"/>
        <v>8102.5293586269199</v>
      </c>
      <c r="M479" s="213">
        <v>53817000</v>
      </c>
      <c r="N479" s="214">
        <v>14</v>
      </c>
      <c r="O479" s="554">
        <f t="shared" si="101"/>
        <v>474.42857142857144</v>
      </c>
      <c r="P479" s="548">
        <f t="shared" si="99"/>
        <v>3844071.4285714286</v>
      </c>
    </row>
    <row r="480" spans="1:16" ht="12.75">
      <c r="A480" s="199" t="s">
        <v>3514</v>
      </c>
      <c r="B480" s="200" t="s">
        <v>3849</v>
      </c>
      <c r="C480" s="200" t="str">
        <f>VLOOKUP(B480,Fincas!$A$2:$C$1005,2,0)</f>
        <v>F_Bello Horizont</v>
      </c>
      <c r="D480" s="201">
        <v>44736</v>
      </c>
      <c r="E480" s="267" t="str">
        <f t="shared" si="98"/>
        <v>junio</v>
      </c>
      <c r="F480" s="202">
        <v>44739</v>
      </c>
      <c r="G480" s="203">
        <v>44740</v>
      </c>
      <c r="H480" s="200" t="s">
        <v>3878</v>
      </c>
      <c r="I480" s="224">
        <v>7008146</v>
      </c>
      <c r="J480" s="234" t="str">
        <f t="shared" si="100"/>
        <v>Res macho ceba</v>
      </c>
      <c r="K480" s="200">
        <v>22751</v>
      </c>
      <c r="L480" s="550">
        <v>8550</v>
      </c>
      <c r="M480" s="205">
        <f t="shared" ref="M480:M484" si="106">L480*K480</f>
        <v>194521050</v>
      </c>
      <c r="N480" s="214">
        <v>60</v>
      </c>
      <c r="O480" s="554">
        <f t="shared" si="101"/>
        <v>379.18333333333334</v>
      </c>
      <c r="P480" s="548">
        <f t="shared" si="99"/>
        <v>3242017.5</v>
      </c>
    </row>
    <row r="481" spans="1:16" ht="12.75">
      <c r="A481" s="199" t="s">
        <v>3514</v>
      </c>
      <c r="B481" s="200" t="s">
        <v>3849</v>
      </c>
      <c r="C481" s="200" t="str">
        <f>VLOOKUP(B481,Fincas!$A$2:$C$1005,2,0)</f>
        <v>F_Bello Horizont</v>
      </c>
      <c r="D481" s="201">
        <v>44736</v>
      </c>
      <c r="E481" s="267" t="str">
        <f t="shared" si="98"/>
        <v>junio</v>
      </c>
      <c r="F481" s="202">
        <v>44739</v>
      </c>
      <c r="G481" s="203">
        <v>44740</v>
      </c>
      <c r="H481" s="200" t="s">
        <v>3879</v>
      </c>
      <c r="I481" s="212">
        <v>7008147</v>
      </c>
      <c r="J481" s="212" t="str">
        <f t="shared" si="100"/>
        <v>Res macho levante</v>
      </c>
      <c r="K481" s="200">
        <v>5507</v>
      </c>
      <c r="L481" s="550">
        <v>8900</v>
      </c>
      <c r="M481" s="205">
        <f t="shared" si="106"/>
        <v>49012300</v>
      </c>
      <c r="N481" s="214">
        <v>21</v>
      </c>
      <c r="O481" s="554">
        <f t="shared" si="101"/>
        <v>262.23809523809524</v>
      </c>
      <c r="P481" s="548">
        <f t="shared" si="99"/>
        <v>2333919.0476190476</v>
      </c>
    </row>
    <row r="482" spans="1:16" ht="12.75">
      <c r="A482" s="199" t="s">
        <v>3511</v>
      </c>
      <c r="B482" s="200" t="s">
        <v>3449</v>
      </c>
      <c r="C482" s="200" t="str">
        <f>VLOOKUP(B482,Fincas!$A$2:$C$1005,2,0)</f>
        <v>F_La Estrella</v>
      </c>
      <c r="D482" s="201">
        <v>44728</v>
      </c>
      <c r="E482" s="267" t="str">
        <f t="shared" si="98"/>
        <v>junio</v>
      </c>
      <c r="F482" s="202">
        <v>44729</v>
      </c>
      <c r="G482" s="203">
        <v>44740</v>
      </c>
      <c r="H482" s="200" t="s">
        <v>3880</v>
      </c>
      <c r="I482" s="224">
        <v>7008146</v>
      </c>
      <c r="J482" s="234" t="str">
        <f t="shared" si="100"/>
        <v>Res macho ceba</v>
      </c>
      <c r="K482" s="200">
        <v>5056</v>
      </c>
      <c r="L482" s="550">
        <v>9950</v>
      </c>
      <c r="M482" s="205">
        <f t="shared" si="106"/>
        <v>50307200</v>
      </c>
      <c r="N482" s="214">
        <v>23</v>
      </c>
      <c r="O482" s="554">
        <f t="shared" si="101"/>
        <v>219.82608695652175</v>
      </c>
      <c r="P482" s="548">
        <f t="shared" si="99"/>
        <v>2187269.5652173911</v>
      </c>
    </row>
    <row r="483" spans="1:16" ht="12.75">
      <c r="A483" s="199" t="s">
        <v>3511</v>
      </c>
      <c r="B483" s="200" t="s">
        <v>3696</v>
      </c>
      <c r="C483" s="200" t="str">
        <f>VLOOKUP(B483,Fincas!$A$2:$C$1005,2,0)</f>
        <v>F_Las Delicias</v>
      </c>
      <c r="D483" s="201">
        <v>44728</v>
      </c>
      <c r="E483" s="267" t="str">
        <f t="shared" si="98"/>
        <v>junio</v>
      </c>
      <c r="F483" s="202">
        <v>44729</v>
      </c>
      <c r="G483" s="203">
        <v>44740</v>
      </c>
      <c r="H483" s="200" t="s">
        <v>3881</v>
      </c>
      <c r="I483" s="212">
        <v>7008147</v>
      </c>
      <c r="J483" s="212" t="str">
        <f t="shared" si="100"/>
        <v>Res macho levante</v>
      </c>
      <c r="K483" s="200">
        <v>2585</v>
      </c>
      <c r="L483" s="550">
        <v>8800</v>
      </c>
      <c r="M483" s="205">
        <f t="shared" si="106"/>
        <v>22748000</v>
      </c>
      <c r="N483" s="214">
        <v>12</v>
      </c>
      <c r="O483" s="554">
        <f t="shared" si="101"/>
        <v>215.41666666666666</v>
      </c>
      <c r="P483" s="548">
        <f t="shared" si="99"/>
        <v>1895666.6666666667</v>
      </c>
    </row>
    <row r="484" spans="1:16" ht="12.75">
      <c r="A484" s="199" t="s">
        <v>3451</v>
      </c>
      <c r="B484" s="200" t="s">
        <v>3801</v>
      </c>
      <c r="C484" s="200" t="str">
        <f>VLOOKUP(B484,Fincas!$A$2:$C$1005,2,0)</f>
        <v>Nicaragua</v>
      </c>
      <c r="D484" s="201">
        <v>44733</v>
      </c>
      <c r="E484" s="267" t="str">
        <f t="shared" si="98"/>
        <v>junio</v>
      </c>
      <c r="F484" s="202">
        <v>44733</v>
      </c>
      <c r="G484" s="203">
        <v>44740</v>
      </c>
      <c r="H484" s="200" t="s">
        <v>3882</v>
      </c>
      <c r="I484" s="217">
        <v>7008151</v>
      </c>
      <c r="J484" s="217" t="str">
        <f t="shared" si="100"/>
        <v>Res novilla ceba</v>
      </c>
      <c r="K484" s="200">
        <v>18623</v>
      </c>
      <c r="L484" s="550">
        <v>7750</v>
      </c>
      <c r="M484" s="205">
        <f t="shared" si="106"/>
        <v>144328250</v>
      </c>
      <c r="N484" s="214">
        <v>60</v>
      </c>
      <c r="O484" s="554">
        <f t="shared" si="101"/>
        <v>310.38333333333333</v>
      </c>
      <c r="P484" s="548">
        <f t="shared" si="99"/>
        <v>2405470.8333333335</v>
      </c>
    </row>
    <row r="485" spans="1:16" ht="12.75">
      <c r="A485" s="199" t="s">
        <v>3454</v>
      </c>
      <c r="B485" s="200" t="s">
        <v>3498</v>
      </c>
      <c r="C485" s="200" t="str">
        <f>VLOOKUP(B485,Fincas!$A$2:$C$1005,2,0)</f>
        <v>F_Jordan</v>
      </c>
      <c r="D485" s="201">
        <v>44735</v>
      </c>
      <c r="E485" s="267" t="str">
        <f t="shared" si="98"/>
        <v>junio</v>
      </c>
      <c r="F485" s="202">
        <v>44735</v>
      </c>
      <c r="G485" s="203">
        <v>44741</v>
      </c>
      <c r="H485" s="200">
        <v>239716</v>
      </c>
      <c r="I485" s="224">
        <v>7008146</v>
      </c>
      <c r="J485" s="234" t="str">
        <f t="shared" si="100"/>
        <v>Res macho ceba</v>
      </c>
      <c r="K485" s="200">
        <v>6974</v>
      </c>
      <c r="L485" s="550">
        <f t="shared" ref="L485:L491" si="107">M485/K485</f>
        <v>9094.3449956983077</v>
      </c>
      <c r="M485" s="213">
        <v>63423962</v>
      </c>
      <c r="N485" s="214">
        <v>16</v>
      </c>
      <c r="O485" s="554">
        <f t="shared" si="101"/>
        <v>435.875</v>
      </c>
      <c r="P485" s="548">
        <f t="shared" si="99"/>
        <v>3963997.625</v>
      </c>
    </row>
    <row r="486" spans="1:16" ht="12.75">
      <c r="A486" s="199" t="s">
        <v>3454</v>
      </c>
      <c r="B486" s="200" t="s">
        <v>3557</v>
      </c>
      <c r="C486" s="200" t="str">
        <f>VLOOKUP(B486,Fincas!$A$2:$C$1005,2,0)</f>
        <v>F_San Clemente</v>
      </c>
      <c r="D486" s="201">
        <v>44735</v>
      </c>
      <c r="E486" s="267" t="str">
        <f t="shared" si="98"/>
        <v>junio</v>
      </c>
      <c r="F486" s="202">
        <v>44735</v>
      </c>
      <c r="G486" s="203">
        <v>44741</v>
      </c>
      <c r="H486" s="200">
        <v>239720</v>
      </c>
      <c r="I486" s="217">
        <v>7008151</v>
      </c>
      <c r="J486" s="217" t="str">
        <f t="shared" si="100"/>
        <v>Res novilla ceba</v>
      </c>
      <c r="K486" s="200">
        <v>5600</v>
      </c>
      <c r="L486" s="550">
        <f t="shared" si="107"/>
        <v>7386.0150000000003</v>
      </c>
      <c r="M486" s="213">
        <v>41361684</v>
      </c>
      <c r="N486" s="214">
        <v>16</v>
      </c>
      <c r="O486" s="554">
        <f t="shared" si="101"/>
        <v>350</v>
      </c>
      <c r="P486" s="548">
        <f t="shared" si="99"/>
        <v>2585105.25</v>
      </c>
    </row>
    <row r="487" spans="1:16" ht="12.75">
      <c r="A487" s="199" t="s">
        <v>3454</v>
      </c>
      <c r="B487" s="200" t="s">
        <v>3557</v>
      </c>
      <c r="C487" s="200" t="str">
        <f>VLOOKUP(B487,Fincas!$A$2:$C$1005,2,0)</f>
        <v>F_San Clemente</v>
      </c>
      <c r="D487" s="201">
        <v>44735</v>
      </c>
      <c r="E487" s="267" t="str">
        <f t="shared" si="98"/>
        <v>junio</v>
      </c>
      <c r="F487" s="202">
        <v>44735</v>
      </c>
      <c r="G487" s="203">
        <v>44741</v>
      </c>
      <c r="H487" s="200">
        <v>239736</v>
      </c>
      <c r="I487" s="217">
        <v>7008151</v>
      </c>
      <c r="J487" s="217" t="str">
        <f t="shared" si="100"/>
        <v>Res novilla ceba</v>
      </c>
      <c r="K487" s="200">
        <v>4944</v>
      </c>
      <c r="L487" s="550">
        <f t="shared" si="107"/>
        <v>7185.0349919093851</v>
      </c>
      <c r="M487" s="213">
        <v>35522813</v>
      </c>
      <c r="N487" s="214">
        <v>15</v>
      </c>
      <c r="O487" s="554">
        <f t="shared" si="101"/>
        <v>329.6</v>
      </c>
      <c r="P487" s="548">
        <f t="shared" si="99"/>
        <v>2368187.5333333332</v>
      </c>
    </row>
    <row r="488" spans="1:16" ht="12.75">
      <c r="A488" s="199" t="s">
        <v>3454</v>
      </c>
      <c r="B488" s="200" t="s">
        <v>3557</v>
      </c>
      <c r="C488" s="200" t="str">
        <f>VLOOKUP(B488,Fincas!$A$2:$C$1005,2,0)</f>
        <v>F_San Clemente</v>
      </c>
      <c r="D488" s="201">
        <v>44735</v>
      </c>
      <c r="E488" s="267" t="str">
        <f t="shared" si="98"/>
        <v>junio</v>
      </c>
      <c r="F488" s="202">
        <v>44735</v>
      </c>
      <c r="G488" s="203">
        <v>44741</v>
      </c>
      <c r="H488" s="200">
        <v>239767</v>
      </c>
      <c r="I488" s="217">
        <v>7008151</v>
      </c>
      <c r="J488" s="217" t="str">
        <f t="shared" si="100"/>
        <v>Res novilla ceba</v>
      </c>
      <c r="K488" s="200">
        <v>5808</v>
      </c>
      <c r="L488" s="550">
        <f t="shared" si="107"/>
        <v>7134.7899449035813</v>
      </c>
      <c r="M488" s="213">
        <v>41438860</v>
      </c>
      <c r="N488" s="214">
        <v>22</v>
      </c>
      <c r="O488" s="554">
        <f t="shared" si="101"/>
        <v>264</v>
      </c>
      <c r="P488" s="548">
        <f t="shared" si="99"/>
        <v>1883584.5454545454</v>
      </c>
    </row>
    <row r="489" spans="1:16" ht="12.75">
      <c r="A489" s="199" t="s">
        <v>3454</v>
      </c>
      <c r="B489" s="200" t="s">
        <v>3557</v>
      </c>
      <c r="C489" s="200" t="str">
        <f>VLOOKUP(B489,Fincas!$A$2:$C$1005,2,0)</f>
        <v>F_San Clemente</v>
      </c>
      <c r="D489" s="201">
        <v>44735</v>
      </c>
      <c r="E489" s="267" t="str">
        <f t="shared" si="98"/>
        <v>junio</v>
      </c>
      <c r="F489" s="202">
        <v>44735</v>
      </c>
      <c r="G489" s="203">
        <v>44741</v>
      </c>
      <c r="H489" s="200">
        <v>239769</v>
      </c>
      <c r="I489" s="217">
        <v>7008151</v>
      </c>
      <c r="J489" s="217" t="str">
        <f t="shared" si="100"/>
        <v>Res novilla ceba</v>
      </c>
      <c r="K489" s="200">
        <v>5710</v>
      </c>
      <c r="L489" s="550">
        <f t="shared" si="107"/>
        <v>7185.035026269702</v>
      </c>
      <c r="M489" s="213">
        <v>41026550</v>
      </c>
      <c r="N489" s="214">
        <v>19</v>
      </c>
      <c r="O489" s="554">
        <f t="shared" si="101"/>
        <v>300.5263157894737</v>
      </c>
      <c r="P489" s="548">
        <f t="shared" si="99"/>
        <v>2159292.1052631577</v>
      </c>
    </row>
    <row r="490" spans="1:16" ht="12.75">
      <c r="A490" s="199" t="s">
        <v>3454</v>
      </c>
      <c r="B490" s="200" t="s">
        <v>3772</v>
      </c>
      <c r="C490" s="200" t="str">
        <f>VLOOKUP(B490,Fincas!$A$2:$C$1005,2,0)</f>
        <v>F_Salonica</v>
      </c>
      <c r="D490" s="201">
        <v>44735</v>
      </c>
      <c r="E490" s="267" t="str">
        <f t="shared" si="98"/>
        <v>junio</v>
      </c>
      <c r="F490" s="202">
        <v>44736</v>
      </c>
      <c r="G490" s="203">
        <v>44741</v>
      </c>
      <c r="H490" s="200">
        <v>239743</v>
      </c>
      <c r="I490" s="212">
        <v>7008147</v>
      </c>
      <c r="J490" s="212" t="str">
        <f t="shared" si="100"/>
        <v>Res macho levante</v>
      </c>
      <c r="K490" s="200">
        <v>5796</v>
      </c>
      <c r="L490" s="550">
        <f t="shared" si="107"/>
        <v>9446.0600414078672</v>
      </c>
      <c r="M490" s="213">
        <v>54749364</v>
      </c>
      <c r="N490" s="214">
        <v>20</v>
      </c>
      <c r="O490" s="554">
        <f t="shared" si="101"/>
        <v>289.8</v>
      </c>
      <c r="P490" s="548">
        <f t="shared" si="99"/>
        <v>2737468.2</v>
      </c>
    </row>
    <row r="491" spans="1:16" ht="12.75">
      <c r="A491" s="199" t="s">
        <v>3454</v>
      </c>
      <c r="B491" s="200" t="s">
        <v>3772</v>
      </c>
      <c r="C491" s="200" t="str">
        <f>VLOOKUP(B491,Fincas!$A$2:$C$1005,2,0)</f>
        <v>F_Salonica</v>
      </c>
      <c r="D491" s="201">
        <v>44735</v>
      </c>
      <c r="E491" s="267" t="str">
        <f t="shared" si="98"/>
        <v>junio</v>
      </c>
      <c r="F491" s="202">
        <v>44736</v>
      </c>
      <c r="G491" s="203">
        <v>44741</v>
      </c>
      <c r="H491" s="200">
        <v>239753</v>
      </c>
      <c r="I491" s="212">
        <v>7008147</v>
      </c>
      <c r="J491" s="212" t="str">
        <f t="shared" si="100"/>
        <v>Res macho levante</v>
      </c>
      <c r="K491" s="200">
        <v>5808</v>
      </c>
      <c r="L491" s="550">
        <f t="shared" si="107"/>
        <v>9496.304924242424</v>
      </c>
      <c r="M491" s="213">
        <v>55154539</v>
      </c>
      <c r="N491" s="214">
        <v>20</v>
      </c>
      <c r="O491" s="554">
        <f t="shared" si="101"/>
        <v>290.39999999999998</v>
      </c>
      <c r="P491" s="548">
        <f t="shared" si="99"/>
        <v>2757726.95</v>
      </c>
    </row>
    <row r="492" spans="1:16" ht="12.75">
      <c r="A492" s="199" t="s">
        <v>3511</v>
      </c>
      <c r="B492" s="200" t="s">
        <v>3798</v>
      </c>
      <c r="C492" s="200" t="str">
        <f>VLOOKUP(B492,Fincas!$A$2:$C$1005,2,0)</f>
        <v>La Fortuna</v>
      </c>
      <c r="D492" s="201">
        <v>44728</v>
      </c>
      <c r="E492" s="267" t="str">
        <f t="shared" si="98"/>
        <v>junio</v>
      </c>
      <c r="F492" s="202">
        <v>44729</v>
      </c>
      <c r="G492" s="203">
        <v>44741</v>
      </c>
      <c r="H492" s="200">
        <v>7860</v>
      </c>
      <c r="I492" s="224">
        <v>7008146</v>
      </c>
      <c r="J492" s="234" t="str">
        <f t="shared" si="100"/>
        <v>Res macho ceba</v>
      </c>
      <c r="K492" s="200">
        <v>1207</v>
      </c>
      <c r="L492" s="550">
        <v>9100</v>
      </c>
      <c r="M492" s="205">
        <f t="shared" ref="M492:M505" si="108">L492*K492</f>
        <v>10983700</v>
      </c>
      <c r="N492" s="214">
        <v>5</v>
      </c>
      <c r="O492" s="554">
        <f t="shared" si="101"/>
        <v>241.4</v>
      </c>
      <c r="P492" s="548">
        <f t="shared" si="99"/>
        <v>2196740</v>
      </c>
    </row>
    <row r="493" spans="1:16" ht="12.75">
      <c r="A493" s="199" t="s">
        <v>3511</v>
      </c>
      <c r="B493" s="200" t="s">
        <v>3798</v>
      </c>
      <c r="C493" s="200" t="str">
        <f>VLOOKUP(B493,Fincas!$A$2:$C$1005,2,0)</f>
        <v>La Fortuna</v>
      </c>
      <c r="D493" s="201">
        <v>44728</v>
      </c>
      <c r="E493" s="267" t="str">
        <f t="shared" si="98"/>
        <v>junio</v>
      </c>
      <c r="F493" s="202">
        <v>44729</v>
      </c>
      <c r="G493" s="203">
        <v>44741</v>
      </c>
      <c r="H493" s="200">
        <v>7874</v>
      </c>
      <c r="I493" s="224">
        <v>7008146</v>
      </c>
      <c r="J493" s="234" t="str">
        <f t="shared" si="100"/>
        <v>Res macho ceba</v>
      </c>
      <c r="K493" s="200">
        <v>4235</v>
      </c>
      <c r="L493" s="550">
        <v>9010</v>
      </c>
      <c r="M493" s="205">
        <f t="shared" si="108"/>
        <v>38157350</v>
      </c>
      <c r="N493" s="214">
        <v>15</v>
      </c>
      <c r="O493" s="554">
        <f t="shared" si="101"/>
        <v>282.33333333333331</v>
      </c>
      <c r="P493" s="548">
        <f t="shared" si="99"/>
        <v>2543823.3333333335</v>
      </c>
    </row>
    <row r="494" spans="1:16" ht="12.75">
      <c r="A494" s="199" t="s">
        <v>3511</v>
      </c>
      <c r="B494" s="200" t="s">
        <v>3798</v>
      </c>
      <c r="C494" s="200" t="str">
        <f>VLOOKUP(B494,Fincas!$A$2:$C$1005,2,0)</f>
        <v>La Fortuna</v>
      </c>
      <c r="D494" s="201">
        <v>44728</v>
      </c>
      <c r="E494" s="267" t="str">
        <f t="shared" si="98"/>
        <v>junio</v>
      </c>
      <c r="F494" s="202">
        <v>44729</v>
      </c>
      <c r="G494" s="203">
        <v>44741</v>
      </c>
      <c r="H494" s="200">
        <v>7878</v>
      </c>
      <c r="I494" s="224">
        <v>7008146</v>
      </c>
      <c r="J494" s="234" t="str">
        <f t="shared" si="100"/>
        <v>Res macho ceba</v>
      </c>
      <c r="K494" s="200">
        <v>4847</v>
      </c>
      <c r="L494" s="550">
        <v>9350</v>
      </c>
      <c r="M494" s="205">
        <f t="shared" si="108"/>
        <v>45319450</v>
      </c>
      <c r="N494" s="214">
        <v>21</v>
      </c>
      <c r="O494" s="554">
        <f t="shared" si="101"/>
        <v>230.8095238095238</v>
      </c>
      <c r="P494" s="548">
        <f t="shared" si="99"/>
        <v>2158069.0476190476</v>
      </c>
    </row>
    <row r="495" spans="1:16" ht="12.75">
      <c r="A495" s="199" t="s">
        <v>3511</v>
      </c>
      <c r="B495" s="200" t="s">
        <v>3826</v>
      </c>
      <c r="C495" s="200" t="str">
        <f>VLOOKUP(B495,Fincas!$A$2:$C$1005,2,0)</f>
        <v>F_Venecia</v>
      </c>
      <c r="D495" s="201">
        <v>44729</v>
      </c>
      <c r="E495" s="267" t="str">
        <f t="shared" si="98"/>
        <v>junio</v>
      </c>
      <c r="F495" s="202">
        <v>44729</v>
      </c>
      <c r="G495" s="203">
        <v>44741</v>
      </c>
      <c r="H495" s="200" t="s">
        <v>3883</v>
      </c>
      <c r="I495" s="224">
        <v>7008146</v>
      </c>
      <c r="J495" s="234" t="str">
        <f t="shared" si="100"/>
        <v>Res macho ceba</v>
      </c>
      <c r="K495" s="200">
        <v>4960</v>
      </c>
      <c r="L495" s="550">
        <v>8920</v>
      </c>
      <c r="M495" s="205">
        <f t="shared" si="108"/>
        <v>44243200</v>
      </c>
      <c r="N495" s="214">
        <v>16</v>
      </c>
      <c r="O495" s="554">
        <f t="shared" si="101"/>
        <v>310</v>
      </c>
      <c r="P495" s="548">
        <f t="shared" si="99"/>
        <v>2765200</v>
      </c>
    </row>
    <row r="496" spans="1:16" ht="12.75">
      <c r="A496" s="199" t="s">
        <v>3511</v>
      </c>
      <c r="B496" s="200" t="s">
        <v>3825</v>
      </c>
      <c r="C496" s="200" t="str">
        <f>VLOOKUP(B496,Fincas!$A$2:$C$1005,2,0)</f>
        <v>F_Tulcan</v>
      </c>
      <c r="D496" s="201">
        <v>44735</v>
      </c>
      <c r="E496" s="267" t="str">
        <f t="shared" si="98"/>
        <v>junio</v>
      </c>
      <c r="F496" s="202">
        <v>44735</v>
      </c>
      <c r="G496" s="203">
        <v>44742</v>
      </c>
      <c r="H496" s="200" t="s">
        <v>3884</v>
      </c>
      <c r="I496" s="224">
        <v>7008146</v>
      </c>
      <c r="J496" s="234" t="str">
        <f t="shared" si="100"/>
        <v>Res macho ceba</v>
      </c>
      <c r="K496" s="200">
        <v>11313</v>
      </c>
      <c r="L496" s="550">
        <v>8994</v>
      </c>
      <c r="M496" s="205">
        <f t="shared" si="108"/>
        <v>101749122</v>
      </c>
      <c r="N496" s="214">
        <v>40</v>
      </c>
      <c r="O496" s="554">
        <f t="shared" si="101"/>
        <v>282.82499999999999</v>
      </c>
      <c r="P496" s="548">
        <f t="shared" si="99"/>
        <v>2543728.0499999998</v>
      </c>
    </row>
    <row r="497" spans="1:16" ht="12.75">
      <c r="A497" s="199" t="s">
        <v>501</v>
      </c>
      <c r="B497" s="200" t="s">
        <v>3786</v>
      </c>
      <c r="C497" s="200" t="str">
        <f>VLOOKUP(B497,Fincas!$A$2:$C$1005,2,0)</f>
        <v>F_El Tambo</v>
      </c>
      <c r="D497" s="201">
        <v>44736</v>
      </c>
      <c r="E497" s="267" t="str">
        <f t="shared" si="98"/>
        <v>junio</v>
      </c>
      <c r="F497" s="202">
        <v>44736</v>
      </c>
      <c r="G497" s="203">
        <v>44742</v>
      </c>
      <c r="H497" s="200" t="s">
        <v>3885</v>
      </c>
      <c r="I497" s="224">
        <v>7008146</v>
      </c>
      <c r="J497" s="234" t="str">
        <f t="shared" si="100"/>
        <v>Res macho ceba</v>
      </c>
      <c r="K497" s="200">
        <v>42616</v>
      </c>
      <c r="L497" s="550">
        <v>8600</v>
      </c>
      <c r="M497" s="205">
        <f t="shared" si="108"/>
        <v>366497600</v>
      </c>
      <c r="N497" s="206">
        <v>119</v>
      </c>
      <c r="O497" s="554">
        <f t="shared" si="101"/>
        <v>358.11764705882354</v>
      </c>
      <c r="P497" s="548">
        <f t="shared" si="99"/>
        <v>3079811.7647058824</v>
      </c>
    </row>
    <row r="498" spans="1:16" ht="12.75">
      <c r="A498" s="199" t="s">
        <v>266</v>
      </c>
      <c r="B498" s="200" t="s">
        <v>3728</v>
      </c>
      <c r="C498" s="200" t="str">
        <f>VLOOKUP(B498,Fincas!$A$2:$C$1005,2,0)</f>
        <v>F_Gualanday</v>
      </c>
      <c r="D498" s="201">
        <v>44727</v>
      </c>
      <c r="E498" s="267" t="str">
        <f t="shared" si="98"/>
        <v>junio</v>
      </c>
      <c r="F498" s="202">
        <v>44737</v>
      </c>
      <c r="G498" s="203">
        <v>44742</v>
      </c>
      <c r="H498" s="200" t="s">
        <v>3886</v>
      </c>
      <c r="I498" s="224">
        <v>7008146</v>
      </c>
      <c r="J498" s="234" t="str">
        <f t="shared" si="100"/>
        <v>Res macho ceba</v>
      </c>
      <c r="K498" s="200">
        <v>30605</v>
      </c>
      <c r="L498" s="550">
        <v>9000</v>
      </c>
      <c r="M498" s="205">
        <f t="shared" si="108"/>
        <v>275445000</v>
      </c>
      <c r="N498" s="214">
        <v>90</v>
      </c>
      <c r="O498" s="554">
        <f t="shared" si="101"/>
        <v>340.05555555555554</v>
      </c>
      <c r="P498" s="548">
        <f t="shared" si="99"/>
        <v>3060500</v>
      </c>
    </row>
    <row r="499" spans="1:16" ht="12.75">
      <c r="A499" s="199" t="s">
        <v>3514</v>
      </c>
      <c r="B499" s="200" t="s">
        <v>3849</v>
      </c>
      <c r="C499" s="200" t="str">
        <f>VLOOKUP(B499,Fincas!$A$2:$C$1005,2,0)</f>
        <v>F_Bello Horizont</v>
      </c>
      <c r="D499" s="201">
        <v>44739</v>
      </c>
      <c r="E499" s="267" t="str">
        <f t="shared" si="98"/>
        <v>junio</v>
      </c>
      <c r="F499" s="202">
        <v>44741</v>
      </c>
      <c r="G499" s="203">
        <v>44742</v>
      </c>
      <c r="H499" s="200" t="s">
        <v>3887</v>
      </c>
      <c r="I499" s="224">
        <v>7008146</v>
      </c>
      <c r="J499" s="234" t="str">
        <f t="shared" si="100"/>
        <v>Res macho ceba</v>
      </c>
      <c r="K499" s="200">
        <v>13521</v>
      </c>
      <c r="L499" s="550">
        <v>8550</v>
      </c>
      <c r="M499" s="205">
        <f t="shared" si="108"/>
        <v>115604550</v>
      </c>
      <c r="N499" s="214">
        <v>36</v>
      </c>
      <c r="O499" s="554">
        <f t="shared" si="101"/>
        <v>375.58333333333331</v>
      </c>
      <c r="P499" s="548">
        <f t="shared" si="99"/>
        <v>3211237.5</v>
      </c>
    </row>
    <row r="500" spans="1:16" ht="12.75">
      <c r="A500" s="199" t="s">
        <v>3511</v>
      </c>
      <c r="B500" s="200" t="s">
        <v>3489</v>
      </c>
      <c r="C500" s="200" t="str">
        <f>VLOOKUP(B500,Fincas!$A$2:$C$1005,2,0)</f>
        <v>F_La Pradilla</v>
      </c>
      <c r="D500" s="201">
        <v>44735</v>
      </c>
      <c r="E500" s="267" t="str">
        <f t="shared" si="98"/>
        <v>junio</v>
      </c>
      <c r="F500" s="202">
        <v>44735</v>
      </c>
      <c r="G500" s="203">
        <v>44742</v>
      </c>
      <c r="H500" s="200" t="s">
        <v>3888</v>
      </c>
      <c r="I500" s="224">
        <v>7008146</v>
      </c>
      <c r="J500" s="234" t="str">
        <f t="shared" si="100"/>
        <v>Res macho ceba</v>
      </c>
      <c r="K500" s="200">
        <v>13433</v>
      </c>
      <c r="L500" s="550">
        <v>8712</v>
      </c>
      <c r="M500" s="205">
        <f t="shared" si="108"/>
        <v>117028296</v>
      </c>
      <c r="N500" s="214">
        <v>36</v>
      </c>
      <c r="O500" s="554">
        <f t="shared" si="101"/>
        <v>373.13888888888891</v>
      </c>
      <c r="P500" s="548">
        <f t="shared" si="99"/>
        <v>3250786</v>
      </c>
    </row>
    <row r="501" spans="1:16" ht="12.75">
      <c r="A501" s="199" t="s">
        <v>266</v>
      </c>
      <c r="B501" s="200" t="s">
        <v>3754</v>
      </c>
      <c r="C501" s="200" t="str">
        <f>VLOOKUP(B501,Fincas!$A$2:$C$1005,2,0)</f>
        <v>Alm. FeedLot</v>
      </c>
      <c r="D501" s="201">
        <v>44736</v>
      </c>
      <c r="E501" s="267" t="str">
        <f t="shared" si="98"/>
        <v>junio</v>
      </c>
      <c r="F501" s="202">
        <v>44736</v>
      </c>
      <c r="G501" s="203">
        <v>44742</v>
      </c>
      <c r="H501" s="200" t="s">
        <v>3889</v>
      </c>
      <c r="I501" s="224">
        <v>7008146</v>
      </c>
      <c r="J501" s="234" t="str">
        <f t="shared" si="100"/>
        <v>Res macho ceba</v>
      </c>
      <c r="K501" s="200">
        <v>10194</v>
      </c>
      <c r="L501" s="550">
        <v>9000</v>
      </c>
      <c r="M501" s="205">
        <f t="shared" si="108"/>
        <v>91746000</v>
      </c>
      <c r="N501" s="214">
        <v>30</v>
      </c>
      <c r="O501" s="554">
        <f t="shared" si="101"/>
        <v>339.8</v>
      </c>
      <c r="P501" s="548">
        <f t="shared" si="99"/>
        <v>3058200</v>
      </c>
    </row>
    <row r="502" spans="1:16" ht="12.75">
      <c r="A502" s="199" t="s">
        <v>3511</v>
      </c>
      <c r="B502" s="200" t="s">
        <v>3841</v>
      </c>
      <c r="C502" s="200" t="str">
        <f>VLOOKUP(B502,Fincas!$A$2:$C$1005,2,0)</f>
        <v>La Tranquilidad</v>
      </c>
      <c r="D502" s="201">
        <v>44735</v>
      </c>
      <c r="E502" s="267" t="str">
        <f t="shared" si="98"/>
        <v>junio</v>
      </c>
      <c r="F502" s="202">
        <v>44736</v>
      </c>
      <c r="G502" s="203">
        <v>44742</v>
      </c>
      <c r="H502" s="200" t="s">
        <v>3890</v>
      </c>
      <c r="I502" s="212">
        <v>7008147</v>
      </c>
      <c r="J502" s="212" t="str">
        <f t="shared" si="100"/>
        <v>Res macho levante</v>
      </c>
      <c r="K502" s="200">
        <v>5470</v>
      </c>
      <c r="L502" s="550">
        <v>9349</v>
      </c>
      <c r="M502" s="205">
        <f t="shared" si="108"/>
        <v>51139030</v>
      </c>
      <c r="N502" s="214">
        <v>24</v>
      </c>
      <c r="O502" s="554">
        <f t="shared" si="101"/>
        <v>227.91666666666666</v>
      </c>
      <c r="P502" s="548">
        <f t="shared" si="99"/>
        <v>2130792.9166666665</v>
      </c>
    </row>
    <row r="503" spans="1:16" ht="12.75">
      <c r="A503" s="199" t="s">
        <v>3511</v>
      </c>
      <c r="B503" s="200" t="s">
        <v>3841</v>
      </c>
      <c r="C503" s="200" t="str">
        <f>VLOOKUP(B503,Fincas!$A$2:$C$1005,2,0)</f>
        <v>La Tranquilidad</v>
      </c>
      <c r="D503" s="201">
        <v>44735</v>
      </c>
      <c r="E503" s="267" t="str">
        <f t="shared" si="98"/>
        <v>junio</v>
      </c>
      <c r="F503" s="202">
        <v>44736</v>
      </c>
      <c r="G503" s="203">
        <v>44742</v>
      </c>
      <c r="H503" s="200" t="s">
        <v>3891</v>
      </c>
      <c r="I503" s="212">
        <v>7008147</v>
      </c>
      <c r="J503" s="212" t="str">
        <f t="shared" si="100"/>
        <v>Res macho levante</v>
      </c>
      <c r="K503" s="200">
        <v>5825</v>
      </c>
      <c r="L503" s="550">
        <v>9050</v>
      </c>
      <c r="M503" s="205">
        <f t="shared" si="108"/>
        <v>52716250</v>
      </c>
      <c r="N503" s="214">
        <v>22</v>
      </c>
      <c r="O503" s="554">
        <f t="shared" si="101"/>
        <v>264.77272727272725</v>
      </c>
      <c r="P503" s="548">
        <f t="shared" si="99"/>
        <v>2396193.1818181816</v>
      </c>
    </row>
    <row r="504" spans="1:16" ht="12.75">
      <c r="A504" s="199" t="s">
        <v>3892</v>
      </c>
      <c r="B504" s="200" t="s">
        <v>3464</v>
      </c>
      <c r="C504" s="200" t="str">
        <f>VLOOKUP(B504,Fincas!$A$2:$C$1005,2,0)</f>
        <v>F_Texas Araujo</v>
      </c>
      <c r="D504" s="201">
        <v>44740</v>
      </c>
      <c r="E504" s="267" t="str">
        <f t="shared" si="98"/>
        <v>junio</v>
      </c>
      <c r="F504" s="202">
        <v>44740</v>
      </c>
      <c r="G504" s="203">
        <v>44742</v>
      </c>
      <c r="H504" s="200" t="s">
        <v>3893</v>
      </c>
      <c r="I504" s="224">
        <v>7008146</v>
      </c>
      <c r="J504" s="234" t="str">
        <f t="shared" si="100"/>
        <v>Res macho ceba</v>
      </c>
      <c r="K504" s="200">
        <v>13351</v>
      </c>
      <c r="L504" s="550">
        <v>9100</v>
      </c>
      <c r="M504" s="205">
        <f t="shared" si="108"/>
        <v>121494100</v>
      </c>
      <c r="N504" s="214">
        <v>44</v>
      </c>
      <c r="O504" s="554">
        <f t="shared" si="101"/>
        <v>303.43181818181819</v>
      </c>
      <c r="P504" s="548">
        <f t="shared" si="99"/>
        <v>2761229.5454545454</v>
      </c>
    </row>
    <row r="505" spans="1:16" ht="12.75">
      <c r="A505" s="199" t="s">
        <v>3463</v>
      </c>
      <c r="B505" s="200" t="s">
        <v>3894</v>
      </c>
      <c r="C505" s="200" t="str">
        <f>VLOOKUP(B505,Fincas!$A$2:$C$1005,2,0)</f>
        <v>F_Patio Bonito</v>
      </c>
      <c r="D505" s="201">
        <v>44743</v>
      </c>
      <c r="E505" s="267" t="str">
        <f t="shared" si="98"/>
        <v>julio</v>
      </c>
      <c r="F505" s="202">
        <v>44743</v>
      </c>
      <c r="G505" s="203">
        <v>44743</v>
      </c>
      <c r="H505" s="200" t="s">
        <v>3895</v>
      </c>
      <c r="I505" s="224">
        <v>7008146</v>
      </c>
      <c r="J505" s="234" t="str">
        <f t="shared" si="100"/>
        <v>Res macho ceba</v>
      </c>
      <c r="K505" s="200">
        <v>16595</v>
      </c>
      <c r="L505" s="550">
        <v>9650</v>
      </c>
      <c r="M505" s="205">
        <f t="shared" si="108"/>
        <v>160141750</v>
      </c>
      <c r="N505" s="214">
        <v>51</v>
      </c>
      <c r="O505" s="554">
        <f t="shared" si="101"/>
        <v>325.39215686274508</v>
      </c>
      <c r="P505" s="548">
        <f t="shared" si="99"/>
        <v>3140034.3137254901</v>
      </c>
    </row>
    <row r="506" spans="1:16" ht="12.75">
      <c r="A506" s="242" t="s">
        <v>3454</v>
      </c>
      <c r="B506" s="200" t="s">
        <v>3798</v>
      </c>
      <c r="C506" s="200" t="str">
        <f>VLOOKUP(B506,Fincas!$A$2:$C$1005,2,0)</f>
        <v>La Fortuna</v>
      </c>
      <c r="D506" s="201">
        <v>44725</v>
      </c>
      <c r="E506" s="267" t="str">
        <f t="shared" si="98"/>
        <v>junio</v>
      </c>
      <c r="F506" s="202">
        <v>44725</v>
      </c>
      <c r="G506" s="203">
        <v>44743</v>
      </c>
      <c r="H506" s="200">
        <v>8042</v>
      </c>
      <c r="I506" s="224">
        <v>7008146</v>
      </c>
      <c r="J506" s="234" t="str">
        <f t="shared" si="100"/>
        <v>Res macho ceba</v>
      </c>
      <c r="K506" s="200">
        <v>4897</v>
      </c>
      <c r="L506" s="550">
        <v>9848</v>
      </c>
      <c r="M506" s="213">
        <v>48225754</v>
      </c>
      <c r="N506" s="214">
        <v>20</v>
      </c>
      <c r="O506" s="554">
        <f t="shared" si="101"/>
        <v>244.85</v>
      </c>
      <c r="P506" s="548">
        <f t="shared" si="99"/>
        <v>2411287.7000000002</v>
      </c>
    </row>
    <row r="507" spans="1:16" ht="12.75">
      <c r="A507" s="199" t="s">
        <v>3896</v>
      </c>
      <c r="B507" s="200" t="s">
        <v>3897</v>
      </c>
      <c r="C507" s="200" t="str">
        <f>VLOOKUP(B507,Fincas!$A$2:$C$1005,2,0)</f>
        <v>F_Tripoli</v>
      </c>
      <c r="D507" s="201">
        <v>44742</v>
      </c>
      <c r="E507" s="267" t="str">
        <f t="shared" si="98"/>
        <v>junio</v>
      </c>
      <c r="F507" s="202">
        <v>44742</v>
      </c>
      <c r="G507" s="203">
        <v>44747</v>
      </c>
      <c r="H507" s="239" t="s">
        <v>2094</v>
      </c>
      <c r="I507" s="212">
        <v>7008147</v>
      </c>
      <c r="J507" s="212" t="str">
        <f t="shared" si="100"/>
        <v>Res macho levante</v>
      </c>
      <c r="K507" s="200">
        <v>7639</v>
      </c>
      <c r="L507" s="550">
        <v>9500</v>
      </c>
      <c r="M507" s="205">
        <f t="shared" ref="M507:M511" si="109">L507*K507</f>
        <v>72570500</v>
      </c>
      <c r="N507" s="214">
        <v>29</v>
      </c>
      <c r="O507" s="554">
        <f t="shared" si="101"/>
        <v>263.41379310344826</v>
      </c>
      <c r="P507" s="548">
        <f t="shared" si="99"/>
        <v>2502431.0344827585</v>
      </c>
    </row>
    <row r="508" spans="1:16" ht="12.75">
      <c r="A508" s="199" t="s">
        <v>3898</v>
      </c>
      <c r="B508" s="200" t="s">
        <v>3623</v>
      </c>
      <c r="C508" s="200" t="str">
        <f>VLOOKUP(B508,Fincas!$A$2:$C$1005,2,0)</f>
        <v>F_Vista Hermosa</v>
      </c>
      <c r="D508" s="201">
        <v>44741</v>
      </c>
      <c r="E508" s="267" t="str">
        <f t="shared" si="98"/>
        <v>junio</v>
      </c>
      <c r="F508" s="202">
        <v>44740</v>
      </c>
      <c r="G508" s="203">
        <v>44747</v>
      </c>
      <c r="H508" s="200" t="s">
        <v>3899</v>
      </c>
      <c r="I508" s="212">
        <v>7008147</v>
      </c>
      <c r="J508" s="212" t="str">
        <f t="shared" si="100"/>
        <v>Res macho levante</v>
      </c>
      <c r="K508" s="200">
        <v>20093</v>
      </c>
      <c r="L508" s="550">
        <v>9000</v>
      </c>
      <c r="M508" s="205">
        <f t="shared" si="109"/>
        <v>180837000</v>
      </c>
      <c r="N508" s="214">
        <v>70</v>
      </c>
      <c r="O508" s="554">
        <f t="shared" si="101"/>
        <v>287.04285714285714</v>
      </c>
      <c r="P508" s="548">
        <f t="shared" si="99"/>
        <v>2583385.7142857141</v>
      </c>
    </row>
    <row r="509" spans="1:16" ht="12.75">
      <c r="A509" s="199" t="s">
        <v>3479</v>
      </c>
      <c r="B509" s="200" t="s">
        <v>3480</v>
      </c>
      <c r="C509" s="200" t="str">
        <f>VLOOKUP(B509,Fincas!$A$2:$C$1005,2,0)</f>
        <v>F_Chenevo</v>
      </c>
      <c r="D509" s="201">
        <v>44747</v>
      </c>
      <c r="E509" s="267" t="str">
        <f t="shared" si="98"/>
        <v>julio</v>
      </c>
      <c r="F509" s="202">
        <v>44744</v>
      </c>
      <c r="G509" s="203">
        <v>44748</v>
      </c>
      <c r="H509" s="200" t="s">
        <v>3900</v>
      </c>
      <c r="I509" s="224">
        <v>7008146</v>
      </c>
      <c r="J509" s="234" t="str">
        <f t="shared" si="100"/>
        <v>Res macho ceba</v>
      </c>
      <c r="K509" s="200">
        <v>38865</v>
      </c>
      <c r="L509" s="550">
        <v>8800</v>
      </c>
      <c r="M509" s="205">
        <f t="shared" si="109"/>
        <v>342012000</v>
      </c>
      <c r="N509" s="214">
        <v>123</v>
      </c>
      <c r="O509" s="554">
        <f t="shared" si="101"/>
        <v>315.97560975609758</v>
      </c>
      <c r="P509" s="548">
        <f t="shared" si="99"/>
        <v>2780585.3658536584</v>
      </c>
    </row>
    <row r="510" spans="1:16" ht="12.75">
      <c r="A510" s="199" t="s">
        <v>3479</v>
      </c>
      <c r="B510" s="200" t="s">
        <v>3480</v>
      </c>
      <c r="C510" s="200" t="str">
        <f>VLOOKUP(B510,Fincas!$A$2:$C$1005,2,0)</f>
        <v>F_Chenevo</v>
      </c>
      <c r="D510" s="201">
        <v>44747</v>
      </c>
      <c r="E510" s="267" t="str">
        <f t="shared" si="98"/>
        <v>julio</v>
      </c>
      <c r="F510" s="202">
        <v>44744</v>
      </c>
      <c r="G510" s="203">
        <v>44748</v>
      </c>
      <c r="H510" s="200" t="s">
        <v>3901</v>
      </c>
      <c r="I510" s="224">
        <v>7008146</v>
      </c>
      <c r="J510" s="234" t="str">
        <f t="shared" si="100"/>
        <v>Res macho ceba</v>
      </c>
      <c r="K510" s="200">
        <v>56706</v>
      </c>
      <c r="L510" s="550">
        <v>8400</v>
      </c>
      <c r="M510" s="205">
        <f t="shared" si="109"/>
        <v>476330400</v>
      </c>
      <c r="N510" s="214">
        <v>139</v>
      </c>
      <c r="O510" s="554">
        <f t="shared" si="101"/>
        <v>407.9568345323741</v>
      </c>
      <c r="P510" s="548">
        <f t="shared" si="99"/>
        <v>3426837.4100719425</v>
      </c>
    </row>
    <row r="511" spans="1:16" ht="12.75">
      <c r="A511" s="199" t="s">
        <v>3448</v>
      </c>
      <c r="B511" s="200" t="s">
        <v>3449</v>
      </c>
      <c r="C511" s="200" t="str">
        <f>VLOOKUP(B511,Fincas!$A$2:$C$1005,2,0)</f>
        <v>F_La Estrella</v>
      </c>
      <c r="D511" s="201">
        <v>44735</v>
      </c>
      <c r="E511" s="267" t="str">
        <f t="shared" si="98"/>
        <v>junio</v>
      </c>
      <c r="F511" s="202">
        <v>44734</v>
      </c>
      <c r="G511" s="203">
        <v>44748</v>
      </c>
      <c r="H511" s="200" t="s">
        <v>3902</v>
      </c>
      <c r="I511" s="224">
        <v>7008146</v>
      </c>
      <c r="J511" s="234" t="str">
        <f t="shared" si="100"/>
        <v>Res macho ceba</v>
      </c>
      <c r="K511" s="200">
        <v>31418</v>
      </c>
      <c r="L511" s="550">
        <v>8900</v>
      </c>
      <c r="M511" s="205">
        <f t="shared" si="109"/>
        <v>279620200</v>
      </c>
      <c r="N511" s="214">
        <v>90</v>
      </c>
      <c r="O511" s="554">
        <f t="shared" si="101"/>
        <v>349.0888888888889</v>
      </c>
      <c r="P511" s="548">
        <f t="shared" si="99"/>
        <v>3106891.111111111</v>
      </c>
    </row>
    <row r="512" spans="1:16" ht="12.75">
      <c r="A512" s="199" t="s">
        <v>3454</v>
      </c>
      <c r="B512" s="200" t="s">
        <v>3718</v>
      </c>
      <c r="C512" s="200" t="str">
        <f>VLOOKUP(B512,Fincas!$A$2:$C$1005,2,0)</f>
        <v>F_El Playon</v>
      </c>
      <c r="D512" s="201">
        <v>44741</v>
      </c>
      <c r="E512" s="267" t="str">
        <f t="shared" si="98"/>
        <v>junio</v>
      </c>
      <c r="F512" s="202">
        <v>44742</v>
      </c>
      <c r="G512" s="203">
        <v>44748</v>
      </c>
      <c r="H512" s="200">
        <v>39705</v>
      </c>
      <c r="I512" s="212">
        <v>7008147</v>
      </c>
      <c r="J512" s="212" t="str">
        <f t="shared" si="100"/>
        <v>Res macho levante</v>
      </c>
      <c r="K512" s="200">
        <v>5622</v>
      </c>
      <c r="L512" s="550">
        <f t="shared" ref="L512:L515" si="110">M512/K512</f>
        <v>8843.1200640341522</v>
      </c>
      <c r="M512" s="213">
        <v>49716021</v>
      </c>
      <c r="N512" s="214">
        <v>18</v>
      </c>
      <c r="O512" s="554">
        <f t="shared" si="101"/>
        <v>312.33333333333331</v>
      </c>
      <c r="P512" s="548">
        <f t="shared" si="99"/>
        <v>2762001.1666666665</v>
      </c>
    </row>
    <row r="513" spans="1:16" ht="12.75">
      <c r="A513" s="199" t="s">
        <v>3454</v>
      </c>
      <c r="B513" s="200" t="s">
        <v>3718</v>
      </c>
      <c r="C513" s="200" t="str">
        <f>VLOOKUP(B513,Fincas!$A$2:$C$1005,2,0)</f>
        <v>F_El Playon</v>
      </c>
      <c r="D513" s="201">
        <v>44741</v>
      </c>
      <c r="E513" s="267" t="str">
        <f t="shared" si="98"/>
        <v>junio</v>
      </c>
      <c r="F513" s="202">
        <v>44742</v>
      </c>
      <c r="G513" s="203">
        <v>44748</v>
      </c>
      <c r="H513" s="200">
        <v>39702</v>
      </c>
      <c r="I513" s="212">
        <v>7008147</v>
      </c>
      <c r="J513" s="212" t="str">
        <f t="shared" si="100"/>
        <v>Res macho levante</v>
      </c>
      <c r="K513" s="200">
        <v>6360</v>
      </c>
      <c r="L513" s="550">
        <f t="shared" si="110"/>
        <v>9144.589937106919</v>
      </c>
      <c r="M513" s="213">
        <v>58159592</v>
      </c>
      <c r="N513" s="214">
        <v>22</v>
      </c>
      <c r="O513" s="554">
        <f t="shared" si="101"/>
        <v>289.09090909090907</v>
      </c>
      <c r="P513" s="548">
        <f t="shared" si="99"/>
        <v>2643617.8181818184</v>
      </c>
    </row>
    <row r="514" spans="1:16" ht="12.75">
      <c r="A514" s="199" t="s">
        <v>3454</v>
      </c>
      <c r="B514" s="200" t="s">
        <v>3718</v>
      </c>
      <c r="C514" s="200" t="str">
        <f>VLOOKUP(B514,Fincas!$A$2:$C$1005,2,0)</f>
        <v>F_El Playon</v>
      </c>
      <c r="D514" s="201">
        <v>44741</v>
      </c>
      <c r="E514" s="267" t="str">
        <f t="shared" ref="E514:E577" si="111">+TEXT(D514,"mmmm")</f>
        <v>junio</v>
      </c>
      <c r="F514" s="202">
        <v>44742</v>
      </c>
      <c r="G514" s="203">
        <v>44748</v>
      </c>
      <c r="H514" s="200">
        <v>39698</v>
      </c>
      <c r="I514" s="212">
        <v>7008147</v>
      </c>
      <c r="J514" s="212" t="str">
        <f t="shared" si="100"/>
        <v>Res macho levante</v>
      </c>
      <c r="K514" s="200">
        <v>5638</v>
      </c>
      <c r="L514" s="550">
        <f t="shared" si="110"/>
        <v>9194.8350478893226</v>
      </c>
      <c r="M514" s="213">
        <v>51840480</v>
      </c>
      <c r="N514" s="214">
        <v>20</v>
      </c>
      <c r="O514" s="554">
        <f t="shared" si="101"/>
        <v>281.89999999999998</v>
      </c>
      <c r="P514" s="548">
        <f t="shared" ref="P514:P577" si="112">+M514/N514</f>
        <v>2592024</v>
      </c>
    </row>
    <row r="515" spans="1:16" ht="12.75">
      <c r="A515" s="199" t="s">
        <v>3454</v>
      </c>
      <c r="B515" s="200" t="s">
        <v>3718</v>
      </c>
      <c r="C515" s="200" t="str">
        <f>VLOOKUP(B515,Fincas!$A$2:$C$1005,2,0)</f>
        <v>F_El Playon</v>
      </c>
      <c r="D515" s="201">
        <v>44741</v>
      </c>
      <c r="E515" s="267" t="str">
        <f t="shared" si="111"/>
        <v>junio</v>
      </c>
      <c r="F515" s="202">
        <v>44742</v>
      </c>
      <c r="G515" s="203">
        <v>44748</v>
      </c>
      <c r="H515" s="200">
        <v>39697</v>
      </c>
      <c r="I515" s="212">
        <v>7008147</v>
      </c>
      <c r="J515" s="212" t="str">
        <f t="shared" ref="J515:J578" si="113">+VLOOKUP(I515,$F$962:$G$970,2,0)</f>
        <v>Res macho levante</v>
      </c>
      <c r="K515" s="200">
        <v>5132</v>
      </c>
      <c r="L515" s="550">
        <f t="shared" si="110"/>
        <v>9295.3250194855809</v>
      </c>
      <c r="M515" s="213">
        <v>47703608</v>
      </c>
      <c r="N515" s="214">
        <v>20</v>
      </c>
      <c r="O515" s="554">
        <f t="shared" ref="O515:O578" si="114">+K515/N515</f>
        <v>256.60000000000002</v>
      </c>
      <c r="P515" s="548">
        <f t="shared" si="112"/>
        <v>2385180.4</v>
      </c>
    </row>
    <row r="516" spans="1:16" ht="12.75">
      <c r="A516" s="199" t="s">
        <v>3463</v>
      </c>
      <c r="B516" s="200" t="s">
        <v>3769</v>
      </c>
      <c r="C516" s="200" t="str">
        <f>VLOOKUP(B516,Fincas!$A$2:$C$1005,2,0)</f>
        <v>F_Patio Bonito</v>
      </c>
      <c r="D516" s="201">
        <v>44749</v>
      </c>
      <c r="E516" s="267" t="str">
        <f t="shared" si="111"/>
        <v>julio</v>
      </c>
      <c r="F516" s="202">
        <v>44749</v>
      </c>
      <c r="G516" s="203">
        <v>44750</v>
      </c>
      <c r="H516" s="200" t="s">
        <v>3903</v>
      </c>
      <c r="I516" s="217">
        <v>7008151</v>
      </c>
      <c r="J516" s="217" t="str">
        <f t="shared" si="113"/>
        <v>Res novilla ceba</v>
      </c>
      <c r="K516" s="200">
        <v>5795</v>
      </c>
      <c r="L516" s="550">
        <v>7650</v>
      </c>
      <c r="M516" s="205">
        <f>L516*K516</f>
        <v>44331750</v>
      </c>
      <c r="N516" s="214">
        <v>19</v>
      </c>
      <c r="O516" s="554">
        <f t="shared" si="114"/>
        <v>305</v>
      </c>
      <c r="P516" s="548">
        <f t="shared" si="112"/>
        <v>2333250</v>
      </c>
    </row>
    <row r="517" spans="1:16" ht="12.75">
      <c r="A517" s="199" t="s">
        <v>1419</v>
      </c>
      <c r="B517" s="200" t="s">
        <v>3636</v>
      </c>
      <c r="C517" s="200" t="str">
        <f>VLOOKUP(B517,Fincas!$A$2:$C$1005,2,0)</f>
        <v>A_Santa Ines</v>
      </c>
      <c r="D517" s="201">
        <v>44726</v>
      </c>
      <c r="E517" s="267" t="str">
        <f t="shared" si="111"/>
        <v>junio</v>
      </c>
      <c r="F517" s="202">
        <v>44730</v>
      </c>
      <c r="G517" s="203">
        <v>44750</v>
      </c>
      <c r="H517" s="200" t="s">
        <v>3904</v>
      </c>
      <c r="I517" s="224">
        <v>7008146</v>
      </c>
      <c r="J517" s="234" t="str">
        <f t="shared" si="113"/>
        <v>Res macho ceba</v>
      </c>
      <c r="K517" s="200">
        <v>2756</v>
      </c>
      <c r="L517" s="550">
        <f t="shared" ref="L517:L518" si="115">M517/K517</f>
        <v>8302.1770682148035</v>
      </c>
      <c r="M517" s="213">
        <v>22880800</v>
      </c>
      <c r="N517" s="214">
        <v>5</v>
      </c>
      <c r="O517" s="554">
        <f t="shared" si="114"/>
        <v>551.20000000000005</v>
      </c>
      <c r="P517" s="548">
        <f t="shared" si="112"/>
        <v>4576160</v>
      </c>
    </row>
    <row r="518" spans="1:16" ht="12.75">
      <c r="A518" s="199" t="s">
        <v>1419</v>
      </c>
      <c r="B518" s="200" t="s">
        <v>3636</v>
      </c>
      <c r="C518" s="200" t="str">
        <f>VLOOKUP(B518,Fincas!$A$2:$C$1005,2,0)</f>
        <v>A_Santa Ines</v>
      </c>
      <c r="D518" s="201">
        <v>44742</v>
      </c>
      <c r="E518" s="267" t="str">
        <f t="shared" si="111"/>
        <v>junio</v>
      </c>
      <c r="F518" s="202">
        <v>44744</v>
      </c>
      <c r="G518" s="203">
        <v>44750</v>
      </c>
      <c r="H518" s="200" t="s">
        <v>3905</v>
      </c>
      <c r="I518" s="224">
        <v>7008146</v>
      </c>
      <c r="J518" s="234" t="str">
        <f t="shared" si="113"/>
        <v>Res macho ceba</v>
      </c>
      <c r="K518" s="200">
        <v>6570</v>
      </c>
      <c r="L518" s="550">
        <f t="shared" si="115"/>
        <v>8102.7397260273974</v>
      </c>
      <c r="M518" s="213">
        <v>53235000</v>
      </c>
      <c r="N518" s="214">
        <v>15</v>
      </c>
      <c r="O518" s="554">
        <f t="shared" si="114"/>
        <v>438</v>
      </c>
      <c r="P518" s="548">
        <f t="shared" si="112"/>
        <v>3549000</v>
      </c>
    </row>
    <row r="519" spans="1:16" ht="12.75">
      <c r="A519" s="199" t="s">
        <v>3906</v>
      </c>
      <c r="B519" s="200" t="s">
        <v>3661</v>
      </c>
      <c r="C519" s="200" t="str">
        <f>VLOOKUP(B519,Fincas!$A$2:$C$1005,2,0)</f>
        <v>F_Mis Deseos</v>
      </c>
      <c r="D519" s="201">
        <v>44718</v>
      </c>
      <c r="E519" s="267" t="str">
        <f t="shared" si="111"/>
        <v>junio</v>
      </c>
      <c r="F519" s="202">
        <v>44748</v>
      </c>
      <c r="G519" s="203">
        <v>44752</v>
      </c>
      <c r="H519" s="200">
        <v>45</v>
      </c>
      <c r="I519" s="212">
        <v>7008147</v>
      </c>
      <c r="J519" s="212" t="str">
        <f t="shared" si="113"/>
        <v>Res macho levante</v>
      </c>
      <c r="K519" s="200">
        <v>22798</v>
      </c>
      <c r="L519" s="550">
        <v>9300</v>
      </c>
      <c r="M519" s="205">
        <f>L519*K519</f>
        <v>212021400</v>
      </c>
      <c r="N519" s="214">
        <v>100</v>
      </c>
      <c r="O519" s="554">
        <f t="shared" si="114"/>
        <v>227.98</v>
      </c>
      <c r="P519" s="548">
        <f t="shared" si="112"/>
        <v>2120214</v>
      </c>
    </row>
    <row r="520" spans="1:16" ht="12.75">
      <c r="A520" s="199" t="s">
        <v>3454</v>
      </c>
      <c r="B520" s="200" t="s">
        <v>3718</v>
      </c>
      <c r="C520" s="200" t="str">
        <f>VLOOKUP(B520,Fincas!$A$2:$C$1005,2,0)</f>
        <v>F_El Playon</v>
      </c>
      <c r="D520" s="201">
        <v>44718</v>
      </c>
      <c r="E520" s="267" t="str">
        <f t="shared" si="111"/>
        <v>junio</v>
      </c>
      <c r="F520" s="202">
        <v>44749</v>
      </c>
      <c r="G520" s="203">
        <v>44752</v>
      </c>
      <c r="H520" s="200" t="s">
        <v>3907</v>
      </c>
      <c r="I520" s="212">
        <v>7008147</v>
      </c>
      <c r="J520" s="212" t="str">
        <f t="shared" si="113"/>
        <v>Res macho levante</v>
      </c>
      <c r="K520" s="200">
        <v>5878</v>
      </c>
      <c r="L520" s="550">
        <f t="shared" ref="L520:L525" si="116">M520/K520</f>
        <v>8943.6100714528748</v>
      </c>
      <c r="M520" s="213">
        <v>52570540</v>
      </c>
      <c r="N520" s="214">
        <v>21</v>
      </c>
      <c r="O520" s="554">
        <f t="shared" si="114"/>
        <v>279.90476190476193</v>
      </c>
      <c r="P520" s="548">
        <f t="shared" si="112"/>
        <v>2503359.0476190476</v>
      </c>
    </row>
    <row r="521" spans="1:16" ht="12.75">
      <c r="A521" s="199" t="s">
        <v>3454</v>
      </c>
      <c r="B521" s="200" t="s">
        <v>3718</v>
      </c>
      <c r="C521" s="200" t="str">
        <f>VLOOKUP(B521,Fincas!$A$2:$C$1005,2,0)</f>
        <v>F_El Playon</v>
      </c>
      <c r="D521" s="201">
        <v>44718</v>
      </c>
      <c r="E521" s="267" t="str">
        <f t="shared" si="111"/>
        <v>junio</v>
      </c>
      <c r="F521" s="202">
        <v>44749</v>
      </c>
      <c r="G521" s="203">
        <v>44752</v>
      </c>
      <c r="H521" s="200" t="s">
        <v>3908</v>
      </c>
      <c r="I521" s="212">
        <v>7008147</v>
      </c>
      <c r="J521" s="212" t="str">
        <f t="shared" si="113"/>
        <v>Res macho levante</v>
      </c>
      <c r="K521" s="200">
        <v>5416</v>
      </c>
      <c r="L521" s="550">
        <f t="shared" si="116"/>
        <v>8993.8550590841951</v>
      </c>
      <c r="M521" s="213">
        <v>48710719</v>
      </c>
      <c r="N521" s="214">
        <v>20</v>
      </c>
      <c r="O521" s="554">
        <f t="shared" si="114"/>
        <v>270.8</v>
      </c>
      <c r="P521" s="548">
        <f t="shared" si="112"/>
        <v>2435535.9500000002</v>
      </c>
    </row>
    <row r="522" spans="1:16" ht="12.75">
      <c r="A522" s="199" t="s">
        <v>1419</v>
      </c>
      <c r="B522" s="200" t="s">
        <v>3708</v>
      </c>
      <c r="C522" s="200" t="str">
        <f>VLOOKUP(B522,Fincas!$A$2:$C$1005,2,0)</f>
        <v>F_El Arbolito</v>
      </c>
      <c r="D522" s="201">
        <v>44749</v>
      </c>
      <c r="E522" s="267" t="str">
        <f t="shared" si="111"/>
        <v>julio</v>
      </c>
      <c r="F522" s="202">
        <v>44750</v>
      </c>
      <c r="G522" s="203">
        <v>44753</v>
      </c>
      <c r="H522" s="200" t="s">
        <v>3909</v>
      </c>
      <c r="I522" s="224">
        <v>7008146</v>
      </c>
      <c r="J522" s="234" t="str">
        <f t="shared" si="113"/>
        <v>Res macho ceba</v>
      </c>
      <c r="K522" s="200">
        <v>2142</v>
      </c>
      <c r="L522" s="550">
        <f t="shared" si="116"/>
        <v>7552.8011204481791</v>
      </c>
      <c r="M522" s="213">
        <v>16178100</v>
      </c>
      <c r="N522" s="214">
        <v>5</v>
      </c>
      <c r="O522" s="554">
        <f t="shared" si="114"/>
        <v>428.4</v>
      </c>
      <c r="P522" s="548">
        <f t="shared" si="112"/>
        <v>3235620</v>
      </c>
    </row>
    <row r="523" spans="1:16" ht="12.75">
      <c r="A523" s="199" t="s">
        <v>1419</v>
      </c>
      <c r="B523" s="200" t="s">
        <v>3708</v>
      </c>
      <c r="C523" s="200" t="str">
        <f>VLOOKUP(B523,Fincas!$A$2:$C$1005,2,0)</f>
        <v>F_El Arbolito</v>
      </c>
      <c r="D523" s="201">
        <v>44749</v>
      </c>
      <c r="E523" s="267" t="str">
        <f t="shared" si="111"/>
        <v>julio</v>
      </c>
      <c r="F523" s="202">
        <v>44750</v>
      </c>
      <c r="G523" s="203">
        <v>44753</v>
      </c>
      <c r="H523" s="200" t="s">
        <v>3910</v>
      </c>
      <c r="I523" s="224">
        <v>7008146</v>
      </c>
      <c r="J523" s="234" t="str">
        <f t="shared" si="113"/>
        <v>Res macho ceba</v>
      </c>
      <c r="K523" s="200">
        <v>5022</v>
      </c>
      <c r="L523" s="550">
        <f t="shared" si="116"/>
        <v>8503.3452807646354</v>
      </c>
      <c r="M523" s="213">
        <v>42703800</v>
      </c>
      <c r="N523" s="214">
        <v>14</v>
      </c>
      <c r="O523" s="554">
        <f t="shared" si="114"/>
        <v>358.71428571428572</v>
      </c>
      <c r="P523" s="548">
        <f t="shared" si="112"/>
        <v>3050271.4285714286</v>
      </c>
    </row>
    <row r="524" spans="1:16" ht="12.75">
      <c r="A524" s="199" t="s">
        <v>1419</v>
      </c>
      <c r="B524" s="200" t="s">
        <v>3708</v>
      </c>
      <c r="C524" s="200" t="str">
        <f>VLOOKUP(B524,Fincas!$A$2:$C$1005,2,0)</f>
        <v>F_El Arbolito</v>
      </c>
      <c r="D524" s="201">
        <v>44749</v>
      </c>
      <c r="E524" s="267" t="str">
        <f t="shared" si="111"/>
        <v>julio</v>
      </c>
      <c r="F524" s="202">
        <v>44750</v>
      </c>
      <c r="G524" s="203">
        <v>44753</v>
      </c>
      <c r="H524" s="200" t="s">
        <v>3911</v>
      </c>
      <c r="I524" s="224">
        <v>7008146</v>
      </c>
      <c r="J524" s="234" t="str">
        <f t="shared" si="113"/>
        <v>Res macho ceba</v>
      </c>
      <c r="K524" s="200">
        <v>3310</v>
      </c>
      <c r="L524" s="550">
        <f t="shared" si="116"/>
        <v>8652.9003021148037</v>
      </c>
      <c r="M524" s="213">
        <v>28641100</v>
      </c>
      <c r="N524" s="214">
        <v>8</v>
      </c>
      <c r="O524" s="554">
        <f t="shared" si="114"/>
        <v>413.75</v>
      </c>
      <c r="P524" s="548">
        <f t="shared" si="112"/>
        <v>3580137.5</v>
      </c>
    </row>
    <row r="525" spans="1:16" ht="12.75">
      <c r="A525" s="199" t="s">
        <v>1419</v>
      </c>
      <c r="B525" s="200" t="s">
        <v>3708</v>
      </c>
      <c r="C525" s="200" t="str">
        <f>VLOOKUP(B525,Fincas!$A$2:$C$1005,2,0)</f>
        <v>F_El Arbolito</v>
      </c>
      <c r="D525" s="201">
        <v>44749</v>
      </c>
      <c r="E525" s="267" t="str">
        <f t="shared" si="111"/>
        <v>julio</v>
      </c>
      <c r="F525" s="202">
        <v>44750</v>
      </c>
      <c r="G525" s="203">
        <v>44753</v>
      </c>
      <c r="H525" s="200" t="s">
        <v>3912</v>
      </c>
      <c r="I525" s="224">
        <v>7008146</v>
      </c>
      <c r="J525" s="234" t="str">
        <f t="shared" si="113"/>
        <v>Res macho ceba</v>
      </c>
      <c r="K525" s="200">
        <v>4786</v>
      </c>
      <c r="L525" s="550">
        <f t="shared" si="116"/>
        <v>7903.0087755954864</v>
      </c>
      <c r="M525" s="213">
        <v>37823800</v>
      </c>
      <c r="N525" s="214">
        <v>12</v>
      </c>
      <c r="O525" s="554">
        <f t="shared" si="114"/>
        <v>398.83333333333331</v>
      </c>
      <c r="P525" s="548">
        <f t="shared" si="112"/>
        <v>3151983.3333333335</v>
      </c>
    </row>
    <row r="526" spans="1:16" ht="12.75">
      <c r="A526" s="199" t="s">
        <v>3913</v>
      </c>
      <c r="B526" s="200" t="s">
        <v>3849</v>
      </c>
      <c r="C526" s="200" t="str">
        <f>VLOOKUP(B526,Fincas!$A$2:$C$1005,2,0)</f>
        <v>F_Bello Horizont</v>
      </c>
      <c r="D526" s="201">
        <v>44749</v>
      </c>
      <c r="E526" s="267" t="str">
        <f t="shared" si="111"/>
        <v>julio</v>
      </c>
      <c r="F526" s="202">
        <v>44749</v>
      </c>
      <c r="G526" s="203">
        <v>44753</v>
      </c>
      <c r="H526" s="200" t="s">
        <v>3914</v>
      </c>
      <c r="I526" s="212">
        <v>7008147</v>
      </c>
      <c r="J526" s="212" t="str">
        <f t="shared" si="113"/>
        <v>Res macho levante</v>
      </c>
      <c r="K526" s="200">
        <v>7481</v>
      </c>
      <c r="L526" s="550">
        <v>9050</v>
      </c>
      <c r="M526" s="205">
        <f t="shared" ref="M526:M528" si="117">L526*K526</f>
        <v>67703050</v>
      </c>
      <c r="N526" s="214">
        <v>33</v>
      </c>
      <c r="O526" s="554">
        <f t="shared" si="114"/>
        <v>226.69696969696969</v>
      </c>
      <c r="P526" s="548">
        <f t="shared" si="112"/>
        <v>2051607.5757575757</v>
      </c>
    </row>
    <row r="527" spans="1:16" ht="12.75">
      <c r="A527" s="199" t="s">
        <v>3451</v>
      </c>
      <c r="B527" s="200" t="s">
        <v>3915</v>
      </c>
      <c r="C527" s="200" t="str">
        <f>VLOOKUP(B527,Fincas!$A$2:$C$1005,2,0)</f>
        <v>F_Nuevo Porvenir</v>
      </c>
      <c r="D527" s="201">
        <v>44747</v>
      </c>
      <c r="E527" s="267" t="str">
        <f t="shared" si="111"/>
        <v>julio</v>
      </c>
      <c r="F527" s="202">
        <v>44754</v>
      </c>
      <c r="G527" s="203">
        <v>44753</v>
      </c>
      <c r="H527" s="200" t="s">
        <v>3916</v>
      </c>
      <c r="I527" s="212">
        <v>7008147</v>
      </c>
      <c r="J527" s="212" t="str">
        <f t="shared" si="113"/>
        <v>Res macho levante</v>
      </c>
      <c r="K527" s="200">
        <v>5596</v>
      </c>
      <c r="L527" s="550">
        <v>8400</v>
      </c>
      <c r="M527" s="205">
        <f t="shared" si="117"/>
        <v>47006400</v>
      </c>
      <c r="N527" s="214">
        <v>20</v>
      </c>
      <c r="O527" s="554">
        <f t="shared" si="114"/>
        <v>279.8</v>
      </c>
      <c r="P527" s="548">
        <f t="shared" si="112"/>
        <v>2350320</v>
      </c>
    </row>
    <row r="528" spans="1:16" ht="12.75">
      <c r="A528" s="199" t="s">
        <v>3917</v>
      </c>
      <c r="B528" s="200" t="s">
        <v>3476</v>
      </c>
      <c r="C528" s="200" t="str">
        <f>VLOOKUP(B528,Fincas!$A$2:$C$1005,2,0)</f>
        <v>F_Guacharacas</v>
      </c>
      <c r="D528" s="201">
        <v>44750</v>
      </c>
      <c r="E528" s="267" t="str">
        <f t="shared" si="111"/>
        <v>julio</v>
      </c>
      <c r="F528" s="202">
        <v>44750</v>
      </c>
      <c r="G528" s="203">
        <v>44753</v>
      </c>
      <c r="H528" s="200" t="s">
        <v>3918</v>
      </c>
      <c r="I528" s="224">
        <v>7008146</v>
      </c>
      <c r="J528" s="234" t="str">
        <f t="shared" si="113"/>
        <v>Res macho ceba</v>
      </c>
      <c r="K528" s="200">
        <v>8840</v>
      </c>
      <c r="L528" s="550">
        <v>9300</v>
      </c>
      <c r="M528" s="205">
        <f t="shared" si="117"/>
        <v>82212000</v>
      </c>
      <c r="N528" s="214">
        <v>21</v>
      </c>
      <c r="O528" s="554">
        <f t="shared" si="114"/>
        <v>420.95238095238096</v>
      </c>
      <c r="P528" s="548">
        <f t="shared" si="112"/>
        <v>3914857.1428571427</v>
      </c>
    </row>
    <row r="529" spans="1:16" ht="12.75">
      <c r="A529" s="199" t="s">
        <v>1419</v>
      </c>
      <c r="B529" s="200" t="s">
        <v>3919</v>
      </c>
      <c r="C529" s="200" t="str">
        <f>VLOOKUP(B529,Fincas!$A$2:$C$1005,2,0)</f>
        <v>A_Rancho Apache</v>
      </c>
      <c r="D529" s="201">
        <v>44742</v>
      </c>
      <c r="E529" s="267" t="str">
        <f t="shared" si="111"/>
        <v>junio</v>
      </c>
      <c r="F529" s="202">
        <v>44744</v>
      </c>
      <c r="G529" s="203">
        <v>44753</v>
      </c>
      <c r="H529" s="200">
        <v>26081</v>
      </c>
      <c r="I529" s="224">
        <v>7008146</v>
      </c>
      <c r="J529" s="234" t="str">
        <f t="shared" si="113"/>
        <v>Res macho ceba</v>
      </c>
      <c r="K529" s="200">
        <v>5048</v>
      </c>
      <c r="L529" s="550">
        <f t="shared" ref="L529:L534" si="118">M529/K529</f>
        <v>8754.5166402535651</v>
      </c>
      <c r="M529" s="213">
        <v>44192800</v>
      </c>
      <c r="N529" s="214">
        <v>19</v>
      </c>
      <c r="O529" s="554">
        <f t="shared" si="114"/>
        <v>265.68421052631578</v>
      </c>
      <c r="P529" s="548">
        <f t="shared" si="112"/>
        <v>2325936.8421052634</v>
      </c>
    </row>
    <row r="530" spans="1:16" ht="12.75">
      <c r="A530" s="199" t="s">
        <v>1419</v>
      </c>
      <c r="B530" s="200" t="s">
        <v>3919</v>
      </c>
      <c r="C530" s="200" t="str">
        <f>VLOOKUP(B530,Fincas!$A$2:$C$1005,2,0)</f>
        <v>A_Rancho Apache</v>
      </c>
      <c r="D530" s="201">
        <v>44742</v>
      </c>
      <c r="E530" s="267" t="str">
        <f t="shared" si="111"/>
        <v>junio</v>
      </c>
      <c r="F530" s="202">
        <v>44744</v>
      </c>
      <c r="G530" s="203">
        <v>44753</v>
      </c>
      <c r="H530" s="200">
        <v>26068</v>
      </c>
      <c r="I530" s="224">
        <v>7008146</v>
      </c>
      <c r="J530" s="234" t="str">
        <f t="shared" si="113"/>
        <v>Res macho ceba</v>
      </c>
      <c r="K530" s="200">
        <v>5656</v>
      </c>
      <c r="L530" s="550">
        <f t="shared" si="118"/>
        <v>8654.4554455445541</v>
      </c>
      <c r="M530" s="213">
        <v>48949600</v>
      </c>
      <c r="N530" s="214">
        <v>21</v>
      </c>
      <c r="O530" s="554">
        <f t="shared" si="114"/>
        <v>269.33333333333331</v>
      </c>
      <c r="P530" s="548">
        <f t="shared" si="112"/>
        <v>2330933.3333333335</v>
      </c>
    </row>
    <row r="531" spans="1:16" ht="12.75">
      <c r="A531" s="199" t="s">
        <v>1419</v>
      </c>
      <c r="B531" s="200" t="s">
        <v>3919</v>
      </c>
      <c r="C531" s="200" t="str">
        <f>VLOOKUP(B531,Fincas!$A$2:$C$1005,2,0)</f>
        <v>A_Rancho Apache</v>
      </c>
      <c r="D531" s="201">
        <v>44742</v>
      </c>
      <c r="E531" s="267" t="str">
        <f t="shared" si="111"/>
        <v>junio</v>
      </c>
      <c r="F531" s="202">
        <v>44744</v>
      </c>
      <c r="G531" s="203">
        <v>44753</v>
      </c>
      <c r="H531" s="200">
        <v>26079</v>
      </c>
      <c r="I531" s="224">
        <v>7008146</v>
      </c>
      <c r="J531" s="234" t="str">
        <f t="shared" si="113"/>
        <v>Res macho ceba</v>
      </c>
      <c r="K531" s="200">
        <v>5030</v>
      </c>
      <c r="L531" s="550">
        <f t="shared" si="118"/>
        <v>8454.0556660039765</v>
      </c>
      <c r="M531" s="213">
        <v>42523900</v>
      </c>
      <c r="N531" s="214">
        <v>17</v>
      </c>
      <c r="O531" s="554">
        <f t="shared" si="114"/>
        <v>295.88235294117646</v>
      </c>
      <c r="P531" s="548">
        <f t="shared" si="112"/>
        <v>2501405.8823529412</v>
      </c>
    </row>
    <row r="532" spans="1:16" ht="12.75">
      <c r="A532" s="199" t="s">
        <v>1419</v>
      </c>
      <c r="B532" s="200" t="s">
        <v>3919</v>
      </c>
      <c r="C532" s="200" t="str">
        <f>VLOOKUP(B532,Fincas!$A$2:$C$1005,2,0)</f>
        <v>A_Rancho Apache</v>
      </c>
      <c r="D532" s="201">
        <v>44742</v>
      </c>
      <c r="E532" s="267" t="str">
        <f t="shared" si="111"/>
        <v>junio</v>
      </c>
      <c r="F532" s="202">
        <v>44744</v>
      </c>
      <c r="G532" s="203">
        <v>44753</v>
      </c>
      <c r="H532" s="200">
        <v>26084</v>
      </c>
      <c r="I532" s="224">
        <v>7008146</v>
      </c>
      <c r="J532" s="234" t="str">
        <f t="shared" si="113"/>
        <v>Res macho ceba</v>
      </c>
      <c r="K532" s="200">
        <v>4292</v>
      </c>
      <c r="L532" s="550">
        <f t="shared" si="118"/>
        <v>9005.8713886300102</v>
      </c>
      <c r="M532" s="213">
        <v>38653200</v>
      </c>
      <c r="N532" s="214">
        <v>21</v>
      </c>
      <c r="O532" s="554">
        <f t="shared" si="114"/>
        <v>204.38095238095238</v>
      </c>
      <c r="P532" s="548">
        <f t="shared" si="112"/>
        <v>1840628.5714285714</v>
      </c>
    </row>
    <row r="533" spans="1:16" ht="12.75">
      <c r="A533" s="199" t="s">
        <v>1419</v>
      </c>
      <c r="B533" s="200" t="s">
        <v>3919</v>
      </c>
      <c r="C533" s="200" t="str">
        <f>VLOOKUP(B533,Fincas!$A$2:$C$1005,2,0)</f>
        <v>A_Rancho Apache</v>
      </c>
      <c r="D533" s="201">
        <v>44742</v>
      </c>
      <c r="E533" s="267" t="str">
        <f t="shared" si="111"/>
        <v>junio</v>
      </c>
      <c r="F533" s="202">
        <v>44744</v>
      </c>
      <c r="G533" s="203">
        <v>44753</v>
      </c>
      <c r="H533" s="200">
        <v>26083</v>
      </c>
      <c r="I533" s="224">
        <v>7008146</v>
      </c>
      <c r="J533" s="234" t="str">
        <f t="shared" si="113"/>
        <v>Res macho ceba</v>
      </c>
      <c r="K533" s="200">
        <v>4616</v>
      </c>
      <c r="L533" s="550">
        <f t="shared" si="118"/>
        <v>9355.7192374350088</v>
      </c>
      <c r="M533" s="213">
        <v>43186000</v>
      </c>
      <c r="N533" s="214">
        <v>22</v>
      </c>
      <c r="O533" s="554">
        <f t="shared" si="114"/>
        <v>209.81818181818181</v>
      </c>
      <c r="P533" s="548">
        <f t="shared" si="112"/>
        <v>1963000</v>
      </c>
    </row>
    <row r="534" spans="1:16" ht="12.75">
      <c r="A534" s="199" t="s">
        <v>1419</v>
      </c>
      <c r="B534" s="200" t="s">
        <v>3919</v>
      </c>
      <c r="C534" s="200" t="str">
        <f>VLOOKUP(B534,Fincas!$A$2:$C$1005,2,0)</f>
        <v>A_Rancho Apache</v>
      </c>
      <c r="D534" s="201">
        <v>44742</v>
      </c>
      <c r="E534" s="267" t="str">
        <f t="shared" si="111"/>
        <v>junio</v>
      </c>
      <c r="F534" s="202">
        <v>44744</v>
      </c>
      <c r="G534" s="203">
        <v>44753</v>
      </c>
      <c r="H534" s="200">
        <v>26080</v>
      </c>
      <c r="I534" s="224">
        <v>7008146</v>
      </c>
      <c r="J534" s="234" t="str">
        <f t="shared" si="113"/>
        <v>Res macho ceba</v>
      </c>
      <c r="K534" s="200">
        <v>5988</v>
      </c>
      <c r="L534" s="550">
        <f t="shared" si="118"/>
        <v>8654.2084168336678</v>
      </c>
      <c r="M534" s="213">
        <v>51821400</v>
      </c>
      <c r="N534" s="214">
        <v>21</v>
      </c>
      <c r="O534" s="554">
        <f t="shared" si="114"/>
        <v>285.14285714285717</v>
      </c>
      <c r="P534" s="548">
        <f t="shared" si="112"/>
        <v>2467685.7142857141</v>
      </c>
    </row>
    <row r="535" spans="1:16" ht="12.75">
      <c r="A535" s="199" t="s">
        <v>3426</v>
      </c>
      <c r="B535" s="200" t="s">
        <v>3498</v>
      </c>
      <c r="C535" s="200" t="str">
        <f>VLOOKUP(B535,Fincas!$A$2:$C$1005,2,0)</f>
        <v>F_Jordan</v>
      </c>
      <c r="D535" s="201">
        <v>44748</v>
      </c>
      <c r="E535" s="267" t="str">
        <f t="shared" si="111"/>
        <v>julio</v>
      </c>
      <c r="F535" s="202">
        <v>44748</v>
      </c>
      <c r="G535" s="203">
        <v>44753</v>
      </c>
      <c r="H535" s="200" t="s">
        <v>3920</v>
      </c>
      <c r="I535" s="224">
        <v>7008146</v>
      </c>
      <c r="J535" s="234" t="str">
        <f t="shared" si="113"/>
        <v>Res macho ceba</v>
      </c>
      <c r="K535" s="200">
        <v>26975</v>
      </c>
      <c r="L535" s="550">
        <v>9300</v>
      </c>
      <c r="M535" s="205">
        <f>L535*K535</f>
        <v>250867500</v>
      </c>
      <c r="N535" s="214">
        <v>65</v>
      </c>
      <c r="O535" s="554">
        <f t="shared" si="114"/>
        <v>415</v>
      </c>
      <c r="P535" s="548">
        <f t="shared" si="112"/>
        <v>3859500</v>
      </c>
    </row>
    <row r="536" spans="1:16" ht="12.75">
      <c r="A536" s="199" t="s">
        <v>3454</v>
      </c>
      <c r="B536" s="200" t="s">
        <v>3919</v>
      </c>
      <c r="C536" s="200" t="str">
        <f>VLOOKUP(B536,Fincas!$A$2:$C$1005,2,0)</f>
        <v>A_Rancho Apache</v>
      </c>
      <c r="D536" s="201">
        <v>44741</v>
      </c>
      <c r="E536" s="267" t="str">
        <f t="shared" si="111"/>
        <v>junio</v>
      </c>
      <c r="F536" s="202">
        <v>44742</v>
      </c>
      <c r="G536" s="203">
        <v>44753</v>
      </c>
      <c r="H536" s="200">
        <v>39703</v>
      </c>
      <c r="I536" s="224">
        <v>7008146</v>
      </c>
      <c r="J536" s="234" t="str">
        <f t="shared" si="113"/>
        <v>Res macho ceba</v>
      </c>
      <c r="K536" s="200">
        <v>6330</v>
      </c>
      <c r="L536" s="550">
        <f t="shared" ref="L536:L539" si="119">M536/K536</f>
        <v>9094.3450236966819</v>
      </c>
      <c r="M536" s="213">
        <v>57567204</v>
      </c>
      <c r="N536" s="214">
        <v>22</v>
      </c>
      <c r="O536" s="554">
        <f t="shared" si="114"/>
        <v>287.72727272727275</v>
      </c>
      <c r="P536" s="548">
        <f t="shared" si="112"/>
        <v>2616691.0909090908</v>
      </c>
    </row>
    <row r="537" spans="1:16" ht="12.75">
      <c r="A537" s="199" t="s">
        <v>3454</v>
      </c>
      <c r="B537" s="200" t="s">
        <v>3919</v>
      </c>
      <c r="C537" s="200" t="str">
        <f>VLOOKUP(B537,Fincas!$A$2:$C$1005,2,0)</f>
        <v>A_Rancho Apache</v>
      </c>
      <c r="D537" s="201">
        <v>44741</v>
      </c>
      <c r="E537" s="267" t="str">
        <f t="shared" si="111"/>
        <v>junio</v>
      </c>
      <c r="F537" s="202">
        <v>44742</v>
      </c>
      <c r="G537" s="203">
        <v>44753</v>
      </c>
      <c r="H537" s="200">
        <v>39701</v>
      </c>
      <c r="I537" s="224">
        <v>7008146</v>
      </c>
      <c r="J537" s="234" t="str">
        <f t="shared" si="113"/>
        <v>Res macho ceba</v>
      </c>
      <c r="K537" s="200">
        <v>5864</v>
      </c>
      <c r="L537" s="550">
        <f t="shared" si="119"/>
        <v>9094.3449863574351</v>
      </c>
      <c r="M537" s="213">
        <v>53329239</v>
      </c>
      <c r="N537" s="214">
        <v>20</v>
      </c>
      <c r="O537" s="554">
        <f t="shared" si="114"/>
        <v>293.2</v>
      </c>
      <c r="P537" s="548">
        <f t="shared" si="112"/>
        <v>2666461.9500000002</v>
      </c>
    </row>
    <row r="538" spans="1:16" ht="12.75">
      <c r="A538" s="199" t="s">
        <v>3454</v>
      </c>
      <c r="B538" s="200" t="s">
        <v>3919</v>
      </c>
      <c r="C538" s="200" t="str">
        <f>VLOOKUP(B538,Fincas!$A$2:$C$1005,2,0)</f>
        <v>A_Rancho Apache</v>
      </c>
      <c r="D538" s="201">
        <v>44741</v>
      </c>
      <c r="E538" s="267" t="str">
        <f t="shared" si="111"/>
        <v>junio</v>
      </c>
      <c r="F538" s="202">
        <v>44742</v>
      </c>
      <c r="G538" s="203">
        <v>44753</v>
      </c>
      <c r="H538" s="200">
        <v>39700</v>
      </c>
      <c r="I538" s="224">
        <v>7008146</v>
      </c>
      <c r="J538" s="234" t="str">
        <f t="shared" si="113"/>
        <v>Res macho ceba</v>
      </c>
      <c r="K538" s="200">
        <v>5520</v>
      </c>
      <c r="L538" s="550">
        <f t="shared" si="119"/>
        <v>9295.3250000000007</v>
      </c>
      <c r="M538" s="213">
        <v>51310194</v>
      </c>
      <c r="N538" s="214">
        <v>20</v>
      </c>
      <c r="O538" s="554">
        <f t="shared" si="114"/>
        <v>276</v>
      </c>
      <c r="P538" s="548">
        <f t="shared" si="112"/>
        <v>2565509.7000000002</v>
      </c>
    </row>
    <row r="539" spans="1:16" ht="12.75">
      <c r="A539" s="199" t="s">
        <v>3454</v>
      </c>
      <c r="B539" s="200" t="s">
        <v>3919</v>
      </c>
      <c r="C539" s="200" t="str">
        <f>VLOOKUP(B539,Fincas!$A$2:$C$1005,2,0)</f>
        <v>A_Rancho Apache</v>
      </c>
      <c r="D539" s="201">
        <v>44741</v>
      </c>
      <c r="E539" s="267" t="str">
        <f t="shared" si="111"/>
        <v>junio</v>
      </c>
      <c r="F539" s="202">
        <v>44742</v>
      </c>
      <c r="G539" s="203">
        <v>44753</v>
      </c>
      <c r="H539" s="200">
        <v>39699</v>
      </c>
      <c r="I539" s="224">
        <v>7008146</v>
      </c>
      <c r="J539" s="234" t="str">
        <f t="shared" si="113"/>
        <v>Res macho ceba</v>
      </c>
      <c r="K539" s="200">
        <v>5846</v>
      </c>
      <c r="L539" s="550">
        <f t="shared" si="119"/>
        <v>9194.8349298665762</v>
      </c>
      <c r="M539" s="213">
        <v>53753005</v>
      </c>
      <c r="N539" s="214">
        <v>22</v>
      </c>
      <c r="O539" s="554">
        <f t="shared" si="114"/>
        <v>265.72727272727275</v>
      </c>
      <c r="P539" s="548">
        <f t="shared" si="112"/>
        <v>2443318.4090909092</v>
      </c>
    </row>
    <row r="540" spans="1:16" ht="12.75">
      <c r="A540" s="199" t="s">
        <v>3426</v>
      </c>
      <c r="B540" s="200" t="s">
        <v>3600</v>
      </c>
      <c r="C540" s="200" t="str">
        <f>VLOOKUP(B540,Fincas!$A$2:$C$1005,2,0)</f>
        <v>F_La Leticia</v>
      </c>
      <c r="D540" s="201">
        <v>44749</v>
      </c>
      <c r="E540" s="267" t="str">
        <f t="shared" si="111"/>
        <v>julio</v>
      </c>
      <c r="F540" s="202">
        <v>44749</v>
      </c>
      <c r="G540" s="203">
        <v>44753</v>
      </c>
      <c r="H540" s="200" t="s">
        <v>3921</v>
      </c>
      <c r="I540" s="224">
        <v>7008146</v>
      </c>
      <c r="J540" s="234" t="str">
        <f t="shared" si="113"/>
        <v>Res macho ceba</v>
      </c>
      <c r="K540" s="200">
        <v>12285</v>
      </c>
      <c r="L540" s="550">
        <v>9056</v>
      </c>
      <c r="M540" s="205">
        <f t="shared" ref="M540:M559" si="120">L540*K540</f>
        <v>111252960</v>
      </c>
      <c r="N540" s="214">
        <v>34</v>
      </c>
      <c r="O540" s="554">
        <f t="shared" si="114"/>
        <v>361.3235294117647</v>
      </c>
      <c r="P540" s="548">
        <f t="shared" si="112"/>
        <v>3272145.8823529412</v>
      </c>
    </row>
    <row r="541" spans="1:16" ht="12.75">
      <c r="A541" s="199" t="s">
        <v>3463</v>
      </c>
      <c r="B541" s="200" t="s">
        <v>3894</v>
      </c>
      <c r="C541" s="200" t="str">
        <f>VLOOKUP(B541,Fincas!$A$2:$C$1005,2,0)</f>
        <v>F_Patio Bonito</v>
      </c>
      <c r="D541" s="201">
        <v>44750</v>
      </c>
      <c r="E541" s="267" t="str">
        <f t="shared" si="111"/>
        <v>julio</v>
      </c>
      <c r="F541" s="202">
        <v>44750</v>
      </c>
      <c r="G541" s="203">
        <v>44754</v>
      </c>
      <c r="H541" s="200" t="s">
        <v>3922</v>
      </c>
      <c r="I541" s="217">
        <v>7008151</v>
      </c>
      <c r="J541" s="217" t="str">
        <f t="shared" si="113"/>
        <v>Res novilla ceba</v>
      </c>
      <c r="K541" s="200">
        <v>11088</v>
      </c>
      <c r="L541" s="550">
        <v>7670</v>
      </c>
      <c r="M541" s="205">
        <f t="shared" si="120"/>
        <v>85044960</v>
      </c>
      <c r="N541" s="214">
        <v>36</v>
      </c>
      <c r="O541" s="554">
        <f t="shared" si="114"/>
        <v>308</v>
      </c>
      <c r="P541" s="548">
        <f t="shared" si="112"/>
        <v>2362360</v>
      </c>
    </row>
    <row r="542" spans="1:16" ht="12.75">
      <c r="A542" s="199" t="s">
        <v>3511</v>
      </c>
      <c r="B542" s="200" t="s">
        <v>3919</v>
      </c>
      <c r="C542" s="200" t="str">
        <f>VLOOKUP(B542,Fincas!$A$2:$C$1005,2,0)</f>
        <v>A_Rancho Apache</v>
      </c>
      <c r="D542" s="201">
        <v>44742</v>
      </c>
      <c r="E542" s="267" t="str">
        <f t="shared" si="111"/>
        <v>junio</v>
      </c>
      <c r="F542" s="202">
        <v>44743</v>
      </c>
      <c r="G542" s="203">
        <v>44754</v>
      </c>
      <c r="H542" s="200">
        <v>8074</v>
      </c>
      <c r="I542" s="224">
        <v>7008146</v>
      </c>
      <c r="J542" s="234" t="str">
        <f t="shared" si="113"/>
        <v>Res macho ceba</v>
      </c>
      <c r="K542" s="200">
        <v>4583</v>
      </c>
      <c r="L542" s="550">
        <v>9200</v>
      </c>
      <c r="M542" s="205">
        <f t="shared" si="120"/>
        <v>42163600</v>
      </c>
      <c r="N542" s="214">
        <v>24</v>
      </c>
      <c r="O542" s="554">
        <f t="shared" si="114"/>
        <v>190.95833333333334</v>
      </c>
      <c r="P542" s="548">
        <f t="shared" si="112"/>
        <v>1756816.6666666667</v>
      </c>
    </row>
    <row r="543" spans="1:16" ht="12.75">
      <c r="A543" s="199" t="s">
        <v>3511</v>
      </c>
      <c r="B543" s="200" t="s">
        <v>3919</v>
      </c>
      <c r="C543" s="200" t="str">
        <f>VLOOKUP(B543,Fincas!$A$2:$C$1005,2,0)</f>
        <v>A_Rancho Apache</v>
      </c>
      <c r="D543" s="201">
        <v>44742</v>
      </c>
      <c r="E543" s="267" t="str">
        <f t="shared" si="111"/>
        <v>junio</v>
      </c>
      <c r="F543" s="202">
        <v>44743</v>
      </c>
      <c r="G543" s="203">
        <v>44754</v>
      </c>
      <c r="H543" s="200">
        <v>8089</v>
      </c>
      <c r="I543" s="224">
        <v>7008146</v>
      </c>
      <c r="J543" s="234" t="str">
        <f t="shared" si="113"/>
        <v>Res macho ceba</v>
      </c>
      <c r="K543" s="200">
        <v>1406</v>
      </c>
      <c r="L543" s="550">
        <v>9200</v>
      </c>
      <c r="M543" s="205">
        <f t="shared" si="120"/>
        <v>12935200</v>
      </c>
      <c r="N543" s="214">
        <v>6</v>
      </c>
      <c r="O543" s="554">
        <f t="shared" si="114"/>
        <v>234.33333333333334</v>
      </c>
      <c r="P543" s="548">
        <f t="shared" si="112"/>
        <v>2155866.6666666665</v>
      </c>
    </row>
    <row r="544" spans="1:16" ht="12.75">
      <c r="A544" s="199" t="s">
        <v>3511</v>
      </c>
      <c r="B544" s="200" t="s">
        <v>3919</v>
      </c>
      <c r="C544" s="200" t="str">
        <f>VLOOKUP(B544,Fincas!$A$2:$C$1005,2,0)</f>
        <v>A_Rancho Apache</v>
      </c>
      <c r="D544" s="201">
        <v>44742</v>
      </c>
      <c r="E544" s="267" t="str">
        <f t="shared" si="111"/>
        <v>junio</v>
      </c>
      <c r="F544" s="202">
        <v>44743</v>
      </c>
      <c r="G544" s="203">
        <v>44754</v>
      </c>
      <c r="H544" s="200">
        <v>8075</v>
      </c>
      <c r="I544" s="224">
        <v>7008146</v>
      </c>
      <c r="J544" s="234" t="str">
        <f t="shared" si="113"/>
        <v>Res macho ceba</v>
      </c>
      <c r="K544" s="200">
        <v>5343</v>
      </c>
      <c r="L544" s="550">
        <v>8900</v>
      </c>
      <c r="M544" s="205">
        <f t="shared" si="120"/>
        <v>47552700</v>
      </c>
      <c r="N544" s="214">
        <v>22</v>
      </c>
      <c r="O544" s="554">
        <f t="shared" si="114"/>
        <v>242.86363636363637</v>
      </c>
      <c r="P544" s="548">
        <f t="shared" si="112"/>
        <v>2161486.3636363638</v>
      </c>
    </row>
    <row r="545" spans="1:16" ht="12.75">
      <c r="A545" s="199" t="s">
        <v>3511</v>
      </c>
      <c r="B545" s="200" t="s">
        <v>3919</v>
      </c>
      <c r="C545" s="200" t="str">
        <f>VLOOKUP(B545,Fincas!$A$2:$C$1005,2,0)</f>
        <v>A_Rancho Apache</v>
      </c>
      <c r="D545" s="201">
        <v>44742</v>
      </c>
      <c r="E545" s="267" t="str">
        <f t="shared" si="111"/>
        <v>junio</v>
      </c>
      <c r="F545" s="202">
        <v>44743</v>
      </c>
      <c r="G545" s="203">
        <v>44754</v>
      </c>
      <c r="H545" s="200">
        <v>8083</v>
      </c>
      <c r="I545" s="224">
        <v>7008146</v>
      </c>
      <c r="J545" s="234" t="str">
        <f t="shared" si="113"/>
        <v>Res macho ceba</v>
      </c>
      <c r="K545" s="200">
        <v>767</v>
      </c>
      <c r="L545" s="550">
        <v>8100</v>
      </c>
      <c r="M545" s="205">
        <f t="shared" si="120"/>
        <v>6212700</v>
      </c>
      <c r="N545" s="214">
        <v>4</v>
      </c>
      <c r="O545" s="554">
        <f t="shared" si="114"/>
        <v>191.75</v>
      </c>
      <c r="P545" s="548">
        <f t="shared" si="112"/>
        <v>1553175</v>
      </c>
    </row>
    <row r="546" spans="1:16" ht="12.75">
      <c r="A546" s="199" t="s">
        <v>3511</v>
      </c>
      <c r="B546" s="200" t="s">
        <v>3919</v>
      </c>
      <c r="C546" s="200" t="str">
        <f>VLOOKUP(B546,Fincas!$A$2:$C$1005,2,0)</f>
        <v>A_Rancho Apache</v>
      </c>
      <c r="D546" s="201">
        <v>44742</v>
      </c>
      <c r="E546" s="267" t="str">
        <f t="shared" si="111"/>
        <v>junio</v>
      </c>
      <c r="F546" s="202">
        <v>44743</v>
      </c>
      <c r="G546" s="203">
        <v>44754</v>
      </c>
      <c r="H546" s="200">
        <v>8058</v>
      </c>
      <c r="I546" s="224">
        <v>7008146</v>
      </c>
      <c r="J546" s="234" t="str">
        <f t="shared" si="113"/>
        <v>Res macho ceba</v>
      </c>
      <c r="K546" s="200">
        <v>5462</v>
      </c>
      <c r="L546" s="550">
        <v>9250</v>
      </c>
      <c r="M546" s="205">
        <f t="shared" si="120"/>
        <v>50523500</v>
      </c>
      <c r="N546" s="214">
        <v>21</v>
      </c>
      <c r="O546" s="554">
        <f t="shared" si="114"/>
        <v>260.09523809523807</v>
      </c>
      <c r="P546" s="548">
        <f t="shared" si="112"/>
        <v>2405880.9523809524</v>
      </c>
    </row>
    <row r="547" spans="1:16" ht="12.75">
      <c r="A547" s="199" t="s">
        <v>3511</v>
      </c>
      <c r="B547" s="200" t="s">
        <v>3919</v>
      </c>
      <c r="C547" s="200" t="str">
        <f>VLOOKUP(B547,Fincas!$A$2:$C$1005,2,0)</f>
        <v>A_Rancho Apache</v>
      </c>
      <c r="D547" s="201">
        <v>44742</v>
      </c>
      <c r="E547" s="267" t="str">
        <f t="shared" si="111"/>
        <v>junio</v>
      </c>
      <c r="F547" s="202">
        <v>44743</v>
      </c>
      <c r="G547" s="203">
        <v>44754</v>
      </c>
      <c r="H547" s="200">
        <v>8054</v>
      </c>
      <c r="I547" s="224">
        <v>7008146</v>
      </c>
      <c r="J547" s="234" t="str">
        <f t="shared" si="113"/>
        <v>Res macho ceba</v>
      </c>
      <c r="K547" s="200">
        <v>2058</v>
      </c>
      <c r="L547" s="550">
        <v>8900</v>
      </c>
      <c r="M547" s="205">
        <f t="shared" si="120"/>
        <v>18316200</v>
      </c>
      <c r="N547" s="214">
        <v>10</v>
      </c>
      <c r="O547" s="554">
        <f t="shared" si="114"/>
        <v>205.8</v>
      </c>
      <c r="P547" s="548">
        <f t="shared" si="112"/>
        <v>1831620</v>
      </c>
    </row>
    <row r="548" spans="1:16" ht="12.75">
      <c r="A548" s="199" t="s">
        <v>3511</v>
      </c>
      <c r="B548" s="200" t="s">
        <v>3915</v>
      </c>
      <c r="C548" s="200" t="str">
        <f>VLOOKUP(B548,Fincas!$A$2:$C$1005,2,0)</f>
        <v>F_Nuevo Porvenir</v>
      </c>
      <c r="D548" s="201">
        <v>44749</v>
      </c>
      <c r="E548" s="267" t="str">
        <f t="shared" si="111"/>
        <v>julio</v>
      </c>
      <c r="F548" s="202">
        <v>44750</v>
      </c>
      <c r="G548" s="203">
        <v>44755</v>
      </c>
      <c r="H548" s="200" t="s">
        <v>3923</v>
      </c>
      <c r="I548" s="212">
        <v>7008147</v>
      </c>
      <c r="J548" s="212" t="str">
        <f t="shared" si="113"/>
        <v>Res macho levante</v>
      </c>
      <c r="K548" s="200">
        <v>27546</v>
      </c>
      <c r="L548" s="550">
        <v>9043</v>
      </c>
      <c r="M548" s="205">
        <f t="shared" si="120"/>
        <v>249098478</v>
      </c>
      <c r="N548" s="214">
        <v>100</v>
      </c>
      <c r="O548" s="554">
        <f t="shared" si="114"/>
        <v>275.45999999999998</v>
      </c>
      <c r="P548" s="548">
        <f t="shared" si="112"/>
        <v>2490984.7799999998</v>
      </c>
    </row>
    <row r="549" spans="1:16" ht="12.75">
      <c r="A549" s="199" t="s">
        <v>3511</v>
      </c>
      <c r="B549" s="200" t="s">
        <v>3841</v>
      </c>
      <c r="C549" s="200" t="str">
        <f>VLOOKUP(B549,Fincas!$A$2:$C$1005,2,0)</f>
        <v>La Tranquilidad</v>
      </c>
      <c r="D549" s="201">
        <v>44749</v>
      </c>
      <c r="E549" s="267" t="str">
        <f t="shared" si="111"/>
        <v>julio</v>
      </c>
      <c r="F549" s="202">
        <v>44750</v>
      </c>
      <c r="G549" s="203">
        <v>44755</v>
      </c>
      <c r="H549" s="200">
        <v>8109</v>
      </c>
      <c r="I549" s="212">
        <v>7008147</v>
      </c>
      <c r="J549" s="212" t="str">
        <f t="shared" si="113"/>
        <v>Res macho levante</v>
      </c>
      <c r="K549" s="200">
        <v>1818</v>
      </c>
      <c r="L549" s="550">
        <v>8650</v>
      </c>
      <c r="M549" s="205">
        <f t="shared" si="120"/>
        <v>15725700</v>
      </c>
      <c r="N549" s="214">
        <v>8</v>
      </c>
      <c r="O549" s="554">
        <f t="shared" si="114"/>
        <v>227.25</v>
      </c>
      <c r="P549" s="548">
        <f t="shared" si="112"/>
        <v>1965712.5</v>
      </c>
    </row>
    <row r="550" spans="1:16" ht="12.75">
      <c r="A550" s="199" t="s">
        <v>3511</v>
      </c>
      <c r="B550" s="200" t="s">
        <v>3841</v>
      </c>
      <c r="C550" s="200" t="str">
        <f>VLOOKUP(B550,Fincas!$A$2:$C$1005,2,0)</f>
        <v>La Tranquilidad</v>
      </c>
      <c r="D550" s="201">
        <v>44749</v>
      </c>
      <c r="E550" s="267" t="str">
        <f t="shared" si="111"/>
        <v>julio</v>
      </c>
      <c r="F550" s="202">
        <v>44750</v>
      </c>
      <c r="G550" s="203">
        <v>44755</v>
      </c>
      <c r="H550" s="200">
        <v>8129</v>
      </c>
      <c r="I550" s="212">
        <v>7008147</v>
      </c>
      <c r="J550" s="212" t="str">
        <f t="shared" si="113"/>
        <v>Res macho levante</v>
      </c>
      <c r="K550" s="200">
        <v>5440</v>
      </c>
      <c r="L550" s="550">
        <v>8950</v>
      </c>
      <c r="M550" s="205">
        <f t="shared" si="120"/>
        <v>48688000</v>
      </c>
      <c r="N550" s="214">
        <v>21</v>
      </c>
      <c r="O550" s="554">
        <f t="shared" si="114"/>
        <v>259.04761904761904</v>
      </c>
      <c r="P550" s="548">
        <f t="shared" si="112"/>
        <v>2318476.1904761903</v>
      </c>
    </row>
    <row r="551" spans="1:16" ht="12.75">
      <c r="A551" s="199" t="s">
        <v>3511</v>
      </c>
      <c r="B551" s="200" t="s">
        <v>3841</v>
      </c>
      <c r="C551" s="200" t="str">
        <f>VLOOKUP(B551,Fincas!$A$2:$C$1005,2,0)</f>
        <v>La Tranquilidad</v>
      </c>
      <c r="D551" s="201">
        <v>44749</v>
      </c>
      <c r="E551" s="267" t="str">
        <f t="shared" si="111"/>
        <v>julio</v>
      </c>
      <c r="F551" s="202">
        <v>44750</v>
      </c>
      <c r="G551" s="203">
        <v>44755</v>
      </c>
      <c r="H551" s="200">
        <v>8133</v>
      </c>
      <c r="I551" s="212">
        <v>7008147</v>
      </c>
      <c r="J551" s="212" t="str">
        <f t="shared" si="113"/>
        <v>Res macho levante</v>
      </c>
      <c r="K551" s="200">
        <v>5573</v>
      </c>
      <c r="L551" s="550">
        <v>9150</v>
      </c>
      <c r="M551" s="205">
        <f t="shared" si="120"/>
        <v>50992950</v>
      </c>
      <c r="N551" s="214">
        <v>24</v>
      </c>
      <c r="O551" s="554">
        <f t="shared" si="114"/>
        <v>232.20833333333334</v>
      </c>
      <c r="P551" s="548">
        <f t="shared" si="112"/>
        <v>2124706.25</v>
      </c>
    </row>
    <row r="552" spans="1:16" ht="12.75">
      <c r="A552" s="199" t="s">
        <v>3511</v>
      </c>
      <c r="B552" s="200" t="s">
        <v>3841</v>
      </c>
      <c r="C552" s="200" t="str">
        <f>VLOOKUP(B552,Fincas!$A$2:$C$1005,2,0)</f>
        <v>La Tranquilidad</v>
      </c>
      <c r="D552" s="201">
        <v>44749</v>
      </c>
      <c r="E552" s="267" t="str">
        <f t="shared" si="111"/>
        <v>julio</v>
      </c>
      <c r="F552" s="202">
        <v>44750</v>
      </c>
      <c r="G552" s="203">
        <v>44755</v>
      </c>
      <c r="H552" s="200">
        <v>8140</v>
      </c>
      <c r="I552" s="212">
        <v>7008147</v>
      </c>
      <c r="J552" s="212" t="str">
        <f t="shared" si="113"/>
        <v>Res macho levante</v>
      </c>
      <c r="K552" s="200">
        <v>1329</v>
      </c>
      <c r="L552" s="550">
        <v>9200</v>
      </c>
      <c r="M552" s="205">
        <f t="shared" si="120"/>
        <v>12226800</v>
      </c>
      <c r="N552" s="214">
        <v>5</v>
      </c>
      <c r="O552" s="554">
        <f t="shared" si="114"/>
        <v>265.8</v>
      </c>
      <c r="P552" s="548">
        <f t="shared" si="112"/>
        <v>2445360</v>
      </c>
    </row>
    <row r="553" spans="1:16" ht="12.75">
      <c r="A553" s="199" t="s">
        <v>3511</v>
      </c>
      <c r="B553" s="200" t="s">
        <v>3841</v>
      </c>
      <c r="C553" s="200" t="str">
        <f>VLOOKUP(B553,Fincas!$A$2:$C$1005,2,0)</f>
        <v>La Tranquilidad</v>
      </c>
      <c r="D553" s="201">
        <v>44749</v>
      </c>
      <c r="E553" s="267" t="str">
        <f t="shared" si="111"/>
        <v>julio</v>
      </c>
      <c r="F553" s="202">
        <v>44750</v>
      </c>
      <c r="G553" s="203">
        <v>44755</v>
      </c>
      <c r="H553" s="200">
        <v>8143</v>
      </c>
      <c r="I553" s="212">
        <v>7008147</v>
      </c>
      <c r="J553" s="212" t="str">
        <f t="shared" si="113"/>
        <v>Res macho levante</v>
      </c>
      <c r="K553" s="200">
        <v>289</v>
      </c>
      <c r="L553" s="550">
        <v>8200</v>
      </c>
      <c r="M553" s="205">
        <f t="shared" si="120"/>
        <v>2369800</v>
      </c>
      <c r="N553" s="214">
        <v>1</v>
      </c>
      <c r="O553" s="554">
        <f t="shared" si="114"/>
        <v>289</v>
      </c>
      <c r="P553" s="548">
        <f t="shared" si="112"/>
        <v>2369800</v>
      </c>
    </row>
    <row r="554" spans="1:16" ht="12.75">
      <c r="A554" s="199" t="s">
        <v>3800</v>
      </c>
      <c r="B554" s="200" t="s">
        <v>3801</v>
      </c>
      <c r="C554" s="200" t="str">
        <f>VLOOKUP(B554,Fincas!$A$2:$C$1005,2,0)</f>
        <v>Nicaragua</v>
      </c>
      <c r="D554" s="201">
        <v>44749</v>
      </c>
      <c r="E554" s="267" t="str">
        <f t="shared" si="111"/>
        <v>julio</v>
      </c>
      <c r="F554" s="202">
        <v>44749</v>
      </c>
      <c r="G554" s="203">
        <v>44755</v>
      </c>
      <c r="H554" s="200" t="s">
        <v>3924</v>
      </c>
      <c r="I554" s="217">
        <v>7008151</v>
      </c>
      <c r="J554" s="217" t="str">
        <f t="shared" si="113"/>
        <v>Res novilla ceba</v>
      </c>
      <c r="K554" s="200">
        <v>53521</v>
      </c>
      <c r="L554" s="550">
        <v>7870</v>
      </c>
      <c r="M554" s="205">
        <f t="shared" si="120"/>
        <v>421210270</v>
      </c>
      <c r="N554" s="214">
        <v>166</v>
      </c>
      <c r="O554" s="554">
        <f t="shared" si="114"/>
        <v>322.41566265060243</v>
      </c>
      <c r="P554" s="548">
        <f t="shared" si="112"/>
        <v>2537411.2650602409</v>
      </c>
    </row>
    <row r="555" spans="1:16" ht="12.75">
      <c r="A555" s="199" t="s">
        <v>3800</v>
      </c>
      <c r="B555" s="200" t="s">
        <v>3801</v>
      </c>
      <c r="C555" s="200" t="str">
        <f>VLOOKUP(B555,Fincas!$A$2:$C$1005,2,0)</f>
        <v>Nicaragua</v>
      </c>
      <c r="D555" s="201">
        <v>44754</v>
      </c>
      <c r="E555" s="267" t="str">
        <f t="shared" si="111"/>
        <v>julio</v>
      </c>
      <c r="F555" s="202">
        <v>44754</v>
      </c>
      <c r="G555" s="203">
        <v>44755</v>
      </c>
      <c r="H555" s="200" t="s">
        <v>3925</v>
      </c>
      <c r="I555" s="217">
        <v>7008151</v>
      </c>
      <c r="J555" s="217" t="str">
        <f t="shared" si="113"/>
        <v>Res novilla ceba</v>
      </c>
      <c r="K555" s="200">
        <v>52390</v>
      </c>
      <c r="L555" s="550">
        <v>7830</v>
      </c>
      <c r="M555" s="205">
        <f t="shared" si="120"/>
        <v>410213700</v>
      </c>
      <c r="N555" s="214">
        <v>150</v>
      </c>
      <c r="O555" s="554">
        <f t="shared" si="114"/>
        <v>349.26666666666665</v>
      </c>
      <c r="P555" s="548">
        <f t="shared" si="112"/>
        <v>2734758</v>
      </c>
    </row>
    <row r="556" spans="1:16" ht="12.75">
      <c r="A556" s="199" t="s">
        <v>3771</v>
      </c>
      <c r="B556" s="200" t="s">
        <v>3557</v>
      </c>
      <c r="C556" s="200" t="str">
        <f>VLOOKUP(B556,Fincas!$A$2:$C$1005,2,0)</f>
        <v>F_San Clemente</v>
      </c>
      <c r="D556" s="201">
        <v>44753</v>
      </c>
      <c r="E556" s="267" t="str">
        <f t="shared" si="111"/>
        <v>julio</v>
      </c>
      <c r="F556" s="202">
        <v>44753</v>
      </c>
      <c r="G556" s="203">
        <v>44755</v>
      </c>
      <c r="H556" s="200" t="s">
        <v>3926</v>
      </c>
      <c r="I556" s="212">
        <v>7008147</v>
      </c>
      <c r="J556" s="212" t="str">
        <f t="shared" si="113"/>
        <v>Res macho levante</v>
      </c>
      <c r="K556" s="200">
        <v>30074</v>
      </c>
      <c r="L556" s="550">
        <v>8750</v>
      </c>
      <c r="M556" s="205">
        <f t="shared" si="120"/>
        <v>263147500</v>
      </c>
      <c r="N556" s="214">
        <v>100</v>
      </c>
      <c r="O556" s="554">
        <f t="shared" si="114"/>
        <v>300.74</v>
      </c>
      <c r="P556" s="548">
        <f t="shared" si="112"/>
        <v>2631475</v>
      </c>
    </row>
    <row r="557" spans="1:16" ht="12.75">
      <c r="A557" s="199" t="s">
        <v>3927</v>
      </c>
      <c r="B557" s="200" t="s">
        <v>3769</v>
      </c>
      <c r="C557" s="200" t="str">
        <f>VLOOKUP(B557,Fincas!$A$2:$C$1005,2,0)</f>
        <v>F_Patio Bonito</v>
      </c>
      <c r="D557" s="201">
        <v>44755</v>
      </c>
      <c r="E557" s="267" t="str">
        <f t="shared" si="111"/>
        <v>julio</v>
      </c>
      <c r="F557" s="202">
        <v>44755</v>
      </c>
      <c r="G557" s="203">
        <v>44755</v>
      </c>
      <c r="H557" s="200" t="s">
        <v>3928</v>
      </c>
      <c r="I557" s="217">
        <v>7008151</v>
      </c>
      <c r="J557" s="217" t="str">
        <f t="shared" si="113"/>
        <v>Res novilla ceba</v>
      </c>
      <c r="K557" s="200">
        <v>10906</v>
      </c>
      <c r="L557" s="550">
        <v>7670</v>
      </c>
      <c r="M557" s="205">
        <f t="shared" si="120"/>
        <v>83649020</v>
      </c>
      <c r="N557" s="214">
        <v>33</v>
      </c>
      <c r="O557" s="554">
        <f t="shared" si="114"/>
        <v>330.4848484848485</v>
      </c>
      <c r="P557" s="548">
        <f t="shared" si="112"/>
        <v>2534818.7878787881</v>
      </c>
    </row>
    <row r="558" spans="1:16" ht="12.75">
      <c r="A558" s="199" t="s">
        <v>3929</v>
      </c>
      <c r="B558" s="200" t="s">
        <v>3489</v>
      </c>
      <c r="C558" s="200" t="str">
        <f>VLOOKUP(B558,Fincas!$A$2:$C$1005,2,0)</f>
        <v>F_La Pradilla</v>
      </c>
      <c r="D558" s="201">
        <v>44754</v>
      </c>
      <c r="E558" s="267" t="str">
        <f t="shared" si="111"/>
        <v>julio</v>
      </c>
      <c r="F558" s="202">
        <v>44750</v>
      </c>
      <c r="G558" s="203">
        <v>44756</v>
      </c>
      <c r="H558" s="200" t="s">
        <v>3930</v>
      </c>
      <c r="I558" s="224">
        <v>7008146</v>
      </c>
      <c r="J558" s="234" t="str">
        <f t="shared" si="113"/>
        <v>Res macho ceba</v>
      </c>
      <c r="K558" s="200">
        <v>10725</v>
      </c>
      <c r="L558" s="550">
        <v>8610</v>
      </c>
      <c r="M558" s="205">
        <f t="shared" si="120"/>
        <v>92342250</v>
      </c>
      <c r="N558" s="214">
        <v>29</v>
      </c>
      <c r="O558" s="554">
        <f t="shared" si="114"/>
        <v>369.82758620689657</v>
      </c>
      <c r="P558" s="548">
        <f t="shared" si="112"/>
        <v>3184215.5172413792</v>
      </c>
    </row>
    <row r="559" spans="1:16" ht="12.75">
      <c r="A559" s="199" t="s">
        <v>3511</v>
      </c>
      <c r="B559" s="200" t="s">
        <v>3705</v>
      </c>
      <c r="C559" s="200" t="str">
        <f>VLOOKUP(B559,Fincas!$A$2:$C$1005,2,0)</f>
        <v>F_San Martin</v>
      </c>
      <c r="D559" s="201">
        <v>44742</v>
      </c>
      <c r="E559" s="267" t="str">
        <f t="shared" si="111"/>
        <v>junio</v>
      </c>
      <c r="F559" s="202">
        <v>44743</v>
      </c>
      <c r="G559" s="203">
        <v>44757</v>
      </c>
      <c r="H559" s="200" t="s">
        <v>3931</v>
      </c>
      <c r="I559" s="224">
        <v>7008146</v>
      </c>
      <c r="J559" s="234" t="str">
        <f t="shared" si="113"/>
        <v>Res macho ceba</v>
      </c>
      <c r="K559" s="243">
        <v>6053</v>
      </c>
      <c r="L559" s="550">
        <v>8550</v>
      </c>
      <c r="M559" s="205">
        <f t="shared" si="120"/>
        <v>51753150</v>
      </c>
      <c r="N559" s="214">
        <v>19</v>
      </c>
      <c r="O559" s="554">
        <f t="shared" si="114"/>
        <v>318.57894736842104</v>
      </c>
      <c r="P559" s="548">
        <f t="shared" si="112"/>
        <v>2723850</v>
      </c>
    </row>
    <row r="560" spans="1:16" ht="12.75">
      <c r="A560" s="236" t="s">
        <v>3511</v>
      </c>
      <c r="B560" s="200" t="s">
        <v>3705</v>
      </c>
      <c r="C560" s="200" t="str">
        <f>VLOOKUP(B560,Fincas!$A$2:$C$1005,2,0)</f>
        <v>F_San Martin</v>
      </c>
      <c r="D560" s="201">
        <v>44742</v>
      </c>
      <c r="E560" s="267" t="str">
        <f t="shared" si="111"/>
        <v>junio</v>
      </c>
      <c r="F560" s="202">
        <v>44743</v>
      </c>
      <c r="G560" s="203">
        <v>44757</v>
      </c>
      <c r="H560" s="244" t="s">
        <v>3932</v>
      </c>
      <c r="I560" s="224">
        <v>7008146</v>
      </c>
      <c r="J560" s="234" t="str">
        <f t="shared" si="113"/>
        <v>Res macho ceba</v>
      </c>
      <c r="K560" s="245">
        <f>M560/L560</f>
        <v>318.57894736842104</v>
      </c>
      <c r="L560" s="550">
        <v>8550</v>
      </c>
      <c r="M560" s="213">
        <v>2723850</v>
      </c>
      <c r="N560" s="214">
        <v>-1</v>
      </c>
      <c r="O560" s="554">
        <f t="shared" si="114"/>
        <v>-318.57894736842104</v>
      </c>
      <c r="P560" s="548">
        <f t="shared" si="112"/>
        <v>-2723850</v>
      </c>
    </row>
    <row r="561" spans="1:16" ht="12.75">
      <c r="A561" s="199" t="s">
        <v>3933</v>
      </c>
      <c r="B561" s="200" t="s">
        <v>3841</v>
      </c>
      <c r="C561" s="200" t="str">
        <f>VLOOKUP(B561,Fincas!$A$2:$C$1005,2,0)</f>
        <v>La Tranquilidad</v>
      </c>
      <c r="D561" s="201">
        <v>44757</v>
      </c>
      <c r="E561" s="267" t="str">
        <f t="shared" si="111"/>
        <v>julio</v>
      </c>
      <c r="F561" s="202">
        <v>44753</v>
      </c>
      <c r="G561" s="203">
        <v>44760</v>
      </c>
      <c r="H561" s="200" t="s">
        <v>3934</v>
      </c>
      <c r="I561" s="212">
        <v>7008147</v>
      </c>
      <c r="J561" s="212" t="str">
        <f t="shared" si="113"/>
        <v>Res macho levante</v>
      </c>
      <c r="K561" s="200">
        <v>1461</v>
      </c>
      <c r="L561" s="550">
        <v>8900</v>
      </c>
      <c r="M561" s="205">
        <f t="shared" ref="M561:M575" si="121">L561*K561</f>
        <v>13002900</v>
      </c>
      <c r="N561" s="214">
        <v>5</v>
      </c>
      <c r="O561" s="554">
        <f t="shared" si="114"/>
        <v>292.2</v>
      </c>
      <c r="P561" s="548">
        <f t="shared" si="112"/>
        <v>2600580</v>
      </c>
    </row>
    <row r="562" spans="1:16" ht="12.75">
      <c r="A562" s="199" t="s">
        <v>3463</v>
      </c>
      <c r="B562" s="200" t="s">
        <v>3798</v>
      </c>
      <c r="C562" s="200" t="str">
        <f>VLOOKUP(B562,Fincas!$A$2:$C$1005,2,0)</f>
        <v>La Fortuna</v>
      </c>
      <c r="D562" s="201">
        <v>44756</v>
      </c>
      <c r="E562" s="267" t="str">
        <f t="shared" si="111"/>
        <v>julio</v>
      </c>
      <c r="F562" s="202">
        <v>44759</v>
      </c>
      <c r="G562" s="203">
        <v>44761</v>
      </c>
      <c r="H562" s="200" t="s">
        <v>3935</v>
      </c>
      <c r="I562" s="224">
        <v>7008146</v>
      </c>
      <c r="J562" s="234" t="str">
        <f t="shared" si="113"/>
        <v>Res macho ceba</v>
      </c>
      <c r="K562" s="200">
        <v>18626</v>
      </c>
      <c r="L562" s="550">
        <v>9350</v>
      </c>
      <c r="M562" s="205">
        <f t="shared" si="121"/>
        <v>174153100</v>
      </c>
      <c r="N562" s="214">
        <v>67</v>
      </c>
      <c r="O562" s="554">
        <f t="shared" si="114"/>
        <v>278</v>
      </c>
      <c r="P562" s="548">
        <f t="shared" si="112"/>
        <v>2599300</v>
      </c>
    </row>
    <row r="563" spans="1:16" ht="12.75">
      <c r="A563" s="199" t="s">
        <v>3571</v>
      </c>
      <c r="B563" s="200" t="s">
        <v>3493</v>
      </c>
      <c r="C563" s="200" t="str">
        <f>VLOOKUP(B563,Fincas!$A$2:$C$1005,2,0)</f>
        <v>F_Las Camelias</v>
      </c>
      <c r="D563" s="201">
        <v>44754</v>
      </c>
      <c r="E563" s="267" t="str">
        <f t="shared" si="111"/>
        <v>julio</v>
      </c>
      <c r="F563" s="202">
        <v>44754</v>
      </c>
      <c r="G563" s="203">
        <v>44760</v>
      </c>
      <c r="H563" s="200" t="s">
        <v>3936</v>
      </c>
      <c r="I563" s="224">
        <v>7008146</v>
      </c>
      <c r="J563" s="234" t="str">
        <f t="shared" si="113"/>
        <v>Res macho ceba</v>
      </c>
      <c r="K563" s="200">
        <v>12695</v>
      </c>
      <c r="L563" s="550">
        <v>9000</v>
      </c>
      <c r="M563" s="205">
        <f t="shared" si="121"/>
        <v>114255000</v>
      </c>
      <c r="N563" s="214">
        <v>36</v>
      </c>
      <c r="O563" s="554">
        <f t="shared" si="114"/>
        <v>352.63888888888891</v>
      </c>
      <c r="P563" s="548">
        <f t="shared" si="112"/>
        <v>3173750</v>
      </c>
    </row>
    <row r="564" spans="1:16" ht="12.75">
      <c r="A564" s="199" t="s">
        <v>3463</v>
      </c>
      <c r="B564" s="200" t="s">
        <v>3769</v>
      </c>
      <c r="C564" s="200" t="str">
        <f>VLOOKUP(B564,Fincas!$A$2:$C$1005,2,0)</f>
        <v>F_Patio Bonito</v>
      </c>
      <c r="D564" s="201">
        <v>44756</v>
      </c>
      <c r="E564" s="267" t="str">
        <f t="shared" si="111"/>
        <v>julio</v>
      </c>
      <c r="F564" s="202">
        <v>44756</v>
      </c>
      <c r="G564" s="203">
        <v>44760</v>
      </c>
      <c r="H564" s="200" t="s">
        <v>3937</v>
      </c>
      <c r="I564" s="224">
        <v>7008146</v>
      </c>
      <c r="J564" s="234" t="str">
        <f t="shared" si="113"/>
        <v>Res macho ceba</v>
      </c>
      <c r="K564" s="200">
        <v>11808</v>
      </c>
      <c r="L564" s="550">
        <v>9350</v>
      </c>
      <c r="M564" s="205">
        <f t="shared" si="121"/>
        <v>110404800</v>
      </c>
      <c r="N564" s="214">
        <v>41</v>
      </c>
      <c r="O564" s="554">
        <f t="shared" si="114"/>
        <v>288</v>
      </c>
      <c r="P564" s="548">
        <f t="shared" si="112"/>
        <v>2692800</v>
      </c>
    </row>
    <row r="565" spans="1:16" ht="12.75">
      <c r="A565" s="199" t="s">
        <v>3938</v>
      </c>
      <c r="B565" s="200" t="s">
        <v>3939</v>
      </c>
      <c r="C565" s="200" t="str">
        <f>VLOOKUP(B565,Fincas!$A$2:$C$1005,2,0)</f>
        <v>F_La Lucha</v>
      </c>
      <c r="D565" s="201">
        <v>44760</v>
      </c>
      <c r="E565" s="267" t="str">
        <f t="shared" si="111"/>
        <v>julio</v>
      </c>
      <c r="F565" s="202">
        <v>44756</v>
      </c>
      <c r="G565" s="203">
        <v>44760</v>
      </c>
      <c r="H565" s="200" t="s">
        <v>3940</v>
      </c>
      <c r="I565" s="224">
        <v>7008146</v>
      </c>
      <c r="J565" s="234" t="str">
        <f t="shared" si="113"/>
        <v>Res macho ceba</v>
      </c>
      <c r="K565" s="200">
        <v>55148</v>
      </c>
      <c r="L565" s="550">
        <v>8400</v>
      </c>
      <c r="M565" s="205">
        <f t="shared" si="121"/>
        <v>463243200</v>
      </c>
      <c r="N565" s="214">
        <v>126</v>
      </c>
      <c r="O565" s="554">
        <f t="shared" si="114"/>
        <v>437.6825396825397</v>
      </c>
      <c r="P565" s="548">
        <f t="shared" si="112"/>
        <v>3676533.3333333335</v>
      </c>
    </row>
    <row r="566" spans="1:16" ht="12.75">
      <c r="A566" s="199" t="s">
        <v>3938</v>
      </c>
      <c r="B566" s="200" t="s">
        <v>3939</v>
      </c>
      <c r="C566" s="200" t="str">
        <f>VLOOKUP(B566,Fincas!$A$2:$C$1005,2,0)</f>
        <v>F_La Lucha</v>
      </c>
      <c r="D566" s="201">
        <v>44760</v>
      </c>
      <c r="E566" s="267" t="str">
        <f t="shared" si="111"/>
        <v>julio</v>
      </c>
      <c r="F566" s="202">
        <v>44756</v>
      </c>
      <c r="G566" s="203">
        <v>44760</v>
      </c>
      <c r="H566" s="200" t="s">
        <v>3941</v>
      </c>
      <c r="I566" s="224">
        <v>7008146</v>
      </c>
      <c r="J566" s="234" t="str">
        <f t="shared" si="113"/>
        <v>Res macho ceba</v>
      </c>
      <c r="K566" s="200">
        <v>63414</v>
      </c>
      <c r="L566" s="550">
        <v>8650</v>
      </c>
      <c r="M566" s="205">
        <f t="shared" si="121"/>
        <v>548531100</v>
      </c>
      <c r="N566" s="214">
        <v>200</v>
      </c>
      <c r="O566" s="554">
        <f t="shared" si="114"/>
        <v>317.07</v>
      </c>
      <c r="P566" s="548">
        <f t="shared" si="112"/>
        <v>2742655.5</v>
      </c>
    </row>
    <row r="567" spans="1:16" ht="12.75">
      <c r="A567" s="199" t="s">
        <v>3938</v>
      </c>
      <c r="B567" s="200" t="s">
        <v>3939</v>
      </c>
      <c r="C567" s="200" t="str">
        <f>VLOOKUP(B567,Fincas!$A$2:$C$1005,2,0)</f>
        <v>F_La Lucha</v>
      </c>
      <c r="D567" s="201">
        <v>44760</v>
      </c>
      <c r="E567" s="267" t="str">
        <f t="shared" si="111"/>
        <v>julio</v>
      </c>
      <c r="F567" s="202">
        <v>44756</v>
      </c>
      <c r="G567" s="203">
        <v>44760</v>
      </c>
      <c r="H567" s="200" t="s">
        <v>3942</v>
      </c>
      <c r="I567" s="212">
        <v>7008147</v>
      </c>
      <c r="J567" s="212" t="str">
        <f t="shared" si="113"/>
        <v>Res macho levante</v>
      </c>
      <c r="K567" s="200">
        <v>99332</v>
      </c>
      <c r="L567" s="550">
        <v>9000</v>
      </c>
      <c r="M567" s="205">
        <f t="shared" si="121"/>
        <v>893988000</v>
      </c>
      <c r="N567" s="214">
        <v>394</v>
      </c>
      <c r="O567" s="554">
        <f t="shared" si="114"/>
        <v>252.11167512690355</v>
      </c>
      <c r="P567" s="548">
        <f t="shared" si="112"/>
        <v>2269005.0761421318</v>
      </c>
    </row>
    <row r="568" spans="1:16" ht="12.75">
      <c r="A568" s="199" t="s">
        <v>3426</v>
      </c>
      <c r="B568" s="200" t="s">
        <v>3658</v>
      </c>
      <c r="C568" s="200" t="str">
        <f>VLOOKUP(B568,Fincas!$A$2:$C$1005,2,0)</f>
        <v>F_El Rosario</v>
      </c>
      <c r="D568" s="201">
        <v>44759</v>
      </c>
      <c r="E568" s="267" t="str">
        <f t="shared" si="111"/>
        <v>julio</v>
      </c>
      <c r="F568" s="202">
        <v>44755</v>
      </c>
      <c r="G568" s="203">
        <v>44760</v>
      </c>
      <c r="H568" s="200" t="s">
        <v>3943</v>
      </c>
      <c r="I568" s="224">
        <v>7008146</v>
      </c>
      <c r="J568" s="234" t="str">
        <f t="shared" si="113"/>
        <v>Res macho ceba</v>
      </c>
      <c r="K568" s="200">
        <v>61985</v>
      </c>
      <c r="L568" s="550">
        <v>8570</v>
      </c>
      <c r="M568" s="205">
        <f t="shared" si="121"/>
        <v>531211450</v>
      </c>
      <c r="N568" s="214">
        <v>240</v>
      </c>
      <c r="O568" s="554">
        <f t="shared" si="114"/>
        <v>258.27083333333331</v>
      </c>
      <c r="P568" s="548">
        <f t="shared" si="112"/>
        <v>2213381.0416666665</v>
      </c>
    </row>
    <row r="569" spans="1:16" ht="12.75">
      <c r="A569" s="199" t="s">
        <v>3426</v>
      </c>
      <c r="B569" s="200" t="s">
        <v>3732</v>
      </c>
      <c r="C569" s="200" t="str">
        <f>VLOOKUP(B569,Fincas!$A$2:$C$1005,2,0)</f>
        <v>F_El Milagro</v>
      </c>
      <c r="D569" s="201">
        <v>44755</v>
      </c>
      <c r="E569" s="267" t="str">
        <f t="shared" si="111"/>
        <v>julio</v>
      </c>
      <c r="F569" s="202">
        <v>44755</v>
      </c>
      <c r="G569" s="203">
        <v>44760</v>
      </c>
      <c r="H569" s="200" t="s">
        <v>3944</v>
      </c>
      <c r="I569" s="217">
        <v>7008151</v>
      </c>
      <c r="J569" s="217" t="str">
        <f t="shared" si="113"/>
        <v>Res novilla ceba</v>
      </c>
      <c r="K569" s="200">
        <v>12059</v>
      </c>
      <c r="L569" s="550">
        <v>7662</v>
      </c>
      <c r="M569" s="205">
        <f t="shared" si="121"/>
        <v>92396058</v>
      </c>
      <c r="N569" s="214">
        <v>44</v>
      </c>
      <c r="O569" s="554">
        <f t="shared" si="114"/>
        <v>274.06818181818181</v>
      </c>
      <c r="P569" s="548">
        <f t="shared" si="112"/>
        <v>2099910.4090909092</v>
      </c>
    </row>
    <row r="570" spans="1:16" ht="12.75">
      <c r="A570" s="199" t="s">
        <v>3511</v>
      </c>
      <c r="B570" s="200" t="s">
        <v>3841</v>
      </c>
      <c r="C570" s="200" t="str">
        <f>VLOOKUP(B570,Fincas!$A$2:$C$1005,2,0)</f>
        <v>La Tranquilidad</v>
      </c>
      <c r="D570" s="201">
        <v>44754</v>
      </c>
      <c r="E570" s="267" t="str">
        <f t="shared" si="111"/>
        <v>julio</v>
      </c>
      <c r="F570" s="202">
        <v>44755</v>
      </c>
      <c r="G570" s="203">
        <v>44760</v>
      </c>
      <c r="H570" s="200">
        <v>8210</v>
      </c>
      <c r="I570" s="212">
        <v>7008147</v>
      </c>
      <c r="J570" s="212" t="str">
        <f t="shared" si="113"/>
        <v>Res macho levante</v>
      </c>
      <c r="K570" s="200">
        <v>3596</v>
      </c>
      <c r="L570" s="550">
        <v>7950</v>
      </c>
      <c r="M570" s="205">
        <f t="shared" si="121"/>
        <v>28588200</v>
      </c>
      <c r="N570" s="214">
        <v>15</v>
      </c>
      <c r="O570" s="554">
        <f t="shared" si="114"/>
        <v>239.73333333333332</v>
      </c>
      <c r="P570" s="548">
        <f t="shared" si="112"/>
        <v>1905880</v>
      </c>
    </row>
    <row r="571" spans="1:16" ht="12.75">
      <c r="A571" s="199" t="s">
        <v>3511</v>
      </c>
      <c r="B571" s="200" t="s">
        <v>3841</v>
      </c>
      <c r="C571" s="200" t="str">
        <f>VLOOKUP(B571,Fincas!$A$2:$C$1005,2,0)</f>
        <v>La Tranquilidad</v>
      </c>
      <c r="D571" s="201">
        <v>44754</v>
      </c>
      <c r="E571" s="267" t="str">
        <f t="shared" si="111"/>
        <v>julio</v>
      </c>
      <c r="F571" s="202">
        <v>44755</v>
      </c>
      <c r="G571" s="203">
        <v>44760</v>
      </c>
      <c r="H571" s="200">
        <v>8211</v>
      </c>
      <c r="I571" s="212">
        <v>7008147</v>
      </c>
      <c r="J571" s="212" t="str">
        <f t="shared" si="113"/>
        <v>Res macho levante</v>
      </c>
      <c r="K571" s="200">
        <v>5553</v>
      </c>
      <c r="L571" s="550">
        <v>8050</v>
      </c>
      <c r="M571" s="205">
        <f t="shared" si="121"/>
        <v>44701650</v>
      </c>
      <c r="N571" s="214">
        <v>26</v>
      </c>
      <c r="O571" s="554">
        <f t="shared" si="114"/>
        <v>213.57692307692307</v>
      </c>
      <c r="P571" s="548">
        <f t="shared" si="112"/>
        <v>1719294.2307692308</v>
      </c>
    </row>
    <row r="572" spans="1:16" ht="12.75">
      <c r="A572" s="199" t="s">
        <v>3511</v>
      </c>
      <c r="B572" s="200" t="s">
        <v>3841</v>
      </c>
      <c r="C572" s="200" t="str">
        <f>VLOOKUP(B572,Fincas!$A$2:$C$1005,2,0)</f>
        <v>La Tranquilidad</v>
      </c>
      <c r="D572" s="201">
        <v>44754</v>
      </c>
      <c r="E572" s="267" t="str">
        <f t="shared" si="111"/>
        <v>julio</v>
      </c>
      <c r="F572" s="202">
        <v>44755</v>
      </c>
      <c r="G572" s="203">
        <v>44760</v>
      </c>
      <c r="H572" s="200">
        <v>8212</v>
      </c>
      <c r="I572" s="212">
        <v>7008147</v>
      </c>
      <c r="J572" s="212" t="str">
        <f t="shared" si="113"/>
        <v>Res macho levante</v>
      </c>
      <c r="K572" s="200">
        <v>4249</v>
      </c>
      <c r="L572" s="550">
        <v>8000</v>
      </c>
      <c r="M572" s="205">
        <f t="shared" si="121"/>
        <v>33992000</v>
      </c>
      <c r="N572" s="214">
        <v>14</v>
      </c>
      <c r="O572" s="554">
        <f t="shared" si="114"/>
        <v>303.5</v>
      </c>
      <c r="P572" s="548">
        <f t="shared" si="112"/>
        <v>2428000</v>
      </c>
    </row>
    <row r="573" spans="1:16" ht="12.75">
      <c r="A573" s="199" t="s">
        <v>3511</v>
      </c>
      <c r="B573" s="200" t="s">
        <v>3841</v>
      </c>
      <c r="C573" s="200" t="str">
        <f>VLOOKUP(B573,Fincas!$A$2:$C$1005,2,0)</f>
        <v>La Tranquilidad</v>
      </c>
      <c r="D573" s="201">
        <v>44754</v>
      </c>
      <c r="E573" s="267" t="str">
        <f t="shared" si="111"/>
        <v>julio</v>
      </c>
      <c r="F573" s="202">
        <v>44755</v>
      </c>
      <c r="G573" s="203">
        <v>44760</v>
      </c>
      <c r="H573" s="200">
        <v>8233</v>
      </c>
      <c r="I573" s="212">
        <v>7008147</v>
      </c>
      <c r="J573" s="212" t="str">
        <f t="shared" si="113"/>
        <v>Res macho levante</v>
      </c>
      <c r="K573" s="200">
        <v>5376</v>
      </c>
      <c r="L573" s="550">
        <v>7650</v>
      </c>
      <c r="M573" s="205">
        <f t="shared" si="121"/>
        <v>41126400</v>
      </c>
      <c r="N573" s="214">
        <v>25</v>
      </c>
      <c r="O573" s="554">
        <f t="shared" si="114"/>
        <v>215.04</v>
      </c>
      <c r="P573" s="548">
        <f t="shared" si="112"/>
        <v>1645056</v>
      </c>
    </row>
    <row r="574" spans="1:16" ht="12.75">
      <c r="A574" s="199" t="s">
        <v>3511</v>
      </c>
      <c r="B574" s="200" t="s">
        <v>3841</v>
      </c>
      <c r="C574" s="200" t="str">
        <f>VLOOKUP(B574,Fincas!$A$2:$C$1005,2,0)</f>
        <v>La Tranquilidad</v>
      </c>
      <c r="D574" s="201">
        <v>44754</v>
      </c>
      <c r="E574" s="267" t="str">
        <f t="shared" si="111"/>
        <v>julio</v>
      </c>
      <c r="F574" s="202">
        <v>44755</v>
      </c>
      <c r="G574" s="203">
        <v>44760</v>
      </c>
      <c r="H574" s="200">
        <v>8235</v>
      </c>
      <c r="I574" s="212">
        <v>7008147</v>
      </c>
      <c r="J574" s="212" t="str">
        <f t="shared" si="113"/>
        <v>Res macho levante</v>
      </c>
      <c r="K574" s="200">
        <v>3909</v>
      </c>
      <c r="L574" s="550">
        <v>7500</v>
      </c>
      <c r="M574" s="205">
        <f t="shared" si="121"/>
        <v>29317500</v>
      </c>
      <c r="N574" s="214">
        <v>17</v>
      </c>
      <c r="O574" s="554">
        <f t="shared" si="114"/>
        <v>229.94117647058823</v>
      </c>
      <c r="P574" s="548">
        <f t="shared" si="112"/>
        <v>1724558.8235294118</v>
      </c>
    </row>
    <row r="575" spans="1:16" ht="12.75">
      <c r="A575" s="199" t="s">
        <v>3945</v>
      </c>
      <c r="B575" s="200" t="s">
        <v>3946</v>
      </c>
      <c r="C575" s="200" t="str">
        <f>VLOOKUP(B575,Fincas!$A$2:$C$1005,2,0)</f>
        <v>Potosi</v>
      </c>
      <c r="D575" s="201">
        <v>44758</v>
      </c>
      <c r="E575" s="267" t="str">
        <f t="shared" si="111"/>
        <v>julio</v>
      </c>
      <c r="F575" s="202">
        <v>44758</v>
      </c>
      <c r="G575" s="203">
        <v>44761</v>
      </c>
      <c r="H575" s="200" t="s">
        <v>3546</v>
      </c>
      <c r="I575" s="224">
        <v>7008146</v>
      </c>
      <c r="J575" s="234" t="str">
        <f t="shared" si="113"/>
        <v>Res macho ceba</v>
      </c>
      <c r="K575" s="200">
        <v>23744</v>
      </c>
      <c r="L575" s="550">
        <v>8800</v>
      </c>
      <c r="M575" s="205">
        <f t="shared" si="121"/>
        <v>208947200</v>
      </c>
      <c r="N575" s="214">
        <v>73</v>
      </c>
      <c r="O575" s="554">
        <f t="shared" si="114"/>
        <v>325.26027397260276</v>
      </c>
      <c r="P575" s="548">
        <f t="shared" si="112"/>
        <v>2862290.4109589043</v>
      </c>
    </row>
    <row r="576" spans="1:16" ht="12.75">
      <c r="A576" s="199" t="s">
        <v>3454</v>
      </c>
      <c r="B576" s="200" t="s">
        <v>3772</v>
      </c>
      <c r="C576" s="200" t="str">
        <f>VLOOKUP(B576,Fincas!$A$2:$C$1005,2,0)</f>
        <v>F_Salonica</v>
      </c>
      <c r="D576" s="201">
        <v>44756</v>
      </c>
      <c r="E576" s="267" t="str">
        <f t="shared" si="111"/>
        <v>julio</v>
      </c>
      <c r="F576" s="202">
        <v>44756</v>
      </c>
      <c r="G576" s="203">
        <v>44761</v>
      </c>
      <c r="H576" s="200">
        <v>240238</v>
      </c>
      <c r="I576" s="212">
        <v>7008147</v>
      </c>
      <c r="J576" s="212" t="str">
        <f t="shared" si="113"/>
        <v>Res macho levante</v>
      </c>
      <c r="K576" s="200">
        <v>5988</v>
      </c>
      <c r="L576" s="550">
        <f t="shared" ref="L576:L584" si="122">M576/K576</f>
        <v>8893.3650634602545</v>
      </c>
      <c r="M576" s="213">
        <v>53253470</v>
      </c>
      <c r="N576" s="214">
        <v>20</v>
      </c>
      <c r="O576" s="554">
        <f t="shared" si="114"/>
        <v>299.39999999999998</v>
      </c>
      <c r="P576" s="548">
        <f t="shared" si="112"/>
        <v>2662673.5</v>
      </c>
    </row>
    <row r="577" spans="1:16" ht="12.75">
      <c r="A577" s="199" t="s">
        <v>3454</v>
      </c>
      <c r="B577" s="200" t="s">
        <v>3772</v>
      </c>
      <c r="C577" s="200" t="str">
        <f>VLOOKUP(B577,Fincas!$A$2:$C$1005,2,0)</f>
        <v>F_Salonica</v>
      </c>
      <c r="D577" s="201">
        <v>44756</v>
      </c>
      <c r="E577" s="267" t="str">
        <f t="shared" si="111"/>
        <v>julio</v>
      </c>
      <c r="F577" s="202">
        <v>44756</v>
      </c>
      <c r="G577" s="203">
        <v>44761</v>
      </c>
      <c r="H577" s="200">
        <v>240246</v>
      </c>
      <c r="I577" s="212">
        <v>7008147</v>
      </c>
      <c r="J577" s="212" t="str">
        <f t="shared" si="113"/>
        <v>Res macho levante</v>
      </c>
      <c r="K577" s="200">
        <v>5752</v>
      </c>
      <c r="L577" s="550">
        <f t="shared" si="122"/>
        <v>8943.61004867872</v>
      </c>
      <c r="M577" s="213">
        <v>51443645</v>
      </c>
      <c r="N577" s="214">
        <v>23</v>
      </c>
      <c r="O577" s="554">
        <f t="shared" si="114"/>
        <v>250.08695652173913</v>
      </c>
      <c r="P577" s="548">
        <f t="shared" si="112"/>
        <v>2236680.2173913042</v>
      </c>
    </row>
    <row r="578" spans="1:16" ht="12.75">
      <c r="A578" s="199" t="s">
        <v>3454</v>
      </c>
      <c r="B578" s="200" t="s">
        <v>3772</v>
      </c>
      <c r="C578" s="200" t="str">
        <f>VLOOKUP(B578,Fincas!$A$2:$C$1005,2,0)</f>
        <v>F_Salonica</v>
      </c>
      <c r="D578" s="201">
        <v>44756</v>
      </c>
      <c r="E578" s="267" t="str">
        <f t="shared" ref="E578:E641" si="123">+TEXT(D578,"mmmm")</f>
        <v>julio</v>
      </c>
      <c r="F578" s="202">
        <v>44756</v>
      </c>
      <c r="G578" s="203">
        <v>44761</v>
      </c>
      <c r="H578" s="200">
        <v>240256</v>
      </c>
      <c r="I578" s="212">
        <v>7008147</v>
      </c>
      <c r="J578" s="212" t="str">
        <f t="shared" si="113"/>
        <v>Res macho levante</v>
      </c>
      <c r="K578" s="200">
        <v>6250</v>
      </c>
      <c r="L578" s="550">
        <f t="shared" si="122"/>
        <v>8541.6499199999998</v>
      </c>
      <c r="M578" s="213">
        <v>53385312</v>
      </c>
      <c r="N578" s="214">
        <v>20</v>
      </c>
      <c r="O578" s="554">
        <f t="shared" si="114"/>
        <v>312.5</v>
      </c>
      <c r="P578" s="548">
        <f t="shared" ref="P578:P641" si="124">+M578/N578</f>
        <v>2669265.6</v>
      </c>
    </row>
    <row r="579" spans="1:16" ht="12.75">
      <c r="A579" s="199" t="s">
        <v>3454</v>
      </c>
      <c r="B579" s="200" t="s">
        <v>3772</v>
      </c>
      <c r="C579" s="200" t="str">
        <f>VLOOKUP(B579,Fincas!$A$2:$C$1005,2,0)</f>
        <v>F_Salonica</v>
      </c>
      <c r="D579" s="201">
        <v>44756</v>
      </c>
      <c r="E579" s="267" t="str">
        <f t="shared" si="123"/>
        <v>julio</v>
      </c>
      <c r="F579" s="202">
        <v>44756</v>
      </c>
      <c r="G579" s="203">
        <v>44761</v>
      </c>
      <c r="H579" s="200">
        <v>240262</v>
      </c>
      <c r="I579" s="212">
        <v>7008147</v>
      </c>
      <c r="J579" s="212" t="str">
        <f t="shared" ref="J579:J642" si="125">+VLOOKUP(I579,$F$962:$G$970,2,0)</f>
        <v>Res macho levante</v>
      </c>
      <c r="K579" s="200">
        <v>5434</v>
      </c>
      <c r="L579" s="550">
        <f t="shared" si="122"/>
        <v>8642.1400441663591</v>
      </c>
      <c r="M579" s="213">
        <v>46961389</v>
      </c>
      <c r="N579" s="214">
        <v>18</v>
      </c>
      <c r="O579" s="554">
        <f t="shared" ref="O579:O642" si="126">+K579/N579</f>
        <v>301.88888888888891</v>
      </c>
      <c r="P579" s="548">
        <f t="shared" si="124"/>
        <v>2608966.0555555555</v>
      </c>
    </row>
    <row r="580" spans="1:16" ht="12.75">
      <c r="A580" s="199" t="s">
        <v>3454</v>
      </c>
      <c r="B580" s="200" t="s">
        <v>3772</v>
      </c>
      <c r="C580" s="200" t="str">
        <f>VLOOKUP(B580,Fincas!$A$2:$C$1005,2,0)</f>
        <v>F_Salonica</v>
      </c>
      <c r="D580" s="201">
        <v>44756</v>
      </c>
      <c r="E580" s="267" t="str">
        <f t="shared" si="123"/>
        <v>julio</v>
      </c>
      <c r="F580" s="202">
        <v>44756</v>
      </c>
      <c r="G580" s="203">
        <v>44761</v>
      </c>
      <c r="H580" s="200">
        <v>240266</v>
      </c>
      <c r="I580" s="212">
        <v>7008147</v>
      </c>
      <c r="J580" s="212" t="str">
        <f t="shared" si="125"/>
        <v>Res macho levante</v>
      </c>
      <c r="K580" s="200">
        <v>5766</v>
      </c>
      <c r="L580" s="550">
        <f t="shared" si="122"/>
        <v>9144.5900104058273</v>
      </c>
      <c r="M580" s="213">
        <v>52727706</v>
      </c>
      <c r="N580" s="214">
        <v>22</v>
      </c>
      <c r="O580" s="554">
        <f t="shared" si="126"/>
        <v>262.09090909090907</v>
      </c>
      <c r="P580" s="548">
        <f t="shared" si="124"/>
        <v>2396713.9090909092</v>
      </c>
    </row>
    <row r="581" spans="1:16" ht="12.75">
      <c r="A581" s="199" t="s">
        <v>3454</v>
      </c>
      <c r="B581" s="200" t="s">
        <v>3772</v>
      </c>
      <c r="C581" s="200" t="str">
        <f>VLOOKUP(B581,Fincas!$A$2:$C$1005,2,0)</f>
        <v>F_Salonica</v>
      </c>
      <c r="D581" s="201">
        <v>44756</v>
      </c>
      <c r="E581" s="267" t="str">
        <f t="shared" si="123"/>
        <v>julio</v>
      </c>
      <c r="F581" s="202">
        <v>44756</v>
      </c>
      <c r="G581" s="203">
        <v>44761</v>
      </c>
      <c r="H581" s="200">
        <v>240270</v>
      </c>
      <c r="I581" s="212">
        <v>7008147</v>
      </c>
      <c r="J581" s="212" t="str">
        <f t="shared" si="125"/>
        <v>Res macho levante</v>
      </c>
      <c r="K581" s="200">
        <v>5776</v>
      </c>
      <c r="L581" s="550">
        <f t="shared" si="122"/>
        <v>8843.1199792243769</v>
      </c>
      <c r="M581" s="213">
        <v>51077861</v>
      </c>
      <c r="N581" s="214">
        <v>20</v>
      </c>
      <c r="O581" s="554">
        <f t="shared" si="126"/>
        <v>288.8</v>
      </c>
      <c r="P581" s="548">
        <f t="shared" si="124"/>
        <v>2553893.0499999998</v>
      </c>
    </row>
    <row r="582" spans="1:16" ht="12.75">
      <c r="A582" s="199" t="s">
        <v>3454</v>
      </c>
      <c r="B582" s="200" t="s">
        <v>3772</v>
      </c>
      <c r="C582" s="200" t="str">
        <f>VLOOKUP(B582,Fincas!$A$2:$C$1005,2,0)</f>
        <v>F_Salonica</v>
      </c>
      <c r="D582" s="201">
        <v>44756</v>
      </c>
      <c r="E582" s="267" t="str">
        <f t="shared" si="123"/>
        <v>julio</v>
      </c>
      <c r="F582" s="202">
        <v>44756</v>
      </c>
      <c r="G582" s="203">
        <v>44761</v>
      </c>
      <c r="H582" s="200">
        <v>240280</v>
      </c>
      <c r="I582" s="212">
        <v>7008147</v>
      </c>
      <c r="J582" s="212" t="str">
        <f t="shared" si="125"/>
        <v>Res macho levante</v>
      </c>
      <c r="K582" s="200">
        <v>5258</v>
      </c>
      <c r="L582" s="550">
        <f t="shared" si="122"/>
        <v>9144.5899581589965</v>
      </c>
      <c r="M582" s="213">
        <v>48082254</v>
      </c>
      <c r="N582" s="214">
        <v>18</v>
      </c>
      <c r="O582" s="554">
        <f t="shared" si="126"/>
        <v>292.11111111111109</v>
      </c>
      <c r="P582" s="548">
        <f t="shared" si="124"/>
        <v>2671236.3333333335</v>
      </c>
    </row>
    <row r="583" spans="1:16" ht="12.75">
      <c r="A583" s="199" t="s">
        <v>3454</v>
      </c>
      <c r="B583" s="200" t="s">
        <v>3772</v>
      </c>
      <c r="C583" s="200" t="str">
        <f>VLOOKUP(B583,Fincas!$A$2:$C$1005,2,0)</f>
        <v>F_Salonica</v>
      </c>
      <c r="D583" s="201">
        <v>44756</v>
      </c>
      <c r="E583" s="267" t="str">
        <f t="shared" si="123"/>
        <v>julio</v>
      </c>
      <c r="F583" s="202">
        <v>44756</v>
      </c>
      <c r="G583" s="203">
        <v>44761</v>
      </c>
      <c r="H583" s="200">
        <v>240284</v>
      </c>
      <c r="I583" s="212">
        <v>7008147</v>
      </c>
      <c r="J583" s="212" t="str">
        <f t="shared" si="125"/>
        <v>Res macho levante</v>
      </c>
      <c r="K583" s="200">
        <v>5488</v>
      </c>
      <c r="L583" s="550">
        <f t="shared" si="122"/>
        <v>8993.8549562682219</v>
      </c>
      <c r="M583" s="213">
        <v>49358276</v>
      </c>
      <c r="N583" s="214">
        <v>18</v>
      </c>
      <c r="O583" s="554">
        <f t="shared" si="126"/>
        <v>304.88888888888891</v>
      </c>
      <c r="P583" s="548">
        <f t="shared" si="124"/>
        <v>2742126.4444444445</v>
      </c>
    </row>
    <row r="584" spans="1:16" ht="12.75">
      <c r="A584" s="199" t="s">
        <v>3454</v>
      </c>
      <c r="B584" s="200" t="s">
        <v>3476</v>
      </c>
      <c r="C584" s="200" t="str">
        <f>VLOOKUP(B584,Fincas!$A$2:$C$1005,2,0)</f>
        <v>F_Guacharacas</v>
      </c>
      <c r="D584" s="201">
        <v>44756</v>
      </c>
      <c r="E584" s="267" t="str">
        <f t="shared" si="123"/>
        <v>julio</v>
      </c>
      <c r="F584" s="202">
        <v>44756</v>
      </c>
      <c r="G584" s="203">
        <v>44761</v>
      </c>
      <c r="H584" s="200">
        <v>240234</v>
      </c>
      <c r="I584" s="224">
        <v>7008146</v>
      </c>
      <c r="J584" s="234" t="str">
        <f t="shared" si="125"/>
        <v>Res macho ceba</v>
      </c>
      <c r="K584" s="200">
        <v>6908</v>
      </c>
      <c r="L584" s="550">
        <f t="shared" si="122"/>
        <v>8491.4050376375217</v>
      </c>
      <c r="M584" s="213">
        <v>58658626</v>
      </c>
      <c r="N584" s="214">
        <v>18</v>
      </c>
      <c r="O584" s="554">
        <f t="shared" si="126"/>
        <v>383.77777777777777</v>
      </c>
      <c r="P584" s="548">
        <f t="shared" si="124"/>
        <v>3258812.5555555555</v>
      </c>
    </row>
    <row r="585" spans="1:16" ht="12.75">
      <c r="A585" s="199" t="s">
        <v>3947</v>
      </c>
      <c r="B585" s="200" t="s">
        <v>3442</v>
      </c>
      <c r="C585" s="200" t="str">
        <f>VLOOKUP(B585,Fincas!$A$2:$C$1005,2,0)</f>
        <v>F_El Diamante</v>
      </c>
      <c r="D585" s="201">
        <v>44760</v>
      </c>
      <c r="E585" s="267" t="str">
        <f t="shared" si="123"/>
        <v>julio</v>
      </c>
      <c r="F585" s="202">
        <v>44758</v>
      </c>
      <c r="G585" s="203">
        <v>44762</v>
      </c>
      <c r="H585" s="200" t="s">
        <v>3948</v>
      </c>
      <c r="I585" s="227">
        <v>7008459</v>
      </c>
      <c r="J585" s="227" t="str">
        <f t="shared" si="125"/>
        <v>Res macho Cría</v>
      </c>
      <c r="K585" s="200">
        <v>2836</v>
      </c>
      <c r="L585" s="550">
        <v>14136</v>
      </c>
      <c r="M585" s="205">
        <f t="shared" ref="M585:M599" si="127">L585*K585</f>
        <v>40089696</v>
      </c>
      <c r="N585" s="214">
        <v>31</v>
      </c>
      <c r="O585" s="554">
        <f t="shared" si="126"/>
        <v>91.483870967741936</v>
      </c>
      <c r="P585" s="548">
        <f t="shared" si="124"/>
        <v>1293216</v>
      </c>
    </row>
    <row r="586" spans="1:16" ht="12.75">
      <c r="A586" s="199" t="s">
        <v>3511</v>
      </c>
      <c r="B586" s="200" t="s">
        <v>3728</v>
      </c>
      <c r="C586" s="200" t="str">
        <f>VLOOKUP(B586,Fincas!$A$2:$C$1005,2,0)</f>
        <v>F_Gualanday</v>
      </c>
      <c r="D586" s="201">
        <v>44749</v>
      </c>
      <c r="E586" s="267" t="str">
        <f t="shared" si="123"/>
        <v>julio</v>
      </c>
      <c r="F586" s="202">
        <v>44750</v>
      </c>
      <c r="G586" s="203">
        <v>44763</v>
      </c>
      <c r="H586" s="200">
        <v>8166</v>
      </c>
      <c r="I586" s="224">
        <v>7008146</v>
      </c>
      <c r="J586" s="234" t="str">
        <f t="shared" si="125"/>
        <v>Res macho ceba</v>
      </c>
      <c r="K586" s="200">
        <v>5553</v>
      </c>
      <c r="L586" s="550">
        <v>8200</v>
      </c>
      <c r="M586" s="205">
        <f t="shared" si="127"/>
        <v>45534600</v>
      </c>
      <c r="N586" s="214">
        <v>15</v>
      </c>
      <c r="O586" s="554">
        <f t="shared" si="126"/>
        <v>370.2</v>
      </c>
      <c r="P586" s="548">
        <f t="shared" si="124"/>
        <v>3035640</v>
      </c>
    </row>
    <row r="587" spans="1:16" ht="12.75">
      <c r="A587" s="199" t="s">
        <v>3511</v>
      </c>
      <c r="B587" s="200" t="s">
        <v>3728</v>
      </c>
      <c r="C587" s="200" t="str">
        <f>VLOOKUP(B587,Fincas!$A$2:$C$1005,2,0)</f>
        <v>F_Gualanday</v>
      </c>
      <c r="D587" s="201">
        <v>44749</v>
      </c>
      <c r="E587" s="267" t="str">
        <f t="shared" si="123"/>
        <v>julio</v>
      </c>
      <c r="F587" s="202">
        <v>44750</v>
      </c>
      <c r="G587" s="203">
        <v>44763</v>
      </c>
      <c r="H587" s="200">
        <v>8130</v>
      </c>
      <c r="I587" s="224">
        <v>7008146</v>
      </c>
      <c r="J587" s="234" t="str">
        <f t="shared" si="125"/>
        <v>Res macho ceba</v>
      </c>
      <c r="K587" s="200">
        <v>5754</v>
      </c>
      <c r="L587" s="550">
        <v>8250</v>
      </c>
      <c r="M587" s="205">
        <f t="shared" si="127"/>
        <v>47470500</v>
      </c>
      <c r="N587" s="214">
        <v>15</v>
      </c>
      <c r="O587" s="554">
        <f t="shared" si="126"/>
        <v>383.6</v>
      </c>
      <c r="P587" s="548">
        <f t="shared" si="124"/>
        <v>3164700</v>
      </c>
    </row>
    <row r="588" spans="1:16" ht="12.75">
      <c r="A588" s="199" t="s">
        <v>3511</v>
      </c>
      <c r="B588" s="200" t="s">
        <v>3790</v>
      </c>
      <c r="C588" s="200" t="str">
        <f>VLOOKUP(B588,Fincas!$A$2:$C$1005,2,0)</f>
        <v>F_Predio Aguachi</v>
      </c>
      <c r="D588" s="201">
        <v>44756</v>
      </c>
      <c r="E588" s="267" t="str">
        <f t="shared" si="123"/>
        <v>julio</v>
      </c>
      <c r="F588" s="202">
        <v>44757</v>
      </c>
      <c r="G588" s="203">
        <v>44764</v>
      </c>
      <c r="H588" s="200">
        <v>8278</v>
      </c>
      <c r="I588" s="224">
        <v>7008146</v>
      </c>
      <c r="J588" s="234" t="str">
        <f t="shared" si="125"/>
        <v>Res macho ceba</v>
      </c>
      <c r="K588" s="200">
        <v>6538</v>
      </c>
      <c r="L588" s="550">
        <v>8400</v>
      </c>
      <c r="M588" s="205">
        <f t="shared" si="127"/>
        <v>54919200</v>
      </c>
      <c r="N588" s="214">
        <v>20</v>
      </c>
      <c r="O588" s="554">
        <f t="shared" si="126"/>
        <v>326.89999999999998</v>
      </c>
      <c r="P588" s="548">
        <f t="shared" si="124"/>
        <v>2745960</v>
      </c>
    </row>
    <row r="589" spans="1:16" ht="12.75">
      <c r="A589" s="199" t="s">
        <v>3511</v>
      </c>
      <c r="B589" s="200" t="s">
        <v>3790</v>
      </c>
      <c r="C589" s="200" t="str">
        <f>VLOOKUP(B589,Fincas!$A$2:$C$1005,2,0)</f>
        <v>F_Predio Aguachi</v>
      </c>
      <c r="D589" s="201">
        <v>44756</v>
      </c>
      <c r="E589" s="267" t="str">
        <f t="shared" si="123"/>
        <v>julio</v>
      </c>
      <c r="F589" s="202">
        <v>44757</v>
      </c>
      <c r="G589" s="203">
        <v>44764</v>
      </c>
      <c r="H589" s="200">
        <v>8279</v>
      </c>
      <c r="I589" s="224">
        <v>7008146</v>
      </c>
      <c r="J589" s="234" t="str">
        <f t="shared" si="125"/>
        <v>Res macho ceba</v>
      </c>
      <c r="K589" s="200">
        <v>6322</v>
      </c>
      <c r="L589" s="550">
        <v>8350</v>
      </c>
      <c r="M589" s="205">
        <f t="shared" si="127"/>
        <v>52788700</v>
      </c>
      <c r="N589" s="214">
        <v>20</v>
      </c>
      <c r="O589" s="554">
        <f t="shared" si="126"/>
        <v>316.10000000000002</v>
      </c>
      <c r="P589" s="548">
        <f t="shared" si="124"/>
        <v>2639435</v>
      </c>
    </row>
    <row r="590" spans="1:16" ht="12.75">
      <c r="A590" s="199" t="s">
        <v>3511</v>
      </c>
      <c r="B590" s="200" t="s">
        <v>3790</v>
      </c>
      <c r="C590" s="200" t="str">
        <f>VLOOKUP(B590,Fincas!$A$2:$C$1005,2,0)</f>
        <v>F_Predio Aguachi</v>
      </c>
      <c r="D590" s="201">
        <v>44756</v>
      </c>
      <c r="E590" s="267" t="str">
        <f t="shared" si="123"/>
        <v>julio</v>
      </c>
      <c r="F590" s="202">
        <v>44757</v>
      </c>
      <c r="G590" s="203">
        <v>44764</v>
      </c>
      <c r="H590" s="200">
        <v>8286</v>
      </c>
      <c r="I590" s="224">
        <v>7008146</v>
      </c>
      <c r="J590" s="234" t="str">
        <f t="shared" si="125"/>
        <v>Res macho ceba</v>
      </c>
      <c r="K590" s="200">
        <v>6325</v>
      </c>
      <c r="L590" s="550">
        <v>7900</v>
      </c>
      <c r="M590" s="205">
        <f t="shared" si="127"/>
        <v>49967500</v>
      </c>
      <c r="N590" s="214">
        <v>20</v>
      </c>
      <c r="O590" s="554">
        <f t="shared" si="126"/>
        <v>316.25</v>
      </c>
      <c r="P590" s="548">
        <f t="shared" si="124"/>
        <v>2498375</v>
      </c>
    </row>
    <row r="591" spans="1:16" ht="12.75">
      <c r="A591" s="199" t="s">
        <v>3511</v>
      </c>
      <c r="B591" s="200" t="s">
        <v>3790</v>
      </c>
      <c r="C591" s="200" t="str">
        <f>VLOOKUP(B591,Fincas!$A$2:$C$1005,2,0)</f>
        <v>F_Predio Aguachi</v>
      </c>
      <c r="D591" s="201">
        <v>44756</v>
      </c>
      <c r="E591" s="267" t="str">
        <f t="shared" si="123"/>
        <v>julio</v>
      </c>
      <c r="F591" s="202">
        <v>44757</v>
      </c>
      <c r="G591" s="203">
        <v>44764</v>
      </c>
      <c r="H591" s="200">
        <v>8294</v>
      </c>
      <c r="I591" s="224">
        <v>7008146</v>
      </c>
      <c r="J591" s="234" t="str">
        <f t="shared" si="125"/>
        <v>Res macho ceba</v>
      </c>
      <c r="K591" s="200">
        <v>5926</v>
      </c>
      <c r="L591" s="550">
        <v>8600</v>
      </c>
      <c r="M591" s="205">
        <f t="shared" si="127"/>
        <v>50963600</v>
      </c>
      <c r="N591" s="214">
        <v>20</v>
      </c>
      <c r="O591" s="554">
        <f t="shared" si="126"/>
        <v>296.3</v>
      </c>
      <c r="P591" s="548">
        <f t="shared" si="124"/>
        <v>2548180</v>
      </c>
    </row>
    <row r="592" spans="1:16" ht="12.75">
      <c r="A592" s="199" t="s">
        <v>3511</v>
      </c>
      <c r="B592" s="200" t="s">
        <v>3826</v>
      </c>
      <c r="C592" s="200" t="str">
        <f>VLOOKUP(B592,Fincas!$A$2:$C$1005,2,0)</f>
        <v>F_Venecia</v>
      </c>
      <c r="D592" s="201">
        <v>44756</v>
      </c>
      <c r="E592" s="267" t="str">
        <f t="shared" si="123"/>
        <v>julio</v>
      </c>
      <c r="F592" s="202">
        <v>44757</v>
      </c>
      <c r="G592" s="203">
        <v>44764</v>
      </c>
      <c r="H592" s="200" t="s">
        <v>3949</v>
      </c>
      <c r="I592" s="200">
        <v>7008146</v>
      </c>
      <c r="J592" s="209" t="str">
        <f t="shared" si="125"/>
        <v>Res macho ceba</v>
      </c>
      <c r="K592" s="200">
        <v>6568</v>
      </c>
      <c r="L592" s="550">
        <v>8050</v>
      </c>
      <c r="M592" s="205">
        <f t="shared" si="127"/>
        <v>52872400</v>
      </c>
      <c r="N592" s="214">
        <v>16</v>
      </c>
      <c r="O592" s="554">
        <f t="shared" si="126"/>
        <v>410.5</v>
      </c>
      <c r="P592" s="548">
        <f t="shared" si="124"/>
        <v>3304525</v>
      </c>
    </row>
    <row r="593" spans="1:16" ht="12.75">
      <c r="A593" s="199" t="s">
        <v>3511</v>
      </c>
      <c r="B593" s="200" t="s">
        <v>3841</v>
      </c>
      <c r="C593" s="200" t="str">
        <f>VLOOKUP(B593,Fincas!$A$2:$C$1005,2,0)</f>
        <v>La Tranquilidad</v>
      </c>
      <c r="D593" s="201">
        <v>44756</v>
      </c>
      <c r="E593" s="267" t="str">
        <f t="shared" si="123"/>
        <v>julio</v>
      </c>
      <c r="F593" s="202">
        <v>44757</v>
      </c>
      <c r="G593" s="203">
        <v>44764</v>
      </c>
      <c r="H593" s="200">
        <v>8276</v>
      </c>
      <c r="I593" s="212">
        <v>7008147</v>
      </c>
      <c r="J593" s="212" t="str">
        <f t="shared" si="125"/>
        <v>Res macho levante</v>
      </c>
      <c r="K593" s="200">
        <v>2551</v>
      </c>
      <c r="L593" s="550">
        <v>8300</v>
      </c>
      <c r="M593" s="205">
        <f t="shared" si="127"/>
        <v>21173300</v>
      </c>
      <c r="N593" s="214">
        <v>13</v>
      </c>
      <c r="O593" s="554">
        <f t="shared" si="126"/>
        <v>196.23076923076923</v>
      </c>
      <c r="P593" s="548">
        <f t="shared" si="124"/>
        <v>1628715.3846153845</v>
      </c>
    </row>
    <row r="594" spans="1:16" ht="12.75">
      <c r="A594" s="199" t="s">
        <v>3511</v>
      </c>
      <c r="B594" s="200" t="s">
        <v>3841</v>
      </c>
      <c r="C594" s="200" t="str">
        <f>VLOOKUP(B594,Fincas!$A$2:$C$1005,2,0)</f>
        <v>La Tranquilidad</v>
      </c>
      <c r="D594" s="201">
        <v>44756</v>
      </c>
      <c r="E594" s="267" t="str">
        <f t="shared" si="123"/>
        <v>julio</v>
      </c>
      <c r="F594" s="202">
        <v>44757</v>
      </c>
      <c r="G594" s="203">
        <v>44764</v>
      </c>
      <c r="H594" s="200">
        <v>8308</v>
      </c>
      <c r="I594" s="212">
        <v>7008147</v>
      </c>
      <c r="J594" s="212" t="str">
        <f t="shared" si="125"/>
        <v>Res macho levante</v>
      </c>
      <c r="K594" s="200">
        <v>2158</v>
      </c>
      <c r="L594" s="550">
        <v>7950</v>
      </c>
      <c r="M594" s="205">
        <f t="shared" si="127"/>
        <v>17156100</v>
      </c>
      <c r="N594" s="214">
        <v>8</v>
      </c>
      <c r="O594" s="554">
        <f t="shared" si="126"/>
        <v>269.75</v>
      </c>
      <c r="P594" s="548">
        <f t="shared" si="124"/>
        <v>2144512.5</v>
      </c>
    </row>
    <row r="595" spans="1:16" ht="12.75">
      <c r="A595" s="199" t="s">
        <v>3511</v>
      </c>
      <c r="B595" s="200" t="s">
        <v>3489</v>
      </c>
      <c r="C595" s="200" t="str">
        <f>VLOOKUP(B595,Fincas!$A$2:$C$1005,2,0)</f>
        <v>F_La Pradilla</v>
      </c>
      <c r="D595" s="201">
        <v>44749</v>
      </c>
      <c r="E595" s="267" t="str">
        <f t="shared" si="123"/>
        <v>julio</v>
      </c>
      <c r="F595" s="202">
        <v>44750</v>
      </c>
      <c r="G595" s="203">
        <v>44764</v>
      </c>
      <c r="H595" s="200" t="s">
        <v>3950</v>
      </c>
      <c r="I595" s="200">
        <v>7008146</v>
      </c>
      <c r="J595" s="209" t="str">
        <f t="shared" si="125"/>
        <v>Res macho ceba</v>
      </c>
      <c r="K595" s="200">
        <v>3222</v>
      </c>
      <c r="L595" s="550">
        <v>7750</v>
      </c>
      <c r="M595" s="205">
        <f t="shared" si="127"/>
        <v>24970500</v>
      </c>
      <c r="N595" s="214">
        <v>10</v>
      </c>
      <c r="O595" s="554">
        <f t="shared" si="126"/>
        <v>322.2</v>
      </c>
      <c r="P595" s="548">
        <f t="shared" si="124"/>
        <v>2497050</v>
      </c>
    </row>
    <row r="596" spans="1:16" ht="12.75">
      <c r="A596" s="199" t="s">
        <v>672</v>
      </c>
      <c r="B596" s="200" t="s">
        <v>3480</v>
      </c>
      <c r="C596" s="200" t="str">
        <f>VLOOKUP(B596,Fincas!$A$2:$C$1005,2,0)</f>
        <v>F_Chenevo</v>
      </c>
      <c r="D596" s="201">
        <v>44749</v>
      </c>
      <c r="E596" s="267" t="str">
        <f t="shared" si="123"/>
        <v>julio</v>
      </c>
      <c r="F596" s="202">
        <v>44744</v>
      </c>
      <c r="G596" s="203">
        <v>44767</v>
      </c>
      <c r="H596" s="200" t="s">
        <v>2469</v>
      </c>
      <c r="I596" s="200">
        <v>7008146</v>
      </c>
      <c r="J596" s="209" t="str">
        <f t="shared" si="125"/>
        <v>Res macho ceba</v>
      </c>
      <c r="K596" s="200">
        <v>25790</v>
      </c>
      <c r="L596" s="550">
        <v>8800</v>
      </c>
      <c r="M596" s="205">
        <f t="shared" si="127"/>
        <v>226952000</v>
      </c>
      <c r="N596" s="214">
        <v>89</v>
      </c>
      <c r="O596" s="554">
        <f t="shared" si="126"/>
        <v>289.77528089887642</v>
      </c>
      <c r="P596" s="548">
        <f t="shared" si="124"/>
        <v>2550022.4719101125</v>
      </c>
    </row>
    <row r="597" spans="1:16" ht="12.75">
      <c r="A597" s="199" t="s">
        <v>3927</v>
      </c>
      <c r="B597" s="200" t="s">
        <v>3894</v>
      </c>
      <c r="C597" s="200" t="str">
        <f>VLOOKUP(B597,Fincas!$A$2:$C$1005,2,0)</f>
        <v>F_Patio Bonito</v>
      </c>
      <c r="D597" s="201">
        <v>44763</v>
      </c>
      <c r="E597" s="267" t="str">
        <f t="shared" si="123"/>
        <v>julio</v>
      </c>
      <c r="F597" s="202">
        <v>44763</v>
      </c>
      <c r="G597" s="203">
        <v>44767</v>
      </c>
      <c r="H597" s="200" t="s">
        <v>3951</v>
      </c>
      <c r="I597" s="200">
        <v>7008146</v>
      </c>
      <c r="J597" s="209" t="str">
        <f t="shared" si="125"/>
        <v>Res macho ceba</v>
      </c>
      <c r="K597" s="200">
        <v>2410</v>
      </c>
      <c r="L597" s="550">
        <v>9095</v>
      </c>
      <c r="M597" s="205">
        <f t="shared" si="127"/>
        <v>21918950</v>
      </c>
      <c r="N597" s="214">
        <v>9</v>
      </c>
      <c r="O597" s="554">
        <f t="shared" si="126"/>
        <v>267.77777777777777</v>
      </c>
      <c r="P597" s="548">
        <f t="shared" si="124"/>
        <v>2435438.888888889</v>
      </c>
    </row>
    <row r="598" spans="1:16" ht="12.75">
      <c r="A598" s="199" t="s">
        <v>3426</v>
      </c>
      <c r="B598" s="200" t="s">
        <v>3557</v>
      </c>
      <c r="C598" s="200" t="str">
        <f>VLOOKUP(B598,Fincas!$A$2:$C$1005,2,0)</f>
        <v>F_San Clemente</v>
      </c>
      <c r="D598" s="201">
        <v>44765</v>
      </c>
      <c r="E598" s="267" t="str">
        <f t="shared" si="123"/>
        <v>julio</v>
      </c>
      <c r="F598" s="202">
        <v>44765</v>
      </c>
      <c r="G598" s="203">
        <v>44768</v>
      </c>
      <c r="H598" s="200" t="s">
        <v>3953</v>
      </c>
      <c r="I598" s="212">
        <v>7008147</v>
      </c>
      <c r="J598" s="212" t="str">
        <f t="shared" si="125"/>
        <v>Res macho levante</v>
      </c>
      <c r="K598" s="200">
        <v>10771</v>
      </c>
      <c r="L598" s="550">
        <v>8610</v>
      </c>
      <c r="M598" s="205">
        <f t="shared" si="127"/>
        <v>92738310</v>
      </c>
      <c r="N598" s="214">
        <v>40</v>
      </c>
      <c r="O598" s="554">
        <f t="shared" si="126"/>
        <v>269.27499999999998</v>
      </c>
      <c r="P598" s="548">
        <f t="shared" si="124"/>
        <v>2318457.75</v>
      </c>
    </row>
    <row r="599" spans="1:16" ht="12.75">
      <c r="A599" s="199" t="s">
        <v>3511</v>
      </c>
      <c r="B599" s="200" t="s">
        <v>3849</v>
      </c>
      <c r="C599" s="200" t="str">
        <f>VLOOKUP(B599,Fincas!$A$2:$C$1005,2,0)</f>
        <v>F_Bello Horizont</v>
      </c>
      <c r="D599" s="201">
        <v>44749</v>
      </c>
      <c r="E599" s="267" t="str">
        <f t="shared" si="123"/>
        <v>julio</v>
      </c>
      <c r="F599" s="202">
        <v>44743</v>
      </c>
      <c r="G599" s="203">
        <v>44769</v>
      </c>
      <c r="H599" s="200" t="s">
        <v>3955</v>
      </c>
      <c r="I599" s="200">
        <v>7008146</v>
      </c>
      <c r="J599" s="209" t="str">
        <f t="shared" si="125"/>
        <v>Res macho ceba</v>
      </c>
      <c r="K599" s="200">
        <v>14208</v>
      </c>
      <c r="L599" s="550">
        <v>8520</v>
      </c>
      <c r="M599" s="205">
        <f t="shared" si="127"/>
        <v>121052160</v>
      </c>
      <c r="N599" s="214">
        <v>36</v>
      </c>
      <c r="O599" s="554">
        <f t="shared" si="126"/>
        <v>394.66666666666669</v>
      </c>
      <c r="P599" s="548">
        <f t="shared" si="124"/>
        <v>3362560</v>
      </c>
    </row>
    <row r="600" spans="1:16" ht="12.75">
      <c r="A600" s="199" t="s">
        <v>3454</v>
      </c>
      <c r="B600" s="200" t="s">
        <v>3464</v>
      </c>
      <c r="C600" s="200" t="str">
        <f>VLOOKUP(B600,Fincas!$A$2:$C$1005,2,0)</f>
        <v>F_Texas Araujo</v>
      </c>
      <c r="D600" s="201">
        <v>44764</v>
      </c>
      <c r="E600" s="267" t="str">
        <f t="shared" si="123"/>
        <v>julio</v>
      </c>
      <c r="F600" s="202">
        <v>44764</v>
      </c>
      <c r="G600" s="203">
        <v>44769</v>
      </c>
      <c r="H600" s="200">
        <v>8205</v>
      </c>
      <c r="I600" s="200">
        <v>7008146</v>
      </c>
      <c r="J600" s="209" t="str">
        <f t="shared" si="125"/>
        <v>Res macho ceba</v>
      </c>
      <c r="K600" s="200">
        <v>5975</v>
      </c>
      <c r="L600" s="550">
        <f t="shared" ref="L600:L602" si="128">M600/K600</f>
        <v>8390.9149790794982</v>
      </c>
      <c r="M600" s="213">
        <v>50135717</v>
      </c>
      <c r="N600" s="214">
        <v>17</v>
      </c>
      <c r="O600" s="554">
        <f t="shared" si="126"/>
        <v>351.47058823529414</v>
      </c>
      <c r="P600" s="548">
        <f t="shared" si="124"/>
        <v>2949159.8235294116</v>
      </c>
    </row>
    <row r="601" spans="1:16" ht="12.75">
      <c r="A601" s="199" t="s">
        <v>3454</v>
      </c>
      <c r="B601" s="200" t="s">
        <v>3464</v>
      </c>
      <c r="C601" s="200" t="str">
        <f>VLOOKUP(B601,Fincas!$A$2:$C$1005,2,0)</f>
        <v>F_Texas Araujo</v>
      </c>
      <c r="D601" s="201">
        <v>44764</v>
      </c>
      <c r="E601" s="267" t="str">
        <f t="shared" si="123"/>
        <v>julio</v>
      </c>
      <c r="F601" s="202">
        <v>44764</v>
      </c>
      <c r="G601" s="203">
        <v>44769</v>
      </c>
      <c r="H601" s="200">
        <v>8206</v>
      </c>
      <c r="I601" s="200">
        <v>7008146</v>
      </c>
      <c r="J601" s="209" t="str">
        <f t="shared" si="125"/>
        <v>Res macho ceba</v>
      </c>
      <c r="K601" s="200">
        <v>5987</v>
      </c>
      <c r="L601" s="550">
        <f t="shared" si="128"/>
        <v>8340.6699515617165</v>
      </c>
      <c r="M601" s="213">
        <v>49935591</v>
      </c>
      <c r="N601" s="214">
        <v>18</v>
      </c>
      <c r="O601" s="554">
        <f t="shared" si="126"/>
        <v>332.61111111111109</v>
      </c>
      <c r="P601" s="548">
        <f t="shared" si="124"/>
        <v>2774199.5</v>
      </c>
    </row>
    <row r="602" spans="1:16" ht="12.75">
      <c r="A602" s="199" t="s">
        <v>3454</v>
      </c>
      <c r="B602" s="200" t="s">
        <v>3464</v>
      </c>
      <c r="C602" s="200" t="str">
        <f>VLOOKUP(B602,Fincas!$A$2:$C$1005,2,0)</f>
        <v>F_Texas Araujo</v>
      </c>
      <c r="D602" s="201">
        <v>44764</v>
      </c>
      <c r="E602" s="267" t="str">
        <f t="shared" si="123"/>
        <v>julio</v>
      </c>
      <c r="F602" s="202">
        <v>44764</v>
      </c>
      <c r="G602" s="203">
        <v>44769</v>
      </c>
      <c r="H602" s="200">
        <v>8207</v>
      </c>
      <c r="I602" s="200">
        <v>7008146</v>
      </c>
      <c r="J602" s="209" t="str">
        <f t="shared" si="125"/>
        <v>Res macho ceba</v>
      </c>
      <c r="K602" s="200">
        <v>5685</v>
      </c>
      <c r="L602" s="550">
        <f t="shared" si="128"/>
        <v>8340.670008795074</v>
      </c>
      <c r="M602" s="213">
        <v>47416709</v>
      </c>
      <c r="N602" s="214">
        <v>17</v>
      </c>
      <c r="O602" s="554">
        <f t="shared" si="126"/>
        <v>334.41176470588238</v>
      </c>
      <c r="P602" s="548">
        <f t="shared" si="124"/>
        <v>2789218.1764705884</v>
      </c>
    </row>
    <row r="603" spans="1:16" ht="12.75">
      <c r="A603" s="199" t="s">
        <v>3426</v>
      </c>
      <c r="B603" s="200" t="s">
        <v>3464</v>
      </c>
      <c r="C603" s="200" t="str">
        <f>VLOOKUP(B603,Fincas!$A$2:$C$1005,2,0)</f>
        <v>F_Texas Araujo</v>
      </c>
      <c r="D603" s="201">
        <v>44765</v>
      </c>
      <c r="E603" s="267" t="str">
        <f t="shared" si="123"/>
        <v>julio</v>
      </c>
      <c r="F603" s="202">
        <v>44765</v>
      </c>
      <c r="G603" s="203">
        <v>44769</v>
      </c>
      <c r="H603" s="200" t="s">
        <v>3956</v>
      </c>
      <c r="I603" s="200">
        <v>7008146</v>
      </c>
      <c r="J603" s="209" t="str">
        <f t="shared" si="125"/>
        <v>Res macho ceba</v>
      </c>
      <c r="K603" s="200">
        <v>17306</v>
      </c>
      <c r="L603" s="550">
        <v>8200</v>
      </c>
      <c r="M603" s="205">
        <f t="shared" ref="M603:M617" si="129">L603*K603</f>
        <v>141909200</v>
      </c>
      <c r="N603" s="214">
        <v>57</v>
      </c>
      <c r="O603" s="554">
        <f t="shared" si="126"/>
        <v>303.61403508771929</v>
      </c>
      <c r="P603" s="548">
        <f t="shared" si="124"/>
        <v>2489635.0877192984</v>
      </c>
    </row>
    <row r="604" spans="1:16" ht="12.75">
      <c r="A604" s="199" t="s">
        <v>3463</v>
      </c>
      <c r="B604" s="200" t="s">
        <v>3798</v>
      </c>
      <c r="C604" s="200" t="str">
        <f>VLOOKUP(B604,Fincas!$A$2:$C$1005,2,0)</f>
        <v>La Fortuna</v>
      </c>
      <c r="D604" s="201">
        <v>44761</v>
      </c>
      <c r="E604" s="267" t="str">
        <f t="shared" si="123"/>
        <v>julio</v>
      </c>
      <c r="F604" s="202">
        <v>44766</v>
      </c>
      <c r="G604" s="203">
        <v>44769</v>
      </c>
      <c r="H604" s="200" t="s">
        <v>3957</v>
      </c>
      <c r="I604" s="200">
        <v>7008146</v>
      </c>
      <c r="J604" s="209" t="str">
        <f t="shared" si="125"/>
        <v>Res macho ceba</v>
      </c>
      <c r="K604" s="200">
        <v>11400</v>
      </c>
      <c r="L604" s="550">
        <v>8950</v>
      </c>
      <c r="M604" s="205">
        <f t="shared" si="129"/>
        <v>102030000</v>
      </c>
      <c r="N604" s="214">
        <v>40</v>
      </c>
      <c r="O604" s="554">
        <f t="shared" si="126"/>
        <v>285</v>
      </c>
      <c r="P604" s="548">
        <f t="shared" si="124"/>
        <v>2550750</v>
      </c>
    </row>
    <row r="605" spans="1:16" ht="12.75">
      <c r="A605" s="199" t="s">
        <v>3929</v>
      </c>
      <c r="B605" s="200" t="s">
        <v>3489</v>
      </c>
      <c r="C605" s="200" t="str">
        <f>VLOOKUP(B605,Fincas!$A$2:$C$1005,2,0)</f>
        <v>F_La Pradilla</v>
      </c>
      <c r="D605" s="201">
        <v>44767</v>
      </c>
      <c r="E605" s="267" t="str">
        <f t="shared" si="123"/>
        <v>julio</v>
      </c>
      <c r="F605" s="202">
        <v>44767</v>
      </c>
      <c r="G605" s="203">
        <v>44770</v>
      </c>
      <c r="H605" s="200" t="s">
        <v>3958</v>
      </c>
      <c r="I605" s="200">
        <v>7008146</v>
      </c>
      <c r="J605" s="209" t="str">
        <f t="shared" si="125"/>
        <v>Res macho ceba</v>
      </c>
      <c r="K605" s="200">
        <v>18469</v>
      </c>
      <c r="L605" s="550">
        <v>8500</v>
      </c>
      <c r="M605" s="205">
        <f t="shared" si="129"/>
        <v>156986500</v>
      </c>
      <c r="N605" s="214">
        <v>53</v>
      </c>
      <c r="O605" s="554">
        <f t="shared" si="126"/>
        <v>348.47169811320754</v>
      </c>
      <c r="P605" s="548">
        <f t="shared" si="124"/>
        <v>2962009.4339622641</v>
      </c>
    </row>
    <row r="606" spans="1:16" ht="12.75">
      <c r="A606" s="199" t="s">
        <v>3426</v>
      </c>
      <c r="B606" s="200" t="s">
        <v>3498</v>
      </c>
      <c r="C606" s="200" t="str">
        <f>VLOOKUP(B606,Fincas!$A$2:$C$1005,2,0)</f>
        <v>F_Jordan</v>
      </c>
      <c r="D606" s="201">
        <v>44769</v>
      </c>
      <c r="E606" s="267" t="str">
        <f t="shared" si="123"/>
        <v>julio</v>
      </c>
      <c r="F606" s="202">
        <v>44769</v>
      </c>
      <c r="G606" s="203">
        <v>44770</v>
      </c>
      <c r="H606" s="200" t="s">
        <v>3959</v>
      </c>
      <c r="I606" s="212">
        <v>7008147</v>
      </c>
      <c r="J606" s="212" t="str">
        <f t="shared" si="125"/>
        <v>Res macho levante</v>
      </c>
      <c r="K606" s="200">
        <v>14570</v>
      </c>
      <c r="L606" s="550">
        <v>8630</v>
      </c>
      <c r="M606" s="205">
        <f t="shared" si="129"/>
        <v>125739100</v>
      </c>
      <c r="N606" s="214">
        <v>47</v>
      </c>
      <c r="O606" s="554">
        <f t="shared" si="126"/>
        <v>310</v>
      </c>
      <c r="P606" s="548">
        <f t="shared" si="124"/>
        <v>2675300</v>
      </c>
    </row>
    <row r="607" spans="1:16" ht="12.75">
      <c r="A607" s="199" t="s">
        <v>3426</v>
      </c>
      <c r="B607" s="200" t="s">
        <v>3498</v>
      </c>
      <c r="C607" s="200" t="str">
        <f>VLOOKUP(B607,Fincas!$A$2:$C$1005,2,0)</f>
        <v>F_Jordan</v>
      </c>
      <c r="D607" s="201">
        <v>44769</v>
      </c>
      <c r="E607" s="267" t="str">
        <f t="shared" si="123"/>
        <v>julio</v>
      </c>
      <c r="F607" s="202">
        <v>44769</v>
      </c>
      <c r="G607" s="203">
        <v>44770</v>
      </c>
      <c r="H607" s="200" t="s">
        <v>3960</v>
      </c>
      <c r="I607" s="212">
        <v>7008147</v>
      </c>
      <c r="J607" s="212" t="str">
        <f t="shared" si="125"/>
        <v>Res macho levante</v>
      </c>
      <c r="K607" s="200">
        <v>9374</v>
      </c>
      <c r="L607" s="550">
        <v>8600</v>
      </c>
      <c r="M607" s="205">
        <f t="shared" si="129"/>
        <v>80616400</v>
      </c>
      <c r="N607" s="214">
        <v>23</v>
      </c>
      <c r="O607" s="554">
        <f t="shared" si="126"/>
        <v>407.56521739130437</v>
      </c>
      <c r="P607" s="548">
        <f t="shared" si="124"/>
        <v>3505060.8695652173</v>
      </c>
    </row>
    <row r="608" spans="1:16" ht="12.75">
      <c r="A608" s="199" t="s">
        <v>3844</v>
      </c>
      <c r="B608" s="200" t="s">
        <v>3464</v>
      </c>
      <c r="C608" s="200" t="str">
        <f>VLOOKUP(B608,Fincas!$A$2:$C$1005,2,0)</f>
        <v>F_Texas Araujo</v>
      </c>
      <c r="D608" s="201">
        <v>44769</v>
      </c>
      <c r="E608" s="267" t="str">
        <f t="shared" si="123"/>
        <v>julio</v>
      </c>
      <c r="F608" s="202">
        <v>44769</v>
      </c>
      <c r="G608" s="203">
        <v>44771</v>
      </c>
      <c r="H608" s="200" t="s">
        <v>3961</v>
      </c>
      <c r="I608" s="200">
        <v>7008146</v>
      </c>
      <c r="J608" s="209" t="str">
        <f t="shared" si="125"/>
        <v>Res macho ceba</v>
      </c>
      <c r="K608" s="200">
        <v>4210</v>
      </c>
      <c r="L608" s="550">
        <v>8688</v>
      </c>
      <c r="M608" s="205">
        <f t="shared" si="129"/>
        <v>36576480</v>
      </c>
      <c r="N608" s="214">
        <v>13</v>
      </c>
      <c r="O608" s="554">
        <f t="shared" si="126"/>
        <v>323.84615384615387</v>
      </c>
      <c r="P608" s="548">
        <f t="shared" si="124"/>
        <v>2813575.3846153845</v>
      </c>
    </row>
    <row r="609" spans="1:16" ht="12.75">
      <c r="A609" s="199" t="s">
        <v>3577</v>
      </c>
      <c r="B609" s="200" t="s">
        <v>3578</v>
      </c>
      <c r="C609" s="200" t="str">
        <f>VLOOKUP(B609,Fincas!$A$2:$C$1005,2,0)</f>
        <v>F_Triana</v>
      </c>
      <c r="D609" s="201">
        <v>44769</v>
      </c>
      <c r="E609" s="267" t="str">
        <f t="shared" si="123"/>
        <v>julio</v>
      </c>
      <c r="F609" s="202">
        <v>44770</v>
      </c>
      <c r="G609" s="203">
        <v>44771</v>
      </c>
      <c r="H609" s="200" t="s">
        <v>2847</v>
      </c>
      <c r="I609" s="224">
        <v>7008146</v>
      </c>
      <c r="J609" s="234" t="str">
        <f t="shared" si="125"/>
        <v>Res macho ceba</v>
      </c>
      <c r="K609" s="200">
        <v>243537</v>
      </c>
      <c r="L609" s="550">
        <v>8650</v>
      </c>
      <c r="M609" s="205">
        <f t="shared" si="129"/>
        <v>2106595050</v>
      </c>
      <c r="N609" s="214">
        <v>654</v>
      </c>
      <c r="O609" s="554">
        <f t="shared" si="126"/>
        <v>372.3807339449541</v>
      </c>
      <c r="P609" s="548">
        <f t="shared" si="124"/>
        <v>3221093.3486238532</v>
      </c>
    </row>
    <row r="610" spans="1:16" ht="12.75">
      <c r="A610" s="199" t="s">
        <v>3511</v>
      </c>
      <c r="B610" s="200" t="s">
        <v>3718</v>
      </c>
      <c r="C610" s="200" t="str">
        <f>VLOOKUP(B610,Fincas!$A$2:$C$1005,2,0)</f>
        <v>F_El Playon</v>
      </c>
      <c r="D610" s="201">
        <v>44739</v>
      </c>
      <c r="E610" s="267" t="str">
        <f t="shared" si="123"/>
        <v>junio</v>
      </c>
      <c r="F610" s="202">
        <v>44768</v>
      </c>
      <c r="G610" s="203">
        <v>44771</v>
      </c>
      <c r="H610" s="200" t="s">
        <v>3962</v>
      </c>
      <c r="I610" s="224">
        <v>7008146</v>
      </c>
      <c r="J610" s="234" t="str">
        <f t="shared" si="125"/>
        <v>Res macho ceba</v>
      </c>
      <c r="K610" s="200">
        <v>3850</v>
      </c>
      <c r="L610" s="550">
        <v>8343</v>
      </c>
      <c r="M610" s="205">
        <f t="shared" si="129"/>
        <v>32120550</v>
      </c>
      <c r="N610" s="214">
        <v>13</v>
      </c>
      <c r="O610" s="554">
        <f t="shared" si="126"/>
        <v>296.15384615384613</v>
      </c>
      <c r="P610" s="548">
        <f t="shared" si="124"/>
        <v>2470811.5384615385</v>
      </c>
    </row>
    <row r="611" spans="1:16" ht="12.75">
      <c r="A611" s="199" t="s">
        <v>3963</v>
      </c>
      <c r="B611" s="200" t="s">
        <v>3467</v>
      </c>
      <c r="C611" s="200" t="str">
        <f>VLOOKUP(B611,Fincas!$A$2:$C$1005,2,0)</f>
        <v>F_La Florida</v>
      </c>
      <c r="D611" s="201">
        <v>44772</v>
      </c>
      <c r="E611" s="267" t="str">
        <f t="shared" si="123"/>
        <v>julio</v>
      </c>
      <c r="F611" s="202">
        <v>44771</v>
      </c>
      <c r="G611" s="203">
        <v>44774</v>
      </c>
      <c r="H611" s="200" t="s">
        <v>3964</v>
      </c>
      <c r="I611" s="224">
        <v>7008146</v>
      </c>
      <c r="J611" s="234" t="str">
        <f t="shared" si="125"/>
        <v>Res macho ceba</v>
      </c>
      <c r="K611" s="200">
        <v>14122</v>
      </c>
      <c r="L611" s="550">
        <v>8400</v>
      </c>
      <c r="M611" s="205">
        <f t="shared" si="129"/>
        <v>118624800</v>
      </c>
      <c r="N611" s="214">
        <v>50</v>
      </c>
      <c r="O611" s="554">
        <f t="shared" si="126"/>
        <v>282.44</v>
      </c>
      <c r="P611" s="548">
        <f t="shared" si="124"/>
        <v>2372496</v>
      </c>
    </row>
    <row r="612" spans="1:16" ht="12.75">
      <c r="A612" s="199" t="s">
        <v>3689</v>
      </c>
      <c r="B612" s="200" t="s">
        <v>3965</v>
      </c>
      <c r="C612" s="200" t="str">
        <f>VLOOKUP(B612,Fincas!$A$2:$C$1005,2,0)</f>
        <v>F_Villa Sandra</v>
      </c>
      <c r="D612" s="201">
        <v>44771</v>
      </c>
      <c r="E612" s="267" t="str">
        <f t="shared" si="123"/>
        <v>julio</v>
      </c>
      <c r="F612" s="202">
        <v>44771</v>
      </c>
      <c r="G612" s="203">
        <v>44774</v>
      </c>
      <c r="H612" s="200">
        <v>133553</v>
      </c>
      <c r="I612" s="212">
        <v>7008147</v>
      </c>
      <c r="J612" s="212" t="str">
        <f t="shared" si="125"/>
        <v>Res macho levante</v>
      </c>
      <c r="K612" s="200">
        <v>69244</v>
      </c>
      <c r="L612" s="550">
        <v>9000</v>
      </c>
      <c r="M612" s="205">
        <f t="shared" si="129"/>
        <v>623196000</v>
      </c>
      <c r="N612" s="214">
        <v>262</v>
      </c>
      <c r="O612" s="554">
        <f t="shared" si="126"/>
        <v>264.29007633587787</v>
      </c>
      <c r="P612" s="548">
        <f t="shared" si="124"/>
        <v>2378610.6870229007</v>
      </c>
    </row>
    <row r="613" spans="1:16" ht="12.75">
      <c r="A613" s="199" t="s">
        <v>3511</v>
      </c>
      <c r="B613" s="200" t="s">
        <v>3449</v>
      </c>
      <c r="C613" s="200" t="str">
        <f>VLOOKUP(B613,Fincas!$A$2:$C$1005,2,0)</f>
        <v>F_La Estrella</v>
      </c>
      <c r="D613" s="201">
        <v>44770</v>
      </c>
      <c r="E613" s="267" t="str">
        <f t="shared" si="123"/>
        <v>julio</v>
      </c>
      <c r="F613" s="202">
        <v>44771</v>
      </c>
      <c r="G613" s="203">
        <v>44775</v>
      </c>
      <c r="H613" s="200" t="s">
        <v>3966</v>
      </c>
      <c r="I613" s="212">
        <v>7008147</v>
      </c>
      <c r="J613" s="212" t="str">
        <f t="shared" si="125"/>
        <v>Res macho levante</v>
      </c>
      <c r="K613" s="200">
        <v>1486</v>
      </c>
      <c r="L613" s="550">
        <v>9500</v>
      </c>
      <c r="M613" s="205">
        <f t="shared" si="129"/>
        <v>14117000</v>
      </c>
      <c r="N613" s="214">
        <v>8</v>
      </c>
      <c r="O613" s="554">
        <f t="shared" si="126"/>
        <v>185.75</v>
      </c>
      <c r="P613" s="548">
        <f t="shared" si="124"/>
        <v>1764625</v>
      </c>
    </row>
    <row r="614" spans="1:16" ht="12.75">
      <c r="A614" s="199" t="s">
        <v>3511</v>
      </c>
      <c r="B614" s="200" t="s">
        <v>3754</v>
      </c>
      <c r="C614" s="200" t="str">
        <f>VLOOKUP(B614,Fincas!$A$2:$C$1005,2,0)</f>
        <v>Alm. FeedLot</v>
      </c>
      <c r="D614" s="201">
        <v>44770</v>
      </c>
      <c r="E614" s="267" t="str">
        <f t="shared" si="123"/>
        <v>julio</v>
      </c>
      <c r="F614" s="202">
        <v>44771</v>
      </c>
      <c r="G614" s="203">
        <v>44775</v>
      </c>
      <c r="H614" s="200">
        <v>8448</v>
      </c>
      <c r="I614" s="224">
        <v>7008146</v>
      </c>
      <c r="J614" s="234" t="str">
        <f t="shared" si="125"/>
        <v>Res macho ceba</v>
      </c>
      <c r="K614" s="200">
        <v>6535</v>
      </c>
      <c r="L614" s="550">
        <v>8100</v>
      </c>
      <c r="M614" s="205">
        <f t="shared" si="129"/>
        <v>52933500</v>
      </c>
      <c r="N614" s="214">
        <v>16</v>
      </c>
      <c r="O614" s="554">
        <f t="shared" si="126"/>
        <v>408.4375</v>
      </c>
      <c r="P614" s="548">
        <f t="shared" si="124"/>
        <v>3308343.75</v>
      </c>
    </row>
    <row r="615" spans="1:16" ht="12.75">
      <c r="A615" s="199" t="s">
        <v>3511</v>
      </c>
      <c r="B615" s="200" t="s">
        <v>3754</v>
      </c>
      <c r="C615" s="200" t="str">
        <f>VLOOKUP(B615,Fincas!$A$2:$C$1005,2,0)</f>
        <v>Alm. FeedLot</v>
      </c>
      <c r="D615" s="201">
        <v>44770</v>
      </c>
      <c r="E615" s="267" t="str">
        <f t="shared" si="123"/>
        <v>julio</v>
      </c>
      <c r="F615" s="202">
        <v>44771</v>
      </c>
      <c r="G615" s="203">
        <v>44775</v>
      </c>
      <c r="H615" s="200">
        <v>8451</v>
      </c>
      <c r="I615" s="224">
        <v>7008146</v>
      </c>
      <c r="J615" s="234" t="str">
        <f t="shared" si="125"/>
        <v>Res macho ceba</v>
      </c>
      <c r="K615" s="200">
        <v>6880</v>
      </c>
      <c r="L615" s="550">
        <v>8150</v>
      </c>
      <c r="M615" s="205">
        <f t="shared" si="129"/>
        <v>56072000</v>
      </c>
      <c r="N615" s="214">
        <v>19</v>
      </c>
      <c r="O615" s="554">
        <f t="shared" si="126"/>
        <v>362.10526315789474</v>
      </c>
      <c r="P615" s="548">
        <f t="shared" si="124"/>
        <v>2951157.8947368423</v>
      </c>
    </row>
    <row r="616" spans="1:16" ht="12.75">
      <c r="A616" s="199" t="s">
        <v>3967</v>
      </c>
      <c r="B616" s="200" t="s">
        <v>3464</v>
      </c>
      <c r="C616" s="200" t="str">
        <f>VLOOKUP(B616,Fincas!$A$2:$C$1005,2,0)</f>
        <v>F_Texas Araujo</v>
      </c>
      <c r="D616" s="201">
        <v>44774</v>
      </c>
      <c r="E616" s="267" t="str">
        <f t="shared" si="123"/>
        <v>agosto</v>
      </c>
      <c r="F616" s="202">
        <v>44774</v>
      </c>
      <c r="G616" s="203">
        <v>44775</v>
      </c>
      <c r="H616" s="200" t="s">
        <v>3968</v>
      </c>
      <c r="I616" s="224">
        <v>7008146</v>
      </c>
      <c r="J616" s="234" t="str">
        <f t="shared" si="125"/>
        <v>Res macho ceba</v>
      </c>
      <c r="K616" s="200">
        <v>11607</v>
      </c>
      <c r="L616" s="550">
        <v>8420</v>
      </c>
      <c r="M616" s="205">
        <f t="shared" si="129"/>
        <v>97730940</v>
      </c>
      <c r="N616" s="214">
        <v>34</v>
      </c>
      <c r="O616" s="554">
        <f t="shared" si="126"/>
        <v>341.38235294117646</v>
      </c>
      <c r="P616" s="548">
        <f t="shared" si="124"/>
        <v>2874439.411764706</v>
      </c>
    </row>
    <row r="617" spans="1:16" ht="12.75">
      <c r="A617" s="199" t="s">
        <v>3577</v>
      </c>
      <c r="B617" s="200" t="s">
        <v>3578</v>
      </c>
      <c r="C617" s="200" t="str">
        <f>VLOOKUP(B617,Fincas!$A$2:$C$1005,2,0)</f>
        <v>F_Triana</v>
      </c>
      <c r="D617" s="201">
        <v>44774</v>
      </c>
      <c r="E617" s="267" t="str">
        <f t="shared" si="123"/>
        <v>agosto</v>
      </c>
      <c r="F617" s="202">
        <v>44774</v>
      </c>
      <c r="G617" s="203">
        <v>44775</v>
      </c>
      <c r="H617" s="200" t="s">
        <v>3969</v>
      </c>
      <c r="I617" s="224">
        <v>7008146</v>
      </c>
      <c r="J617" s="234" t="str">
        <f t="shared" si="125"/>
        <v>Res macho ceba</v>
      </c>
      <c r="K617" s="200">
        <v>16600</v>
      </c>
      <c r="L617" s="550">
        <v>8650</v>
      </c>
      <c r="M617" s="205">
        <f t="shared" si="129"/>
        <v>143590000</v>
      </c>
      <c r="N617" s="214">
        <v>46</v>
      </c>
      <c r="O617" s="554">
        <f t="shared" si="126"/>
        <v>360.86956521739131</v>
      </c>
      <c r="P617" s="548">
        <f t="shared" si="124"/>
        <v>3121521.7391304346</v>
      </c>
    </row>
    <row r="618" spans="1:16" ht="12.75">
      <c r="A618" s="199" t="s">
        <v>3771</v>
      </c>
      <c r="B618" s="200" t="s">
        <v>3658</v>
      </c>
      <c r="C618" s="200" t="str">
        <f>VLOOKUP(B618,Fincas!$A$2:$C$1005,2,0)</f>
        <v>F_El Rosario</v>
      </c>
      <c r="D618" s="201">
        <v>44775</v>
      </c>
      <c r="E618" s="267" t="str">
        <f t="shared" si="123"/>
        <v>agosto</v>
      </c>
      <c r="F618" s="202">
        <v>44775</v>
      </c>
      <c r="G618" s="203">
        <v>44776</v>
      </c>
      <c r="H618" s="200" t="s">
        <v>3970</v>
      </c>
      <c r="I618" s="224">
        <v>7008146</v>
      </c>
      <c r="J618" s="234" t="str">
        <f t="shared" si="125"/>
        <v>Res macho ceba</v>
      </c>
      <c r="K618" s="200">
        <v>29395</v>
      </c>
      <c r="L618" s="550">
        <v>8461</v>
      </c>
      <c r="M618" s="213">
        <v>248717973</v>
      </c>
      <c r="N618" s="214">
        <v>100</v>
      </c>
      <c r="O618" s="554">
        <f t="shared" si="126"/>
        <v>293.95</v>
      </c>
      <c r="P618" s="548">
        <f t="shared" si="124"/>
        <v>2487179.73</v>
      </c>
    </row>
    <row r="619" spans="1:16" ht="12.75">
      <c r="A619" s="199" t="s">
        <v>3689</v>
      </c>
      <c r="B619" s="200" t="s">
        <v>3971</v>
      </c>
      <c r="C619" s="200" t="str">
        <f>VLOOKUP(B619,Fincas!$A$2:$C$1005,2,0)</f>
        <v>A_Villa Sandra</v>
      </c>
      <c r="D619" s="201">
        <v>44771</v>
      </c>
      <c r="E619" s="267" t="str">
        <f t="shared" si="123"/>
        <v>julio</v>
      </c>
      <c r="F619" s="202">
        <v>44771</v>
      </c>
      <c r="G619" s="203">
        <v>44774</v>
      </c>
      <c r="H619" s="200">
        <v>133552</v>
      </c>
      <c r="I619" s="224">
        <v>7008146</v>
      </c>
      <c r="J619" s="234" t="str">
        <f t="shared" si="125"/>
        <v>Res macho ceba</v>
      </c>
      <c r="K619" s="200">
        <v>72254</v>
      </c>
      <c r="L619" s="550">
        <v>8000</v>
      </c>
      <c r="M619" s="205">
        <f t="shared" ref="M619:M625" si="130">L619*K619</f>
        <v>578032000</v>
      </c>
      <c r="N619" s="214">
        <v>168</v>
      </c>
      <c r="O619" s="554">
        <f t="shared" si="126"/>
        <v>430.08333333333331</v>
      </c>
      <c r="P619" s="548">
        <f t="shared" si="124"/>
        <v>3440666.6666666665</v>
      </c>
    </row>
    <row r="620" spans="1:16" ht="12.75">
      <c r="A620" s="199" t="s">
        <v>3689</v>
      </c>
      <c r="B620" s="200" t="s">
        <v>3971</v>
      </c>
      <c r="C620" s="200" t="str">
        <f>VLOOKUP(B620,Fincas!$A$2:$C$1005,2,0)</f>
        <v>A_Villa Sandra</v>
      </c>
      <c r="D620" s="201">
        <v>44771</v>
      </c>
      <c r="E620" s="267" t="str">
        <f t="shared" si="123"/>
        <v>julio</v>
      </c>
      <c r="F620" s="202">
        <v>44771</v>
      </c>
      <c r="G620" s="203">
        <v>44774</v>
      </c>
      <c r="H620" s="200">
        <v>133554</v>
      </c>
      <c r="I620" s="224">
        <v>7008146</v>
      </c>
      <c r="J620" s="234" t="str">
        <f t="shared" si="125"/>
        <v>Res macho ceba</v>
      </c>
      <c r="K620" s="200">
        <v>110699</v>
      </c>
      <c r="L620" s="550">
        <v>8400</v>
      </c>
      <c r="M620" s="205">
        <f t="shared" si="130"/>
        <v>929871600</v>
      </c>
      <c r="N620" s="214">
        <v>305</v>
      </c>
      <c r="O620" s="554">
        <f t="shared" si="126"/>
        <v>362.94754098360653</v>
      </c>
      <c r="P620" s="548">
        <f t="shared" si="124"/>
        <v>3048759.3442622949</v>
      </c>
    </row>
    <row r="621" spans="1:16" ht="12.75">
      <c r="A621" s="199" t="s">
        <v>3972</v>
      </c>
      <c r="B621" s="200" t="s">
        <v>3973</v>
      </c>
      <c r="C621" s="200" t="str">
        <f>VLOOKUP(B621,Fincas!$A$2:$C$1005,2,0)</f>
        <v>A_Corozal</v>
      </c>
      <c r="D621" s="201">
        <v>44774</v>
      </c>
      <c r="E621" s="267" t="str">
        <f t="shared" si="123"/>
        <v>agosto</v>
      </c>
      <c r="F621" s="202">
        <v>44774</v>
      </c>
      <c r="G621" s="203">
        <v>44776</v>
      </c>
      <c r="H621" s="200" t="s">
        <v>3974</v>
      </c>
      <c r="I621" s="224">
        <v>7008146</v>
      </c>
      <c r="J621" s="234" t="str">
        <f t="shared" si="125"/>
        <v>Res macho ceba</v>
      </c>
      <c r="K621" s="200">
        <v>20980</v>
      </c>
      <c r="L621" s="550">
        <v>8800</v>
      </c>
      <c r="M621" s="205">
        <f t="shared" si="130"/>
        <v>184624000</v>
      </c>
      <c r="N621" s="214">
        <v>50</v>
      </c>
      <c r="O621" s="554">
        <f t="shared" si="126"/>
        <v>419.6</v>
      </c>
      <c r="P621" s="548">
        <f t="shared" si="124"/>
        <v>3692480</v>
      </c>
    </row>
    <row r="622" spans="1:16" ht="12.75">
      <c r="A622" s="199" t="s">
        <v>3463</v>
      </c>
      <c r="B622" s="200" t="s">
        <v>3464</v>
      </c>
      <c r="C622" s="200" t="str">
        <f>VLOOKUP(B622,Fincas!$A$2:$C$1005,2,0)</f>
        <v>F_Texas Araujo</v>
      </c>
      <c r="D622" s="201">
        <v>44774</v>
      </c>
      <c r="E622" s="267" t="str">
        <f t="shared" si="123"/>
        <v>agosto</v>
      </c>
      <c r="F622" s="202">
        <v>44774</v>
      </c>
      <c r="G622" s="203">
        <v>44777</v>
      </c>
      <c r="H622" s="200" t="s">
        <v>3975</v>
      </c>
      <c r="I622" s="224">
        <v>7008146</v>
      </c>
      <c r="J622" s="234" t="str">
        <f t="shared" si="125"/>
        <v>Res macho ceba</v>
      </c>
      <c r="K622" s="200">
        <v>18840</v>
      </c>
      <c r="L622" s="550">
        <v>8970</v>
      </c>
      <c r="M622" s="205">
        <f t="shared" si="130"/>
        <v>168994800</v>
      </c>
      <c r="N622" s="214">
        <v>60</v>
      </c>
      <c r="O622" s="554">
        <f t="shared" si="126"/>
        <v>314</v>
      </c>
      <c r="P622" s="548">
        <f t="shared" si="124"/>
        <v>2816580</v>
      </c>
    </row>
    <row r="623" spans="1:16" ht="12.75">
      <c r="A623" s="199" t="s">
        <v>3844</v>
      </c>
      <c r="B623" s="200" t="s">
        <v>3464</v>
      </c>
      <c r="C623" s="200" t="str">
        <f>VLOOKUP(B623,Fincas!$A$2:$C$1005,2,0)</f>
        <v>F_Texas Araujo</v>
      </c>
      <c r="D623" s="201">
        <v>44774</v>
      </c>
      <c r="E623" s="267" t="str">
        <f t="shared" si="123"/>
        <v>agosto</v>
      </c>
      <c r="F623" s="202">
        <v>44774</v>
      </c>
      <c r="G623" s="203">
        <v>44777</v>
      </c>
      <c r="H623" s="200" t="s">
        <v>3976</v>
      </c>
      <c r="I623" s="224">
        <v>7008146</v>
      </c>
      <c r="J623" s="234" t="str">
        <f t="shared" si="125"/>
        <v>Res macho ceba</v>
      </c>
      <c r="K623" s="200">
        <v>9127</v>
      </c>
      <c r="L623" s="550">
        <v>10392</v>
      </c>
      <c r="M623" s="205">
        <f t="shared" si="130"/>
        <v>94847784</v>
      </c>
      <c r="N623" s="214">
        <v>38</v>
      </c>
      <c r="O623" s="554">
        <f t="shared" si="126"/>
        <v>240.18421052631578</v>
      </c>
      <c r="P623" s="548">
        <f t="shared" si="124"/>
        <v>2495994.3157894737</v>
      </c>
    </row>
    <row r="624" spans="1:16" ht="12.75">
      <c r="A624" s="199" t="s">
        <v>348</v>
      </c>
      <c r="B624" s="200" t="s">
        <v>3977</v>
      </c>
      <c r="C624" s="200" t="str">
        <f>VLOOKUP(B624,Fincas!$A$2:$C$1005,2,0)</f>
        <v>F_Los Aceitunos</v>
      </c>
      <c r="D624" s="201">
        <v>44777</v>
      </c>
      <c r="E624" s="267" t="str">
        <f t="shared" si="123"/>
        <v>agosto</v>
      </c>
      <c r="F624" s="202">
        <v>44776</v>
      </c>
      <c r="G624" s="203">
        <v>44780</v>
      </c>
      <c r="H624" s="200">
        <v>114</v>
      </c>
      <c r="I624" s="212">
        <v>7008147</v>
      </c>
      <c r="J624" s="212" t="str">
        <f t="shared" si="125"/>
        <v>Res macho levante</v>
      </c>
      <c r="K624" s="200">
        <v>40084</v>
      </c>
      <c r="L624" s="550">
        <v>8600</v>
      </c>
      <c r="M624" s="205">
        <f t="shared" si="130"/>
        <v>344722400</v>
      </c>
      <c r="N624" s="214">
        <v>168</v>
      </c>
      <c r="O624" s="554">
        <f t="shared" si="126"/>
        <v>238.5952380952381</v>
      </c>
      <c r="P624" s="548">
        <f t="shared" si="124"/>
        <v>2051919.0476190476</v>
      </c>
    </row>
    <row r="625" spans="1:16" ht="12.75">
      <c r="A625" s="199" t="s">
        <v>3463</v>
      </c>
      <c r="B625" s="200" t="s">
        <v>3464</v>
      </c>
      <c r="C625" s="200" t="str">
        <f>VLOOKUP(B625,Fincas!$A$2:$C$1005,2,0)</f>
        <v>F_Texas Araujo</v>
      </c>
      <c r="D625" s="201">
        <v>44774</v>
      </c>
      <c r="E625" s="267" t="str">
        <f t="shared" si="123"/>
        <v>agosto</v>
      </c>
      <c r="F625" s="202">
        <v>44774</v>
      </c>
      <c r="G625" s="203">
        <v>44778</v>
      </c>
      <c r="H625" s="200" t="s">
        <v>3978</v>
      </c>
      <c r="I625" s="224">
        <v>7008146</v>
      </c>
      <c r="J625" s="234" t="str">
        <f t="shared" si="125"/>
        <v>Res macho ceba</v>
      </c>
      <c r="K625" s="200">
        <v>7060</v>
      </c>
      <c r="L625" s="550">
        <v>8500</v>
      </c>
      <c r="M625" s="205">
        <f t="shared" si="130"/>
        <v>60010000</v>
      </c>
      <c r="N625" s="214">
        <v>20</v>
      </c>
      <c r="O625" s="554">
        <f t="shared" si="126"/>
        <v>353</v>
      </c>
      <c r="P625" s="548">
        <f t="shared" si="124"/>
        <v>3000500</v>
      </c>
    </row>
    <row r="626" spans="1:16" ht="12.75">
      <c r="A626" s="199" t="s">
        <v>3454</v>
      </c>
      <c r="B626" s="200" t="s">
        <v>3772</v>
      </c>
      <c r="C626" s="200" t="str">
        <f>VLOOKUP(B626,Fincas!$A$2:$C$1005,2,0)</f>
        <v>F_Salonica</v>
      </c>
      <c r="D626" s="201">
        <v>44777</v>
      </c>
      <c r="E626" s="267" t="str">
        <f t="shared" si="123"/>
        <v>agosto</v>
      </c>
      <c r="F626" s="202">
        <v>44777</v>
      </c>
      <c r="G626" s="203">
        <v>44781</v>
      </c>
      <c r="H626" s="200">
        <v>240825</v>
      </c>
      <c r="I626" s="212">
        <v>7008147</v>
      </c>
      <c r="J626" s="212" t="str">
        <f t="shared" si="125"/>
        <v>Res macho levante</v>
      </c>
      <c r="K626" s="200">
        <v>5428</v>
      </c>
      <c r="L626" s="550">
        <f>M626/K626</f>
        <v>7838.2199705232133</v>
      </c>
      <c r="M626" s="213">
        <v>42545858</v>
      </c>
      <c r="N626" s="214">
        <v>20</v>
      </c>
      <c r="O626" s="554">
        <f t="shared" si="126"/>
        <v>271.39999999999998</v>
      </c>
      <c r="P626" s="548">
        <f t="shared" si="124"/>
        <v>2127292.9</v>
      </c>
    </row>
    <row r="627" spans="1:16" ht="12.75">
      <c r="A627" s="199" t="s">
        <v>3979</v>
      </c>
      <c r="B627" s="200" t="s">
        <v>3980</v>
      </c>
      <c r="C627" s="200" t="str">
        <f>VLOOKUP(B627,Fincas!$A$2:$C$1005,2,0)</f>
        <v>A_Tierra Dentro</v>
      </c>
      <c r="D627" s="201">
        <v>44774</v>
      </c>
      <c r="E627" s="267" t="str">
        <f t="shared" si="123"/>
        <v>agosto</v>
      </c>
      <c r="F627" s="202">
        <v>44774</v>
      </c>
      <c r="G627" s="203">
        <v>44776</v>
      </c>
      <c r="H627" s="200" t="s">
        <v>3981</v>
      </c>
      <c r="I627" s="224">
        <v>7008146</v>
      </c>
      <c r="J627" s="234" t="str">
        <f t="shared" si="125"/>
        <v>Res macho ceba</v>
      </c>
      <c r="K627" s="200">
        <v>43903</v>
      </c>
      <c r="L627" s="550">
        <v>8800</v>
      </c>
      <c r="M627" s="205">
        <f>L627*K627</f>
        <v>386346400</v>
      </c>
      <c r="N627" s="214">
        <v>100</v>
      </c>
      <c r="O627" s="554">
        <f t="shared" si="126"/>
        <v>439.03</v>
      </c>
      <c r="P627" s="548">
        <f t="shared" si="124"/>
        <v>3863464</v>
      </c>
    </row>
    <row r="628" spans="1:16" ht="12.75">
      <c r="A628" s="199" t="s">
        <v>3454</v>
      </c>
      <c r="B628" s="200" t="s">
        <v>3464</v>
      </c>
      <c r="C628" s="200" t="str">
        <f>VLOOKUP(B628,Fincas!$A$2:$C$1005,2,0)</f>
        <v>F_Texas Araujo</v>
      </c>
      <c r="D628" s="201">
        <v>44777</v>
      </c>
      <c r="E628" s="267" t="str">
        <f t="shared" si="123"/>
        <v>agosto</v>
      </c>
      <c r="F628" s="202">
        <v>44777</v>
      </c>
      <c r="G628" s="203">
        <v>44781</v>
      </c>
      <c r="H628" s="200">
        <v>240782</v>
      </c>
      <c r="I628" s="224">
        <v>7008146</v>
      </c>
      <c r="J628" s="234" t="str">
        <f t="shared" si="125"/>
        <v>Res macho ceba</v>
      </c>
      <c r="K628" s="200">
        <v>6380</v>
      </c>
      <c r="L628" s="550">
        <f t="shared" ref="L628:L630" si="131">M628/K628</f>
        <v>8189.9349529780566</v>
      </c>
      <c r="M628" s="213">
        <v>52251785</v>
      </c>
      <c r="N628" s="214">
        <v>18</v>
      </c>
      <c r="O628" s="554">
        <f t="shared" si="126"/>
        <v>354.44444444444446</v>
      </c>
      <c r="P628" s="548">
        <f t="shared" si="124"/>
        <v>2902876.9444444445</v>
      </c>
    </row>
    <row r="629" spans="1:16" ht="12.75">
      <c r="A629" s="199" t="s">
        <v>3454</v>
      </c>
      <c r="B629" s="200" t="s">
        <v>3464</v>
      </c>
      <c r="C629" s="200" t="str">
        <f>VLOOKUP(B629,Fincas!$A$2:$C$1005,2,0)</f>
        <v>F_Texas Araujo</v>
      </c>
      <c r="D629" s="201">
        <v>44777</v>
      </c>
      <c r="E629" s="267" t="str">
        <f t="shared" si="123"/>
        <v>agosto</v>
      </c>
      <c r="F629" s="202">
        <v>44777</v>
      </c>
      <c r="G629" s="203">
        <v>44781</v>
      </c>
      <c r="H629" s="200">
        <v>240792</v>
      </c>
      <c r="I629" s="224">
        <v>7008146</v>
      </c>
      <c r="J629" s="234" t="str">
        <f t="shared" si="125"/>
        <v>Res macho ceba</v>
      </c>
      <c r="K629" s="200">
        <v>6414</v>
      </c>
      <c r="L629" s="550">
        <f t="shared" si="131"/>
        <v>8290.4250077954475</v>
      </c>
      <c r="M629" s="213">
        <v>53174786</v>
      </c>
      <c r="N629" s="214">
        <v>18</v>
      </c>
      <c r="O629" s="554">
        <f t="shared" si="126"/>
        <v>356.33333333333331</v>
      </c>
      <c r="P629" s="548">
        <f t="shared" si="124"/>
        <v>2954154.777777778</v>
      </c>
    </row>
    <row r="630" spans="1:16" ht="12.75">
      <c r="A630" s="199" t="s">
        <v>3454</v>
      </c>
      <c r="B630" s="200" t="s">
        <v>3464</v>
      </c>
      <c r="C630" s="200" t="str">
        <f>VLOOKUP(B630,Fincas!$A$2:$C$1005,2,0)</f>
        <v>F_Texas Araujo</v>
      </c>
      <c r="D630" s="201">
        <v>44777</v>
      </c>
      <c r="E630" s="267" t="str">
        <f t="shared" si="123"/>
        <v>agosto</v>
      </c>
      <c r="F630" s="202">
        <v>44777</v>
      </c>
      <c r="G630" s="203">
        <v>44781</v>
      </c>
      <c r="H630" s="200">
        <v>240819</v>
      </c>
      <c r="I630" s="224">
        <v>7008146</v>
      </c>
      <c r="J630" s="234" t="str">
        <f t="shared" si="125"/>
        <v>Res macho ceba</v>
      </c>
      <c r="K630" s="200">
        <v>6278</v>
      </c>
      <c r="L630" s="550">
        <f t="shared" si="131"/>
        <v>8290.4249761070405</v>
      </c>
      <c r="M630" s="213">
        <v>52047288</v>
      </c>
      <c r="N630" s="214">
        <v>18</v>
      </c>
      <c r="O630" s="554">
        <f t="shared" si="126"/>
        <v>348.77777777777777</v>
      </c>
      <c r="P630" s="548">
        <f t="shared" si="124"/>
        <v>2891516</v>
      </c>
    </row>
    <row r="631" spans="1:16" ht="12.75">
      <c r="A631" s="199" t="s">
        <v>348</v>
      </c>
      <c r="B631" s="200" t="s">
        <v>3982</v>
      </c>
      <c r="C631" s="200" t="str">
        <f>VLOOKUP(B631,Fincas!$A$2:$C$1005,2,0)</f>
        <v>A_Los Aceitunos</v>
      </c>
      <c r="D631" s="201">
        <v>44777</v>
      </c>
      <c r="E631" s="267" t="str">
        <f t="shared" si="123"/>
        <v>agosto</v>
      </c>
      <c r="F631" s="202">
        <v>44776</v>
      </c>
      <c r="G631" s="203">
        <v>44780</v>
      </c>
      <c r="H631" s="200">
        <v>115</v>
      </c>
      <c r="I631" s="224">
        <v>7008146</v>
      </c>
      <c r="J631" s="234" t="str">
        <f t="shared" si="125"/>
        <v>Res macho ceba</v>
      </c>
      <c r="K631" s="200">
        <v>30109</v>
      </c>
      <c r="L631" s="550">
        <v>8300</v>
      </c>
      <c r="M631" s="205">
        <f t="shared" ref="M631:M646" si="132">L631*K631</f>
        <v>249904700</v>
      </c>
      <c r="N631" s="214">
        <v>96</v>
      </c>
      <c r="O631" s="554">
        <f t="shared" si="126"/>
        <v>313.63541666666669</v>
      </c>
      <c r="P631" s="548">
        <f t="shared" si="124"/>
        <v>2603173.9583333335</v>
      </c>
    </row>
    <row r="632" spans="1:16" ht="12.75">
      <c r="A632" s="199" t="s">
        <v>348</v>
      </c>
      <c r="B632" s="200" t="s">
        <v>3982</v>
      </c>
      <c r="C632" s="200" t="str">
        <f>VLOOKUP(B632,Fincas!$A$2:$C$1005,2,0)</f>
        <v>A_Los Aceitunos</v>
      </c>
      <c r="D632" s="201">
        <v>44777</v>
      </c>
      <c r="E632" s="267" t="str">
        <f t="shared" si="123"/>
        <v>agosto</v>
      </c>
      <c r="F632" s="202">
        <v>44777</v>
      </c>
      <c r="G632" s="203">
        <v>44780</v>
      </c>
      <c r="H632" s="200">
        <v>116</v>
      </c>
      <c r="I632" s="224">
        <v>7008146</v>
      </c>
      <c r="J632" s="234" t="str">
        <f t="shared" si="125"/>
        <v>Res macho ceba</v>
      </c>
      <c r="K632" s="200">
        <v>36414</v>
      </c>
      <c r="L632" s="550">
        <v>8200</v>
      </c>
      <c r="M632" s="205">
        <f t="shared" si="132"/>
        <v>298594800</v>
      </c>
      <c r="N632" s="214">
        <v>100</v>
      </c>
      <c r="O632" s="554">
        <f t="shared" si="126"/>
        <v>364.14</v>
      </c>
      <c r="P632" s="548">
        <f t="shared" si="124"/>
        <v>2985948</v>
      </c>
    </row>
    <row r="633" spans="1:16" ht="12.75">
      <c r="A633" s="199" t="s">
        <v>348</v>
      </c>
      <c r="B633" s="200" t="s">
        <v>3983</v>
      </c>
      <c r="C633" s="200" t="str">
        <f>VLOOKUP(B633,Fincas!$A$2:$C$1005,2,0)</f>
        <v>A_Chapinero</v>
      </c>
      <c r="D633" s="201">
        <v>44778</v>
      </c>
      <c r="E633" s="267" t="str">
        <f t="shared" si="123"/>
        <v>agosto</v>
      </c>
      <c r="F633" s="202">
        <v>44777</v>
      </c>
      <c r="G633" s="203">
        <v>44780</v>
      </c>
      <c r="H633" s="200">
        <v>117</v>
      </c>
      <c r="I633" s="224">
        <v>7008146</v>
      </c>
      <c r="J633" s="234" t="str">
        <f t="shared" si="125"/>
        <v>Res macho ceba</v>
      </c>
      <c r="K633" s="200">
        <v>33426</v>
      </c>
      <c r="L633" s="550">
        <v>8200</v>
      </c>
      <c r="M633" s="205">
        <f t="shared" si="132"/>
        <v>274093200</v>
      </c>
      <c r="N633" s="214">
        <v>99</v>
      </c>
      <c r="O633" s="554">
        <f t="shared" si="126"/>
        <v>337.63636363636363</v>
      </c>
      <c r="P633" s="548">
        <f t="shared" si="124"/>
        <v>2768618.1818181816</v>
      </c>
    </row>
    <row r="634" spans="1:16" ht="12.75">
      <c r="A634" s="199" t="s">
        <v>348</v>
      </c>
      <c r="B634" s="200" t="s">
        <v>3983</v>
      </c>
      <c r="C634" s="200" t="str">
        <f>VLOOKUP(B634,Fincas!$A$2:$C$1005,2,0)</f>
        <v>A_Chapinero</v>
      </c>
      <c r="D634" s="201">
        <v>44778</v>
      </c>
      <c r="E634" s="267" t="str">
        <f t="shared" si="123"/>
        <v>agosto</v>
      </c>
      <c r="F634" s="202">
        <v>44778</v>
      </c>
      <c r="G634" s="203">
        <v>44780</v>
      </c>
      <c r="H634" s="200">
        <v>118</v>
      </c>
      <c r="I634" s="224">
        <v>7008146</v>
      </c>
      <c r="J634" s="234" t="str">
        <f t="shared" si="125"/>
        <v>Res macho ceba</v>
      </c>
      <c r="K634" s="200">
        <v>34685</v>
      </c>
      <c r="L634" s="550">
        <v>8200</v>
      </c>
      <c r="M634" s="205">
        <f t="shared" si="132"/>
        <v>284417000</v>
      </c>
      <c r="N634" s="214">
        <v>97</v>
      </c>
      <c r="O634" s="554">
        <f t="shared" si="126"/>
        <v>357.57731958762889</v>
      </c>
      <c r="P634" s="548">
        <f t="shared" si="124"/>
        <v>2932134.0206185565</v>
      </c>
    </row>
    <row r="635" spans="1:16" ht="12.75">
      <c r="A635" s="199" t="s">
        <v>348</v>
      </c>
      <c r="B635" s="200" t="s">
        <v>3983</v>
      </c>
      <c r="C635" s="200" t="str">
        <f>VLOOKUP(B635,Fincas!$A$2:$C$1005,2,0)</f>
        <v>A_Chapinero</v>
      </c>
      <c r="D635" s="201">
        <v>44778</v>
      </c>
      <c r="E635" s="267" t="str">
        <f t="shared" si="123"/>
        <v>agosto</v>
      </c>
      <c r="F635" s="202">
        <v>44778</v>
      </c>
      <c r="G635" s="203">
        <v>44780</v>
      </c>
      <c r="H635" s="200">
        <v>119</v>
      </c>
      <c r="I635" s="224">
        <v>7008146</v>
      </c>
      <c r="J635" s="234" t="str">
        <f t="shared" si="125"/>
        <v>Res macho ceba</v>
      </c>
      <c r="K635" s="200">
        <v>9717</v>
      </c>
      <c r="L635" s="550">
        <v>8100</v>
      </c>
      <c r="M635" s="205">
        <f t="shared" si="132"/>
        <v>78707700</v>
      </c>
      <c r="N635" s="214">
        <v>24</v>
      </c>
      <c r="O635" s="554">
        <f t="shared" si="126"/>
        <v>404.875</v>
      </c>
      <c r="P635" s="548">
        <f t="shared" si="124"/>
        <v>3279487.5</v>
      </c>
    </row>
    <row r="636" spans="1:16" ht="12.75">
      <c r="A636" s="199" t="s">
        <v>3984</v>
      </c>
      <c r="B636" s="200" t="s">
        <v>3985</v>
      </c>
      <c r="C636" s="200" t="str">
        <f>VLOOKUP(B636,Fincas!$A$2:$C$1005,2,0)</f>
        <v>F_El Encanto</v>
      </c>
      <c r="D636" s="201">
        <v>44781</v>
      </c>
      <c r="E636" s="267" t="str">
        <f t="shared" si="123"/>
        <v>agosto</v>
      </c>
      <c r="F636" s="202">
        <v>44781</v>
      </c>
      <c r="G636" s="203">
        <v>44782</v>
      </c>
      <c r="H636" s="200" t="s">
        <v>3273</v>
      </c>
      <c r="I636" s="224">
        <v>7008146</v>
      </c>
      <c r="J636" s="234" t="str">
        <f t="shared" si="125"/>
        <v>Res macho ceba</v>
      </c>
      <c r="K636" s="200">
        <v>10677</v>
      </c>
      <c r="L636" s="550">
        <v>8250</v>
      </c>
      <c r="M636" s="205">
        <f t="shared" si="132"/>
        <v>88085250</v>
      </c>
      <c r="N636" s="214">
        <v>27</v>
      </c>
      <c r="O636" s="554">
        <f t="shared" si="126"/>
        <v>395.44444444444446</v>
      </c>
      <c r="P636" s="548">
        <f t="shared" si="124"/>
        <v>3262416.6666666665</v>
      </c>
    </row>
    <row r="637" spans="1:16" ht="12.75">
      <c r="A637" s="199" t="s">
        <v>3548</v>
      </c>
      <c r="B637" s="200" t="s">
        <v>3549</v>
      </c>
      <c r="C637" s="200" t="str">
        <f>VLOOKUP(B637,Fincas!$A$2:$C$1005,2,0)</f>
        <v>F_El Imperio</v>
      </c>
      <c r="D637" s="201">
        <v>44781</v>
      </c>
      <c r="E637" s="267" t="str">
        <f t="shared" si="123"/>
        <v>agosto</v>
      </c>
      <c r="F637" s="202">
        <v>44781</v>
      </c>
      <c r="G637" s="203">
        <v>44782</v>
      </c>
      <c r="H637" s="200" t="s">
        <v>3986</v>
      </c>
      <c r="I637" s="224">
        <v>7008146</v>
      </c>
      <c r="J637" s="234" t="str">
        <f t="shared" si="125"/>
        <v>Res macho ceba</v>
      </c>
      <c r="K637" s="200">
        <v>26557</v>
      </c>
      <c r="L637" s="550">
        <v>8400</v>
      </c>
      <c r="M637" s="205">
        <f t="shared" si="132"/>
        <v>223078800</v>
      </c>
      <c r="N637" s="214">
        <v>76</v>
      </c>
      <c r="O637" s="554">
        <f t="shared" si="126"/>
        <v>349.43421052631578</v>
      </c>
      <c r="P637" s="548">
        <f t="shared" si="124"/>
        <v>2935247.3684210526</v>
      </c>
    </row>
    <row r="638" spans="1:16" ht="12.75">
      <c r="A638" s="199" t="s">
        <v>242</v>
      </c>
      <c r="B638" s="200" t="s">
        <v>3754</v>
      </c>
      <c r="C638" s="200" t="str">
        <f>VLOOKUP(B638,Fincas!$A$2:$C$1005,2,0)</f>
        <v>Alm. FeedLot</v>
      </c>
      <c r="D638" s="201">
        <v>44781</v>
      </c>
      <c r="E638" s="267" t="str">
        <f t="shared" si="123"/>
        <v>agosto</v>
      </c>
      <c r="F638" s="202">
        <v>44778</v>
      </c>
      <c r="G638" s="203">
        <v>44782</v>
      </c>
      <c r="H638" s="200" t="s">
        <v>3987</v>
      </c>
      <c r="I638" s="224">
        <v>7008146</v>
      </c>
      <c r="J638" s="234" t="str">
        <f t="shared" si="125"/>
        <v>Res macho ceba</v>
      </c>
      <c r="K638" s="200">
        <v>13142</v>
      </c>
      <c r="L638" s="550">
        <v>8100</v>
      </c>
      <c r="M638" s="205">
        <f t="shared" si="132"/>
        <v>106450200</v>
      </c>
      <c r="N638" s="214">
        <v>35</v>
      </c>
      <c r="O638" s="554">
        <f t="shared" si="126"/>
        <v>375.48571428571427</v>
      </c>
      <c r="P638" s="548">
        <f t="shared" si="124"/>
        <v>3041434.2857142859</v>
      </c>
    </row>
    <row r="639" spans="1:16" ht="12.75">
      <c r="A639" s="199" t="s">
        <v>3622</v>
      </c>
      <c r="B639" s="200" t="s">
        <v>3449</v>
      </c>
      <c r="C639" s="200" t="str">
        <f>VLOOKUP(B639,Fincas!$A$2:$C$1005,2,0)</f>
        <v>F_La Estrella</v>
      </c>
      <c r="D639" s="201">
        <v>44776</v>
      </c>
      <c r="E639" s="267" t="str">
        <f t="shared" si="123"/>
        <v>agosto</v>
      </c>
      <c r="F639" s="202">
        <v>44777</v>
      </c>
      <c r="G639" s="203">
        <v>44782</v>
      </c>
      <c r="H639" s="200" t="s">
        <v>3988</v>
      </c>
      <c r="I639" s="212">
        <v>7008147</v>
      </c>
      <c r="J639" s="212" t="str">
        <f t="shared" si="125"/>
        <v>Res macho levante</v>
      </c>
      <c r="K639" s="200">
        <v>4856</v>
      </c>
      <c r="L639" s="550">
        <v>9000</v>
      </c>
      <c r="M639" s="205">
        <f t="shared" si="132"/>
        <v>43704000</v>
      </c>
      <c r="N639" s="214">
        <v>24</v>
      </c>
      <c r="O639" s="554">
        <f t="shared" si="126"/>
        <v>202.33333333333334</v>
      </c>
      <c r="P639" s="548">
        <f t="shared" si="124"/>
        <v>1821000</v>
      </c>
    </row>
    <row r="640" spans="1:16" ht="12.75">
      <c r="A640" s="199" t="s">
        <v>3670</v>
      </c>
      <c r="B640" s="200" t="s">
        <v>3982</v>
      </c>
      <c r="C640" s="200" t="str">
        <f>VLOOKUP(B640,Fincas!$A$2:$C$1005,2,0)</f>
        <v>A_Los Aceitunos</v>
      </c>
      <c r="D640" s="201">
        <v>44777</v>
      </c>
      <c r="E640" s="267" t="str">
        <f t="shared" si="123"/>
        <v>agosto</v>
      </c>
      <c r="F640" s="202">
        <v>44777</v>
      </c>
      <c r="G640" s="203">
        <v>44782</v>
      </c>
      <c r="H640" s="200" t="s">
        <v>3989</v>
      </c>
      <c r="I640" s="224">
        <v>7008146</v>
      </c>
      <c r="J640" s="234" t="str">
        <f t="shared" si="125"/>
        <v>Res macho ceba</v>
      </c>
      <c r="K640" s="200">
        <v>1813</v>
      </c>
      <c r="L640" s="550">
        <v>8050</v>
      </c>
      <c r="M640" s="205">
        <f t="shared" si="132"/>
        <v>14594650</v>
      </c>
      <c r="N640" s="214">
        <v>5</v>
      </c>
      <c r="O640" s="554">
        <f t="shared" si="126"/>
        <v>362.6</v>
      </c>
      <c r="P640" s="548">
        <f t="shared" si="124"/>
        <v>2918930</v>
      </c>
    </row>
    <row r="641" spans="1:16" ht="12.75">
      <c r="A641" s="199" t="s">
        <v>3670</v>
      </c>
      <c r="B641" s="200" t="s">
        <v>3449</v>
      </c>
      <c r="C641" s="200" t="str">
        <f>VLOOKUP(B641,Fincas!$A$2:$C$1005,2,0)</f>
        <v>F_La Estrella</v>
      </c>
      <c r="D641" s="201">
        <v>44776</v>
      </c>
      <c r="E641" s="267" t="str">
        <f t="shared" si="123"/>
        <v>agosto</v>
      </c>
      <c r="F641" s="202">
        <v>44775</v>
      </c>
      <c r="G641" s="203">
        <v>44782</v>
      </c>
      <c r="H641" s="200" t="s">
        <v>3990</v>
      </c>
      <c r="I641" s="212">
        <v>7008147</v>
      </c>
      <c r="J641" s="212" t="str">
        <f t="shared" si="125"/>
        <v>Res macho levante</v>
      </c>
      <c r="K641" s="200">
        <v>3760</v>
      </c>
      <c r="L641" s="550">
        <v>8900</v>
      </c>
      <c r="M641" s="205">
        <f t="shared" si="132"/>
        <v>33464000</v>
      </c>
      <c r="N641" s="214">
        <v>17</v>
      </c>
      <c r="O641" s="554">
        <f t="shared" si="126"/>
        <v>221.1764705882353</v>
      </c>
      <c r="P641" s="548">
        <f t="shared" si="124"/>
        <v>1968470.5882352942</v>
      </c>
    </row>
    <row r="642" spans="1:16" ht="12.75">
      <c r="A642" s="199" t="s">
        <v>3451</v>
      </c>
      <c r="B642" s="200" t="s">
        <v>3557</v>
      </c>
      <c r="C642" s="200" t="str">
        <f>VLOOKUP(B642,Fincas!$A$2:$C$1005,2,0)</f>
        <v>F_San Clemente</v>
      </c>
      <c r="D642" s="201">
        <v>44775</v>
      </c>
      <c r="E642" s="267" t="str">
        <f t="shared" ref="E642:E705" si="133">+TEXT(D642,"mmmm")</f>
        <v>agosto</v>
      </c>
      <c r="F642" s="202">
        <v>44775</v>
      </c>
      <c r="G642" s="203">
        <v>44783</v>
      </c>
      <c r="H642" s="200">
        <v>65660</v>
      </c>
      <c r="I642" s="212">
        <v>7008147</v>
      </c>
      <c r="J642" s="212" t="str">
        <f t="shared" si="125"/>
        <v>Res macho levante</v>
      </c>
      <c r="K642" s="200">
        <v>21324</v>
      </c>
      <c r="L642" s="550">
        <v>8262</v>
      </c>
      <c r="M642" s="205">
        <f t="shared" si="132"/>
        <v>176178888</v>
      </c>
      <c r="N642" s="214">
        <v>74</v>
      </c>
      <c r="O642" s="554">
        <f t="shared" si="126"/>
        <v>288.16216216216219</v>
      </c>
      <c r="P642" s="548">
        <f t="shared" ref="P642:P705" si="134">+M642/N642</f>
        <v>2380795.7837837837</v>
      </c>
    </row>
    <row r="643" spans="1:16" ht="12.75">
      <c r="A643" s="199" t="s">
        <v>3689</v>
      </c>
      <c r="B643" s="200" t="s">
        <v>3971</v>
      </c>
      <c r="C643" s="200" t="str">
        <f>VLOOKUP(B643,Fincas!$A$2:$C$1005,2,0)</f>
        <v>A_Villa Sandra</v>
      </c>
      <c r="D643" s="201">
        <v>44776</v>
      </c>
      <c r="E643" s="267" t="str">
        <f t="shared" si="133"/>
        <v>agosto</v>
      </c>
      <c r="F643" s="202">
        <v>44778</v>
      </c>
      <c r="G643" s="203">
        <v>44783</v>
      </c>
      <c r="H643" s="200">
        <v>133576</v>
      </c>
      <c r="I643" s="224">
        <v>7008146</v>
      </c>
      <c r="J643" s="234" t="str">
        <f t="shared" ref="J643:J706" si="135">+VLOOKUP(I643,$F$962:$G$970,2,0)</f>
        <v>Res macho ceba</v>
      </c>
      <c r="K643" s="200">
        <v>159671</v>
      </c>
      <c r="L643" s="550">
        <v>8400</v>
      </c>
      <c r="M643" s="205">
        <f t="shared" si="132"/>
        <v>1341236400</v>
      </c>
      <c r="N643" s="214">
        <v>434</v>
      </c>
      <c r="O643" s="554">
        <f t="shared" ref="O643:O706" si="136">+K643/N643</f>
        <v>367.90552995391704</v>
      </c>
      <c r="P643" s="548">
        <f t="shared" si="134"/>
        <v>3090406.4516129033</v>
      </c>
    </row>
    <row r="644" spans="1:16" ht="12.75">
      <c r="A644" s="199" t="s">
        <v>3586</v>
      </c>
      <c r="B644" s="200" t="s">
        <v>3587</v>
      </c>
      <c r="C644" s="200" t="str">
        <f>VLOOKUP(B644,Fincas!$A$2:$C$1005,2,0)</f>
        <v>F_Monaco</v>
      </c>
      <c r="D644" s="201">
        <v>44782</v>
      </c>
      <c r="E644" s="267" t="str">
        <f t="shared" si="133"/>
        <v>agosto</v>
      </c>
      <c r="F644" s="202">
        <v>44784</v>
      </c>
      <c r="G644" s="203">
        <v>44784</v>
      </c>
      <c r="H644" s="200" t="s">
        <v>3991</v>
      </c>
      <c r="I644" s="224">
        <v>7008146</v>
      </c>
      <c r="J644" s="234" t="str">
        <f t="shared" si="135"/>
        <v>Res macho ceba</v>
      </c>
      <c r="K644" s="200">
        <v>23677</v>
      </c>
      <c r="L644" s="550">
        <v>8400</v>
      </c>
      <c r="M644" s="205">
        <f t="shared" si="132"/>
        <v>198886800</v>
      </c>
      <c r="N644" s="214">
        <v>64</v>
      </c>
      <c r="O644" s="554">
        <f t="shared" si="136"/>
        <v>369.953125</v>
      </c>
      <c r="P644" s="548">
        <f t="shared" si="134"/>
        <v>3107606.25</v>
      </c>
    </row>
    <row r="645" spans="1:16" ht="12.75">
      <c r="A645" s="199" t="s">
        <v>501</v>
      </c>
      <c r="B645" s="200" t="s">
        <v>3786</v>
      </c>
      <c r="C645" s="200" t="str">
        <f>VLOOKUP(B645,Fincas!$A$2:$C$1005,2,0)</f>
        <v>F_El Tambo</v>
      </c>
      <c r="D645" s="201">
        <v>44782</v>
      </c>
      <c r="E645" s="267" t="str">
        <f t="shared" si="133"/>
        <v>agosto</v>
      </c>
      <c r="F645" s="202">
        <v>44781</v>
      </c>
      <c r="G645" s="203">
        <v>44815</v>
      </c>
      <c r="H645" s="200" t="s">
        <v>3992</v>
      </c>
      <c r="I645" s="224">
        <v>7008146</v>
      </c>
      <c r="J645" s="234" t="str">
        <f t="shared" si="135"/>
        <v>Res macho ceba</v>
      </c>
      <c r="K645" s="200">
        <v>18990</v>
      </c>
      <c r="L645" s="550">
        <v>8200</v>
      </c>
      <c r="M645" s="205">
        <f t="shared" si="132"/>
        <v>155718000</v>
      </c>
      <c r="N645" s="214">
        <v>55</v>
      </c>
      <c r="O645" s="554">
        <f t="shared" si="136"/>
        <v>345.27272727272725</v>
      </c>
      <c r="P645" s="548">
        <f t="shared" si="134"/>
        <v>2831236.3636363638</v>
      </c>
    </row>
    <row r="646" spans="1:16" ht="12.75">
      <c r="A646" s="199" t="s">
        <v>3622</v>
      </c>
      <c r="B646" s="200" t="s">
        <v>3754</v>
      </c>
      <c r="C646" s="200" t="str">
        <f>VLOOKUP(B646,Fincas!$A$2:$C$1005,2,0)</f>
        <v>Alm. FeedLot</v>
      </c>
      <c r="D646" s="201">
        <v>44783</v>
      </c>
      <c r="E646" s="267" t="str">
        <f t="shared" si="133"/>
        <v>agosto</v>
      </c>
      <c r="F646" s="202">
        <v>44775</v>
      </c>
      <c r="G646" s="203">
        <v>44784</v>
      </c>
      <c r="H646" s="200" t="s">
        <v>3993</v>
      </c>
      <c r="I646" s="224">
        <v>7008146</v>
      </c>
      <c r="J646" s="234" t="str">
        <f t="shared" si="135"/>
        <v>Res macho ceba</v>
      </c>
      <c r="K646" s="200">
        <v>17453</v>
      </c>
      <c r="L646" s="550">
        <v>8200</v>
      </c>
      <c r="M646" s="205">
        <f t="shared" si="132"/>
        <v>143114600</v>
      </c>
      <c r="N646" s="214">
        <v>54</v>
      </c>
      <c r="O646" s="554">
        <f t="shared" si="136"/>
        <v>323.2037037037037</v>
      </c>
      <c r="P646" s="548">
        <f t="shared" si="134"/>
        <v>2650270.3703703703</v>
      </c>
    </row>
    <row r="647" spans="1:16" ht="12.75">
      <c r="A647" s="199" t="s">
        <v>3454</v>
      </c>
      <c r="B647" s="200" t="s">
        <v>3493</v>
      </c>
      <c r="C647" s="200" t="str">
        <f>VLOOKUP(B647,Fincas!$A$2:$C$1005,2,0)</f>
        <v>F_Las Camelias</v>
      </c>
      <c r="D647" s="201">
        <v>44778</v>
      </c>
      <c r="E647" s="267" t="str">
        <f t="shared" si="133"/>
        <v>agosto</v>
      </c>
      <c r="F647" s="202">
        <v>44778</v>
      </c>
      <c r="G647" s="203">
        <v>44785</v>
      </c>
      <c r="H647" s="200">
        <v>8252</v>
      </c>
      <c r="I647" s="224">
        <v>7008146</v>
      </c>
      <c r="J647" s="234" t="str">
        <f t="shared" si="135"/>
        <v>Res macho ceba</v>
      </c>
      <c r="K647" s="200">
        <v>5821</v>
      </c>
      <c r="L647" s="550">
        <f t="shared" ref="L647:L648" si="137">M647/K647</f>
        <v>8189.935062704003</v>
      </c>
      <c r="M647" s="213">
        <v>47673612</v>
      </c>
      <c r="N647" s="214">
        <v>18</v>
      </c>
      <c r="O647" s="554">
        <f t="shared" si="136"/>
        <v>323.38888888888891</v>
      </c>
      <c r="P647" s="548">
        <f t="shared" si="134"/>
        <v>2648534</v>
      </c>
    </row>
    <row r="648" spans="1:16" ht="12.75">
      <c r="A648" s="199" t="s">
        <v>3454</v>
      </c>
      <c r="B648" s="200" t="s">
        <v>3493</v>
      </c>
      <c r="C648" s="200" t="str">
        <f>VLOOKUP(B648,Fincas!$A$2:$C$1005,2,0)</f>
        <v>F_Las Camelias</v>
      </c>
      <c r="D648" s="201">
        <v>44778</v>
      </c>
      <c r="E648" s="267" t="str">
        <f t="shared" si="133"/>
        <v>agosto</v>
      </c>
      <c r="F648" s="202">
        <v>44778</v>
      </c>
      <c r="G648" s="203">
        <v>44785</v>
      </c>
      <c r="H648" s="200">
        <v>8253</v>
      </c>
      <c r="I648" s="224">
        <v>7008146</v>
      </c>
      <c r="J648" s="234" t="str">
        <f t="shared" si="135"/>
        <v>Res macho ceba</v>
      </c>
      <c r="K648" s="200">
        <v>6190</v>
      </c>
      <c r="L648" s="550">
        <f t="shared" si="137"/>
        <v>8189.9350565428113</v>
      </c>
      <c r="M648" s="213">
        <v>50695698</v>
      </c>
      <c r="N648" s="214">
        <v>18</v>
      </c>
      <c r="O648" s="554">
        <f t="shared" si="136"/>
        <v>343.88888888888891</v>
      </c>
      <c r="P648" s="548">
        <f t="shared" si="134"/>
        <v>2816427.6666666665</v>
      </c>
    </row>
    <row r="649" spans="1:16" ht="12.75">
      <c r="A649" s="199" t="s">
        <v>3602</v>
      </c>
      <c r="B649" s="246" t="s">
        <v>3603</v>
      </c>
      <c r="C649" s="200" t="str">
        <f>VLOOKUP(B649,Fincas!$A$2:$C$1005,2,0)</f>
        <v>F_Cocodrilla</v>
      </c>
      <c r="D649" s="201">
        <v>44784</v>
      </c>
      <c r="E649" s="267" t="str">
        <f t="shared" si="133"/>
        <v>agosto</v>
      </c>
      <c r="F649" s="202">
        <v>44784</v>
      </c>
      <c r="G649" s="203">
        <v>44785</v>
      </c>
      <c r="H649" s="200" t="s">
        <v>3994</v>
      </c>
      <c r="I649" s="224">
        <v>7008146</v>
      </c>
      <c r="J649" s="234" t="str">
        <f t="shared" si="135"/>
        <v>Res macho ceba</v>
      </c>
      <c r="K649" s="200">
        <v>40261</v>
      </c>
      <c r="L649" s="550">
        <v>8400</v>
      </c>
      <c r="M649" s="205">
        <f t="shared" ref="M649:M661" si="138">L649*K649</f>
        <v>338192400</v>
      </c>
      <c r="N649" s="214">
        <v>100</v>
      </c>
      <c r="O649" s="554">
        <f t="shared" si="136"/>
        <v>402.61</v>
      </c>
      <c r="P649" s="548">
        <f t="shared" si="134"/>
        <v>3381924</v>
      </c>
    </row>
    <row r="650" spans="1:16" ht="14.25" customHeight="1">
      <c r="A650" s="199" t="s">
        <v>3995</v>
      </c>
      <c r="B650" s="200" t="s">
        <v>3754</v>
      </c>
      <c r="C650" s="200" t="str">
        <f>VLOOKUP(B650,Fincas!$A$2:$C$1005,2,0)</f>
        <v>Alm. FeedLot</v>
      </c>
      <c r="D650" s="201">
        <v>44784</v>
      </c>
      <c r="E650" s="267" t="str">
        <f t="shared" si="133"/>
        <v>agosto</v>
      </c>
      <c r="F650" s="202">
        <v>44784</v>
      </c>
      <c r="G650" s="203">
        <v>44785</v>
      </c>
      <c r="H650" s="200" t="s">
        <v>1063</v>
      </c>
      <c r="I650" s="224">
        <v>7008146</v>
      </c>
      <c r="J650" s="234" t="str">
        <f t="shared" si="135"/>
        <v>Res macho ceba</v>
      </c>
      <c r="K650" s="200">
        <v>18574</v>
      </c>
      <c r="L650" s="550">
        <v>8200</v>
      </c>
      <c r="M650" s="205">
        <f t="shared" si="138"/>
        <v>152306800</v>
      </c>
      <c r="N650" s="214">
        <v>53</v>
      </c>
      <c r="O650" s="554">
        <f t="shared" si="136"/>
        <v>350.45283018867923</v>
      </c>
      <c r="P650" s="548">
        <f t="shared" si="134"/>
        <v>2873713.2075471696</v>
      </c>
    </row>
    <row r="651" spans="1:16" ht="12.75">
      <c r="A651" s="199" t="s">
        <v>3898</v>
      </c>
      <c r="B651" s="200" t="s">
        <v>3623</v>
      </c>
      <c r="C651" s="200" t="str">
        <f>VLOOKUP(B651,Fincas!$A$2:$C$1005,2,0)</f>
        <v>F_Vista Hermosa</v>
      </c>
      <c r="D651" s="201">
        <v>44781</v>
      </c>
      <c r="E651" s="267" t="str">
        <f t="shared" si="133"/>
        <v>agosto</v>
      </c>
      <c r="F651" s="202">
        <v>44777</v>
      </c>
      <c r="G651" s="203">
        <v>44785</v>
      </c>
      <c r="H651" s="200" t="s">
        <v>3996</v>
      </c>
      <c r="I651" s="212">
        <v>7008147</v>
      </c>
      <c r="J651" s="212" t="str">
        <f t="shared" si="135"/>
        <v>Res macho levante</v>
      </c>
      <c r="K651" s="200">
        <v>8142</v>
      </c>
      <c r="L651" s="550">
        <v>8400</v>
      </c>
      <c r="M651" s="205">
        <f t="shared" si="138"/>
        <v>68392800</v>
      </c>
      <c r="N651" s="214">
        <v>31</v>
      </c>
      <c r="O651" s="554">
        <f t="shared" si="136"/>
        <v>262.64516129032256</v>
      </c>
      <c r="P651" s="548">
        <f t="shared" si="134"/>
        <v>2206219.3548387098</v>
      </c>
    </row>
    <row r="652" spans="1:16" ht="12.75">
      <c r="A652" s="199" t="s">
        <v>3492</v>
      </c>
      <c r="B652" s="200" t="s">
        <v>3493</v>
      </c>
      <c r="C652" s="200" t="str">
        <f>VLOOKUP(B652,Fincas!$A$2:$C$1005,2,0)</f>
        <v>F_Las Camelias</v>
      </c>
      <c r="D652" s="201">
        <v>44786</v>
      </c>
      <c r="E652" s="267" t="str">
        <f t="shared" si="133"/>
        <v>agosto</v>
      </c>
      <c r="F652" s="202">
        <v>44786</v>
      </c>
      <c r="G652" s="203">
        <v>44789</v>
      </c>
      <c r="H652" s="200" t="s">
        <v>3450</v>
      </c>
      <c r="I652" s="224">
        <v>7008146</v>
      </c>
      <c r="J652" s="234" t="str">
        <f t="shared" si="135"/>
        <v>Res macho ceba</v>
      </c>
      <c r="K652" s="200">
        <v>12406</v>
      </c>
      <c r="L652" s="550">
        <v>8500</v>
      </c>
      <c r="M652" s="205">
        <f t="shared" si="138"/>
        <v>105451000</v>
      </c>
      <c r="N652" s="214">
        <v>38</v>
      </c>
      <c r="O652" s="554">
        <f t="shared" si="136"/>
        <v>326.4736842105263</v>
      </c>
      <c r="P652" s="548">
        <f t="shared" si="134"/>
        <v>2775026.3157894737</v>
      </c>
    </row>
    <row r="653" spans="1:16" ht="12.75">
      <c r="A653" s="199" t="s">
        <v>3514</v>
      </c>
      <c r="B653" s="200" t="s">
        <v>3982</v>
      </c>
      <c r="C653" s="200" t="str">
        <f>VLOOKUP(B653,Fincas!$A$2:$C$1005,2,0)</f>
        <v>A_Los Aceitunos</v>
      </c>
      <c r="D653" s="201">
        <v>44783</v>
      </c>
      <c r="E653" s="267" t="str">
        <f t="shared" si="133"/>
        <v>agosto</v>
      </c>
      <c r="F653" s="202">
        <v>44785</v>
      </c>
      <c r="G653" s="203">
        <v>44789</v>
      </c>
      <c r="H653" s="200" t="s">
        <v>3997</v>
      </c>
      <c r="I653" s="224">
        <v>7008146</v>
      </c>
      <c r="J653" s="234" t="str">
        <f t="shared" si="135"/>
        <v>Res macho ceba</v>
      </c>
      <c r="K653" s="200">
        <v>11947</v>
      </c>
      <c r="L653" s="550">
        <v>8100</v>
      </c>
      <c r="M653" s="205">
        <f t="shared" si="138"/>
        <v>96770700</v>
      </c>
      <c r="N653" s="214">
        <v>38</v>
      </c>
      <c r="O653" s="554">
        <f t="shared" si="136"/>
        <v>314.39473684210526</v>
      </c>
      <c r="P653" s="548">
        <f t="shared" si="134"/>
        <v>2546597.3684210526</v>
      </c>
    </row>
    <row r="654" spans="1:16" ht="12.75">
      <c r="A654" s="199" t="s">
        <v>3514</v>
      </c>
      <c r="B654" s="200" t="s">
        <v>3754</v>
      </c>
      <c r="C654" s="200" t="str">
        <f>VLOOKUP(B654,Fincas!$A$2:$C$1005,2,0)</f>
        <v>Alm. FeedLot</v>
      </c>
      <c r="D654" s="201">
        <v>44783</v>
      </c>
      <c r="E654" s="267" t="str">
        <f t="shared" si="133"/>
        <v>agosto</v>
      </c>
      <c r="F654" s="202">
        <v>44785</v>
      </c>
      <c r="G654" s="203">
        <v>44789</v>
      </c>
      <c r="H654" s="200" t="s">
        <v>3998</v>
      </c>
      <c r="I654" s="224">
        <v>7008146</v>
      </c>
      <c r="J654" s="234" t="str">
        <f t="shared" si="135"/>
        <v>Res macho ceba</v>
      </c>
      <c r="K654" s="200">
        <v>24731</v>
      </c>
      <c r="L654" s="550">
        <v>8100</v>
      </c>
      <c r="M654" s="205">
        <f t="shared" si="138"/>
        <v>200321100</v>
      </c>
      <c r="N654" s="214">
        <v>69</v>
      </c>
      <c r="O654" s="554">
        <f t="shared" si="136"/>
        <v>358.42028985507244</v>
      </c>
      <c r="P654" s="548">
        <f t="shared" si="134"/>
        <v>2903204.3478260869</v>
      </c>
    </row>
    <row r="655" spans="1:16" ht="12.75">
      <c r="A655" s="199" t="s">
        <v>3463</v>
      </c>
      <c r="B655" s="200" t="s">
        <v>3798</v>
      </c>
      <c r="C655" s="200" t="str">
        <f>VLOOKUP(B655,Fincas!$A$2:$C$1005,2,0)</f>
        <v>La Fortuna</v>
      </c>
      <c r="D655" s="201">
        <v>44783</v>
      </c>
      <c r="E655" s="267" t="str">
        <f t="shared" si="133"/>
        <v>agosto</v>
      </c>
      <c r="F655" s="202">
        <v>44786</v>
      </c>
      <c r="G655" s="203">
        <v>44790</v>
      </c>
      <c r="H655" s="200" t="s">
        <v>3999</v>
      </c>
      <c r="I655" s="224">
        <v>7008146</v>
      </c>
      <c r="J655" s="234" t="str">
        <f t="shared" si="135"/>
        <v>Res macho ceba</v>
      </c>
      <c r="K655" s="200">
        <v>12336</v>
      </c>
      <c r="L655" s="550">
        <v>8930</v>
      </c>
      <c r="M655" s="205">
        <f t="shared" si="138"/>
        <v>110160480</v>
      </c>
      <c r="N655" s="214">
        <v>48</v>
      </c>
      <c r="O655" s="554">
        <f t="shared" si="136"/>
        <v>257</v>
      </c>
      <c r="P655" s="548">
        <f t="shared" si="134"/>
        <v>2295010</v>
      </c>
    </row>
    <row r="656" spans="1:16" ht="12.75">
      <c r="A656" s="199" t="s">
        <v>4000</v>
      </c>
      <c r="B656" s="200" t="s">
        <v>4001</v>
      </c>
      <c r="C656" s="200" t="str">
        <f>VLOOKUP(B656,Fincas!$A$2:$C$1005,2,0)</f>
        <v>F_Los Alacranes</v>
      </c>
      <c r="D656" s="201">
        <v>44789</v>
      </c>
      <c r="E656" s="267" t="str">
        <f t="shared" si="133"/>
        <v>agosto</v>
      </c>
      <c r="F656" s="202">
        <v>44785</v>
      </c>
      <c r="G656" s="203">
        <v>44791</v>
      </c>
      <c r="H656" s="200" t="s">
        <v>4002</v>
      </c>
      <c r="I656" s="224">
        <v>7008146</v>
      </c>
      <c r="J656" s="234" t="str">
        <f t="shared" si="135"/>
        <v>Res macho ceba</v>
      </c>
      <c r="K656" s="200">
        <v>14140</v>
      </c>
      <c r="L656" s="550">
        <v>8100</v>
      </c>
      <c r="M656" s="205">
        <f t="shared" si="138"/>
        <v>114534000</v>
      </c>
      <c r="N656" s="214">
        <v>35</v>
      </c>
      <c r="O656" s="554">
        <f t="shared" si="136"/>
        <v>404</v>
      </c>
      <c r="P656" s="548">
        <f t="shared" si="134"/>
        <v>3272400</v>
      </c>
    </row>
    <row r="657" spans="1:16" ht="12.75">
      <c r="A657" s="199" t="s">
        <v>4000</v>
      </c>
      <c r="B657" s="200" t="s">
        <v>4001</v>
      </c>
      <c r="C657" s="200" t="str">
        <f>VLOOKUP(B657,Fincas!$A$2:$C$1005,2,0)</f>
        <v>F_Los Alacranes</v>
      </c>
      <c r="D657" s="201">
        <v>44789</v>
      </c>
      <c r="E657" s="267" t="str">
        <f t="shared" si="133"/>
        <v>agosto</v>
      </c>
      <c r="F657" s="202">
        <v>44785</v>
      </c>
      <c r="G657" s="203">
        <v>44791</v>
      </c>
      <c r="H657" s="200" t="s">
        <v>2234</v>
      </c>
      <c r="I657" s="224">
        <v>7008146</v>
      </c>
      <c r="J657" s="234" t="str">
        <f t="shared" si="135"/>
        <v>Res macho ceba</v>
      </c>
      <c r="K657" s="200">
        <v>11526</v>
      </c>
      <c r="L657" s="550">
        <v>8200</v>
      </c>
      <c r="M657" s="205">
        <f t="shared" si="138"/>
        <v>94513200</v>
      </c>
      <c r="N657" s="214">
        <v>30</v>
      </c>
      <c r="O657" s="554">
        <f t="shared" si="136"/>
        <v>384.2</v>
      </c>
      <c r="P657" s="548">
        <f t="shared" si="134"/>
        <v>3150440</v>
      </c>
    </row>
    <row r="658" spans="1:16" ht="12.75">
      <c r="A658" s="199" t="s">
        <v>4000</v>
      </c>
      <c r="B658" s="200" t="s">
        <v>4001</v>
      </c>
      <c r="C658" s="200" t="str">
        <f>VLOOKUP(B658,Fincas!$A$2:$C$1005,2,0)</f>
        <v>F_Los Alacranes</v>
      </c>
      <c r="D658" s="201">
        <v>44789</v>
      </c>
      <c r="E658" s="267" t="str">
        <f t="shared" si="133"/>
        <v>agosto</v>
      </c>
      <c r="F658" s="202">
        <v>44785</v>
      </c>
      <c r="G658" s="203">
        <v>44791</v>
      </c>
      <c r="H658" s="200" t="s">
        <v>4003</v>
      </c>
      <c r="I658" s="224">
        <v>7008146</v>
      </c>
      <c r="J658" s="234" t="str">
        <f t="shared" si="135"/>
        <v>Res macho ceba</v>
      </c>
      <c r="K658" s="200">
        <v>9725</v>
      </c>
      <c r="L658" s="550">
        <v>8200</v>
      </c>
      <c r="M658" s="205">
        <f t="shared" si="138"/>
        <v>79745000</v>
      </c>
      <c r="N658" s="214">
        <v>30</v>
      </c>
      <c r="O658" s="554">
        <f t="shared" si="136"/>
        <v>324.16666666666669</v>
      </c>
      <c r="P658" s="548">
        <f t="shared" si="134"/>
        <v>2658166.6666666665</v>
      </c>
    </row>
    <row r="659" spans="1:16" ht="12.75">
      <c r="A659" s="199" t="s">
        <v>3514</v>
      </c>
      <c r="B659" s="200" t="s">
        <v>3983</v>
      </c>
      <c r="C659" s="200" t="str">
        <f>VLOOKUP(B659,Fincas!$A$2:$C$1005,2,0)</f>
        <v>A_Chapinero</v>
      </c>
      <c r="D659" s="201">
        <v>44783</v>
      </c>
      <c r="E659" s="267" t="str">
        <f t="shared" si="133"/>
        <v>agosto</v>
      </c>
      <c r="F659" s="202">
        <v>44785</v>
      </c>
      <c r="G659" s="203">
        <v>44791</v>
      </c>
      <c r="H659" s="200" t="s">
        <v>4004</v>
      </c>
      <c r="I659" s="224">
        <v>7008146</v>
      </c>
      <c r="J659" s="234" t="str">
        <f t="shared" si="135"/>
        <v>Res macho ceba</v>
      </c>
      <c r="K659" s="200">
        <v>26301</v>
      </c>
      <c r="L659" s="550">
        <v>8100</v>
      </c>
      <c r="M659" s="205">
        <f t="shared" si="138"/>
        <v>213038100</v>
      </c>
      <c r="N659" s="214">
        <v>90</v>
      </c>
      <c r="O659" s="554">
        <f t="shared" si="136"/>
        <v>292.23333333333335</v>
      </c>
      <c r="P659" s="548">
        <f t="shared" si="134"/>
        <v>2367090</v>
      </c>
    </row>
    <row r="660" spans="1:16" ht="12.75">
      <c r="A660" s="199" t="s">
        <v>3511</v>
      </c>
      <c r="B660" s="200" t="s">
        <v>3489</v>
      </c>
      <c r="C660" s="200" t="str">
        <f>VLOOKUP(B660,Fincas!$A$2:$C$1005,2,0)</f>
        <v>F_La Pradilla</v>
      </c>
      <c r="D660" s="201">
        <v>44784</v>
      </c>
      <c r="E660" s="267" t="str">
        <f t="shared" si="133"/>
        <v>agosto</v>
      </c>
      <c r="F660" s="202">
        <v>44785</v>
      </c>
      <c r="G660" s="203">
        <v>44795</v>
      </c>
      <c r="H660" s="200" t="s">
        <v>4005</v>
      </c>
      <c r="I660" s="224">
        <v>7008146</v>
      </c>
      <c r="J660" s="234" t="str">
        <f t="shared" si="135"/>
        <v>Res macho ceba</v>
      </c>
      <c r="K660" s="200">
        <v>7256</v>
      </c>
      <c r="L660" s="550">
        <v>7950</v>
      </c>
      <c r="M660" s="205">
        <f t="shared" si="138"/>
        <v>57685200</v>
      </c>
      <c r="N660" s="214">
        <v>20</v>
      </c>
      <c r="O660" s="554">
        <f t="shared" si="136"/>
        <v>362.8</v>
      </c>
      <c r="P660" s="548">
        <f t="shared" si="134"/>
        <v>2884260</v>
      </c>
    </row>
    <row r="661" spans="1:16" ht="12.75">
      <c r="A661" s="199" t="s">
        <v>3836</v>
      </c>
      <c r="B661" s="200" t="s">
        <v>3446</v>
      </c>
      <c r="C661" s="200" t="str">
        <f>VLOOKUP(B661,Fincas!$A$2:$C$1005,2,0)</f>
        <v>F_Don Alfonso</v>
      </c>
      <c r="D661" s="201">
        <v>44789</v>
      </c>
      <c r="E661" s="267" t="str">
        <f t="shared" si="133"/>
        <v>agosto</v>
      </c>
      <c r="F661" s="202">
        <v>44789</v>
      </c>
      <c r="G661" s="203">
        <v>44795</v>
      </c>
      <c r="H661" s="200" t="s">
        <v>4006</v>
      </c>
      <c r="I661" s="224">
        <v>7008146</v>
      </c>
      <c r="J661" s="234" t="str">
        <f t="shared" si="135"/>
        <v>Res macho ceba</v>
      </c>
      <c r="K661" s="200">
        <v>58507</v>
      </c>
      <c r="L661" s="550">
        <v>8300</v>
      </c>
      <c r="M661" s="205">
        <f t="shared" si="138"/>
        <v>485608100</v>
      </c>
      <c r="N661" s="214">
        <v>200</v>
      </c>
      <c r="O661" s="554">
        <f t="shared" si="136"/>
        <v>292.53500000000003</v>
      </c>
      <c r="P661" s="548">
        <f t="shared" si="134"/>
        <v>2428040.5</v>
      </c>
    </row>
    <row r="662" spans="1:16" ht="12.75">
      <c r="A662" s="199" t="s">
        <v>3454</v>
      </c>
      <c r="B662" s="200" t="s">
        <v>4007</v>
      </c>
      <c r="C662" s="200" t="str">
        <f>VLOOKUP(B662,Fincas!$A$2:$C$1005,2,0)</f>
        <v>F_Santa Ines</v>
      </c>
      <c r="D662" s="201">
        <v>44788</v>
      </c>
      <c r="E662" s="267" t="str">
        <f t="shared" si="133"/>
        <v>agosto</v>
      </c>
      <c r="F662" s="202">
        <v>44790</v>
      </c>
      <c r="G662" s="203">
        <v>44795</v>
      </c>
      <c r="H662" s="200" t="s">
        <v>4008</v>
      </c>
      <c r="I662" s="224">
        <v>7008146</v>
      </c>
      <c r="J662" s="234" t="str">
        <f t="shared" si="135"/>
        <v>Res macho ceba</v>
      </c>
      <c r="K662" s="200">
        <v>5342</v>
      </c>
      <c r="L662" s="550">
        <f t="shared" ref="L662:L664" si="139">M662/K662</f>
        <v>7687.4850243354549</v>
      </c>
      <c r="M662" s="213">
        <v>41066545</v>
      </c>
      <c r="N662" s="214">
        <v>18</v>
      </c>
      <c r="O662" s="554">
        <f t="shared" si="136"/>
        <v>296.77777777777777</v>
      </c>
      <c r="P662" s="548">
        <f t="shared" si="134"/>
        <v>2281474.722222222</v>
      </c>
    </row>
    <row r="663" spans="1:16" ht="12.75">
      <c r="A663" s="199" t="s">
        <v>3454</v>
      </c>
      <c r="B663" s="200" t="s">
        <v>4007</v>
      </c>
      <c r="C663" s="200" t="str">
        <f>VLOOKUP(B663,Fincas!$A$2:$C$1005,2,0)</f>
        <v>F_Santa Ines</v>
      </c>
      <c r="D663" s="201">
        <v>44788</v>
      </c>
      <c r="E663" s="267" t="str">
        <f t="shared" si="133"/>
        <v>agosto</v>
      </c>
      <c r="F663" s="202">
        <v>44790</v>
      </c>
      <c r="G663" s="203">
        <v>44795</v>
      </c>
      <c r="H663" s="200" t="s">
        <v>4009</v>
      </c>
      <c r="I663" s="224">
        <v>7008146</v>
      </c>
      <c r="J663" s="234" t="str">
        <f t="shared" si="135"/>
        <v>Res macho ceba</v>
      </c>
      <c r="K663" s="200">
        <v>5461</v>
      </c>
      <c r="L663" s="550">
        <f t="shared" si="139"/>
        <v>7687.4850759934079</v>
      </c>
      <c r="M663" s="213">
        <v>41981356</v>
      </c>
      <c r="N663" s="214">
        <v>18</v>
      </c>
      <c r="O663" s="554">
        <f t="shared" si="136"/>
        <v>303.38888888888891</v>
      </c>
      <c r="P663" s="548">
        <f t="shared" si="134"/>
        <v>2332297.5555555555</v>
      </c>
    </row>
    <row r="664" spans="1:16" ht="12.75">
      <c r="A664" s="199" t="s">
        <v>3454</v>
      </c>
      <c r="B664" s="200" t="s">
        <v>4007</v>
      </c>
      <c r="C664" s="200" t="str">
        <f>VLOOKUP(B664,Fincas!$A$2:$C$1005,2,0)</f>
        <v>F_Santa Ines</v>
      </c>
      <c r="D664" s="201">
        <v>44790</v>
      </c>
      <c r="E664" s="267" t="str">
        <f t="shared" si="133"/>
        <v>agosto</v>
      </c>
      <c r="F664" s="202">
        <v>44791</v>
      </c>
      <c r="G664" s="203">
        <v>44795</v>
      </c>
      <c r="H664" s="200" t="s">
        <v>4010</v>
      </c>
      <c r="I664" s="224">
        <v>7008146</v>
      </c>
      <c r="J664" s="234" t="str">
        <f t="shared" si="135"/>
        <v>Res macho ceba</v>
      </c>
      <c r="K664" s="200">
        <v>5630</v>
      </c>
      <c r="L664" s="550">
        <f t="shared" si="139"/>
        <v>7536.7499111900534</v>
      </c>
      <c r="M664" s="213">
        <v>42431902</v>
      </c>
      <c r="N664" s="214">
        <v>20</v>
      </c>
      <c r="O664" s="554">
        <f t="shared" si="136"/>
        <v>281.5</v>
      </c>
      <c r="P664" s="548">
        <f t="shared" si="134"/>
        <v>2121595.1</v>
      </c>
    </row>
    <row r="665" spans="1:16" ht="12.75">
      <c r="A665" s="199" t="s">
        <v>3511</v>
      </c>
      <c r="B665" s="200" t="s">
        <v>4011</v>
      </c>
      <c r="C665" s="200" t="str">
        <f>VLOOKUP(B665,Fincas!$A$2:$C$1005,2,0)</f>
        <v>F_Santa Marta</v>
      </c>
      <c r="D665" s="201">
        <v>44784</v>
      </c>
      <c r="E665" s="267" t="str">
        <f t="shared" si="133"/>
        <v>agosto</v>
      </c>
      <c r="F665" s="202">
        <v>44785</v>
      </c>
      <c r="G665" s="203">
        <v>44795</v>
      </c>
      <c r="H665" s="200">
        <v>8542</v>
      </c>
      <c r="I665" s="212">
        <v>7008147</v>
      </c>
      <c r="J665" s="212" t="str">
        <f t="shared" si="135"/>
        <v>Res macho levante</v>
      </c>
      <c r="K665" s="200">
        <v>1372</v>
      </c>
      <c r="L665" s="550">
        <v>8500</v>
      </c>
      <c r="M665" s="205">
        <f t="shared" ref="M665:M678" si="140">L665*K665</f>
        <v>11662000</v>
      </c>
      <c r="N665" s="214">
        <v>6</v>
      </c>
      <c r="O665" s="554">
        <f t="shared" si="136"/>
        <v>228.66666666666666</v>
      </c>
      <c r="P665" s="548">
        <f t="shared" si="134"/>
        <v>1943666.6666666667</v>
      </c>
    </row>
    <row r="666" spans="1:16" ht="12.75">
      <c r="A666" s="199" t="s">
        <v>3511</v>
      </c>
      <c r="B666" s="200" t="s">
        <v>4011</v>
      </c>
      <c r="C666" s="200" t="str">
        <f>VLOOKUP(B666,Fincas!$A$2:$C$1005,2,0)</f>
        <v>F_Santa Marta</v>
      </c>
      <c r="D666" s="201">
        <v>44784</v>
      </c>
      <c r="E666" s="267" t="str">
        <f t="shared" si="133"/>
        <v>agosto</v>
      </c>
      <c r="F666" s="202">
        <v>44785</v>
      </c>
      <c r="G666" s="203">
        <v>44795</v>
      </c>
      <c r="H666" s="200">
        <v>8553</v>
      </c>
      <c r="I666" s="212">
        <v>7008147</v>
      </c>
      <c r="J666" s="212" t="str">
        <f t="shared" si="135"/>
        <v>Res macho levante</v>
      </c>
      <c r="K666" s="200">
        <v>5162</v>
      </c>
      <c r="L666" s="550">
        <v>8450</v>
      </c>
      <c r="M666" s="205">
        <f t="shared" si="140"/>
        <v>43618900</v>
      </c>
      <c r="N666" s="214">
        <v>26</v>
      </c>
      <c r="O666" s="554">
        <f t="shared" si="136"/>
        <v>198.53846153846155</v>
      </c>
      <c r="P666" s="548">
        <f t="shared" si="134"/>
        <v>1677650</v>
      </c>
    </row>
    <row r="667" spans="1:16" ht="12.75">
      <c r="A667" s="199" t="s">
        <v>3511</v>
      </c>
      <c r="B667" s="200" t="s">
        <v>4011</v>
      </c>
      <c r="C667" s="200" t="str">
        <f>VLOOKUP(B667,Fincas!$A$2:$C$1005,2,0)</f>
        <v>F_Santa Marta</v>
      </c>
      <c r="D667" s="201">
        <v>44784</v>
      </c>
      <c r="E667" s="267" t="str">
        <f t="shared" si="133"/>
        <v>agosto</v>
      </c>
      <c r="F667" s="202">
        <v>44785</v>
      </c>
      <c r="G667" s="203">
        <v>44795</v>
      </c>
      <c r="H667" s="200">
        <v>8556</v>
      </c>
      <c r="I667" s="212">
        <v>7008147</v>
      </c>
      <c r="J667" s="212" t="str">
        <f t="shared" si="135"/>
        <v>Res macho levante</v>
      </c>
      <c r="K667" s="200">
        <v>6050</v>
      </c>
      <c r="L667" s="550">
        <v>8100</v>
      </c>
      <c r="M667" s="205">
        <f t="shared" si="140"/>
        <v>49005000</v>
      </c>
      <c r="N667" s="214">
        <v>29</v>
      </c>
      <c r="O667" s="554">
        <f t="shared" si="136"/>
        <v>208.62068965517241</v>
      </c>
      <c r="P667" s="548">
        <f t="shared" si="134"/>
        <v>1689827.5862068965</v>
      </c>
    </row>
    <row r="668" spans="1:16" ht="12.75">
      <c r="A668" s="199" t="s">
        <v>3511</v>
      </c>
      <c r="B668" s="200" t="s">
        <v>4011</v>
      </c>
      <c r="C668" s="200" t="str">
        <f>VLOOKUP(B668,Fincas!$A$2:$C$1005,2,0)</f>
        <v>F_Santa Marta</v>
      </c>
      <c r="D668" s="201">
        <v>44784</v>
      </c>
      <c r="E668" s="267" t="str">
        <f t="shared" si="133"/>
        <v>agosto</v>
      </c>
      <c r="F668" s="202">
        <v>44785</v>
      </c>
      <c r="G668" s="203">
        <v>44795</v>
      </c>
      <c r="H668" s="200">
        <v>8563</v>
      </c>
      <c r="I668" s="212">
        <v>7008147</v>
      </c>
      <c r="J668" s="212" t="str">
        <f t="shared" si="135"/>
        <v>Res macho levante</v>
      </c>
      <c r="K668" s="200">
        <v>5519</v>
      </c>
      <c r="L668" s="550">
        <v>8300</v>
      </c>
      <c r="M668" s="205">
        <f t="shared" si="140"/>
        <v>45807700</v>
      </c>
      <c r="N668" s="214">
        <v>22</v>
      </c>
      <c r="O668" s="554">
        <f t="shared" si="136"/>
        <v>250.86363636363637</v>
      </c>
      <c r="P668" s="548">
        <f t="shared" si="134"/>
        <v>2082168.1818181819</v>
      </c>
    </row>
    <row r="669" spans="1:16" ht="12.75">
      <c r="A669" s="199" t="s">
        <v>3511</v>
      </c>
      <c r="B669" s="200" t="s">
        <v>4011</v>
      </c>
      <c r="C669" s="200" t="str">
        <f>VLOOKUP(B669,Fincas!$A$2:$C$1005,2,0)</f>
        <v>F_Santa Marta</v>
      </c>
      <c r="D669" s="201">
        <v>44784</v>
      </c>
      <c r="E669" s="267" t="str">
        <f t="shared" si="133"/>
        <v>agosto</v>
      </c>
      <c r="F669" s="202">
        <v>44785</v>
      </c>
      <c r="G669" s="203">
        <v>44795</v>
      </c>
      <c r="H669" s="200">
        <v>8568</v>
      </c>
      <c r="I669" s="212">
        <v>7008147</v>
      </c>
      <c r="J669" s="212" t="str">
        <f t="shared" si="135"/>
        <v>Res macho levante</v>
      </c>
      <c r="K669" s="200">
        <v>4291</v>
      </c>
      <c r="L669" s="550">
        <v>8250</v>
      </c>
      <c r="M669" s="205">
        <f t="shared" si="140"/>
        <v>35400750</v>
      </c>
      <c r="N669" s="214">
        <v>18</v>
      </c>
      <c r="O669" s="554">
        <f t="shared" si="136"/>
        <v>238.38888888888889</v>
      </c>
      <c r="P669" s="548">
        <f t="shared" si="134"/>
        <v>1966708.3333333333</v>
      </c>
    </row>
    <row r="670" spans="1:16" ht="12.75">
      <c r="A670" s="199" t="s">
        <v>3511</v>
      </c>
      <c r="B670" s="200" t="s">
        <v>4011</v>
      </c>
      <c r="C670" s="200" t="str">
        <f>VLOOKUP(B670,Fincas!$A$2:$C$1005,2,0)</f>
        <v>F_Santa Marta</v>
      </c>
      <c r="D670" s="201">
        <v>44784</v>
      </c>
      <c r="E670" s="267" t="str">
        <f t="shared" si="133"/>
        <v>agosto</v>
      </c>
      <c r="F670" s="202">
        <v>44785</v>
      </c>
      <c r="G670" s="203">
        <v>44795</v>
      </c>
      <c r="H670" s="200">
        <v>8573</v>
      </c>
      <c r="I670" s="212">
        <v>7008147</v>
      </c>
      <c r="J670" s="212" t="str">
        <f t="shared" si="135"/>
        <v>Res macho levante</v>
      </c>
      <c r="K670" s="200">
        <v>1406</v>
      </c>
      <c r="L670" s="550">
        <v>7400</v>
      </c>
      <c r="M670" s="205">
        <f t="shared" si="140"/>
        <v>10404400</v>
      </c>
      <c r="N670" s="214">
        <v>5</v>
      </c>
      <c r="O670" s="554">
        <f t="shared" si="136"/>
        <v>281.2</v>
      </c>
      <c r="P670" s="548">
        <f t="shared" si="134"/>
        <v>2080880</v>
      </c>
    </row>
    <row r="671" spans="1:16" ht="12.75">
      <c r="A671" s="199" t="s">
        <v>3511</v>
      </c>
      <c r="B671" s="200" t="s">
        <v>4011</v>
      </c>
      <c r="C671" s="200" t="str">
        <f>VLOOKUP(B671,Fincas!$A$2:$C$1005,2,0)</f>
        <v>F_Santa Marta</v>
      </c>
      <c r="D671" s="201">
        <v>44784</v>
      </c>
      <c r="E671" s="267" t="str">
        <f t="shared" si="133"/>
        <v>agosto</v>
      </c>
      <c r="F671" s="202">
        <v>44785</v>
      </c>
      <c r="G671" s="203">
        <v>44795</v>
      </c>
      <c r="H671" s="200">
        <v>8597</v>
      </c>
      <c r="I671" s="212">
        <v>7008147</v>
      </c>
      <c r="J671" s="212" t="str">
        <f t="shared" si="135"/>
        <v>Res macho levante</v>
      </c>
      <c r="K671" s="200">
        <v>1889</v>
      </c>
      <c r="L671" s="550">
        <v>7850</v>
      </c>
      <c r="M671" s="205">
        <f t="shared" si="140"/>
        <v>14828650</v>
      </c>
      <c r="N671" s="214">
        <v>6</v>
      </c>
      <c r="O671" s="554">
        <f t="shared" si="136"/>
        <v>314.83333333333331</v>
      </c>
      <c r="P671" s="548">
        <f t="shared" si="134"/>
        <v>2471441.6666666665</v>
      </c>
    </row>
    <row r="672" spans="1:16" ht="12.75">
      <c r="A672" s="199" t="s">
        <v>3511</v>
      </c>
      <c r="B672" s="200" t="s">
        <v>4011</v>
      </c>
      <c r="C672" s="200" t="str">
        <f>VLOOKUP(B672,Fincas!$A$2:$C$1005,2,0)</f>
        <v>F_Santa Marta</v>
      </c>
      <c r="D672" s="201">
        <v>44784</v>
      </c>
      <c r="E672" s="267" t="str">
        <f t="shared" si="133"/>
        <v>agosto</v>
      </c>
      <c r="F672" s="202">
        <v>44785</v>
      </c>
      <c r="G672" s="203">
        <v>44795</v>
      </c>
      <c r="H672" s="200">
        <v>8604</v>
      </c>
      <c r="I672" s="212">
        <v>7008147</v>
      </c>
      <c r="J672" s="212" t="str">
        <f t="shared" si="135"/>
        <v>Res macho levante</v>
      </c>
      <c r="K672" s="200">
        <v>5933</v>
      </c>
      <c r="L672" s="550">
        <v>8200</v>
      </c>
      <c r="M672" s="205">
        <f t="shared" si="140"/>
        <v>48650600</v>
      </c>
      <c r="N672" s="214">
        <v>24</v>
      </c>
      <c r="O672" s="554">
        <f t="shared" si="136"/>
        <v>247.20833333333334</v>
      </c>
      <c r="P672" s="548">
        <f t="shared" si="134"/>
        <v>2027108.3333333333</v>
      </c>
    </row>
    <row r="673" spans="1:16" ht="12.75">
      <c r="A673" s="199" t="s">
        <v>3511</v>
      </c>
      <c r="B673" s="200" t="s">
        <v>4011</v>
      </c>
      <c r="C673" s="200" t="str">
        <f>VLOOKUP(B673,Fincas!$A$2:$C$1005,2,0)</f>
        <v>F_Santa Marta</v>
      </c>
      <c r="D673" s="201">
        <v>44786</v>
      </c>
      <c r="E673" s="267" t="str">
        <f t="shared" si="133"/>
        <v>agosto</v>
      </c>
      <c r="F673" s="202">
        <v>44787</v>
      </c>
      <c r="G673" s="203">
        <v>44795</v>
      </c>
      <c r="H673" s="200">
        <v>8614</v>
      </c>
      <c r="I673" s="212">
        <v>7008147</v>
      </c>
      <c r="J673" s="212" t="str">
        <f t="shared" si="135"/>
        <v>Res macho levante</v>
      </c>
      <c r="K673" s="200">
        <v>2649</v>
      </c>
      <c r="L673" s="550">
        <v>7700</v>
      </c>
      <c r="M673" s="205">
        <f t="shared" si="140"/>
        <v>20397300</v>
      </c>
      <c r="N673" s="214">
        <v>10</v>
      </c>
      <c r="O673" s="554">
        <f t="shared" si="136"/>
        <v>264.89999999999998</v>
      </c>
      <c r="P673" s="548">
        <f t="shared" si="134"/>
        <v>2039730</v>
      </c>
    </row>
    <row r="674" spans="1:16" ht="12.75">
      <c r="A674" s="199" t="s">
        <v>3511</v>
      </c>
      <c r="B674" s="200" t="s">
        <v>4011</v>
      </c>
      <c r="C674" s="200" t="str">
        <f>VLOOKUP(B674,Fincas!$A$2:$C$1005,2,0)</f>
        <v>F_Santa Marta</v>
      </c>
      <c r="D674" s="201">
        <v>44786</v>
      </c>
      <c r="E674" s="267" t="str">
        <f t="shared" si="133"/>
        <v>agosto</v>
      </c>
      <c r="F674" s="202">
        <v>44787</v>
      </c>
      <c r="G674" s="203">
        <v>44795</v>
      </c>
      <c r="H674" s="200">
        <v>8616</v>
      </c>
      <c r="I674" s="212">
        <v>7008147</v>
      </c>
      <c r="J674" s="212" t="str">
        <f t="shared" si="135"/>
        <v>Res macho levante</v>
      </c>
      <c r="K674" s="200">
        <v>4267</v>
      </c>
      <c r="L674" s="550">
        <v>7250</v>
      </c>
      <c r="M674" s="205">
        <f t="shared" si="140"/>
        <v>30935750</v>
      </c>
      <c r="N674" s="214">
        <v>17</v>
      </c>
      <c r="O674" s="554">
        <f t="shared" si="136"/>
        <v>251</v>
      </c>
      <c r="P674" s="548">
        <f t="shared" si="134"/>
        <v>1819750</v>
      </c>
    </row>
    <row r="675" spans="1:16" ht="12.75">
      <c r="A675" s="199" t="s">
        <v>3511</v>
      </c>
      <c r="B675" s="200" t="s">
        <v>4011</v>
      </c>
      <c r="C675" s="200" t="str">
        <f>VLOOKUP(B675,Fincas!$A$2:$C$1005,2,0)</f>
        <v>F_Santa Marta</v>
      </c>
      <c r="D675" s="201">
        <v>44786</v>
      </c>
      <c r="E675" s="267" t="str">
        <f t="shared" si="133"/>
        <v>agosto</v>
      </c>
      <c r="F675" s="202">
        <v>44787</v>
      </c>
      <c r="G675" s="203">
        <v>44795</v>
      </c>
      <c r="H675" s="200">
        <v>8617</v>
      </c>
      <c r="I675" s="212">
        <v>7008147</v>
      </c>
      <c r="J675" s="212" t="str">
        <f t="shared" si="135"/>
        <v>Res macho levante</v>
      </c>
      <c r="K675" s="200">
        <v>3089</v>
      </c>
      <c r="L675" s="550">
        <v>8250</v>
      </c>
      <c r="M675" s="205">
        <f t="shared" si="140"/>
        <v>25484250</v>
      </c>
      <c r="N675" s="214">
        <v>19</v>
      </c>
      <c r="O675" s="554">
        <f t="shared" si="136"/>
        <v>162.57894736842104</v>
      </c>
      <c r="P675" s="548">
        <f t="shared" si="134"/>
        <v>1341276.3157894737</v>
      </c>
    </row>
    <row r="676" spans="1:16" ht="12.75">
      <c r="A676" s="199" t="s">
        <v>3511</v>
      </c>
      <c r="B676" s="200" t="s">
        <v>4011</v>
      </c>
      <c r="C676" s="200" t="str">
        <f>VLOOKUP(B676,Fincas!$A$2:$C$1005,2,0)</f>
        <v>F_Santa Marta</v>
      </c>
      <c r="D676" s="201">
        <v>44786</v>
      </c>
      <c r="E676" s="267" t="str">
        <f t="shared" si="133"/>
        <v>agosto</v>
      </c>
      <c r="F676" s="202">
        <v>44787</v>
      </c>
      <c r="G676" s="203">
        <v>44795</v>
      </c>
      <c r="H676" s="200">
        <v>8618</v>
      </c>
      <c r="I676" s="212">
        <v>7008147</v>
      </c>
      <c r="J676" s="212" t="str">
        <f t="shared" si="135"/>
        <v>Res macho levante</v>
      </c>
      <c r="K676" s="200">
        <v>6371</v>
      </c>
      <c r="L676" s="550">
        <v>7400</v>
      </c>
      <c r="M676" s="205">
        <f t="shared" si="140"/>
        <v>47145400</v>
      </c>
      <c r="N676" s="214">
        <v>25</v>
      </c>
      <c r="O676" s="554">
        <f t="shared" si="136"/>
        <v>254.84</v>
      </c>
      <c r="P676" s="548">
        <f t="shared" si="134"/>
        <v>1885816</v>
      </c>
    </row>
    <row r="677" spans="1:16" ht="12.75">
      <c r="A677" s="199" t="s">
        <v>3511</v>
      </c>
      <c r="B677" s="200" t="s">
        <v>4011</v>
      </c>
      <c r="C677" s="200" t="str">
        <f>VLOOKUP(B677,Fincas!$A$2:$C$1005,2,0)</f>
        <v>F_Santa Marta</v>
      </c>
      <c r="D677" s="201">
        <v>44786</v>
      </c>
      <c r="E677" s="267" t="str">
        <f t="shared" si="133"/>
        <v>agosto</v>
      </c>
      <c r="F677" s="202">
        <v>44787</v>
      </c>
      <c r="G677" s="203">
        <v>44795</v>
      </c>
      <c r="H677" s="200">
        <v>8619</v>
      </c>
      <c r="I677" s="212">
        <v>7008147</v>
      </c>
      <c r="J677" s="212" t="str">
        <f t="shared" si="135"/>
        <v>Res macho levante</v>
      </c>
      <c r="K677" s="200">
        <v>6610</v>
      </c>
      <c r="L677" s="550">
        <v>7350</v>
      </c>
      <c r="M677" s="205">
        <f t="shared" si="140"/>
        <v>48583500</v>
      </c>
      <c r="N677" s="214">
        <v>24</v>
      </c>
      <c r="O677" s="554">
        <f t="shared" si="136"/>
        <v>275.41666666666669</v>
      </c>
      <c r="P677" s="548">
        <f t="shared" si="134"/>
        <v>2024312.5</v>
      </c>
    </row>
    <row r="678" spans="1:16" ht="12.75">
      <c r="A678" s="199" t="s">
        <v>3511</v>
      </c>
      <c r="B678" s="200" t="s">
        <v>4011</v>
      </c>
      <c r="C678" s="200" t="str">
        <f>VLOOKUP(B678,Fincas!$A$2:$C$1005,2,0)</f>
        <v>F_Santa Marta</v>
      </c>
      <c r="D678" s="201">
        <v>44786</v>
      </c>
      <c r="E678" s="267" t="str">
        <f t="shared" si="133"/>
        <v>agosto</v>
      </c>
      <c r="F678" s="202">
        <v>44787</v>
      </c>
      <c r="G678" s="203">
        <v>44795</v>
      </c>
      <c r="H678" s="200">
        <v>8622</v>
      </c>
      <c r="I678" s="212">
        <v>7008147</v>
      </c>
      <c r="J678" s="212" t="str">
        <f t="shared" si="135"/>
        <v>Res macho levante</v>
      </c>
      <c r="K678" s="200">
        <v>1678</v>
      </c>
      <c r="L678" s="550">
        <v>8600</v>
      </c>
      <c r="M678" s="205">
        <f t="shared" si="140"/>
        <v>14430800</v>
      </c>
      <c r="N678" s="214">
        <v>10</v>
      </c>
      <c r="O678" s="554">
        <f t="shared" si="136"/>
        <v>167.8</v>
      </c>
      <c r="P678" s="548">
        <f t="shared" si="134"/>
        <v>1443080</v>
      </c>
    </row>
    <row r="679" spans="1:16" ht="12.75">
      <c r="A679" s="199" t="s">
        <v>3454</v>
      </c>
      <c r="B679" s="200" t="s">
        <v>3658</v>
      </c>
      <c r="C679" s="200" t="str">
        <f>VLOOKUP(B679,Fincas!$A$2:$C$1005,2,0)</f>
        <v>F_El Rosario</v>
      </c>
      <c r="D679" s="201">
        <v>44791</v>
      </c>
      <c r="E679" s="267" t="str">
        <f t="shared" si="133"/>
        <v>agosto</v>
      </c>
      <c r="F679" s="202">
        <v>44791</v>
      </c>
      <c r="G679" s="203">
        <v>44795</v>
      </c>
      <c r="H679" s="200">
        <v>8286</v>
      </c>
      <c r="I679" s="212">
        <v>7008147</v>
      </c>
      <c r="J679" s="212" t="str">
        <f t="shared" si="135"/>
        <v>Res macho levante</v>
      </c>
      <c r="K679" s="200">
        <v>5854</v>
      </c>
      <c r="L679" s="550">
        <f t="shared" ref="L679:L690" si="141">M679/K679</f>
        <v>7536.7499145883157</v>
      </c>
      <c r="M679" s="213">
        <v>44120134</v>
      </c>
      <c r="N679" s="214">
        <v>19</v>
      </c>
      <c r="O679" s="554">
        <f t="shared" si="136"/>
        <v>308.10526315789474</v>
      </c>
      <c r="P679" s="548">
        <f t="shared" si="134"/>
        <v>2322112.3157894737</v>
      </c>
    </row>
    <row r="680" spans="1:16" ht="12.75">
      <c r="A680" s="199" t="s">
        <v>3454</v>
      </c>
      <c r="B680" s="200" t="s">
        <v>3658</v>
      </c>
      <c r="C680" s="200" t="str">
        <f>VLOOKUP(B680,Fincas!$A$2:$C$1005,2,0)</f>
        <v>F_El Rosario</v>
      </c>
      <c r="D680" s="201">
        <v>44791</v>
      </c>
      <c r="E680" s="267" t="str">
        <f t="shared" si="133"/>
        <v>agosto</v>
      </c>
      <c r="F680" s="202">
        <v>44791</v>
      </c>
      <c r="G680" s="203">
        <v>44795</v>
      </c>
      <c r="H680" s="200">
        <v>8284</v>
      </c>
      <c r="I680" s="212">
        <v>7008147</v>
      </c>
      <c r="J680" s="212" t="str">
        <f t="shared" si="135"/>
        <v>Res macho levante</v>
      </c>
      <c r="K680" s="200">
        <v>5258</v>
      </c>
      <c r="L680" s="550">
        <f t="shared" si="141"/>
        <v>7787.975085583872</v>
      </c>
      <c r="M680" s="213">
        <v>40949173</v>
      </c>
      <c r="N680" s="214">
        <v>20</v>
      </c>
      <c r="O680" s="554">
        <f t="shared" si="136"/>
        <v>262.89999999999998</v>
      </c>
      <c r="P680" s="548">
        <f t="shared" si="134"/>
        <v>2047458.65</v>
      </c>
    </row>
    <row r="681" spans="1:16" ht="12.75">
      <c r="A681" s="199" t="s">
        <v>3454</v>
      </c>
      <c r="B681" s="200" t="s">
        <v>3600</v>
      </c>
      <c r="C681" s="200" t="str">
        <f>VLOOKUP(B681,Fincas!$A$2:$C$1005,2,0)</f>
        <v>F_La Leticia</v>
      </c>
      <c r="D681" s="201">
        <v>44791</v>
      </c>
      <c r="E681" s="267" t="str">
        <f t="shared" si="133"/>
        <v>agosto</v>
      </c>
      <c r="F681" s="202">
        <v>44791</v>
      </c>
      <c r="G681" s="203">
        <v>44795</v>
      </c>
      <c r="H681" s="200">
        <v>241090</v>
      </c>
      <c r="I681" s="224">
        <v>7008146</v>
      </c>
      <c r="J681" s="234" t="str">
        <f t="shared" si="135"/>
        <v>Res macho ceba</v>
      </c>
      <c r="K681" s="200">
        <v>6002</v>
      </c>
      <c r="L681" s="550">
        <f t="shared" si="141"/>
        <v>7737.7299233588801</v>
      </c>
      <c r="M681" s="213">
        <v>46441855</v>
      </c>
      <c r="N681" s="214">
        <v>17</v>
      </c>
      <c r="O681" s="554">
        <f t="shared" si="136"/>
        <v>353.05882352941177</v>
      </c>
      <c r="P681" s="548">
        <f t="shared" si="134"/>
        <v>2731873.8235294116</v>
      </c>
    </row>
    <row r="682" spans="1:16" ht="12.75">
      <c r="A682" s="199" t="s">
        <v>3454</v>
      </c>
      <c r="B682" s="200" t="s">
        <v>3600</v>
      </c>
      <c r="C682" s="200" t="str">
        <f>VLOOKUP(B682,Fincas!$A$2:$C$1005,2,0)</f>
        <v>F_La Leticia</v>
      </c>
      <c r="D682" s="201">
        <v>44791</v>
      </c>
      <c r="E682" s="267" t="str">
        <f t="shared" si="133"/>
        <v>agosto</v>
      </c>
      <c r="F682" s="202">
        <v>44791</v>
      </c>
      <c r="G682" s="203">
        <v>44795</v>
      </c>
      <c r="H682" s="200">
        <v>241102</v>
      </c>
      <c r="I682" s="224">
        <v>7008146</v>
      </c>
      <c r="J682" s="234" t="str">
        <f t="shared" si="135"/>
        <v>Res macho ceba</v>
      </c>
      <c r="K682" s="200">
        <v>5940</v>
      </c>
      <c r="L682" s="550">
        <f t="shared" si="141"/>
        <v>7486.5050505050503</v>
      </c>
      <c r="M682" s="213">
        <v>44469840</v>
      </c>
      <c r="N682" s="214">
        <v>18</v>
      </c>
      <c r="O682" s="554">
        <f t="shared" si="136"/>
        <v>330</v>
      </c>
      <c r="P682" s="548">
        <f t="shared" si="134"/>
        <v>2470546.6666666665</v>
      </c>
    </row>
    <row r="683" spans="1:16" ht="12.75">
      <c r="A683" s="199" t="s">
        <v>3454</v>
      </c>
      <c r="B683" s="200" t="s">
        <v>3600</v>
      </c>
      <c r="C683" s="200" t="str">
        <f>VLOOKUP(B683,Fincas!$A$2:$C$1005,2,0)</f>
        <v>F_La Leticia</v>
      </c>
      <c r="D683" s="201">
        <v>44791</v>
      </c>
      <c r="E683" s="267" t="str">
        <f t="shared" si="133"/>
        <v>agosto</v>
      </c>
      <c r="F683" s="202">
        <v>44791</v>
      </c>
      <c r="G683" s="203">
        <v>44795</v>
      </c>
      <c r="H683" s="200">
        <v>241125</v>
      </c>
      <c r="I683" s="224">
        <v>7008146</v>
      </c>
      <c r="J683" s="234" t="str">
        <f t="shared" si="135"/>
        <v>Res macho ceba</v>
      </c>
      <c r="K683" s="200">
        <v>6274</v>
      </c>
      <c r="L683" s="550">
        <f t="shared" si="141"/>
        <v>7586.9950589735417</v>
      </c>
      <c r="M683" s="213">
        <v>47600807</v>
      </c>
      <c r="N683" s="214">
        <v>18</v>
      </c>
      <c r="O683" s="554">
        <f t="shared" si="136"/>
        <v>348.55555555555554</v>
      </c>
      <c r="P683" s="548">
        <f t="shared" si="134"/>
        <v>2644489.277777778</v>
      </c>
    </row>
    <row r="684" spans="1:16" ht="12.75">
      <c r="A684" s="199" t="s">
        <v>1419</v>
      </c>
      <c r="B684" s="200" t="s">
        <v>3636</v>
      </c>
      <c r="C684" s="200" t="str">
        <f>VLOOKUP(B684,Fincas!$A$2:$C$1005,2,0)</f>
        <v>A_Santa Ines</v>
      </c>
      <c r="D684" s="201">
        <v>44791</v>
      </c>
      <c r="E684" s="267" t="str">
        <f t="shared" si="133"/>
        <v>agosto</v>
      </c>
      <c r="F684" s="202">
        <v>44794</v>
      </c>
      <c r="G684" s="203">
        <v>44796</v>
      </c>
      <c r="H684" s="200" t="s">
        <v>4012</v>
      </c>
      <c r="I684" s="224">
        <v>7008146</v>
      </c>
      <c r="J684" s="234" t="str">
        <f t="shared" si="135"/>
        <v>Res macho ceba</v>
      </c>
      <c r="K684" s="200">
        <v>2744</v>
      </c>
      <c r="L684" s="550">
        <f t="shared" si="141"/>
        <v>7652.6239067055394</v>
      </c>
      <c r="M684" s="213">
        <v>20998800</v>
      </c>
      <c r="N684" s="214">
        <v>6</v>
      </c>
      <c r="O684" s="554">
        <f t="shared" si="136"/>
        <v>457.33333333333331</v>
      </c>
      <c r="P684" s="548">
        <f t="shared" si="134"/>
        <v>3499800</v>
      </c>
    </row>
    <row r="685" spans="1:16" ht="12.75">
      <c r="A685" s="199" t="s">
        <v>1419</v>
      </c>
      <c r="B685" s="200" t="s">
        <v>3636</v>
      </c>
      <c r="C685" s="200" t="str">
        <f>VLOOKUP(B685,Fincas!$A$2:$C$1005,2,0)</f>
        <v>A_Santa Ines</v>
      </c>
      <c r="D685" s="201">
        <v>44791</v>
      </c>
      <c r="E685" s="267" t="str">
        <f t="shared" si="133"/>
        <v>agosto</v>
      </c>
      <c r="F685" s="202">
        <v>44794</v>
      </c>
      <c r="G685" s="203">
        <v>44796</v>
      </c>
      <c r="H685" s="200" t="s">
        <v>4013</v>
      </c>
      <c r="I685" s="224">
        <v>7008146</v>
      </c>
      <c r="J685" s="234" t="str">
        <f t="shared" si="135"/>
        <v>Res macho ceba</v>
      </c>
      <c r="K685" s="200">
        <v>5428</v>
      </c>
      <c r="L685" s="550">
        <f t="shared" si="141"/>
        <v>7402.8739867354461</v>
      </c>
      <c r="M685" s="213">
        <v>40182800</v>
      </c>
      <c r="N685" s="214">
        <v>13</v>
      </c>
      <c r="O685" s="554">
        <f t="shared" si="136"/>
        <v>417.53846153846155</v>
      </c>
      <c r="P685" s="548">
        <f t="shared" si="134"/>
        <v>3090984.6153846155</v>
      </c>
    </row>
    <row r="686" spans="1:16" ht="12.75">
      <c r="A686" s="199" t="s">
        <v>1419</v>
      </c>
      <c r="B686" s="200" t="s">
        <v>3636</v>
      </c>
      <c r="C686" s="200" t="str">
        <f>VLOOKUP(B686,Fincas!$A$2:$C$1005,2,0)</f>
        <v>A_Santa Ines</v>
      </c>
      <c r="D686" s="201">
        <v>44791</v>
      </c>
      <c r="E686" s="267" t="str">
        <f t="shared" si="133"/>
        <v>agosto</v>
      </c>
      <c r="F686" s="202">
        <v>44794</v>
      </c>
      <c r="G686" s="203">
        <v>44796</v>
      </c>
      <c r="H686" s="200" t="s">
        <v>4014</v>
      </c>
      <c r="I686" s="224">
        <v>7008146</v>
      </c>
      <c r="J686" s="234" t="str">
        <f t="shared" si="135"/>
        <v>Res macho ceba</v>
      </c>
      <c r="K686" s="200">
        <v>3622</v>
      </c>
      <c r="L686" s="550">
        <f t="shared" si="141"/>
        <v>7802.6504693539482</v>
      </c>
      <c r="M686" s="213">
        <v>28261200</v>
      </c>
      <c r="N686" s="214">
        <v>8</v>
      </c>
      <c r="O686" s="554">
        <f t="shared" si="136"/>
        <v>452.75</v>
      </c>
      <c r="P686" s="548">
        <f t="shared" si="134"/>
        <v>3532650</v>
      </c>
    </row>
    <row r="687" spans="1:16" ht="12.75">
      <c r="A687" s="199" t="s">
        <v>1419</v>
      </c>
      <c r="B687" s="200" t="s">
        <v>3434</v>
      </c>
      <c r="C687" s="200" t="str">
        <f>VLOOKUP(B687,Fincas!$A$2:$C$1005,2,0)</f>
        <v>F_Yacare</v>
      </c>
      <c r="D687" s="201">
        <v>44791</v>
      </c>
      <c r="E687" s="267" t="str">
        <f t="shared" si="133"/>
        <v>agosto</v>
      </c>
      <c r="F687" s="202">
        <v>44792</v>
      </c>
      <c r="G687" s="203">
        <v>44796</v>
      </c>
      <c r="H687" s="200" t="s">
        <v>4015</v>
      </c>
      <c r="I687" s="224">
        <v>7008146</v>
      </c>
      <c r="J687" s="234" t="str">
        <f t="shared" si="135"/>
        <v>Res macho ceba</v>
      </c>
      <c r="K687" s="200">
        <v>3580</v>
      </c>
      <c r="L687" s="550">
        <f t="shared" si="141"/>
        <v>7453.0167597765367</v>
      </c>
      <c r="M687" s="213">
        <v>26681800</v>
      </c>
      <c r="N687" s="214">
        <v>9</v>
      </c>
      <c r="O687" s="554">
        <f t="shared" si="136"/>
        <v>397.77777777777777</v>
      </c>
      <c r="P687" s="548">
        <f t="shared" si="134"/>
        <v>2964644.4444444445</v>
      </c>
    </row>
    <row r="688" spans="1:16" ht="12.75">
      <c r="A688" s="199" t="s">
        <v>1419</v>
      </c>
      <c r="B688" s="200" t="s">
        <v>3434</v>
      </c>
      <c r="C688" s="200" t="str">
        <f>VLOOKUP(B688,Fincas!$A$2:$C$1005,2,0)</f>
        <v>F_Yacare</v>
      </c>
      <c r="D688" s="201">
        <v>44791</v>
      </c>
      <c r="E688" s="267" t="str">
        <f t="shared" si="133"/>
        <v>agosto</v>
      </c>
      <c r="F688" s="202">
        <v>44792</v>
      </c>
      <c r="G688" s="203">
        <v>44796</v>
      </c>
      <c r="H688" s="200" t="s">
        <v>4016</v>
      </c>
      <c r="I688" s="224">
        <v>7008146</v>
      </c>
      <c r="J688" s="234" t="str">
        <f t="shared" si="135"/>
        <v>Res macho ceba</v>
      </c>
      <c r="K688" s="200">
        <v>1908</v>
      </c>
      <c r="L688" s="550">
        <f t="shared" si="141"/>
        <v>7503.1446540880506</v>
      </c>
      <c r="M688" s="213">
        <v>14316000</v>
      </c>
      <c r="N688" s="214">
        <v>5</v>
      </c>
      <c r="O688" s="554">
        <f t="shared" si="136"/>
        <v>381.6</v>
      </c>
      <c r="P688" s="548">
        <f t="shared" si="134"/>
        <v>2863200</v>
      </c>
    </row>
    <row r="689" spans="1:16" ht="12.75">
      <c r="A689" s="199" t="s">
        <v>1419</v>
      </c>
      <c r="B689" s="200" t="s">
        <v>3434</v>
      </c>
      <c r="C689" s="200" t="str">
        <f>VLOOKUP(B689,Fincas!$A$2:$C$1005,2,0)</f>
        <v>F_Yacare</v>
      </c>
      <c r="D689" s="201">
        <v>44791</v>
      </c>
      <c r="E689" s="267" t="str">
        <f t="shared" si="133"/>
        <v>agosto</v>
      </c>
      <c r="F689" s="202">
        <v>44792</v>
      </c>
      <c r="G689" s="203">
        <v>44796</v>
      </c>
      <c r="H689" s="200" t="s">
        <v>4017</v>
      </c>
      <c r="I689" s="224">
        <v>7008146</v>
      </c>
      <c r="J689" s="234" t="str">
        <f t="shared" si="135"/>
        <v>Res macho ceba</v>
      </c>
      <c r="K689" s="200">
        <v>5772</v>
      </c>
      <c r="L689" s="550">
        <f t="shared" si="141"/>
        <v>7453.3264033264031</v>
      </c>
      <c r="M689" s="213">
        <v>43020600</v>
      </c>
      <c r="N689" s="214">
        <v>16</v>
      </c>
      <c r="O689" s="554">
        <f t="shared" si="136"/>
        <v>360.75</v>
      </c>
      <c r="P689" s="548">
        <f t="shared" si="134"/>
        <v>2688787.5</v>
      </c>
    </row>
    <row r="690" spans="1:16" ht="12.75">
      <c r="A690" s="199" t="s">
        <v>1419</v>
      </c>
      <c r="B690" s="200" t="s">
        <v>3434</v>
      </c>
      <c r="C690" s="200" t="str">
        <f>VLOOKUP(B690,Fincas!$A$2:$C$1005,2,0)</f>
        <v>F_Yacare</v>
      </c>
      <c r="D690" s="201">
        <v>44791</v>
      </c>
      <c r="E690" s="267" t="str">
        <f t="shared" si="133"/>
        <v>agosto</v>
      </c>
      <c r="F690" s="202">
        <v>44792</v>
      </c>
      <c r="G690" s="203">
        <v>44796</v>
      </c>
      <c r="H690" s="200" t="s">
        <v>4018</v>
      </c>
      <c r="I690" s="224">
        <v>7008146</v>
      </c>
      <c r="J690" s="234" t="str">
        <f t="shared" si="135"/>
        <v>Res macho ceba</v>
      </c>
      <c r="K690" s="200">
        <v>4872</v>
      </c>
      <c r="L690" s="550">
        <f t="shared" si="141"/>
        <v>7303.2019704433496</v>
      </c>
      <c r="M690" s="213">
        <v>35581200</v>
      </c>
      <c r="N690" s="214">
        <v>13</v>
      </c>
      <c r="O690" s="554">
        <f t="shared" si="136"/>
        <v>374.76923076923077</v>
      </c>
      <c r="P690" s="548">
        <f t="shared" si="134"/>
        <v>2737015.3846153845</v>
      </c>
    </row>
    <row r="691" spans="1:16" ht="12.75">
      <c r="A691" s="199" t="s">
        <v>4019</v>
      </c>
      <c r="B691" s="200" t="s">
        <v>3496</v>
      </c>
      <c r="C691" s="200" t="str">
        <f>VLOOKUP(B691,Fincas!$A$2:$C$1005,2,0)</f>
        <v>A_El Tropezon</v>
      </c>
      <c r="D691" s="201">
        <v>44795</v>
      </c>
      <c r="E691" s="267" t="str">
        <f t="shared" si="133"/>
        <v>agosto</v>
      </c>
      <c r="F691" s="202">
        <v>44795</v>
      </c>
      <c r="G691" s="203">
        <v>44796</v>
      </c>
      <c r="H691" s="200" t="s">
        <v>4020</v>
      </c>
      <c r="I691" s="212">
        <v>7008147</v>
      </c>
      <c r="J691" s="212" t="str">
        <f t="shared" si="135"/>
        <v>Res macho levante</v>
      </c>
      <c r="K691" s="200">
        <v>7686</v>
      </c>
      <c r="L691" s="550">
        <v>8150</v>
      </c>
      <c r="M691" s="205">
        <f t="shared" ref="M691:M695" si="142">L691*K691</f>
        <v>62640900</v>
      </c>
      <c r="N691" s="214">
        <v>25</v>
      </c>
      <c r="O691" s="554">
        <f t="shared" si="136"/>
        <v>307.44</v>
      </c>
      <c r="P691" s="548">
        <f t="shared" si="134"/>
        <v>2505636</v>
      </c>
    </row>
    <row r="692" spans="1:16" ht="12.75">
      <c r="A692" s="199" t="s">
        <v>3511</v>
      </c>
      <c r="B692" s="200" t="s">
        <v>3919</v>
      </c>
      <c r="C692" s="200" t="str">
        <f>VLOOKUP(B692,Fincas!$A$2:$C$1005,2,0)</f>
        <v>A_Rancho Apache</v>
      </c>
      <c r="D692" s="201">
        <v>44793</v>
      </c>
      <c r="E692" s="267" t="str">
        <f t="shared" si="133"/>
        <v>agosto</v>
      </c>
      <c r="F692" s="202">
        <v>44794</v>
      </c>
      <c r="G692" s="203">
        <v>44796</v>
      </c>
      <c r="H692" s="200" t="s">
        <v>4021</v>
      </c>
      <c r="I692" s="212">
        <v>7008147</v>
      </c>
      <c r="J692" s="212" t="str">
        <f t="shared" si="135"/>
        <v>Res macho levante</v>
      </c>
      <c r="K692" s="200">
        <v>5822</v>
      </c>
      <c r="L692" s="550">
        <v>8450</v>
      </c>
      <c r="M692" s="205">
        <f t="shared" si="142"/>
        <v>49195900</v>
      </c>
      <c r="N692" s="214">
        <v>21</v>
      </c>
      <c r="O692" s="554">
        <f t="shared" si="136"/>
        <v>277.23809523809524</v>
      </c>
      <c r="P692" s="548">
        <f t="shared" si="134"/>
        <v>2342661.9047619049</v>
      </c>
    </row>
    <row r="693" spans="1:16" ht="12.75">
      <c r="A693" s="199" t="s">
        <v>3511</v>
      </c>
      <c r="B693" s="200" t="s">
        <v>3919</v>
      </c>
      <c r="C693" s="200" t="str">
        <f>VLOOKUP(B693,Fincas!$A$2:$C$1005,2,0)</f>
        <v>A_Rancho Apache</v>
      </c>
      <c r="D693" s="201">
        <v>44793</v>
      </c>
      <c r="E693" s="267" t="str">
        <f t="shared" si="133"/>
        <v>agosto</v>
      </c>
      <c r="F693" s="202">
        <v>44794</v>
      </c>
      <c r="G693" s="203">
        <v>44796</v>
      </c>
      <c r="H693" s="200" t="s">
        <v>4022</v>
      </c>
      <c r="I693" s="212">
        <v>7008147</v>
      </c>
      <c r="J693" s="212" t="str">
        <f t="shared" si="135"/>
        <v>Res macho levante</v>
      </c>
      <c r="K693" s="200">
        <v>6348</v>
      </c>
      <c r="L693" s="550">
        <v>8350</v>
      </c>
      <c r="M693" s="205">
        <f t="shared" si="142"/>
        <v>53005800</v>
      </c>
      <c r="N693" s="214">
        <v>23</v>
      </c>
      <c r="O693" s="554">
        <f t="shared" si="136"/>
        <v>276</v>
      </c>
      <c r="P693" s="548">
        <f t="shared" si="134"/>
        <v>2304600</v>
      </c>
    </row>
    <row r="694" spans="1:16" ht="12.75">
      <c r="A694" s="199" t="s">
        <v>3463</v>
      </c>
      <c r="B694" s="200" t="s">
        <v>3919</v>
      </c>
      <c r="C694" s="200" t="str">
        <f>VLOOKUP(B694,Fincas!$A$2:$C$1005,2,0)</f>
        <v>A_Rancho Apache</v>
      </c>
      <c r="D694" s="201">
        <v>44788</v>
      </c>
      <c r="E694" s="267" t="str">
        <f t="shared" si="133"/>
        <v>agosto</v>
      </c>
      <c r="F694" s="202">
        <v>44794</v>
      </c>
      <c r="G694" s="203">
        <v>44796</v>
      </c>
      <c r="H694" s="200" t="s">
        <v>3969</v>
      </c>
      <c r="I694" s="224">
        <v>7008146</v>
      </c>
      <c r="J694" s="234" t="str">
        <f t="shared" si="135"/>
        <v>Res macho ceba</v>
      </c>
      <c r="K694" s="200">
        <v>10668</v>
      </c>
      <c r="L694" s="550">
        <v>8650</v>
      </c>
      <c r="M694" s="205">
        <f t="shared" si="142"/>
        <v>92278200</v>
      </c>
      <c r="N694" s="214">
        <v>42</v>
      </c>
      <c r="O694" s="554">
        <f t="shared" si="136"/>
        <v>254</v>
      </c>
      <c r="P694" s="548">
        <f t="shared" si="134"/>
        <v>2197100</v>
      </c>
    </row>
    <row r="695" spans="1:16" ht="12.75">
      <c r="A695" s="199" t="s">
        <v>3771</v>
      </c>
      <c r="B695" s="200" t="s">
        <v>4023</v>
      </c>
      <c r="C695" s="200" t="str">
        <f>VLOOKUP(B695,Fincas!$A$2:$C$1005,2,0)</f>
        <v>A_San Lorenzo</v>
      </c>
      <c r="D695" s="201">
        <v>44784</v>
      </c>
      <c r="E695" s="267" t="str">
        <f t="shared" si="133"/>
        <v>agosto</v>
      </c>
      <c r="F695" s="202">
        <v>44784</v>
      </c>
      <c r="G695" s="203">
        <v>44797</v>
      </c>
      <c r="H695" s="200" t="s">
        <v>4024</v>
      </c>
      <c r="I695" s="224">
        <v>7008146</v>
      </c>
      <c r="J695" s="234" t="str">
        <f t="shared" si="135"/>
        <v>Res macho ceba</v>
      </c>
      <c r="K695" s="200">
        <v>32796</v>
      </c>
      <c r="L695" s="550">
        <v>8279</v>
      </c>
      <c r="M695" s="205">
        <f t="shared" si="142"/>
        <v>271518084</v>
      </c>
      <c r="N695" s="214">
        <v>108</v>
      </c>
      <c r="O695" s="554">
        <f t="shared" si="136"/>
        <v>303.66666666666669</v>
      </c>
      <c r="P695" s="548">
        <f t="shared" si="134"/>
        <v>2514056.3333333335</v>
      </c>
    </row>
    <row r="696" spans="1:16" ht="12.75">
      <c r="A696" s="199" t="s">
        <v>3454</v>
      </c>
      <c r="B696" s="200" t="s">
        <v>3476</v>
      </c>
      <c r="C696" s="200" t="str">
        <f>VLOOKUP(B696,Fincas!$A$2:$C$1005,2,0)</f>
        <v>F_Guacharacas</v>
      </c>
      <c r="D696" s="201">
        <v>44796</v>
      </c>
      <c r="E696" s="267" t="str">
        <f t="shared" si="133"/>
        <v>agosto</v>
      </c>
      <c r="F696" s="202">
        <v>44787</v>
      </c>
      <c r="G696" s="203">
        <v>44798</v>
      </c>
      <c r="H696" s="200">
        <v>8301</v>
      </c>
      <c r="I696" s="224">
        <v>7008146</v>
      </c>
      <c r="J696" s="234" t="str">
        <f t="shared" si="135"/>
        <v>Res macho ceba</v>
      </c>
      <c r="K696" s="200">
        <v>6148</v>
      </c>
      <c r="L696" s="550">
        <f>M696/K696</f>
        <v>7436.25992192583</v>
      </c>
      <c r="M696" s="213">
        <v>45718126</v>
      </c>
      <c r="N696" s="214">
        <v>16</v>
      </c>
      <c r="O696" s="554">
        <f t="shared" si="136"/>
        <v>384.25</v>
      </c>
      <c r="P696" s="548">
        <f t="shared" si="134"/>
        <v>2857382.875</v>
      </c>
    </row>
    <row r="697" spans="1:16" ht="12.75">
      <c r="A697" s="199" t="s">
        <v>3511</v>
      </c>
      <c r="B697" s="200" t="s">
        <v>4011</v>
      </c>
      <c r="C697" s="200" t="str">
        <f>VLOOKUP(B697,Fincas!$A$2:$C$1005,2,0)</f>
        <v>F_Santa Marta</v>
      </c>
      <c r="D697" s="201">
        <v>44791</v>
      </c>
      <c r="E697" s="267" t="str">
        <f t="shared" si="133"/>
        <v>agosto</v>
      </c>
      <c r="F697" s="202">
        <v>44792</v>
      </c>
      <c r="G697" s="203">
        <v>44799</v>
      </c>
      <c r="H697" s="200">
        <v>8652</v>
      </c>
      <c r="I697" s="212">
        <v>7008147</v>
      </c>
      <c r="J697" s="212" t="str">
        <f t="shared" si="135"/>
        <v>Res macho levante</v>
      </c>
      <c r="K697" s="200">
        <v>3668</v>
      </c>
      <c r="L697" s="550">
        <v>8200</v>
      </c>
      <c r="M697" s="205">
        <f t="shared" ref="M697:M711" si="143">L697*K697</f>
        <v>30077600</v>
      </c>
      <c r="N697" s="214">
        <v>16</v>
      </c>
      <c r="O697" s="554">
        <f t="shared" si="136"/>
        <v>229.25</v>
      </c>
      <c r="P697" s="548">
        <f t="shared" si="134"/>
        <v>1879850</v>
      </c>
    </row>
    <row r="698" spans="1:16" ht="12.75">
      <c r="A698" s="199" t="s">
        <v>3511</v>
      </c>
      <c r="B698" s="200" t="s">
        <v>4011</v>
      </c>
      <c r="C698" s="200" t="str">
        <f>VLOOKUP(B698,Fincas!$A$2:$C$1005,2,0)</f>
        <v>F_Santa Marta</v>
      </c>
      <c r="D698" s="201">
        <v>44791</v>
      </c>
      <c r="E698" s="267" t="str">
        <f t="shared" si="133"/>
        <v>agosto</v>
      </c>
      <c r="F698" s="202">
        <v>44792</v>
      </c>
      <c r="G698" s="203">
        <v>44799</v>
      </c>
      <c r="H698" s="200">
        <v>8659</v>
      </c>
      <c r="I698" s="212">
        <v>7008147</v>
      </c>
      <c r="J698" s="212" t="str">
        <f t="shared" si="135"/>
        <v>Res macho levante</v>
      </c>
      <c r="K698" s="200">
        <v>5448</v>
      </c>
      <c r="L698" s="550">
        <v>8000</v>
      </c>
      <c r="M698" s="205">
        <f t="shared" si="143"/>
        <v>43584000</v>
      </c>
      <c r="N698" s="214">
        <v>23</v>
      </c>
      <c r="O698" s="554">
        <f t="shared" si="136"/>
        <v>236.86956521739131</v>
      </c>
      <c r="P698" s="548">
        <f t="shared" si="134"/>
        <v>1894956.5217391304</v>
      </c>
    </row>
    <row r="699" spans="1:16" ht="12.75">
      <c r="A699" s="199" t="s">
        <v>3511</v>
      </c>
      <c r="B699" s="200" t="s">
        <v>4011</v>
      </c>
      <c r="C699" s="200" t="str">
        <f>VLOOKUP(B699,Fincas!$A$2:$C$1005,2,0)</f>
        <v>F_Santa Marta</v>
      </c>
      <c r="D699" s="201">
        <v>44791</v>
      </c>
      <c r="E699" s="267" t="str">
        <f t="shared" si="133"/>
        <v>agosto</v>
      </c>
      <c r="F699" s="202">
        <v>44792</v>
      </c>
      <c r="G699" s="203">
        <v>44799</v>
      </c>
      <c r="H699" s="200">
        <v>8690</v>
      </c>
      <c r="I699" s="212">
        <v>7008147</v>
      </c>
      <c r="J699" s="212" t="str">
        <f t="shared" si="135"/>
        <v>Res macho levante</v>
      </c>
      <c r="K699" s="200">
        <v>3491</v>
      </c>
      <c r="L699" s="550">
        <v>7700</v>
      </c>
      <c r="M699" s="205">
        <f t="shared" si="143"/>
        <v>26880700</v>
      </c>
      <c r="N699" s="214">
        <v>21</v>
      </c>
      <c r="O699" s="554">
        <f t="shared" si="136"/>
        <v>166.23809523809524</v>
      </c>
      <c r="P699" s="548">
        <f t="shared" si="134"/>
        <v>1280033.3333333333</v>
      </c>
    </row>
    <row r="700" spans="1:16" ht="12.75">
      <c r="A700" s="199" t="s">
        <v>3511</v>
      </c>
      <c r="B700" s="200" t="s">
        <v>4011</v>
      </c>
      <c r="C700" s="200" t="str">
        <f>VLOOKUP(B700,Fincas!$A$2:$C$1005,2,0)</f>
        <v>F_Santa Marta</v>
      </c>
      <c r="D700" s="201">
        <v>44796</v>
      </c>
      <c r="E700" s="267" t="str">
        <f t="shared" si="133"/>
        <v>agosto</v>
      </c>
      <c r="F700" s="202">
        <v>44796</v>
      </c>
      <c r="G700" s="203">
        <v>44799</v>
      </c>
      <c r="H700" s="200" t="s">
        <v>4025</v>
      </c>
      <c r="I700" s="212">
        <v>7008147</v>
      </c>
      <c r="J700" s="212" t="str">
        <f t="shared" si="135"/>
        <v>Res macho levante</v>
      </c>
      <c r="K700" s="200">
        <v>5526</v>
      </c>
      <c r="L700" s="550">
        <v>7943</v>
      </c>
      <c r="M700" s="205">
        <f t="shared" si="143"/>
        <v>43893018</v>
      </c>
      <c r="N700" s="214">
        <v>21</v>
      </c>
      <c r="O700" s="554">
        <f t="shared" si="136"/>
        <v>263.14285714285717</v>
      </c>
      <c r="P700" s="548">
        <f t="shared" si="134"/>
        <v>2090143.7142857143</v>
      </c>
    </row>
    <row r="701" spans="1:16" ht="12.75">
      <c r="A701" s="199" t="s">
        <v>3463</v>
      </c>
      <c r="B701" s="200" t="s">
        <v>3769</v>
      </c>
      <c r="C701" s="200" t="str">
        <f>VLOOKUP(B701,Fincas!$A$2:$C$1005,2,0)</f>
        <v>F_Patio Bonito</v>
      </c>
      <c r="D701" s="201">
        <v>44789</v>
      </c>
      <c r="E701" s="267" t="str">
        <f t="shared" si="133"/>
        <v>agosto</v>
      </c>
      <c r="F701" s="202">
        <v>44793</v>
      </c>
      <c r="G701" s="203">
        <v>44802</v>
      </c>
      <c r="H701" s="247" t="s">
        <v>4026</v>
      </c>
      <c r="I701" s="224">
        <v>7008146</v>
      </c>
      <c r="J701" s="234" t="str">
        <f t="shared" si="135"/>
        <v>Res macho ceba</v>
      </c>
      <c r="K701" s="200">
        <v>37366</v>
      </c>
      <c r="L701" s="550">
        <v>8450</v>
      </c>
      <c r="M701" s="205">
        <f t="shared" si="143"/>
        <v>315742700</v>
      </c>
      <c r="N701" s="214">
        <v>119</v>
      </c>
      <c r="O701" s="554">
        <f t="shared" si="136"/>
        <v>314</v>
      </c>
      <c r="P701" s="548">
        <f t="shared" si="134"/>
        <v>2653300</v>
      </c>
    </row>
    <row r="702" spans="1:16" ht="12.75">
      <c r="A702" s="199" t="s">
        <v>3511</v>
      </c>
      <c r="B702" s="200" t="s">
        <v>3919</v>
      </c>
      <c r="C702" s="200" t="str">
        <f>VLOOKUP(B702,Fincas!$A$2:$C$1005,2,0)</f>
        <v>A_Rancho Apache</v>
      </c>
      <c r="D702" s="201">
        <v>44798</v>
      </c>
      <c r="E702" s="267" t="str">
        <f t="shared" si="133"/>
        <v>agosto</v>
      </c>
      <c r="F702" s="202">
        <v>44799</v>
      </c>
      <c r="G702" s="203">
        <v>44803</v>
      </c>
      <c r="H702" s="200">
        <v>8731</v>
      </c>
      <c r="I702" s="212">
        <v>7008147</v>
      </c>
      <c r="J702" s="212" t="str">
        <f t="shared" si="135"/>
        <v>Res macho levante</v>
      </c>
      <c r="K702" s="200">
        <v>6370</v>
      </c>
      <c r="L702" s="550">
        <v>8150</v>
      </c>
      <c r="M702" s="205">
        <f t="shared" si="143"/>
        <v>51915500</v>
      </c>
      <c r="N702" s="214">
        <v>22</v>
      </c>
      <c r="O702" s="554">
        <f t="shared" si="136"/>
        <v>289.54545454545456</v>
      </c>
      <c r="P702" s="548">
        <f t="shared" si="134"/>
        <v>2359795.4545454546</v>
      </c>
    </row>
    <row r="703" spans="1:16" ht="12.75">
      <c r="A703" s="199" t="s">
        <v>3511</v>
      </c>
      <c r="B703" s="200" t="s">
        <v>3919</v>
      </c>
      <c r="C703" s="200" t="str">
        <f>VLOOKUP(B703,Fincas!$A$2:$C$1005,2,0)</f>
        <v>A_Rancho Apache</v>
      </c>
      <c r="D703" s="201">
        <v>44798</v>
      </c>
      <c r="E703" s="267" t="str">
        <f t="shared" si="133"/>
        <v>agosto</v>
      </c>
      <c r="F703" s="202">
        <v>44799</v>
      </c>
      <c r="G703" s="203">
        <v>44803</v>
      </c>
      <c r="H703" s="200">
        <v>8761</v>
      </c>
      <c r="I703" s="212">
        <v>7008147</v>
      </c>
      <c r="J703" s="212" t="str">
        <f t="shared" si="135"/>
        <v>Res macho levante</v>
      </c>
      <c r="K703" s="200">
        <v>5127</v>
      </c>
      <c r="L703" s="550">
        <v>8050</v>
      </c>
      <c r="M703" s="205">
        <f t="shared" si="143"/>
        <v>41272350</v>
      </c>
      <c r="N703" s="214">
        <v>18</v>
      </c>
      <c r="O703" s="554">
        <f t="shared" si="136"/>
        <v>284.83333333333331</v>
      </c>
      <c r="P703" s="548">
        <f t="shared" si="134"/>
        <v>2292908.3333333335</v>
      </c>
    </row>
    <row r="704" spans="1:16" ht="12.75">
      <c r="A704" s="199" t="s">
        <v>3511</v>
      </c>
      <c r="B704" s="200" t="s">
        <v>3705</v>
      </c>
      <c r="C704" s="200" t="str">
        <f>VLOOKUP(B704,Fincas!$A$2:$C$1005,2,0)</f>
        <v>F_San Martin</v>
      </c>
      <c r="D704" s="201">
        <v>44798</v>
      </c>
      <c r="E704" s="267" t="str">
        <f t="shared" si="133"/>
        <v>agosto</v>
      </c>
      <c r="F704" s="202">
        <v>44799</v>
      </c>
      <c r="G704" s="203">
        <v>44803</v>
      </c>
      <c r="H704" s="200">
        <v>8728</v>
      </c>
      <c r="I704" s="224">
        <v>7008146</v>
      </c>
      <c r="J704" s="234" t="str">
        <f t="shared" si="135"/>
        <v>Res macho ceba</v>
      </c>
      <c r="K704" s="200">
        <v>5994</v>
      </c>
      <c r="L704" s="550">
        <v>7650</v>
      </c>
      <c r="M704" s="205">
        <f t="shared" si="143"/>
        <v>45854100</v>
      </c>
      <c r="N704" s="214">
        <v>18</v>
      </c>
      <c r="O704" s="554">
        <f t="shared" si="136"/>
        <v>333</v>
      </c>
      <c r="P704" s="548">
        <f t="shared" si="134"/>
        <v>2547450</v>
      </c>
    </row>
    <row r="705" spans="1:16" ht="12.75">
      <c r="A705" s="199" t="s">
        <v>3511</v>
      </c>
      <c r="B705" s="200" t="s">
        <v>3705</v>
      </c>
      <c r="C705" s="200" t="str">
        <f>VLOOKUP(B705,Fincas!$A$2:$C$1005,2,0)</f>
        <v>F_San Martin</v>
      </c>
      <c r="D705" s="201">
        <v>44798</v>
      </c>
      <c r="E705" s="267" t="str">
        <f t="shared" si="133"/>
        <v>agosto</v>
      </c>
      <c r="F705" s="202">
        <v>44799</v>
      </c>
      <c r="G705" s="203">
        <v>44803</v>
      </c>
      <c r="H705" s="200">
        <v>8729</v>
      </c>
      <c r="I705" s="224">
        <v>7008146</v>
      </c>
      <c r="J705" s="234" t="str">
        <f t="shared" si="135"/>
        <v>Res macho ceba</v>
      </c>
      <c r="K705" s="200">
        <v>6298</v>
      </c>
      <c r="L705" s="550">
        <v>7850</v>
      </c>
      <c r="M705" s="205">
        <f t="shared" si="143"/>
        <v>49439300</v>
      </c>
      <c r="N705" s="214">
        <v>18</v>
      </c>
      <c r="O705" s="554">
        <f t="shared" si="136"/>
        <v>349.88888888888891</v>
      </c>
      <c r="P705" s="548">
        <f t="shared" si="134"/>
        <v>2746627.777777778</v>
      </c>
    </row>
    <row r="706" spans="1:16" ht="12.75">
      <c r="A706" s="199" t="s">
        <v>3511</v>
      </c>
      <c r="B706" s="200" t="s">
        <v>3705</v>
      </c>
      <c r="C706" s="200" t="str">
        <f>VLOOKUP(B706,Fincas!$A$2:$C$1005,2,0)</f>
        <v>F_San Martin</v>
      </c>
      <c r="D706" s="201">
        <v>44798</v>
      </c>
      <c r="E706" s="267" t="str">
        <f t="shared" ref="E706:E769" si="144">+TEXT(D706,"mmmm")</f>
        <v>agosto</v>
      </c>
      <c r="F706" s="202">
        <v>44799</v>
      </c>
      <c r="G706" s="203">
        <v>44803</v>
      </c>
      <c r="H706" s="200">
        <v>8730</v>
      </c>
      <c r="I706" s="224">
        <v>7008146</v>
      </c>
      <c r="J706" s="234" t="str">
        <f t="shared" si="135"/>
        <v>Res macho ceba</v>
      </c>
      <c r="K706" s="200">
        <v>6513</v>
      </c>
      <c r="L706" s="550">
        <v>7750</v>
      </c>
      <c r="M706" s="205">
        <f t="shared" si="143"/>
        <v>50475750</v>
      </c>
      <c r="N706" s="214">
        <v>20</v>
      </c>
      <c r="O706" s="554">
        <f t="shared" si="136"/>
        <v>325.64999999999998</v>
      </c>
      <c r="P706" s="548">
        <f t="shared" ref="P706:P769" si="145">+M706/N706</f>
        <v>2523787.5</v>
      </c>
    </row>
    <row r="707" spans="1:16" ht="12.75">
      <c r="A707" s="199" t="s">
        <v>3511</v>
      </c>
      <c r="B707" s="200" t="s">
        <v>4011</v>
      </c>
      <c r="C707" s="200" t="str">
        <f>VLOOKUP(B707,Fincas!$A$2:$C$1005,2,0)</f>
        <v>F_Santa Marta</v>
      </c>
      <c r="D707" s="201">
        <v>44798</v>
      </c>
      <c r="E707" s="267" t="str">
        <f t="shared" si="144"/>
        <v>agosto</v>
      </c>
      <c r="F707" s="202">
        <v>44799</v>
      </c>
      <c r="G707" s="203">
        <v>44803</v>
      </c>
      <c r="H707" s="200">
        <v>8760</v>
      </c>
      <c r="I707" s="212">
        <v>7008147</v>
      </c>
      <c r="J707" s="212" t="str">
        <f t="shared" ref="J707:J770" si="146">+VLOOKUP(I707,$F$962:$G$970,2,0)</f>
        <v>Res macho levante</v>
      </c>
      <c r="K707" s="200">
        <v>5380</v>
      </c>
      <c r="L707" s="550">
        <v>7700</v>
      </c>
      <c r="M707" s="205">
        <f t="shared" si="143"/>
        <v>41426000</v>
      </c>
      <c r="N707" s="214">
        <v>18</v>
      </c>
      <c r="O707" s="554">
        <f t="shared" ref="O707:O770" si="147">+K707/N707</f>
        <v>298.88888888888891</v>
      </c>
      <c r="P707" s="548">
        <f t="shared" si="145"/>
        <v>2301444.4444444445</v>
      </c>
    </row>
    <row r="708" spans="1:16" ht="12.75">
      <c r="A708" s="199" t="s">
        <v>3511</v>
      </c>
      <c r="B708" s="200" t="s">
        <v>4011</v>
      </c>
      <c r="C708" s="200" t="str">
        <f>VLOOKUP(B708,Fincas!$A$2:$C$1005,2,0)</f>
        <v>F_Santa Marta</v>
      </c>
      <c r="D708" s="201">
        <v>44798</v>
      </c>
      <c r="E708" s="267" t="str">
        <f t="shared" si="144"/>
        <v>agosto</v>
      </c>
      <c r="F708" s="202">
        <v>44799</v>
      </c>
      <c r="G708" s="203">
        <v>44803</v>
      </c>
      <c r="H708" s="200">
        <v>8722</v>
      </c>
      <c r="I708" s="212">
        <v>7008147</v>
      </c>
      <c r="J708" s="212" t="str">
        <f t="shared" si="146"/>
        <v>Res macho levante</v>
      </c>
      <c r="K708" s="200">
        <v>3279</v>
      </c>
      <c r="L708" s="550">
        <v>7100</v>
      </c>
      <c r="M708" s="205">
        <f t="shared" si="143"/>
        <v>23280900</v>
      </c>
      <c r="N708" s="214">
        <v>12</v>
      </c>
      <c r="O708" s="554">
        <f t="shared" si="147"/>
        <v>273.25</v>
      </c>
      <c r="P708" s="548">
        <f t="shared" si="145"/>
        <v>1940075</v>
      </c>
    </row>
    <row r="709" spans="1:16" ht="12.75">
      <c r="A709" s="199" t="s">
        <v>3511</v>
      </c>
      <c r="B709" s="200" t="s">
        <v>4011</v>
      </c>
      <c r="C709" s="200" t="str">
        <f>VLOOKUP(B709,Fincas!$A$2:$C$1005,2,0)</f>
        <v>F_Santa Marta</v>
      </c>
      <c r="D709" s="201">
        <v>44798</v>
      </c>
      <c r="E709" s="267" t="str">
        <f t="shared" si="144"/>
        <v>agosto</v>
      </c>
      <c r="F709" s="202">
        <v>44799</v>
      </c>
      <c r="G709" s="203">
        <v>44803</v>
      </c>
      <c r="H709" s="200">
        <v>8762</v>
      </c>
      <c r="I709" s="212">
        <v>7008147</v>
      </c>
      <c r="J709" s="212" t="str">
        <f t="shared" si="146"/>
        <v>Res macho levante</v>
      </c>
      <c r="K709" s="200">
        <v>1601</v>
      </c>
      <c r="L709" s="550">
        <v>7350</v>
      </c>
      <c r="M709" s="205">
        <f t="shared" si="143"/>
        <v>11767350</v>
      </c>
      <c r="N709" s="214">
        <v>6</v>
      </c>
      <c r="O709" s="554">
        <f t="shared" si="147"/>
        <v>266.83333333333331</v>
      </c>
      <c r="P709" s="548">
        <f t="shared" si="145"/>
        <v>1961225</v>
      </c>
    </row>
    <row r="710" spans="1:16" ht="12.75">
      <c r="A710" s="199" t="s">
        <v>3511</v>
      </c>
      <c r="B710" s="200" t="s">
        <v>4027</v>
      </c>
      <c r="C710" s="200" t="str">
        <f>VLOOKUP(B710,Fincas!$A$2:$C$1005,2,0)</f>
        <v>F_Villa Catalina</v>
      </c>
      <c r="D710" s="201">
        <v>44798</v>
      </c>
      <c r="E710" s="267" t="str">
        <f t="shared" si="144"/>
        <v>agosto</v>
      </c>
      <c r="F710" s="202">
        <v>44799</v>
      </c>
      <c r="G710" s="203">
        <v>44803</v>
      </c>
      <c r="H710" s="200">
        <v>8734</v>
      </c>
      <c r="I710" s="212">
        <v>7008147</v>
      </c>
      <c r="J710" s="212" t="str">
        <f t="shared" si="146"/>
        <v>Res macho levante</v>
      </c>
      <c r="K710" s="200">
        <v>4602</v>
      </c>
      <c r="L710" s="550">
        <v>7550</v>
      </c>
      <c r="M710" s="205">
        <f t="shared" si="143"/>
        <v>34745100</v>
      </c>
      <c r="N710" s="214">
        <v>16</v>
      </c>
      <c r="O710" s="554">
        <f t="shared" si="147"/>
        <v>287.625</v>
      </c>
      <c r="P710" s="548">
        <f t="shared" si="145"/>
        <v>2171568.75</v>
      </c>
    </row>
    <row r="711" spans="1:16" ht="12.75">
      <c r="A711" s="199" t="s">
        <v>3511</v>
      </c>
      <c r="B711" s="200" t="s">
        <v>4027</v>
      </c>
      <c r="C711" s="200" t="str">
        <f>VLOOKUP(B711,Fincas!$A$2:$C$1005,2,0)</f>
        <v>F_Villa Catalina</v>
      </c>
      <c r="D711" s="201">
        <v>44798</v>
      </c>
      <c r="E711" s="267" t="str">
        <f t="shared" si="144"/>
        <v>agosto</v>
      </c>
      <c r="F711" s="202">
        <v>44799</v>
      </c>
      <c r="G711" s="203">
        <v>44803</v>
      </c>
      <c r="H711" s="200">
        <v>8736</v>
      </c>
      <c r="I711" s="212">
        <v>7008147</v>
      </c>
      <c r="J711" s="212" t="str">
        <f t="shared" si="146"/>
        <v>Res macho levante</v>
      </c>
      <c r="K711" s="200">
        <v>5669</v>
      </c>
      <c r="L711" s="550">
        <v>7800</v>
      </c>
      <c r="M711" s="205">
        <f t="shared" si="143"/>
        <v>44218200</v>
      </c>
      <c r="N711" s="214">
        <v>23</v>
      </c>
      <c r="O711" s="554">
        <f t="shared" si="147"/>
        <v>246.47826086956522</v>
      </c>
      <c r="P711" s="548">
        <f t="shared" si="145"/>
        <v>1922530.4347826086</v>
      </c>
    </row>
    <row r="712" spans="1:16" ht="12.75">
      <c r="A712" s="199" t="s">
        <v>3454</v>
      </c>
      <c r="B712" s="200" t="s">
        <v>4011</v>
      </c>
      <c r="C712" s="200" t="str">
        <f>VLOOKUP(B712,Fincas!$A$2:$C$1005,2,0)</f>
        <v>F_Santa Marta</v>
      </c>
      <c r="D712" s="201">
        <v>44797</v>
      </c>
      <c r="E712" s="267" t="str">
        <f t="shared" si="144"/>
        <v>agosto</v>
      </c>
      <c r="F712" s="202">
        <v>44798</v>
      </c>
      <c r="G712" s="203">
        <v>44804</v>
      </c>
      <c r="H712" s="200">
        <v>40021</v>
      </c>
      <c r="I712" s="212">
        <v>7008147</v>
      </c>
      <c r="J712" s="212" t="str">
        <f t="shared" si="146"/>
        <v>Res macho levante</v>
      </c>
      <c r="K712" s="200">
        <v>4862</v>
      </c>
      <c r="L712" s="550">
        <f t="shared" ref="L712:L715" si="148">M712/K712</f>
        <v>7536.7498971616615</v>
      </c>
      <c r="M712" s="213">
        <v>36643678</v>
      </c>
      <c r="N712" s="214">
        <v>25</v>
      </c>
      <c r="O712" s="554">
        <f t="shared" si="147"/>
        <v>194.48</v>
      </c>
      <c r="P712" s="548">
        <f t="shared" si="145"/>
        <v>1465747.12</v>
      </c>
    </row>
    <row r="713" spans="1:16" ht="12.75">
      <c r="A713" s="199" t="s">
        <v>3454</v>
      </c>
      <c r="B713" s="200" t="s">
        <v>4011</v>
      </c>
      <c r="C713" s="200" t="str">
        <f>VLOOKUP(B713,Fincas!$A$2:$C$1005,2,0)</f>
        <v>F_Santa Marta</v>
      </c>
      <c r="D713" s="201">
        <v>44797</v>
      </c>
      <c r="E713" s="267" t="str">
        <f t="shared" si="144"/>
        <v>agosto</v>
      </c>
      <c r="F713" s="202">
        <v>44798</v>
      </c>
      <c r="G713" s="203">
        <v>44804</v>
      </c>
      <c r="H713" s="200">
        <v>40023</v>
      </c>
      <c r="I713" s="212">
        <v>7008147</v>
      </c>
      <c r="J713" s="212" t="str">
        <f t="shared" si="146"/>
        <v>Res macho levante</v>
      </c>
      <c r="K713" s="200">
        <v>4940</v>
      </c>
      <c r="L713" s="550">
        <f t="shared" si="148"/>
        <v>8642.1400809716597</v>
      </c>
      <c r="M713" s="213">
        <v>42692172</v>
      </c>
      <c r="N713" s="214">
        <v>26</v>
      </c>
      <c r="O713" s="554">
        <f t="shared" si="147"/>
        <v>190</v>
      </c>
      <c r="P713" s="548">
        <f t="shared" si="145"/>
        <v>1642006.6153846155</v>
      </c>
    </row>
    <row r="714" spans="1:16" ht="12.75">
      <c r="A714" s="199" t="s">
        <v>3454</v>
      </c>
      <c r="B714" s="200" t="s">
        <v>4011</v>
      </c>
      <c r="C714" s="200" t="str">
        <f>VLOOKUP(B714,Fincas!$A$2:$C$1005,2,0)</f>
        <v>F_Santa Marta</v>
      </c>
      <c r="D714" s="201">
        <v>44797</v>
      </c>
      <c r="E714" s="267" t="str">
        <f t="shared" si="144"/>
        <v>agosto</v>
      </c>
      <c r="F714" s="202">
        <v>44798</v>
      </c>
      <c r="G714" s="203">
        <v>44804</v>
      </c>
      <c r="H714" s="200">
        <v>40020</v>
      </c>
      <c r="I714" s="212">
        <v>7008147</v>
      </c>
      <c r="J714" s="212" t="str">
        <f t="shared" si="146"/>
        <v>Res macho levante</v>
      </c>
      <c r="K714" s="200">
        <v>5766</v>
      </c>
      <c r="L714" s="550">
        <f t="shared" si="148"/>
        <v>7637.2400277488723</v>
      </c>
      <c r="M714" s="213">
        <v>44036326</v>
      </c>
      <c r="N714" s="214">
        <v>21</v>
      </c>
      <c r="O714" s="554">
        <f t="shared" si="147"/>
        <v>274.57142857142856</v>
      </c>
      <c r="P714" s="548">
        <f t="shared" si="145"/>
        <v>2096967.9047619049</v>
      </c>
    </row>
    <row r="715" spans="1:16" ht="12.75">
      <c r="A715" s="199" t="s">
        <v>3454</v>
      </c>
      <c r="B715" s="200" t="s">
        <v>4011</v>
      </c>
      <c r="C715" s="200" t="str">
        <f>VLOOKUP(B715,Fincas!$A$2:$C$1005,2,0)</f>
        <v>F_Santa Marta</v>
      </c>
      <c r="D715" s="201">
        <v>44797</v>
      </c>
      <c r="E715" s="267" t="str">
        <f t="shared" si="144"/>
        <v>agosto</v>
      </c>
      <c r="F715" s="202">
        <v>44798</v>
      </c>
      <c r="G715" s="203">
        <v>44804</v>
      </c>
      <c r="H715" s="200">
        <v>40024</v>
      </c>
      <c r="I715" s="212">
        <v>7008147</v>
      </c>
      <c r="J715" s="212" t="str">
        <f t="shared" si="146"/>
        <v>Res macho levante</v>
      </c>
      <c r="K715" s="200">
        <v>3014</v>
      </c>
      <c r="L715" s="550">
        <f t="shared" si="148"/>
        <v>7134.7899800928999</v>
      </c>
      <c r="M715" s="213">
        <v>21504257</v>
      </c>
      <c r="N715" s="214">
        <v>11</v>
      </c>
      <c r="O715" s="554">
        <f t="shared" si="147"/>
        <v>274</v>
      </c>
      <c r="P715" s="548">
        <f t="shared" si="145"/>
        <v>1954932.4545454546</v>
      </c>
    </row>
    <row r="716" spans="1:16" ht="12.75">
      <c r="A716" s="199" t="s">
        <v>3514</v>
      </c>
      <c r="B716" s="200" t="s">
        <v>4028</v>
      </c>
      <c r="C716" s="200" t="str">
        <f>VLOOKUP(B716,Fincas!$A$2:$C$1005,2,0)</f>
        <v>F_La Dolores</v>
      </c>
      <c r="D716" s="201">
        <v>44798</v>
      </c>
      <c r="E716" s="267" t="str">
        <f t="shared" si="144"/>
        <v>agosto</v>
      </c>
      <c r="F716" s="202">
        <v>44803</v>
      </c>
      <c r="G716" s="203">
        <v>44804</v>
      </c>
      <c r="H716" s="200" t="s">
        <v>4029</v>
      </c>
      <c r="I716" s="212">
        <v>7008147</v>
      </c>
      <c r="J716" s="212" t="str">
        <f t="shared" si="146"/>
        <v>Res macho levante</v>
      </c>
      <c r="K716" s="200">
        <v>34619</v>
      </c>
      <c r="L716" s="550">
        <v>8100</v>
      </c>
      <c r="M716" s="205">
        <f t="shared" ref="M716:M723" si="149">L716*K716</f>
        <v>280413900</v>
      </c>
      <c r="N716" s="206">
        <v>139</v>
      </c>
      <c r="O716" s="554">
        <f t="shared" si="147"/>
        <v>249.05755395683454</v>
      </c>
      <c r="P716" s="548">
        <f t="shared" si="145"/>
        <v>2017366.1870503598</v>
      </c>
    </row>
    <row r="717" spans="1:16" ht="12.75">
      <c r="A717" s="199" t="s">
        <v>3511</v>
      </c>
      <c r="B717" s="200" t="s">
        <v>4030</v>
      </c>
      <c r="C717" s="200" t="str">
        <f>VLOOKUP(B717,Fincas!$A$2:$C$1005,2,0)</f>
        <v>F_Villa Juana</v>
      </c>
      <c r="D717" s="201">
        <v>44799</v>
      </c>
      <c r="E717" s="267" t="str">
        <f t="shared" si="144"/>
        <v>agosto</v>
      </c>
      <c r="F717" s="202">
        <v>44799</v>
      </c>
      <c r="G717" s="203">
        <v>44804</v>
      </c>
      <c r="H717" s="200">
        <v>8771</v>
      </c>
      <c r="I717" s="212">
        <v>7008147</v>
      </c>
      <c r="J717" s="212" t="str">
        <f t="shared" si="146"/>
        <v>Res macho levante</v>
      </c>
      <c r="K717" s="200">
        <v>5830</v>
      </c>
      <c r="L717" s="550">
        <v>7200</v>
      </c>
      <c r="M717" s="205">
        <f t="shared" si="149"/>
        <v>41976000</v>
      </c>
      <c r="N717" s="214">
        <v>25</v>
      </c>
      <c r="O717" s="554">
        <f t="shared" si="147"/>
        <v>233.2</v>
      </c>
      <c r="P717" s="548">
        <f t="shared" si="145"/>
        <v>1679040</v>
      </c>
    </row>
    <row r="718" spans="1:16" ht="12.75">
      <c r="A718" s="199" t="s">
        <v>3511</v>
      </c>
      <c r="B718" s="200" t="s">
        <v>4030</v>
      </c>
      <c r="C718" s="200" t="str">
        <f>VLOOKUP(B718,Fincas!$A$2:$C$1005,2,0)</f>
        <v>F_Villa Juana</v>
      </c>
      <c r="D718" s="201">
        <v>44799</v>
      </c>
      <c r="E718" s="267" t="str">
        <f t="shared" si="144"/>
        <v>agosto</v>
      </c>
      <c r="F718" s="202">
        <v>44799</v>
      </c>
      <c r="G718" s="203">
        <v>44804</v>
      </c>
      <c r="H718" s="208">
        <v>8767</v>
      </c>
      <c r="I718" s="212">
        <v>7008147</v>
      </c>
      <c r="J718" s="212" t="str">
        <f t="shared" si="146"/>
        <v>Res macho levante</v>
      </c>
      <c r="K718" s="200">
        <v>5786</v>
      </c>
      <c r="L718" s="550">
        <v>7510</v>
      </c>
      <c r="M718" s="205">
        <f t="shared" si="149"/>
        <v>43452860</v>
      </c>
      <c r="N718" s="214">
        <v>22</v>
      </c>
      <c r="O718" s="554">
        <f t="shared" si="147"/>
        <v>263</v>
      </c>
      <c r="P718" s="548">
        <f t="shared" si="145"/>
        <v>1975130</v>
      </c>
    </row>
    <row r="719" spans="1:16" ht="12.75">
      <c r="A719" s="199" t="s">
        <v>3511</v>
      </c>
      <c r="B719" s="200" t="s">
        <v>4030</v>
      </c>
      <c r="C719" s="200" t="str">
        <f>VLOOKUP(B719,Fincas!$A$2:$C$1005,2,0)</f>
        <v>F_Villa Juana</v>
      </c>
      <c r="D719" s="201">
        <v>44799</v>
      </c>
      <c r="E719" s="267" t="str">
        <f t="shared" si="144"/>
        <v>agosto</v>
      </c>
      <c r="F719" s="202">
        <v>44799</v>
      </c>
      <c r="G719" s="203">
        <v>44804</v>
      </c>
      <c r="H719" s="200">
        <v>8768</v>
      </c>
      <c r="I719" s="212">
        <v>7008147</v>
      </c>
      <c r="J719" s="212" t="str">
        <f t="shared" si="146"/>
        <v>Res macho levante</v>
      </c>
      <c r="K719" s="200">
        <v>5772</v>
      </c>
      <c r="L719" s="550">
        <v>7510</v>
      </c>
      <c r="M719" s="205">
        <f t="shared" si="149"/>
        <v>43347720</v>
      </c>
      <c r="N719" s="214">
        <v>22</v>
      </c>
      <c r="O719" s="554">
        <f t="shared" si="147"/>
        <v>262.36363636363637</v>
      </c>
      <c r="P719" s="548">
        <f t="shared" si="145"/>
        <v>1970350.9090909092</v>
      </c>
    </row>
    <row r="720" spans="1:16" ht="12.75">
      <c r="A720" s="199" t="s">
        <v>3511</v>
      </c>
      <c r="B720" s="200" t="s">
        <v>4030</v>
      </c>
      <c r="C720" s="200" t="str">
        <f>VLOOKUP(B720,Fincas!$A$2:$C$1005,2,0)</f>
        <v>F_Villa Juana</v>
      </c>
      <c r="D720" s="201">
        <v>44799</v>
      </c>
      <c r="E720" s="267" t="str">
        <f t="shared" si="144"/>
        <v>agosto</v>
      </c>
      <c r="F720" s="202">
        <v>44799</v>
      </c>
      <c r="G720" s="203">
        <v>44804</v>
      </c>
      <c r="H720" s="200">
        <v>8769</v>
      </c>
      <c r="I720" s="212">
        <v>7008147</v>
      </c>
      <c r="J720" s="212" t="str">
        <f t="shared" si="146"/>
        <v>Res macho levante</v>
      </c>
      <c r="K720" s="200">
        <v>5320</v>
      </c>
      <c r="L720" s="550">
        <v>7700</v>
      </c>
      <c r="M720" s="205">
        <f t="shared" si="149"/>
        <v>40964000</v>
      </c>
      <c r="N720" s="214">
        <v>25</v>
      </c>
      <c r="O720" s="554">
        <f t="shared" si="147"/>
        <v>212.8</v>
      </c>
      <c r="P720" s="548">
        <f t="shared" si="145"/>
        <v>1638560</v>
      </c>
    </row>
    <row r="721" spans="1:16" ht="12.75">
      <c r="A721" s="199" t="s">
        <v>3463</v>
      </c>
      <c r="B721" s="200" t="s">
        <v>3919</v>
      </c>
      <c r="C721" s="200" t="str">
        <f>VLOOKUP(B721,Fincas!$A$2:$C$1005,2,0)</f>
        <v>A_Rancho Apache</v>
      </c>
      <c r="D721" s="201">
        <v>44798</v>
      </c>
      <c r="E721" s="267" t="str">
        <f t="shared" si="144"/>
        <v>agosto</v>
      </c>
      <c r="F721" s="202">
        <v>44802</v>
      </c>
      <c r="G721" s="203">
        <v>44804</v>
      </c>
      <c r="H721" s="200" t="s">
        <v>4031</v>
      </c>
      <c r="I721" s="212">
        <v>7008147</v>
      </c>
      <c r="J721" s="212" t="str">
        <f t="shared" si="146"/>
        <v>Res macho levante</v>
      </c>
      <c r="K721" s="200">
        <v>10122</v>
      </c>
      <c r="L721" s="550">
        <v>8650</v>
      </c>
      <c r="M721" s="205">
        <f t="shared" si="149"/>
        <v>87555300</v>
      </c>
      <c r="N721" s="214">
        <v>42</v>
      </c>
      <c r="O721" s="554">
        <f t="shared" si="147"/>
        <v>241</v>
      </c>
      <c r="P721" s="548">
        <f t="shared" si="145"/>
        <v>2084650</v>
      </c>
    </row>
    <row r="722" spans="1:16" ht="12.75">
      <c r="A722" s="199" t="s">
        <v>3451</v>
      </c>
      <c r="B722" s="200" t="s">
        <v>3476</v>
      </c>
      <c r="C722" s="200" t="str">
        <f>VLOOKUP(B722,Fincas!$A$2:$C$1005,2,0)</f>
        <v>F_Guacharacas</v>
      </c>
      <c r="D722" s="201">
        <v>44803</v>
      </c>
      <c r="E722" s="267" t="str">
        <f t="shared" si="144"/>
        <v>agosto</v>
      </c>
      <c r="F722" s="202">
        <v>44803</v>
      </c>
      <c r="G722" s="203">
        <v>44804</v>
      </c>
      <c r="H722" s="200" t="s">
        <v>4032</v>
      </c>
      <c r="I722" s="224">
        <v>7008146</v>
      </c>
      <c r="J722" s="234" t="str">
        <f t="shared" si="146"/>
        <v>Res macho ceba</v>
      </c>
      <c r="K722" s="200">
        <v>12482</v>
      </c>
      <c r="L722" s="550">
        <v>7564</v>
      </c>
      <c r="M722" s="205">
        <f t="shared" si="149"/>
        <v>94413848</v>
      </c>
      <c r="N722" s="214">
        <v>32</v>
      </c>
      <c r="O722" s="554">
        <f t="shared" si="147"/>
        <v>390.0625</v>
      </c>
      <c r="P722" s="548">
        <f t="shared" si="145"/>
        <v>2950432.75</v>
      </c>
    </row>
    <row r="723" spans="1:16" ht="12.75">
      <c r="A723" s="199" t="s">
        <v>3463</v>
      </c>
      <c r="B723" s="200" t="s">
        <v>3464</v>
      </c>
      <c r="C723" s="200" t="str">
        <f>VLOOKUP(B723,Fincas!$A$2:$C$1005,2,0)</f>
        <v>F_Texas Araujo</v>
      </c>
      <c r="D723" s="201">
        <v>44805</v>
      </c>
      <c r="E723" s="267" t="str">
        <f t="shared" si="144"/>
        <v>septiembre</v>
      </c>
      <c r="F723" s="202">
        <v>44805</v>
      </c>
      <c r="G723" s="203">
        <v>44809</v>
      </c>
      <c r="H723" s="208" t="s">
        <v>4033</v>
      </c>
      <c r="I723" s="224">
        <v>7008146</v>
      </c>
      <c r="J723" s="234" t="str">
        <f t="shared" si="146"/>
        <v>Res macho ceba</v>
      </c>
      <c r="K723" s="200">
        <v>6360</v>
      </c>
      <c r="L723" s="550">
        <v>8350</v>
      </c>
      <c r="M723" s="205">
        <f t="shared" si="149"/>
        <v>53106000</v>
      </c>
      <c r="N723" s="214">
        <v>20</v>
      </c>
      <c r="O723" s="554">
        <f t="shared" si="147"/>
        <v>318</v>
      </c>
      <c r="P723" s="548">
        <f t="shared" si="145"/>
        <v>2655300</v>
      </c>
    </row>
    <row r="724" spans="1:16" ht="12.75">
      <c r="A724" s="199" t="s">
        <v>1419</v>
      </c>
      <c r="B724" s="200" t="s">
        <v>4034</v>
      </c>
      <c r="C724" s="200" t="str">
        <f>VLOOKUP(B724,Fincas!$A$2:$C$1005,2,0)</f>
        <v>El Encanto</v>
      </c>
      <c r="D724" s="201">
        <v>44805</v>
      </c>
      <c r="E724" s="267" t="str">
        <f t="shared" si="144"/>
        <v>septiembre</v>
      </c>
      <c r="F724" s="202">
        <v>44807</v>
      </c>
      <c r="G724" s="203">
        <v>44809</v>
      </c>
      <c r="H724" s="200" t="s">
        <v>4035</v>
      </c>
      <c r="I724" s="224">
        <v>7008146</v>
      </c>
      <c r="J724" s="234" t="str">
        <f t="shared" si="146"/>
        <v>Res macho ceba</v>
      </c>
      <c r="K724" s="200">
        <v>6778</v>
      </c>
      <c r="L724" s="550">
        <f>M724/K724</f>
        <v>7902.8326940100324</v>
      </c>
      <c r="M724" s="213">
        <v>53565400</v>
      </c>
      <c r="N724" s="214">
        <v>16</v>
      </c>
      <c r="O724" s="554">
        <f t="shared" si="147"/>
        <v>423.625</v>
      </c>
      <c r="P724" s="548">
        <f t="shared" si="145"/>
        <v>3347837.5</v>
      </c>
    </row>
    <row r="725" spans="1:16" ht="12.75">
      <c r="A725" s="199" t="s">
        <v>3689</v>
      </c>
      <c r="B725" s="200" t="s">
        <v>3476</v>
      </c>
      <c r="C725" s="200" t="str">
        <f>VLOOKUP(B725,Fincas!$A$2:$C$1005,2,0)</f>
        <v>F_Guacharacas</v>
      </c>
      <c r="D725" s="201">
        <v>44805</v>
      </c>
      <c r="E725" s="267" t="str">
        <f t="shared" si="144"/>
        <v>septiembre</v>
      </c>
      <c r="F725" s="202">
        <v>44805</v>
      </c>
      <c r="G725" s="203">
        <v>44809</v>
      </c>
      <c r="H725" s="200" t="s">
        <v>4036</v>
      </c>
      <c r="I725" s="224">
        <v>7008146</v>
      </c>
      <c r="J725" s="234" t="str">
        <f t="shared" si="146"/>
        <v>Res macho ceba</v>
      </c>
      <c r="K725" s="200">
        <v>12066</v>
      </c>
      <c r="L725" s="550">
        <v>7739</v>
      </c>
      <c r="M725" s="213">
        <v>93382394</v>
      </c>
      <c r="N725" s="214">
        <v>32</v>
      </c>
      <c r="O725" s="554">
        <f t="shared" si="147"/>
        <v>377.0625</v>
      </c>
      <c r="P725" s="548">
        <f t="shared" si="145"/>
        <v>2918199.8125</v>
      </c>
    </row>
    <row r="726" spans="1:16" ht="12.75">
      <c r="A726" s="199" t="s">
        <v>3454</v>
      </c>
      <c r="B726" s="200" t="s">
        <v>3476</v>
      </c>
      <c r="C726" s="200" t="str">
        <f>VLOOKUP(B726,Fincas!$A$2:$C$1005,2,0)</f>
        <v>F_Guacharacas</v>
      </c>
      <c r="D726" s="201">
        <v>44805</v>
      </c>
      <c r="E726" s="267" t="str">
        <f t="shared" si="144"/>
        <v>septiembre</v>
      </c>
      <c r="F726" s="202">
        <v>44805</v>
      </c>
      <c r="G726" s="203">
        <v>44809</v>
      </c>
      <c r="H726" s="200">
        <v>241377</v>
      </c>
      <c r="I726" s="224">
        <v>7008146</v>
      </c>
      <c r="J726" s="234" t="str">
        <f t="shared" si="146"/>
        <v>Res macho ceba</v>
      </c>
      <c r="K726" s="200">
        <v>6278</v>
      </c>
      <c r="L726" s="550">
        <f>M726/K726</f>
        <v>7938.7099394711695</v>
      </c>
      <c r="M726" s="213">
        <v>49839221</v>
      </c>
      <c r="N726" s="214">
        <v>16</v>
      </c>
      <c r="O726" s="554">
        <f t="shared" si="147"/>
        <v>392.375</v>
      </c>
      <c r="P726" s="548">
        <f t="shared" si="145"/>
        <v>3114951.3125</v>
      </c>
    </row>
    <row r="727" spans="1:16" ht="12.75">
      <c r="A727" s="199" t="s">
        <v>3571</v>
      </c>
      <c r="B727" s="200" t="s">
        <v>4037</v>
      </c>
      <c r="C727" s="200" t="str">
        <f>VLOOKUP(B727,Fincas!$A$2:$C$1005,2,0)</f>
        <v>A_La Casta</v>
      </c>
      <c r="D727" s="201">
        <v>44805</v>
      </c>
      <c r="E727" s="267" t="str">
        <f t="shared" si="144"/>
        <v>septiembre</v>
      </c>
      <c r="F727" s="202">
        <v>44805</v>
      </c>
      <c r="G727" s="203">
        <v>44809</v>
      </c>
      <c r="H727" s="200" t="s">
        <v>4038</v>
      </c>
      <c r="I727" s="224">
        <v>7008146</v>
      </c>
      <c r="J727" s="234" t="str">
        <f t="shared" si="146"/>
        <v>Res macho ceba</v>
      </c>
      <c r="K727" s="200">
        <v>25616</v>
      </c>
      <c r="L727" s="550">
        <v>8000</v>
      </c>
      <c r="M727" s="205">
        <f t="shared" ref="M727:M737" si="150">L727*K727</f>
        <v>204928000</v>
      </c>
      <c r="N727" s="214">
        <v>72</v>
      </c>
      <c r="O727" s="554">
        <f t="shared" si="147"/>
        <v>355.77777777777777</v>
      </c>
      <c r="P727" s="548">
        <f t="shared" si="145"/>
        <v>2846222.222222222</v>
      </c>
    </row>
    <row r="728" spans="1:16" ht="12.75">
      <c r="A728" s="199" t="s">
        <v>3898</v>
      </c>
      <c r="B728" s="200" t="s">
        <v>4027</v>
      </c>
      <c r="C728" s="200" t="str">
        <f>VLOOKUP(B728,Fincas!$A$2:$C$1005,2,0)</f>
        <v>F_Villa Catalina</v>
      </c>
      <c r="D728" s="201">
        <v>44806</v>
      </c>
      <c r="E728" s="267" t="str">
        <f t="shared" si="144"/>
        <v>septiembre</v>
      </c>
      <c r="F728" s="202">
        <v>44805</v>
      </c>
      <c r="G728" s="203">
        <v>44810</v>
      </c>
      <c r="H728" s="200" t="s">
        <v>4039</v>
      </c>
      <c r="I728" s="212">
        <v>7008147</v>
      </c>
      <c r="J728" s="212" t="str">
        <f t="shared" si="146"/>
        <v>Res macho levante</v>
      </c>
      <c r="K728" s="200">
        <v>5809</v>
      </c>
      <c r="L728" s="550">
        <v>8000</v>
      </c>
      <c r="M728" s="205">
        <f t="shared" si="150"/>
        <v>46472000</v>
      </c>
      <c r="N728" s="214">
        <v>23</v>
      </c>
      <c r="O728" s="554">
        <f t="shared" si="147"/>
        <v>252.56521739130434</v>
      </c>
      <c r="P728" s="548">
        <f t="shared" si="145"/>
        <v>2020521.7391304348</v>
      </c>
    </row>
    <row r="729" spans="1:16" ht="12.75">
      <c r="A729" s="199" t="s">
        <v>3463</v>
      </c>
      <c r="B729" s="200" t="s">
        <v>3919</v>
      </c>
      <c r="C729" s="200" t="str">
        <f>VLOOKUP(B729,Fincas!$A$2:$C$1005,2,0)</f>
        <v>A_Rancho Apache</v>
      </c>
      <c r="D729" s="201">
        <v>44805</v>
      </c>
      <c r="E729" s="267" t="str">
        <f t="shared" si="144"/>
        <v>septiembre</v>
      </c>
      <c r="F729" s="202">
        <v>44805</v>
      </c>
      <c r="G729" s="203">
        <v>44811</v>
      </c>
      <c r="H729" s="200" t="s">
        <v>4040</v>
      </c>
      <c r="I729" s="212">
        <v>7008147</v>
      </c>
      <c r="J729" s="212" t="str">
        <f t="shared" si="146"/>
        <v>Res macho levante</v>
      </c>
      <c r="K729" s="200">
        <v>9266</v>
      </c>
      <c r="L729" s="550">
        <v>8700</v>
      </c>
      <c r="M729" s="205">
        <f t="shared" si="150"/>
        <v>80614200</v>
      </c>
      <c r="N729" s="214">
        <v>41</v>
      </c>
      <c r="O729" s="554">
        <f t="shared" si="147"/>
        <v>226</v>
      </c>
      <c r="P729" s="548">
        <f t="shared" si="145"/>
        <v>1966200</v>
      </c>
    </row>
    <row r="730" spans="1:16" ht="12.75">
      <c r="A730" s="199" t="s">
        <v>3463</v>
      </c>
      <c r="B730" s="200" t="s">
        <v>4037</v>
      </c>
      <c r="C730" s="200" t="str">
        <f>VLOOKUP(B730,Fincas!$A$2:$C$1005,2,0)</f>
        <v>A_La Casta</v>
      </c>
      <c r="D730" s="201">
        <v>44805</v>
      </c>
      <c r="E730" s="267" t="str">
        <f t="shared" si="144"/>
        <v>septiembre</v>
      </c>
      <c r="F730" s="202">
        <v>44805</v>
      </c>
      <c r="G730" s="203">
        <v>44812</v>
      </c>
      <c r="H730" s="200" t="s">
        <v>4041</v>
      </c>
      <c r="I730" s="224">
        <v>7008146</v>
      </c>
      <c r="J730" s="234" t="str">
        <f t="shared" si="146"/>
        <v>Res macho ceba</v>
      </c>
      <c r="K730" s="200">
        <v>12204</v>
      </c>
      <c r="L730" s="550">
        <v>8550</v>
      </c>
      <c r="M730" s="205">
        <f t="shared" si="150"/>
        <v>104344200</v>
      </c>
      <c r="N730" s="214">
        <v>36</v>
      </c>
      <c r="O730" s="554">
        <f t="shared" si="147"/>
        <v>339</v>
      </c>
      <c r="P730" s="548">
        <f t="shared" si="145"/>
        <v>2898450</v>
      </c>
    </row>
    <row r="731" spans="1:16" ht="12.75">
      <c r="A731" s="199" t="s">
        <v>3785</v>
      </c>
      <c r="B731" s="200" t="s">
        <v>3756</v>
      </c>
      <c r="C731" s="200" t="str">
        <f>VLOOKUP(B731,Fincas!$A$2:$C$1005,2,0)</f>
        <v>F_Villa Lupe</v>
      </c>
      <c r="D731" s="201">
        <v>44812</v>
      </c>
      <c r="E731" s="267" t="str">
        <f t="shared" si="144"/>
        <v>septiembre</v>
      </c>
      <c r="F731" s="202">
        <v>44812</v>
      </c>
      <c r="G731" s="203">
        <v>44812</v>
      </c>
      <c r="H731" s="200" t="s">
        <v>44</v>
      </c>
      <c r="I731" s="224">
        <v>7008146</v>
      </c>
      <c r="J731" s="234" t="str">
        <f t="shared" si="146"/>
        <v>Res macho ceba</v>
      </c>
      <c r="K731" s="200">
        <v>20634</v>
      </c>
      <c r="L731" s="550">
        <v>7800</v>
      </c>
      <c r="M731" s="205">
        <f t="shared" si="150"/>
        <v>160945200</v>
      </c>
      <c r="N731" s="214">
        <v>60</v>
      </c>
      <c r="O731" s="554">
        <f t="shared" si="147"/>
        <v>343.9</v>
      </c>
      <c r="P731" s="548">
        <f t="shared" si="145"/>
        <v>2682420</v>
      </c>
    </row>
    <row r="732" spans="1:16" ht="12.75">
      <c r="A732" s="199" t="s">
        <v>3522</v>
      </c>
      <c r="B732" s="200" t="s">
        <v>3523</v>
      </c>
      <c r="C732" s="200" t="str">
        <f>VLOOKUP(B732,Fincas!$A$2:$C$1005,2,0)</f>
        <v>F_El Caldero</v>
      </c>
      <c r="D732" s="201">
        <v>44809</v>
      </c>
      <c r="E732" s="267" t="str">
        <f t="shared" si="144"/>
        <v>septiembre</v>
      </c>
      <c r="F732" s="202">
        <v>44809</v>
      </c>
      <c r="G732" s="203">
        <v>44812</v>
      </c>
      <c r="H732" s="200" t="s">
        <v>4042</v>
      </c>
      <c r="I732" s="224">
        <v>7008146</v>
      </c>
      <c r="J732" s="234" t="str">
        <f t="shared" si="146"/>
        <v>Res macho ceba</v>
      </c>
      <c r="K732" s="200">
        <v>8723</v>
      </c>
      <c r="L732" s="550">
        <v>7500</v>
      </c>
      <c r="M732" s="205">
        <f t="shared" si="150"/>
        <v>65422500</v>
      </c>
      <c r="N732" s="214">
        <v>24</v>
      </c>
      <c r="O732" s="554">
        <f t="shared" si="147"/>
        <v>363.45833333333331</v>
      </c>
      <c r="P732" s="548">
        <f t="shared" si="145"/>
        <v>2725937.5</v>
      </c>
    </row>
    <row r="733" spans="1:16" ht="12.75">
      <c r="A733" s="199" t="s">
        <v>4043</v>
      </c>
      <c r="B733" s="200" t="s">
        <v>3858</v>
      </c>
      <c r="C733" s="200" t="str">
        <f>VLOOKUP(B733,Fincas!$A$2:$C$1005,2,0)</f>
        <v>F_Providencia</v>
      </c>
      <c r="D733" s="201">
        <v>44812</v>
      </c>
      <c r="E733" s="267" t="str">
        <f t="shared" si="144"/>
        <v>septiembre</v>
      </c>
      <c r="F733" s="202">
        <v>44811</v>
      </c>
      <c r="G733" s="203">
        <v>44813</v>
      </c>
      <c r="H733" s="200" t="s">
        <v>4044</v>
      </c>
      <c r="I733" s="224">
        <v>7008146</v>
      </c>
      <c r="J733" s="234" t="str">
        <f t="shared" si="146"/>
        <v>Res macho ceba</v>
      </c>
      <c r="K733" s="200">
        <v>8485</v>
      </c>
      <c r="L733" s="550">
        <v>7600</v>
      </c>
      <c r="M733" s="205">
        <f t="shared" si="150"/>
        <v>64486000</v>
      </c>
      <c r="N733" s="214">
        <v>22</v>
      </c>
      <c r="O733" s="554">
        <f t="shared" si="147"/>
        <v>385.68181818181819</v>
      </c>
      <c r="P733" s="548">
        <f t="shared" si="145"/>
        <v>2931181.8181818184</v>
      </c>
    </row>
    <row r="734" spans="1:16" ht="12.75">
      <c r="A734" s="199" t="s">
        <v>4043</v>
      </c>
      <c r="B734" s="200" t="s">
        <v>3858</v>
      </c>
      <c r="C734" s="200" t="str">
        <f>VLOOKUP(B734,Fincas!$A$2:$C$1005,2,0)</f>
        <v>F_Providencia</v>
      </c>
      <c r="D734" s="201">
        <v>44812</v>
      </c>
      <c r="E734" s="267" t="str">
        <f t="shared" si="144"/>
        <v>septiembre</v>
      </c>
      <c r="F734" s="202">
        <v>44811</v>
      </c>
      <c r="G734" s="203">
        <v>44813</v>
      </c>
      <c r="H734" s="200" t="s">
        <v>4045</v>
      </c>
      <c r="I734" s="224">
        <v>7008146</v>
      </c>
      <c r="J734" s="234" t="str">
        <f t="shared" si="146"/>
        <v>Res macho ceba</v>
      </c>
      <c r="K734" s="200">
        <v>7725</v>
      </c>
      <c r="L734" s="550">
        <v>7750</v>
      </c>
      <c r="M734" s="205">
        <f t="shared" si="150"/>
        <v>59868750</v>
      </c>
      <c r="N734" s="214">
        <v>26</v>
      </c>
      <c r="O734" s="554">
        <f t="shared" si="147"/>
        <v>297.11538461538464</v>
      </c>
      <c r="P734" s="548">
        <f t="shared" si="145"/>
        <v>2302644.230769231</v>
      </c>
    </row>
    <row r="735" spans="1:16" ht="12.75">
      <c r="A735" s="199" t="s">
        <v>4043</v>
      </c>
      <c r="B735" s="200" t="s">
        <v>3858</v>
      </c>
      <c r="C735" s="200" t="str">
        <f>VLOOKUP(B735,Fincas!$A$2:$C$1005,2,0)</f>
        <v>F_Providencia</v>
      </c>
      <c r="D735" s="201">
        <v>44812</v>
      </c>
      <c r="E735" s="267" t="str">
        <f t="shared" si="144"/>
        <v>septiembre</v>
      </c>
      <c r="F735" s="202">
        <v>44811</v>
      </c>
      <c r="G735" s="248">
        <v>44813</v>
      </c>
      <c r="H735" s="247" t="s">
        <v>4046</v>
      </c>
      <c r="I735" s="212">
        <v>7008147</v>
      </c>
      <c r="J735" s="212" t="str">
        <f t="shared" si="146"/>
        <v>Res macho levante</v>
      </c>
      <c r="K735" s="200">
        <v>5389</v>
      </c>
      <c r="L735" s="550">
        <v>8200</v>
      </c>
      <c r="M735" s="205">
        <f t="shared" si="150"/>
        <v>44189800</v>
      </c>
      <c r="N735" s="214">
        <v>22</v>
      </c>
      <c r="O735" s="554">
        <f t="shared" si="147"/>
        <v>244.95454545454547</v>
      </c>
      <c r="P735" s="548">
        <f t="shared" si="145"/>
        <v>2008627.2727272727</v>
      </c>
    </row>
    <row r="736" spans="1:16" ht="12.75">
      <c r="A736" s="199" t="s">
        <v>3511</v>
      </c>
      <c r="B736" s="200" t="s">
        <v>3489</v>
      </c>
      <c r="C736" s="200" t="str">
        <f>VLOOKUP(B736,Fincas!$A$2:$C$1005,2,0)</f>
        <v>F_La Pradilla</v>
      </c>
      <c r="D736" s="201">
        <v>44811</v>
      </c>
      <c r="E736" s="267" t="str">
        <f t="shared" si="144"/>
        <v>septiembre</v>
      </c>
      <c r="F736" s="202">
        <v>44810</v>
      </c>
      <c r="G736" s="203">
        <v>44813</v>
      </c>
      <c r="H736" s="200">
        <v>16990</v>
      </c>
      <c r="I736" s="224">
        <v>7008146</v>
      </c>
      <c r="J736" s="234" t="str">
        <f t="shared" si="146"/>
        <v>Res macho ceba</v>
      </c>
      <c r="K736" s="200">
        <v>9146</v>
      </c>
      <c r="L736" s="550">
        <v>7643</v>
      </c>
      <c r="M736" s="205">
        <f t="shared" si="150"/>
        <v>69902878</v>
      </c>
      <c r="N736" s="214">
        <v>29</v>
      </c>
      <c r="O736" s="554">
        <f t="shared" si="147"/>
        <v>315.37931034482756</v>
      </c>
      <c r="P736" s="548">
        <f t="shared" si="145"/>
        <v>2410444.0689655175</v>
      </c>
    </row>
    <row r="737" spans="1:16" ht="12.75">
      <c r="A737" s="199" t="s">
        <v>3511</v>
      </c>
      <c r="B737" s="200" t="s">
        <v>3489</v>
      </c>
      <c r="C737" s="200" t="str">
        <f>VLOOKUP(B737,Fincas!$A$2:$C$1005,2,0)</f>
        <v>F_La Pradilla</v>
      </c>
      <c r="D737" s="201">
        <v>44811</v>
      </c>
      <c r="E737" s="267" t="str">
        <f t="shared" si="144"/>
        <v>septiembre</v>
      </c>
      <c r="F737" s="202">
        <v>44810</v>
      </c>
      <c r="G737" s="203">
        <v>44813</v>
      </c>
      <c r="H737" s="200">
        <v>16989</v>
      </c>
      <c r="I737" s="224">
        <v>7008146</v>
      </c>
      <c r="J737" s="234" t="str">
        <f t="shared" si="146"/>
        <v>Res macho ceba</v>
      </c>
      <c r="K737" s="200">
        <v>7940</v>
      </c>
      <c r="L737" s="550">
        <v>7643</v>
      </c>
      <c r="M737" s="205">
        <f t="shared" si="150"/>
        <v>60685420</v>
      </c>
      <c r="N737" s="214">
        <v>30</v>
      </c>
      <c r="O737" s="554">
        <f t="shared" si="147"/>
        <v>264.66666666666669</v>
      </c>
      <c r="P737" s="548">
        <f t="shared" si="145"/>
        <v>2022847.3333333333</v>
      </c>
    </row>
    <row r="738" spans="1:16" ht="12.75">
      <c r="A738" s="199" t="s">
        <v>3454</v>
      </c>
      <c r="B738" s="200" t="s">
        <v>3557</v>
      </c>
      <c r="C738" s="200" t="str">
        <f>VLOOKUP(B738,Fincas!$A$2:$C$1005,2,0)</f>
        <v>F_San Clemente</v>
      </c>
      <c r="D738" s="201">
        <v>44805</v>
      </c>
      <c r="E738" s="267" t="str">
        <f t="shared" si="144"/>
        <v>septiembre</v>
      </c>
      <c r="F738" s="202">
        <v>44805</v>
      </c>
      <c r="G738" s="203">
        <v>44816</v>
      </c>
      <c r="H738" s="200">
        <v>8328</v>
      </c>
      <c r="I738" s="224">
        <v>7008146</v>
      </c>
      <c r="J738" s="234" t="str">
        <f t="shared" si="146"/>
        <v>Res macho ceba</v>
      </c>
      <c r="K738" s="200">
        <v>5861</v>
      </c>
      <c r="L738" s="550">
        <f t="shared" ref="L738:L739" si="151">M738/K738</f>
        <v>7235.2799863504524</v>
      </c>
      <c r="M738" s="213">
        <v>42405976</v>
      </c>
      <c r="N738" s="214">
        <v>18</v>
      </c>
      <c r="O738" s="554">
        <f t="shared" si="147"/>
        <v>325.61111111111109</v>
      </c>
      <c r="P738" s="548">
        <f t="shared" si="145"/>
        <v>2355887.5555555555</v>
      </c>
    </row>
    <row r="739" spans="1:16" ht="12.75">
      <c r="A739" s="199" t="s">
        <v>3454</v>
      </c>
      <c r="B739" s="200" t="s">
        <v>3557</v>
      </c>
      <c r="C739" s="200" t="str">
        <f>VLOOKUP(B739,Fincas!$A$2:$C$1005,2,0)</f>
        <v>F_San Clemente</v>
      </c>
      <c r="D739" s="201">
        <v>44805</v>
      </c>
      <c r="E739" s="267" t="str">
        <f t="shared" si="144"/>
        <v>septiembre</v>
      </c>
      <c r="F739" s="202">
        <v>44805</v>
      </c>
      <c r="G739" s="203">
        <v>44816</v>
      </c>
      <c r="H739" s="200">
        <v>8329</v>
      </c>
      <c r="I739" s="224">
        <v>7008146</v>
      </c>
      <c r="J739" s="234" t="str">
        <f t="shared" si="146"/>
        <v>Res macho ceba</v>
      </c>
      <c r="K739" s="200">
        <v>5737</v>
      </c>
      <c r="L739" s="550">
        <f t="shared" si="151"/>
        <v>7235.2799372494337</v>
      </c>
      <c r="M739" s="213">
        <v>41508801</v>
      </c>
      <c r="N739" s="214">
        <v>18</v>
      </c>
      <c r="O739" s="554">
        <f t="shared" si="147"/>
        <v>318.72222222222223</v>
      </c>
      <c r="P739" s="548">
        <f t="shared" si="145"/>
        <v>2306044.5</v>
      </c>
    </row>
    <row r="740" spans="1:16" ht="12.75">
      <c r="A740" s="199" t="s">
        <v>3454</v>
      </c>
      <c r="B740" s="200" t="s">
        <v>4034</v>
      </c>
      <c r="C740" s="200" t="str">
        <f>VLOOKUP(B740,Fincas!$A$2:$C$1005,2,0)</f>
        <v>El Encanto</v>
      </c>
      <c r="D740" s="201">
        <v>44813</v>
      </c>
      <c r="E740" s="267" t="str">
        <f t="shared" si="144"/>
        <v>septiembre</v>
      </c>
      <c r="F740" s="202">
        <v>44812</v>
      </c>
      <c r="G740" s="203">
        <v>44816</v>
      </c>
      <c r="H740" s="200" t="s">
        <v>4047</v>
      </c>
      <c r="I740" s="224">
        <v>7008146</v>
      </c>
      <c r="J740" s="234" t="str">
        <f t="shared" si="146"/>
        <v>Res macho ceba</v>
      </c>
      <c r="K740" s="200">
        <v>21410</v>
      </c>
      <c r="L740" s="550">
        <v>7750</v>
      </c>
      <c r="M740" s="205">
        <f>L740*K740</f>
        <v>165927500</v>
      </c>
      <c r="N740" s="214">
        <v>39</v>
      </c>
      <c r="O740" s="554">
        <f t="shared" si="147"/>
        <v>548.97435897435901</v>
      </c>
      <c r="P740" s="548">
        <f t="shared" si="145"/>
        <v>4254551.282051282</v>
      </c>
    </row>
    <row r="741" spans="1:16" ht="12.75">
      <c r="A741" s="199" t="s">
        <v>4048</v>
      </c>
      <c r="B741" s="200" t="s">
        <v>3531</v>
      </c>
      <c r="C741" s="200" t="str">
        <f>VLOOKUP(B741,Fincas!$A$2:$C$1005,2,0)</f>
        <v>F_El Boton</v>
      </c>
      <c r="D741" s="201">
        <v>44816</v>
      </c>
      <c r="E741" s="267" t="str">
        <f t="shared" si="144"/>
        <v>septiembre</v>
      </c>
      <c r="F741" s="202">
        <v>44816</v>
      </c>
      <c r="G741" s="203">
        <v>44816</v>
      </c>
      <c r="H741" s="200" t="s">
        <v>4049</v>
      </c>
      <c r="I741" s="224">
        <v>7008146</v>
      </c>
      <c r="J741" s="234" t="str">
        <f t="shared" si="146"/>
        <v>Res macho ceba</v>
      </c>
      <c r="K741" s="200">
        <v>19365</v>
      </c>
      <c r="L741" s="550">
        <f t="shared" ref="L741:L742" si="152">M741/K741</f>
        <v>7825.818538600568</v>
      </c>
      <c r="M741" s="213">
        <v>151546976</v>
      </c>
      <c r="N741" s="214">
        <v>64</v>
      </c>
      <c r="O741" s="554">
        <f t="shared" si="147"/>
        <v>302.578125</v>
      </c>
      <c r="P741" s="548">
        <f t="shared" si="145"/>
        <v>2367921.5</v>
      </c>
    </row>
    <row r="742" spans="1:16" ht="12.75">
      <c r="A742" s="199" t="s">
        <v>4050</v>
      </c>
      <c r="B742" s="200" t="s">
        <v>3449</v>
      </c>
      <c r="C742" s="200" t="str">
        <f>VLOOKUP(B742,Fincas!$A$2:$C$1005,2,0)</f>
        <v>F_La Estrella</v>
      </c>
      <c r="D742" s="201">
        <v>44812</v>
      </c>
      <c r="E742" s="267" t="str">
        <f t="shared" si="144"/>
        <v>septiembre</v>
      </c>
      <c r="F742" s="202">
        <v>44813</v>
      </c>
      <c r="G742" s="203">
        <v>44816</v>
      </c>
      <c r="H742" s="200" t="s">
        <v>4051</v>
      </c>
      <c r="I742" s="212">
        <v>7008147</v>
      </c>
      <c r="J742" s="212" t="str">
        <f t="shared" si="146"/>
        <v>Res macho levante</v>
      </c>
      <c r="K742" s="200">
        <v>5524</v>
      </c>
      <c r="L742" s="550">
        <f t="shared" si="152"/>
        <v>8492.25</v>
      </c>
      <c r="M742" s="213">
        <v>46911189</v>
      </c>
      <c r="N742" s="214">
        <v>24</v>
      </c>
      <c r="O742" s="554">
        <f t="shared" si="147"/>
        <v>230.16666666666666</v>
      </c>
      <c r="P742" s="548">
        <f t="shared" si="145"/>
        <v>1954632.875</v>
      </c>
    </row>
    <row r="743" spans="1:16" ht="12.75">
      <c r="A743" s="199" t="s">
        <v>3463</v>
      </c>
      <c r="B743" s="200" t="s">
        <v>3919</v>
      </c>
      <c r="C743" s="200" t="str">
        <f>VLOOKUP(B743,Fincas!$A$2:$C$1005,2,0)</f>
        <v>A_Rancho Apache</v>
      </c>
      <c r="D743" s="201">
        <v>44809</v>
      </c>
      <c r="E743" s="267" t="str">
        <f t="shared" si="144"/>
        <v>septiembre</v>
      </c>
      <c r="F743" s="202">
        <v>44815</v>
      </c>
      <c r="G743" s="203">
        <v>44817</v>
      </c>
      <c r="H743" s="200" t="s">
        <v>4052</v>
      </c>
      <c r="I743" s="212">
        <v>7008147</v>
      </c>
      <c r="J743" s="212" t="str">
        <f t="shared" si="146"/>
        <v>Res macho levante</v>
      </c>
      <c r="K743" s="200">
        <v>10384</v>
      </c>
      <c r="L743" s="550">
        <v>8850</v>
      </c>
      <c r="M743" s="205">
        <f>L743*K743</f>
        <v>91898400</v>
      </c>
      <c r="N743" s="214">
        <v>44</v>
      </c>
      <c r="O743" s="554">
        <f t="shared" si="147"/>
        <v>236</v>
      </c>
      <c r="P743" s="548">
        <f t="shared" si="145"/>
        <v>2088600</v>
      </c>
    </row>
    <row r="744" spans="1:16" ht="12.75">
      <c r="A744" s="199" t="s">
        <v>3454</v>
      </c>
      <c r="B744" s="200" t="s">
        <v>3658</v>
      </c>
      <c r="C744" s="200" t="str">
        <f>VLOOKUP(B744,Fincas!$A$2:$C$1005,2,0)</f>
        <v>F_El Rosario</v>
      </c>
      <c r="D744" s="201">
        <v>44813</v>
      </c>
      <c r="E744" s="267" t="str">
        <f t="shared" si="144"/>
        <v>septiembre</v>
      </c>
      <c r="F744" s="202">
        <v>44813</v>
      </c>
      <c r="G744" s="203">
        <v>44818</v>
      </c>
      <c r="H744" s="200">
        <v>8354</v>
      </c>
      <c r="I744" s="224">
        <v>7008146</v>
      </c>
      <c r="J744" s="234" t="str">
        <f t="shared" si="146"/>
        <v>Res macho ceba</v>
      </c>
      <c r="K744" s="200">
        <v>11548</v>
      </c>
      <c r="L744" s="550">
        <v>7738</v>
      </c>
      <c r="M744" s="213">
        <v>89355306</v>
      </c>
      <c r="N744" s="214">
        <v>38</v>
      </c>
      <c r="O744" s="554">
        <f t="shared" si="147"/>
        <v>303.89473684210526</v>
      </c>
      <c r="P744" s="548">
        <f t="shared" si="145"/>
        <v>2351455.4210526315</v>
      </c>
    </row>
    <row r="745" spans="1:16" ht="12.75">
      <c r="A745" s="199" t="s">
        <v>4053</v>
      </c>
      <c r="B745" s="200" t="s">
        <v>3531</v>
      </c>
      <c r="C745" s="200" t="str">
        <f>VLOOKUP(B745,Fincas!$A$2:$C$1005,2,0)</f>
        <v>F_El Boton</v>
      </c>
      <c r="D745" s="201">
        <v>44818</v>
      </c>
      <c r="E745" s="267" t="str">
        <f t="shared" si="144"/>
        <v>septiembre</v>
      </c>
      <c r="F745" s="202">
        <v>44818</v>
      </c>
      <c r="G745" s="203">
        <v>44818</v>
      </c>
      <c r="H745" s="200" t="s">
        <v>4054</v>
      </c>
      <c r="I745" s="224">
        <v>7008146</v>
      </c>
      <c r="J745" s="234" t="str">
        <f t="shared" si="146"/>
        <v>Res macho ceba</v>
      </c>
      <c r="K745" s="200">
        <v>7944</v>
      </c>
      <c r="L745" s="550">
        <v>8000</v>
      </c>
      <c r="M745" s="205">
        <f t="shared" ref="M745:M759" si="153">L745*K745</f>
        <v>63552000</v>
      </c>
      <c r="N745" s="214">
        <v>22</v>
      </c>
      <c r="O745" s="554">
        <f t="shared" si="147"/>
        <v>361.09090909090907</v>
      </c>
      <c r="P745" s="548">
        <f t="shared" si="145"/>
        <v>2888727.2727272729</v>
      </c>
    </row>
    <row r="746" spans="1:16" ht="12.75">
      <c r="A746" s="199" t="s">
        <v>2311</v>
      </c>
      <c r="B746" s="200" t="s">
        <v>3919</v>
      </c>
      <c r="C746" s="200" t="str">
        <f>VLOOKUP(B746,Fincas!$A$2:$C$1005,2,0)</f>
        <v>A_Rancho Apache</v>
      </c>
      <c r="D746" s="201">
        <v>44817</v>
      </c>
      <c r="E746" s="267" t="str">
        <f t="shared" si="144"/>
        <v>septiembre</v>
      </c>
      <c r="F746" s="202">
        <v>44814</v>
      </c>
      <c r="G746" s="203">
        <v>44818</v>
      </c>
      <c r="H746" s="200" t="s">
        <v>4055</v>
      </c>
      <c r="I746" s="212">
        <v>7008147</v>
      </c>
      <c r="J746" s="212" t="str">
        <f t="shared" si="146"/>
        <v>Res macho levante</v>
      </c>
      <c r="K746" s="200">
        <v>5677</v>
      </c>
      <c r="L746" s="550">
        <v>8150</v>
      </c>
      <c r="M746" s="205">
        <f t="shared" si="153"/>
        <v>46267550</v>
      </c>
      <c r="N746" s="214">
        <v>22</v>
      </c>
      <c r="O746" s="554">
        <f t="shared" si="147"/>
        <v>258.04545454545456</v>
      </c>
      <c r="P746" s="548">
        <f t="shared" si="145"/>
        <v>2103070.4545454546</v>
      </c>
    </row>
    <row r="747" spans="1:16" ht="12.75">
      <c r="A747" s="199" t="s">
        <v>2311</v>
      </c>
      <c r="B747" s="200" t="s">
        <v>3551</v>
      </c>
      <c r="C747" s="200" t="str">
        <f>VLOOKUP(B747,Fincas!$A$2:$C$1005,2,0)</f>
        <v>F_La Castellana</v>
      </c>
      <c r="D747" s="201">
        <v>44817</v>
      </c>
      <c r="E747" s="267" t="str">
        <f t="shared" si="144"/>
        <v>septiembre</v>
      </c>
      <c r="F747" s="202">
        <v>44814</v>
      </c>
      <c r="G747" s="203">
        <v>44818</v>
      </c>
      <c r="H747" s="200" t="s">
        <v>4056</v>
      </c>
      <c r="I747" s="212">
        <v>7008147</v>
      </c>
      <c r="J747" s="212" t="str">
        <f t="shared" si="146"/>
        <v>Res macho levante</v>
      </c>
      <c r="K747" s="200">
        <v>5566</v>
      </c>
      <c r="L747" s="550">
        <v>7850</v>
      </c>
      <c r="M747" s="205">
        <f t="shared" si="153"/>
        <v>43693100</v>
      </c>
      <c r="N747" s="214">
        <v>20</v>
      </c>
      <c r="O747" s="554">
        <f t="shared" si="147"/>
        <v>278.3</v>
      </c>
      <c r="P747" s="548">
        <f t="shared" si="145"/>
        <v>2184655</v>
      </c>
    </row>
    <row r="748" spans="1:16" ht="12.75">
      <c r="A748" s="199" t="s">
        <v>4057</v>
      </c>
      <c r="B748" s="200" t="s">
        <v>3442</v>
      </c>
      <c r="C748" s="200" t="str">
        <f>VLOOKUP(B748,Fincas!$A$2:$C$1005,2,0)</f>
        <v>F_El Diamante</v>
      </c>
      <c r="D748" s="201">
        <v>44818</v>
      </c>
      <c r="E748" s="267" t="str">
        <f t="shared" si="144"/>
        <v>septiembre</v>
      </c>
      <c r="F748" s="202">
        <v>44818</v>
      </c>
      <c r="G748" s="203">
        <v>44818</v>
      </c>
      <c r="H748" s="249" t="s">
        <v>4058</v>
      </c>
      <c r="I748" s="250">
        <v>7008459</v>
      </c>
      <c r="J748" s="556" t="str">
        <f t="shared" si="146"/>
        <v>Res macho Cría</v>
      </c>
      <c r="K748" s="200">
        <v>2867</v>
      </c>
      <c r="L748" s="550">
        <v>13528</v>
      </c>
      <c r="M748" s="205">
        <f t="shared" si="153"/>
        <v>38784776</v>
      </c>
      <c r="N748" s="214">
        <v>31</v>
      </c>
      <c r="O748" s="554">
        <f t="shared" si="147"/>
        <v>92.483870967741936</v>
      </c>
      <c r="P748" s="548">
        <f t="shared" si="145"/>
        <v>1251121.8064516129</v>
      </c>
    </row>
    <row r="749" spans="1:16" ht="12.75">
      <c r="A749" s="199" t="s">
        <v>3463</v>
      </c>
      <c r="B749" s="200" t="s">
        <v>3919</v>
      </c>
      <c r="C749" s="200" t="str">
        <f>VLOOKUP(B749,Fincas!$A$2:$C$1005,2,0)</f>
        <v>A_Rancho Apache</v>
      </c>
      <c r="D749" s="201">
        <v>44819</v>
      </c>
      <c r="E749" s="267" t="str">
        <f t="shared" si="144"/>
        <v>septiembre</v>
      </c>
      <c r="F749" s="202">
        <v>44821</v>
      </c>
      <c r="G749" s="203">
        <v>44824</v>
      </c>
      <c r="H749" s="200" t="s">
        <v>4059</v>
      </c>
      <c r="I749" s="212">
        <v>7008147</v>
      </c>
      <c r="J749" s="212" t="str">
        <f t="shared" si="146"/>
        <v>Res macho levante</v>
      </c>
      <c r="K749" s="200">
        <v>21375</v>
      </c>
      <c r="L749" s="550">
        <v>8900</v>
      </c>
      <c r="M749" s="205">
        <f t="shared" si="153"/>
        <v>190237500</v>
      </c>
      <c r="N749" s="214">
        <v>95</v>
      </c>
      <c r="O749" s="554">
        <f t="shared" si="147"/>
        <v>225</v>
      </c>
      <c r="P749" s="548">
        <f t="shared" si="145"/>
        <v>2002500</v>
      </c>
    </row>
    <row r="750" spans="1:16" ht="12.75">
      <c r="A750" s="199" t="s">
        <v>3426</v>
      </c>
      <c r="B750" s="200" t="s">
        <v>3732</v>
      </c>
      <c r="C750" s="200" t="str">
        <f>VLOOKUP(B750,Fincas!$A$2:$C$1005,2,0)</f>
        <v>F_El Milagro</v>
      </c>
      <c r="D750" s="201">
        <v>44818</v>
      </c>
      <c r="E750" s="267" t="str">
        <f t="shared" si="144"/>
        <v>septiembre</v>
      </c>
      <c r="F750" s="202">
        <v>44818</v>
      </c>
      <c r="G750" s="203">
        <v>44824</v>
      </c>
      <c r="H750" s="251" t="s">
        <v>4060</v>
      </c>
      <c r="I750" s="252">
        <v>7008151</v>
      </c>
      <c r="J750" s="557" t="str">
        <f t="shared" si="146"/>
        <v>Res novilla ceba</v>
      </c>
      <c r="K750" s="200">
        <v>6300</v>
      </c>
      <c r="L750" s="550">
        <v>7450</v>
      </c>
      <c r="M750" s="205">
        <f t="shared" si="153"/>
        <v>46935000</v>
      </c>
      <c r="N750" s="214">
        <v>30</v>
      </c>
      <c r="O750" s="554">
        <f t="shared" si="147"/>
        <v>210</v>
      </c>
      <c r="P750" s="548">
        <f t="shared" si="145"/>
        <v>1564500</v>
      </c>
    </row>
    <row r="751" spans="1:16" ht="12.75">
      <c r="A751" s="199" t="s">
        <v>3448</v>
      </c>
      <c r="B751" s="200" t="s">
        <v>3449</v>
      </c>
      <c r="C751" s="200" t="str">
        <f>VLOOKUP(B751,Fincas!$A$2:$C$1005,2,0)</f>
        <v>F_La Estrella</v>
      </c>
      <c r="D751" s="201">
        <v>44820</v>
      </c>
      <c r="E751" s="267" t="str">
        <f t="shared" si="144"/>
        <v>septiembre</v>
      </c>
      <c r="F751" s="202">
        <v>44819</v>
      </c>
      <c r="G751" s="203">
        <v>44825</v>
      </c>
      <c r="H751" s="200" t="s">
        <v>4061</v>
      </c>
      <c r="I751" s="212">
        <v>7008147</v>
      </c>
      <c r="J751" s="212" t="str">
        <f t="shared" si="146"/>
        <v>Res macho levante</v>
      </c>
      <c r="K751" s="200">
        <v>4907</v>
      </c>
      <c r="L751" s="550">
        <v>9150</v>
      </c>
      <c r="M751" s="205">
        <f t="shared" si="153"/>
        <v>44899050</v>
      </c>
      <c r="N751" s="214">
        <v>23</v>
      </c>
      <c r="O751" s="554">
        <f t="shared" si="147"/>
        <v>213.34782608695653</v>
      </c>
      <c r="P751" s="548">
        <f t="shared" si="145"/>
        <v>1952132.6086956521</v>
      </c>
    </row>
    <row r="752" spans="1:16" ht="12.75">
      <c r="A752" s="199" t="s">
        <v>4062</v>
      </c>
      <c r="B752" s="200" t="s">
        <v>4007</v>
      </c>
      <c r="C752" s="200" t="str">
        <f>VLOOKUP(B752,Fincas!$A$2:$C$1005,2,0)</f>
        <v>F_Santa Ines</v>
      </c>
      <c r="D752" s="201">
        <v>44820</v>
      </c>
      <c r="E752" s="267" t="str">
        <f t="shared" si="144"/>
        <v>septiembre</v>
      </c>
      <c r="F752" s="202">
        <v>44820</v>
      </c>
      <c r="G752" s="203">
        <v>44825</v>
      </c>
      <c r="H752" s="200" t="s">
        <v>4063</v>
      </c>
      <c r="I752" s="224">
        <v>7008146</v>
      </c>
      <c r="J752" s="234" t="str">
        <f t="shared" si="146"/>
        <v>Res macho ceba</v>
      </c>
      <c r="K752" s="200">
        <v>36458</v>
      </c>
      <c r="L752" s="550">
        <v>7800</v>
      </c>
      <c r="M752" s="205">
        <f t="shared" si="153"/>
        <v>284372400</v>
      </c>
      <c r="N752" s="214">
        <v>120</v>
      </c>
      <c r="O752" s="554">
        <f t="shared" si="147"/>
        <v>303.81666666666666</v>
      </c>
      <c r="P752" s="548">
        <f t="shared" si="145"/>
        <v>2369770</v>
      </c>
    </row>
    <row r="753" spans="1:16" ht="12.75">
      <c r="A753" s="199" t="s">
        <v>4062</v>
      </c>
      <c r="B753" s="200" t="s">
        <v>3915</v>
      </c>
      <c r="C753" s="200" t="str">
        <f>VLOOKUP(B753,Fincas!$A$2:$C$1005,2,0)</f>
        <v>F_Nuevo Porvenir</v>
      </c>
      <c r="D753" s="201">
        <v>44820</v>
      </c>
      <c r="E753" s="267" t="str">
        <f t="shared" si="144"/>
        <v>septiembre</v>
      </c>
      <c r="F753" s="202">
        <v>44824</v>
      </c>
      <c r="G753" s="203">
        <v>44825</v>
      </c>
      <c r="H753" s="200" t="s">
        <v>4064</v>
      </c>
      <c r="I753" s="224">
        <v>7008146</v>
      </c>
      <c r="J753" s="234" t="str">
        <f t="shared" si="146"/>
        <v>Res macho ceba</v>
      </c>
      <c r="K753" s="200">
        <v>29089</v>
      </c>
      <c r="L753" s="550">
        <v>7800</v>
      </c>
      <c r="M753" s="205">
        <f t="shared" si="153"/>
        <v>226894200</v>
      </c>
      <c r="N753" s="214">
        <v>90</v>
      </c>
      <c r="O753" s="554">
        <f t="shared" si="147"/>
        <v>323.21111111111111</v>
      </c>
      <c r="P753" s="548">
        <f t="shared" si="145"/>
        <v>2521046.6666666665</v>
      </c>
    </row>
    <row r="754" spans="1:16" ht="12.75">
      <c r="A754" s="199" t="s">
        <v>3448</v>
      </c>
      <c r="B754" s="200" t="s">
        <v>3449</v>
      </c>
      <c r="C754" s="200" t="str">
        <f>VLOOKUP(B754,Fincas!$A$2:$C$1005,2,0)</f>
        <v>F_La Estrella</v>
      </c>
      <c r="D754" s="201">
        <v>44825</v>
      </c>
      <c r="E754" s="267" t="str">
        <f t="shared" si="144"/>
        <v>septiembre</v>
      </c>
      <c r="F754" s="202">
        <v>44825</v>
      </c>
      <c r="G754" s="203">
        <v>44826</v>
      </c>
      <c r="H754" s="200" t="s">
        <v>3599</v>
      </c>
      <c r="I754" s="224">
        <v>7008146</v>
      </c>
      <c r="J754" s="234" t="str">
        <f t="shared" si="146"/>
        <v>Res macho ceba</v>
      </c>
      <c r="K754" s="200">
        <v>36062</v>
      </c>
      <c r="L754" s="550">
        <v>7900</v>
      </c>
      <c r="M754" s="205">
        <f t="shared" si="153"/>
        <v>284889800</v>
      </c>
      <c r="N754" s="214">
        <v>97</v>
      </c>
      <c r="O754" s="554">
        <f t="shared" si="147"/>
        <v>371.77319587628864</v>
      </c>
      <c r="P754" s="548">
        <f t="shared" si="145"/>
        <v>2937008.2474226803</v>
      </c>
    </row>
    <row r="755" spans="1:16" ht="12.75">
      <c r="A755" s="199" t="s">
        <v>3670</v>
      </c>
      <c r="B755" s="200" t="s">
        <v>3449</v>
      </c>
      <c r="C755" s="200" t="str">
        <f>VLOOKUP(B755,Fincas!$A$2:$C$1005,2,0)</f>
        <v>F_La Estrella</v>
      </c>
      <c r="D755" s="201">
        <v>44824</v>
      </c>
      <c r="E755" s="267" t="str">
        <f t="shared" si="144"/>
        <v>septiembre</v>
      </c>
      <c r="F755" s="202">
        <v>44825</v>
      </c>
      <c r="G755" s="203">
        <v>44826</v>
      </c>
      <c r="H755" s="244" t="s">
        <v>4065</v>
      </c>
      <c r="I755" s="212">
        <v>7008147</v>
      </c>
      <c r="J755" s="212" t="str">
        <f t="shared" si="146"/>
        <v>Res macho levante</v>
      </c>
      <c r="K755" s="200">
        <v>5143</v>
      </c>
      <c r="L755" s="550">
        <v>8900</v>
      </c>
      <c r="M755" s="205">
        <f t="shared" si="153"/>
        <v>45772700</v>
      </c>
      <c r="N755" s="214">
        <v>26</v>
      </c>
      <c r="O755" s="554">
        <f t="shared" si="147"/>
        <v>197.80769230769232</v>
      </c>
      <c r="P755" s="548">
        <f t="shared" si="145"/>
        <v>1760488.4615384615</v>
      </c>
    </row>
    <row r="756" spans="1:16" ht="12.75">
      <c r="A756" s="199" t="s">
        <v>3463</v>
      </c>
      <c r="B756" s="200" t="s">
        <v>3464</v>
      </c>
      <c r="C756" s="200" t="str">
        <f>VLOOKUP(B756,Fincas!$A$2:$C$1005,2,0)</f>
        <v>F_Texas Araujo</v>
      </c>
      <c r="D756" s="201">
        <v>44823</v>
      </c>
      <c r="E756" s="267" t="str">
        <f t="shared" si="144"/>
        <v>septiembre</v>
      </c>
      <c r="F756" s="202">
        <v>44826</v>
      </c>
      <c r="G756" s="203">
        <v>44830</v>
      </c>
      <c r="H756" s="200" t="s">
        <v>4066</v>
      </c>
      <c r="I756" s="224">
        <v>7008146</v>
      </c>
      <c r="J756" s="234" t="str">
        <f t="shared" si="146"/>
        <v>Res macho ceba</v>
      </c>
      <c r="K756" s="200">
        <v>12440</v>
      </c>
      <c r="L756" s="550">
        <v>8700</v>
      </c>
      <c r="M756" s="205">
        <f t="shared" si="153"/>
        <v>108228000</v>
      </c>
      <c r="N756" s="214">
        <v>40</v>
      </c>
      <c r="O756" s="554">
        <f t="shared" si="147"/>
        <v>311</v>
      </c>
      <c r="P756" s="548">
        <f t="shared" si="145"/>
        <v>2705700</v>
      </c>
    </row>
    <row r="757" spans="1:16" ht="12.75">
      <c r="A757" s="199" t="s">
        <v>3771</v>
      </c>
      <c r="B757" s="200" t="s">
        <v>3598</v>
      </c>
      <c r="C757" s="200" t="str">
        <f>VLOOKUP(B757,Fincas!$A$2:$C$1005,2,0)</f>
        <v>F_El Prado</v>
      </c>
      <c r="D757" s="201">
        <v>44827</v>
      </c>
      <c r="E757" s="267" t="str">
        <f t="shared" si="144"/>
        <v>septiembre</v>
      </c>
      <c r="F757" s="202">
        <v>44827</v>
      </c>
      <c r="G757" s="203">
        <v>44831</v>
      </c>
      <c r="H757" s="200" t="s">
        <v>4067</v>
      </c>
      <c r="I757" s="224">
        <v>7008146</v>
      </c>
      <c r="J757" s="234" t="str">
        <f t="shared" si="146"/>
        <v>Res macho ceba</v>
      </c>
      <c r="K757" s="200">
        <v>29150</v>
      </c>
      <c r="L757" s="550">
        <v>8500</v>
      </c>
      <c r="M757" s="205">
        <f t="shared" si="153"/>
        <v>247775000</v>
      </c>
      <c r="N757" s="214">
        <v>100</v>
      </c>
      <c r="O757" s="554">
        <f t="shared" si="147"/>
        <v>291.5</v>
      </c>
      <c r="P757" s="548">
        <f t="shared" si="145"/>
        <v>2477750</v>
      </c>
    </row>
    <row r="758" spans="1:16" ht="12.75">
      <c r="A758" s="199" t="s">
        <v>3929</v>
      </c>
      <c r="B758" s="200" t="s">
        <v>3489</v>
      </c>
      <c r="C758" s="200" t="str">
        <f>VLOOKUP(B758,Fincas!$A$2:$C$1005,2,0)</f>
        <v>F_La Pradilla</v>
      </c>
      <c r="D758" s="201">
        <v>44830</v>
      </c>
      <c r="E758" s="267" t="str">
        <f t="shared" si="144"/>
        <v>septiembre</v>
      </c>
      <c r="F758" s="202">
        <v>44827</v>
      </c>
      <c r="G758" s="203">
        <v>44831</v>
      </c>
      <c r="H758" s="200" t="s">
        <v>4068</v>
      </c>
      <c r="I758" s="224">
        <v>7008146</v>
      </c>
      <c r="J758" s="234" t="str">
        <f t="shared" si="146"/>
        <v>Res macho ceba</v>
      </c>
      <c r="K758" s="200">
        <v>8678</v>
      </c>
      <c r="L758" s="550">
        <v>7885</v>
      </c>
      <c r="M758" s="205">
        <f t="shared" si="153"/>
        <v>68426030</v>
      </c>
      <c r="N758" s="214">
        <v>27</v>
      </c>
      <c r="O758" s="554">
        <f t="shared" si="147"/>
        <v>321.40740740740739</v>
      </c>
      <c r="P758" s="548">
        <f t="shared" si="145"/>
        <v>2534297.4074074072</v>
      </c>
    </row>
    <row r="759" spans="1:16" ht="12.75">
      <c r="A759" s="199" t="s">
        <v>3426</v>
      </c>
      <c r="B759" s="200" t="s">
        <v>4069</v>
      </c>
      <c r="C759" s="200" t="str">
        <f>VLOOKUP(B759,Fincas!$A$2:$C$1005,2,0)</f>
        <v>F_Villa Chola</v>
      </c>
      <c r="D759" s="201">
        <v>44819</v>
      </c>
      <c r="E759" s="267" t="str">
        <f t="shared" si="144"/>
        <v>septiembre</v>
      </c>
      <c r="F759" s="202">
        <v>44820</v>
      </c>
      <c r="G759" s="203">
        <v>44831</v>
      </c>
      <c r="H759" s="200" t="s">
        <v>4070</v>
      </c>
      <c r="I759" s="212">
        <v>7008147</v>
      </c>
      <c r="J759" s="212" t="str">
        <f t="shared" si="146"/>
        <v>Res macho levante</v>
      </c>
      <c r="K759" s="200">
        <v>11628</v>
      </c>
      <c r="L759" s="550">
        <v>7740</v>
      </c>
      <c r="M759" s="205">
        <f t="shared" si="153"/>
        <v>90000720</v>
      </c>
      <c r="N759" s="214">
        <v>43</v>
      </c>
      <c r="O759" s="554">
        <f t="shared" si="147"/>
        <v>270.41860465116281</v>
      </c>
      <c r="P759" s="548">
        <f t="shared" si="145"/>
        <v>2093040</v>
      </c>
    </row>
    <row r="760" spans="1:16" ht="12.75">
      <c r="A760" s="199" t="s">
        <v>1419</v>
      </c>
      <c r="B760" s="200" t="s">
        <v>4034</v>
      </c>
      <c r="C760" s="200" t="str">
        <f>VLOOKUP(B760,Fincas!$A$2:$C$1005,2,0)</f>
        <v>El Encanto</v>
      </c>
      <c r="D760" s="201">
        <v>44826</v>
      </c>
      <c r="E760" s="267" t="str">
        <f t="shared" si="144"/>
        <v>septiembre</v>
      </c>
      <c r="F760" s="202">
        <v>44828</v>
      </c>
      <c r="G760" s="203">
        <v>44832</v>
      </c>
      <c r="H760" s="200" t="s">
        <v>4071</v>
      </c>
      <c r="I760" s="224">
        <v>7008146</v>
      </c>
      <c r="J760" s="234" t="str">
        <f t="shared" si="146"/>
        <v>Res macho ceba</v>
      </c>
      <c r="K760" s="200">
        <v>2822</v>
      </c>
      <c r="L760" s="550">
        <f t="shared" ref="L760:L762" si="154">M760/K760</f>
        <v>7702.5513819985827</v>
      </c>
      <c r="M760" s="213">
        <v>21736600</v>
      </c>
      <c r="N760" s="214">
        <v>6</v>
      </c>
      <c r="O760" s="554">
        <f t="shared" si="147"/>
        <v>470.33333333333331</v>
      </c>
      <c r="P760" s="548">
        <f t="shared" si="145"/>
        <v>3622766.6666666665</v>
      </c>
    </row>
    <row r="761" spans="1:16" ht="12.75">
      <c r="A761" s="199" t="s">
        <v>1419</v>
      </c>
      <c r="B761" s="200" t="s">
        <v>4034</v>
      </c>
      <c r="C761" s="200" t="str">
        <f>VLOOKUP(B761,Fincas!$A$2:$C$1005,2,0)</f>
        <v>El Encanto</v>
      </c>
      <c r="D761" s="201">
        <v>44826</v>
      </c>
      <c r="E761" s="267" t="str">
        <f t="shared" si="144"/>
        <v>septiembre</v>
      </c>
      <c r="F761" s="202">
        <v>44828</v>
      </c>
      <c r="G761" s="203">
        <v>44832</v>
      </c>
      <c r="H761" s="200" t="s">
        <v>4072</v>
      </c>
      <c r="I761" s="224">
        <v>7008146</v>
      </c>
      <c r="J761" s="234" t="str">
        <f t="shared" si="146"/>
        <v>Res macho ceba</v>
      </c>
      <c r="K761" s="200">
        <v>6510</v>
      </c>
      <c r="L761" s="550">
        <f t="shared" si="154"/>
        <v>8052.764976958525</v>
      </c>
      <c r="M761" s="213">
        <v>52423500</v>
      </c>
      <c r="N761" s="214">
        <v>15</v>
      </c>
      <c r="O761" s="554">
        <f t="shared" si="147"/>
        <v>434</v>
      </c>
      <c r="P761" s="548">
        <f t="shared" si="145"/>
        <v>3494900</v>
      </c>
    </row>
    <row r="762" spans="1:16" ht="12.75">
      <c r="A762" s="199" t="s">
        <v>3511</v>
      </c>
      <c r="B762" s="200" t="s">
        <v>3449</v>
      </c>
      <c r="C762" s="200" t="str">
        <f>VLOOKUP(B762,Fincas!$A$2:$C$1005,2,0)</f>
        <v>F_La Estrella</v>
      </c>
      <c r="D762" s="201">
        <v>44826</v>
      </c>
      <c r="E762" s="267" t="str">
        <f t="shared" si="144"/>
        <v>septiembre</v>
      </c>
      <c r="F762" s="202">
        <v>44827</v>
      </c>
      <c r="G762" s="203">
        <v>44832</v>
      </c>
      <c r="H762" s="200" t="s">
        <v>4073</v>
      </c>
      <c r="I762" s="212">
        <v>7008147</v>
      </c>
      <c r="J762" s="212" t="str">
        <f t="shared" si="146"/>
        <v>Res macho levante</v>
      </c>
      <c r="K762" s="200">
        <v>2802</v>
      </c>
      <c r="L762" s="550">
        <f t="shared" si="154"/>
        <v>9039.971448965025</v>
      </c>
      <c r="M762" s="213">
        <v>25330000</v>
      </c>
      <c r="N762" s="214">
        <v>17</v>
      </c>
      <c r="O762" s="554">
        <f t="shared" si="147"/>
        <v>164.8235294117647</v>
      </c>
      <c r="P762" s="548">
        <f t="shared" si="145"/>
        <v>1490000</v>
      </c>
    </row>
    <row r="763" spans="1:16" ht="12.75">
      <c r="A763" s="199" t="s">
        <v>3511</v>
      </c>
      <c r="B763" s="200" t="s">
        <v>3493</v>
      </c>
      <c r="C763" s="200" t="str">
        <f>VLOOKUP(B763,Fincas!$A$2:$C$1005,2,0)</f>
        <v>F_Las Camelias</v>
      </c>
      <c r="D763" s="201">
        <v>44826</v>
      </c>
      <c r="E763" s="267" t="str">
        <f t="shared" si="144"/>
        <v>septiembre</v>
      </c>
      <c r="F763" s="202">
        <v>44827</v>
      </c>
      <c r="G763" s="203">
        <v>44832</v>
      </c>
      <c r="H763" s="200" t="s">
        <v>4074</v>
      </c>
      <c r="I763" s="224">
        <v>7008146</v>
      </c>
      <c r="J763" s="234" t="str">
        <f t="shared" si="146"/>
        <v>Res macho ceba</v>
      </c>
      <c r="K763" s="200">
        <v>5729</v>
      </c>
      <c r="L763" s="550">
        <v>8100</v>
      </c>
      <c r="M763" s="205">
        <f t="shared" ref="M763:M764" si="155">L763*K763</f>
        <v>46404900</v>
      </c>
      <c r="N763" s="214">
        <v>22</v>
      </c>
      <c r="O763" s="554">
        <f t="shared" si="147"/>
        <v>260.40909090909093</v>
      </c>
      <c r="P763" s="548">
        <f t="shared" si="145"/>
        <v>2109313.6363636362</v>
      </c>
    </row>
    <row r="764" spans="1:16" ht="12.75">
      <c r="A764" s="199" t="s">
        <v>3511</v>
      </c>
      <c r="B764" s="200" t="s">
        <v>3825</v>
      </c>
      <c r="C764" s="200" t="str">
        <f>VLOOKUP(B764,Fincas!$A$2:$C$1005,2,0)</f>
        <v>F_Tulcan</v>
      </c>
      <c r="D764" s="201">
        <v>44826</v>
      </c>
      <c r="E764" s="267" t="str">
        <f t="shared" si="144"/>
        <v>septiembre</v>
      </c>
      <c r="F764" s="202">
        <v>44827</v>
      </c>
      <c r="G764" s="203">
        <v>44832</v>
      </c>
      <c r="H764" s="200" t="s">
        <v>4075</v>
      </c>
      <c r="I764" s="224">
        <v>7008146</v>
      </c>
      <c r="J764" s="234" t="str">
        <f t="shared" si="146"/>
        <v>Res macho ceba</v>
      </c>
      <c r="K764" s="200">
        <v>4044</v>
      </c>
      <c r="L764" s="550">
        <v>7800</v>
      </c>
      <c r="M764" s="205">
        <f t="shared" si="155"/>
        <v>31543200</v>
      </c>
      <c r="N764" s="214">
        <v>13</v>
      </c>
      <c r="O764" s="554">
        <f t="shared" si="147"/>
        <v>311.07692307692309</v>
      </c>
      <c r="P764" s="548">
        <f t="shared" si="145"/>
        <v>2426400</v>
      </c>
    </row>
    <row r="765" spans="1:16" ht="12.75">
      <c r="A765" s="199" t="s">
        <v>1419</v>
      </c>
      <c r="B765" s="200" t="s">
        <v>3434</v>
      </c>
      <c r="C765" s="200" t="str">
        <f>VLOOKUP(B765,Fincas!$A$2:$C$1005,2,0)</f>
        <v>F_Yacare</v>
      </c>
      <c r="D765" s="201">
        <v>44826</v>
      </c>
      <c r="E765" s="267" t="str">
        <f t="shared" si="144"/>
        <v>septiembre</v>
      </c>
      <c r="F765" s="202">
        <v>44827</v>
      </c>
      <c r="G765" s="203">
        <v>44832</v>
      </c>
      <c r="H765" s="200" t="s">
        <v>4076</v>
      </c>
      <c r="I765" s="224">
        <v>7008146</v>
      </c>
      <c r="J765" s="234" t="str">
        <f t="shared" si="146"/>
        <v>Res macho ceba</v>
      </c>
      <c r="K765" s="200">
        <v>3184</v>
      </c>
      <c r="L765" s="550">
        <f t="shared" ref="L765:L766" si="156">M765/K765</f>
        <v>7753.0150753768849</v>
      </c>
      <c r="M765" s="213">
        <v>24685600</v>
      </c>
      <c r="N765" s="214">
        <v>8</v>
      </c>
      <c r="O765" s="554">
        <f t="shared" si="147"/>
        <v>398</v>
      </c>
      <c r="P765" s="548">
        <f t="shared" si="145"/>
        <v>3085700</v>
      </c>
    </row>
    <row r="766" spans="1:16" ht="12.75">
      <c r="A766" s="199" t="s">
        <v>1419</v>
      </c>
      <c r="B766" s="200" t="s">
        <v>3434</v>
      </c>
      <c r="C766" s="200" t="str">
        <f>VLOOKUP(B766,Fincas!$A$2:$C$1005,2,0)</f>
        <v>F_Yacare</v>
      </c>
      <c r="D766" s="201">
        <v>44826</v>
      </c>
      <c r="E766" s="267" t="str">
        <f t="shared" si="144"/>
        <v>septiembre</v>
      </c>
      <c r="F766" s="202">
        <v>44827</v>
      </c>
      <c r="G766" s="203">
        <v>44832</v>
      </c>
      <c r="H766" s="200" t="s">
        <v>4077</v>
      </c>
      <c r="I766" s="224">
        <v>7008146</v>
      </c>
      <c r="J766" s="234" t="str">
        <f t="shared" si="146"/>
        <v>Res macho ceba</v>
      </c>
      <c r="K766" s="200">
        <v>2684</v>
      </c>
      <c r="L766" s="550">
        <f t="shared" si="156"/>
        <v>7753.129657228018</v>
      </c>
      <c r="M766" s="213">
        <v>20809400</v>
      </c>
      <c r="N766" s="214">
        <v>7</v>
      </c>
      <c r="O766" s="554">
        <f t="shared" si="147"/>
        <v>383.42857142857144</v>
      </c>
      <c r="P766" s="548">
        <f t="shared" si="145"/>
        <v>2972771.4285714286</v>
      </c>
    </row>
    <row r="767" spans="1:16" ht="12.75">
      <c r="A767" s="199" t="s">
        <v>3511</v>
      </c>
      <c r="B767" s="200" t="s">
        <v>3551</v>
      </c>
      <c r="C767" s="200" t="str">
        <f>VLOOKUP(B767,Fincas!$A$2:$C$1005,2,0)</f>
        <v>F_La Castellana</v>
      </c>
      <c r="D767" s="201">
        <v>44826</v>
      </c>
      <c r="E767" s="267" t="str">
        <f t="shared" si="144"/>
        <v>septiembre</v>
      </c>
      <c r="F767" s="202">
        <v>44827</v>
      </c>
      <c r="G767" s="203">
        <v>44833</v>
      </c>
      <c r="H767" s="200">
        <v>9010</v>
      </c>
      <c r="I767" s="212">
        <v>7008147</v>
      </c>
      <c r="J767" s="212" t="str">
        <f t="shared" si="146"/>
        <v>Res macho levante</v>
      </c>
      <c r="K767" s="200">
        <v>610</v>
      </c>
      <c r="L767" s="550">
        <v>8250</v>
      </c>
      <c r="M767" s="205">
        <f t="shared" ref="M767:M774" si="157">L767*K767</f>
        <v>5032500</v>
      </c>
      <c r="N767" s="214">
        <v>3</v>
      </c>
      <c r="O767" s="554">
        <f t="shared" si="147"/>
        <v>203.33333333333334</v>
      </c>
      <c r="P767" s="548">
        <f t="shared" si="145"/>
        <v>1677500</v>
      </c>
    </row>
    <row r="768" spans="1:16" ht="12.75">
      <c r="A768" s="199" t="s">
        <v>3511</v>
      </c>
      <c r="B768" s="200" t="s">
        <v>3551</v>
      </c>
      <c r="C768" s="200" t="str">
        <f>VLOOKUP(B768,Fincas!$A$2:$C$1005,2,0)</f>
        <v>F_La Castellana</v>
      </c>
      <c r="D768" s="201">
        <v>44826</v>
      </c>
      <c r="E768" s="267" t="str">
        <f t="shared" si="144"/>
        <v>septiembre</v>
      </c>
      <c r="F768" s="202">
        <v>44827</v>
      </c>
      <c r="G768" s="203">
        <v>44833</v>
      </c>
      <c r="H768" s="200">
        <v>9016</v>
      </c>
      <c r="I768" s="212">
        <v>7008147</v>
      </c>
      <c r="J768" s="212" t="str">
        <f t="shared" si="146"/>
        <v>Res macho levante</v>
      </c>
      <c r="K768" s="200">
        <v>1308</v>
      </c>
      <c r="L768" s="550">
        <v>7950</v>
      </c>
      <c r="M768" s="205">
        <f t="shared" si="157"/>
        <v>10398600</v>
      </c>
      <c r="N768" s="214">
        <v>6</v>
      </c>
      <c r="O768" s="554">
        <f t="shared" si="147"/>
        <v>218</v>
      </c>
      <c r="P768" s="548">
        <f t="shared" si="145"/>
        <v>1733100</v>
      </c>
    </row>
    <row r="769" spans="1:16" ht="12.75">
      <c r="A769" s="199" t="s">
        <v>3511</v>
      </c>
      <c r="B769" s="200" t="s">
        <v>3551</v>
      </c>
      <c r="C769" s="200" t="str">
        <f>VLOOKUP(B769,Fincas!$A$2:$C$1005,2,0)</f>
        <v>F_La Castellana</v>
      </c>
      <c r="D769" s="201">
        <v>44826</v>
      </c>
      <c r="E769" s="267" t="str">
        <f t="shared" si="144"/>
        <v>septiembre</v>
      </c>
      <c r="F769" s="202">
        <v>44827</v>
      </c>
      <c r="G769" s="203">
        <v>44833</v>
      </c>
      <c r="H769" s="200">
        <v>9018</v>
      </c>
      <c r="I769" s="212">
        <v>7008147</v>
      </c>
      <c r="J769" s="212" t="str">
        <f t="shared" si="146"/>
        <v>Res macho levante</v>
      </c>
      <c r="K769" s="200">
        <v>1095</v>
      </c>
      <c r="L769" s="550">
        <v>8150</v>
      </c>
      <c r="M769" s="205">
        <f t="shared" si="157"/>
        <v>8924250</v>
      </c>
      <c r="N769" s="214">
        <v>5</v>
      </c>
      <c r="O769" s="554">
        <f t="shared" si="147"/>
        <v>219</v>
      </c>
      <c r="P769" s="548">
        <f t="shared" si="145"/>
        <v>1784850</v>
      </c>
    </row>
    <row r="770" spans="1:16" ht="12.75">
      <c r="A770" s="199" t="s">
        <v>3511</v>
      </c>
      <c r="B770" s="200" t="s">
        <v>3551</v>
      </c>
      <c r="C770" s="200" t="str">
        <f>VLOOKUP(B770,Fincas!$A$2:$C$1005,2,0)</f>
        <v>F_La Castellana</v>
      </c>
      <c r="D770" s="201">
        <v>44826</v>
      </c>
      <c r="E770" s="267" t="str">
        <f t="shared" ref="E770:E833" si="158">+TEXT(D770,"mmmm")</f>
        <v>septiembre</v>
      </c>
      <c r="F770" s="202">
        <v>44827</v>
      </c>
      <c r="G770" s="203">
        <v>44833</v>
      </c>
      <c r="H770" s="200">
        <v>9052</v>
      </c>
      <c r="I770" s="212">
        <v>7008147</v>
      </c>
      <c r="J770" s="212" t="str">
        <f t="shared" si="146"/>
        <v>Res macho levante</v>
      </c>
      <c r="K770" s="200">
        <v>2565</v>
      </c>
      <c r="L770" s="550">
        <v>7900</v>
      </c>
      <c r="M770" s="205">
        <f t="shared" si="157"/>
        <v>20263500</v>
      </c>
      <c r="N770" s="214">
        <v>10</v>
      </c>
      <c r="O770" s="554">
        <f t="shared" si="147"/>
        <v>256.5</v>
      </c>
      <c r="P770" s="548">
        <f t="shared" ref="P770:P833" si="159">+M770/N770</f>
        <v>2026350</v>
      </c>
    </row>
    <row r="771" spans="1:16" ht="12.75">
      <c r="A771" s="199" t="s">
        <v>4057</v>
      </c>
      <c r="B771" s="200" t="s">
        <v>3754</v>
      </c>
      <c r="C771" s="200" t="str">
        <f>VLOOKUP(B771,Fincas!$A$2:$C$1005,2,0)</f>
        <v>Alm. FeedLot</v>
      </c>
      <c r="D771" s="201">
        <v>44832</v>
      </c>
      <c r="E771" s="267" t="str">
        <f t="shared" si="158"/>
        <v>septiembre</v>
      </c>
      <c r="F771" s="202">
        <v>44832</v>
      </c>
      <c r="G771" s="203">
        <v>44833</v>
      </c>
      <c r="H771" s="244" t="s">
        <v>3994</v>
      </c>
      <c r="I771" s="224">
        <v>7008146</v>
      </c>
      <c r="J771" s="234" t="str">
        <f t="shared" ref="J771:J834" si="160">+VLOOKUP(I771,$F$962:$G$970,2,0)</f>
        <v>Res macho ceba</v>
      </c>
      <c r="K771" s="200">
        <v>6315</v>
      </c>
      <c r="L771" s="550">
        <v>8000</v>
      </c>
      <c r="M771" s="205">
        <f t="shared" si="157"/>
        <v>50520000</v>
      </c>
      <c r="N771" s="214">
        <v>17</v>
      </c>
      <c r="O771" s="554">
        <f t="shared" ref="O771:O834" si="161">+K771/N771</f>
        <v>371.47058823529414</v>
      </c>
      <c r="P771" s="548">
        <f t="shared" si="159"/>
        <v>2971764.7058823528</v>
      </c>
    </row>
    <row r="772" spans="1:16" ht="12.75">
      <c r="A772" s="199" t="s">
        <v>3426</v>
      </c>
      <c r="B772" s="200" t="s">
        <v>4034</v>
      </c>
      <c r="C772" s="200" t="str">
        <f>VLOOKUP(B772,Fincas!$A$2:$C$1005,2,0)</f>
        <v>El Encanto</v>
      </c>
      <c r="D772" s="201">
        <v>44833</v>
      </c>
      <c r="E772" s="267" t="str">
        <f t="shared" si="158"/>
        <v>septiembre</v>
      </c>
      <c r="F772" s="202">
        <v>44835</v>
      </c>
      <c r="G772" s="203">
        <v>44834</v>
      </c>
      <c r="H772" s="200" t="s">
        <v>4078</v>
      </c>
      <c r="I772" s="224">
        <v>7008146</v>
      </c>
      <c r="J772" s="234" t="str">
        <f t="shared" si="160"/>
        <v>Res macho ceba</v>
      </c>
      <c r="K772" s="200">
        <v>6845</v>
      </c>
      <c r="L772" s="550">
        <v>8189</v>
      </c>
      <c r="M772" s="205">
        <f t="shared" si="157"/>
        <v>56053705</v>
      </c>
      <c r="N772" s="214">
        <v>14</v>
      </c>
      <c r="O772" s="554">
        <f t="shared" si="161"/>
        <v>488.92857142857144</v>
      </c>
      <c r="P772" s="548">
        <f t="shared" si="159"/>
        <v>4003836.0714285714</v>
      </c>
    </row>
    <row r="773" spans="1:16" ht="12.75">
      <c r="A773" s="199" t="s">
        <v>4079</v>
      </c>
      <c r="B773" s="200" t="s">
        <v>3437</v>
      </c>
      <c r="C773" s="200" t="str">
        <f>VLOOKUP(B773,Fincas!$A$2:$C$1005,2,0)</f>
        <v>F_Chaparral</v>
      </c>
      <c r="D773" s="201">
        <v>44837</v>
      </c>
      <c r="E773" s="267" t="str">
        <f t="shared" si="158"/>
        <v>octubre</v>
      </c>
      <c r="F773" s="202">
        <v>44836</v>
      </c>
      <c r="G773" s="203">
        <v>44837</v>
      </c>
      <c r="H773" s="200" t="s">
        <v>4080</v>
      </c>
      <c r="I773" s="224">
        <v>7008146</v>
      </c>
      <c r="J773" s="234" t="str">
        <f t="shared" si="160"/>
        <v>Res macho ceba</v>
      </c>
      <c r="K773" s="200">
        <v>67746</v>
      </c>
      <c r="L773" s="550">
        <v>7900</v>
      </c>
      <c r="M773" s="205">
        <f t="shared" si="157"/>
        <v>535193400</v>
      </c>
      <c r="N773" s="214">
        <v>200</v>
      </c>
      <c r="O773" s="554">
        <f t="shared" si="161"/>
        <v>338.73</v>
      </c>
      <c r="P773" s="548">
        <f t="shared" si="159"/>
        <v>2675967</v>
      </c>
    </row>
    <row r="774" spans="1:16" ht="12.75">
      <c r="A774" s="199" t="s">
        <v>3463</v>
      </c>
      <c r="B774" s="200" t="s">
        <v>3919</v>
      </c>
      <c r="C774" s="200" t="str">
        <f>VLOOKUP(B774,Fincas!$A$2:$C$1005,2,0)</f>
        <v>A_Rancho Apache</v>
      </c>
      <c r="D774" s="201">
        <v>44835</v>
      </c>
      <c r="E774" s="267" t="str">
        <f t="shared" si="158"/>
        <v>octubre</v>
      </c>
      <c r="F774" s="202">
        <v>44836</v>
      </c>
      <c r="G774" s="203">
        <v>44837</v>
      </c>
      <c r="H774" s="200" t="s">
        <v>4081</v>
      </c>
      <c r="I774" s="212">
        <v>7008147</v>
      </c>
      <c r="J774" s="212" t="str">
        <f t="shared" si="160"/>
        <v>Res macho levante</v>
      </c>
      <c r="K774" s="200">
        <v>11426</v>
      </c>
      <c r="L774" s="550">
        <v>9000</v>
      </c>
      <c r="M774" s="205">
        <f t="shared" si="157"/>
        <v>102834000</v>
      </c>
      <c r="N774" s="214">
        <v>58</v>
      </c>
      <c r="O774" s="554">
        <f t="shared" si="161"/>
        <v>197</v>
      </c>
      <c r="P774" s="548">
        <f t="shared" si="159"/>
        <v>1773000</v>
      </c>
    </row>
    <row r="775" spans="1:16" ht="12.75">
      <c r="A775" s="199" t="s">
        <v>3511</v>
      </c>
      <c r="B775" s="200" t="s">
        <v>3449</v>
      </c>
      <c r="C775" s="200" t="str">
        <f>VLOOKUP(B775,Fincas!$A$2:$C$1005,2,0)</f>
        <v>F_La Estrella</v>
      </c>
      <c r="D775" s="201">
        <v>44833</v>
      </c>
      <c r="E775" s="267" t="str">
        <f t="shared" si="158"/>
        <v>septiembre</v>
      </c>
      <c r="F775" s="202">
        <v>44834</v>
      </c>
      <c r="G775" s="203">
        <v>44839</v>
      </c>
      <c r="H775" s="200">
        <v>9085</v>
      </c>
      <c r="I775" s="212">
        <v>7008147</v>
      </c>
      <c r="J775" s="212" t="str">
        <f t="shared" si="160"/>
        <v>Res macho levante</v>
      </c>
      <c r="K775" s="200">
        <v>934</v>
      </c>
      <c r="L775" s="550">
        <f>M775/K775</f>
        <v>10278.372591006424</v>
      </c>
      <c r="M775" s="213">
        <v>9600000</v>
      </c>
      <c r="N775" s="214">
        <v>6</v>
      </c>
      <c r="O775" s="554">
        <f t="shared" si="161"/>
        <v>155.66666666666666</v>
      </c>
      <c r="P775" s="548">
        <f t="shared" si="159"/>
        <v>1600000</v>
      </c>
    </row>
    <row r="776" spans="1:16" ht="12.75">
      <c r="A776" s="199" t="s">
        <v>3511</v>
      </c>
      <c r="B776" s="200" t="s">
        <v>3449</v>
      </c>
      <c r="C776" s="200" t="str">
        <f>VLOOKUP(B776,Fincas!$A$2:$C$1005,2,0)</f>
        <v>F_La Estrella</v>
      </c>
      <c r="D776" s="201">
        <v>44833</v>
      </c>
      <c r="E776" s="267" t="str">
        <f t="shared" si="158"/>
        <v>septiembre</v>
      </c>
      <c r="F776" s="202">
        <v>44834</v>
      </c>
      <c r="G776" s="203">
        <v>44839</v>
      </c>
      <c r="H776" s="200">
        <v>9098</v>
      </c>
      <c r="I776" s="212">
        <v>7008147</v>
      </c>
      <c r="J776" s="212" t="str">
        <f t="shared" si="160"/>
        <v>Res macho levante</v>
      </c>
      <c r="K776" s="200">
        <v>3299</v>
      </c>
      <c r="L776" s="550">
        <v>8100</v>
      </c>
      <c r="M776" s="205">
        <f>L776*K776</f>
        <v>26721900</v>
      </c>
      <c r="N776" s="214">
        <v>15</v>
      </c>
      <c r="O776" s="554">
        <f t="shared" si="161"/>
        <v>219.93333333333334</v>
      </c>
      <c r="P776" s="548">
        <f t="shared" si="159"/>
        <v>1781460</v>
      </c>
    </row>
    <row r="777" spans="1:16" ht="12.75">
      <c r="A777" s="199" t="s">
        <v>3511</v>
      </c>
      <c r="B777" s="200" t="s">
        <v>3449</v>
      </c>
      <c r="C777" s="200" t="str">
        <f>VLOOKUP(B777,Fincas!$A$2:$C$1005,2,0)</f>
        <v>F_La Estrella</v>
      </c>
      <c r="D777" s="201">
        <v>44833</v>
      </c>
      <c r="E777" s="267" t="str">
        <f t="shared" si="158"/>
        <v>septiembre</v>
      </c>
      <c r="F777" s="202">
        <v>44834</v>
      </c>
      <c r="G777" s="203">
        <v>44839</v>
      </c>
      <c r="H777" s="200">
        <v>9093</v>
      </c>
      <c r="I777" s="212">
        <v>7008147</v>
      </c>
      <c r="J777" s="212" t="str">
        <f t="shared" si="160"/>
        <v>Res macho levante</v>
      </c>
      <c r="K777" s="200">
        <v>2301</v>
      </c>
      <c r="L777" s="550">
        <f>M777/K777</f>
        <v>9369.8392003476747</v>
      </c>
      <c r="M777" s="213">
        <v>21560000</v>
      </c>
      <c r="N777" s="214">
        <v>11</v>
      </c>
      <c r="O777" s="554">
        <f t="shared" si="161"/>
        <v>209.18181818181819</v>
      </c>
      <c r="P777" s="548">
        <f t="shared" si="159"/>
        <v>1960000</v>
      </c>
    </row>
    <row r="778" spans="1:16" ht="12.75">
      <c r="A778" s="199" t="s">
        <v>3463</v>
      </c>
      <c r="B778" s="200" t="s">
        <v>3464</v>
      </c>
      <c r="C778" s="200" t="str">
        <f>VLOOKUP(B778,Fincas!$A$2:$C$1005,2,0)</f>
        <v>F_Texas Araujo</v>
      </c>
      <c r="D778" s="201">
        <v>44835</v>
      </c>
      <c r="E778" s="267" t="str">
        <f t="shared" si="158"/>
        <v>octubre</v>
      </c>
      <c r="F778" s="202">
        <v>44838</v>
      </c>
      <c r="G778" s="203">
        <v>44840</v>
      </c>
      <c r="H778" s="244" t="s">
        <v>4082</v>
      </c>
      <c r="I778" s="224">
        <v>7008146</v>
      </c>
      <c r="J778" s="234" t="str">
        <f t="shared" si="160"/>
        <v>Res macho ceba</v>
      </c>
      <c r="K778" s="200">
        <v>11169</v>
      </c>
      <c r="L778" s="550">
        <v>8550</v>
      </c>
      <c r="M778" s="205">
        <f>L778*K778</f>
        <v>95494950</v>
      </c>
      <c r="N778" s="214">
        <v>34</v>
      </c>
      <c r="O778" s="554">
        <f t="shared" si="161"/>
        <v>328.5</v>
      </c>
      <c r="P778" s="548">
        <f t="shared" si="159"/>
        <v>2808675</v>
      </c>
    </row>
    <row r="779" spans="1:16" ht="12.75">
      <c r="A779" s="199" t="s">
        <v>3454</v>
      </c>
      <c r="B779" s="200" t="s">
        <v>4083</v>
      </c>
      <c r="C779" s="200" t="str">
        <f>VLOOKUP(B779,Fincas!$A$2:$C$1005,2,0)</f>
        <v>A_Santa Maria</v>
      </c>
      <c r="D779" s="201">
        <v>44828</v>
      </c>
      <c r="E779" s="267" t="str">
        <f t="shared" si="158"/>
        <v>septiembre</v>
      </c>
      <c r="F779" s="202">
        <v>44828</v>
      </c>
      <c r="G779" s="203">
        <v>44840</v>
      </c>
      <c r="H779" s="200">
        <v>8392</v>
      </c>
      <c r="I779" s="212">
        <v>7008147</v>
      </c>
      <c r="J779" s="212" t="str">
        <f t="shared" si="160"/>
        <v>Res macho levante</v>
      </c>
      <c r="K779" s="200">
        <v>5311</v>
      </c>
      <c r="L779" s="550">
        <f t="shared" ref="L779:L789" si="162">M779/K779</f>
        <v>9245.080022594615</v>
      </c>
      <c r="M779" s="213">
        <v>49100620</v>
      </c>
      <c r="N779" s="214">
        <v>24</v>
      </c>
      <c r="O779" s="554">
        <f t="shared" si="161"/>
        <v>221.29166666666666</v>
      </c>
      <c r="P779" s="548">
        <f t="shared" si="159"/>
        <v>2045859.1666666667</v>
      </c>
    </row>
    <row r="780" spans="1:16" ht="12.75">
      <c r="A780" s="199" t="s">
        <v>3454</v>
      </c>
      <c r="B780" s="200" t="s">
        <v>4083</v>
      </c>
      <c r="C780" s="200" t="str">
        <f>VLOOKUP(B780,Fincas!$A$2:$C$1005,2,0)</f>
        <v>A_Santa Maria</v>
      </c>
      <c r="D780" s="201">
        <v>44828</v>
      </c>
      <c r="E780" s="267" t="str">
        <f t="shared" si="158"/>
        <v>septiembre</v>
      </c>
      <c r="F780" s="202">
        <v>44828</v>
      </c>
      <c r="G780" s="203">
        <v>44840</v>
      </c>
      <c r="H780" s="200">
        <v>8393</v>
      </c>
      <c r="I780" s="212">
        <v>7008147</v>
      </c>
      <c r="J780" s="212" t="str">
        <f t="shared" si="160"/>
        <v>Res macho levante</v>
      </c>
      <c r="K780" s="200">
        <v>5153</v>
      </c>
      <c r="L780" s="550">
        <f t="shared" si="162"/>
        <v>9144.5899476033374</v>
      </c>
      <c r="M780" s="213">
        <v>47122072</v>
      </c>
      <c r="N780" s="214">
        <v>23</v>
      </c>
      <c r="O780" s="554">
        <f t="shared" si="161"/>
        <v>224.04347826086956</v>
      </c>
      <c r="P780" s="548">
        <f t="shared" si="159"/>
        <v>2048785.7391304348</v>
      </c>
    </row>
    <row r="781" spans="1:16" ht="12.75">
      <c r="A781" s="199" t="s">
        <v>3454</v>
      </c>
      <c r="B781" s="200" t="s">
        <v>4083</v>
      </c>
      <c r="C781" s="200" t="str">
        <f>VLOOKUP(B781,Fincas!$A$2:$C$1005,2,0)</f>
        <v>A_Santa Maria</v>
      </c>
      <c r="D781" s="201">
        <v>44828</v>
      </c>
      <c r="E781" s="267" t="str">
        <f t="shared" si="158"/>
        <v>septiembre</v>
      </c>
      <c r="F781" s="202">
        <v>44828</v>
      </c>
      <c r="G781" s="203">
        <v>44840</v>
      </c>
      <c r="H781" s="200">
        <v>8395</v>
      </c>
      <c r="I781" s="212">
        <v>7008147</v>
      </c>
      <c r="J781" s="212" t="str">
        <f t="shared" si="160"/>
        <v>Res macho levante</v>
      </c>
      <c r="K781" s="200">
        <v>9864</v>
      </c>
      <c r="L781" s="550">
        <f t="shared" si="162"/>
        <v>9245.0799878345497</v>
      </c>
      <c r="M781" s="213">
        <v>91193469</v>
      </c>
      <c r="N781" s="214">
        <v>52</v>
      </c>
      <c r="O781" s="554">
        <f t="shared" si="161"/>
        <v>189.69230769230768</v>
      </c>
      <c r="P781" s="548">
        <f t="shared" si="159"/>
        <v>1753720.5576923077</v>
      </c>
    </row>
    <row r="782" spans="1:16" ht="12.75">
      <c r="A782" s="199" t="s">
        <v>3454</v>
      </c>
      <c r="B782" s="200" t="s">
        <v>4083</v>
      </c>
      <c r="C782" s="200" t="str">
        <f>VLOOKUP(B782,Fincas!$A$2:$C$1005,2,0)</f>
        <v>A_Santa Maria</v>
      </c>
      <c r="D782" s="201">
        <v>44828</v>
      </c>
      <c r="E782" s="267" t="str">
        <f t="shared" si="158"/>
        <v>septiembre</v>
      </c>
      <c r="F782" s="202">
        <v>44828</v>
      </c>
      <c r="G782" s="203">
        <v>44840</v>
      </c>
      <c r="H782" s="200">
        <v>8412</v>
      </c>
      <c r="I782" s="212">
        <v>7008147</v>
      </c>
      <c r="J782" s="212" t="str">
        <f t="shared" si="160"/>
        <v>Res macho levante</v>
      </c>
      <c r="K782" s="200">
        <v>4760</v>
      </c>
      <c r="L782" s="550">
        <f t="shared" si="162"/>
        <v>8441.1600840336141</v>
      </c>
      <c r="M782" s="213">
        <v>40179922</v>
      </c>
      <c r="N782" s="214">
        <v>20</v>
      </c>
      <c r="O782" s="554">
        <f t="shared" si="161"/>
        <v>238</v>
      </c>
      <c r="P782" s="548">
        <f t="shared" si="159"/>
        <v>2008996.1</v>
      </c>
    </row>
    <row r="783" spans="1:16" ht="12.75">
      <c r="A783" s="199" t="s">
        <v>3454</v>
      </c>
      <c r="B783" s="200" t="s">
        <v>4083</v>
      </c>
      <c r="C783" s="200" t="str">
        <f>VLOOKUP(B783,Fincas!$A$2:$C$1005,2,0)</f>
        <v>A_Santa Maria</v>
      </c>
      <c r="D783" s="201">
        <v>44828</v>
      </c>
      <c r="E783" s="267" t="str">
        <f t="shared" si="158"/>
        <v>septiembre</v>
      </c>
      <c r="F783" s="202">
        <v>44828</v>
      </c>
      <c r="G783" s="203">
        <v>44840</v>
      </c>
      <c r="H783" s="200">
        <v>8413</v>
      </c>
      <c r="I783" s="212">
        <v>7008147</v>
      </c>
      <c r="J783" s="212" t="str">
        <f t="shared" si="160"/>
        <v>Res macho levante</v>
      </c>
      <c r="K783" s="200">
        <v>5438</v>
      </c>
      <c r="L783" s="550">
        <f t="shared" si="162"/>
        <v>8591.8949981610895</v>
      </c>
      <c r="M783" s="213">
        <v>46722725</v>
      </c>
      <c r="N783" s="214">
        <v>22</v>
      </c>
      <c r="O783" s="554">
        <f t="shared" si="161"/>
        <v>247.18181818181819</v>
      </c>
      <c r="P783" s="548">
        <f t="shared" si="159"/>
        <v>2123760.2272727271</v>
      </c>
    </row>
    <row r="784" spans="1:16" ht="12.75">
      <c r="A784" s="199" t="s">
        <v>3454</v>
      </c>
      <c r="B784" s="200" t="s">
        <v>4083</v>
      </c>
      <c r="C784" s="200" t="str">
        <f>VLOOKUP(B784,Fincas!$A$2:$C$1005,2,0)</f>
        <v>A_Santa Maria</v>
      </c>
      <c r="D784" s="201">
        <v>44835</v>
      </c>
      <c r="E784" s="267" t="str">
        <f t="shared" si="158"/>
        <v>octubre</v>
      </c>
      <c r="F784" s="202">
        <v>44835</v>
      </c>
      <c r="G784" s="203">
        <v>44840</v>
      </c>
      <c r="H784" s="200">
        <v>101162</v>
      </c>
      <c r="I784" s="212">
        <v>7008147</v>
      </c>
      <c r="J784" s="212" t="str">
        <f t="shared" si="160"/>
        <v>Res macho levante</v>
      </c>
      <c r="K784" s="200">
        <v>5248</v>
      </c>
      <c r="L784" s="550">
        <f t="shared" si="162"/>
        <v>7787.9750381097565</v>
      </c>
      <c r="M784" s="213">
        <v>40871293</v>
      </c>
      <c r="N784" s="214">
        <v>28</v>
      </c>
      <c r="O784" s="554">
        <f t="shared" si="161"/>
        <v>187.42857142857142</v>
      </c>
      <c r="P784" s="548">
        <f t="shared" si="159"/>
        <v>1459689.0357142857</v>
      </c>
    </row>
    <row r="785" spans="1:16" ht="12.75">
      <c r="A785" s="199" t="s">
        <v>3454</v>
      </c>
      <c r="B785" s="200" t="s">
        <v>4083</v>
      </c>
      <c r="C785" s="200" t="str">
        <f>VLOOKUP(B785,Fincas!$A$2:$C$1005,2,0)</f>
        <v>A_Santa Maria</v>
      </c>
      <c r="D785" s="201">
        <v>44835</v>
      </c>
      <c r="E785" s="267" t="str">
        <f t="shared" si="158"/>
        <v>octubre</v>
      </c>
      <c r="F785" s="202">
        <v>44835</v>
      </c>
      <c r="G785" s="203">
        <v>44840</v>
      </c>
      <c r="H785" s="200">
        <v>101177</v>
      </c>
      <c r="I785" s="212">
        <v>7008147</v>
      </c>
      <c r="J785" s="212" t="str">
        <f t="shared" si="160"/>
        <v>Res macho levante</v>
      </c>
      <c r="K785" s="200">
        <v>1850</v>
      </c>
      <c r="L785" s="550">
        <f t="shared" si="162"/>
        <v>8591.8951351351352</v>
      </c>
      <c r="M785" s="213">
        <v>15895006</v>
      </c>
      <c r="N785" s="214">
        <v>8</v>
      </c>
      <c r="O785" s="554">
        <f t="shared" si="161"/>
        <v>231.25</v>
      </c>
      <c r="P785" s="548">
        <f t="shared" si="159"/>
        <v>1986875.75</v>
      </c>
    </row>
    <row r="786" spans="1:16" ht="12.75">
      <c r="A786" s="199" t="s">
        <v>3454</v>
      </c>
      <c r="B786" s="200" t="s">
        <v>4083</v>
      </c>
      <c r="C786" s="200" t="str">
        <f>VLOOKUP(B786,Fincas!$A$2:$C$1005,2,0)</f>
        <v>A_Santa Maria</v>
      </c>
      <c r="D786" s="201">
        <v>44835</v>
      </c>
      <c r="E786" s="267" t="str">
        <f t="shared" si="158"/>
        <v>octubre</v>
      </c>
      <c r="F786" s="202">
        <v>44835</v>
      </c>
      <c r="G786" s="203">
        <v>44840</v>
      </c>
      <c r="H786" s="200">
        <v>101167</v>
      </c>
      <c r="I786" s="212">
        <v>7008147</v>
      </c>
      <c r="J786" s="212" t="str">
        <f t="shared" si="160"/>
        <v>Res macho levante</v>
      </c>
      <c r="K786" s="200">
        <v>3182</v>
      </c>
      <c r="L786" s="550">
        <f t="shared" si="162"/>
        <v>8139.6901319924573</v>
      </c>
      <c r="M786" s="213">
        <v>25900494</v>
      </c>
      <c r="N786" s="214">
        <v>16</v>
      </c>
      <c r="O786" s="554">
        <f t="shared" si="161"/>
        <v>198.875</v>
      </c>
      <c r="P786" s="548">
        <f t="shared" si="159"/>
        <v>1618780.875</v>
      </c>
    </row>
    <row r="787" spans="1:16" ht="12.75">
      <c r="A787" s="199" t="s">
        <v>3454</v>
      </c>
      <c r="B787" s="200" t="s">
        <v>4083</v>
      </c>
      <c r="C787" s="200" t="str">
        <f>VLOOKUP(B787,Fincas!$A$2:$C$1005,2,0)</f>
        <v>A_Santa Maria</v>
      </c>
      <c r="D787" s="201">
        <v>44835</v>
      </c>
      <c r="E787" s="267" t="str">
        <f t="shared" si="158"/>
        <v>octubre</v>
      </c>
      <c r="F787" s="202">
        <v>44835</v>
      </c>
      <c r="G787" s="203">
        <v>44840</v>
      </c>
      <c r="H787" s="200">
        <v>101168</v>
      </c>
      <c r="I787" s="212">
        <v>7008147</v>
      </c>
      <c r="J787" s="212" t="str">
        <f t="shared" si="160"/>
        <v>Res macho levante</v>
      </c>
      <c r="K787" s="200">
        <v>2546</v>
      </c>
      <c r="L787" s="550">
        <f t="shared" si="162"/>
        <v>8943.6099764336213</v>
      </c>
      <c r="M787" s="213">
        <v>22770431</v>
      </c>
      <c r="N787" s="214">
        <v>14</v>
      </c>
      <c r="O787" s="554">
        <f t="shared" si="161"/>
        <v>181.85714285714286</v>
      </c>
      <c r="P787" s="548">
        <f t="shared" si="159"/>
        <v>1626459.357142857</v>
      </c>
    </row>
    <row r="788" spans="1:16" ht="12.75">
      <c r="A788" s="199" t="s">
        <v>3454</v>
      </c>
      <c r="B788" s="200" t="s">
        <v>4083</v>
      </c>
      <c r="C788" s="200" t="str">
        <f>VLOOKUP(B788,Fincas!$A$2:$C$1005,2,0)</f>
        <v>A_Santa Maria</v>
      </c>
      <c r="D788" s="201">
        <v>44835</v>
      </c>
      <c r="E788" s="267" t="str">
        <f t="shared" si="158"/>
        <v>octubre</v>
      </c>
      <c r="F788" s="202">
        <v>44835</v>
      </c>
      <c r="G788" s="203">
        <v>44840</v>
      </c>
      <c r="H788" s="200">
        <v>101169</v>
      </c>
      <c r="I788" s="212">
        <v>7008147</v>
      </c>
      <c r="J788" s="212" t="str">
        <f t="shared" si="160"/>
        <v>Res macho levante</v>
      </c>
      <c r="K788" s="200">
        <v>2820</v>
      </c>
      <c r="L788" s="550">
        <f t="shared" si="162"/>
        <v>8390.9148936170204</v>
      </c>
      <c r="M788" s="213">
        <v>23662380</v>
      </c>
      <c r="N788" s="214">
        <v>14</v>
      </c>
      <c r="O788" s="554">
        <f t="shared" si="161"/>
        <v>201.42857142857142</v>
      </c>
      <c r="P788" s="548">
        <f t="shared" si="159"/>
        <v>1690170</v>
      </c>
    </row>
    <row r="789" spans="1:16" ht="12.75">
      <c r="A789" s="199" t="s">
        <v>3454</v>
      </c>
      <c r="B789" s="200" t="s">
        <v>4083</v>
      </c>
      <c r="C789" s="200" t="str">
        <f>VLOOKUP(B789,Fincas!$A$2:$C$1005,2,0)</f>
        <v>A_Santa Maria</v>
      </c>
      <c r="D789" s="201">
        <v>44835</v>
      </c>
      <c r="E789" s="267" t="str">
        <f t="shared" si="158"/>
        <v>octubre</v>
      </c>
      <c r="F789" s="202">
        <v>44835</v>
      </c>
      <c r="G789" s="203">
        <v>44840</v>
      </c>
      <c r="H789" s="200">
        <v>101171</v>
      </c>
      <c r="I789" s="212">
        <v>7008147</v>
      </c>
      <c r="J789" s="212" t="str">
        <f t="shared" si="160"/>
        <v>Res macho levante</v>
      </c>
      <c r="K789" s="200">
        <v>2346</v>
      </c>
      <c r="L789" s="550">
        <f t="shared" si="162"/>
        <v>8089.4450127877235</v>
      </c>
      <c r="M789" s="213">
        <v>18977838</v>
      </c>
      <c r="N789" s="214">
        <v>11</v>
      </c>
      <c r="O789" s="554">
        <f t="shared" si="161"/>
        <v>213.27272727272728</v>
      </c>
      <c r="P789" s="548">
        <f t="shared" si="159"/>
        <v>1725258</v>
      </c>
    </row>
    <row r="790" spans="1:16" ht="12.75">
      <c r="A790" s="199" t="s">
        <v>3898</v>
      </c>
      <c r="B790" s="200" t="s">
        <v>3623</v>
      </c>
      <c r="C790" s="200" t="str">
        <f>VLOOKUP(B790,Fincas!$A$2:$C$1005,2,0)</f>
        <v>F_Vista Hermosa</v>
      </c>
      <c r="D790" s="201">
        <v>44840</v>
      </c>
      <c r="E790" s="267" t="str">
        <f t="shared" si="158"/>
        <v>octubre</v>
      </c>
      <c r="F790" s="202">
        <v>44840</v>
      </c>
      <c r="G790" s="203">
        <v>44841</v>
      </c>
      <c r="H790" s="244" t="s">
        <v>4084</v>
      </c>
      <c r="I790" s="212">
        <v>7008147</v>
      </c>
      <c r="J790" s="212" t="str">
        <f t="shared" si="160"/>
        <v>Res macho levante</v>
      </c>
      <c r="K790" s="200">
        <v>9197</v>
      </c>
      <c r="L790" s="550">
        <v>8250</v>
      </c>
      <c r="M790" s="205">
        <f t="shared" ref="M790:M791" si="163">L790*K790</f>
        <v>75875250</v>
      </c>
      <c r="N790" s="214">
        <v>37</v>
      </c>
      <c r="O790" s="554">
        <f t="shared" si="161"/>
        <v>248.56756756756758</v>
      </c>
      <c r="P790" s="548">
        <f t="shared" si="159"/>
        <v>2050682.4324324324</v>
      </c>
    </row>
    <row r="791" spans="1:16" ht="12.75">
      <c r="A791" s="199" t="s">
        <v>4085</v>
      </c>
      <c r="B791" s="200" t="s">
        <v>3919</v>
      </c>
      <c r="C791" s="200" t="str">
        <f>VLOOKUP(B791,Fincas!$A$2:$C$1005,2,0)</f>
        <v>A_Rancho Apache</v>
      </c>
      <c r="D791" s="201">
        <v>44837</v>
      </c>
      <c r="E791" s="267" t="str">
        <f t="shared" si="158"/>
        <v>octubre</v>
      </c>
      <c r="F791" s="202">
        <v>44841</v>
      </c>
      <c r="G791" s="203">
        <v>44844</v>
      </c>
      <c r="H791" s="200" t="s">
        <v>4086</v>
      </c>
      <c r="I791" s="212">
        <v>7008147</v>
      </c>
      <c r="J791" s="212" t="str">
        <f t="shared" si="160"/>
        <v>Res macho levante</v>
      </c>
      <c r="K791" s="200">
        <v>11660</v>
      </c>
      <c r="L791" s="550">
        <v>9000</v>
      </c>
      <c r="M791" s="205">
        <f t="shared" si="163"/>
        <v>104940000</v>
      </c>
      <c r="N791" s="214">
        <v>44</v>
      </c>
      <c r="O791" s="554">
        <f t="shared" si="161"/>
        <v>265</v>
      </c>
      <c r="P791" s="548">
        <f t="shared" si="159"/>
        <v>2385000</v>
      </c>
    </row>
    <row r="792" spans="1:16" ht="12.75">
      <c r="A792" s="199" t="s">
        <v>3454</v>
      </c>
      <c r="B792" s="200" t="s">
        <v>3476</v>
      </c>
      <c r="C792" s="200" t="str">
        <f>VLOOKUP(B792,Fincas!$A$2:$C$1005,2,0)</f>
        <v>F_Guacharacas</v>
      </c>
      <c r="D792" s="201">
        <v>44840</v>
      </c>
      <c r="E792" s="267" t="str">
        <f t="shared" si="158"/>
        <v>octubre</v>
      </c>
      <c r="F792" s="202">
        <v>44840</v>
      </c>
      <c r="G792" s="203">
        <v>44845</v>
      </c>
      <c r="H792" s="200">
        <v>242189</v>
      </c>
      <c r="I792" s="224">
        <v>7008146</v>
      </c>
      <c r="J792" s="234" t="str">
        <f t="shared" si="160"/>
        <v>Res macho ceba</v>
      </c>
      <c r="K792" s="200">
        <v>6246</v>
      </c>
      <c r="L792" s="550">
        <f t="shared" ref="L792:L799" si="164">M792/K792</f>
        <v>8139.6900416266408</v>
      </c>
      <c r="M792" s="213">
        <v>50840504</v>
      </c>
      <c r="N792" s="214">
        <v>17</v>
      </c>
      <c r="O792" s="554">
        <f t="shared" si="161"/>
        <v>367.41176470588238</v>
      </c>
      <c r="P792" s="548">
        <f t="shared" si="159"/>
        <v>2990617.8823529412</v>
      </c>
    </row>
    <row r="793" spans="1:16" ht="12.75">
      <c r="A793" s="199" t="s">
        <v>3454</v>
      </c>
      <c r="B793" s="200" t="s">
        <v>3476</v>
      </c>
      <c r="C793" s="200" t="str">
        <f>VLOOKUP(B793,Fincas!$A$2:$C$1005,2,0)</f>
        <v>F_Guacharacas</v>
      </c>
      <c r="D793" s="201">
        <v>44840</v>
      </c>
      <c r="E793" s="267" t="str">
        <f t="shared" si="158"/>
        <v>octubre</v>
      </c>
      <c r="F793" s="202">
        <v>44840</v>
      </c>
      <c r="G793" s="203">
        <v>44845</v>
      </c>
      <c r="H793" s="200">
        <v>242221</v>
      </c>
      <c r="I793" s="224">
        <v>7008146</v>
      </c>
      <c r="J793" s="234" t="str">
        <f t="shared" si="160"/>
        <v>Res macho ceba</v>
      </c>
      <c r="K793" s="200">
        <v>6354</v>
      </c>
      <c r="L793" s="550">
        <f t="shared" si="164"/>
        <v>8340.6699716713883</v>
      </c>
      <c r="M793" s="213">
        <v>52996617</v>
      </c>
      <c r="N793" s="214">
        <v>17</v>
      </c>
      <c r="O793" s="554">
        <f t="shared" si="161"/>
        <v>373.76470588235293</v>
      </c>
      <c r="P793" s="548">
        <f t="shared" si="159"/>
        <v>3117448.0588235296</v>
      </c>
    </row>
    <row r="794" spans="1:16" ht="12.75">
      <c r="A794" s="199" t="s">
        <v>3454</v>
      </c>
      <c r="B794" s="200" t="s">
        <v>4083</v>
      </c>
      <c r="C794" s="200" t="str">
        <f>VLOOKUP(B794,Fincas!$A$2:$C$1005,2,0)</f>
        <v>A_Santa Maria</v>
      </c>
      <c r="D794" s="201">
        <v>44841</v>
      </c>
      <c r="E794" s="267" t="str">
        <f t="shared" si="158"/>
        <v>octubre</v>
      </c>
      <c r="F794" s="202">
        <v>44841</v>
      </c>
      <c r="G794" s="203">
        <v>44845</v>
      </c>
      <c r="H794" s="200">
        <v>234690</v>
      </c>
      <c r="I794" s="212">
        <v>7008147</v>
      </c>
      <c r="J794" s="212" t="str">
        <f t="shared" si="160"/>
        <v>Res macho levante</v>
      </c>
      <c r="K794" s="200">
        <v>5170</v>
      </c>
      <c r="L794" s="550">
        <f t="shared" si="164"/>
        <v>9094.3450676982593</v>
      </c>
      <c r="M794" s="213">
        <v>47017764</v>
      </c>
      <c r="N794" s="214">
        <v>23</v>
      </c>
      <c r="O794" s="554">
        <f t="shared" si="161"/>
        <v>224.78260869565219</v>
      </c>
      <c r="P794" s="548">
        <f t="shared" si="159"/>
        <v>2044250.6086956521</v>
      </c>
    </row>
    <row r="795" spans="1:16" ht="12.75">
      <c r="A795" s="199" t="s">
        <v>3454</v>
      </c>
      <c r="B795" s="200" t="s">
        <v>4083</v>
      </c>
      <c r="C795" s="200" t="str">
        <f>VLOOKUP(B795,Fincas!$A$2:$C$1005,2,0)</f>
        <v>A_Santa Maria</v>
      </c>
      <c r="D795" s="201">
        <v>44841</v>
      </c>
      <c r="E795" s="267" t="str">
        <f t="shared" si="158"/>
        <v>octubre</v>
      </c>
      <c r="F795" s="202">
        <v>44841</v>
      </c>
      <c r="G795" s="203">
        <v>44845</v>
      </c>
      <c r="H795" s="200">
        <v>234691</v>
      </c>
      <c r="I795" s="212">
        <v>7008147</v>
      </c>
      <c r="J795" s="212" t="str">
        <f t="shared" si="160"/>
        <v>Res macho levante</v>
      </c>
      <c r="K795" s="200">
        <v>4949</v>
      </c>
      <c r="L795" s="550">
        <f t="shared" si="164"/>
        <v>9243.2119620125286</v>
      </c>
      <c r="M795" s="213">
        <v>45744656</v>
      </c>
      <c r="N795" s="214">
        <v>26</v>
      </c>
      <c r="O795" s="554">
        <f t="shared" si="161"/>
        <v>190.34615384615384</v>
      </c>
      <c r="P795" s="548">
        <f t="shared" si="159"/>
        <v>1759409.8461538462</v>
      </c>
    </row>
    <row r="796" spans="1:16" ht="12.75">
      <c r="A796" s="199" t="s">
        <v>3454</v>
      </c>
      <c r="B796" s="200" t="s">
        <v>4083</v>
      </c>
      <c r="C796" s="200" t="str">
        <f>VLOOKUP(B796,Fincas!$A$2:$C$1005,2,0)</f>
        <v>A_Santa Maria</v>
      </c>
      <c r="D796" s="201">
        <v>44841</v>
      </c>
      <c r="E796" s="267" t="str">
        <f t="shared" si="158"/>
        <v>octubre</v>
      </c>
      <c r="F796" s="202">
        <v>44841</v>
      </c>
      <c r="G796" s="203">
        <v>44845</v>
      </c>
      <c r="H796" s="200">
        <v>234693</v>
      </c>
      <c r="I796" s="212">
        <v>7008147</v>
      </c>
      <c r="J796" s="212" t="str">
        <f t="shared" si="160"/>
        <v>Res macho levante</v>
      </c>
      <c r="K796" s="200">
        <v>5204</v>
      </c>
      <c r="L796" s="550">
        <f t="shared" si="164"/>
        <v>9245.0799385088394</v>
      </c>
      <c r="M796" s="213">
        <v>48111396</v>
      </c>
      <c r="N796" s="214">
        <v>25</v>
      </c>
      <c r="O796" s="554">
        <f t="shared" si="161"/>
        <v>208.16</v>
      </c>
      <c r="P796" s="548">
        <f t="shared" si="159"/>
        <v>1924455.84</v>
      </c>
    </row>
    <row r="797" spans="1:16" ht="12.75">
      <c r="A797" s="199" t="s">
        <v>3454</v>
      </c>
      <c r="B797" s="200" t="s">
        <v>4083</v>
      </c>
      <c r="C797" s="200" t="str">
        <f>VLOOKUP(B797,Fincas!$A$2:$C$1005,2,0)</f>
        <v>A_Santa Maria</v>
      </c>
      <c r="D797" s="201">
        <v>44841</v>
      </c>
      <c r="E797" s="267" t="str">
        <f t="shared" si="158"/>
        <v>octubre</v>
      </c>
      <c r="F797" s="202">
        <v>44841</v>
      </c>
      <c r="G797" s="203">
        <v>44845</v>
      </c>
      <c r="H797" s="200">
        <v>234703</v>
      </c>
      <c r="I797" s="212">
        <v>7008147</v>
      </c>
      <c r="J797" s="212" t="str">
        <f t="shared" si="160"/>
        <v>Res macho levante</v>
      </c>
      <c r="K797" s="200">
        <v>2414</v>
      </c>
      <c r="L797" s="550">
        <f t="shared" si="164"/>
        <v>8792.8748964374481</v>
      </c>
      <c r="M797" s="213">
        <v>21226000</v>
      </c>
      <c r="N797" s="214">
        <v>11</v>
      </c>
      <c r="O797" s="554">
        <f t="shared" si="161"/>
        <v>219.45454545454547</v>
      </c>
      <c r="P797" s="548">
        <f t="shared" si="159"/>
        <v>1929636.3636363635</v>
      </c>
    </row>
    <row r="798" spans="1:16" ht="12.75">
      <c r="A798" s="199" t="s">
        <v>3454</v>
      </c>
      <c r="B798" s="200" t="s">
        <v>4083</v>
      </c>
      <c r="C798" s="200" t="str">
        <f>VLOOKUP(B798,Fincas!$A$2:$C$1005,2,0)</f>
        <v>A_Santa Maria</v>
      </c>
      <c r="D798" s="201">
        <v>44841</v>
      </c>
      <c r="E798" s="267" t="str">
        <f t="shared" si="158"/>
        <v>octubre</v>
      </c>
      <c r="F798" s="202">
        <v>44841</v>
      </c>
      <c r="G798" s="203">
        <v>44845</v>
      </c>
      <c r="H798" s="200">
        <v>234700</v>
      </c>
      <c r="I798" s="212">
        <v>7008147</v>
      </c>
      <c r="J798" s="212" t="str">
        <f t="shared" si="160"/>
        <v>Res macho levante</v>
      </c>
      <c r="K798" s="200">
        <v>3218</v>
      </c>
      <c r="L798" s="550">
        <f t="shared" si="164"/>
        <v>8441.1600372902431</v>
      </c>
      <c r="M798" s="213">
        <v>27163653</v>
      </c>
      <c r="N798" s="214">
        <v>15</v>
      </c>
      <c r="O798" s="554">
        <f t="shared" si="161"/>
        <v>214.53333333333333</v>
      </c>
      <c r="P798" s="548">
        <f t="shared" si="159"/>
        <v>1810910.2</v>
      </c>
    </row>
    <row r="799" spans="1:16" ht="12.75">
      <c r="A799" s="199" t="s">
        <v>3454</v>
      </c>
      <c r="B799" s="200" t="s">
        <v>4083</v>
      </c>
      <c r="C799" s="200" t="str">
        <f>VLOOKUP(B799,Fincas!$A$2:$C$1005,2,0)</f>
        <v>A_Santa Maria</v>
      </c>
      <c r="D799" s="201">
        <v>44841</v>
      </c>
      <c r="E799" s="267" t="str">
        <f t="shared" si="158"/>
        <v>octubre</v>
      </c>
      <c r="F799" s="202">
        <v>44841</v>
      </c>
      <c r="G799" s="203">
        <v>44845</v>
      </c>
      <c r="H799" s="200">
        <v>234707</v>
      </c>
      <c r="I799" s="212">
        <v>7008147</v>
      </c>
      <c r="J799" s="212" t="str">
        <f t="shared" si="160"/>
        <v>Res macho levante</v>
      </c>
      <c r="K799" s="200">
        <v>1678</v>
      </c>
      <c r="L799" s="550">
        <f t="shared" si="164"/>
        <v>8943.6102502979738</v>
      </c>
      <c r="M799" s="213">
        <v>15007378</v>
      </c>
      <c r="N799" s="214">
        <v>10</v>
      </c>
      <c r="O799" s="554">
        <f t="shared" si="161"/>
        <v>167.8</v>
      </c>
      <c r="P799" s="548">
        <f t="shared" si="159"/>
        <v>1500737.8</v>
      </c>
    </row>
    <row r="800" spans="1:16" ht="12.75">
      <c r="A800" s="199" t="s">
        <v>3774</v>
      </c>
      <c r="B800" s="200" t="s">
        <v>3702</v>
      </c>
      <c r="C800" s="200" t="str">
        <f>VLOOKUP(B800,Fincas!$A$2:$C$1005,2,0)</f>
        <v>F_Tunez</v>
      </c>
      <c r="D800" s="201">
        <v>44841</v>
      </c>
      <c r="E800" s="267" t="str">
        <f t="shared" si="158"/>
        <v>octubre</v>
      </c>
      <c r="F800" s="202">
        <v>44835</v>
      </c>
      <c r="G800" s="203">
        <v>44846</v>
      </c>
      <c r="H800" s="200">
        <v>100726</v>
      </c>
      <c r="I800" s="224">
        <v>7008146</v>
      </c>
      <c r="J800" s="234" t="str">
        <f t="shared" si="160"/>
        <v>Res macho ceba</v>
      </c>
      <c r="K800" s="200">
        <v>8472</v>
      </c>
      <c r="L800" s="550">
        <v>8300</v>
      </c>
      <c r="M800" s="205">
        <f t="shared" ref="M800:M804" si="165">L800*K800</f>
        <v>70317600</v>
      </c>
      <c r="N800" s="214">
        <v>22</v>
      </c>
      <c r="O800" s="554">
        <f t="shared" si="161"/>
        <v>385.09090909090907</v>
      </c>
      <c r="P800" s="548">
        <f t="shared" si="159"/>
        <v>3196254.5454545454</v>
      </c>
    </row>
    <row r="801" spans="1:16" ht="12.75">
      <c r="A801" s="199" t="s">
        <v>3511</v>
      </c>
      <c r="B801" s="200" t="s">
        <v>3551</v>
      </c>
      <c r="C801" s="200" t="str">
        <f>VLOOKUP(B801,Fincas!$A$2:$C$1005,2,0)</f>
        <v>F_La Castellana</v>
      </c>
      <c r="D801" s="201">
        <v>44838</v>
      </c>
      <c r="E801" s="267" t="str">
        <f t="shared" si="158"/>
        <v>octubre</v>
      </c>
      <c r="F801" s="202">
        <v>44838</v>
      </c>
      <c r="G801" s="203">
        <v>44846</v>
      </c>
      <c r="H801" s="200" t="s">
        <v>4087</v>
      </c>
      <c r="I801" s="212">
        <v>7008147</v>
      </c>
      <c r="J801" s="212" t="str">
        <f t="shared" si="160"/>
        <v>Res macho levante</v>
      </c>
      <c r="K801" s="200">
        <v>5653</v>
      </c>
      <c r="L801" s="550">
        <v>8043</v>
      </c>
      <c r="M801" s="205">
        <f t="shared" si="165"/>
        <v>45467079</v>
      </c>
      <c r="N801" s="214">
        <v>23</v>
      </c>
      <c r="O801" s="554">
        <f t="shared" si="161"/>
        <v>245.78260869565219</v>
      </c>
      <c r="P801" s="548">
        <f t="shared" si="159"/>
        <v>1976829.5217391304</v>
      </c>
    </row>
    <row r="802" spans="1:16" ht="12.75">
      <c r="A802" s="199" t="s">
        <v>3511</v>
      </c>
      <c r="B802" s="200" t="s">
        <v>3551</v>
      </c>
      <c r="C802" s="200" t="str">
        <f>VLOOKUP(B802,Fincas!$A$2:$C$1005,2,0)</f>
        <v>F_La Castellana</v>
      </c>
      <c r="D802" s="201">
        <v>44841</v>
      </c>
      <c r="E802" s="267" t="str">
        <f t="shared" si="158"/>
        <v>octubre</v>
      </c>
      <c r="F802" s="202">
        <v>44842</v>
      </c>
      <c r="G802" s="203">
        <v>44846</v>
      </c>
      <c r="H802" s="200" t="s">
        <v>4088</v>
      </c>
      <c r="I802" s="224">
        <v>7008146</v>
      </c>
      <c r="J802" s="234" t="str">
        <f t="shared" si="160"/>
        <v>Res macho ceba</v>
      </c>
      <c r="K802" s="200">
        <v>5402</v>
      </c>
      <c r="L802" s="550">
        <v>8500</v>
      </c>
      <c r="M802" s="205">
        <f t="shared" si="165"/>
        <v>45917000</v>
      </c>
      <c r="N802" s="214">
        <v>24</v>
      </c>
      <c r="O802" s="554">
        <f t="shared" si="161"/>
        <v>225.08333333333334</v>
      </c>
      <c r="P802" s="548">
        <f t="shared" si="159"/>
        <v>1913208.3333333333</v>
      </c>
    </row>
    <row r="803" spans="1:16" ht="12.75">
      <c r="A803" s="199" t="s">
        <v>4089</v>
      </c>
      <c r="B803" s="200" t="s">
        <v>3754</v>
      </c>
      <c r="C803" s="200" t="str">
        <f>VLOOKUP(B803,Fincas!$A$2:$C$1005,2,0)</f>
        <v>Alm. FeedLot</v>
      </c>
      <c r="D803" s="201">
        <v>44847</v>
      </c>
      <c r="E803" s="267" t="str">
        <f t="shared" si="158"/>
        <v>octubre</v>
      </c>
      <c r="F803" s="202">
        <v>44847</v>
      </c>
      <c r="G803" s="203">
        <v>44848</v>
      </c>
      <c r="H803" s="200" t="s">
        <v>4090</v>
      </c>
      <c r="I803" s="224">
        <v>7008146</v>
      </c>
      <c r="J803" s="234" t="str">
        <f t="shared" si="160"/>
        <v>Res macho ceba</v>
      </c>
      <c r="K803" s="200">
        <v>6802</v>
      </c>
      <c r="L803" s="550">
        <v>8000</v>
      </c>
      <c r="M803" s="205">
        <f t="shared" si="165"/>
        <v>54416000</v>
      </c>
      <c r="N803" s="214">
        <v>18</v>
      </c>
      <c r="O803" s="554">
        <f t="shared" si="161"/>
        <v>377.88888888888891</v>
      </c>
      <c r="P803" s="548">
        <f t="shared" si="159"/>
        <v>3023111.111111111</v>
      </c>
    </row>
    <row r="804" spans="1:16" ht="12.75">
      <c r="A804" s="199" t="s">
        <v>4091</v>
      </c>
      <c r="B804" s="200" t="s">
        <v>3598</v>
      </c>
      <c r="C804" s="200" t="str">
        <f>VLOOKUP(B804,Fincas!$A$2:$C$1005,2,0)</f>
        <v>F_El Prado</v>
      </c>
      <c r="D804" s="201">
        <v>44847</v>
      </c>
      <c r="E804" s="267" t="str">
        <f t="shared" si="158"/>
        <v>octubre</v>
      </c>
      <c r="F804" s="202">
        <v>44846</v>
      </c>
      <c r="G804" s="203">
        <v>44848</v>
      </c>
      <c r="H804" s="210" t="s">
        <v>711</v>
      </c>
      <c r="I804" s="224">
        <v>7008146</v>
      </c>
      <c r="J804" s="234" t="str">
        <f t="shared" si="160"/>
        <v>Res macho ceba</v>
      </c>
      <c r="K804" s="200">
        <v>35160</v>
      </c>
      <c r="L804" s="550">
        <v>8700</v>
      </c>
      <c r="M804" s="205">
        <f t="shared" si="165"/>
        <v>305892000</v>
      </c>
      <c r="N804" s="214">
        <v>96</v>
      </c>
      <c r="O804" s="554">
        <f t="shared" si="161"/>
        <v>366.25</v>
      </c>
      <c r="P804" s="548">
        <f t="shared" si="159"/>
        <v>3186375</v>
      </c>
    </row>
    <row r="805" spans="1:16" ht="12.75">
      <c r="A805" s="199" t="s">
        <v>4091</v>
      </c>
      <c r="B805" s="200" t="s">
        <v>3598</v>
      </c>
      <c r="C805" s="200" t="str">
        <f>VLOOKUP(B805,Fincas!$A$2:$C$1005,2,0)</f>
        <v>F_El Prado</v>
      </c>
      <c r="D805" s="201">
        <v>44847</v>
      </c>
      <c r="E805" s="267" t="str">
        <f t="shared" si="158"/>
        <v>octubre</v>
      </c>
      <c r="F805" s="202">
        <v>44846</v>
      </c>
      <c r="G805" s="203">
        <v>44848</v>
      </c>
      <c r="H805" s="211" t="s">
        <v>4092</v>
      </c>
      <c r="I805" s="253">
        <v>7008146</v>
      </c>
      <c r="J805" s="253" t="str">
        <f t="shared" si="160"/>
        <v>Res macho ceba</v>
      </c>
      <c r="K805" s="200">
        <v>36849</v>
      </c>
      <c r="L805" s="550">
        <v>8700</v>
      </c>
      <c r="M805" s="205">
        <f>L805*$K$805</f>
        <v>320586300</v>
      </c>
      <c r="N805" s="214">
        <v>100</v>
      </c>
      <c r="O805" s="554">
        <f t="shared" si="161"/>
        <v>368.49</v>
      </c>
      <c r="P805" s="548">
        <f t="shared" si="159"/>
        <v>3205863</v>
      </c>
    </row>
    <row r="806" spans="1:16" ht="12.75">
      <c r="A806" s="199" t="s">
        <v>3528</v>
      </c>
      <c r="B806" s="200" t="s">
        <v>4093</v>
      </c>
      <c r="C806" s="200" t="str">
        <f>VLOOKUP(B806,Fincas!$A$2:$C$1005,2,0)</f>
        <v>F_Chinulito</v>
      </c>
      <c r="D806" s="201">
        <v>44846</v>
      </c>
      <c r="E806" s="267" t="str">
        <f t="shared" si="158"/>
        <v>octubre</v>
      </c>
      <c r="F806" s="202">
        <v>44846</v>
      </c>
      <c r="G806" s="203">
        <v>44848</v>
      </c>
      <c r="H806" s="251" t="s">
        <v>4094</v>
      </c>
      <c r="I806" s="254">
        <v>7008151</v>
      </c>
      <c r="J806" s="557" t="str">
        <f t="shared" si="160"/>
        <v>Res novilla ceba</v>
      </c>
      <c r="K806" s="200">
        <v>24388</v>
      </c>
      <c r="L806" s="550">
        <v>7100</v>
      </c>
      <c r="M806" s="205">
        <f>L806*$K$806</f>
        <v>173154800</v>
      </c>
      <c r="N806" s="214">
        <v>76</v>
      </c>
      <c r="O806" s="554">
        <f t="shared" si="161"/>
        <v>320.89473684210526</v>
      </c>
      <c r="P806" s="548">
        <f t="shared" si="159"/>
        <v>2278352.6315789474</v>
      </c>
    </row>
    <row r="807" spans="1:16" ht="12.75">
      <c r="A807" s="199" t="s">
        <v>3454</v>
      </c>
      <c r="B807" s="200" t="s">
        <v>4083</v>
      </c>
      <c r="C807" s="200" t="str">
        <f>VLOOKUP(B807,Fincas!$A$2:$C$1005,2,0)</f>
        <v>A_Santa Maria</v>
      </c>
      <c r="D807" s="201">
        <v>44846</v>
      </c>
      <c r="E807" s="267" t="str">
        <f t="shared" si="158"/>
        <v>octubre</v>
      </c>
      <c r="F807" s="202">
        <v>44846</v>
      </c>
      <c r="G807" s="203">
        <v>44848</v>
      </c>
      <c r="H807" s="200">
        <v>101522</v>
      </c>
      <c r="I807" s="212">
        <v>7008147</v>
      </c>
      <c r="J807" s="212" t="str">
        <f t="shared" si="160"/>
        <v>Res macho levante</v>
      </c>
      <c r="K807" s="200">
        <v>4666</v>
      </c>
      <c r="L807" s="550">
        <f t="shared" ref="L807:L816" si="166">M807/K807</f>
        <v>8340.6699528504068</v>
      </c>
      <c r="M807" s="213">
        <v>38917566</v>
      </c>
      <c r="N807" s="214">
        <v>22</v>
      </c>
      <c r="O807" s="554">
        <f t="shared" si="161"/>
        <v>212.09090909090909</v>
      </c>
      <c r="P807" s="548">
        <f t="shared" si="159"/>
        <v>1768980.2727272727</v>
      </c>
    </row>
    <row r="808" spans="1:16" ht="12.75">
      <c r="A808" s="199" t="s">
        <v>3454</v>
      </c>
      <c r="B808" s="200" t="s">
        <v>4083</v>
      </c>
      <c r="C808" s="200" t="str">
        <f>VLOOKUP(B808,Fincas!$A$2:$C$1005,2,0)</f>
        <v>A_Santa Maria</v>
      </c>
      <c r="D808" s="201">
        <v>44846</v>
      </c>
      <c r="E808" s="267" t="str">
        <f t="shared" si="158"/>
        <v>octubre</v>
      </c>
      <c r="F808" s="202">
        <v>44846</v>
      </c>
      <c r="G808" s="203">
        <v>44848</v>
      </c>
      <c r="H808" s="200">
        <v>101524</v>
      </c>
      <c r="I808" s="212">
        <v>7008147</v>
      </c>
      <c r="J808" s="212" t="str">
        <f t="shared" si="160"/>
        <v>Res macho levante</v>
      </c>
      <c r="K808" s="200">
        <v>5356</v>
      </c>
      <c r="L808" s="550">
        <f t="shared" si="166"/>
        <v>9144.5899925317408</v>
      </c>
      <c r="M808" s="213">
        <v>48978424</v>
      </c>
      <c r="N808" s="214">
        <v>23</v>
      </c>
      <c r="O808" s="554">
        <f t="shared" si="161"/>
        <v>232.86956521739131</v>
      </c>
      <c r="P808" s="548">
        <f t="shared" si="159"/>
        <v>2129496.6956521738</v>
      </c>
    </row>
    <row r="809" spans="1:16" ht="12.75">
      <c r="A809" s="199" t="s">
        <v>3454</v>
      </c>
      <c r="B809" s="200" t="s">
        <v>4093</v>
      </c>
      <c r="C809" s="200" t="str">
        <f>VLOOKUP(B809,Fincas!$A$2:$C$1005,2,0)</f>
        <v>F_Chinulito</v>
      </c>
      <c r="D809" s="201">
        <v>44847</v>
      </c>
      <c r="E809" s="267" t="str">
        <f t="shared" si="158"/>
        <v>octubre</v>
      </c>
      <c r="F809" s="202">
        <v>44847</v>
      </c>
      <c r="G809" s="203">
        <v>44853</v>
      </c>
      <c r="H809" s="200">
        <v>242443</v>
      </c>
      <c r="I809" s="254">
        <v>7008151</v>
      </c>
      <c r="J809" s="557" t="str">
        <f t="shared" si="160"/>
        <v>Res novilla ceba</v>
      </c>
      <c r="K809" s="200">
        <v>4658</v>
      </c>
      <c r="L809" s="550">
        <f t="shared" si="166"/>
        <v>7084.5450837269218</v>
      </c>
      <c r="M809" s="213">
        <v>32999811</v>
      </c>
      <c r="N809" s="214">
        <v>16</v>
      </c>
      <c r="O809" s="554">
        <f t="shared" si="161"/>
        <v>291.125</v>
      </c>
      <c r="P809" s="548">
        <f t="shared" si="159"/>
        <v>2062488.1875</v>
      </c>
    </row>
    <row r="810" spans="1:16" ht="12.75">
      <c r="A810" s="199" t="s">
        <v>3454</v>
      </c>
      <c r="B810" s="200" t="s">
        <v>4093</v>
      </c>
      <c r="C810" s="200" t="str">
        <f>VLOOKUP(B810,Fincas!$A$2:$C$1005,2,0)</f>
        <v>F_Chinulito</v>
      </c>
      <c r="D810" s="201">
        <v>44847</v>
      </c>
      <c r="E810" s="267" t="str">
        <f t="shared" si="158"/>
        <v>octubre</v>
      </c>
      <c r="F810" s="202">
        <v>44847</v>
      </c>
      <c r="G810" s="203">
        <v>44853</v>
      </c>
      <c r="H810" s="200">
        <v>242453</v>
      </c>
      <c r="I810" s="254">
        <v>7008151</v>
      </c>
      <c r="J810" s="557" t="str">
        <f t="shared" si="160"/>
        <v>Res novilla ceba</v>
      </c>
      <c r="K810" s="200">
        <v>5972</v>
      </c>
      <c r="L810" s="550">
        <f t="shared" si="166"/>
        <v>7536.75</v>
      </c>
      <c r="M810" s="213">
        <v>45009471</v>
      </c>
      <c r="N810" s="214">
        <v>20</v>
      </c>
      <c r="O810" s="554">
        <f t="shared" si="161"/>
        <v>298.60000000000002</v>
      </c>
      <c r="P810" s="548">
        <f t="shared" si="159"/>
        <v>2250473.5499999998</v>
      </c>
    </row>
    <row r="811" spans="1:16" ht="12.75">
      <c r="A811" s="199" t="s">
        <v>3454</v>
      </c>
      <c r="B811" s="200" t="s">
        <v>4093</v>
      </c>
      <c r="C811" s="200" t="str">
        <f>VLOOKUP(B811,Fincas!$A$2:$C$1005,2,0)</f>
        <v>F_Chinulito</v>
      </c>
      <c r="D811" s="201">
        <v>44847</v>
      </c>
      <c r="E811" s="267" t="str">
        <f t="shared" si="158"/>
        <v>octubre</v>
      </c>
      <c r="F811" s="202">
        <v>44847</v>
      </c>
      <c r="G811" s="203">
        <v>44853</v>
      </c>
      <c r="H811" s="200">
        <v>242488</v>
      </c>
      <c r="I811" s="254">
        <v>7008151</v>
      </c>
      <c r="J811" s="557" t="str">
        <f t="shared" si="160"/>
        <v>Res novilla ceba</v>
      </c>
      <c r="K811" s="200">
        <v>5050</v>
      </c>
      <c r="L811" s="550">
        <f t="shared" si="166"/>
        <v>6833.32</v>
      </c>
      <c r="M811" s="213">
        <v>34508266</v>
      </c>
      <c r="N811" s="214">
        <v>20</v>
      </c>
      <c r="O811" s="554">
        <f t="shared" si="161"/>
        <v>252.5</v>
      </c>
      <c r="P811" s="548">
        <f t="shared" si="159"/>
        <v>1725413.3</v>
      </c>
    </row>
    <row r="812" spans="1:16" ht="12.75">
      <c r="A812" s="199" t="s">
        <v>3454</v>
      </c>
      <c r="B812" s="200" t="s">
        <v>4095</v>
      </c>
      <c r="C812" s="200" t="str">
        <f>VLOOKUP(B812,Fincas!$A$2:$C$1005,2,0)</f>
        <v>A_El Playon</v>
      </c>
      <c r="D812" s="201">
        <v>44846</v>
      </c>
      <c r="E812" s="267" t="str">
        <f t="shared" si="158"/>
        <v>octubre</v>
      </c>
      <c r="F812" s="202">
        <v>44847</v>
      </c>
      <c r="G812" s="203">
        <v>44853</v>
      </c>
      <c r="H812" s="200">
        <v>40318</v>
      </c>
      <c r="I812" s="212">
        <v>7008147</v>
      </c>
      <c r="J812" s="212" t="str">
        <f t="shared" si="160"/>
        <v>Res macho levante</v>
      </c>
      <c r="K812" s="200">
        <v>5318</v>
      </c>
      <c r="L812" s="550">
        <f t="shared" si="166"/>
        <v>9144.5900714554336</v>
      </c>
      <c r="M812" s="213">
        <v>48630930</v>
      </c>
      <c r="N812" s="214">
        <v>26</v>
      </c>
      <c r="O812" s="554">
        <f t="shared" si="161"/>
        <v>204.53846153846155</v>
      </c>
      <c r="P812" s="548">
        <f t="shared" si="159"/>
        <v>1870420.3846153845</v>
      </c>
    </row>
    <row r="813" spans="1:16" ht="12.75">
      <c r="A813" s="199" t="s">
        <v>3454</v>
      </c>
      <c r="B813" s="200" t="s">
        <v>4095</v>
      </c>
      <c r="C813" s="200" t="str">
        <f>VLOOKUP(B813,Fincas!$A$2:$C$1005,2,0)</f>
        <v>A_El Playon</v>
      </c>
      <c r="D813" s="201">
        <v>44846</v>
      </c>
      <c r="E813" s="267" t="str">
        <f t="shared" si="158"/>
        <v>octubre</v>
      </c>
      <c r="F813" s="202">
        <v>44847</v>
      </c>
      <c r="G813" s="203">
        <v>44853</v>
      </c>
      <c r="H813" s="200">
        <v>40319</v>
      </c>
      <c r="I813" s="212">
        <v>7008147</v>
      </c>
      <c r="J813" s="212" t="str">
        <f t="shared" si="160"/>
        <v>Res macho levante</v>
      </c>
      <c r="K813" s="200">
        <v>5238</v>
      </c>
      <c r="L813" s="550">
        <f t="shared" si="166"/>
        <v>8843.1200840015281</v>
      </c>
      <c r="M813" s="213">
        <v>46320263</v>
      </c>
      <c r="N813" s="214">
        <v>25</v>
      </c>
      <c r="O813" s="554">
        <f t="shared" si="161"/>
        <v>209.52</v>
      </c>
      <c r="P813" s="548">
        <f t="shared" si="159"/>
        <v>1852810.52</v>
      </c>
    </row>
    <row r="814" spans="1:16" ht="12.75">
      <c r="A814" s="199" t="s">
        <v>3454</v>
      </c>
      <c r="B814" s="200" t="s">
        <v>4095</v>
      </c>
      <c r="C814" s="200" t="str">
        <f>VLOOKUP(B814,Fincas!$A$2:$C$1005,2,0)</f>
        <v>A_El Playon</v>
      </c>
      <c r="D814" s="201">
        <v>44846</v>
      </c>
      <c r="E814" s="267" t="str">
        <f t="shared" si="158"/>
        <v>octubre</v>
      </c>
      <c r="F814" s="202">
        <v>44847</v>
      </c>
      <c r="G814" s="203">
        <v>44853</v>
      </c>
      <c r="H814" s="200">
        <v>40321</v>
      </c>
      <c r="I814" s="212">
        <v>7008147</v>
      </c>
      <c r="J814" s="212" t="str">
        <f t="shared" si="160"/>
        <v>Res macho levante</v>
      </c>
      <c r="K814" s="200">
        <v>5018</v>
      </c>
      <c r="L814" s="550">
        <f t="shared" si="166"/>
        <v>8742.6299322439227</v>
      </c>
      <c r="M814" s="213">
        <v>43870517</v>
      </c>
      <c r="N814" s="214">
        <v>24</v>
      </c>
      <c r="O814" s="554">
        <f t="shared" si="161"/>
        <v>209.08333333333334</v>
      </c>
      <c r="P814" s="548">
        <f t="shared" si="159"/>
        <v>1827938.2083333333</v>
      </c>
    </row>
    <row r="815" spans="1:16" ht="12.75">
      <c r="A815" s="199" t="s">
        <v>3454</v>
      </c>
      <c r="B815" s="200" t="s">
        <v>4095</v>
      </c>
      <c r="C815" s="200" t="str">
        <f>VLOOKUP(B815,Fincas!$A$2:$C$1005,2,0)</f>
        <v>A_El Playon</v>
      </c>
      <c r="D815" s="201">
        <v>44846</v>
      </c>
      <c r="E815" s="267" t="str">
        <f t="shared" si="158"/>
        <v>octubre</v>
      </c>
      <c r="F815" s="202">
        <v>44847</v>
      </c>
      <c r="G815" s="203">
        <v>44853</v>
      </c>
      <c r="H815" s="200">
        <v>40325</v>
      </c>
      <c r="I815" s="212">
        <v>7008147</v>
      </c>
      <c r="J815" s="212" t="str">
        <f t="shared" si="160"/>
        <v>Res macho levante</v>
      </c>
      <c r="K815" s="200">
        <v>5468</v>
      </c>
      <c r="L815" s="550">
        <f t="shared" si="166"/>
        <v>8541.6499634235552</v>
      </c>
      <c r="M815" s="213">
        <v>46705742</v>
      </c>
      <c r="N815" s="214">
        <v>28</v>
      </c>
      <c r="O815" s="554">
        <f t="shared" si="161"/>
        <v>195.28571428571428</v>
      </c>
      <c r="P815" s="548">
        <f t="shared" si="159"/>
        <v>1668062.2142857143</v>
      </c>
    </row>
    <row r="816" spans="1:16" ht="12.75">
      <c r="A816" s="199" t="s">
        <v>3454</v>
      </c>
      <c r="B816" s="200" t="s">
        <v>4095</v>
      </c>
      <c r="C816" s="200" t="str">
        <f>VLOOKUP(B816,Fincas!$A$2:$C$1005,2,0)</f>
        <v>A_El Playon</v>
      </c>
      <c r="D816" s="201">
        <v>44846</v>
      </c>
      <c r="E816" s="267" t="str">
        <f t="shared" si="158"/>
        <v>octubre</v>
      </c>
      <c r="F816" s="202">
        <v>44847</v>
      </c>
      <c r="G816" s="203">
        <v>44853</v>
      </c>
      <c r="H816" s="200">
        <v>40333</v>
      </c>
      <c r="I816" s="212">
        <v>7008147</v>
      </c>
      <c r="J816" s="212" t="str">
        <f t="shared" si="160"/>
        <v>Res macho levante</v>
      </c>
      <c r="K816" s="200">
        <v>5760</v>
      </c>
      <c r="L816" s="550">
        <f t="shared" si="166"/>
        <v>7938.7100694444443</v>
      </c>
      <c r="M816" s="213">
        <v>45726970</v>
      </c>
      <c r="N816" s="214">
        <v>20</v>
      </c>
      <c r="O816" s="554">
        <f t="shared" si="161"/>
        <v>288</v>
      </c>
      <c r="P816" s="548">
        <f t="shared" si="159"/>
        <v>2286348.5</v>
      </c>
    </row>
    <row r="817" spans="1:16" ht="12.75">
      <c r="A817" s="199" t="s">
        <v>3511</v>
      </c>
      <c r="B817" s="200" t="s">
        <v>3551</v>
      </c>
      <c r="C817" s="200" t="str">
        <f>VLOOKUP(B817,Fincas!$A$2:$C$1005,2,0)</f>
        <v>F_La Castellana</v>
      </c>
      <c r="D817" s="201">
        <v>44847</v>
      </c>
      <c r="E817" s="267" t="str">
        <f t="shared" si="158"/>
        <v>octubre</v>
      </c>
      <c r="F817" s="202">
        <v>44848</v>
      </c>
      <c r="G817" s="203">
        <v>44853</v>
      </c>
      <c r="H817" s="200" t="s">
        <v>4096</v>
      </c>
      <c r="I817" s="212">
        <v>7008147</v>
      </c>
      <c r="J817" s="212" t="str">
        <f t="shared" si="160"/>
        <v>Res macho levante</v>
      </c>
      <c r="K817" s="200">
        <v>5958</v>
      </c>
      <c r="L817" s="550">
        <v>8050</v>
      </c>
      <c r="M817" s="205">
        <f t="shared" ref="M817:M834" si="167">L817*K817</f>
        <v>47961900</v>
      </c>
      <c r="N817" s="206">
        <v>24</v>
      </c>
      <c r="O817" s="554">
        <f t="shared" si="161"/>
        <v>248.25</v>
      </c>
      <c r="P817" s="548">
        <f t="shared" si="159"/>
        <v>1998412.5</v>
      </c>
    </row>
    <row r="818" spans="1:16" ht="12.75">
      <c r="A818" s="199" t="s">
        <v>4097</v>
      </c>
      <c r="B818" s="200" t="s">
        <v>3658</v>
      </c>
      <c r="C818" s="200" t="str">
        <f>VLOOKUP(B818,Fincas!$A$2:$C$1005,2,0)</f>
        <v>F_El Rosario</v>
      </c>
      <c r="D818" s="201">
        <v>44847</v>
      </c>
      <c r="E818" s="267" t="str">
        <f t="shared" si="158"/>
        <v>octubre</v>
      </c>
      <c r="F818" s="202">
        <v>44846</v>
      </c>
      <c r="G818" s="203">
        <v>44854</v>
      </c>
      <c r="H818" s="210" t="s">
        <v>4098</v>
      </c>
      <c r="I818" s="253">
        <v>7008146</v>
      </c>
      <c r="J818" s="253" t="str">
        <f t="shared" si="160"/>
        <v>Res macho ceba</v>
      </c>
      <c r="K818" s="200">
        <v>6431</v>
      </c>
      <c r="L818" s="550">
        <v>8500</v>
      </c>
      <c r="M818" s="205">
        <f t="shared" si="167"/>
        <v>54663500</v>
      </c>
      <c r="N818" s="206">
        <v>24</v>
      </c>
      <c r="O818" s="554">
        <f t="shared" si="161"/>
        <v>267.95833333333331</v>
      </c>
      <c r="P818" s="548">
        <f t="shared" si="159"/>
        <v>2277645.8333333335</v>
      </c>
    </row>
    <row r="819" spans="1:16" ht="12.75">
      <c r="A819" s="199" t="s">
        <v>3426</v>
      </c>
      <c r="B819" s="200" t="s">
        <v>4093</v>
      </c>
      <c r="C819" s="200" t="str">
        <f>VLOOKUP(B819,Fincas!$A$2:$C$1005,2,0)</f>
        <v>F_Chinulito</v>
      </c>
      <c r="D819" s="201">
        <v>44854</v>
      </c>
      <c r="E819" s="267" t="str">
        <f t="shared" si="158"/>
        <v>octubre</v>
      </c>
      <c r="F819" s="202">
        <v>44854</v>
      </c>
      <c r="G819" s="203">
        <v>44855</v>
      </c>
      <c r="H819" s="200" t="s">
        <v>4099</v>
      </c>
      <c r="I819" s="254">
        <v>7008151</v>
      </c>
      <c r="J819" s="557" t="str">
        <f t="shared" si="160"/>
        <v>Res novilla ceba</v>
      </c>
      <c r="K819" s="200">
        <v>18235</v>
      </c>
      <c r="L819" s="550">
        <v>7197</v>
      </c>
      <c r="M819" s="205">
        <f t="shared" si="167"/>
        <v>131237295</v>
      </c>
      <c r="N819" s="214">
        <v>60</v>
      </c>
      <c r="O819" s="554">
        <f t="shared" si="161"/>
        <v>303.91666666666669</v>
      </c>
      <c r="P819" s="548">
        <f t="shared" si="159"/>
        <v>2187288.25</v>
      </c>
    </row>
    <row r="820" spans="1:16" ht="12.75">
      <c r="A820" s="199" t="s">
        <v>3426</v>
      </c>
      <c r="B820" s="200" t="s">
        <v>4093</v>
      </c>
      <c r="C820" s="200" t="str">
        <f>VLOOKUP(B820,Fincas!$A$2:$C$1005,2,0)</f>
        <v>F_Chinulito</v>
      </c>
      <c r="D820" s="201">
        <v>44854</v>
      </c>
      <c r="E820" s="267" t="str">
        <f t="shared" si="158"/>
        <v>octubre</v>
      </c>
      <c r="F820" s="202">
        <v>44854</v>
      </c>
      <c r="G820" s="203">
        <v>44855</v>
      </c>
      <c r="H820" s="200" t="s">
        <v>4100</v>
      </c>
      <c r="I820" s="254">
        <v>7008151</v>
      </c>
      <c r="J820" s="557" t="str">
        <f t="shared" si="160"/>
        <v>Res novilla ceba</v>
      </c>
      <c r="K820" s="200">
        <v>5372</v>
      </c>
      <c r="L820" s="550">
        <v>7360</v>
      </c>
      <c r="M820" s="205">
        <f t="shared" si="167"/>
        <v>39537920</v>
      </c>
      <c r="N820" s="214">
        <v>16</v>
      </c>
      <c r="O820" s="554">
        <f t="shared" si="161"/>
        <v>335.75</v>
      </c>
      <c r="P820" s="548">
        <f t="shared" si="159"/>
        <v>2471120</v>
      </c>
    </row>
    <row r="821" spans="1:16" ht="12.75">
      <c r="A821" s="199" t="s">
        <v>3622</v>
      </c>
      <c r="B821" s="200" t="s">
        <v>3754</v>
      </c>
      <c r="C821" s="200" t="str">
        <f>VLOOKUP(B821,Fincas!$A$2:$C$1005,2,0)</f>
        <v>Alm. FeedLot</v>
      </c>
      <c r="D821" s="201">
        <v>44855</v>
      </c>
      <c r="E821" s="267" t="str">
        <f t="shared" si="158"/>
        <v>octubre</v>
      </c>
      <c r="F821" s="202">
        <v>44856</v>
      </c>
      <c r="G821" s="203">
        <v>44857</v>
      </c>
      <c r="H821" s="200" t="s">
        <v>4101</v>
      </c>
      <c r="I821" s="253">
        <v>7008146</v>
      </c>
      <c r="J821" s="253" t="str">
        <f t="shared" si="160"/>
        <v>Res macho ceba</v>
      </c>
      <c r="K821" s="200">
        <v>5946</v>
      </c>
      <c r="L821" s="550">
        <v>8200</v>
      </c>
      <c r="M821" s="205">
        <f t="shared" si="167"/>
        <v>48757200</v>
      </c>
      <c r="N821" s="214">
        <v>18</v>
      </c>
      <c r="O821" s="554">
        <f t="shared" si="161"/>
        <v>330.33333333333331</v>
      </c>
      <c r="P821" s="548">
        <f t="shared" si="159"/>
        <v>2708733.3333333335</v>
      </c>
    </row>
    <row r="822" spans="1:16" ht="12.75">
      <c r="A822" s="199" t="s">
        <v>3602</v>
      </c>
      <c r="B822" s="200" t="s">
        <v>3603</v>
      </c>
      <c r="C822" s="200" t="str">
        <f>VLOOKUP(B822,Fincas!$A$2:$C$1005,2,0)</f>
        <v>F_Cocodrilla</v>
      </c>
      <c r="D822" s="201">
        <v>44858</v>
      </c>
      <c r="E822" s="267" t="str">
        <f t="shared" si="158"/>
        <v>octubre</v>
      </c>
      <c r="F822" s="202">
        <v>44858</v>
      </c>
      <c r="G822" s="203">
        <v>44858</v>
      </c>
      <c r="H822" s="200" t="s">
        <v>4081</v>
      </c>
      <c r="I822" s="253">
        <v>7008146</v>
      </c>
      <c r="J822" s="253" t="str">
        <f t="shared" si="160"/>
        <v>Res macho ceba</v>
      </c>
      <c r="K822" s="200">
        <v>80402</v>
      </c>
      <c r="L822" s="550">
        <v>8500</v>
      </c>
      <c r="M822" s="205">
        <f t="shared" si="167"/>
        <v>683417000</v>
      </c>
      <c r="N822" s="214">
        <v>204</v>
      </c>
      <c r="O822" s="554">
        <f t="shared" si="161"/>
        <v>394.12745098039215</v>
      </c>
      <c r="P822" s="548">
        <f t="shared" si="159"/>
        <v>3350083.3333333335</v>
      </c>
    </row>
    <row r="823" spans="1:16" ht="12.75">
      <c r="A823" s="199" t="s">
        <v>3548</v>
      </c>
      <c r="B823" s="200" t="s">
        <v>3549</v>
      </c>
      <c r="C823" s="200" t="str">
        <f>VLOOKUP(B823,Fincas!$A$2:$C$1005,2,0)</f>
        <v>F_El Imperio</v>
      </c>
      <c r="D823" s="201">
        <v>44853</v>
      </c>
      <c r="E823" s="267" t="str">
        <f t="shared" si="158"/>
        <v>octubre</v>
      </c>
      <c r="F823" s="202">
        <v>44853</v>
      </c>
      <c r="G823" s="203">
        <v>44859</v>
      </c>
      <c r="H823" s="200" t="s">
        <v>4102</v>
      </c>
      <c r="I823" s="253">
        <v>7008146</v>
      </c>
      <c r="J823" s="253" t="str">
        <f t="shared" si="160"/>
        <v>Res macho ceba</v>
      </c>
      <c r="K823" s="200">
        <v>8002</v>
      </c>
      <c r="L823" s="550">
        <v>8100</v>
      </c>
      <c r="M823" s="205">
        <f t="shared" si="167"/>
        <v>64816200</v>
      </c>
      <c r="N823" s="214">
        <v>23</v>
      </c>
      <c r="O823" s="554">
        <f t="shared" si="161"/>
        <v>347.91304347826087</v>
      </c>
      <c r="P823" s="548">
        <f t="shared" si="159"/>
        <v>2818095.6521739131</v>
      </c>
    </row>
    <row r="824" spans="1:16" ht="12.75">
      <c r="A824" s="199" t="s">
        <v>3426</v>
      </c>
      <c r="B824" s="200" t="s">
        <v>3431</v>
      </c>
      <c r="C824" s="200" t="str">
        <f>VLOOKUP(B824,Fincas!$A$2:$C$1005,2,0)</f>
        <v>F_Totumito</v>
      </c>
      <c r="D824" s="201">
        <v>44855</v>
      </c>
      <c r="E824" s="267" t="str">
        <f t="shared" si="158"/>
        <v>octubre</v>
      </c>
      <c r="F824" s="202">
        <v>44855</v>
      </c>
      <c r="G824" s="203">
        <v>44860</v>
      </c>
      <c r="H824" s="200" t="s">
        <v>4103</v>
      </c>
      <c r="I824" s="212">
        <v>7008147</v>
      </c>
      <c r="J824" s="212" t="str">
        <f t="shared" si="160"/>
        <v>Res macho levante</v>
      </c>
      <c r="K824" s="200">
        <v>4842</v>
      </c>
      <c r="L824" s="550">
        <v>8496</v>
      </c>
      <c r="M824" s="205">
        <f t="shared" si="167"/>
        <v>41137632</v>
      </c>
      <c r="N824" s="214">
        <v>20</v>
      </c>
      <c r="O824" s="554">
        <f t="shared" si="161"/>
        <v>242.1</v>
      </c>
      <c r="P824" s="548">
        <f t="shared" si="159"/>
        <v>2056881.6</v>
      </c>
    </row>
    <row r="825" spans="1:16" ht="12.75">
      <c r="A825" s="199" t="s">
        <v>3426</v>
      </c>
      <c r="B825" s="200" t="s">
        <v>3431</v>
      </c>
      <c r="C825" s="200" t="str">
        <f>VLOOKUP(B825,Fincas!$A$2:$C$1005,2,0)</f>
        <v>F_Totumito</v>
      </c>
      <c r="D825" s="201">
        <v>44855</v>
      </c>
      <c r="E825" s="267" t="str">
        <f t="shared" si="158"/>
        <v>octubre</v>
      </c>
      <c r="F825" s="202">
        <v>44858</v>
      </c>
      <c r="G825" s="203">
        <v>44860</v>
      </c>
      <c r="H825" s="200" t="s">
        <v>4104</v>
      </c>
      <c r="I825" s="212">
        <v>7008147</v>
      </c>
      <c r="J825" s="212" t="str">
        <f t="shared" si="160"/>
        <v>Res macho levante</v>
      </c>
      <c r="K825" s="200">
        <v>5063</v>
      </c>
      <c r="L825" s="550">
        <v>8547</v>
      </c>
      <c r="M825" s="205">
        <f t="shared" si="167"/>
        <v>43273461</v>
      </c>
      <c r="N825" s="214">
        <v>22</v>
      </c>
      <c r="O825" s="554">
        <f t="shared" si="161"/>
        <v>230.13636363636363</v>
      </c>
      <c r="P825" s="548">
        <f t="shared" si="159"/>
        <v>1966975.5</v>
      </c>
    </row>
    <row r="826" spans="1:16" ht="12.75">
      <c r="A826" s="199" t="s">
        <v>3586</v>
      </c>
      <c r="B826" s="200" t="s">
        <v>3587</v>
      </c>
      <c r="C826" s="200" t="str">
        <f>VLOOKUP(B826,Fincas!$A$2:$C$1005,2,0)</f>
        <v>F_Monaco</v>
      </c>
      <c r="D826" s="201">
        <v>44860</v>
      </c>
      <c r="E826" s="267" t="str">
        <f t="shared" si="158"/>
        <v>octubre</v>
      </c>
      <c r="F826" s="202">
        <v>44860</v>
      </c>
      <c r="G826" s="203">
        <v>44860</v>
      </c>
      <c r="H826" s="200" t="s">
        <v>4105</v>
      </c>
      <c r="I826" s="253">
        <v>7008146</v>
      </c>
      <c r="J826" s="253" t="str">
        <f t="shared" si="160"/>
        <v>Res macho ceba</v>
      </c>
      <c r="K826" s="200">
        <v>12759</v>
      </c>
      <c r="L826" s="550">
        <v>8650</v>
      </c>
      <c r="M826" s="205">
        <f t="shared" si="167"/>
        <v>110365350</v>
      </c>
      <c r="N826" s="214">
        <v>36</v>
      </c>
      <c r="O826" s="554">
        <f t="shared" si="161"/>
        <v>354.41666666666669</v>
      </c>
      <c r="P826" s="548">
        <f t="shared" si="159"/>
        <v>3065704.1666666665</v>
      </c>
    </row>
    <row r="827" spans="1:16" ht="12.75">
      <c r="A827" s="199" t="s">
        <v>4106</v>
      </c>
      <c r="B827" s="200" t="s">
        <v>3578</v>
      </c>
      <c r="C827" s="200" t="str">
        <f>VLOOKUP(B827,Fincas!$A$2:$C$1005,2,0)</f>
        <v>F_Triana</v>
      </c>
      <c r="D827" s="201">
        <v>44859</v>
      </c>
      <c r="E827" s="267" t="str">
        <f t="shared" si="158"/>
        <v>octubre</v>
      </c>
      <c r="F827" s="202">
        <v>44859</v>
      </c>
      <c r="G827" s="203">
        <v>44861</v>
      </c>
      <c r="H827" s="200" t="s">
        <v>4107</v>
      </c>
      <c r="I827" s="253">
        <v>7008146</v>
      </c>
      <c r="J827" s="253" t="str">
        <f t="shared" si="160"/>
        <v>Res macho ceba</v>
      </c>
      <c r="K827" s="200">
        <v>60509</v>
      </c>
      <c r="L827" s="550">
        <v>8700</v>
      </c>
      <c r="M827" s="205">
        <f t="shared" si="167"/>
        <v>526428300</v>
      </c>
      <c r="N827" s="214">
        <v>155</v>
      </c>
      <c r="O827" s="554">
        <f t="shared" si="161"/>
        <v>390.38064516129032</v>
      </c>
      <c r="P827" s="548">
        <f t="shared" si="159"/>
        <v>3396311.6129032257</v>
      </c>
    </row>
    <row r="828" spans="1:16" ht="12.75">
      <c r="A828" s="199" t="s">
        <v>3898</v>
      </c>
      <c r="B828" s="200" t="s">
        <v>3623</v>
      </c>
      <c r="C828" s="200" t="str">
        <f>VLOOKUP(B828,Fincas!$A$2:$C$1005,2,0)</f>
        <v>F_Vista Hermosa</v>
      </c>
      <c r="D828" s="201">
        <v>44859</v>
      </c>
      <c r="E828" s="267" t="str">
        <f t="shared" si="158"/>
        <v>octubre</v>
      </c>
      <c r="F828" s="202">
        <v>44856</v>
      </c>
      <c r="G828" s="203">
        <v>44862</v>
      </c>
      <c r="H828" s="200" t="s">
        <v>4108</v>
      </c>
      <c r="I828" s="212">
        <v>7008147</v>
      </c>
      <c r="J828" s="212" t="str">
        <f t="shared" si="160"/>
        <v>Res macho levante</v>
      </c>
      <c r="K828" s="200">
        <v>8691</v>
      </c>
      <c r="L828" s="550">
        <v>8450</v>
      </c>
      <c r="M828" s="205">
        <f t="shared" si="167"/>
        <v>73438950</v>
      </c>
      <c r="N828" s="214">
        <v>40</v>
      </c>
      <c r="O828" s="554">
        <f t="shared" si="161"/>
        <v>217.27500000000001</v>
      </c>
      <c r="P828" s="548">
        <f t="shared" si="159"/>
        <v>1835973.75</v>
      </c>
    </row>
    <row r="829" spans="1:16" ht="12.75">
      <c r="A829" s="199" t="s">
        <v>4109</v>
      </c>
      <c r="B829" s="200" t="s">
        <v>3474</v>
      </c>
      <c r="C829" s="200" t="str">
        <f>VLOOKUP(B829,Fincas!$A$2:$C$1005,2,0)</f>
        <v>F_Santa Elena</v>
      </c>
      <c r="D829" s="201">
        <v>44859</v>
      </c>
      <c r="E829" s="267" t="str">
        <f t="shared" si="158"/>
        <v>octubre</v>
      </c>
      <c r="F829" s="202">
        <v>44854</v>
      </c>
      <c r="G829" s="203">
        <v>44862</v>
      </c>
      <c r="H829" s="200" t="s">
        <v>4110</v>
      </c>
      <c r="I829" s="212">
        <v>7008147</v>
      </c>
      <c r="J829" s="212" t="str">
        <f t="shared" si="160"/>
        <v>Res macho levante</v>
      </c>
      <c r="K829" s="200">
        <v>5309</v>
      </c>
      <c r="L829" s="550">
        <v>9000</v>
      </c>
      <c r="M829" s="205">
        <f t="shared" si="167"/>
        <v>47781000</v>
      </c>
      <c r="N829" s="214">
        <v>30</v>
      </c>
      <c r="O829" s="554">
        <f t="shared" si="161"/>
        <v>176.96666666666667</v>
      </c>
      <c r="P829" s="548">
        <f t="shared" si="159"/>
        <v>1592700</v>
      </c>
    </row>
    <row r="830" spans="1:16" ht="12.75">
      <c r="A830" s="199" t="s">
        <v>1429</v>
      </c>
      <c r="B830" s="200" t="s">
        <v>3708</v>
      </c>
      <c r="C830" s="200" t="str">
        <f>VLOOKUP(B830,Fincas!$A$2:$C$1005,2,0)</f>
        <v>F_El Arbolito</v>
      </c>
      <c r="D830" s="201">
        <v>44854</v>
      </c>
      <c r="E830" s="267" t="str">
        <f t="shared" si="158"/>
        <v>octubre</v>
      </c>
      <c r="F830" s="202">
        <v>44854</v>
      </c>
      <c r="G830" s="203">
        <v>44862</v>
      </c>
      <c r="H830" s="210" t="s">
        <v>4111</v>
      </c>
      <c r="I830" s="253">
        <v>7008146</v>
      </c>
      <c r="J830" s="253" t="str">
        <f t="shared" si="160"/>
        <v>Res macho ceba</v>
      </c>
      <c r="K830" s="200">
        <v>43733</v>
      </c>
      <c r="L830" s="550">
        <v>8350</v>
      </c>
      <c r="M830" s="205">
        <f t="shared" si="167"/>
        <v>365170550</v>
      </c>
      <c r="N830" s="214">
        <v>137</v>
      </c>
      <c r="O830" s="554">
        <f t="shared" si="161"/>
        <v>319.21897810218979</v>
      </c>
      <c r="P830" s="548">
        <f t="shared" si="159"/>
        <v>2665478.4671532847</v>
      </c>
    </row>
    <row r="831" spans="1:16" ht="12.75">
      <c r="A831" s="199" t="s">
        <v>3426</v>
      </c>
      <c r="B831" s="200" t="s">
        <v>3476</v>
      </c>
      <c r="C831" s="200" t="str">
        <f>VLOOKUP(B831,Fincas!$A$2:$C$1005,2,0)</f>
        <v>F_Guacharacas</v>
      </c>
      <c r="D831" s="201">
        <v>44862</v>
      </c>
      <c r="E831" s="267" t="str">
        <f t="shared" si="158"/>
        <v>octubre</v>
      </c>
      <c r="F831" s="202">
        <v>44862</v>
      </c>
      <c r="G831" s="203">
        <v>44862</v>
      </c>
      <c r="H831" s="200" t="s">
        <v>4112</v>
      </c>
      <c r="I831" s="253">
        <v>7008146</v>
      </c>
      <c r="J831" s="253" t="str">
        <f t="shared" si="160"/>
        <v>Res macho ceba</v>
      </c>
      <c r="K831" s="200">
        <v>19294</v>
      </c>
      <c r="L831" s="550">
        <v>8547</v>
      </c>
      <c r="M831" s="205">
        <f t="shared" si="167"/>
        <v>164905818</v>
      </c>
      <c r="N831" s="214">
        <v>48</v>
      </c>
      <c r="O831" s="554">
        <f t="shared" si="161"/>
        <v>401.95833333333331</v>
      </c>
      <c r="P831" s="548">
        <f t="shared" si="159"/>
        <v>3435537.875</v>
      </c>
    </row>
    <row r="832" spans="1:16" ht="12.75">
      <c r="A832" s="199" t="s">
        <v>4109</v>
      </c>
      <c r="B832" s="200" t="s">
        <v>4113</v>
      </c>
      <c r="C832" s="200" t="str">
        <f>VLOOKUP(B832,Fincas!$A$2:$C$1005,2,0)</f>
        <v>F_Santo Domingo</v>
      </c>
      <c r="D832" s="201">
        <v>44858</v>
      </c>
      <c r="E832" s="267" t="str">
        <f t="shared" si="158"/>
        <v>octubre</v>
      </c>
      <c r="F832" s="202">
        <v>44855</v>
      </c>
      <c r="G832" s="203">
        <v>44865</v>
      </c>
      <c r="H832" s="200" t="s">
        <v>4114</v>
      </c>
      <c r="I832" s="212">
        <v>7008147</v>
      </c>
      <c r="J832" s="212" t="str">
        <f t="shared" si="160"/>
        <v>Res macho levante</v>
      </c>
      <c r="K832" s="200">
        <v>44570</v>
      </c>
      <c r="L832" s="550">
        <v>9000</v>
      </c>
      <c r="M832" s="205">
        <f t="shared" si="167"/>
        <v>401130000</v>
      </c>
      <c r="N832" s="214">
        <v>240</v>
      </c>
      <c r="O832" s="554">
        <f t="shared" si="161"/>
        <v>185.70833333333334</v>
      </c>
      <c r="P832" s="548">
        <f t="shared" si="159"/>
        <v>1671375</v>
      </c>
    </row>
    <row r="833" spans="1:16" ht="12.75">
      <c r="A833" s="199" t="s">
        <v>3454</v>
      </c>
      <c r="B833" s="200" t="s">
        <v>4095</v>
      </c>
      <c r="C833" s="200" t="str">
        <f>VLOOKUP(B833,Fincas!$A$2:$C$1005,2,0)</f>
        <v>A_El Playon</v>
      </c>
      <c r="D833" s="201">
        <v>44853</v>
      </c>
      <c r="E833" s="267" t="str">
        <f t="shared" si="158"/>
        <v>octubre</v>
      </c>
      <c r="F833" s="202">
        <v>44854</v>
      </c>
      <c r="G833" s="203">
        <v>44865</v>
      </c>
      <c r="H833" s="200" t="s">
        <v>4115</v>
      </c>
      <c r="I833" s="212">
        <v>7008147</v>
      </c>
      <c r="J833" s="212" t="str">
        <f t="shared" si="160"/>
        <v>Res macho levante</v>
      </c>
      <c r="K833" s="200">
        <v>5984</v>
      </c>
      <c r="L833" s="550">
        <v>8391</v>
      </c>
      <c r="M833" s="205">
        <f t="shared" si="167"/>
        <v>50211744</v>
      </c>
      <c r="N833" s="214">
        <v>29</v>
      </c>
      <c r="O833" s="554">
        <f t="shared" si="161"/>
        <v>206.34482758620689</v>
      </c>
      <c r="P833" s="548">
        <f t="shared" si="159"/>
        <v>1731439.448275862</v>
      </c>
    </row>
    <row r="834" spans="1:16" ht="12.75">
      <c r="A834" s="199" t="s">
        <v>3511</v>
      </c>
      <c r="B834" s="200" t="s">
        <v>3449</v>
      </c>
      <c r="C834" s="200" t="str">
        <f>VLOOKUP(B834,Fincas!$A$2:$C$1005,2,0)</f>
        <v>F_La Estrella</v>
      </c>
      <c r="D834" s="201">
        <v>44861</v>
      </c>
      <c r="E834" s="267" t="str">
        <f t="shared" ref="E834:E897" si="168">+TEXT(D834,"mmmm")</f>
        <v>octubre</v>
      </c>
      <c r="F834" s="202">
        <v>44862</v>
      </c>
      <c r="G834" s="203">
        <v>44865</v>
      </c>
      <c r="H834" s="200">
        <v>9528</v>
      </c>
      <c r="I834" s="212">
        <v>7008147</v>
      </c>
      <c r="J834" s="212" t="str">
        <f t="shared" si="160"/>
        <v>Res macho levante</v>
      </c>
      <c r="K834" s="200">
        <v>1393</v>
      </c>
      <c r="L834" s="550">
        <v>9400</v>
      </c>
      <c r="M834" s="205">
        <f t="shared" si="167"/>
        <v>13094200</v>
      </c>
      <c r="N834" s="214">
        <v>5</v>
      </c>
      <c r="O834" s="554">
        <f t="shared" si="161"/>
        <v>278.60000000000002</v>
      </c>
      <c r="P834" s="548">
        <f t="shared" ref="P834:P897" si="169">+M834/N834</f>
        <v>2618840</v>
      </c>
    </row>
    <row r="835" spans="1:16" ht="12.75">
      <c r="A835" s="199" t="s">
        <v>3511</v>
      </c>
      <c r="B835" s="200" t="s">
        <v>3449</v>
      </c>
      <c r="C835" s="200" t="str">
        <f>VLOOKUP(B835,Fincas!$A$2:$C$1005,2,0)</f>
        <v>F_La Estrella</v>
      </c>
      <c r="D835" s="201">
        <v>44861</v>
      </c>
      <c r="E835" s="267" t="str">
        <f t="shared" si="168"/>
        <v>octubre</v>
      </c>
      <c r="F835" s="202">
        <v>44862</v>
      </c>
      <c r="G835" s="203">
        <v>44865</v>
      </c>
      <c r="H835" s="200">
        <v>9486</v>
      </c>
      <c r="I835" s="212">
        <v>7008147</v>
      </c>
      <c r="J835" s="212" t="str">
        <f t="shared" ref="J835:J898" si="170">+VLOOKUP(I835,$F$962:$G$970,2,0)</f>
        <v>Res macho levante</v>
      </c>
      <c r="K835" s="200">
        <v>2140</v>
      </c>
      <c r="L835" s="550">
        <f t="shared" ref="L835:L836" si="171">M835/K835</f>
        <v>9719.6261682242985</v>
      </c>
      <c r="M835" s="213">
        <v>20800000</v>
      </c>
      <c r="N835" s="214">
        <v>8</v>
      </c>
      <c r="O835" s="554">
        <f t="shared" ref="O835:O898" si="172">+K835/N835</f>
        <v>267.5</v>
      </c>
      <c r="P835" s="548">
        <f t="shared" si="169"/>
        <v>2600000</v>
      </c>
    </row>
    <row r="836" spans="1:16" ht="12.75">
      <c r="A836" s="199" t="s">
        <v>3511</v>
      </c>
      <c r="B836" s="200" t="s">
        <v>3449</v>
      </c>
      <c r="C836" s="200" t="str">
        <f>VLOOKUP(B836,Fincas!$A$2:$C$1005,2,0)</f>
        <v>F_La Estrella</v>
      </c>
      <c r="D836" s="201">
        <v>44861</v>
      </c>
      <c r="E836" s="267" t="str">
        <f t="shared" si="168"/>
        <v>octubre</v>
      </c>
      <c r="F836" s="202">
        <v>44862</v>
      </c>
      <c r="G836" s="203">
        <v>44865</v>
      </c>
      <c r="H836" s="200">
        <v>9485</v>
      </c>
      <c r="I836" s="212">
        <v>7008147</v>
      </c>
      <c r="J836" s="212" t="str">
        <f t="shared" si="170"/>
        <v>Res macho levante</v>
      </c>
      <c r="K836" s="200">
        <v>524</v>
      </c>
      <c r="L836" s="550">
        <f t="shared" si="171"/>
        <v>8587.7862595419847</v>
      </c>
      <c r="M836" s="213">
        <v>4500000</v>
      </c>
      <c r="N836" s="214">
        <v>2</v>
      </c>
      <c r="O836" s="554">
        <f t="shared" si="172"/>
        <v>262</v>
      </c>
      <c r="P836" s="548">
        <f t="shared" si="169"/>
        <v>2250000</v>
      </c>
    </row>
    <row r="837" spans="1:16" ht="12.75">
      <c r="A837" s="199" t="s">
        <v>3511</v>
      </c>
      <c r="B837" s="200" t="s">
        <v>3449</v>
      </c>
      <c r="C837" s="200" t="str">
        <f>VLOOKUP(B837,Fincas!$A$2:$C$1005,2,0)</f>
        <v>F_La Estrella</v>
      </c>
      <c r="D837" s="201">
        <v>44861</v>
      </c>
      <c r="E837" s="267" t="str">
        <f t="shared" si="168"/>
        <v>octubre</v>
      </c>
      <c r="F837" s="202">
        <v>44862</v>
      </c>
      <c r="G837" s="203">
        <v>44865</v>
      </c>
      <c r="H837" s="200">
        <v>9456</v>
      </c>
      <c r="I837" s="212">
        <v>7008147</v>
      </c>
      <c r="J837" s="212" t="str">
        <f t="shared" si="170"/>
        <v>Res macho levante</v>
      </c>
      <c r="K837" s="200">
        <v>1082</v>
      </c>
      <c r="L837" s="550">
        <v>8800</v>
      </c>
      <c r="M837" s="205">
        <f t="shared" ref="M837:M838" si="173">L837*K837</f>
        <v>9521600</v>
      </c>
      <c r="N837" s="214">
        <v>5</v>
      </c>
      <c r="O837" s="554">
        <f t="shared" si="172"/>
        <v>216.4</v>
      </c>
      <c r="P837" s="548">
        <f t="shared" si="169"/>
        <v>1904320</v>
      </c>
    </row>
    <row r="838" spans="1:16" ht="12.75">
      <c r="A838" s="199" t="s">
        <v>3511</v>
      </c>
      <c r="B838" s="200" t="s">
        <v>4095</v>
      </c>
      <c r="C838" s="200" t="str">
        <f>VLOOKUP(B838,Fincas!$A$2:$C$1005,2,0)</f>
        <v>A_El Playon</v>
      </c>
      <c r="D838" s="201">
        <v>44861</v>
      </c>
      <c r="E838" s="267" t="str">
        <f t="shared" si="168"/>
        <v>octubre</v>
      </c>
      <c r="F838" s="202">
        <v>44862</v>
      </c>
      <c r="G838" s="203">
        <v>44865</v>
      </c>
      <c r="H838" s="200" t="s">
        <v>4116</v>
      </c>
      <c r="I838" s="212">
        <v>7008147</v>
      </c>
      <c r="J838" s="212" t="str">
        <f t="shared" si="170"/>
        <v>Res macho levante</v>
      </c>
      <c r="K838" s="200">
        <v>5252</v>
      </c>
      <c r="L838" s="550">
        <v>8900</v>
      </c>
      <c r="M838" s="205">
        <f t="shared" si="173"/>
        <v>46742800</v>
      </c>
      <c r="N838" s="214">
        <v>23</v>
      </c>
      <c r="O838" s="554">
        <f t="shared" si="172"/>
        <v>228.34782608695653</v>
      </c>
      <c r="P838" s="548">
        <f t="shared" si="169"/>
        <v>2032295.6521739131</v>
      </c>
    </row>
    <row r="839" spans="1:16" ht="12.75">
      <c r="A839" s="199" t="s">
        <v>3454</v>
      </c>
      <c r="B839" s="200" t="s">
        <v>3476</v>
      </c>
      <c r="C839" s="200" t="str">
        <f>VLOOKUP(B839,Fincas!$A$2:$C$1005,2,0)</f>
        <v>F_Guacharacas</v>
      </c>
      <c r="D839" s="201">
        <v>44861</v>
      </c>
      <c r="E839" s="267" t="str">
        <f t="shared" si="168"/>
        <v>octubre</v>
      </c>
      <c r="F839" s="202">
        <v>44861</v>
      </c>
      <c r="G839" s="203">
        <v>44865</v>
      </c>
      <c r="H839" s="200">
        <v>242944</v>
      </c>
      <c r="I839" s="253">
        <v>7008146</v>
      </c>
      <c r="J839" s="253" t="str">
        <f t="shared" si="170"/>
        <v>Res macho ceba</v>
      </c>
      <c r="K839" s="200">
        <v>5794</v>
      </c>
      <c r="L839" s="550">
        <f>M839/K839</f>
        <v>8491.4050742147047</v>
      </c>
      <c r="M839" s="213">
        <v>49199201</v>
      </c>
      <c r="N839" s="214">
        <v>16</v>
      </c>
      <c r="O839" s="554">
        <f t="shared" si="172"/>
        <v>362.125</v>
      </c>
      <c r="P839" s="548">
        <f t="shared" si="169"/>
        <v>3074950.0625</v>
      </c>
    </row>
    <row r="840" spans="1:16" ht="12.75">
      <c r="A840" s="199" t="s">
        <v>3511</v>
      </c>
      <c r="B840" s="200" t="s">
        <v>4069</v>
      </c>
      <c r="C840" s="200" t="str">
        <f>VLOOKUP(B840,Fincas!$A$2:$C$1005,2,0)</f>
        <v>F_Villa Chola</v>
      </c>
      <c r="D840" s="201">
        <v>44860</v>
      </c>
      <c r="E840" s="267" t="str">
        <f t="shared" si="168"/>
        <v>octubre</v>
      </c>
      <c r="F840" s="202">
        <v>44861</v>
      </c>
      <c r="G840" s="203">
        <v>44865</v>
      </c>
      <c r="H840" s="200" t="s">
        <v>4117</v>
      </c>
      <c r="I840" s="212">
        <v>7008147</v>
      </c>
      <c r="J840" s="212" t="str">
        <f t="shared" si="170"/>
        <v>Res macho levante</v>
      </c>
      <c r="K840" s="200">
        <v>4473</v>
      </c>
      <c r="L840" s="550">
        <v>8250</v>
      </c>
      <c r="M840" s="205">
        <f t="shared" ref="M840:M853" si="174">L840*K840</f>
        <v>36902250</v>
      </c>
      <c r="N840" s="214">
        <v>20</v>
      </c>
      <c r="O840" s="554">
        <f t="shared" si="172"/>
        <v>223.65</v>
      </c>
      <c r="P840" s="548">
        <f t="shared" si="169"/>
        <v>1845112.5</v>
      </c>
    </row>
    <row r="841" spans="1:16" ht="12.75">
      <c r="A841" s="199" t="s">
        <v>4118</v>
      </c>
      <c r="B841" s="200" t="s">
        <v>3483</v>
      </c>
      <c r="C841" s="200" t="str">
        <f>VLOOKUP(B841,Fincas!$A$2:$C$1005,2,0)</f>
        <v>F_San Andres</v>
      </c>
      <c r="D841" s="201">
        <v>44863</v>
      </c>
      <c r="E841" s="267" t="str">
        <f t="shared" si="168"/>
        <v>octubre</v>
      </c>
      <c r="F841" s="202">
        <v>44862</v>
      </c>
      <c r="G841" s="203">
        <v>44865</v>
      </c>
      <c r="H841" s="200">
        <v>304</v>
      </c>
      <c r="I841" s="212">
        <v>7008147</v>
      </c>
      <c r="J841" s="212" t="str">
        <f t="shared" si="170"/>
        <v>Res macho levante</v>
      </c>
      <c r="K841" s="200">
        <v>29774</v>
      </c>
      <c r="L841" s="550">
        <v>8400</v>
      </c>
      <c r="M841" s="205">
        <f t="shared" si="174"/>
        <v>250101600</v>
      </c>
      <c r="N841" s="214">
        <v>103</v>
      </c>
      <c r="O841" s="554">
        <f t="shared" si="172"/>
        <v>289.06796116504853</v>
      </c>
      <c r="P841" s="548">
        <f t="shared" si="169"/>
        <v>2428170.873786408</v>
      </c>
    </row>
    <row r="842" spans="1:16" ht="12.75">
      <c r="A842" s="199" t="s">
        <v>4085</v>
      </c>
      <c r="B842" s="200" t="s">
        <v>3469</v>
      </c>
      <c r="C842" s="200" t="str">
        <f>VLOOKUP(B842,Fincas!$A$2:$C$1005,2,0)</f>
        <v>F_Chumbimbo</v>
      </c>
      <c r="D842" s="201">
        <v>44866</v>
      </c>
      <c r="E842" s="267" t="str">
        <f t="shared" si="168"/>
        <v>noviembre</v>
      </c>
      <c r="F842" s="202">
        <v>44866</v>
      </c>
      <c r="G842" s="203">
        <v>44869</v>
      </c>
      <c r="H842" s="210" t="s">
        <v>4119</v>
      </c>
      <c r="I842" s="254">
        <v>7008151</v>
      </c>
      <c r="J842" s="557" t="str">
        <f t="shared" si="170"/>
        <v>Res novilla ceba</v>
      </c>
      <c r="K842" s="200">
        <v>5922</v>
      </c>
      <c r="L842" s="550">
        <v>8000</v>
      </c>
      <c r="M842" s="205">
        <f t="shared" si="174"/>
        <v>47376000</v>
      </c>
      <c r="N842" s="214">
        <v>23</v>
      </c>
      <c r="O842" s="554">
        <f t="shared" si="172"/>
        <v>257.47826086956519</v>
      </c>
      <c r="P842" s="548">
        <f t="shared" si="169"/>
        <v>2059826.0869565217</v>
      </c>
    </row>
    <row r="843" spans="1:16" ht="12.75">
      <c r="A843" s="199" t="s">
        <v>4085</v>
      </c>
      <c r="B843" s="200" t="s">
        <v>3464</v>
      </c>
      <c r="C843" s="200" t="str">
        <f>VLOOKUP(B843,Fincas!$A$2:$C$1005,2,0)</f>
        <v>F_Texas Araujo</v>
      </c>
      <c r="D843" s="201">
        <v>44866</v>
      </c>
      <c r="E843" s="267" t="str">
        <f t="shared" si="168"/>
        <v>noviembre</v>
      </c>
      <c r="F843" s="202">
        <v>44866</v>
      </c>
      <c r="G843" s="203">
        <v>44869</v>
      </c>
      <c r="H843" s="200" t="s">
        <v>4120</v>
      </c>
      <c r="I843" s="253">
        <v>7008146</v>
      </c>
      <c r="J843" s="253" t="str">
        <f t="shared" si="170"/>
        <v>Res macho ceba</v>
      </c>
      <c r="K843" s="200">
        <v>6409</v>
      </c>
      <c r="L843" s="550">
        <v>8750</v>
      </c>
      <c r="M843" s="205">
        <f t="shared" si="174"/>
        <v>56078750</v>
      </c>
      <c r="N843" s="214">
        <v>17</v>
      </c>
      <c r="O843" s="554">
        <f t="shared" si="172"/>
        <v>377</v>
      </c>
      <c r="P843" s="548">
        <f t="shared" si="169"/>
        <v>3298750</v>
      </c>
    </row>
    <row r="844" spans="1:16" ht="12.75">
      <c r="A844" s="199" t="s">
        <v>4085</v>
      </c>
      <c r="B844" s="200" t="s">
        <v>3464</v>
      </c>
      <c r="C844" s="200" t="str">
        <f>VLOOKUP(B844,Fincas!$A$2:$C$1005,2,0)</f>
        <v>F_Texas Araujo</v>
      </c>
      <c r="D844" s="201">
        <v>44866</v>
      </c>
      <c r="E844" s="267" t="str">
        <f t="shared" si="168"/>
        <v>noviembre</v>
      </c>
      <c r="F844" s="202">
        <v>44866</v>
      </c>
      <c r="G844" s="203">
        <v>44869</v>
      </c>
      <c r="H844" s="200" t="s">
        <v>4121</v>
      </c>
      <c r="I844" s="212">
        <v>7008147</v>
      </c>
      <c r="J844" s="212" t="str">
        <f t="shared" si="170"/>
        <v>Res macho levante</v>
      </c>
      <c r="K844" s="200">
        <v>5940</v>
      </c>
      <c r="L844" s="550">
        <v>8950</v>
      </c>
      <c r="M844" s="205">
        <f t="shared" si="174"/>
        <v>53163000</v>
      </c>
      <c r="N844" s="214">
        <v>24</v>
      </c>
      <c r="O844" s="554">
        <f t="shared" si="172"/>
        <v>247.5</v>
      </c>
      <c r="P844" s="548">
        <f t="shared" si="169"/>
        <v>2215125</v>
      </c>
    </row>
    <row r="845" spans="1:16" ht="12.75">
      <c r="A845" s="199" t="s">
        <v>3522</v>
      </c>
      <c r="B845" s="200" t="s">
        <v>3523</v>
      </c>
      <c r="C845" s="200" t="str">
        <f>VLOOKUP(B845,Fincas!$A$2:$C$1005,2,0)</f>
        <v>F_El Caldero</v>
      </c>
      <c r="D845" s="201">
        <v>44867</v>
      </c>
      <c r="E845" s="267" t="str">
        <f t="shared" si="168"/>
        <v>noviembre</v>
      </c>
      <c r="F845" s="202">
        <v>44867</v>
      </c>
      <c r="G845" s="203">
        <v>44873</v>
      </c>
      <c r="H845" s="200" t="s">
        <v>4122</v>
      </c>
      <c r="I845" s="253">
        <v>7008146</v>
      </c>
      <c r="J845" s="253" t="str">
        <f t="shared" si="170"/>
        <v>Res macho ceba</v>
      </c>
      <c r="K845" s="200">
        <v>10320</v>
      </c>
      <c r="L845" s="550">
        <v>8600</v>
      </c>
      <c r="M845" s="205">
        <f t="shared" si="174"/>
        <v>88752000</v>
      </c>
      <c r="N845" s="214">
        <v>30</v>
      </c>
      <c r="O845" s="554">
        <f t="shared" si="172"/>
        <v>344</v>
      </c>
      <c r="P845" s="548">
        <f t="shared" si="169"/>
        <v>2958400</v>
      </c>
    </row>
    <row r="846" spans="1:16" ht="12.75">
      <c r="A846" s="199" t="s">
        <v>3426</v>
      </c>
      <c r="B846" s="200" t="s">
        <v>4123</v>
      </c>
      <c r="C846" s="200" t="str">
        <f>VLOOKUP(B846,Fincas!$A$2:$C$1005,2,0)</f>
        <v>F_La Guyana</v>
      </c>
      <c r="D846" s="201">
        <v>44868</v>
      </c>
      <c r="E846" s="267" t="str">
        <f t="shared" si="168"/>
        <v>noviembre</v>
      </c>
      <c r="F846" s="202">
        <v>44868</v>
      </c>
      <c r="G846" s="203">
        <v>44873</v>
      </c>
      <c r="H846" s="200" t="s">
        <v>4124</v>
      </c>
      <c r="I846" s="253">
        <v>7008146</v>
      </c>
      <c r="J846" s="253" t="str">
        <f t="shared" si="170"/>
        <v>Res macho ceba</v>
      </c>
      <c r="K846" s="200">
        <v>18648</v>
      </c>
      <c r="L846" s="550">
        <v>8457</v>
      </c>
      <c r="M846" s="205">
        <f t="shared" si="174"/>
        <v>157706136</v>
      </c>
      <c r="N846" s="214">
        <v>50</v>
      </c>
      <c r="O846" s="554">
        <f t="shared" si="172"/>
        <v>372.96</v>
      </c>
      <c r="P846" s="548">
        <f t="shared" si="169"/>
        <v>3154122.72</v>
      </c>
    </row>
    <row r="847" spans="1:16" ht="12.75">
      <c r="A847" s="199" t="s">
        <v>3426</v>
      </c>
      <c r="B847" s="200" t="s">
        <v>4123</v>
      </c>
      <c r="C847" s="200" t="str">
        <f>VLOOKUP(B847,Fincas!$A$2:$C$1005,2,0)</f>
        <v>F_La Guyana</v>
      </c>
      <c r="D847" s="201">
        <v>44868</v>
      </c>
      <c r="E847" s="267" t="str">
        <f t="shared" si="168"/>
        <v>noviembre</v>
      </c>
      <c r="F847" s="202">
        <v>44868</v>
      </c>
      <c r="G847" s="203">
        <v>44873</v>
      </c>
      <c r="H847" s="200" t="s">
        <v>4125</v>
      </c>
      <c r="I847" s="253">
        <v>7008146</v>
      </c>
      <c r="J847" s="253" t="str">
        <f t="shared" si="170"/>
        <v>Res macho ceba</v>
      </c>
      <c r="K847" s="200">
        <v>19263</v>
      </c>
      <c r="L847" s="550">
        <v>8480</v>
      </c>
      <c r="M847" s="205">
        <f t="shared" si="174"/>
        <v>163350240</v>
      </c>
      <c r="N847" s="214">
        <v>48</v>
      </c>
      <c r="O847" s="554">
        <f t="shared" si="172"/>
        <v>401.3125</v>
      </c>
      <c r="P847" s="548">
        <f t="shared" si="169"/>
        <v>3403130</v>
      </c>
    </row>
    <row r="848" spans="1:16" ht="12.75">
      <c r="A848" s="199" t="s">
        <v>3426</v>
      </c>
      <c r="B848" s="200" t="s">
        <v>3498</v>
      </c>
      <c r="C848" s="200" t="str">
        <f>VLOOKUP(B848,Fincas!$A$2:$C$1005,2,0)</f>
        <v>F_Jordan</v>
      </c>
      <c r="D848" s="201">
        <v>44868</v>
      </c>
      <c r="E848" s="267" t="str">
        <f t="shared" si="168"/>
        <v>noviembre</v>
      </c>
      <c r="F848" s="202">
        <v>44868</v>
      </c>
      <c r="G848" s="203">
        <v>44873</v>
      </c>
      <c r="H848" s="200" t="s">
        <v>4126</v>
      </c>
      <c r="I848" s="253">
        <v>7008146</v>
      </c>
      <c r="J848" s="253" t="str">
        <f t="shared" si="170"/>
        <v>Res macho ceba</v>
      </c>
      <c r="K848" s="200">
        <v>6625</v>
      </c>
      <c r="L848" s="550">
        <v>8600</v>
      </c>
      <c r="M848" s="205">
        <f t="shared" si="174"/>
        <v>56975000</v>
      </c>
      <c r="N848" s="214">
        <v>17</v>
      </c>
      <c r="O848" s="554">
        <f t="shared" si="172"/>
        <v>389.70588235294116</v>
      </c>
      <c r="P848" s="548">
        <f t="shared" si="169"/>
        <v>3351470.588235294</v>
      </c>
    </row>
    <row r="849" spans="1:16" ht="12.75">
      <c r="A849" s="199" t="s">
        <v>3511</v>
      </c>
      <c r="B849" s="200" t="s">
        <v>3449</v>
      </c>
      <c r="C849" s="200" t="str">
        <f>VLOOKUP(B849,Fincas!$A$2:$C$1005,2,0)</f>
        <v>F_La Estrella</v>
      </c>
      <c r="D849" s="201">
        <v>44868</v>
      </c>
      <c r="E849" s="267" t="str">
        <f t="shared" si="168"/>
        <v>noviembre</v>
      </c>
      <c r="F849" s="202">
        <v>44869</v>
      </c>
      <c r="G849" s="203">
        <v>44874</v>
      </c>
      <c r="H849" s="200">
        <v>9593</v>
      </c>
      <c r="I849" s="212">
        <v>7008147</v>
      </c>
      <c r="J849" s="212" t="str">
        <f t="shared" si="170"/>
        <v>Res macho levante</v>
      </c>
      <c r="K849" s="200">
        <v>5647</v>
      </c>
      <c r="L849" s="550">
        <v>8700</v>
      </c>
      <c r="M849" s="205">
        <f t="shared" si="174"/>
        <v>49128900</v>
      </c>
      <c r="N849" s="214">
        <v>23</v>
      </c>
      <c r="O849" s="554">
        <f t="shared" si="172"/>
        <v>245.52173913043478</v>
      </c>
      <c r="P849" s="548">
        <f t="shared" si="169"/>
        <v>2136039.1304347827</v>
      </c>
    </row>
    <row r="850" spans="1:16" ht="12.75">
      <c r="A850" s="199" t="s">
        <v>3511</v>
      </c>
      <c r="B850" s="200" t="s">
        <v>3449</v>
      </c>
      <c r="C850" s="200" t="str">
        <f>VLOOKUP(B850,Fincas!$A$2:$C$1005,2,0)</f>
        <v>F_La Estrella</v>
      </c>
      <c r="D850" s="201">
        <v>44868</v>
      </c>
      <c r="E850" s="267" t="str">
        <f t="shared" si="168"/>
        <v>noviembre</v>
      </c>
      <c r="F850" s="202">
        <v>44869</v>
      </c>
      <c r="G850" s="203">
        <v>44874</v>
      </c>
      <c r="H850" s="200">
        <v>9595</v>
      </c>
      <c r="I850" s="212">
        <v>7008147</v>
      </c>
      <c r="J850" s="212" t="str">
        <f t="shared" si="170"/>
        <v>Res macho levante</v>
      </c>
      <c r="K850" s="200">
        <v>4054</v>
      </c>
      <c r="L850" s="550">
        <v>8300</v>
      </c>
      <c r="M850" s="205">
        <f t="shared" si="174"/>
        <v>33648200</v>
      </c>
      <c r="N850" s="214">
        <v>18</v>
      </c>
      <c r="O850" s="554">
        <f t="shared" si="172"/>
        <v>225.22222222222223</v>
      </c>
      <c r="P850" s="548">
        <f t="shared" si="169"/>
        <v>1869344.4444444445</v>
      </c>
    </row>
    <row r="851" spans="1:16" ht="12.75">
      <c r="A851" s="199" t="s">
        <v>3511</v>
      </c>
      <c r="B851" s="200" t="s">
        <v>3449</v>
      </c>
      <c r="C851" s="200" t="str">
        <f>VLOOKUP(B851,Fincas!$A$2:$C$1005,2,0)</f>
        <v>F_La Estrella</v>
      </c>
      <c r="D851" s="201">
        <v>44868</v>
      </c>
      <c r="E851" s="267" t="str">
        <f t="shared" si="168"/>
        <v>noviembre</v>
      </c>
      <c r="F851" s="202">
        <v>44869</v>
      </c>
      <c r="G851" s="203">
        <v>44874</v>
      </c>
      <c r="H851" s="200">
        <v>9648</v>
      </c>
      <c r="I851" s="212">
        <v>7008147</v>
      </c>
      <c r="J851" s="212" t="str">
        <f t="shared" si="170"/>
        <v>Res macho levante</v>
      </c>
      <c r="K851" s="200">
        <v>1507</v>
      </c>
      <c r="L851" s="550">
        <v>8450</v>
      </c>
      <c r="M851" s="205">
        <f t="shared" si="174"/>
        <v>12734150</v>
      </c>
      <c r="N851" s="214">
        <v>8</v>
      </c>
      <c r="O851" s="554">
        <f t="shared" si="172"/>
        <v>188.375</v>
      </c>
      <c r="P851" s="548">
        <f t="shared" si="169"/>
        <v>1591768.75</v>
      </c>
    </row>
    <row r="852" spans="1:16" ht="12.75">
      <c r="A852" s="199" t="s">
        <v>3511</v>
      </c>
      <c r="B852" s="200" t="s">
        <v>3449</v>
      </c>
      <c r="C852" s="200" t="str">
        <f>VLOOKUP(B852,Fincas!$A$2:$C$1005,2,0)</f>
        <v>F_La Estrella</v>
      </c>
      <c r="D852" s="201">
        <v>44868</v>
      </c>
      <c r="E852" s="267" t="str">
        <f t="shared" si="168"/>
        <v>noviembre</v>
      </c>
      <c r="F852" s="202">
        <v>44869</v>
      </c>
      <c r="G852" s="203">
        <v>44874</v>
      </c>
      <c r="H852" s="200">
        <v>9650</v>
      </c>
      <c r="I852" s="212">
        <v>7008147</v>
      </c>
      <c r="J852" s="212" t="str">
        <f t="shared" si="170"/>
        <v>Res macho levante</v>
      </c>
      <c r="K852" s="200">
        <v>1163</v>
      </c>
      <c r="L852" s="550">
        <v>8050</v>
      </c>
      <c r="M852" s="205">
        <f t="shared" si="174"/>
        <v>9362150</v>
      </c>
      <c r="N852" s="214">
        <v>5</v>
      </c>
      <c r="O852" s="554">
        <f t="shared" si="172"/>
        <v>232.6</v>
      </c>
      <c r="P852" s="548">
        <f t="shared" si="169"/>
        <v>1872430</v>
      </c>
    </row>
    <row r="853" spans="1:16" ht="12.75">
      <c r="A853" s="199" t="s">
        <v>3511</v>
      </c>
      <c r="B853" s="200" t="s">
        <v>3449</v>
      </c>
      <c r="C853" s="200" t="str">
        <f>VLOOKUP(B853,Fincas!$A$2:$C$1005,2,0)</f>
        <v>F_La Estrella</v>
      </c>
      <c r="D853" s="201">
        <v>44868</v>
      </c>
      <c r="E853" s="267" t="str">
        <f t="shared" si="168"/>
        <v>noviembre</v>
      </c>
      <c r="F853" s="202">
        <v>44869</v>
      </c>
      <c r="G853" s="203">
        <v>44874</v>
      </c>
      <c r="H853" s="200">
        <v>9651</v>
      </c>
      <c r="I853" s="212">
        <v>7008147</v>
      </c>
      <c r="J853" s="212" t="str">
        <f t="shared" si="170"/>
        <v>Res macho levante</v>
      </c>
      <c r="K853" s="200">
        <v>1601</v>
      </c>
      <c r="L853" s="550">
        <v>7800</v>
      </c>
      <c r="M853" s="205">
        <f t="shared" si="174"/>
        <v>12487800</v>
      </c>
      <c r="N853" s="214">
        <v>7</v>
      </c>
      <c r="O853" s="554">
        <f t="shared" si="172"/>
        <v>228.71428571428572</v>
      </c>
      <c r="P853" s="548">
        <f t="shared" si="169"/>
        <v>1783971.4285714286</v>
      </c>
    </row>
    <row r="854" spans="1:16" ht="12.75">
      <c r="A854" s="199" t="s">
        <v>3511</v>
      </c>
      <c r="B854" s="200" t="s">
        <v>3449</v>
      </c>
      <c r="C854" s="200" t="str">
        <f>VLOOKUP(B854,Fincas!$A$2:$C$1005,2,0)</f>
        <v>F_La Estrella</v>
      </c>
      <c r="D854" s="201">
        <v>44868</v>
      </c>
      <c r="E854" s="267" t="str">
        <f t="shared" si="168"/>
        <v>noviembre</v>
      </c>
      <c r="F854" s="202">
        <v>44869</v>
      </c>
      <c r="G854" s="203">
        <v>44874</v>
      </c>
      <c r="H854" s="200">
        <v>9652</v>
      </c>
      <c r="I854" s="212">
        <v>7008147</v>
      </c>
      <c r="J854" s="212" t="str">
        <f t="shared" si="170"/>
        <v>Res macho levante</v>
      </c>
      <c r="K854" s="200">
        <v>1554</v>
      </c>
      <c r="L854" s="550">
        <f>M854/K854</f>
        <v>8571.4285714285706</v>
      </c>
      <c r="M854" s="213">
        <v>13320000</v>
      </c>
      <c r="N854" s="214">
        <v>6</v>
      </c>
      <c r="O854" s="554">
        <f t="shared" si="172"/>
        <v>259</v>
      </c>
      <c r="P854" s="548">
        <f t="shared" si="169"/>
        <v>2220000</v>
      </c>
    </row>
    <row r="855" spans="1:16" ht="12.75">
      <c r="A855" s="199" t="s">
        <v>3511</v>
      </c>
      <c r="B855" s="200" t="s">
        <v>4095</v>
      </c>
      <c r="C855" s="200" t="str">
        <f>VLOOKUP(B855,Fincas!$A$2:$C$1005,2,0)</f>
        <v>A_El Playon</v>
      </c>
      <c r="D855" s="201">
        <v>44868</v>
      </c>
      <c r="E855" s="267" t="str">
        <f t="shared" si="168"/>
        <v>noviembre</v>
      </c>
      <c r="F855" s="202">
        <v>44869</v>
      </c>
      <c r="G855" s="203">
        <v>44874</v>
      </c>
      <c r="H855" s="200">
        <v>9601</v>
      </c>
      <c r="I855" s="212">
        <v>7008147</v>
      </c>
      <c r="J855" s="212" t="str">
        <f t="shared" si="170"/>
        <v>Res macho levante</v>
      </c>
      <c r="K855" s="200">
        <v>756</v>
      </c>
      <c r="L855" s="550">
        <v>8300</v>
      </c>
      <c r="M855" s="205">
        <f t="shared" ref="M855:M857" si="175">L855*K855</f>
        <v>6274800</v>
      </c>
      <c r="N855" s="214">
        <v>4</v>
      </c>
      <c r="O855" s="554">
        <f t="shared" si="172"/>
        <v>189</v>
      </c>
      <c r="P855" s="548">
        <f t="shared" si="169"/>
        <v>1568700</v>
      </c>
    </row>
    <row r="856" spans="1:16" ht="12.75">
      <c r="A856" s="199" t="s">
        <v>3511</v>
      </c>
      <c r="B856" s="200" t="s">
        <v>4095</v>
      </c>
      <c r="C856" s="200" t="str">
        <f>VLOOKUP(B856,Fincas!$A$2:$C$1005,2,0)</f>
        <v>A_El Playon</v>
      </c>
      <c r="D856" s="201">
        <v>44868</v>
      </c>
      <c r="E856" s="267" t="str">
        <f t="shared" si="168"/>
        <v>noviembre</v>
      </c>
      <c r="F856" s="202">
        <v>44869</v>
      </c>
      <c r="G856" s="203">
        <v>44874</v>
      </c>
      <c r="H856" s="200">
        <v>9644</v>
      </c>
      <c r="I856" s="212">
        <v>7008147</v>
      </c>
      <c r="J856" s="212" t="str">
        <f t="shared" si="170"/>
        <v>Res macho levante</v>
      </c>
      <c r="K856" s="200">
        <v>4232</v>
      </c>
      <c r="L856" s="550">
        <v>8400</v>
      </c>
      <c r="M856" s="205">
        <f t="shared" si="175"/>
        <v>35548800</v>
      </c>
      <c r="N856" s="214">
        <v>17</v>
      </c>
      <c r="O856" s="554">
        <f t="shared" si="172"/>
        <v>248.94117647058823</v>
      </c>
      <c r="P856" s="548">
        <f t="shared" si="169"/>
        <v>2091105.8823529412</v>
      </c>
    </row>
    <row r="857" spans="1:16" ht="12.75">
      <c r="A857" s="199" t="s">
        <v>3995</v>
      </c>
      <c r="B857" s="200" t="s">
        <v>4127</v>
      </c>
      <c r="C857" s="200" t="str">
        <f>VLOOKUP(B857,Fincas!$A$2:$C$1005,2,0)</f>
        <v>F_Santa Fe</v>
      </c>
      <c r="D857" s="201">
        <v>44868</v>
      </c>
      <c r="E857" s="267" t="str">
        <f t="shared" si="168"/>
        <v>noviembre</v>
      </c>
      <c r="F857" s="202">
        <v>44870</v>
      </c>
      <c r="G857" s="203">
        <v>44874</v>
      </c>
      <c r="H857" s="200" t="s">
        <v>2215</v>
      </c>
      <c r="I857" s="253">
        <v>7008146</v>
      </c>
      <c r="J857" s="253" t="str">
        <f t="shared" si="170"/>
        <v>Res macho ceba</v>
      </c>
      <c r="K857" s="200">
        <v>20074</v>
      </c>
      <c r="L857" s="550">
        <v>8200</v>
      </c>
      <c r="M857" s="205">
        <f t="shared" si="175"/>
        <v>164606800</v>
      </c>
      <c r="N857" s="214">
        <v>54</v>
      </c>
      <c r="O857" s="554">
        <f t="shared" si="172"/>
        <v>371.74074074074076</v>
      </c>
      <c r="P857" s="548">
        <f t="shared" si="169"/>
        <v>3048274.0740740742</v>
      </c>
    </row>
    <row r="858" spans="1:16" ht="12.75">
      <c r="A858" s="199" t="s">
        <v>3454</v>
      </c>
      <c r="B858" s="200" t="s">
        <v>3476</v>
      </c>
      <c r="C858" s="200" t="str">
        <f>VLOOKUP(B858,Fincas!$A$2:$C$1005,2,0)</f>
        <v>F_Guacharacas</v>
      </c>
      <c r="D858" s="201">
        <v>44868</v>
      </c>
      <c r="E858" s="267" t="str">
        <f t="shared" si="168"/>
        <v>noviembre</v>
      </c>
      <c r="F858" s="202">
        <v>44868</v>
      </c>
      <c r="G858" s="203">
        <v>44874</v>
      </c>
      <c r="H858" s="200">
        <v>243031</v>
      </c>
      <c r="I858" s="253">
        <v>7008146</v>
      </c>
      <c r="J858" s="253" t="str">
        <f t="shared" si="170"/>
        <v>Res macho ceba</v>
      </c>
      <c r="K858" s="200">
        <v>5724</v>
      </c>
      <c r="L858" s="550">
        <f t="shared" ref="L858:L865" si="176">M858/K858</f>
        <v>8591.8950034940608</v>
      </c>
      <c r="M858" s="213">
        <v>49180007</v>
      </c>
      <c r="N858" s="214">
        <v>14</v>
      </c>
      <c r="O858" s="554">
        <f t="shared" si="172"/>
        <v>408.85714285714283</v>
      </c>
      <c r="P858" s="548">
        <f t="shared" si="169"/>
        <v>3512857.6428571427</v>
      </c>
    </row>
    <row r="859" spans="1:16" ht="12.75">
      <c r="A859" s="199" t="s">
        <v>3454</v>
      </c>
      <c r="B859" s="200" t="s">
        <v>3476</v>
      </c>
      <c r="C859" s="200" t="str">
        <f>VLOOKUP(B859,Fincas!$A$2:$C$1005,2,0)</f>
        <v>F_Guacharacas</v>
      </c>
      <c r="D859" s="201">
        <v>44868</v>
      </c>
      <c r="E859" s="267" t="str">
        <f t="shared" si="168"/>
        <v>noviembre</v>
      </c>
      <c r="F859" s="202">
        <v>44868</v>
      </c>
      <c r="G859" s="203">
        <v>44874</v>
      </c>
      <c r="H859" s="200">
        <v>243033</v>
      </c>
      <c r="I859" s="253">
        <v>7008146</v>
      </c>
      <c r="J859" s="253" t="str">
        <f t="shared" si="170"/>
        <v>Res macho ceba</v>
      </c>
      <c r="K859" s="200">
        <v>5876</v>
      </c>
      <c r="L859" s="550">
        <f t="shared" si="176"/>
        <v>8642.1400612661673</v>
      </c>
      <c r="M859" s="213">
        <v>50781215</v>
      </c>
      <c r="N859" s="214">
        <v>15</v>
      </c>
      <c r="O859" s="554">
        <f t="shared" si="172"/>
        <v>391.73333333333335</v>
      </c>
      <c r="P859" s="548">
        <f t="shared" si="169"/>
        <v>3385414.3333333335</v>
      </c>
    </row>
    <row r="860" spans="1:16" ht="12.75">
      <c r="A860" s="199" t="s">
        <v>3454</v>
      </c>
      <c r="B860" s="200" t="s">
        <v>3431</v>
      </c>
      <c r="C860" s="200" t="str">
        <f>VLOOKUP(B860,Fincas!$A$2:$C$1005,2,0)</f>
        <v>F_Totumito</v>
      </c>
      <c r="D860" s="201">
        <v>44868</v>
      </c>
      <c r="E860" s="267" t="str">
        <f t="shared" si="168"/>
        <v>noviembre</v>
      </c>
      <c r="F860" s="202">
        <v>44868</v>
      </c>
      <c r="G860" s="203">
        <v>44874</v>
      </c>
      <c r="H860" s="200">
        <v>242982</v>
      </c>
      <c r="I860" s="212">
        <v>7008147</v>
      </c>
      <c r="J860" s="212" t="str">
        <f t="shared" si="170"/>
        <v>Res macho levante</v>
      </c>
      <c r="K860" s="200">
        <v>5192</v>
      </c>
      <c r="L860" s="550">
        <f t="shared" si="176"/>
        <v>8692.3850154083211</v>
      </c>
      <c r="M860" s="213">
        <v>45130863</v>
      </c>
      <c r="N860" s="214">
        <v>20</v>
      </c>
      <c r="O860" s="554">
        <f t="shared" si="172"/>
        <v>259.60000000000002</v>
      </c>
      <c r="P860" s="548">
        <f t="shared" si="169"/>
        <v>2256543.15</v>
      </c>
    </row>
    <row r="861" spans="1:16" ht="12.75">
      <c r="A861" s="199" t="s">
        <v>3454</v>
      </c>
      <c r="B861" s="200" t="s">
        <v>3431</v>
      </c>
      <c r="C861" s="200" t="str">
        <f>VLOOKUP(B861,Fincas!$A$2:$C$1005,2,0)</f>
        <v>F_Totumito</v>
      </c>
      <c r="D861" s="201">
        <v>44868</v>
      </c>
      <c r="E861" s="267" t="str">
        <f t="shared" si="168"/>
        <v>noviembre</v>
      </c>
      <c r="F861" s="202">
        <v>44868</v>
      </c>
      <c r="G861" s="203">
        <v>44874</v>
      </c>
      <c r="H861" s="200">
        <v>242985</v>
      </c>
      <c r="I861" s="212">
        <v>7008147</v>
      </c>
      <c r="J861" s="212" t="str">
        <f t="shared" si="170"/>
        <v>Res macho levante</v>
      </c>
      <c r="K861" s="200">
        <v>4926</v>
      </c>
      <c r="L861" s="550">
        <f t="shared" si="176"/>
        <v>8792.8749492488841</v>
      </c>
      <c r="M861" s="213">
        <v>43313702</v>
      </c>
      <c r="N861" s="214">
        <v>21</v>
      </c>
      <c r="O861" s="554">
        <f t="shared" si="172"/>
        <v>234.57142857142858</v>
      </c>
      <c r="P861" s="548">
        <f t="shared" si="169"/>
        <v>2062557.2380952381</v>
      </c>
    </row>
    <row r="862" spans="1:16" ht="12.75">
      <c r="A862" s="199" t="s">
        <v>3454</v>
      </c>
      <c r="B862" s="200" t="s">
        <v>3431</v>
      </c>
      <c r="C862" s="200" t="str">
        <f>VLOOKUP(B862,Fincas!$A$2:$C$1005,2,0)</f>
        <v>F_Totumito</v>
      </c>
      <c r="D862" s="201">
        <v>44868</v>
      </c>
      <c r="E862" s="267" t="str">
        <f t="shared" si="168"/>
        <v>noviembre</v>
      </c>
      <c r="F862" s="202">
        <v>44868</v>
      </c>
      <c r="G862" s="203">
        <v>44874</v>
      </c>
      <c r="H862" s="200">
        <v>242989</v>
      </c>
      <c r="I862" s="212">
        <v>7008147</v>
      </c>
      <c r="J862" s="212" t="str">
        <f t="shared" si="170"/>
        <v>Res macho levante</v>
      </c>
      <c r="K862" s="200">
        <v>5758</v>
      </c>
      <c r="L862" s="550">
        <f t="shared" si="176"/>
        <v>8240.1799235845774</v>
      </c>
      <c r="M862" s="213">
        <v>47446956</v>
      </c>
      <c r="N862" s="214">
        <v>23</v>
      </c>
      <c r="O862" s="554">
        <f t="shared" si="172"/>
        <v>250.34782608695653</v>
      </c>
      <c r="P862" s="548">
        <f t="shared" si="169"/>
        <v>2062911.1304347827</v>
      </c>
    </row>
    <row r="863" spans="1:16" ht="12.75">
      <c r="A863" s="199" t="s">
        <v>3454</v>
      </c>
      <c r="B863" s="200" t="s">
        <v>3431</v>
      </c>
      <c r="C863" s="200" t="str">
        <f>VLOOKUP(B863,Fincas!$A$2:$C$1005,2,0)</f>
        <v>F_Totumito</v>
      </c>
      <c r="D863" s="201">
        <v>44868</v>
      </c>
      <c r="E863" s="267" t="str">
        <f t="shared" si="168"/>
        <v>noviembre</v>
      </c>
      <c r="F863" s="202">
        <v>44868</v>
      </c>
      <c r="G863" s="203">
        <v>44874</v>
      </c>
      <c r="H863" s="200">
        <v>242992</v>
      </c>
      <c r="I863" s="212">
        <v>7008147</v>
      </c>
      <c r="J863" s="212" t="str">
        <f t="shared" si="170"/>
        <v>Res macho levante</v>
      </c>
      <c r="K863" s="200">
        <v>5198</v>
      </c>
      <c r="L863" s="550">
        <f t="shared" si="176"/>
        <v>8843.1200461716053</v>
      </c>
      <c r="M863" s="213">
        <v>45966538</v>
      </c>
      <c r="N863" s="214">
        <v>20</v>
      </c>
      <c r="O863" s="554">
        <f t="shared" si="172"/>
        <v>259.89999999999998</v>
      </c>
      <c r="P863" s="548">
        <f t="shared" si="169"/>
        <v>2298326.9</v>
      </c>
    </row>
    <row r="864" spans="1:16" ht="12.75">
      <c r="A864" s="199" t="s">
        <v>3454</v>
      </c>
      <c r="B864" s="200" t="s">
        <v>3431</v>
      </c>
      <c r="C864" s="200" t="str">
        <f>VLOOKUP(B864,Fincas!$A$2:$C$1005,2,0)</f>
        <v>F_Totumito</v>
      </c>
      <c r="D864" s="201">
        <v>44868</v>
      </c>
      <c r="E864" s="267" t="str">
        <f t="shared" si="168"/>
        <v>noviembre</v>
      </c>
      <c r="F864" s="202">
        <v>44868</v>
      </c>
      <c r="G864" s="203">
        <v>44874</v>
      </c>
      <c r="H864" s="200">
        <v>242999</v>
      </c>
      <c r="I864" s="212">
        <v>7008147</v>
      </c>
      <c r="J864" s="212" t="str">
        <f t="shared" si="170"/>
        <v>Res macho levante</v>
      </c>
      <c r="K864" s="200">
        <v>5374</v>
      </c>
      <c r="L864" s="550">
        <f t="shared" si="176"/>
        <v>8390.9149609229626</v>
      </c>
      <c r="M864" s="213">
        <v>45092777</v>
      </c>
      <c r="N864" s="214">
        <v>20</v>
      </c>
      <c r="O864" s="554">
        <f t="shared" si="172"/>
        <v>268.7</v>
      </c>
      <c r="P864" s="548">
        <f t="shared" si="169"/>
        <v>2254638.85</v>
      </c>
    </row>
    <row r="865" spans="1:16" ht="12.75">
      <c r="A865" s="199" t="s">
        <v>3454</v>
      </c>
      <c r="B865" s="200" t="s">
        <v>3431</v>
      </c>
      <c r="C865" s="200" t="str">
        <f>VLOOKUP(B865,Fincas!$A$2:$C$1005,2,0)</f>
        <v>F_Totumito</v>
      </c>
      <c r="D865" s="201">
        <v>44868</v>
      </c>
      <c r="E865" s="267" t="str">
        <f t="shared" si="168"/>
        <v>noviembre</v>
      </c>
      <c r="F865" s="202">
        <v>44868</v>
      </c>
      <c r="G865" s="203">
        <v>44874</v>
      </c>
      <c r="H865" s="200">
        <v>243011</v>
      </c>
      <c r="I865" s="212">
        <v>7008147</v>
      </c>
      <c r="J865" s="212" t="str">
        <f t="shared" si="170"/>
        <v>Res macho levante</v>
      </c>
      <c r="K865" s="200">
        <v>5558</v>
      </c>
      <c r="L865" s="550">
        <f t="shared" si="176"/>
        <v>8843.1200071968342</v>
      </c>
      <c r="M865" s="213">
        <v>49150061</v>
      </c>
      <c r="N865" s="214">
        <v>22</v>
      </c>
      <c r="O865" s="554">
        <f t="shared" si="172"/>
        <v>252.63636363636363</v>
      </c>
      <c r="P865" s="548">
        <f t="shared" si="169"/>
        <v>2234093.6818181816</v>
      </c>
    </row>
    <row r="866" spans="1:16" ht="12.75">
      <c r="A866" s="199" t="s">
        <v>4085</v>
      </c>
      <c r="B866" s="200" t="s">
        <v>3464</v>
      </c>
      <c r="C866" s="200" t="str">
        <f>VLOOKUP(B866,Fincas!$A$2:$C$1005,2,0)</f>
        <v>F_Texas Araujo</v>
      </c>
      <c r="D866" s="201">
        <v>44869</v>
      </c>
      <c r="E866" s="267" t="str">
        <f t="shared" si="168"/>
        <v>noviembre</v>
      </c>
      <c r="F866" s="202">
        <v>44869</v>
      </c>
      <c r="G866" s="203">
        <v>44876</v>
      </c>
      <c r="H866" s="200" t="s">
        <v>4128</v>
      </c>
      <c r="I866" s="253">
        <v>7008146</v>
      </c>
      <c r="J866" s="253" t="str">
        <f t="shared" si="170"/>
        <v>Res macho ceba</v>
      </c>
      <c r="K866" s="200">
        <v>5865</v>
      </c>
      <c r="L866" s="550">
        <v>8400</v>
      </c>
      <c r="M866" s="205">
        <f t="shared" ref="M866:M870" si="177">L866*K866</f>
        <v>49266000</v>
      </c>
      <c r="N866" s="214">
        <v>17</v>
      </c>
      <c r="O866" s="554">
        <f t="shared" si="172"/>
        <v>345</v>
      </c>
      <c r="P866" s="548">
        <f t="shared" si="169"/>
        <v>2898000</v>
      </c>
    </row>
    <row r="867" spans="1:16" ht="12.75">
      <c r="A867" s="199" t="s">
        <v>4085</v>
      </c>
      <c r="B867" s="200" t="s">
        <v>3464</v>
      </c>
      <c r="C867" s="200" t="str">
        <f>VLOOKUP(B867,Fincas!$A$2:$C$1005,2,0)</f>
        <v>F_Texas Araujo</v>
      </c>
      <c r="D867" s="201">
        <v>44869</v>
      </c>
      <c r="E867" s="267" t="str">
        <f t="shared" si="168"/>
        <v>noviembre</v>
      </c>
      <c r="F867" s="202">
        <v>44869</v>
      </c>
      <c r="G867" s="203">
        <v>44876</v>
      </c>
      <c r="H867" s="200" t="s">
        <v>4129</v>
      </c>
      <c r="I867" s="212">
        <v>7008147</v>
      </c>
      <c r="J867" s="212" t="str">
        <f t="shared" si="170"/>
        <v>Res macho levante</v>
      </c>
      <c r="K867" s="200">
        <v>22971</v>
      </c>
      <c r="L867" s="550">
        <v>9000</v>
      </c>
      <c r="M867" s="205">
        <f t="shared" si="177"/>
        <v>206739000</v>
      </c>
      <c r="N867" s="214">
        <v>93</v>
      </c>
      <c r="O867" s="554">
        <f t="shared" si="172"/>
        <v>247</v>
      </c>
      <c r="P867" s="548">
        <f t="shared" si="169"/>
        <v>2223000</v>
      </c>
    </row>
    <row r="868" spans="1:16" ht="12.75">
      <c r="A868" s="199" t="s">
        <v>3426</v>
      </c>
      <c r="B868" s="200" t="s">
        <v>4123</v>
      </c>
      <c r="C868" s="200" t="str">
        <f>VLOOKUP(B868,Fincas!$A$2:$C$1005,2,0)</f>
        <v>F_La Guyana</v>
      </c>
      <c r="D868" s="201">
        <v>44876</v>
      </c>
      <c r="E868" s="267" t="str">
        <f t="shared" si="168"/>
        <v>noviembre</v>
      </c>
      <c r="F868" s="202">
        <v>44876</v>
      </c>
      <c r="G868" s="203">
        <v>44880</v>
      </c>
      <c r="H868" s="255" t="s">
        <v>4130</v>
      </c>
      <c r="I868" s="253">
        <v>7008146</v>
      </c>
      <c r="J868" s="253" t="str">
        <f t="shared" si="170"/>
        <v>Res macho ceba</v>
      </c>
      <c r="K868" s="200">
        <v>22969</v>
      </c>
      <c r="L868" s="550">
        <v>8500</v>
      </c>
      <c r="M868" s="205">
        <f t="shared" si="177"/>
        <v>195236500</v>
      </c>
      <c r="N868" s="214">
        <v>60</v>
      </c>
      <c r="O868" s="554">
        <f t="shared" si="172"/>
        <v>382.81666666666666</v>
      </c>
      <c r="P868" s="548">
        <f t="shared" si="169"/>
        <v>3253941.6666666665</v>
      </c>
    </row>
    <row r="869" spans="1:16" ht="12.75">
      <c r="A869" s="199" t="s">
        <v>3426</v>
      </c>
      <c r="B869" s="200" t="s">
        <v>4123</v>
      </c>
      <c r="C869" s="200" t="str">
        <f>VLOOKUP(B869,Fincas!$A$2:$C$1005,2,0)</f>
        <v>F_La Guyana</v>
      </c>
      <c r="D869" s="201">
        <v>44876</v>
      </c>
      <c r="E869" s="267" t="str">
        <f t="shared" si="168"/>
        <v>noviembre</v>
      </c>
      <c r="F869" s="202">
        <v>44876</v>
      </c>
      <c r="G869" s="203">
        <v>44880</v>
      </c>
      <c r="H869" s="200" t="s">
        <v>4131</v>
      </c>
      <c r="I869" s="253">
        <v>7008146</v>
      </c>
      <c r="J869" s="253" t="str">
        <f t="shared" si="170"/>
        <v>Res macho ceba</v>
      </c>
      <c r="K869" s="200">
        <v>18375</v>
      </c>
      <c r="L869" s="550">
        <v>8500</v>
      </c>
      <c r="M869" s="205">
        <f t="shared" si="177"/>
        <v>156187500</v>
      </c>
      <c r="N869" s="214">
        <v>48</v>
      </c>
      <c r="O869" s="554">
        <f t="shared" si="172"/>
        <v>382.8125</v>
      </c>
      <c r="P869" s="548">
        <f t="shared" si="169"/>
        <v>3253906.25</v>
      </c>
    </row>
    <row r="870" spans="1:16" ht="12.75">
      <c r="A870" s="199" t="s">
        <v>3426</v>
      </c>
      <c r="B870" s="200" t="s">
        <v>4123</v>
      </c>
      <c r="C870" s="200" t="str">
        <f>VLOOKUP(B870,Fincas!$A$2:$C$1005,2,0)</f>
        <v>F_La Guyana</v>
      </c>
      <c r="D870" s="201">
        <v>44876</v>
      </c>
      <c r="E870" s="267" t="str">
        <f t="shared" si="168"/>
        <v>noviembre</v>
      </c>
      <c r="F870" s="202">
        <v>44876</v>
      </c>
      <c r="G870" s="203">
        <v>44880</v>
      </c>
      <c r="H870" s="200" t="s">
        <v>4132</v>
      </c>
      <c r="I870" s="253">
        <v>7008146</v>
      </c>
      <c r="J870" s="253" t="str">
        <f t="shared" si="170"/>
        <v>Res macho ceba</v>
      </c>
      <c r="K870" s="200">
        <v>7656</v>
      </c>
      <c r="L870" s="550">
        <v>8500</v>
      </c>
      <c r="M870" s="205">
        <f t="shared" si="177"/>
        <v>65076000</v>
      </c>
      <c r="N870" s="214">
        <v>20</v>
      </c>
      <c r="O870" s="554">
        <f t="shared" si="172"/>
        <v>382.8</v>
      </c>
      <c r="P870" s="548">
        <f t="shared" si="169"/>
        <v>3253800</v>
      </c>
    </row>
    <row r="871" spans="1:16" ht="12.75">
      <c r="A871" s="199" t="s">
        <v>3454</v>
      </c>
      <c r="B871" s="200" t="s">
        <v>3600</v>
      </c>
      <c r="C871" s="200" t="str">
        <f>VLOOKUP(B871,Fincas!$A$2:$C$1005,2,0)</f>
        <v>F_La Leticia</v>
      </c>
      <c r="D871" s="201">
        <v>44874</v>
      </c>
      <c r="E871" s="267" t="str">
        <f t="shared" si="168"/>
        <v>noviembre</v>
      </c>
      <c r="F871" s="202">
        <v>44874</v>
      </c>
      <c r="G871" s="203">
        <v>44880</v>
      </c>
      <c r="H871" s="200">
        <v>8592</v>
      </c>
      <c r="I871" s="253">
        <v>7008146</v>
      </c>
      <c r="J871" s="253" t="str">
        <f t="shared" si="170"/>
        <v>Res macho ceba</v>
      </c>
      <c r="K871" s="200">
        <v>6862</v>
      </c>
      <c r="L871" s="550">
        <f t="shared" ref="L871:L873" si="178">M871/K871</f>
        <v>8692.3850189449149</v>
      </c>
      <c r="M871" s="213">
        <v>59647146</v>
      </c>
      <c r="N871" s="214">
        <v>17</v>
      </c>
      <c r="O871" s="554">
        <f t="shared" si="172"/>
        <v>403.64705882352939</v>
      </c>
      <c r="P871" s="548">
        <f t="shared" si="169"/>
        <v>3508655.6470588236</v>
      </c>
    </row>
    <row r="872" spans="1:16" ht="12.75">
      <c r="A872" s="199" t="s">
        <v>3454</v>
      </c>
      <c r="B872" s="200" t="s">
        <v>3600</v>
      </c>
      <c r="C872" s="200" t="str">
        <f>VLOOKUP(B872,Fincas!$A$2:$C$1005,2,0)</f>
        <v>F_La Leticia</v>
      </c>
      <c r="D872" s="201">
        <v>44874</v>
      </c>
      <c r="E872" s="267" t="str">
        <f t="shared" si="168"/>
        <v>noviembre</v>
      </c>
      <c r="F872" s="202">
        <v>44874</v>
      </c>
      <c r="G872" s="203">
        <v>44880</v>
      </c>
      <c r="H872" s="200">
        <v>8596</v>
      </c>
      <c r="I872" s="253">
        <v>7008146</v>
      </c>
      <c r="J872" s="253" t="str">
        <f t="shared" si="170"/>
        <v>Res macho ceba</v>
      </c>
      <c r="K872" s="200">
        <v>6715</v>
      </c>
      <c r="L872" s="550">
        <f t="shared" si="178"/>
        <v>8441.1599404318695</v>
      </c>
      <c r="M872" s="213">
        <v>56682389</v>
      </c>
      <c r="N872" s="214">
        <v>18</v>
      </c>
      <c r="O872" s="554">
        <f t="shared" si="172"/>
        <v>373.05555555555554</v>
      </c>
      <c r="P872" s="548">
        <f t="shared" si="169"/>
        <v>3149021.611111111</v>
      </c>
    </row>
    <row r="873" spans="1:16" ht="12.75">
      <c r="A873" s="199" t="s">
        <v>3454</v>
      </c>
      <c r="B873" s="200" t="s">
        <v>3600</v>
      </c>
      <c r="C873" s="200" t="str">
        <f>VLOOKUP(B873,Fincas!$A$2:$C$1005,2,0)</f>
        <v>F_La Leticia</v>
      </c>
      <c r="D873" s="201">
        <v>44874</v>
      </c>
      <c r="E873" s="267" t="str">
        <f t="shared" si="168"/>
        <v>noviembre</v>
      </c>
      <c r="F873" s="202">
        <v>44874</v>
      </c>
      <c r="G873" s="203">
        <v>44880</v>
      </c>
      <c r="H873" s="200">
        <v>8597</v>
      </c>
      <c r="I873" s="253">
        <v>7008146</v>
      </c>
      <c r="J873" s="253" t="str">
        <f t="shared" si="170"/>
        <v>Res macho ceba</v>
      </c>
      <c r="K873" s="200">
        <v>6697</v>
      </c>
      <c r="L873" s="550">
        <f t="shared" si="178"/>
        <v>8240.1799313125284</v>
      </c>
      <c r="M873" s="213">
        <v>55184485</v>
      </c>
      <c r="N873" s="214">
        <v>18</v>
      </c>
      <c r="O873" s="554">
        <f t="shared" si="172"/>
        <v>372.05555555555554</v>
      </c>
      <c r="P873" s="548">
        <f t="shared" si="169"/>
        <v>3065804.722222222</v>
      </c>
    </row>
    <row r="874" spans="1:16" ht="12.75">
      <c r="A874" s="199" t="s">
        <v>3511</v>
      </c>
      <c r="B874" s="200" t="s">
        <v>4069</v>
      </c>
      <c r="C874" s="200" t="str">
        <f>VLOOKUP(B874,Fincas!$A$2:$C$1005,2,0)</f>
        <v>F_Villa Chola</v>
      </c>
      <c r="D874" s="201">
        <v>44876</v>
      </c>
      <c r="E874" s="267" t="str">
        <f t="shared" si="168"/>
        <v>noviembre</v>
      </c>
      <c r="F874" s="202">
        <v>44877</v>
      </c>
      <c r="G874" s="203">
        <v>44880</v>
      </c>
      <c r="H874" s="200" t="s">
        <v>4133</v>
      </c>
      <c r="I874" s="212">
        <v>7008147</v>
      </c>
      <c r="J874" s="212" t="str">
        <f t="shared" si="170"/>
        <v>Res macho levante</v>
      </c>
      <c r="K874" s="200">
        <v>22215</v>
      </c>
      <c r="L874" s="550">
        <v>8500</v>
      </c>
      <c r="M874" s="205">
        <f t="shared" ref="M874:M876" si="179">L874*K874</f>
        <v>188827500</v>
      </c>
      <c r="N874" s="214">
        <v>104</v>
      </c>
      <c r="O874" s="554">
        <f t="shared" si="172"/>
        <v>213.60576923076923</v>
      </c>
      <c r="P874" s="548">
        <f t="shared" si="169"/>
        <v>1815649.0384615385</v>
      </c>
    </row>
    <row r="875" spans="1:16" ht="12.75">
      <c r="A875" s="199" t="s">
        <v>469</v>
      </c>
      <c r="B875" s="200" t="s">
        <v>3754</v>
      </c>
      <c r="C875" s="200" t="str">
        <f>VLOOKUP(B875,Fincas!$A$2:$C$1005,2,0)</f>
        <v>Alm. FeedLot</v>
      </c>
      <c r="D875" s="201">
        <v>44880</v>
      </c>
      <c r="E875" s="267" t="str">
        <f t="shared" si="168"/>
        <v>noviembre</v>
      </c>
      <c r="F875" s="202">
        <v>44874</v>
      </c>
      <c r="G875" s="203">
        <v>44880</v>
      </c>
      <c r="H875" s="200" t="s">
        <v>4134</v>
      </c>
      <c r="I875" s="253">
        <v>7008146</v>
      </c>
      <c r="J875" s="253" t="str">
        <f t="shared" si="170"/>
        <v>Res macho ceba</v>
      </c>
      <c r="K875" s="200">
        <v>26482</v>
      </c>
      <c r="L875" s="550">
        <v>8200</v>
      </c>
      <c r="M875" s="205">
        <f t="shared" si="179"/>
        <v>217152400</v>
      </c>
      <c r="N875" s="214">
        <v>72</v>
      </c>
      <c r="O875" s="554">
        <f t="shared" si="172"/>
        <v>367.80555555555554</v>
      </c>
      <c r="P875" s="548">
        <f t="shared" si="169"/>
        <v>3016005.5555555555</v>
      </c>
    </row>
    <row r="876" spans="1:16" ht="12.75">
      <c r="A876" s="199" t="s">
        <v>3511</v>
      </c>
      <c r="B876" s="200" t="s">
        <v>3642</v>
      </c>
      <c r="C876" s="200" t="str">
        <f>VLOOKUP(B876,Fincas!$A$2:$C$1005,2,0)</f>
        <v>F_San Rafael</v>
      </c>
      <c r="D876" s="201">
        <v>44869</v>
      </c>
      <c r="E876" s="267" t="str">
        <f t="shared" si="168"/>
        <v>noviembre</v>
      </c>
      <c r="F876" s="202">
        <v>44870</v>
      </c>
      <c r="G876" s="203">
        <v>44881</v>
      </c>
      <c r="H876" s="200" t="s">
        <v>4135</v>
      </c>
      <c r="I876" s="212">
        <v>7008147</v>
      </c>
      <c r="J876" s="212" t="str">
        <f t="shared" si="170"/>
        <v>Res macho levante</v>
      </c>
      <c r="K876" s="200">
        <v>18637</v>
      </c>
      <c r="L876" s="550">
        <v>8150</v>
      </c>
      <c r="M876" s="205">
        <f t="shared" si="179"/>
        <v>151891550</v>
      </c>
      <c r="N876" s="214">
        <v>72</v>
      </c>
      <c r="O876" s="554">
        <f t="shared" si="172"/>
        <v>258.84722222222223</v>
      </c>
      <c r="P876" s="548">
        <f t="shared" si="169"/>
        <v>2109604.861111111</v>
      </c>
    </row>
    <row r="877" spans="1:16" ht="12.75">
      <c r="A877" s="199" t="s">
        <v>3454</v>
      </c>
      <c r="B877" s="200" t="s">
        <v>3431</v>
      </c>
      <c r="C877" s="200" t="str">
        <f>VLOOKUP(B877,Fincas!$A$2:$C$1005,2,0)</f>
        <v>F_Totumito</v>
      </c>
      <c r="D877" s="201">
        <v>44875</v>
      </c>
      <c r="E877" s="267" t="str">
        <f t="shared" si="168"/>
        <v>noviembre</v>
      </c>
      <c r="F877" s="202">
        <v>44875</v>
      </c>
      <c r="G877" s="203">
        <v>44881</v>
      </c>
      <c r="H877" s="200">
        <v>243218</v>
      </c>
      <c r="I877" s="212">
        <v>7008147</v>
      </c>
      <c r="J877" s="212" t="str">
        <f t="shared" si="170"/>
        <v>Res macho levante</v>
      </c>
      <c r="K877" s="200">
        <v>5262</v>
      </c>
      <c r="L877" s="550">
        <f t="shared" ref="L877:L881" si="180">M877/K877</f>
        <v>8541.6499429874566</v>
      </c>
      <c r="M877" s="213">
        <v>44946162</v>
      </c>
      <c r="N877" s="214">
        <v>20</v>
      </c>
      <c r="O877" s="554">
        <f t="shared" si="172"/>
        <v>263.10000000000002</v>
      </c>
      <c r="P877" s="548">
        <f t="shared" si="169"/>
        <v>2247308.1</v>
      </c>
    </row>
    <row r="878" spans="1:16" ht="12.75">
      <c r="A878" s="199" t="s">
        <v>3454</v>
      </c>
      <c r="B878" s="200" t="s">
        <v>3431</v>
      </c>
      <c r="C878" s="200" t="str">
        <f>VLOOKUP(B878,Fincas!$A$2:$C$1005,2,0)</f>
        <v>F_Totumito</v>
      </c>
      <c r="D878" s="201">
        <v>44875</v>
      </c>
      <c r="E878" s="267" t="str">
        <f t="shared" si="168"/>
        <v>noviembre</v>
      </c>
      <c r="F878" s="202">
        <v>44875</v>
      </c>
      <c r="G878" s="203">
        <v>44881</v>
      </c>
      <c r="H878" s="200">
        <v>243223</v>
      </c>
      <c r="I878" s="212">
        <v>7008147</v>
      </c>
      <c r="J878" s="212" t="str">
        <f t="shared" si="170"/>
        <v>Res macho levante</v>
      </c>
      <c r="K878" s="200">
        <v>4646</v>
      </c>
      <c r="L878" s="550">
        <f t="shared" si="180"/>
        <v>8541.6500215238921</v>
      </c>
      <c r="M878" s="213">
        <v>39684506</v>
      </c>
      <c r="N878" s="214">
        <v>20</v>
      </c>
      <c r="O878" s="554">
        <f t="shared" si="172"/>
        <v>232.3</v>
      </c>
      <c r="P878" s="548">
        <f t="shared" si="169"/>
        <v>1984225.3</v>
      </c>
    </row>
    <row r="879" spans="1:16" ht="12.75">
      <c r="A879" s="199" t="s">
        <v>3454</v>
      </c>
      <c r="B879" s="200" t="s">
        <v>3431</v>
      </c>
      <c r="C879" s="200" t="str">
        <f>VLOOKUP(B879,Fincas!$A$2:$C$1005,2,0)</f>
        <v>F_Totumito</v>
      </c>
      <c r="D879" s="201">
        <v>44875</v>
      </c>
      <c r="E879" s="267" t="str">
        <f t="shared" si="168"/>
        <v>noviembre</v>
      </c>
      <c r="F879" s="202">
        <v>44875</v>
      </c>
      <c r="G879" s="203">
        <v>44881</v>
      </c>
      <c r="H879" s="200">
        <v>243233</v>
      </c>
      <c r="I879" s="212">
        <v>7008147</v>
      </c>
      <c r="J879" s="212" t="str">
        <f t="shared" si="170"/>
        <v>Res macho levante</v>
      </c>
      <c r="K879" s="200">
        <v>5704</v>
      </c>
      <c r="L879" s="550">
        <f t="shared" si="180"/>
        <v>8290.4249649368867</v>
      </c>
      <c r="M879" s="213">
        <v>47288584</v>
      </c>
      <c r="N879" s="214">
        <v>20</v>
      </c>
      <c r="O879" s="554">
        <f t="shared" si="172"/>
        <v>285.2</v>
      </c>
      <c r="P879" s="548">
        <f t="shared" si="169"/>
        <v>2364429.2000000002</v>
      </c>
    </row>
    <row r="880" spans="1:16" ht="12.75">
      <c r="A880" s="199" t="s">
        <v>3454</v>
      </c>
      <c r="B880" s="200" t="s">
        <v>3493</v>
      </c>
      <c r="C880" s="200" t="str">
        <f>VLOOKUP(B880,Fincas!$A$2:$C$1005,2,0)</f>
        <v>F_Las Camelias</v>
      </c>
      <c r="D880" s="201">
        <v>44875</v>
      </c>
      <c r="E880" s="267" t="str">
        <f t="shared" si="168"/>
        <v>noviembre</v>
      </c>
      <c r="F880" s="202">
        <v>44875</v>
      </c>
      <c r="G880" s="203">
        <v>44881</v>
      </c>
      <c r="H880" s="256" t="s">
        <v>4136</v>
      </c>
      <c r="I880" s="253">
        <v>7008146</v>
      </c>
      <c r="J880" s="253" t="str">
        <f t="shared" si="170"/>
        <v>Res macho ceba</v>
      </c>
      <c r="K880" s="200">
        <v>5918</v>
      </c>
      <c r="L880" s="550">
        <f t="shared" si="180"/>
        <v>8340.6699898614388</v>
      </c>
      <c r="M880" s="213">
        <v>49360085</v>
      </c>
      <c r="N880" s="214">
        <v>18</v>
      </c>
      <c r="O880" s="554">
        <f t="shared" si="172"/>
        <v>328.77777777777777</v>
      </c>
      <c r="P880" s="548">
        <f t="shared" si="169"/>
        <v>2742226.9444444445</v>
      </c>
    </row>
    <row r="881" spans="1:16" ht="12.75">
      <c r="A881" s="199" t="s">
        <v>3454</v>
      </c>
      <c r="B881" s="200" t="s">
        <v>3431</v>
      </c>
      <c r="C881" s="200" t="str">
        <f>VLOOKUP(B881,Fincas!$A$2:$C$1005,2,0)</f>
        <v>F_Totumito</v>
      </c>
      <c r="D881" s="201">
        <v>44881</v>
      </c>
      <c r="E881" s="267" t="str">
        <f t="shared" si="168"/>
        <v>noviembre</v>
      </c>
      <c r="F881" s="202">
        <v>44881</v>
      </c>
      <c r="G881" s="203">
        <v>44883</v>
      </c>
      <c r="H881" s="200">
        <v>8613</v>
      </c>
      <c r="I881" s="207">
        <v>7008147</v>
      </c>
      <c r="J881" s="209" t="str">
        <f t="shared" si="170"/>
        <v>Res macho levante</v>
      </c>
      <c r="K881" s="200">
        <v>5790</v>
      </c>
      <c r="L881" s="550">
        <f t="shared" si="180"/>
        <v>8240.1799654576862</v>
      </c>
      <c r="M881" s="213">
        <v>47710642</v>
      </c>
      <c r="N881" s="214">
        <v>25</v>
      </c>
      <c r="O881" s="554">
        <f t="shared" si="172"/>
        <v>231.6</v>
      </c>
      <c r="P881" s="548">
        <f t="shared" si="169"/>
        <v>1908425.68</v>
      </c>
    </row>
    <row r="882" spans="1:16" ht="12.75">
      <c r="A882" s="199" t="s">
        <v>3511</v>
      </c>
      <c r="B882" s="200" t="s">
        <v>3663</v>
      </c>
      <c r="C882" s="200" t="str">
        <f>VLOOKUP(B882,Fincas!$A$2:$C$1005,2,0)</f>
        <v>F_Las Marias</v>
      </c>
      <c r="D882" s="201">
        <v>44874</v>
      </c>
      <c r="E882" s="267" t="str">
        <f t="shared" si="168"/>
        <v>noviembre</v>
      </c>
      <c r="F882" s="202">
        <v>44876</v>
      </c>
      <c r="G882" s="203">
        <v>44885</v>
      </c>
      <c r="H882" s="200">
        <v>9687</v>
      </c>
      <c r="I882" s="207">
        <v>7008147</v>
      </c>
      <c r="J882" s="209" t="str">
        <f t="shared" si="170"/>
        <v>Res macho levante</v>
      </c>
      <c r="K882" s="200">
        <v>4952</v>
      </c>
      <c r="L882" s="550">
        <v>8500</v>
      </c>
      <c r="M882" s="205">
        <f t="shared" ref="M882:M883" si="181">L882*K882</f>
        <v>42092000</v>
      </c>
      <c r="N882" s="214">
        <v>25</v>
      </c>
      <c r="O882" s="554">
        <f t="shared" si="172"/>
        <v>198.08</v>
      </c>
      <c r="P882" s="548">
        <f t="shared" si="169"/>
        <v>1683680</v>
      </c>
    </row>
    <row r="883" spans="1:16" ht="12.75">
      <c r="A883" s="199" t="s">
        <v>3511</v>
      </c>
      <c r="B883" s="200" t="s">
        <v>3663</v>
      </c>
      <c r="C883" s="200" t="str">
        <f>VLOOKUP(B883,Fincas!$A$2:$C$1005,2,0)</f>
        <v>F_Las Marias</v>
      </c>
      <c r="D883" s="201">
        <v>44874</v>
      </c>
      <c r="E883" s="267" t="str">
        <f t="shared" si="168"/>
        <v>noviembre</v>
      </c>
      <c r="F883" s="202">
        <v>44876</v>
      </c>
      <c r="G883" s="203">
        <v>44885</v>
      </c>
      <c r="H883" s="200">
        <v>9686</v>
      </c>
      <c r="I883" s="207">
        <v>7008147</v>
      </c>
      <c r="J883" s="209" t="str">
        <f t="shared" si="170"/>
        <v>Res macho levante</v>
      </c>
      <c r="K883" s="200">
        <v>4630</v>
      </c>
      <c r="L883" s="550">
        <v>8500</v>
      </c>
      <c r="M883" s="205">
        <f t="shared" si="181"/>
        <v>39355000</v>
      </c>
      <c r="N883" s="214">
        <v>24</v>
      </c>
      <c r="O883" s="554">
        <f t="shared" si="172"/>
        <v>192.91666666666666</v>
      </c>
      <c r="P883" s="548">
        <f t="shared" si="169"/>
        <v>1639791.6666666667</v>
      </c>
    </row>
    <row r="884" spans="1:16" ht="12.75">
      <c r="A884" s="199" t="s">
        <v>3448</v>
      </c>
      <c r="B884" s="200" t="s">
        <v>3449</v>
      </c>
      <c r="C884" s="200" t="str">
        <f>VLOOKUP(B884,Fincas!$A$2:$C$1005,2,0)</f>
        <v>F_La Estrella</v>
      </c>
      <c r="D884" s="201">
        <v>44881</v>
      </c>
      <c r="E884" s="267" t="str">
        <f t="shared" si="168"/>
        <v>noviembre</v>
      </c>
      <c r="F884" s="202">
        <v>44876</v>
      </c>
      <c r="G884" s="203">
        <v>44885</v>
      </c>
      <c r="H884" s="200" t="s">
        <v>4137</v>
      </c>
      <c r="I884" s="253">
        <v>7008146</v>
      </c>
      <c r="J884" s="253" t="str">
        <f t="shared" si="170"/>
        <v>Res macho ceba</v>
      </c>
      <c r="K884" s="200">
        <v>13118</v>
      </c>
      <c r="L884" s="550">
        <v>8339</v>
      </c>
      <c r="M884" s="213">
        <v>109394800</v>
      </c>
      <c r="N884" s="214">
        <v>44</v>
      </c>
      <c r="O884" s="554">
        <f t="shared" si="172"/>
        <v>298.13636363636363</v>
      </c>
      <c r="P884" s="548">
        <f t="shared" si="169"/>
        <v>2486245.4545454546</v>
      </c>
    </row>
    <row r="885" spans="1:16" ht="12.75">
      <c r="A885" s="199" t="s">
        <v>3511</v>
      </c>
      <c r="B885" s="200" t="s">
        <v>3754</v>
      </c>
      <c r="C885" s="200" t="str">
        <f>VLOOKUP(B885,Fincas!$A$2:$C$1005,2,0)</f>
        <v>Alm. FeedLot</v>
      </c>
      <c r="D885" s="201">
        <v>44876</v>
      </c>
      <c r="E885" s="267" t="str">
        <f t="shared" si="168"/>
        <v>noviembre</v>
      </c>
      <c r="F885" s="202">
        <v>44881</v>
      </c>
      <c r="G885" s="203">
        <v>44885</v>
      </c>
      <c r="H885" s="200" t="s">
        <v>4138</v>
      </c>
      <c r="I885" s="253">
        <v>7008146</v>
      </c>
      <c r="J885" s="253" t="str">
        <f t="shared" si="170"/>
        <v>Res macho ceba</v>
      </c>
      <c r="K885" s="200">
        <v>6782</v>
      </c>
      <c r="L885" s="550">
        <v>8343</v>
      </c>
      <c r="M885" s="205">
        <f t="shared" ref="M885:M888" si="182">L885*K885</f>
        <v>56582226</v>
      </c>
      <c r="N885" s="214">
        <v>18</v>
      </c>
      <c r="O885" s="554">
        <f t="shared" si="172"/>
        <v>376.77777777777777</v>
      </c>
      <c r="P885" s="548">
        <f t="shared" si="169"/>
        <v>3143457</v>
      </c>
    </row>
    <row r="886" spans="1:16" ht="12.75">
      <c r="A886" s="199" t="s">
        <v>3511</v>
      </c>
      <c r="B886" s="200" t="s">
        <v>3754</v>
      </c>
      <c r="C886" s="200" t="str">
        <f>VLOOKUP(B886,Fincas!$A$2:$C$1005,2,0)</f>
        <v>Alm. FeedLot</v>
      </c>
      <c r="D886" s="201">
        <v>44883</v>
      </c>
      <c r="E886" s="267" t="str">
        <f t="shared" si="168"/>
        <v>noviembre</v>
      </c>
      <c r="F886" s="202">
        <v>44881</v>
      </c>
      <c r="G886" s="203">
        <v>44885</v>
      </c>
      <c r="H886" s="200" t="s">
        <v>4139</v>
      </c>
      <c r="I886" s="253">
        <v>7008146</v>
      </c>
      <c r="J886" s="253" t="str">
        <f t="shared" si="170"/>
        <v>Res macho ceba</v>
      </c>
      <c r="K886" s="200">
        <v>6935</v>
      </c>
      <c r="L886" s="550">
        <v>8193</v>
      </c>
      <c r="M886" s="205">
        <f t="shared" si="182"/>
        <v>56818455</v>
      </c>
      <c r="N886" s="214">
        <v>19</v>
      </c>
      <c r="O886" s="554">
        <f t="shared" si="172"/>
        <v>365</v>
      </c>
      <c r="P886" s="548">
        <f t="shared" si="169"/>
        <v>2990445</v>
      </c>
    </row>
    <row r="887" spans="1:16" ht="12.75">
      <c r="A887" s="199" t="s">
        <v>4140</v>
      </c>
      <c r="B887" s="200" t="s">
        <v>3754</v>
      </c>
      <c r="C887" s="200" t="str">
        <f>VLOOKUP(B887,Fincas!$A$2:$C$1005,2,0)</f>
        <v>Alm. FeedLot</v>
      </c>
      <c r="D887" s="201">
        <v>44883</v>
      </c>
      <c r="E887" s="267" t="str">
        <f t="shared" si="168"/>
        <v>noviembre</v>
      </c>
      <c r="F887" s="202">
        <v>44881</v>
      </c>
      <c r="G887" s="203">
        <v>44887</v>
      </c>
      <c r="H887" s="200" t="s">
        <v>4141</v>
      </c>
      <c r="I887" s="253">
        <v>7008146</v>
      </c>
      <c r="J887" s="253" t="str">
        <f t="shared" si="170"/>
        <v>Res macho ceba</v>
      </c>
      <c r="K887" s="200">
        <v>6844</v>
      </c>
      <c r="L887" s="550">
        <v>8200</v>
      </c>
      <c r="M887" s="205">
        <f t="shared" si="182"/>
        <v>56120800</v>
      </c>
      <c r="N887" s="214">
        <v>19</v>
      </c>
      <c r="O887" s="554">
        <f t="shared" si="172"/>
        <v>360.21052631578948</v>
      </c>
      <c r="P887" s="548">
        <f t="shared" si="169"/>
        <v>2953726.3157894737</v>
      </c>
    </row>
    <row r="888" spans="1:16" ht="12.75">
      <c r="A888" s="199" t="s">
        <v>3511</v>
      </c>
      <c r="B888" s="200" t="s">
        <v>3754</v>
      </c>
      <c r="C888" s="200" t="str">
        <f>VLOOKUP(B888,Fincas!$A$2:$C$1005,2,0)</f>
        <v>Alm. FeedLot</v>
      </c>
      <c r="D888" s="201">
        <v>44883</v>
      </c>
      <c r="E888" s="267" t="str">
        <f t="shared" si="168"/>
        <v>noviembre</v>
      </c>
      <c r="F888" s="202">
        <v>44883</v>
      </c>
      <c r="G888" s="203">
        <v>44889</v>
      </c>
      <c r="H888" s="200" t="s">
        <v>4142</v>
      </c>
      <c r="I888" s="253">
        <v>7008146</v>
      </c>
      <c r="J888" s="253" t="str">
        <f t="shared" si="170"/>
        <v>Res macho ceba</v>
      </c>
      <c r="K888" s="200">
        <v>5648</v>
      </c>
      <c r="L888" s="550">
        <v>8243</v>
      </c>
      <c r="M888" s="205">
        <f t="shared" si="182"/>
        <v>46556464</v>
      </c>
      <c r="N888" s="214">
        <v>16</v>
      </c>
      <c r="O888" s="554">
        <f t="shared" si="172"/>
        <v>353</v>
      </c>
      <c r="P888" s="548">
        <f t="shared" si="169"/>
        <v>2909779</v>
      </c>
    </row>
    <row r="889" spans="1:16" ht="12.75">
      <c r="A889" s="199" t="s">
        <v>4143</v>
      </c>
      <c r="B889" s="200" t="s">
        <v>4069</v>
      </c>
      <c r="C889" s="200" t="str">
        <f>VLOOKUP(B889,Fincas!$A$2:$C$1005,2,0)</f>
        <v>F_Villa Chola</v>
      </c>
      <c r="D889" s="201">
        <v>44882</v>
      </c>
      <c r="E889" s="267" t="str">
        <f t="shared" si="168"/>
        <v>noviembre</v>
      </c>
      <c r="F889" s="202">
        <v>44884</v>
      </c>
      <c r="G889" s="203">
        <v>44889</v>
      </c>
      <c r="H889" s="200" t="s">
        <v>4144</v>
      </c>
      <c r="I889" s="207">
        <v>7008147</v>
      </c>
      <c r="J889" s="209" t="str">
        <f t="shared" si="170"/>
        <v>Res macho levante</v>
      </c>
      <c r="K889" s="200">
        <v>3082</v>
      </c>
      <c r="L889" s="550">
        <f t="shared" ref="L889:L890" si="183">M889/K889</f>
        <v>8442</v>
      </c>
      <c r="M889" s="213">
        <v>26018244</v>
      </c>
      <c r="N889" s="214">
        <v>15</v>
      </c>
      <c r="O889" s="554">
        <f t="shared" si="172"/>
        <v>205.46666666666667</v>
      </c>
      <c r="P889" s="548">
        <f t="shared" si="169"/>
        <v>1734549.6</v>
      </c>
    </row>
    <row r="890" spans="1:16" ht="12.75">
      <c r="A890" s="199" t="s">
        <v>4143</v>
      </c>
      <c r="B890" s="200" t="s">
        <v>4069</v>
      </c>
      <c r="C890" s="200" t="str">
        <f>VLOOKUP(B890,Fincas!$A$2:$C$1005,2,0)</f>
        <v>F_Villa Chola</v>
      </c>
      <c r="D890" s="201">
        <v>44882</v>
      </c>
      <c r="E890" s="267" t="str">
        <f t="shared" si="168"/>
        <v>noviembre</v>
      </c>
      <c r="F890" s="202">
        <v>44884</v>
      </c>
      <c r="G890" s="203">
        <v>44889</v>
      </c>
      <c r="H890" s="200" t="s">
        <v>4145</v>
      </c>
      <c r="I890" s="207">
        <v>7008147</v>
      </c>
      <c r="J890" s="209" t="str">
        <f t="shared" si="170"/>
        <v>Res macho levante</v>
      </c>
      <c r="K890" s="200">
        <v>2934</v>
      </c>
      <c r="L890" s="550">
        <f t="shared" si="183"/>
        <v>8442</v>
      </c>
      <c r="M890" s="213">
        <v>24768828</v>
      </c>
      <c r="N890" s="214">
        <v>15</v>
      </c>
      <c r="O890" s="554">
        <f t="shared" si="172"/>
        <v>195.6</v>
      </c>
      <c r="P890" s="548">
        <f t="shared" si="169"/>
        <v>1651255.2</v>
      </c>
    </row>
    <row r="891" spans="1:16" ht="12.75">
      <c r="A891" s="199" t="s">
        <v>4146</v>
      </c>
      <c r="B891" s="200" t="s">
        <v>4147</v>
      </c>
      <c r="C891" s="200" t="str">
        <f>VLOOKUP(B891,Fincas!$A$2:$C$1005,2,0)</f>
        <v>A_Montecristo</v>
      </c>
      <c r="D891" s="201">
        <v>44889</v>
      </c>
      <c r="E891" s="267" t="str">
        <f t="shared" si="168"/>
        <v>noviembre</v>
      </c>
      <c r="F891" s="202">
        <v>44884</v>
      </c>
      <c r="G891" s="203">
        <v>44889</v>
      </c>
      <c r="H891" s="200" t="s">
        <v>4148</v>
      </c>
      <c r="I891" s="253">
        <v>7008146</v>
      </c>
      <c r="J891" s="253" t="str">
        <f t="shared" si="170"/>
        <v>Res macho ceba</v>
      </c>
      <c r="K891" s="200">
        <v>6157</v>
      </c>
      <c r="L891" s="550">
        <v>8100</v>
      </c>
      <c r="M891" s="205">
        <f t="shared" ref="M891:M911" si="184">L891*K891</f>
        <v>49871700</v>
      </c>
      <c r="N891" s="214">
        <v>18</v>
      </c>
      <c r="O891" s="554">
        <f t="shared" si="172"/>
        <v>342.05555555555554</v>
      </c>
      <c r="P891" s="548">
        <f t="shared" si="169"/>
        <v>2770650</v>
      </c>
    </row>
    <row r="892" spans="1:16" ht="12.75">
      <c r="A892" s="199" t="s">
        <v>4149</v>
      </c>
      <c r="B892" s="200" t="s">
        <v>3469</v>
      </c>
      <c r="C892" s="200" t="str">
        <f>VLOOKUP(B892,Fincas!$A$2:$C$1005,2,0)</f>
        <v>F_Chumbimbo</v>
      </c>
      <c r="D892" s="201">
        <v>44889</v>
      </c>
      <c r="E892" s="267" t="str">
        <f t="shared" si="168"/>
        <v>noviembre</v>
      </c>
      <c r="F892" s="202">
        <v>44889</v>
      </c>
      <c r="G892" s="203">
        <v>44890</v>
      </c>
      <c r="H892" s="200" t="s">
        <v>4150</v>
      </c>
      <c r="I892" s="254">
        <v>7008151</v>
      </c>
      <c r="J892" s="557" t="str">
        <f t="shared" si="170"/>
        <v>Res novilla ceba</v>
      </c>
      <c r="K892" s="200">
        <v>5359</v>
      </c>
      <c r="L892" s="550">
        <v>8000</v>
      </c>
      <c r="M892" s="205">
        <f t="shared" si="184"/>
        <v>42872000</v>
      </c>
      <c r="N892" s="214">
        <v>20</v>
      </c>
      <c r="O892" s="554">
        <f t="shared" si="172"/>
        <v>267.95</v>
      </c>
      <c r="P892" s="548">
        <f t="shared" si="169"/>
        <v>2143600</v>
      </c>
    </row>
    <row r="893" spans="1:16" ht="12.75">
      <c r="A893" s="199" t="s">
        <v>3906</v>
      </c>
      <c r="B893" s="200" t="s">
        <v>4069</v>
      </c>
      <c r="C893" s="200" t="str">
        <f>VLOOKUP(B893,Fincas!$A$2:$C$1005,2,0)</f>
        <v>F_Villa Chola</v>
      </c>
      <c r="D893" s="201">
        <v>44886</v>
      </c>
      <c r="E893" s="267" t="str">
        <f t="shared" si="168"/>
        <v>noviembre</v>
      </c>
      <c r="F893" s="202">
        <v>44889</v>
      </c>
      <c r="G893" s="203">
        <v>44893</v>
      </c>
      <c r="H893" s="257">
        <v>56</v>
      </c>
      <c r="I893" s="207">
        <v>7008147</v>
      </c>
      <c r="J893" s="209" t="str">
        <f t="shared" si="170"/>
        <v>Res macho levante</v>
      </c>
      <c r="K893" s="200">
        <v>11168</v>
      </c>
      <c r="L893" s="550">
        <v>8400</v>
      </c>
      <c r="M893" s="205">
        <f t="shared" si="184"/>
        <v>93811200</v>
      </c>
      <c r="N893" s="214">
        <v>50</v>
      </c>
      <c r="O893" s="554">
        <f t="shared" si="172"/>
        <v>223.36</v>
      </c>
      <c r="P893" s="548">
        <f t="shared" si="169"/>
        <v>1876224</v>
      </c>
    </row>
    <row r="894" spans="1:16" ht="12.75">
      <c r="A894" s="199" t="s">
        <v>3511</v>
      </c>
      <c r="B894" s="200" t="s">
        <v>4069</v>
      </c>
      <c r="C894" s="200" t="str">
        <f>VLOOKUP(B894,Fincas!$A$2:$C$1005,2,0)</f>
        <v>F_Villa Chola</v>
      </c>
      <c r="D894" s="201">
        <v>44887</v>
      </c>
      <c r="E894" s="267" t="str">
        <f t="shared" si="168"/>
        <v>noviembre</v>
      </c>
      <c r="F894" s="202">
        <v>44888</v>
      </c>
      <c r="G894" s="203">
        <v>44893</v>
      </c>
      <c r="H894" s="200" t="s">
        <v>4151</v>
      </c>
      <c r="I894" s="207">
        <v>7008147</v>
      </c>
      <c r="J894" s="209" t="str">
        <f t="shared" si="170"/>
        <v>Res macho levante</v>
      </c>
      <c r="K894" s="200">
        <v>11201</v>
      </c>
      <c r="L894" s="550">
        <v>8300</v>
      </c>
      <c r="M894" s="205">
        <f t="shared" si="184"/>
        <v>92968300</v>
      </c>
      <c r="N894" s="214">
        <v>45</v>
      </c>
      <c r="O894" s="554">
        <f t="shared" si="172"/>
        <v>248.9111111111111</v>
      </c>
      <c r="P894" s="548">
        <f t="shared" si="169"/>
        <v>2065962.2222222222</v>
      </c>
    </row>
    <row r="895" spans="1:16" ht="12.75">
      <c r="A895" s="199" t="s">
        <v>3511</v>
      </c>
      <c r="B895" s="200" t="s">
        <v>3663</v>
      </c>
      <c r="C895" s="200" t="str">
        <f>VLOOKUP(B895,Fincas!$A$2:$C$1005,2,0)</f>
        <v>F_Las Marias</v>
      </c>
      <c r="D895" s="201">
        <v>44889</v>
      </c>
      <c r="E895" s="267" t="str">
        <f t="shared" si="168"/>
        <v>noviembre</v>
      </c>
      <c r="F895" s="202">
        <v>44889</v>
      </c>
      <c r="G895" s="203">
        <v>44893</v>
      </c>
      <c r="H895" s="200" t="s">
        <v>4152</v>
      </c>
      <c r="I895" s="207">
        <v>7008147</v>
      </c>
      <c r="J895" s="209" t="str">
        <f t="shared" si="170"/>
        <v>Res macho levante</v>
      </c>
      <c r="K895" s="200">
        <v>11519</v>
      </c>
      <c r="L895" s="550">
        <v>8300</v>
      </c>
      <c r="M895" s="205">
        <f t="shared" si="184"/>
        <v>95607700</v>
      </c>
      <c r="N895" s="214">
        <v>48</v>
      </c>
      <c r="O895" s="554">
        <f t="shared" si="172"/>
        <v>239.97916666666666</v>
      </c>
      <c r="P895" s="548">
        <f t="shared" si="169"/>
        <v>1991827.0833333333</v>
      </c>
    </row>
    <row r="896" spans="1:16" ht="12.75">
      <c r="A896" s="199" t="s">
        <v>4057</v>
      </c>
      <c r="B896" s="200" t="s">
        <v>3442</v>
      </c>
      <c r="C896" s="200" t="str">
        <f>VLOOKUP(B896,Fincas!$A$2:$C$1005,2,0)</f>
        <v>F_El Diamante</v>
      </c>
      <c r="D896" s="201">
        <v>44893</v>
      </c>
      <c r="E896" s="267" t="str">
        <f t="shared" si="168"/>
        <v>noviembre</v>
      </c>
      <c r="F896" s="202">
        <v>44893</v>
      </c>
      <c r="G896" s="203">
        <v>44893</v>
      </c>
      <c r="H896" s="200" t="s">
        <v>4153</v>
      </c>
      <c r="I896" s="250">
        <v>7008459</v>
      </c>
      <c r="J896" s="556" t="str">
        <f t="shared" si="170"/>
        <v>Res macho Cría</v>
      </c>
      <c r="K896" s="200">
        <v>1690</v>
      </c>
      <c r="L896" s="550">
        <v>13850</v>
      </c>
      <c r="M896" s="205">
        <f t="shared" si="184"/>
        <v>23406500</v>
      </c>
      <c r="N896" s="214">
        <v>18</v>
      </c>
      <c r="O896" s="554">
        <f t="shared" si="172"/>
        <v>93.888888888888886</v>
      </c>
      <c r="P896" s="548">
        <f t="shared" si="169"/>
        <v>1300361.111111111</v>
      </c>
    </row>
    <row r="897" spans="1:16" ht="12.75">
      <c r="A897" s="199" t="s">
        <v>3548</v>
      </c>
      <c r="B897" s="200" t="s">
        <v>3549</v>
      </c>
      <c r="C897" s="200" t="str">
        <f>VLOOKUP(B897,Fincas!$A$2:$C$1005,2,0)</f>
        <v>F_El Imperio</v>
      </c>
      <c r="D897" s="201">
        <v>44893</v>
      </c>
      <c r="E897" s="267" t="str">
        <f t="shared" si="168"/>
        <v>noviembre</v>
      </c>
      <c r="F897" s="202">
        <v>44894</v>
      </c>
      <c r="G897" s="203">
        <v>44894</v>
      </c>
      <c r="H897" s="200" t="s">
        <v>4038</v>
      </c>
      <c r="I897" s="253">
        <v>7008146</v>
      </c>
      <c r="J897" s="253" t="str">
        <f t="shared" si="170"/>
        <v>Res macho ceba</v>
      </c>
      <c r="K897" s="200">
        <v>7326</v>
      </c>
      <c r="L897" s="550">
        <v>8600</v>
      </c>
      <c r="M897" s="205">
        <f t="shared" si="184"/>
        <v>63003600</v>
      </c>
      <c r="N897" s="214">
        <v>21</v>
      </c>
      <c r="O897" s="554">
        <f t="shared" si="172"/>
        <v>348.85714285714283</v>
      </c>
      <c r="P897" s="548">
        <f t="shared" si="169"/>
        <v>3000171.4285714286</v>
      </c>
    </row>
    <row r="898" spans="1:16" ht="12.75">
      <c r="A898" s="199" t="s">
        <v>4154</v>
      </c>
      <c r="B898" s="200" t="s">
        <v>3489</v>
      </c>
      <c r="C898" s="200" t="str">
        <f>VLOOKUP(B898,Fincas!$A$2:$C$1005,2,0)</f>
        <v>F_La Pradilla</v>
      </c>
      <c r="D898" s="201">
        <v>44894</v>
      </c>
      <c r="E898" s="267" t="str">
        <f t="shared" ref="E898:E960" si="185">+TEXT(D898,"mmmm")</f>
        <v>noviembre</v>
      </c>
      <c r="F898" s="202">
        <v>44894</v>
      </c>
      <c r="G898" s="203">
        <v>44894</v>
      </c>
      <c r="H898" s="200" t="s">
        <v>4155</v>
      </c>
      <c r="I898" s="253">
        <v>7008146</v>
      </c>
      <c r="J898" s="253" t="str">
        <f t="shared" si="170"/>
        <v>Res macho ceba</v>
      </c>
      <c r="K898" s="200">
        <v>1979</v>
      </c>
      <c r="L898" s="550">
        <v>8350</v>
      </c>
      <c r="M898" s="205">
        <f t="shared" si="184"/>
        <v>16524650</v>
      </c>
      <c r="N898" s="214">
        <v>8</v>
      </c>
      <c r="O898" s="554">
        <f t="shared" si="172"/>
        <v>247.375</v>
      </c>
      <c r="P898" s="548">
        <f>+M898/N898</f>
        <v>2065581.25</v>
      </c>
    </row>
    <row r="899" spans="1:16" ht="12.75">
      <c r="A899" s="199" t="s">
        <v>4154</v>
      </c>
      <c r="B899" s="200" t="s">
        <v>3489</v>
      </c>
      <c r="C899" s="200" t="str">
        <f>VLOOKUP(B899,Fincas!$A$2:$C$1005,2,0)</f>
        <v>F_La Pradilla</v>
      </c>
      <c r="D899" s="201">
        <v>44894</v>
      </c>
      <c r="E899" s="267" t="str">
        <f t="shared" si="185"/>
        <v>noviembre</v>
      </c>
      <c r="F899" s="202">
        <v>44894</v>
      </c>
      <c r="G899" s="203">
        <v>44894</v>
      </c>
      <c r="H899" s="200" t="s">
        <v>4156</v>
      </c>
      <c r="I899" s="253">
        <v>7008146</v>
      </c>
      <c r="J899" s="253" t="str">
        <f t="shared" ref="J899:J960" si="186">+VLOOKUP(I899,$F$962:$G$970,2,0)</f>
        <v>Res macho ceba</v>
      </c>
      <c r="K899" s="200">
        <v>4609</v>
      </c>
      <c r="L899" s="550">
        <v>8550</v>
      </c>
      <c r="M899" s="205">
        <f t="shared" si="184"/>
        <v>39406950</v>
      </c>
      <c r="N899" s="214">
        <v>15</v>
      </c>
      <c r="O899" s="554">
        <f t="shared" ref="O899:O960" si="187">+K899/N899</f>
        <v>307.26666666666665</v>
      </c>
      <c r="P899" s="548">
        <f>+M899/N899</f>
        <v>2627130</v>
      </c>
    </row>
    <row r="900" spans="1:16" ht="12.75">
      <c r="A900" s="199" t="s">
        <v>4154</v>
      </c>
      <c r="B900" s="200" t="s">
        <v>3489</v>
      </c>
      <c r="C900" s="200" t="str">
        <f>VLOOKUP(B900,Fincas!$A$2:$C$1005,2,0)</f>
        <v>F_La Pradilla</v>
      </c>
      <c r="D900" s="201">
        <v>44894</v>
      </c>
      <c r="E900" s="267" t="str">
        <f t="shared" si="185"/>
        <v>noviembre</v>
      </c>
      <c r="F900" s="202">
        <v>44894</v>
      </c>
      <c r="G900" s="203">
        <v>44894</v>
      </c>
      <c r="H900" s="200" t="s">
        <v>4157</v>
      </c>
      <c r="I900" s="253">
        <v>7008146</v>
      </c>
      <c r="J900" s="253" t="str">
        <f t="shared" si="186"/>
        <v>Res macho ceba</v>
      </c>
      <c r="K900" s="200">
        <v>4823</v>
      </c>
      <c r="L900" s="550">
        <v>8450</v>
      </c>
      <c r="M900" s="205">
        <f t="shared" si="184"/>
        <v>40754350</v>
      </c>
      <c r="N900" s="214">
        <v>15</v>
      </c>
      <c r="O900" s="554">
        <f t="shared" si="187"/>
        <v>321.53333333333336</v>
      </c>
      <c r="P900" s="548">
        <f>+M900/N900</f>
        <v>2716956.6666666665</v>
      </c>
    </row>
    <row r="901" spans="1:16" ht="12.75">
      <c r="A901" s="199" t="s">
        <v>4158</v>
      </c>
      <c r="B901" s="200" t="s">
        <v>4159</v>
      </c>
      <c r="C901" s="200" t="str">
        <f>VLOOKUP(B901,Fincas!$A$2:$C$1005,2,0)</f>
        <v>EL_ Estoril</v>
      </c>
      <c r="D901" s="201">
        <v>44893</v>
      </c>
      <c r="E901" s="267" t="str">
        <f t="shared" si="185"/>
        <v>noviembre</v>
      </c>
      <c r="F901" s="202">
        <v>44894</v>
      </c>
      <c r="G901" s="203">
        <v>44894</v>
      </c>
      <c r="H901" s="200" t="s">
        <v>4160</v>
      </c>
      <c r="I901" s="253">
        <v>7008146</v>
      </c>
      <c r="J901" s="253" t="str">
        <f t="shared" si="186"/>
        <v>Res macho ceba</v>
      </c>
      <c r="K901" s="200">
        <v>42259</v>
      </c>
      <c r="L901" s="550">
        <v>8300</v>
      </c>
      <c r="M901" s="205">
        <f t="shared" si="184"/>
        <v>350749700</v>
      </c>
      <c r="N901" s="214">
        <v>100</v>
      </c>
      <c r="O901" s="554">
        <f t="shared" si="187"/>
        <v>422.59</v>
      </c>
      <c r="P901" s="548">
        <f>+M901/N901</f>
        <v>3507497</v>
      </c>
    </row>
    <row r="902" spans="1:16" ht="12.75">
      <c r="A902" s="199" t="s">
        <v>4161</v>
      </c>
      <c r="B902" s="200" t="s">
        <v>3437</v>
      </c>
      <c r="C902" s="200" t="str">
        <f>VLOOKUP(B902,Fincas!$A$2:$C$1005,2,0)</f>
        <v>F_Chaparral</v>
      </c>
      <c r="D902" s="201">
        <v>44838</v>
      </c>
      <c r="E902" s="267" t="str">
        <f t="shared" si="185"/>
        <v>octubre</v>
      </c>
      <c r="F902" s="202">
        <v>44836</v>
      </c>
      <c r="G902" s="203">
        <v>44895</v>
      </c>
      <c r="H902" s="200" t="s">
        <v>4162</v>
      </c>
      <c r="I902" s="253">
        <v>7008146</v>
      </c>
      <c r="J902" s="253" t="str">
        <f t="shared" si="186"/>
        <v>Res macho ceba</v>
      </c>
      <c r="K902" s="200">
        <v>14579</v>
      </c>
      <c r="L902" s="550">
        <v>7800</v>
      </c>
      <c r="M902" s="205">
        <f t="shared" si="184"/>
        <v>113716200</v>
      </c>
      <c r="N902" s="214">
        <v>50</v>
      </c>
      <c r="O902" s="554">
        <f t="shared" si="187"/>
        <v>291.58</v>
      </c>
      <c r="P902" s="548">
        <f>+M902/N902</f>
        <v>2274324</v>
      </c>
    </row>
    <row r="903" spans="1:16" ht="12.75">
      <c r="A903" s="199" t="s">
        <v>3995</v>
      </c>
      <c r="B903" s="200" t="s">
        <v>3754</v>
      </c>
      <c r="C903" s="200" t="str">
        <f>VLOOKUP(B903,Fincas!$A$2:$C$1005,2,0)</f>
        <v>Alm. FeedLot</v>
      </c>
      <c r="D903" s="201">
        <v>44882</v>
      </c>
      <c r="E903" s="267" t="str">
        <f t="shared" si="185"/>
        <v>noviembre</v>
      </c>
      <c r="F903" s="202">
        <v>44883</v>
      </c>
      <c r="G903" s="203">
        <v>44895</v>
      </c>
      <c r="H903" s="200" t="s">
        <v>4163</v>
      </c>
      <c r="I903" s="253">
        <v>7008146</v>
      </c>
      <c r="J903" s="253" t="str">
        <f t="shared" si="186"/>
        <v>Res macho ceba</v>
      </c>
      <c r="K903" s="200">
        <v>19313</v>
      </c>
      <c r="L903" s="550">
        <v>8250</v>
      </c>
      <c r="M903" s="205">
        <f t="shared" si="184"/>
        <v>159332250</v>
      </c>
      <c r="N903" s="214">
        <v>54</v>
      </c>
      <c r="O903" s="554">
        <f t="shared" si="187"/>
        <v>357.64814814814815</v>
      </c>
      <c r="P903" s="548">
        <f>+M903/N903</f>
        <v>2950597.222222222</v>
      </c>
    </row>
    <row r="904" spans="1:16" ht="12.75">
      <c r="A904" s="199" t="s">
        <v>4140</v>
      </c>
      <c r="B904" s="200" t="s">
        <v>3754</v>
      </c>
      <c r="C904" s="200" t="str">
        <f>VLOOKUP(B904,Fincas!$A$2:$C$1005,2,0)</f>
        <v>Alm. FeedLot</v>
      </c>
      <c r="D904" s="201">
        <v>44893</v>
      </c>
      <c r="E904" s="267" t="str">
        <f t="shared" si="185"/>
        <v>noviembre</v>
      </c>
      <c r="F904" s="202">
        <v>44891</v>
      </c>
      <c r="G904" s="203">
        <v>44895</v>
      </c>
      <c r="H904" s="200" t="s">
        <v>4164</v>
      </c>
      <c r="I904" s="253">
        <v>7008146</v>
      </c>
      <c r="J904" s="253" t="str">
        <f t="shared" si="186"/>
        <v>Res macho ceba</v>
      </c>
      <c r="K904" s="200">
        <v>9862</v>
      </c>
      <c r="L904" s="550">
        <v>8200</v>
      </c>
      <c r="M904" s="205">
        <f t="shared" si="184"/>
        <v>80868400</v>
      </c>
      <c r="N904" s="214">
        <v>28</v>
      </c>
      <c r="O904" s="554">
        <f t="shared" si="187"/>
        <v>352.21428571428572</v>
      </c>
      <c r="P904" s="548">
        <f>+M904/N904</f>
        <v>2888157.1428571427</v>
      </c>
    </row>
    <row r="905" spans="1:16" ht="12.75">
      <c r="A905" s="199" t="s">
        <v>501</v>
      </c>
      <c r="B905" s="200" t="s">
        <v>3754</v>
      </c>
      <c r="C905" s="200" t="str">
        <f>VLOOKUP(B905,Fincas!$A$2:$C$1005,2,0)</f>
        <v>Alm. FeedLot</v>
      </c>
      <c r="D905" s="201">
        <v>44898</v>
      </c>
      <c r="E905" s="267" t="str">
        <f t="shared" si="185"/>
        <v>diciembre</v>
      </c>
      <c r="F905" s="202">
        <v>44898</v>
      </c>
      <c r="G905" s="203">
        <v>44900</v>
      </c>
      <c r="H905" s="200" t="s">
        <v>4165</v>
      </c>
      <c r="I905" s="253">
        <v>7008146</v>
      </c>
      <c r="J905" s="253" t="str">
        <f t="shared" si="186"/>
        <v>Res macho ceba</v>
      </c>
      <c r="K905" s="200">
        <v>13372</v>
      </c>
      <c r="L905" s="550">
        <v>8250</v>
      </c>
      <c r="M905" s="205">
        <f t="shared" si="184"/>
        <v>110319000</v>
      </c>
      <c r="N905" s="214">
        <v>35</v>
      </c>
      <c r="O905" s="554">
        <f t="shared" si="187"/>
        <v>382.05714285714288</v>
      </c>
      <c r="P905" s="548">
        <f>+M905/N905</f>
        <v>3151971.4285714286</v>
      </c>
    </row>
    <row r="906" spans="1:16" ht="12.75">
      <c r="A906" s="199" t="s">
        <v>250</v>
      </c>
      <c r="B906" s="200" t="s">
        <v>3754</v>
      </c>
      <c r="C906" s="200" t="str">
        <f>VLOOKUP(B906,Fincas!$A$2:$C$1005,2,0)</f>
        <v>Alm. FeedLot</v>
      </c>
      <c r="D906" s="201">
        <v>44898</v>
      </c>
      <c r="E906" s="267" t="str">
        <f t="shared" si="185"/>
        <v>diciembre</v>
      </c>
      <c r="F906" s="202">
        <v>44898</v>
      </c>
      <c r="G906" s="203">
        <v>44900</v>
      </c>
      <c r="H906" s="200" t="s">
        <v>4166</v>
      </c>
      <c r="I906" s="253">
        <v>7008146</v>
      </c>
      <c r="J906" s="253" t="str">
        <f t="shared" si="186"/>
        <v>Res macho ceba</v>
      </c>
      <c r="K906" s="200">
        <v>5728</v>
      </c>
      <c r="L906" s="550">
        <v>8250</v>
      </c>
      <c r="M906" s="205">
        <f t="shared" si="184"/>
        <v>47256000</v>
      </c>
      <c r="N906" s="214">
        <v>17</v>
      </c>
      <c r="O906" s="554">
        <f t="shared" si="187"/>
        <v>336.94117647058823</v>
      </c>
      <c r="P906" s="548">
        <f>+M906/N906</f>
        <v>2779764.7058823528</v>
      </c>
    </row>
    <row r="907" spans="1:16" ht="12.75">
      <c r="A907" s="199" t="s">
        <v>3898</v>
      </c>
      <c r="B907" s="200" t="s">
        <v>3623</v>
      </c>
      <c r="C907" s="200" t="str">
        <f>VLOOKUP(B907,Fincas!$A$2:$C$1005,2,0)</f>
        <v>F_Vista Hermosa</v>
      </c>
      <c r="D907" s="201">
        <v>44896</v>
      </c>
      <c r="E907" s="267" t="str">
        <f t="shared" si="185"/>
        <v>diciembre</v>
      </c>
      <c r="F907" s="202">
        <v>44896</v>
      </c>
      <c r="G907" s="203">
        <v>44900</v>
      </c>
      <c r="H907" s="200" t="s">
        <v>4167</v>
      </c>
      <c r="I907" s="207">
        <v>7008147</v>
      </c>
      <c r="J907" s="209" t="str">
        <f t="shared" si="186"/>
        <v>Res macho levante</v>
      </c>
      <c r="K907" s="200">
        <v>6598</v>
      </c>
      <c r="L907" s="550">
        <v>8500</v>
      </c>
      <c r="M907" s="205">
        <f t="shared" si="184"/>
        <v>56083000</v>
      </c>
      <c r="N907" s="214">
        <v>30</v>
      </c>
      <c r="O907" s="554">
        <f t="shared" si="187"/>
        <v>219.93333333333334</v>
      </c>
      <c r="P907" s="548">
        <f>+M907/N907</f>
        <v>1869433.3333333333</v>
      </c>
    </row>
    <row r="908" spans="1:16" ht="12.75">
      <c r="A908" s="199" t="s">
        <v>3514</v>
      </c>
      <c r="B908" s="200" t="s">
        <v>3754</v>
      </c>
      <c r="C908" s="200" t="str">
        <f>VLOOKUP(B908,Fincas!$A$2:$C$1005,2,0)</f>
        <v>Alm. FeedLot</v>
      </c>
      <c r="D908" s="201">
        <v>44896</v>
      </c>
      <c r="E908" s="267" t="str">
        <f t="shared" si="185"/>
        <v>diciembre</v>
      </c>
      <c r="F908" s="202">
        <v>44900</v>
      </c>
      <c r="G908" s="203">
        <v>44901</v>
      </c>
      <c r="H908" s="200" t="s">
        <v>4168</v>
      </c>
      <c r="I908" s="253">
        <v>7008146</v>
      </c>
      <c r="J908" s="253" t="str">
        <f t="shared" si="186"/>
        <v>Res macho ceba</v>
      </c>
      <c r="K908" s="200">
        <v>12554</v>
      </c>
      <c r="L908" s="550">
        <v>8200</v>
      </c>
      <c r="M908" s="205">
        <f t="shared" si="184"/>
        <v>102942800</v>
      </c>
      <c r="N908" s="214">
        <v>36</v>
      </c>
      <c r="O908" s="554">
        <f t="shared" si="187"/>
        <v>348.72222222222223</v>
      </c>
      <c r="P908" s="548">
        <f>+M908/N908</f>
        <v>2859522.222222222</v>
      </c>
    </row>
    <row r="909" spans="1:16" ht="12.75">
      <c r="A909" s="199" t="s">
        <v>3514</v>
      </c>
      <c r="B909" s="200" t="s">
        <v>4069</v>
      </c>
      <c r="C909" s="200" t="str">
        <f>VLOOKUP(B909,Fincas!$A$2:$C$1005,2,0)</f>
        <v>F_Villa Chola</v>
      </c>
      <c r="D909" s="201">
        <v>44896</v>
      </c>
      <c r="E909" s="267" t="str">
        <f t="shared" si="185"/>
        <v>diciembre</v>
      </c>
      <c r="F909" s="202">
        <v>44900</v>
      </c>
      <c r="G909" s="203">
        <v>44901</v>
      </c>
      <c r="H909" s="200" t="s">
        <v>4169</v>
      </c>
      <c r="I909" s="207">
        <v>7008147</v>
      </c>
      <c r="J909" s="209" t="str">
        <f t="shared" si="186"/>
        <v>Res macho levante</v>
      </c>
      <c r="K909" s="200">
        <v>15746</v>
      </c>
      <c r="L909" s="550">
        <v>8300</v>
      </c>
      <c r="M909" s="205">
        <f t="shared" si="184"/>
        <v>130691800</v>
      </c>
      <c r="N909" s="214">
        <v>55</v>
      </c>
      <c r="O909" s="554">
        <f t="shared" si="187"/>
        <v>286.29090909090911</v>
      </c>
      <c r="P909" s="548">
        <f>+M909/N909</f>
        <v>2376214.5454545454</v>
      </c>
    </row>
    <row r="910" spans="1:16" ht="12.75">
      <c r="A910" s="258" t="s">
        <v>3511</v>
      </c>
      <c r="B910" s="259" t="s">
        <v>3442</v>
      </c>
      <c r="C910" s="259" t="str">
        <f>VLOOKUP(B910,Fincas!$A$2:$C$1005,2,0)</f>
        <v>F_El Diamante</v>
      </c>
      <c r="D910" s="260">
        <v>44897</v>
      </c>
      <c r="E910" s="267" t="str">
        <f t="shared" si="185"/>
        <v>diciembre</v>
      </c>
      <c r="F910" s="261">
        <v>44901</v>
      </c>
      <c r="G910" s="262">
        <v>44901</v>
      </c>
      <c r="H910" s="259" t="s">
        <v>4170</v>
      </c>
      <c r="I910" s="263">
        <v>7008147</v>
      </c>
      <c r="J910" s="266" t="str">
        <f t="shared" si="186"/>
        <v>Res macho levante</v>
      </c>
      <c r="K910" s="259">
        <v>15949</v>
      </c>
      <c r="L910" s="552">
        <v>8400</v>
      </c>
      <c r="M910" s="264">
        <f t="shared" si="184"/>
        <v>133971600</v>
      </c>
      <c r="N910" s="265">
        <v>72</v>
      </c>
      <c r="O910" s="554">
        <f t="shared" si="187"/>
        <v>221.51388888888889</v>
      </c>
      <c r="P910" s="548">
        <f>+M910/N910</f>
        <v>1860716.6666666667</v>
      </c>
    </row>
    <row r="911" spans="1:16" ht="12.75">
      <c r="A911" s="199" t="s">
        <v>3622</v>
      </c>
      <c r="B911" s="200" t="s">
        <v>3442</v>
      </c>
      <c r="C911" s="200" t="str">
        <f>VLOOKUP(B911,Fincas!$A$2:$C$1005,2,0)</f>
        <v>F_El Diamante</v>
      </c>
      <c r="D911" s="201">
        <v>44898</v>
      </c>
      <c r="E911" s="267" t="str">
        <f t="shared" si="185"/>
        <v>diciembre</v>
      </c>
      <c r="F911" s="202">
        <v>44902</v>
      </c>
      <c r="G911" s="203">
        <v>44903</v>
      </c>
      <c r="H911" s="200" t="s">
        <v>4171</v>
      </c>
      <c r="I911" s="207">
        <v>7008147</v>
      </c>
      <c r="J911" s="209" t="str">
        <f t="shared" si="186"/>
        <v>Res macho levante</v>
      </c>
      <c r="K911" s="200">
        <v>5064</v>
      </c>
      <c r="L911" s="550">
        <v>9000</v>
      </c>
      <c r="M911" s="205">
        <f t="shared" si="184"/>
        <v>45576000</v>
      </c>
      <c r="N911" s="214">
        <v>25</v>
      </c>
      <c r="O911" s="554">
        <f t="shared" si="187"/>
        <v>202.56</v>
      </c>
      <c r="P911" s="548">
        <f>+M911/N911</f>
        <v>1823040</v>
      </c>
    </row>
    <row r="912" spans="1:16" ht="12.75">
      <c r="A912" s="199" t="s">
        <v>3622</v>
      </c>
      <c r="B912" s="200" t="s">
        <v>3442</v>
      </c>
      <c r="C912" s="200" t="str">
        <f>VLOOKUP(B912,Fincas!$A$2:$C$1005,2,0)</f>
        <v>F_El Diamante</v>
      </c>
      <c r="D912" s="201">
        <v>44898</v>
      </c>
      <c r="E912" s="267" t="str">
        <f t="shared" si="185"/>
        <v>diciembre</v>
      </c>
      <c r="F912" s="202">
        <v>44902</v>
      </c>
      <c r="G912" s="203">
        <v>44903</v>
      </c>
      <c r="H912" s="200" t="s">
        <v>4172</v>
      </c>
      <c r="I912" s="207">
        <v>7008147</v>
      </c>
      <c r="J912" s="209" t="str">
        <f t="shared" si="186"/>
        <v>Res macho levante</v>
      </c>
      <c r="K912" s="200">
        <v>10461</v>
      </c>
      <c r="L912" s="550">
        <f>M912/K912</f>
        <v>8300</v>
      </c>
      <c r="M912" s="213">
        <v>86826300</v>
      </c>
      <c r="N912" s="214">
        <v>36</v>
      </c>
      <c r="O912" s="554">
        <f t="shared" si="187"/>
        <v>290.58333333333331</v>
      </c>
      <c r="P912" s="548">
        <f>+M912/N912</f>
        <v>2411841.6666666665</v>
      </c>
    </row>
    <row r="913" spans="1:16" ht="12.75">
      <c r="A913" s="199" t="s">
        <v>4173</v>
      </c>
      <c r="B913" s="200" t="s">
        <v>3754</v>
      </c>
      <c r="C913" s="200" t="str">
        <f>VLOOKUP(B913,Fincas!$A$2:$C$1005,2,0)</f>
        <v>Alm. FeedLot</v>
      </c>
      <c r="D913" s="201">
        <v>44901</v>
      </c>
      <c r="E913" s="267" t="str">
        <f t="shared" si="185"/>
        <v>diciembre</v>
      </c>
      <c r="F913" s="202">
        <v>44901</v>
      </c>
      <c r="G913" s="203">
        <v>44904</v>
      </c>
      <c r="H913" s="200" t="s">
        <v>4174</v>
      </c>
      <c r="I913" s="253">
        <v>7008146</v>
      </c>
      <c r="J913" s="253" t="str">
        <f t="shared" si="186"/>
        <v>Res macho ceba</v>
      </c>
      <c r="K913" s="200">
        <v>4528</v>
      </c>
      <c r="L913" s="550">
        <v>8200</v>
      </c>
      <c r="M913" s="205">
        <f>L913*K913</f>
        <v>37129600</v>
      </c>
      <c r="N913" s="214">
        <v>12</v>
      </c>
      <c r="O913" s="554">
        <f t="shared" si="187"/>
        <v>377.33333333333331</v>
      </c>
      <c r="P913" s="548">
        <f>+M913/N913</f>
        <v>3094133.3333333335</v>
      </c>
    </row>
    <row r="914" spans="1:16" ht="12.75">
      <c r="A914" s="199" t="s">
        <v>3454</v>
      </c>
      <c r="B914" s="200" t="s">
        <v>3496</v>
      </c>
      <c r="C914" s="200" t="str">
        <f>VLOOKUP(B914,Fincas!$A$2:$C$1005,2,0)</f>
        <v>A_El Tropezon</v>
      </c>
      <c r="D914" s="201">
        <v>44902</v>
      </c>
      <c r="E914" s="267" t="str">
        <f t="shared" si="185"/>
        <v>diciembre</v>
      </c>
      <c r="F914" s="202">
        <v>44907</v>
      </c>
      <c r="G914" s="203">
        <v>44907</v>
      </c>
      <c r="H914" s="200">
        <v>8683</v>
      </c>
      <c r="I914" s="253">
        <v>7008146</v>
      </c>
      <c r="J914" s="253" t="str">
        <f t="shared" si="186"/>
        <v>Res macho ceba</v>
      </c>
      <c r="K914" s="200">
        <v>5872</v>
      </c>
      <c r="L914" s="550">
        <f t="shared" ref="L914:L915" si="188">M914/K914</f>
        <v>8390.9150204359667</v>
      </c>
      <c r="M914" s="213">
        <v>49271453</v>
      </c>
      <c r="N914" s="214">
        <v>18</v>
      </c>
      <c r="O914" s="554">
        <f t="shared" si="187"/>
        <v>326.22222222222223</v>
      </c>
      <c r="P914" s="548">
        <f>+M914/N914</f>
        <v>2737302.9444444445</v>
      </c>
    </row>
    <row r="915" spans="1:16" ht="12.75">
      <c r="A915" s="199" t="s">
        <v>3454</v>
      </c>
      <c r="B915" s="200" t="s">
        <v>3496</v>
      </c>
      <c r="C915" s="200" t="str">
        <f>VLOOKUP(B915,Fincas!$A$2:$C$1005,2,0)</f>
        <v>A_El Tropezon</v>
      </c>
      <c r="D915" s="201">
        <v>44902</v>
      </c>
      <c r="E915" s="267" t="str">
        <f t="shared" si="185"/>
        <v>diciembre</v>
      </c>
      <c r="F915" s="202">
        <v>44907</v>
      </c>
      <c r="G915" s="203">
        <v>44907</v>
      </c>
      <c r="H915" s="200">
        <v>8684</v>
      </c>
      <c r="I915" s="253">
        <v>7008146</v>
      </c>
      <c r="J915" s="253" t="str">
        <f t="shared" si="186"/>
        <v>Res macho ceba</v>
      </c>
      <c r="K915" s="200">
        <v>5896</v>
      </c>
      <c r="L915" s="550">
        <f t="shared" si="188"/>
        <v>8441.1599389416551</v>
      </c>
      <c r="M915" s="213">
        <v>49769079</v>
      </c>
      <c r="N915" s="214">
        <v>18</v>
      </c>
      <c r="O915" s="554">
        <f t="shared" si="187"/>
        <v>327.55555555555554</v>
      </c>
      <c r="P915" s="548">
        <f>+M915/N915</f>
        <v>2764948.8333333335</v>
      </c>
    </row>
    <row r="916" spans="1:16" ht="12.75">
      <c r="A916" s="199" t="s">
        <v>4175</v>
      </c>
      <c r="B916" s="200" t="s">
        <v>3523</v>
      </c>
      <c r="C916" s="200" t="str">
        <f>VLOOKUP(B916,Fincas!$A$2:$C$1005,2,0)</f>
        <v>F_El Caldero</v>
      </c>
      <c r="D916" s="201">
        <v>44902</v>
      </c>
      <c r="E916" s="267" t="str">
        <f t="shared" si="185"/>
        <v>diciembre</v>
      </c>
      <c r="F916" s="202">
        <v>44902</v>
      </c>
      <c r="G916" s="203">
        <v>44907</v>
      </c>
      <c r="H916" s="200" t="s">
        <v>4176</v>
      </c>
      <c r="I916" s="253">
        <v>7008146</v>
      </c>
      <c r="J916" s="253" t="str">
        <f t="shared" si="186"/>
        <v>Res macho ceba</v>
      </c>
      <c r="K916" s="200">
        <v>4211</v>
      </c>
      <c r="L916" s="550">
        <v>8300</v>
      </c>
      <c r="M916" s="205">
        <f t="shared" ref="M916:M933" si="189">L916*K916</f>
        <v>34951300</v>
      </c>
      <c r="N916" s="214">
        <v>12</v>
      </c>
      <c r="O916" s="554">
        <f t="shared" si="187"/>
        <v>350.91666666666669</v>
      </c>
      <c r="P916" s="548">
        <f>+M916/N916</f>
        <v>2912608.3333333335</v>
      </c>
    </row>
    <row r="917" spans="1:16" ht="12.75">
      <c r="A917" s="199" t="s">
        <v>4085</v>
      </c>
      <c r="B917" s="200" t="s">
        <v>3919</v>
      </c>
      <c r="C917" s="200" t="str">
        <f>VLOOKUP(B917,Fincas!$A$2:$C$1005,2,0)</f>
        <v>A_Rancho Apache</v>
      </c>
      <c r="D917" s="201">
        <v>44907</v>
      </c>
      <c r="E917" s="267" t="str">
        <f t="shared" si="185"/>
        <v>diciembre</v>
      </c>
      <c r="F917" s="202">
        <v>44902</v>
      </c>
      <c r="G917" s="203">
        <v>44908</v>
      </c>
      <c r="H917" s="200" t="s">
        <v>4177</v>
      </c>
      <c r="I917" s="207">
        <v>7008147</v>
      </c>
      <c r="J917" s="209" t="str">
        <f t="shared" si="186"/>
        <v>Res macho levante</v>
      </c>
      <c r="K917" s="200">
        <v>11320</v>
      </c>
      <c r="L917" s="550">
        <v>8780</v>
      </c>
      <c r="M917" s="205">
        <f t="shared" si="189"/>
        <v>99389600</v>
      </c>
      <c r="N917" s="214">
        <v>40</v>
      </c>
      <c r="O917" s="554">
        <f t="shared" si="187"/>
        <v>283</v>
      </c>
      <c r="P917" s="548">
        <f>+M917/N917</f>
        <v>2484740</v>
      </c>
    </row>
    <row r="918" spans="1:16" ht="12.75">
      <c r="A918" s="199" t="s">
        <v>4178</v>
      </c>
      <c r="B918" s="200" t="s">
        <v>3854</v>
      </c>
      <c r="C918" s="200" t="str">
        <f>VLOOKUP(B918,Fincas!$A$2:$C$1005,2,0)</f>
        <v>F_San Antonio</v>
      </c>
      <c r="D918" s="201">
        <v>44893</v>
      </c>
      <c r="E918" s="267" t="str">
        <f t="shared" si="185"/>
        <v>noviembre</v>
      </c>
      <c r="F918" s="202">
        <v>44893</v>
      </c>
      <c r="G918" s="203">
        <v>44910</v>
      </c>
      <c r="H918" s="200" t="s">
        <v>4179</v>
      </c>
      <c r="I918" s="253">
        <v>7008146</v>
      </c>
      <c r="J918" s="253" t="str">
        <f t="shared" si="186"/>
        <v>Res macho ceba</v>
      </c>
      <c r="K918" s="200">
        <v>4996</v>
      </c>
      <c r="L918" s="550">
        <v>8500</v>
      </c>
      <c r="M918" s="205">
        <f t="shared" si="189"/>
        <v>42466000</v>
      </c>
      <c r="N918" s="214">
        <v>14</v>
      </c>
      <c r="O918" s="554">
        <f t="shared" si="187"/>
        <v>356.85714285714283</v>
      </c>
      <c r="P918" s="548">
        <f>+M918/N918</f>
        <v>3033285.7142857141</v>
      </c>
    </row>
    <row r="919" spans="1:16" ht="12.75">
      <c r="A919" s="199" t="s">
        <v>4180</v>
      </c>
      <c r="B919" s="200" t="s">
        <v>4181</v>
      </c>
      <c r="C919" s="200" t="str">
        <f>VLOOKUP(B919,Fincas!$A$2:$C$1005,2,0)</f>
        <v>F_Canaan</v>
      </c>
      <c r="D919" s="201">
        <v>44908</v>
      </c>
      <c r="E919" s="267" t="str">
        <f t="shared" si="185"/>
        <v>diciembre</v>
      </c>
      <c r="F919" s="202">
        <v>44908</v>
      </c>
      <c r="G919" s="203">
        <v>44908</v>
      </c>
      <c r="H919" s="200" t="s">
        <v>3631</v>
      </c>
      <c r="I919" s="253">
        <v>7008146</v>
      </c>
      <c r="J919" s="253" t="str">
        <f t="shared" si="186"/>
        <v>Res macho ceba</v>
      </c>
      <c r="K919" s="200">
        <v>18411</v>
      </c>
      <c r="L919" s="550">
        <v>8200</v>
      </c>
      <c r="M919" s="205">
        <f t="shared" si="189"/>
        <v>150970200</v>
      </c>
      <c r="N919" s="214">
        <v>51</v>
      </c>
      <c r="O919" s="554">
        <f t="shared" si="187"/>
        <v>361</v>
      </c>
      <c r="P919" s="548">
        <f>+M919/N919</f>
        <v>2960200</v>
      </c>
    </row>
    <row r="920" spans="1:16" ht="12.75">
      <c r="A920" s="199" t="s">
        <v>3511</v>
      </c>
      <c r="B920" s="200" t="s">
        <v>4181</v>
      </c>
      <c r="C920" s="200" t="str">
        <f>VLOOKUP(B920,Fincas!$A$2:$C$1005,2,0)</f>
        <v>F_Canaan</v>
      </c>
      <c r="D920" s="201">
        <v>44909</v>
      </c>
      <c r="E920" s="267" t="str">
        <f t="shared" si="185"/>
        <v>diciembre</v>
      </c>
      <c r="F920" s="202">
        <v>44910</v>
      </c>
      <c r="G920" s="203">
        <v>44910</v>
      </c>
      <c r="H920" s="200" t="s">
        <v>4182</v>
      </c>
      <c r="I920" s="253">
        <v>7008146</v>
      </c>
      <c r="J920" s="253" t="str">
        <f t="shared" si="186"/>
        <v>Res macho ceba</v>
      </c>
      <c r="K920" s="200">
        <v>12728</v>
      </c>
      <c r="L920" s="550">
        <v>8250</v>
      </c>
      <c r="M920" s="205">
        <f t="shared" si="189"/>
        <v>105006000</v>
      </c>
      <c r="N920" s="214">
        <v>44</v>
      </c>
      <c r="O920" s="554">
        <f t="shared" si="187"/>
        <v>289.27272727272725</v>
      </c>
      <c r="P920" s="548">
        <f>+M920/N920</f>
        <v>2386500</v>
      </c>
    </row>
    <row r="921" spans="1:16" ht="12.75">
      <c r="A921" s="199" t="s">
        <v>4180</v>
      </c>
      <c r="B921" s="200" t="s">
        <v>4181</v>
      </c>
      <c r="C921" s="200" t="str">
        <f>VLOOKUP(B921,Fincas!$A$2:$C$1005,2,0)</f>
        <v>F_Canaan</v>
      </c>
      <c r="D921" s="201">
        <v>44908</v>
      </c>
      <c r="E921" s="267" t="str">
        <f t="shared" si="185"/>
        <v>diciembre</v>
      </c>
      <c r="F921" s="202">
        <v>44908</v>
      </c>
      <c r="G921" s="203">
        <v>44910</v>
      </c>
      <c r="H921" s="200" t="s">
        <v>4183</v>
      </c>
      <c r="I921" s="207">
        <v>7008147</v>
      </c>
      <c r="J921" s="209" t="str">
        <f t="shared" si="186"/>
        <v>Res macho levante</v>
      </c>
      <c r="K921" s="200">
        <v>38065</v>
      </c>
      <c r="L921" s="550">
        <v>8200</v>
      </c>
      <c r="M921" s="205">
        <f t="shared" si="189"/>
        <v>312133000</v>
      </c>
      <c r="N921" s="214">
        <v>143</v>
      </c>
      <c r="O921" s="554">
        <f t="shared" si="187"/>
        <v>266.1888111888112</v>
      </c>
      <c r="P921" s="548">
        <f>+M921/N921</f>
        <v>2182748.2517482517</v>
      </c>
    </row>
    <row r="922" spans="1:16" ht="12.75">
      <c r="A922" s="199" t="s">
        <v>3511</v>
      </c>
      <c r="B922" s="200" t="s">
        <v>3754</v>
      </c>
      <c r="C922" s="200" t="str">
        <f>VLOOKUP(B922,Fincas!$A$2:$C$1005,2,0)</f>
        <v>Alm. FeedLot</v>
      </c>
      <c r="D922" s="201">
        <v>44904</v>
      </c>
      <c r="E922" s="267" t="str">
        <f t="shared" si="185"/>
        <v>diciembre</v>
      </c>
      <c r="F922" s="202">
        <v>44905</v>
      </c>
      <c r="G922" s="203">
        <v>44909</v>
      </c>
      <c r="H922" s="200" t="s">
        <v>4184</v>
      </c>
      <c r="I922" s="253">
        <v>7008146</v>
      </c>
      <c r="J922" s="253" t="str">
        <f t="shared" si="186"/>
        <v>Res macho ceba</v>
      </c>
      <c r="K922" s="200">
        <v>6430</v>
      </c>
      <c r="L922" s="550">
        <v>8143</v>
      </c>
      <c r="M922" s="205">
        <f t="shared" si="189"/>
        <v>52359490</v>
      </c>
      <c r="N922" s="214">
        <v>18</v>
      </c>
      <c r="O922" s="554">
        <f t="shared" si="187"/>
        <v>357.22222222222223</v>
      </c>
      <c r="P922" s="548">
        <f>+M922/N922</f>
        <v>2908860.5555555555</v>
      </c>
    </row>
    <row r="923" spans="1:16" ht="12.75">
      <c r="A923" s="199" t="s">
        <v>3511</v>
      </c>
      <c r="B923" s="200" t="s">
        <v>3754</v>
      </c>
      <c r="C923" s="200" t="str">
        <f>VLOOKUP(B923,Fincas!$A$2:$C$1005,2,0)</f>
        <v>Alm. FeedLot</v>
      </c>
      <c r="D923" s="201">
        <v>44904</v>
      </c>
      <c r="E923" s="267" t="str">
        <f t="shared" si="185"/>
        <v>diciembre</v>
      </c>
      <c r="F923" s="202">
        <v>44905</v>
      </c>
      <c r="G923" s="203">
        <v>44909</v>
      </c>
      <c r="H923" s="200" t="s">
        <v>4185</v>
      </c>
      <c r="I923" s="253">
        <v>7008146</v>
      </c>
      <c r="J923" s="253" t="str">
        <f t="shared" si="186"/>
        <v>Res macho ceba</v>
      </c>
      <c r="K923" s="200">
        <v>13347</v>
      </c>
      <c r="L923" s="550">
        <v>8200</v>
      </c>
      <c r="M923" s="205">
        <f t="shared" si="189"/>
        <v>109445400</v>
      </c>
      <c r="N923" s="214">
        <v>38</v>
      </c>
      <c r="O923" s="554">
        <f t="shared" si="187"/>
        <v>351.23684210526318</v>
      </c>
      <c r="P923" s="548">
        <f>+M923/N923</f>
        <v>2880142.1052631577</v>
      </c>
    </row>
    <row r="924" spans="1:16" ht="12.75">
      <c r="A924" s="199" t="s">
        <v>3511</v>
      </c>
      <c r="B924" s="200" t="s">
        <v>3754</v>
      </c>
      <c r="C924" s="200" t="str">
        <f>VLOOKUP(B924,Fincas!$A$2:$C$1005,2,0)</f>
        <v>Alm. FeedLot</v>
      </c>
      <c r="D924" s="201">
        <v>44903</v>
      </c>
      <c r="E924" s="267" t="str">
        <f t="shared" si="185"/>
        <v>diciembre</v>
      </c>
      <c r="F924" s="202">
        <v>44905</v>
      </c>
      <c r="G924" s="203">
        <v>44909</v>
      </c>
      <c r="H924" s="200" t="s">
        <v>4186</v>
      </c>
      <c r="I924" s="253">
        <v>7008146</v>
      </c>
      <c r="J924" s="253" t="str">
        <f t="shared" si="186"/>
        <v>Res macho ceba</v>
      </c>
      <c r="K924" s="200">
        <v>6060</v>
      </c>
      <c r="L924" s="550">
        <v>8250</v>
      </c>
      <c r="M924" s="205">
        <f t="shared" si="189"/>
        <v>49995000</v>
      </c>
      <c r="N924" s="214">
        <v>18</v>
      </c>
      <c r="O924" s="554">
        <f t="shared" si="187"/>
        <v>336.66666666666669</v>
      </c>
      <c r="P924" s="548">
        <f>+M924/N924</f>
        <v>2777500</v>
      </c>
    </row>
    <row r="925" spans="1:16" ht="12.75">
      <c r="A925" s="199" t="s">
        <v>3511</v>
      </c>
      <c r="B925" s="200" t="s">
        <v>3754</v>
      </c>
      <c r="C925" s="200" t="str">
        <f>VLOOKUP(B925,Fincas!$A$2:$C$1005,2,0)</f>
        <v>Alm. FeedLot</v>
      </c>
      <c r="D925" s="201">
        <v>44908</v>
      </c>
      <c r="E925" s="267" t="str">
        <f t="shared" si="185"/>
        <v>diciembre</v>
      </c>
      <c r="F925" s="202">
        <v>44905</v>
      </c>
      <c r="G925" s="203">
        <v>44909</v>
      </c>
      <c r="H925" s="200" t="s">
        <v>4187</v>
      </c>
      <c r="I925" s="253">
        <v>7008146</v>
      </c>
      <c r="J925" s="253" t="str">
        <f t="shared" si="186"/>
        <v>Res macho ceba</v>
      </c>
      <c r="K925" s="200">
        <v>27004</v>
      </c>
      <c r="L925" s="550">
        <v>8100</v>
      </c>
      <c r="M925" s="205">
        <f t="shared" si="189"/>
        <v>218732400</v>
      </c>
      <c r="N925" s="214">
        <v>72</v>
      </c>
      <c r="O925" s="554">
        <f t="shared" si="187"/>
        <v>375.05555555555554</v>
      </c>
      <c r="P925" s="548">
        <f>+M925/N925</f>
        <v>3037950</v>
      </c>
    </row>
    <row r="926" spans="1:16" ht="12.75">
      <c r="A926" s="199" t="s">
        <v>3511</v>
      </c>
      <c r="B926" s="200" t="s">
        <v>3754</v>
      </c>
      <c r="C926" s="200" t="str">
        <f>VLOOKUP(B926,Fincas!$A$2:$C$1005,2,0)</f>
        <v>Alm. FeedLot</v>
      </c>
      <c r="D926" s="201">
        <v>44909</v>
      </c>
      <c r="E926" s="267" t="str">
        <f t="shared" si="185"/>
        <v>diciembre</v>
      </c>
      <c r="F926" s="202">
        <v>44905</v>
      </c>
      <c r="G926" s="203">
        <v>44909</v>
      </c>
      <c r="H926" s="200" t="s">
        <v>4188</v>
      </c>
      <c r="I926" s="253">
        <v>7008146</v>
      </c>
      <c r="J926" s="253" t="str">
        <f t="shared" si="186"/>
        <v>Res macho ceba</v>
      </c>
      <c r="K926" s="200">
        <v>13430</v>
      </c>
      <c r="L926" s="550">
        <v>8250</v>
      </c>
      <c r="M926" s="205">
        <f t="shared" si="189"/>
        <v>110797500</v>
      </c>
      <c r="N926" s="214">
        <v>40</v>
      </c>
      <c r="O926" s="554">
        <f t="shared" si="187"/>
        <v>335.75</v>
      </c>
      <c r="P926" s="548">
        <f>+M926/N926</f>
        <v>2769937.5</v>
      </c>
    </row>
    <row r="927" spans="1:16" ht="12.75">
      <c r="A927" s="199" t="s">
        <v>3426</v>
      </c>
      <c r="B927" s="200" t="s">
        <v>3965</v>
      </c>
      <c r="C927" s="200" t="str">
        <f>VLOOKUP(B927,Fincas!$A$2:$C$1005,2,0)</f>
        <v>F_Villa Sandra</v>
      </c>
      <c r="D927" s="201">
        <v>44908</v>
      </c>
      <c r="E927" s="267" t="str">
        <f t="shared" si="185"/>
        <v>diciembre</v>
      </c>
      <c r="F927" s="202">
        <v>44908</v>
      </c>
      <c r="G927" s="203">
        <v>44910</v>
      </c>
      <c r="H927" s="200" t="s">
        <v>4189</v>
      </c>
      <c r="I927" s="253">
        <v>7008146</v>
      </c>
      <c r="J927" s="253" t="str">
        <f t="shared" si="186"/>
        <v>Res macho ceba</v>
      </c>
      <c r="K927" s="200">
        <v>12512</v>
      </c>
      <c r="L927" s="550">
        <v>8547</v>
      </c>
      <c r="M927" s="205">
        <f t="shared" si="189"/>
        <v>106940064</v>
      </c>
      <c r="N927" s="214">
        <v>38</v>
      </c>
      <c r="O927" s="554">
        <f t="shared" si="187"/>
        <v>329.26315789473682</v>
      </c>
      <c r="P927" s="548">
        <f>+M927/N927</f>
        <v>2814212.210526316</v>
      </c>
    </row>
    <row r="928" spans="1:16" ht="12.75">
      <c r="A928" s="199" t="s">
        <v>3995</v>
      </c>
      <c r="B928" s="200" t="s">
        <v>3754</v>
      </c>
      <c r="C928" s="200" t="str">
        <f>VLOOKUP(B928,Fincas!$A$2:$C$1005,2,0)</f>
        <v>Alm. FeedLot</v>
      </c>
      <c r="D928" s="201">
        <v>44908</v>
      </c>
      <c r="E928" s="267" t="str">
        <f t="shared" si="185"/>
        <v>diciembre</v>
      </c>
      <c r="F928" s="202">
        <v>44910</v>
      </c>
      <c r="G928" s="203">
        <v>44914</v>
      </c>
      <c r="H928" s="200" t="s">
        <v>4190</v>
      </c>
      <c r="I928" s="253">
        <v>7008146</v>
      </c>
      <c r="J928" s="253" t="str">
        <f t="shared" si="186"/>
        <v>Res macho ceba</v>
      </c>
      <c r="K928" s="200">
        <v>4390</v>
      </c>
      <c r="L928" s="550">
        <v>8250</v>
      </c>
      <c r="M928" s="205">
        <f t="shared" si="189"/>
        <v>36217500</v>
      </c>
      <c r="N928" s="214">
        <v>12</v>
      </c>
      <c r="O928" s="554">
        <f t="shared" si="187"/>
        <v>365.83333333333331</v>
      </c>
      <c r="P928" s="548">
        <f>+M928/N928</f>
        <v>3018125</v>
      </c>
    </row>
    <row r="929" spans="1:16" ht="12.75">
      <c r="A929" s="199" t="s">
        <v>3451</v>
      </c>
      <c r="B929" s="200" t="s">
        <v>3498</v>
      </c>
      <c r="C929" s="200" t="str">
        <f>VLOOKUP(B929,Fincas!$A$2:$C$1005,2,0)</f>
        <v>F_Jordan</v>
      </c>
      <c r="D929" s="201">
        <v>44910</v>
      </c>
      <c r="E929" s="267" t="str">
        <f t="shared" si="185"/>
        <v>diciembre</v>
      </c>
      <c r="F929" s="202">
        <v>44910</v>
      </c>
      <c r="G929" s="203">
        <v>44914</v>
      </c>
      <c r="H929" s="200" t="s">
        <v>4191</v>
      </c>
      <c r="I929" s="253">
        <v>7008146</v>
      </c>
      <c r="J929" s="253" t="str">
        <f t="shared" si="186"/>
        <v>Res macho ceba</v>
      </c>
      <c r="K929" s="200">
        <v>12468</v>
      </c>
      <c r="L929" s="550">
        <v>8466</v>
      </c>
      <c r="M929" s="205">
        <f t="shared" si="189"/>
        <v>105554088</v>
      </c>
      <c r="N929" s="214">
        <v>29</v>
      </c>
      <c r="O929" s="554">
        <f t="shared" si="187"/>
        <v>429.93103448275861</v>
      </c>
      <c r="P929" s="548">
        <f>+M929/N929</f>
        <v>3639796.1379310344</v>
      </c>
    </row>
    <row r="930" spans="1:16" ht="12.75">
      <c r="A930" s="199" t="s">
        <v>3511</v>
      </c>
      <c r="B930" s="200" t="s">
        <v>3696</v>
      </c>
      <c r="C930" s="200" t="str">
        <f>VLOOKUP(B930,Fincas!$A$2:$C$1005,2,0)</f>
        <v>F_Las Delicias</v>
      </c>
      <c r="D930" s="201">
        <v>44910</v>
      </c>
      <c r="E930" s="267" t="str">
        <f t="shared" si="185"/>
        <v>diciembre</v>
      </c>
      <c r="F930" s="202">
        <v>44911</v>
      </c>
      <c r="G930" s="203">
        <v>44914</v>
      </c>
      <c r="H930" s="200" t="s">
        <v>4192</v>
      </c>
      <c r="I930" s="207">
        <v>7008147</v>
      </c>
      <c r="J930" s="209" t="str">
        <f t="shared" si="186"/>
        <v>Res macho levante</v>
      </c>
      <c r="K930" s="200">
        <v>2366</v>
      </c>
      <c r="L930" s="550">
        <v>8450</v>
      </c>
      <c r="M930" s="205">
        <f t="shared" si="189"/>
        <v>19992700</v>
      </c>
      <c r="N930" s="214">
        <v>9</v>
      </c>
      <c r="O930" s="554">
        <f t="shared" si="187"/>
        <v>262.88888888888891</v>
      </c>
      <c r="P930" s="548">
        <f>+M930/N930</f>
        <v>2221411.111111111</v>
      </c>
    </row>
    <row r="931" spans="1:16" ht="12.75">
      <c r="A931" s="199" t="s">
        <v>3511</v>
      </c>
      <c r="B931" s="200" t="s">
        <v>3696</v>
      </c>
      <c r="C931" s="200" t="str">
        <f>VLOOKUP(B931,Fincas!$A$2:$C$1005,2,0)</f>
        <v>F_Las Delicias</v>
      </c>
      <c r="D931" s="201">
        <v>44910</v>
      </c>
      <c r="E931" s="267" t="str">
        <f t="shared" si="185"/>
        <v>diciembre</v>
      </c>
      <c r="F931" s="202">
        <v>44911</v>
      </c>
      <c r="G931" s="203">
        <v>44914</v>
      </c>
      <c r="H931" s="200">
        <v>10156</v>
      </c>
      <c r="I931" s="207">
        <v>7008147</v>
      </c>
      <c r="J931" s="209" t="str">
        <f t="shared" si="186"/>
        <v>Res macho levante</v>
      </c>
      <c r="K931" s="200">
        <v>5554</v>
      </c>
      <c r="L931" s="550">
        <v>8300</v>
      </c>
      <c r="M931" s="205">
        <f t="shared" si="189"/>
        <v>46098200</v>
      </c>
      <c r="N931" s="214">
        <v>25</v>
      </c>
      <c r="O931" s="554">
        <f t="shared" si="187"/>
        <v>222.16</v>
      </c>
      <c r="P931" s="548">
        <f>+M931/N931</f>
        <v>1843928</v>
      </c>
    </row>
    <row r="932" spans="1:16" ht="12.75">
      <c r="A932" s="199" t="s">
        <v>3511</v>
      </c>
      <c r="B932" s="200" t="s">
        <v>3696</v>
      </c>
      <c r="C932" s="200" t="str">
        <f>VLOOKUP(B932,Fincas!$A$2:$C$1005,2,0)</f>
        <v>F_Las Delicias</v>
      </c>
      <c r="D932" s="201">
        <v>44910</v>
      </c>
      <c r="E932" s="267" t="str">
        <f t="shared" si="185"/>
        <v>diciembre</v>
      </c>
      <c r="F932" s="202">
        <v>44911</v>
      </c>
      <c r="G932" s="203">
        <v>44914</v>
      </c>
      <c r="H932" s="200">
        <v>10157</v>
      </c>
      <c r="I932" s="207">
        <v>7008147</v>
      </c>
      <c r="J932" s="209" t="str">
        <f t="shared" si="186"/>
        <v>Res macho levante</v>
      </c>
      <c r="K932" s="200">
        <v>6107</v>
      </c>
      <c r="L932" s="550">
        <v>7700</v>
      </c>
      <c r="M932" s="205">
        <f t="shared" si="189"/>
        <v>47023900</v>
      </c>
      <c r="N932" s="214">
        <v>21</v>
      </c>
      <c r="O932" s="554">
        <f t="shared" si="187"/>
        <v>290.8095238095238</v>
      </c>
      <c r="P932" s="548">
        <f>+M932/N932</f>
        <v>2239233.3333333335</v>
      </c>
    </row>
    <row r="933" spans="1:16" ht="12.75">
      <c r="A933" s="199" t="s">
        <v>3511</v>
      </c>
      <c r="B933" s="200" t="s">
        <v>3696</v>
      </c>
      <c r="C933" s="200" t="str">
        <f>VLOOKUP(B933,Fincas!$A$2:$C$1005,2,0)</f>
        <v>F_Las Delicias</v>
      </c>
      <c r="D933" s="201">
        <v>44910</v>
      </c>
      <c r="E933" s="267" t="str">
        <f t="shared" si="185"/>
        <v>diciembre</v>
      </c>
      <c r="F933" s="202">
        <v>44911</v>
      </c>
      <c r="G933" s="203">
        <v>44914</v>
      </c>
      <c r="H933" s="200">
        <v>10174</v>
      </c>
      <c r="I933" s="207">
        <v>7008147</v>
      </c>
      <c r="J933" s="209" t="str">
        <f t="shared" si="186"/>
        <v>Res macho levante</v>
      </c>
      <c r="K933" s="200">
        <v>3358</v>
      </c>
      <c r="L933" s="550">
        <v>8450</v>
      </c>
      <c r="M933" s="205">
        <f t="shared" si="189"/>
        <v>28375100</v>
      </c>
      <c r="N933" s="214">
        <v>15</v>
      </c>
      <c r="O933" s="554">
        <f t="shared" si="187"/>
        <v>223.86666666666667</v>
      </c>
      <c r="P933" s="548">
        <f>+M933/N933</f>
        <v>1891673.3333333333</v>
      </c>
    </row>
    <row r="934" spans="1:16" ht="12.75">
      <c r="A934" s="199" t="s">
        <v>3771</v>
      </c>
      <c r="B934" s="200" t="s">
        <v>3496</v>
      </c>
      <c r="C934" s="200" t="str">
        <f>VLOOKUP(B934,Fincas!$A$2:$C$1005,2,0)</f>
        <v>A_El Tropezon</v>
      </c>
      <c r="D934" s="201">
        <v>44911</v>
      </c>
      <c r="E934" s="267" t="str">
        <f t="shared" si="185"/>
        <v>diciembre</v>
      </c>
      <c r="F934" s="202">
        <v>44911</v>
      </c>
      <c r="G934" s="203">
        <v>44914</v>
      </c>
      <c r="H934" s="200" t="s">
        <v>4193</v>
      </c>
      <c r="I934" s="253">
        <v>7008146</v>
      </c>
      <c r="J934" s="253" t="str">
        <f t="shared" si="186"/>
        <v>Res macho ceba</v>
      </c>
      <c r="K934" s="200">
        <v>16149</v>
      </c>
      <c r="L934" s="550">
        <f>M934/K934</f>
        <v>8511.4619481082427</v>
      </c>
      <c r="M934" s="213">
        <v>137451599</v>
      </c>
      <c r="N934" s="214">
        <v>54</v>
      </c>
      <c r="O934" s="554">
        <f t="shared" si="187"/>
        <v>299.05555555555554</v>
      </c>
      <c r="P934" s="548">
        <f>+M934/N934</f>
        <v>2545399.9814814813</v>
      </c>
    </row>
    <row r="935" spans="1:16" ht="12.75">
      <c r="A935" s="199" t="s">
        <v>3426</v>
      </c>
      <c r="B935" s="200" t="s">
        <v>3498</v>
      </c>
      <c r="C935" s="200" t="str">
        <f>VLOOKUP(B935,Fincas!$A$2:$C$1005,2,0)</f>
        <v>F_Jordan</v>
      </c>
      <c r="D935" s="201">
        <v>44904</v>
      </c>
      <c r="E935" s="267" t="str">
        <f t="shared" si="185"/>
        <v>diciembre</v>
      </c>
      <c r="F935" s="202">
        <v>44904</v>
      </c>
      <c r="G935" s="203">
        <v>44910</v>
      </c>
      <c r="H935" s="200" t="s">
        <v>4194</v>
      </c>
      <c r="I935" s="253">
        <v>7008146</v>
      </c>
      <c r="J935" s="253" t="str">
        <f t="shared" si="186"/>
        <v>Res macho ceba</v>
      </c>
      <c r="K935" s="200">
        <v>27583</v>
      </c>
      <c r="L935" s="550">
        <v>8300</v>
      </c>
      <c r="M935" s="205">
        <f t="shared" ref="M935:M944" si="190">L935*K935</f>
        <v>228938900</v>
      </c>
      <c r="N935" s="214">
        <v>70</v>
      </c>
      <c r="O935" s="554">
        <f t="shared" si="187"/>
        <v>394.04285714285714</v>
      </c>
      <c r="P935" s="548">
        <f>+M935/N935</f>
        <v>3270555.7142857141</v>
      </c>
    </row>
    <row r="936" spans="1:16" ht="12.75">
      <c r="A936" s="199" t="s">
        <v>3426</v>
      </c>
      <c r="B936" s="200" t="s">
        <v>3498</v>
      </c>
      <c r="C936" s="200" t="str">
        <f>VLOOKUP(B936,Fincas!$A$2:$C$1005,2,0)</f>
        <v>F_Jordan</v>
      </c>
      <c r="D936" s="201">
        <v>44904</v>
      </c>
      <c r="E936" s="267" t="str">
        <f t="shared" si="185"/>
        <v>diciembre</v>
      </c>
      <c r="F936" s="202">
        <v>44904</v>
      </c>
      <c r="G936" s="203">
        <v>44910</v>
      </c>
      <c r="H936" s="200" t="s">
        <v>4195</v>
      </c>
      <c r="I936" s="253">
        <v>7008146</v>
      </c>
      <c r="J936" s="253" t="str">
        <f t="shared" si="186"/>
        <v>Res macho ceba</v>
      </c>
      <c r="K936" s="200">
        <v>19124</v>
      </c>
      <c r="L936" s="550">
        <v>8517</v>
      </c>
      <c r="M936" s="205">
        <f t="shared" si="190"/>
        <v>162879108</v>
      </c>
      <c r="N936" s="214">
        <v>47</v>
      </c>
      <c r="O936" s="554">
        <f t="shared" si="187"/>
        <v>406.89361702127661</v>
      </c>
      <c r="P936" s="548">
        <f>+M936/N936</f>
        <v>3465512.9361702129</v>
      </c>
    </row>
    <row r="937" spans="1:16" ht="12.75">
      <c r="A937" s="199" t="s">
        <v>4079</v>
      </c>
      <c r="B937" s="200" t="s">
        <v>3437</v>
      </c>
      <c r="C937" s="200" t="str">
        <f>VLOOKUP(B937,Fincas!$A$2:$C$1005,2,0)</f>
        <v>F_Chaparral</v>
      </c>
      <c r="D937" s="201">
        <v>44905</v>
      </c>
      <c r="E937" s="267" t="str">
        <f t="shared" si="185"/>
        <v>diciembre</v>
      </c>
      <c r="F937" s="202">
        <v>44906</v>
      </c>
      <c r="G937" s="203">
        <v>44915</v>
      </c>
      <c r="H937" s="200" t="s">
        <v>4196</v>
      </c>
      <c r="I937" s="253">
        <v>7008146</v>
      </c>
      <c r="J937" s="253" t="str">
        <f t="shared" si="186"/>
        <v>Res macho ceba</v>
      </c>
      <c r="K937" s="200">
        <v>33099</v>
      </c>
      <c r="L937" s="550">
        <v>8210</v>
      </c>
      <c r="M937" s="205">
        <f t="shared" si="190"/>
        <v>271742790</v>
      </c>
      <c r="N937" s="214">
        <v>136</v>
      </c>
      <c r="O937" s="554">
        <f t="shared" si="187"/>
        <v>243.375</v>
      </c>
      <c r="P937" s="548">
        <f>+M937/N937</f>
        <v>1998108.75</v>
      </c>
    </row>
    <row r="938" spans="1:16" ht="12.75">
      <c r="A938" s="199" t="s">
        <v>3426</v>
      </c>
      <c r="B938" s="200" t="s">
        <v>4197</v>
      </c>
      <c r="C938" s="200" t="str">
        <f>VLOOKUP(B938,Fincas!$A$2:$C$1005,2,0)</f>
        <v>F_Fronteras</v>
      </c>
      <c r="D938" s="201">
        <v>44912</v>
      </c>
      <c r="E938" s="267" t="str">
        <f t="shared" si="185"/>
        <v>diciembre</v>
      </c>
      <c r="F938" s="202">
        <v>44912</v>
      </c>
      <c r="G938" s="203">
        <v>44915</v>
      </c>
      <c r="H938" s="200" t="s">
        <v>4198</v>
      </c>
      <c r="I938" s="253">
        <v>7008146</v>
      </c>
      <c r="J938" s="253" t="str">
        <f t="shared" si="186"/>
        <v>Res macho ceba</v>
      </c>
      <c r="K938" s="200">
        <v>55593</v>
      </c>
      <c r="L938" s="550">
        <v>8000</v>
      </c>
      <c r="M938" s="205">
        <f t="shared" si="190"/>
        <v>444744000</v>
      </c>
      <c r="N938" s="214">
        <v>136</v>
      </c>
      <c r="O938" s="554">
        <f t="shared" si="187"/>
        <v>408.77205882352939</v>
      </c>
      <c r="P938" s="548">
        <f>+M938/N938</f>
        <v>3270176.4705882352</v>
      </c>
    </row>
    <row r="939" spans="1:16" ht="12.75">
      <c r="A939" s="199" t="s">
        <v>3426</v>
      </c>
      <c r="B939" s="200" t="s">
        <v>3498</v>
      </c>
      <c r="C939" s="200" t="str">
        <f>VLOOKUP(B939,Fincas!$A$2:$C$1005,2,0)</f>
        <v>F_Jordan</v>
      </c>
      <c r="D939" s="201">
        <v>44911</v>
      </c>
      <c r="E939" s="267" t="str">
        <f t="shared" si="185"/>
        <v>diciembre</v>
      </c>
      <c r="F939" s="202">
        <v>44911</v>
      </c>
      <c r="G939" s="203">
        <v>44915</v>
      </c>
      <c r="H939" s="200" t="s">
        <v>4199</v>
      </c>
      <c r="I939" s="253">
        <v>7008146</v>
      </c>
      <c r="J939" s="253" t="str">
        <f t="shared" si="186"/>
        <v>Res macho ceba</v>
      </c>
      <c r="K939" s="200">
        <v>6698</v>
      </c>
      <c r="L939" s="550">
        <v>8600</v>
      </c>
      <c r="M939" s="205">
        <f t="shared" si="190"/>
        <v>57602800</v>
      </c>
      <c r="N939" s="214">
        <v>17</v>
      </c>
      <c r="O939" s="554">
        <f t="shared" si="187"/>
        <v>394</v>
      </c>
      <c r="P939" s="548">
        <f>+M939/N939</f>
        <v>3388400</v>
      </c>
    </row>
    <row r="940" spans="1:16" ht="12.75">
      <c r="A940" s="199" t="s">
        <v>3426</v>
      </c>
      <c r="B940" s="200" t="s">
        <v>3498</v>
      </c>
      <c r="C940" s="200" t="str">
        <f>VLOOKUP(B940,Fincas!$A$2:$C$1005,2,0)</f>
        <v>F_Jordan</v>
      </c>
      <c r="D940" s="201">
        <v>44911</v>
      </c>
      <c r="E940" s="267" t="str">
        <f t="shared" si="185"/>
        <v>diciembre</v>
      </c>
      <c r="F940" s="202">
        <v>44911</v>
      </c>
      <c r="G940" s="203">
        <v>44915</v>
      </c>
      <c r="H940" s="200">
        <v>37938</v>
      </c>
      <c r="I940" s="253">
        <v>7008146</v>
      </c>
      <c r="J940" s="253" t="str">
        <f t="shared" si="186"/>
        <v>Res macho ceba</v>
      </c>
      <c r="K940" s="200">
        <v>6726</v>
      </c>
      <c r="L940" s="550">
        <v>8500</v>
      </c>
      <c r="M940" s="205">
        <f t="shared" si="190"/>
        <v>57171000</v>
      </c>
      <c r="N940" s="214">
        <v>17</v>
      </c>
      <c r="O940" s="554">
        <f t="shared" si="187"/>
        <v>395.64705882352939</v>
      </c>
      <c r="P940" s="548">
        <f>+M940/N940</f>
        <v>3363000</v>
      </c>
    </row>
    <row r="941" spans="1:16" ht="12.75">
      <c r="A941" s="199" t="s">
        <v>3892</v>
      </c>
      <c r="B941" s="200" t="s">
        <v>4200</v>
      </c>
      <c r="C941" s="200" t="str">
        <f>VLOOKUP(B941,Fincas!$A$2:$C$1005,2,0)</f>
        <v>F_Las Camelias</v>
      </c>
      <c r="D941" s="201">
        <v>44915</v>
      </c>
      <c r="E941" s="267" t="str">
        <f t="shared" si="185"/>
        <v>diciembre</v>
      </c>
      <c r="F941" s="202">
        <v>44917</v>
      </c>
      <c r="G941" s="203">
        <v>44917</v>
      </c>
      <c r="H941" s="200" t="s">
        <v>4201</v>
      </c>
      <c r="I941" s="253">
        <v>7008146</v>
      </c>
      <c r="J941" s="253" t="str">
        <f t="shared" si="186"/>
        <v>Res macho ceba</v>
      </c>
      <c r="K941" s="200">
        <v>11688</v>
      </c>
      <c r="L941" s="550">
        <v>8350</v>
      </c>
      <c r="M941" s="205">
        <f t="shared" si="190"/>
        <v>97594800</v>
      </c>
      <c r="N941" s="214">
        <v>38</v>
      </c>
      <c r="O941" s="554">
        <f t="shared" si="187"/>
        <v>307.57894736842104</v>
      </c>
      <c r="P941" s="548">
        <f>+M941/N941</f>
        <v>2568284.210526316</v>
      </c>
    </row>
    <row r="942" spans="1:16" ht="12.75">
      <c r="A942" s="199" t="s">
        <v>4202</v>
      </c>
      <c r="B942" s="200" t="s">
        <v>3754</v>
      </c>
      <c r="C942" s="200" t="str">
        <f>VLOOKUP(B942,Fincas!$A$2:$C$1005,2,0)</f>
        <v>Alm. FeedLot</v>
      </c>
      <c r="D942" s="201">
        <v>44912</v>
      </c>
      <c r="E942" s="267" t="str">
        <f t="shared" si="185"/>
        <v>diciembre</v>
      </c>
      <c r="F942" s="202">
        <v>44914</v>
      </c>
      <c r="G942" s="203">
        <v>44917</v>
      </c>
      <c r="H942" s="200" t="s">
        <v>4203</v>
      </c>
      <c r="I942" s="253">
        <v>7008146</v>
      </c>
      <c r="J942" s="253" t="str">
        <f t="shared" si="186"/>
        <v>Res macho ceba</v>
      </c>
      <c r="K942" s="200">
        <v>5998</v>
      </c>
      <c r="L942" s="550">
        <v>8200</v>
      </c>
      <c r="M942" s="205">
        <f t="shared" si="190"/>
        <v>49183600</v>
      </c>
      <c r="N942" s="214">
        <v>17</v>
      </c>
      <c r="O942" s="554">
        <f t="shared" si="187"/>
        <v>352.8235294117647</v>
      </c>
      <c r="P942" s="548">
        <f>+M942/N942</f>
        <v>2893152.9411764704</v>
      </c>
    </row>
    <row r="943" spans="1:16" ht="12.75">
      <c r="A943" s="199" t="s">
        <v>4202</v>
      </c>
      <c r="B943" s="200" t="s">
        <v>3754</v>
      </c>
      <c r="C943" s="200" t="str">
        <f>VLOOKUP(B943,Fincas!$A$2:$C$1005,2,0)</f>
        <v>Alm. FeedLot</v>
      </c>
      <c r="D943" s="201">
        <v>44914</v>
      </c>
      <c r="E943" s="267" t="str">
        <f t="shared" si="185"/>
        <v>diciembre</v>
      </c>
      <c r="F943" s="202">
        <v>44914</v>
      </c>
      <c r="G943" s="203">
        <v>44917</v>
      </c>
      <c r="H943" s="200" t="s">
        <v>4204</v>
      </c>
      <c r="I943" s="253">
        <v>7008146</v>
      </c>
      <c r="J943" s="253" t="str">
        <f t="shared" si="186"/>
        <v>Res macho ceba</v>
      </c>
      <c r="K943" s="200">
        <v>7227</v>
      </c>
      <c r="L943" s="550">
        <v>8200</v>
      </c>
      <c r="M943" s="205">
        <f t="shared" si="190"/>
        <v>59261400</v>
      </c>
      <c r="N943" s="214">
        <v>19</v>
      </c>
      <c r="O943" s="554">
        <f t="shared" si="187"/>
        <v>380.36842105263156</v>
      </c>
      <c r="P943" s="548">
        <f>+M943/N943</f>
        <v>3119021.0526315789</v>
      </c>
    </row>
    <row r="944" spans="1:16" ht="12.75">
      <c r="A944" s="199" t="s">
        <v>3511</v>
      </c>
      <c r="B944" s="200" t="s">
        <v>4147</v>
      </c>
      <c r="C944" s="200" t="str">
        <f>VLOOKUP(B944,Fincas!$A$2:$C$1005,2,0)</f>
        <v>A_Montecristo</v>
      </c>
      <c r="D944" s="201">
        <v>44908</v>
      </c>
      <c r="E944" s="267" t="str">
        <f t="shared" si="185"/>
        <v>diciembre</v>
      </c>
      <c r="F944" s="202">
        <v>44909</v>
      </c>
      <c r="G944" s="203">
        <v>44918</v>
      </c>
      <c r="H944" s="200" t="s">
        <v>4205</v>
      </c>
      <c r="I944" s="253">
        <v>7008146</v>
      </c>
      <c r="J944" s="253" t="str">
        <f t="shared" si="186"/>
        <v>Res macho ceba</v>
      </c>
      <c r="K944" s="200">
        <v>4896</v>
      </c>
      <c r="L944" s="550">
        <v>8100</v>
      </c>
      <c r="M944" s="205">
        <f t="shared" si="190"/>
        <v>39657600</v>
      </c>
      <c r="N944" s="214">
        <v>16</v>
      </c>
      <c r="O944" s="554">
        <f t="shared" si="187"/>
        <v>306</v>
      </c>
      <c r="P944" s="548">
        <f>+M944/N944</f>
        <v>2478600</v>
      </c>
    </row>
    <row r="945" spans="1:16" ht="12.75">
      <c r="A945" s="199" t="s">
        <v>1419</v>
      </c>
      <c r="B945" s="200" t="s">
        <v>3434</v>
      </c>
      <c r="C945" s="200" t="str">
        <f>VLOOKUP(B945,Fincas!$A$2:$C$1005,2,0)</f>
        <v>F_Yacare</v>
      </c>
      <c r="D945" s="201">
        <v>44910</v>
      </c>
      <c r="E945" s="267" t="str">
        <f t="shared" si="185"/>
        <v>diciembre</v>
      </c>
      <c r="F945" s="202">
        <v>44911</v>
      </c>
      <c r="G945" s="203">
        <v>44921</v>
      </c>
      <c r="H945" s="200" t="s">
        <v>4206</v>
      </c>
      <c r="I945" s="253">
        <v>7008146</v>
      </c>
      <c r="J945" s="253" t="str">
        <f t="shared" si="186"/>
        <v>Res macho ceba</v>
      </c>
      <c r="K945" s="200">
        <v>3412</v>
      </c>
      <c r="L945" s="550">
        <f t="shared" ref="L945:L954" si="191">M945/K945</f>
        <v>7553.1652989449003</v>
      </c>
      <c r="M945" s="213">
        <v>25771400</v>
      </c>
      <c r="N945" s="214">
        <v>9</v>
      </c>
      <c r="O945" s="554">
        <f t="shared" si="187"/>
        <v>379.11111111111109</v>
      </c>
      <c r="P945" s="548">
        <f>+M945/N945</f>
        <v>2863488.888888889</v>
      </c>
    </row>
    <row r="946" spans="1:16" ht="12.75">
      <c r="A946" s="199" t="s">
        <v>1419</v>
      </c>
      <c r="B946" s="200" t="s">
        <v>3434</v>
      </c>
      <c r="C946" s="200" t="str">
        <f>VLOOKUP(B946,Fincas!$A$2:$C$1005,2,0)</f>
        <v>F_Yacare</v>
      </c>
      <c r="D946" s="201">
        <v>44910</v>
      </c>
      <c r="E946" s="267" t="str">
        <f t="shared" si="185"/>
        <v>diciembre</v>
      </c>
      <c r="F946" s="202">
        <v>44911</v>
      </c>
      <c r="G946" s="203">
        <v>44921</v>
      </c>
      <c r="H946" s="200" t="s">
        <v>4207</v>
      </c>
      <c r="I946" s="253">
        <v>7008146</v>
      </c>
      <c r="J946" s="253" t="str">
        <f t="shared" si="186"/>
        <v>Res macho ceba</v>
      </c>
      <c r="K946" s="200">
        <v>5634</v>
      </c>
      <c r="L946" s="550">
        <f t="shared" si="191"/>
        <v>7353.194888178914</v>
      </c>
      <c r="M946" s="213">
        <v>41427900</v>
      </c>
      <c r="N946" s="214">
        <v>15</v>
      </c>
      <c r="O946" s="554">
        <f t="shared" si="187"/>
        <v>375.6</v>
      </c>
      <c r="P946" s="548">
        <f>+M946/N946</f>
        <v>2761860</v>
      </c>
    </row>
    <row r="947" spans="1:16" ht="12.75">
      <c r="A947" s="199" t="s">
        <v>1419</v>
      </c>
      <c r="B947" s="200" t="s">
        <v>3434</v>
      </c>
      <c r="C947" s="200" t="str">
        <f>VLOOKUP(B947,Fincas!$A$2:$C$1005,2,0)</f>
        <v>F_Yacare</v>
      </c>
      <c r="D947" s="201">
        <v>44910</v>
      </c>
      <c r="E947" s="267" t="str">
        <f t="shared" si="185"/>
        <v>diciembre</v>
      </c>
      <c r="F947" s="202">
        <v>44911</v>
      </c>
      <c r="G947" s="203">
        <v>44921</v>
      </c>
      <c r="H947" s="200" t="s">
        <v>4208</v>
      </c>
      <c r="I947" s="253">
        <v>7008146</v>
      </c>
      <c r="J947" s="253" t="str">
        <f t="shared" si="186"/>
        <v>Res macho ceba</v>
      </c>
      <c r="K947" s="200">
        <v>6210</v>
      </c>
      <c r="L947" s="550">
        <f t="shared" si="191"/>
        <v>7853.2850241545893</v>
      </c>
      <c r="M947" s="213">
        <v>48768900</v>
      </c>
      <c r="N947" s="214">
        <v>17</v>
      </c>
      <c r="O947" s="554">
        <f t="shared" si="187"/>
        <v>365.29411764705884</v>
      </c>
      <c r="P947" s="548">
        <f>+M947/N947</f>
        <v>2868758.8235294116</v>
      </c>
    </row>
    <row r="948" spans="1:16" ht="12.75">
      <c r="A948" s="199" t="s">
        <v>1419</v>
      </c>
      <c r="B948" s="200" t="s">
        <v>3434</v>
      </c>
      <c r="C948" s="200" t="str">
        <f>VLOOKUP(B948,Fincas!$A$2:$C$1005,2,0)</f>
        <v>F_Yacare</v>
      </c>
      <c r="D948" s="201">
        <v>44910</v>
      </c>
      <c r="E948" s="267" t="str">
        <f t="shared" si="185"/>
        <v>diciembre</v>
      </c>
      <c r="F948" s="202">
        <v>44911</v>
      </c>
      <c r="G948" s="203">
        <v>44921</v>
      </c>
      <c r="H948" s="200" t="s">
        <v>4209</v>
      </c>
      <c r="I948" s="253">
        <v>7008146</v>
      </c>
      <c r="J948" s="253" t="str">
        <f t="shared" si="186"/>
        <v>Res macho ceba</v>
      </c>
      <c r="K948" s="200">
        <v>5350</v>
      </c>
      <c r="L948" s="550">
        <f t="shared" si="191"/>
        <v>7603.3644859813085</v>
      </c>
      <c r="M948" s="213">
        <v>40678000</v>
      </c>
      <c r="N948" s="214">
        <v>15</v>
      </c>
      <c r="O948" s="554">
        <f t="shared" si="187"/>
        <v>356.66666666666669</v>
      </c>
      <c r="P948" s="548">
        <f>+M948/N948</f>
        <v>2711866.6666666665</v>
      </c>
    </row>
    <row r="949" spans="1:16" ht="12.75">
      <c r="A949" s="199" t="s">
        <v>1419</v>
      </c>
      <c r="B949" s="200" t="s">
        <v>3434</v>
      </c>
      <c r="C949" s="200" t="str">
        <f>VLOOKUP(B949,Fincas!$A$2:$C$1005,2,0)</f>
        <v>F_Yacare</v>
      </c>
      <c r="D949" s="201">
        <v>44910</v>
      </c>
      <c r="E949" s="267" t="str">
        <f t="shared" si="185"/>
        <v>diciembre</v>
      </c>
      <c r="F949" s="202">
        <v>44911</v>
      </c>
      <c r="G949" s="203">
        <v>44921</v>
      </c>
      <c r="H949" s="200" t="s">
        <v>4210</v>
      </c>
      <c r="I949" s="253">
        <v>7008146</v>
      </c>
      <c r="J949" s="253" t="str">
        <f t="shared" si="186"/>
        <v>Res macho ceba</v>
      </c>
      <c r="K949" s="200">
        <v>5522</v>
      </c>
      <c r="L949" s="550">
        <f t="shared" si="191"/>
        <v>7303.2596885186531</v>
      </c>
      <c r="M949" s="213">
        <v>40328600</v>
      </c>
      <c r="N949" s="214">
        <v>15</v>
      </c>
      <c r="O949" s="554">
        <f t="shared" si="187"/>
        <v>368.13333333333333</v>
      </c>
      <c r="P949" s="548">
        <f>+M949/N949</f>
        <v>2688573.3333333335</v>
      </c>
    </row>
    <row r="950" spans="1:16" ht="12.75">
      <c r="A950" s="199" t="s">
        <v>1419</v>
      </c>
      <c r="B950" s="200" t="s">
        <v>3434</v>
      </c>
      <c r="C950" s="200" t="str">
        <f>VLOOKUP(B950,Fincas!$A$2:$C$1005,2,0)</f>
        <v>F_Yacare</v>
      </c>
      <c r="D950" s="201">
        <v>44910</v>
      </c>
      <c r="E950" s="267" t="str">
        <f t="shared" si="185"/>
        <v>diciembre</v>
      </c>
      <c r="F950" s="202">
        <v>44911</v>
      </c>
      <c r="G950" s="203">
        <v>44921</v>
      </c>
      <c r="H950" s="200" t="s">
        <v>4211</v>
      </c>
      <c r="I950" s="253">
        <v>7008146</v>
      </c>
      <c r="J950" s="253" t="str">
        <f t="shared" si="186"/>
        <v>Res macho ceba</v>
      </c>
      <c r="K950" s="200">
        <v>890</v>
      </c>
      <c r="L950" s="550">
        <f t="shared" si="191"/>
        <v>7906.7415730337079</v>
      </c>
      <c r="M950" s="213">
        <v>7037000</v>
      </c>
      <c r="N950" s="214">
        <v>5</v>
      </c>
      <c r="O950" s="554">
        <f t="shared" si="187"/>
        <v>178</v>
      </c>
      <c r="P950" s="548">
        <f>+M950/N950</f>
        <v>1407400</v>
      </c>
    </row>
    <row r="951" spans="1:16" ht="12.75">
      <c r="A951" s="199" t="s">
        <v>1419</v>
      </c>
      <c r="B951" s="200" t="s">
        <v>3434</v>
      </c>
      <c r="C951" s="200" t="str">
        <f>VLOOKUP(B951,Fincas!$A$2:$C$1005,2,0)</f>
        <v>F_Yacare</v>
      </c>
      <c r="D951" s="201">
        <v>44910</v>
      </c>
      <c r="E951" s="267" t="str">
        <f t="shared" si="185"/>
        <v>diciembre</v>
      </c>
      <c r="F951" s="202">
        <v>44911</v>
      </c>
      <c r="G951" s="203">
        <v>44921</v>
      </c>
      <c r="H951" s="200" t="s">
        <v>4212</v>
      </c>
      <c r="I951" s="253">
        <v>7008146</v>
      </c>
      <c r="J951" s="253" t="str">
        <f t="shared" si="186"/>
        <v>Res macho ceba</v>
      </c>
      <c r="K951" s="200">
        <v>3726</v>
      </c>
      <c r="L951" s="550">
        <f t="shared" si="191"/>
        <v>7653.2206119162638</v>
      </c>
      <c r="M951" s="213">
        <v>28515900</v>
      </c>
      <c r="N951" s="214">
        <v>10</v>
      </c>
      <c r="O951" s="554">
        <f t="shared" si="187"/>
        <v>372.6</v>
      </c>
      <c r="P951" s="548">
        <f>+M951/N951</f>
        <v>2851590</v>
      </c>
    </row>
    <row r="952" spans="1:16" ht="12.75">
      <c r="A952" s="199" t="s">
        <v>1419</v>
      </c>
      <c r="B952" s="200" t="s">
        <v>3434</v>
      </c>
      <c r="C952" s="200" t="str">
        <f>VLOOKUP(B952,Fincas!$A$2:$C$1005,2,0)</f>
        <v>F_Yacare</v>
      </c>
      <c r="D952" s="201">
        <v>44910</v>
      </c>
      <c r="E952" s="267" t="str">
        <f t="shared" si="185"/>
        <v>diciembre</v>
      </c>
      <c r="F952" s="202">
        <v>44911</v>
      </c>
      <c r="G952" s="203">
        <v>44921</v>
      </c>
      <c r="H952" s="200" t="s">
        <v>4213</v>
      </c>
      <c r="I952" s="253">
        <v>7008146</v>
      </c>
      <c r="J952" s="253" t="str">
        <f t="shared" si="186"/>
        <v>Res macho ceba</v>
      </c>
      <c r="K952" s="200">
        <v>3666</v>
      </c>
      <c r="L952" s="550">
        <f t="shared" si="191"/>
        <v>7703.2733224222584</v>
      </c>
      <c r="M952" s="213">
        <v>28240200</v>
      </c>
      <c r="N952" s="214">
        <v>10</v>
      </c>
      <c r="O952" s="554">
        <f t="shared" si="187"/>
        <v>366.6</v>
      </c>
      <c r="P952" s="548">
        <f>+M952/N952</f>
        <v>2824020</v>
      </c>
    </row>
    <row r="953" spans="1:16" ht="12.75">
      <c r="A953" s="199" t="s">
        <v>1419</v>
      </c>
      <c r="B953" s="200" t="s">
        <v>3434</v>
      </c>
      <c r="C953" s="200" t="str">
        <f>VLOOKUP(B953,Fincas!$A$2:$C$1005,2,0)</f>
        <v>F_Yacare</v>
      </c>
      <c r="D953" s="201">
        <v>44910</v>
      </c>
      <c r="E953" s="267" t="str">
        <f t="shared" si="185"/>
        <v>diciembre</v>
      </c>
      <c r="F953" s="202">
        <v>44911</v>
      </c>
      <c r="G953" s="203">
        <v>44921</v>
      </c>
      <c r="H953" s="200" t="s">
        <v>4214</v>
      </c>
      <c r="I953" s="253">
        <v>7008146</v>
      </c>
      <c r="J953" s="253" t="str">
        <f t="shared" si="186"/>
        <v>Res macho ceba</v>
      </c>
      <c r="K953" s="200">
        <v>3692</v>
      </c>
      <c r="L953" s="550">
        <f t="shared" si="191"/>
        <v>7553.250270855905</v>
      </c>
      <c r="M953" s="213">
        <v>27886600</v>
      </c>
      <c r="N953" s="214">
        <v>10</v>
      </c>
      <c r="O953" s="554">
        <f t="shared" si="187"/>
        <v>369.2</v>
      </c>
      <c r="P953" s="548">
        <f>+M953/N953</f>
        <v>2788660</v>
      </c>
    </row>
    <row r="954" spans="1:16" ht="12.75">
      <c r="A954" s="199" t="s">
        <v>1419</v>
      </c>
      <c r="B954" s="200" t="s">
        <v>3434</v>
      </c>
      <c r="C954" s="200" t="str">
        <f>VLOOKUP(B954,Fincas!$A$2:$C$1005,2,0)</f>
        <v>F_Yacare</v>
      </c>
      <c r="D954" s="201">
        <v>44910</v>
      </c>
      <c r="E954" s="267" t="str">
        <f t="shared" si="185"/>
        <v>diciembre</v>
      </c>
      <c r="F954" s="202">
        <v>44911</v>
      </c>
      <c r="G954" s="203">
        <v>44921</v>
      </c>
      <c r="H954" s="200" t="s">
        <v>4215</v>
      </c>
      <c r="I954" s="253">
        <v>7008146</v>
      </c>
      <c r="J954" s="253" t="str">
        <f t="shared" si="186"/>
        <v>Res macho ceba</v>
      </c>
      <c r="K954" s="200">
        <v>1850</v>
      </c>
      <c r="L954" s="550">
        <f t="shared" si="191"/>
        <v>7153.2432432432433</v>
      </c>
      <c r="M954" s="213">
        <v>13233500</v>
      </c>
      <c r="N954" s="214">
        <v>5</v>
      </c>
      <c r="O954" s="554">
        <f t="shared" si="187"/>
        <v>370</v>
      </c>
      <c r="P954" s="548">
        <f>+M954/N954</f>
        <v>2646700</v>
      </c>
    </row>
    <row r="955" spans="1:16" ht="12.75">
      <c r="A955" s="199" t="s">
        <v>3426</v>
      </c>
      <c r="B955" s="200" t="s">
        <v>3754</v>
      </c>
      <c r="C955" s="200" t="str">
        <f>VLOOKUP(B955,Fincas!$A$2:$C$1005,2,0)</f>
        <v>Alm. FeedLot</v>
      </c>
      <c r="D955" s="201">
        <v>44917</v>
      </c>
      <c r="E955" s="267" t="str">
        <f t="shared" si="185"/>
        <v>diciembre</v>
      </c>
      <c r="F955" s="202">
        <v>44917</v>
      </c>
      <c r="G955" s="203">
        <v>44921</v>
      </c>
      <c r="H955" s="200" t="s">
        <v>4216</v>
      </c>
      <c r="I955" s="253">
        <v>7008146</v>
      </c>
      <c r="J955" s="253" t="str">
        <f t="shared" si="186"/>
        <v>Res macho ceba</v>
      </c>
      <c r="K955" s="200">
        <v>5814</v>
      </c>
      <c r="L955" s="550">
        <v>8000</v>
      </c>
      <c r="M955" s="205">
        <f t="shared" ref="M955:M960" si="192">L955*K955</f>
        <v>46512000</v>
      </c>
      <c r="N955" s="214">
        <v>16</v>
      </c>
      <c r="O955" s="554">
        <f t="shared" si="187"/>
        <v>363.375</v>
      </c>
      <c r="P955" s="548">
        <f>+M955/N955</f>
        <v>2907000</v>
      </c>
    </row>
    <row r="956" spans="1:16" ht="12.75">
      <c r="A956" s="199" t="s">
        <v>3511</v>
      </c>
      <c r="B956" s="200" t="s">
        <v>3696</v>
      </c>
      <c r="C956" s="200" t="str">
        <f>VLOOKUP(B956,Fincas!$A$2:$C$1005,2,0)</f>
        <v>F_Las Delicias</v>
      </c>
      <c r="D956" s="201">
        <v>44917</v>
      </c>
      <c r="E956" s="267" t="str">
        <f t="shared" si="185"/>
        <v>diciembre</v>
      </c>
      <c r="F956" s="202">
        <v>44918</v>
      </c>
      <c r="G956" s="203">
        <v>44921</v>
      </c>
      <c r="H956" s="200" t="s">
        <v>4217</v>
      </c>
      <c r="I956" s="207">
        <v>7008147</v>
      </c>
      <c r="J956" s="209" t="str">
        <f t="shared" si="186"/>
        <v>Res macho levante</v>
      </c>
      <c r="K956" s="200">
        <v>5471</v>
      </c>
      <c r="L956" s="550">
        <v>7700</v>
      </c>
      <c r="M956" s="205">
        <f t="shared" si="192"/>
        <v>42126700</v>
      </c>
      <c r="N956" s="214">
        <v>23</v>
      </c>
      <c r="O956" s="554">
        <f t="shared" si="187"/>
        <v>237.86956521739131</v>
      </c>
      <c r="P956" s="548">
        <f>+M956/N956</f>
        <v>1831595.6521739131</v>
      </c>
    </row>
    <row r="957" spans="1:16" ht="12.75">
      <c r="A957" s="199" t="s">
        <v>3511</v>
      </c>
      <c r="B957" s="200" t="s">
        <v>3754</v>
      </c>
      <c r="C957" s="200" t="str">
        <f>VLOOKUP(B957,Fincas!$A$2:$C$1005,2,0)</f>
        <v>Alm. FeedLot</v>
      </c>
      <c r="D957" s="201">
        <v>44917</v>
      </c>
      <c r="E957" s="267" t="str">
        <f t="shared" si="185"/>
        <v>diciembre</v>
      </c>
      <c r="F957" s="202">
        <v>44918</v>
      </c>
      <c r="G957" s="203">
        <v>44921</v>
      </c>
      <c r="H957" s="200" t="s">
        <v>4218</v>
      </c>
      <c r="I957" s="253">
        <v>7008146</v>
      </c>
      <c r="J957" s="253" t="str">
        <f t="shared" si="186"/>
        <v>Res macho ceba</v>
      </c>
      <c r="K957" s="200">
        <v>6411</v>
      </c>
      <c r="L957" s="550">
        <v>8400</v>
      </c>
      <c r="M957" s="205">
        <f t="shared" si="192"/>
        <v>53852400</v>
      </c>
      <c r="N957" s="214">
        <v>17</v>
      </c>
      <c r="O957" s="554">
        <f t="shared" si="187"/>
        <v>377.11764705882354</v>
      </c>
      <c r="P957" s="548">
        <f>+M957/N957</f>
        <v>3167788.2352941176</v>
      </c>
    </row>
    <row r="958" spans="1:16" ht="12.75">
      <c r="A958" s="199" t="s">
        <v>3511</v>
      </c>
      <c r="B958" s="200" t="s">
        <v>3825</v>
      </c>
      <c r="C958" s="200" t="str">
        <f>VLOOKUP(B958,Fincas!$A$2:$C$1005,2,0)</f>
        <v>F_Tulcan</v>
      </c>
      <c r="D958" s="201">
        <v>44917</v>
      </c>
      <c r="E958" s="267" t="str">
        <f t="shared" si="185"/>
        <v>diciembre</v>
      </c>
      <c r="F958" s="202">
        <v>44918</v>
      </c>
      <c r="G958" s="203">
        <v>44921</v>
      </c>
      <c r="H958" s="200">
        <v>10260</v>
      </c>
      <c r="I958" s="253">
        <v>7008146</v>
      </c>
      <c r="J958" s="253" t="str">
        <f t="shared" si="186"/>
        <v>Res macho ceba</v>
      </c>
      <c r="K958" s="200">
        <v>1409</v>
      </c>
      <c r="L958" s="550">
        <v>7400</v>
      </c>
      <c r="M958" s="205">
        <f t="shared" si="192"/>
        <v>10426600</v>
      </c>
      <c r="N958" s="214">
        <v>4</v>
      </c>
      <c r="O958" s="554">
        <f t="shared" si="187"/>
        <v>352.25</v>
      </c>
      <c r="P958" s="548">
        <f>+M958/N958</f>
        <v>2606650</v>
      </c>
    </row>
    <row r="959" spans="1:16" ht="12.75">
      <c r="A959" s="199" t="s">
        <v>3511</v>
      </c>
      <c r="B959" s="200" t="s">
        <v>3825</v>
      </c>
      <c r="C959" s="200" t="str">
        <f>VLOOKUP(B959,Fincas!$A$2:$C$1005,2,0)</f>
        <v>F_Tulcan</v>
      </c>
      <c r="D959" s="201">
        <v>44917</v>
      </c>
      <c r="E959" s="267" t="str">
        <f t="shared" si="185"/>
        <v>diciembre</v>
      </c>
      <c r="F959" s="202">
        <v>44918</v>
      </c>
      <c r="G959" s="203">
        <v>44921</v>
      </c>
      <c r="H959" s="200">
        <v>10268</v>
      </c>
      <c r="I959" s="253">
        <v>7008146</v>
      </c>
      <c r="J959" s="253" t="str">
        <f t="shared" si="186"/>
        <v>Res macho ceba</v>
      </c>
      <c r="K959" s="200">
        <v>1799</v>
      </c>
      <c r="L959" s="550">
        <v>8250</v>
      </c>
      <c r="M959" s="205">
        <f t="shared" si="192"/>
        <v>14841750</v>
      </c>
      <c r="N959" s="214">
        <v>6</v>
      </c>
      <c r="O959" s="554">
        <f t="shared" si="187"/>
        <v>299.83333333333331</v>
      </c>
      <c r="P959" s="548">
        <f>+M959/N959</f>
        <v>2473625</v>
      </c>
    </row>
    <row r="960" spans="1:16" ht="12.75">
      <c r="A960" s="199" t="s">
        <v>4219</v>
      </c>
      <c r="B960" s="200" t="s">
        <v>4197</v>
      </c>
      <c r="C960" s="200" t="str">
        <f>VLOOKUP(B960,Fincas!$A$2:$C$1005,2,0)</f>
        <v>F_Fronteras</v>
      </c>
      <c r="D960" s="201">
        <v>44921</v>
      </c>
      <c r="E960" s="267" t="str">
        <f t="shared" si="185"/>
        <v>diciembre</v>
      </c>
      <c r="F960" s="202">
        <v>44917</v>
      </c>
      <c r="G960" s="203">
        <v>44924</v>
      </c>
      <c r="H960" s="200" t="s">
        <v>4220</v>
      </c>
      <c r="I960" s="253">
        <v>7008146</v>
      </c>
      <c r="J960" s="253" t="str">
        <f t="shared" si="186"/>
        <v>Res macho ceba</v>
      </c>
      <c r="K960" s="200">
        <v>29449</v>
      </c>
      <c r="L960" s="550">
        <v>8400</v>
      </c>
      <c r="M960" s="205">
        <f t="shared" si="192"/>
        <v>247371600</v>
      </c>
      <c r="N960" s="214">
        <v>102</v>
      </c>
      <c r="O960" s="554">
        <f t="shared" si="187"/>
        <v>288.71568627450978</v>
      </c>
      <c r="P960" s="548">
        <f>+M960/N960</f>
        <v>2425211.7647058824</v>
      </c>
    </row>
    <row r="961" spans="1:16" ht="12.75">
      <c r="A961" s="271"/>
      <c r="B961" s="268"/>
      <c r="C961" s="268"/>
      <c r="D961" s="268"/>
      <c r="E961" s="273"/>
      <c r="F961" s="270"/>
      <c r="G961" s="268"/>
      <c r="H961" s="268"/>
      <c r="I961" s="268"/>
      <c r="J961" s="273"/>
      <c r="K961" s="268"/>
      <c r="L961" s="268"/>
      <c r="M961" s="268"/>
      <c r="N961" s="269"/>
      <c r="O961" s="547"/>
      <c r="P961" s="547"/>
    </row>
    <row r="962" spans="1:16" ht="12.75">
      <c r="A962" s="271"/>
      <c r="B962" s="268"/>
      <c r="C962" s="268"/>
      <c r="D962" s="268"/>
      <c r="E962" s="273"/>
      <c r="F962" s="270">
        <v>7008149</v>
      </c>
      <c r="G962" s="268" t="s">
        <v>4886</v>
      </c>
      <c r="H962" s="268"/>
      <c r="I962" s="268"/>
      <c r="J962" s="273"/>
      <c r="K962" s="268"/>
      <c r="L962" s="268"/>
      <c r="M962" s="268"/>
      <c r="N962" s="269"/>
      <c r="O962" s="547"/>
      <c r="P962" s="547"/>
    </row>
    <row r="963" spans="1:16" ht="12.75">
      <c r="A963" s="271"/>
      <c r="B963" s="268"/>
      <c r="C963" s="268"/>
      <c r="D963" s="268"/>
      <c r="E963" s="273"/>
      <c r="F963" s="270">
        <v>7008459</v>
      </c>
      <c r="G963" s="268" t="s">
        <v>4887</v>
      </c>
      <c r="H963" s="268"/>
      <c r="I963" s="268"/>
      <c r="J963" s="273"/>
      <c r="K963" s="268"/>
      <c r="L963" s="268"/>
      <c r="M963" s="268"/>
      <c r="N963" s="269"/>
      <c r="O963" s="547"/>
      <c r="P963" s="547"/>
    </row>
    <row r="964" spans="1:16" ht="12.75">
      <c r="A964" s="271"/>
      <c r="B964" s="268"/>
      <c r="C964" s="268"/>
      <c r="D964" s="268"/>
      <c r="E964" s="273"/>
      <c r="F964" s="270">
        <v>7008147</v>
      </c>
      <c r="G964" s="273" t="s">
        <v>4885</v>
      </c>
      <c r="H964" s="268"/>
      <c r="I964" s="268"/>
      <c r="J964" s="273"/>
      <c r="K964" s="268"/>
      <c r="L964" s="268"/>
      <c r="M964" s="268"/>
      <c r="N964" s="269"/>
      <c r="O964" s="547"/>
      <c r="P964" s="547"/>
    </row>
    <row r="965" spans="1:16" ht="12.75">
      <c r="A965" s="271"/>
      <c r="B965" s="268"/>
      <c r="C965" s="268"/>
      <c r="D965" s="268"/>
      <c r="E965" s="273"/>
      <c r="F965" s="270">
        <v>7008146</v>
      </c>
      <c r="G965" s="273" t="s">
        <v>4888</v>
      </c>
      <c r="H965" s="268"/>
      <c r="I965" s="268"/>
      <c r="J965" s="273"/>
      <c r="K965" s="268"/>
      <c r="L965" s="268"/>
      <c r="M965" s="268"/>
      <c r="N965" s="269"/>
      <c r="O965" s="547"/>
      <c r="P965" s="547"/>
    </row>
    <row r="966" spans="1:16" ht="12.75">
      <c r="A966" s="271"/>
      <c r="B966" s="268"/>
      <c r="C966" s="268"/>
      <c r="D966" s="268"/>
      <c r="E966" s="273"/>
      <c r="F966" s="270">
        <v>7008150</v>
      </c>
      <c r="G966" s="268" t="s">
        <v>4889</v>
      </c>
      <c r="H966" s="268"/>
      <c r="I966" s="268"/>
      <c r="J966" s="273"/>
      <c r="K966" s="268"/>
      <c r="L966" s="268"/>
      <c r="M966" s="268"/>
      <c r="N966" s="269"/>
      <c r="O966" s="547"/>
      <c r="P966" s="547"/>
    </row>
    <row r="967" spans="1:16" ht="12.75">
      <c r="A967" s="271"/>
      <c r="B967" s="268"/>
      <c r="C967" s="268"/>
      <c r="D967" s="268"/>
      <c r="E967" s="273"/>
      <c r="F967" s="270">
        <v>7008460</v>
      </c>
      <c r="G967" s="268" t="s">
        <v>4890</v>
      </c>
      <c r="H967" s="268"/>
      <c r="I967" s="268"/>
      <c r="J967" s="273"/>
      <c r="K967" s="268"/>
      <c r="L967" s="268"/>
      <c r="M967" s="268"/>
      <c r="N967" s="269"/>
      <c r="O967" s="547"/>
      <c r="P967" s="547"/>
    </row>
    <row r="968" spans="1:16" ht="12.75">
      <c r="A968" s="271"/>
      <c r="B968" s="268"/>
      <c r="C968" s="268"/>
      <c r="D968" s="268"/>
      <c r="E968" s="273"/>
      <c r="F968" s="270">
        <v>7008479</v>
      </c>
      <c r="G968" s="268" t="s">
        <v>4891</v>
      </c>
      <c r="H968" s="268"/>
      <c r="I968" s="268"/>
      <c r="J968" s="273"/>
      <c r="K968" s="268"/>
      <c r="L968" s="268"/>
      <c r="M968" s="268"/>
      <c r="N968" s="269"/>
      <c r="O968" s="547"/>
      <c r="P968" s="547"/>
    </row>
    <row r="969" spans="1:16" ht="12.75">
      <c r="A969" s="271"/>
      <c r="B969" s="268"/>
      <c r="C969" s="268"/>
      <c r="D969" s="268"/>
      <c r="E969" s="273"/>
      <c r="F969" s="270">
        <v>7008151</v>
      </c>
      <c r="G969" s="268" t="s">
        <v>4892</v>
      </c>
      <c r="H969" s="268"/>
      <c r="I969" s="268"/>
      <c r="J969" s="273"/>
      <c r="K969" s="268"/>
      <c r="L969" s="268"/>
      <c r="M969" s="268"/>
      <c r="N969" s="269"/>
      <c r="O969" s="547"/>
      <c r="P969" s="547"/>
    </row>
    <row r="970" spans="1:16" ht="12.75">
      <c r="A970" s="271"/>
      <c r="B970" s="268"/>
      <c r="C970" s="268"/>
      <c r="D970" s="268"/>
      <c r="E970" s="273"/>
      <c r="F970" s="270">
        <v>7008148</v>
      </c>
      <c r="G970" s="268" t="s">
        <v>4893</v>
      </c>
      <c r="H970" s="268"/>
      <c r="I970" s="268"/>
      <c r="J970" s="273"/>
      <c r="K970" s="268"/>
      <c r="L970" s="268"/>
      <c r="M970" s="268"/>
      <c r="N970" s="269"/>
      <c r="O970" s="547"/>
      <c r="P970" s="547"/>
    </row>
    <row r="971" spans="1:16" ht="12.75">
      <c r="A971" s="271"/>
      <c r="B971" s="268"/>
      <c r="C971" s="268"/>
      <c r="D971" s="268"/>
      <c r="E971" s="273"/>
      <c r="F971" s="270"/>
      <c r="G971" s="268"/>
      <c r="H971" s="268"/>
      <c r="I971" s="268"/>
      <c r="J971" s="273"/>
      <c r="K971" s="268"/>
      <c r="L971" s="268"/>
      <c r="M971" s="268"/>
      <c r="N971" s="269"/>
      <c r="O971" s="547"/>
      <c r="P971" s="547"/>
    </row>
    <row r="972" spans="1:16" ht="12.75">
      <c r="A972" s="271"/>
      <c r="B972" s="268"/>
      <c r="C972" s="268"/>
      <c r="D972" s="268"/>
      <c r="E972" s="273"/>
      <c r="F972" s="270"/>
      <c r="G972" s="268"/>
      <c r="H972" s="268"/>
      <c r="I972" s="268"/>
      <c r="J972" s="273"/>
      <c r="K972" s="268"/>
      <c r="L972" s="268"/>
      <c r="M972" s="268"/>
      <c r="N972" s="269"/>
      <c r="O972" s="547"/>
      <c r="P972" s="547"/>
    </row>
    <row r="973" spans="1:16" ht="12.75">
      <c r="A973" s="271"/>
      <c r="B973" s="268"/>
      <c r="C973" s="268"/>
      <c r="D973" s="268"/>
      <c r="E973" s="273"/>
      <c r="F973" s="270"/>
      <c r="G973" s="268"/>
      <c r="H973" s="268"/>
      <c r="I973" s="268"/>
      <c r="J973" s="273"/>
      <c r="K973" s="268"/>
      <c r="L973" s="268"/>
      <c r="M973" s="268"/>
      <c r="N973" s="269"/>
      <c r="O973" s="547"/>
      <c r="P973" s="547"/>
    </row>
    <row r="974" spans="1:16" ht="12.75">
      <c r="A974" s="271"/>
      <c r="B974" s="268"/>
      <c r="C974" s="268"/>
      <c r="D974" s="268"/>
      <c r="E974" s="273"/>
      <c r="F974" s="270"/>
      <c r="G974" s="268"/>
      <c r="H974" s="268"/>
      <c r="I974" s="268"/>
      <c r="J974" s="273"/>
      <c r="K974" s="268"/>
      <c r="L974" s="268"/>
      <c r="M974" s="268"/>
      <c r="N974" s="269"/>
      <c r="O974" s="547"/>
      <c r="P974" s="547"/>
    </row>
    <row r="975" spans="1:16" ht="12.75">
      <c r="A975" s="271"/>
      <c r="B975" s="268"/>
      <c r="C975" s="268"/>
      <c r="D975" s="268"/>
      <c r="E975" s="273"/>
      <c r="F975" s="270"/>
      <c r="G975" s="268"/>
      <c r="H975" s="268"/>
      <c r="I975" s="268"/>
      <c r="J975" s="273"/>
      <c r="K975" s="268"/>
      <c r="L975" s="268"/>
      <c r="M975" s="268"/>
      <c r="N975" s="269"/>
      <c r="O975" s="547"/>
      <c r="P975" s="547"/>
    </row>
    <row r="976" spans="1:16" ht="12.75">
      <c r="A976" s="271"/>
      <c r="B976" s="268"/>
      <c r="C976" s="268"/>
      <c r="D976" s="268"/>
      <c r="E976" s="273"/>
      <c r="F976" s="270"/>
      <c r="G976" s="268"/>
      <c r="H976" s="268"/>
      <c r="I976" s="268"/>
      <c r="J976" s="273"/>
      <c r="K976" s="268"/>
      <c r="L976" s="268"/>
      <c r="M976" s="268"/>
      <c r="N976" s="269"/>
      <c r="O976" s="547"/>
      <c r="P976" s="547"/>
    </row>
    <row r="977" spans="1:16" ht="12.75">
      <c r="A977" s="271"/>
      <c r="B977" s="268"/>
      <c r="C977" s="268"/>
      <c r="D977" s="268"/>
      <c r="E977" s="273"/>
      <c r="F977" s="270"/>
      <c r="G977" s="268"/>
      <c r="H977" s="268"/>
      <c r="I977" s="268"/>
      <c r="J977" s="273"/>
      <c r="K977" s="268"/>
      <c r="L977" s="268"/>
      <c r="M977" s="268"/>
      <c r="N977" s="269"/>
      <c r="O977" s="547"/>
      <c r="P977" s="547"/>
    </row>
    <row r="978" spans="1:16" ht="12.75">
      <c r="A978" s="271"/>
      <c r="B978" s="268"/>
      <c r="C978" s="268"/>
      <c r="D978" s="268"/>
      <c r="E978" s="273"/>
      <c r="F978" s="270"/>
      <c r="G978" s="268"/>
      <c r="H978" s="268"/>
      <c r="I978" s="268"/>
      <c r="J978" s="273"/>
      <c r="K978" s="268"/>
      <c r="L978" s="268"/>
      <c r="M978" s="268"/>
      <c r="N978" s="269"/>
      <c r="O978" s="547"/>
      <c r="P978" s="547"/>
    </row>
    <row r="979" spans="1:16" ht="12.75">
      <c r="A979" s="271"/>
      <c r="B979" s="268"/>
      <c r="C979" s="268"/>
      <c r="D979" s="268"/>
      <c r="E979" s="273"/>
      <c r="F979" s="270"/>
      <c r="G979" s="268"/>
      <c r="H979" s="268"/>
      <c r="I979" s="268"/>
      <c r="J979" s="273"/>
      <c r="K979" s="268"/>
      <c r="L979" s="268"/>
      <c r="M979" s="268"/>
      <c r="N979" s="269"/>
      <c r="O979" s="547"/>
      <c r="P979" s="547"/>
    </row>
    <row r="980" spans="1:16" ht="12.75">
      <c r="A980" s="271"/>
      <c r="B980" s="268"/>
      <c r="C980" s="268"/>
      <c r="D980" s="268"/>
      <c r="E980" s="273"/>
      <c r="F980" s="270"/>
      <c r="G980" s="268"/>
      <c r="H980" s="268"/>
      <c r="I980" s="268"/>
      <c r="J980" s="273"/>
      <c r="K980" s="268"/>
      <c r="L980" s="268"/>
      <c r="M980" s="268"/>
      <c r="N980" s="269"/>
      <c r="O980" s="547"/>
      <c r="P980" s="547"/>
    </row>
    <row r="981" spans="1:16" ht="12.75">
      <c r="A981" s="271"/>
      <c r="B981" s="268"/>
      <c r="C981" s="268"/>
      <c r="D981" s="268"/>
      <c r="E981" s="273"/>
      <c r="F981" s="270"/>
      <c r="G981" s="268"/>
      <c r="H981" s="268"/>
      <c r="I981" s="268"/>
      <c r="J981" s="273"/>
      <c r="K981" s="268"/>
      <c r="L981" s="268"/>
      <c r="M981" s="268"/>
      <c r="N981" s="269"/>
      <c r="O981" s="547"/>
      <c r="P981" s="547"/>
    </row>
    <row r="982" spans="1:16" ht="12.75">
      <c r="A982" s="271"/>
      <c r="B982" s="268"/>
      <c r="C982" s="268"/>
      <c r="D982" s="268"/>
      <c r="E982" s="273"/>
      <c r="F982" s="270"/>
      <c r="G982" s="268"/>
      <c r="H982" s="268"/>
      <c r="I982" s="268"/>
      <c r="J982" s="273"/>
      <c r="K982" s="268"/>
      <c r="L982" s="268"/>
      <c r="M982" s="268"/>
      <c r="N982" s="269"/>
      <c r="O982" s="547"/>
      <c r="P982" s="547"/>
    </row>
    <row r="983" spans="1:16" ht="12.75">
      <c r="A983" s="271"/>
      <c r="B983" s="268"/>
      <c r="C983" s="268"/>
      <c r="D983" s="268"/>
      <c r="E983" s="273"/>
      <c r="F983" s="270"/>
      <c r="G983" s="268"/>
      <c r="H983" s="268"/>
      <c r="I983" s="268"/>
      <c r="J983" s="273"/>
      <c r="K983" s="268"/>
      <c r="L983" s="268"/>
      <c r="M983" s="268"/>
      <c r="N983" s="269"/>
      <c r="O983" s="547"/>
      <c r="P983" s="547"/>
    </row>
    <row r="984" spans="1:16" ht="12.75">
      <c r="A984" s="271"/>
      <c r="B984" s="268"/>
      <c r="C984" s="268"/>
      <c r="D984" s="268"/>
      <c r="E984" s="273"/>
      <c r="F984" s="270"/>
      <c r="G984" s="268"/>
      <c r="H984" s="268"/>
      <c r="I984" s="268"/>
      <c r="J984" s="273"/>
      <c r="K984" s="268"/>
      <c r="L984" s="268"/>
      <c r="M984" s="268"/>
      <c r="N984" s="269"/>
      <c r="O984" s="547"/>
      <c r="P984" s="547"/>
    </row>
    <row r="985" spans="1:16" ht="12.75">
      <c r="A985" s="271"/>
      <c r="B985" s="268"/>
      <c r="C985" s="268"/>
      <c r="D985" s="268"/>
      <c r="E985" s="273"/>
      <c r="F985" s="270"/>
      <c r="G985" s="268"/>
      <c r="H985" s="268"/>
      <c r="I985" s="268"/>
      <c r="J985" s="273"/>
      <c r="K985" s="268"/>
      <c r="L985" s="268"/>
      <c r="M985" s="268"/>
      <c r="N985" s="269"/>
      <c r="O985" s="547"/>
      <c r="P985" s="547"/>
    </row>
    <row r="986" spans="1:16" ht="12.75">
      <c r="A986" s="271"/>
      <c r="B986" s="268"/>
      <c r="C986" s="268"/>
      <c r="D986" s="268"/>
      <c r="E986" s="273"/>
      <c r="F986" s="270"/>
      <c r="G986" s="268"/>
      <c r="H986" s="268"/>
      <c r="I986" s="268"/>
      <c r="J986" s="273"/>
      <c r="K986" s="268"/>
      <c r="L986" s="268"/>
      <c r="M986" s="268"/>
      <c r="N986" s="269"/>
      <c r="O986" s="547"/>
      <c r="P986" s="547"/>
    </row>
    <row r="987" spans="1:16" ht="12.75">
      <c r="A987" s="271"/>
      <c r="B987" s="268"/>
      <c r="C987" s="268"/>
      <c r="D987" s="268"/>
      <c r="E987" s="273"/>
      <c r="F987" s="270"/>
      <c r="G987" s="268"/>
      <c r="H987" s="268"/>
      <c r="I987" s="268"/>
      <c r="J987" s="273"/>
      <c r="K987" s="268"/>
      <c r="L987" s="268"/>
      <c r="M987" s="268"/>
      <c r="N987" s="269"/>
      <c r="O987" s="547"/>
      <c r="P987" s="547"/>
    </row>
    <row r="988" spans="1:16" ht="12.75">
      <c r="A988" s="271"/>
      <c r="B988" s="268"/>
      <c r="C988" s="268"/>
      <c r="D988" s="268"/>
      <c r="E988" s="273"/>
      <c r="F988" s="270"/>
      <c r="G988" s="268"/>
      <c r="H988" s="268"/>
      <c r="I988" s="268"/>
      <c r="J988" s="273"/>
      <c r="K988" s="268"/>
      <c r="L988" s="268"/>
      <c r="M988" s="268"/>
      <c r="N988" s="269"/>
      <c r="O988" s="547"/>
      <c r="P988" s="547"/>
    </row>
    <row r="989" spans="1:16" ht="12.75">
      <c r="A989" s="271"/>
      <c r="B989" s="268"/>
      <c r="C989" s="268"/>
      <c r="D989" s="268"/>
      <c r="E989" s="273"/>
      <c r="F989" s="270"/>
      <c r="G989" s="268"/>
      <c r="H989" s="268"/>
      <c r="I989" s="268"/>
      <c r="J989" s="273"/>
      <c r="K989" s="268"/>
      <c r="L989" s="268"/>
      <c r="M989" s="268"/>
      <c r="N989" s="269"/>
      <c r="O989" s="547"/>
      <c r="P989" s="547"/>
    </row>
    <row r="990" spans="1:16" ht="12.75">
      <c r="A990" s="271"/>
      <c r="B990" s="268"/>
      <c r="C990" s="268"/>
      <c r="D990" s="268"/>
      <c r="E990" s="273"/>
      <c r="F990" s="270"/>
      <c r="G990" s="268"/>
      <c r="H990" s="268"/>
      <c r="I990" s="268"/>
      <c r="J990" s="273"/>
      <c r="K990" s="268"/>
      <c r="L990" s="268"/>
      <c r="M990" s="268"/>
      <c r="N990" s="269"/>
      <c r="O990" s="547"/>
      <c r="P990" s="547"/>
    </row>
    <row r="991" spans="1:16" ht="12.75">
      <c r="A991" s="271"/>
      <c r="B991" s="268"/>
      <c r="C991" s="268"/>
      <c r="D991" s="268"/>
      <c r="E991" s="273"/>
      <c r="F991" s="270"/>
      <c r="G991" s="268"/>
      <c r="H991" s="268"/>
      <c r="I991" s="268"/>
      <c r="J991" s="273"/>
      <c r="K991" s="268"/>
      <c r="L991" s="268"/>
      <c r="M991" s="268"/>
      <c r="N991" s="269"/>
      <c r="O991" s="547"/>
      <c r="P991" s="547"/>
    </row>
    <row r="992" spans="1:16" ht="12.75">
      <c r="A992" s="271"/>
      <c r="B992" s="268"/>
      <c r="C992" s="268"/>
      <c r="D992" s="268"/>
      <c r="E992" s="273"/>
      <c r="F992" s="270"/>
      <c r="G992" s="268"/>
      <c r="H992" s="268"/>
      <c r="I992" s="268"/>
      <c r="J992" s="273"/>
      <c r="K992" s="268"/>
      <c r="L992" s="268"/>
      <c r="M992" s="268"/>
      <c r="N992" s="269"/>
      <c r="O992" s="547"/>
      <c r="P992" s="547"/>
    </row>
    <row r="993" spans="1:16" ht="12.75">
      <c r="A993" s="271"/>
      <c r="B993" s="268"/>
      <c r="C993" s="268"/>
      <c r="D993" s="268"/>
      <c r="E993" s="273"/>
      <c r="F993" s="270"/>
      <c r="G993" s="268"/>
      <c r="H993" s="268"/>
      <c r="I993" s="268"/>
      <c r="J993" s="273"/>
      <c r="K993" s="268"/>
      <c r="L993" s="268"/>
      <c r="M993" s="268"/>
      <c r="N993" s="269"/>
      <c r="O993" s="547"/>
      <c r="P993" s="547"/>
    </row>
    <row r="994" spans="1:16" ht="12.75">
      <c r="A994" s="271"/>
      <c r="B994" s="268"/>
      <c r="C994" s="268"/>
      <c r="D994" s="268"/>
      <c r="E994" s="273"/>
      <c r="F994" s="270"/>
      <c r="G994" s="268"/>
      <c r="H994" s="268"/>
      <c r="I994" s="268"/>
      <c r="J994" s="273"/>
      <c r="K994" s="268"/>
      <c r="L994" s="268"/>
      <c r="M994" s="268"/>
      <c r="N994" s="269"/>
      <c r="O994" s="547"/>
      <c r="P994" s="547"/>
    </row>
    <row r="995" spans="1:16" ht="12.75">
      <c r="A995" s="271"/>
      <c r="B995" s="268"/>
      <c r="C995" s="268"/>
      <c r="D995" s="268"/>
      <c r="E995" s="273"/>
      <c r="F995" s="270"/>
      <c r="G995" s="268"/>
      <c r="H995" s="268"/>
      <c r="I995" s="268"/>
      <c r="J995" s="273"/>
      <c r="K995" s="268"/>
      <c r="L995" s="268"/>
      <c r="M995" s="268"/>
      <c r="N995" s="269"/>
      <c r="O995" s="547"/>
      <c r="P995" s="547"/>
    </row>
    <row r="996" spans="1:16" ht="12.75">
      <c r="A996" s="271"/>
      <c r="B996" s="268"/>
      <c r="C996" s="268"/>
      <c r="D996" s="268"/>
      <c r="E996" s="273"/>
      <c r="F996" s="270"/>
      <c r="G996" s="268"/>
      <c r="H996" s="268"/>
      <c r="I996" s="268"/>
      <c r="J996" s="273"/>
      <c r="K996" s="268"/>
      <c r="L996" s="268"/>
      <c r="M996" s="268"/>
      <c r="N996" s="269"/>
      <c r="O996" s="547"/>
      <c r="P996" s="547"/>
    </row>
    <row r="997" spans="1:16" ht="12.75">
      <c r="A997" s="271"/>
      <c r="B997" s="268"/>
      <c r="C997" s="268"/>
      <c r="D997" s="268"/>
      <c r="E997" s="273"/>
      <c r="F997" s="270"/>
      <c r="G997" s="268"/>
      <c r="H997" s="268"/>
      <c r="I997" s="268"/>
      <c r="J997" s="273"/>
      <c r="K997" s="268"/>
      <c r="L997" s="268"/>
      <c r="M997" s="268"/>
      <c r="N997" s="269"/>
      <c r="O997" s="547"/>
      <c r="P997" s="547"/>
    </row>
    <row r="998" spans="1:16" ht="12.75">
      <c r="A998" s="271"/>
      <c r="B998" s="268"/>
      <c r="C998" s="268"/>
      <c r="D998" s="268"/>
      <c r="E998" s="273"/>
      <c r="F998" s="270"/>
      <c r="G998" s="268"/>
      <c r="H998" s="268"/>
      <c r="I998" s="268"/>
      <c r="J998" s="273"/>
      <c r="K998" s="268"/>
      <c r="L998" s="268"/>
      <c r="M998" s="268"/>
      <c r="N998" s="269"/>
      <c r="O998" s="547"/>
      <c r="P998" s="547"/>
    </row>
    <row r="999" spans="1:16" ht="12.75">
      <c r="A999" s="271"/>
      <c r="B999" s="268"/>
      <c r="C999" s="268"/>
      <c r="D999" s="268"/>
      <c r="E999" s="273"/>
      <c r="F999" s="270"/>
      <c r="G999" s="268"/>
      <c r="H999" s="268"/>
      <c r="I999" s="268"/>
      <c r="J999" s="273"/>
      <c r="K999" s="268"/>
      <c r="L999" s="268"/>
      <c r="M999" s="268"/>
      <c r="N999" s="269"/>
      <c r="O999" s="547"/>
      <c r="P999" s="547"/>
    </row>
    <row r="1000" spans="1:16" ht="12.75">
      <c r="A1000" s="271"/>
      <c r="B1000" s="268"/>
      <c r="C1000" s="268"/>
      <c r="D1000" s="268"/>
      <c r="E1000" s="273"/>
      <c r="F1000" s="270"/>
      <c r="G1000" s="268"/>
      <c r="H1000" s="268"/>
      <c r="I1000" s="268"/>
      <c r="J1000" s="273"/>
      <c r="K1000" s="268"/>
      <c r="L1000" s="268"/>
      <c r="M1000" s="268"/>
      <c r="N1000" s="269"/>
      <c r="O1000" s="547"/>
      <c r="P1000" s="547"/>
    </row>
    <row r="1001" spans="1:16" ht="12.75">
      <c r="A1001" s="271"/>
      <c r="B1001" s="268"/>
      <c r="C1001" s="268"/>
      <c r="D1001" s="268"/>
      <c r="E1001" s="273"/>
      <c r="F1001" s="270"/>
      <c r="G1001" s="268"/>
      <c r="H1001" s="268"/>
      <c r="I1001" s="268"/>
      <c r="J1001" s="273"/>
      <c r="K1001" s="268"/>
      <c r="L1001" s="268"/>
      <c r="M1001" s="268"/>
      <c r="N1001" s="269"/>
      <c r="O1001" s="547"/>
      <c r="P1001" s="547"/>
    </row>
    <row r="1002" spans="1:16" ht="12.75">
      <c r="A1002" s="271"/>
      <c r="B1002" s="268"/>
      <c r="C1002" s="268"/>
      <c r="D1002" s="268"/>
      <c r="E1002" s="273"/>
      <c r="F1002" s="270"/>
      <c r="G1002" s="268"/>
      <c r="H1002" s="268"/>
      <c r="I1002" s="268"/>
      <c r="J1002" s="273"/>
      <c r="K1002" s="268"/>
      <c r="L1002" s="268"/>
      <c r="M1002" s="268"/>
      <c r="N1002" s="269"/>
      <c r="O1002" s="547"/>
      <c r="P1002" s="547"/>
    </row>
    <row r="1003" spans="1:16" ht="12.75">
      <c r="A1003" s="271"/>
      <c r="B1003" s="268"/>
      <c r="C1003" s="268"/>
      <c r="D1003" s="268"/>
      <c r="E1003" s="273"/>
      <c r="F1003" s="270"/>
      <c r="G1003" s="268"/>
      <c r="H1003" s="268"/>
      <c r="I1003" s="268"/>
      <c r="J1003" s="273"/>
      <c r="K1003" s="268"/>
      <c r="L1003" s="268"/>
      <c r="M1003" s="268"/>
      <c r="N1003" s="269"/>
      <c r="O1003" s="547"/>
      <c r="P1003" s="547"/>
    </row>
    <row r="1004" spans="1:16" ht="12.75">
      <c r="A1004" s="271"/>
      <c r="B1004" s="268"/>
      <c r="C1004" s="268"/>
      <c r="D1004" s="268"/>
      <c r="E1004" s="273"/>
      <c r="F1004" s="270"/>
      <c r="G1004" s="268"/>
      <c r="H1004" s="268"/>
      <c r="I1004" s="268"/>
      <c r="J1004" s="273"/>
      <c r="K1004" s="268"/>
      <c r="L1004" s="268"/>
      <c r="M1004" s="268"/>
      <c r="N1004" s="269"/>
      <c r="O1004" s="547"/>
      <c r="P1004" s="547"/>
    </row>
    <row r="1005" spans="1:16" ht="12.75">
      <c r="A1005" s="271"/>
      <c r="B1005" s="268"/>
      <c r="C1005" s="268"/>
      <c r="D1005" s="268"/>
      <c r="E1005" s="273"/>
      <c r="F1005" s="270"/>
      <c r="G1005" s="268"/>
      <c r="H1005" s="268"/>
      <c r="I1005" s="268"/>
      <c r="J1005" s="273"/>
      <c r="K1005" s="268"/>
      <c r="L1005" s="268"/>
      <c r="M1005" s="268"/>
      <c r="N1005" s="269"/>
      <c r="O1005" s="547"/>
      <c r="P1005" s="547"/>
    </row>
    <row r="1006" spans="1:16" ht="12.75">
      <c r="A1006" s="271"/>
      <c r="B1006" s="268"/>
      <c r="C1006" s="268"/>
      <c r="D1006" s="268"/>
      <c r="E1006" s="273"/>
      <c r="F1006" s="270"/>
      <c r="G1006" s="268"/>
      <c r="H1006" s="268"/>
      <c r="I1006" s="268"/>
      <c r="J1006" s="273"/>
      <c r="K1006" s="268"/>
      <c r="L1006" s="268"/>
      <c r="M1006" s="268"/>
      <c r="N1006" s="269"/>
      <c r="O1006" s="547"/>
      <c r="P1006" s="547"/>
    </row>
    <row r="1007" spans="1:16" ht="12.75">
      <c r="A1007" s="271"/>
      <c r="B1007" s="268"/>
      <c r="C1007" s="268"/>
      <c r="D1007" s="268"/>
      <c r="E1007" s="273"/>
      <c r="F1007" s="270"/>
      <c r="G1007" s="268"/>
      <c r="H1007" s="268"/>
      <c r="I1007" s="268"/>
      <c r="J1007" s="273"/>
      <c r="K1007" s="268"/>
      <c r="L1007" s="268"/>
      <c r="M1007" s="268"/>
      <c r="N1007" s="269"/>
      <c r="O1007" s="547"/>
      <c r="P1007" s="547"/>
    </row>
    <row r="1008" spans="1:16" ht="12.75">
      <c r="A1008" s="271"/>
      <c r="B1008" s="268"/>
      <c r="C1008" s="268"/>
      <c r="D1008" s="268"/>
      <c r="E1008" s="273"/>
      <c r="F1008" s="270"/>
      <c r="G1008" s="268"/>
      <c r="H1008" s="268"/>
      <c r="I1008" s="268"/>
      <c r="J1008" s="273"/>
      <c r="K1008" s="268"/>
      <c r="L1008" s="268"/>
      <c r="M1008" s="268"/>
      <c r="N1008" s="269"/>
      <c r="O1008" s="547"/>
      <c r="P1008" s="547"/>
    </row>
    <row r="1009" spans="1:16" ht="12.75">
      <c r="A1009" s="271"/>
      <c r="B1009" s="268"/>
      <c r="C1009" s="268"/>
      <c r="D1009" s="268"/>
      <c r="E1009" s="273"/>
      <c r="F1009" s="270"/>
      <c r="G1009" s="268"/>
      <c r="H1009" s="268"/>
      <c r="I1009" s="268"/>
      <c r="J1009" s="273"/>
      <c r="K1009" s="268"/>
      <c r="L1009" s="268"/>
      <c r="M1009" s="268"/>
      <c r="N1009" s="269"/>
      <c r="O1009" s="547"/>
      <c r="P1009" s="547"/>
    </row>
    <row r="1010" spans="1:16" ht="12.75">
      <c r="A1010" s="271"/>
      <c r="B1010" s="268"/>
      <c r="C1010" s="268"/>
      <c r="D1010" s="268"/>
      <c r="E1010" s="273"/>
      <c r="F1010" s="270"/>
      <c r="G1010" s="268"/>
      <c r="H1010" s="268"/>
      <c r="I1010" s="268"/>
      <c r="J1010" s="273"/>
      <c r="K1010" s="268"/>
      <c r="L1010" s="268"/>
      <c r="M1010" s="268"/>
      <c r="N1010" s="269"/>
      <c r="O1010" s="547"/>
      <c r="P1010" s="547"/>
    </row>
    <row r="1011" spans="1:16" ht="12.75">
      <c r="A1011" s="271"/>
      <c r="B1011" s="268"/>
      <c r="C1011" s="268"/>
      <c r="D1011" s="268"/>
      <c r="E1011" s="273"/>
      <c r="F1011" s="270"/>
      <c r="G1011" s="268"/>
      <c r="H1011" s="268"/>
      <c r="I1011" s="268"/>
      <c r="J1011" s="273"/>
      <c r="K1011" s="268"/>
      <c r="L1011" s="268"/>
      <c r="M1011" s="268"/>
      <c r="N1011" s="269"/>
      <c r="O1011" s="547"/>
      <c r="P1011" s="547"/>
    </row>
    <row r="1012" spans="1:16" ht="12.75">
      <c r="A1012" s="271"/>
      <c r="B1012" s="268"/>
      <c r="C1012" s="268"/>
      <c r="D1012" s="268"/>
      <c r="E1012" s="273"/>
      <c r="F1012" s="270"/>
      <c r="G1012" s="268"/>
      <c r="H1012" s="268"/>
      <c r="I1012" s="268"/>
      <c r="J1012" s="273"/>
      <c r="K1012" s="268"/>
      <c r="L1012" s="268"/>
      <c r="M1012" s="268"/>
      <c r="N1012" s="269"/>
      <c r="O1012" s="547"/>
      <c r="P1012" s="547"/>
    </row>
    <row r="1013" spans="1:16" ht="12.75">
      <c r="A1013" s="271"/>
      <c r="B1013" s="268"/>
      <c r="C1013" s="268"/>
      <c r="D1013" s="268"/>
      <c r="E1013" s="273"/>
      <c r="F1013" s="270"/>
      <c r="G1013" s="268"/>
      <c r="H1013" s="268"/>
      <c r="I1013" s="268"/>
      <c r="J1013" s="273"/>
      <c r="K1013" s="268"/>
      <c r="L1013" s="268"/>
      <c r="M1013" s="268"/>
      <c r="N1013" s="269"/>
      <c r="O1013" s="547"/>
      <c r="P1013" s="547"/>
    </row>
    <row r="1014" spans="1:16" ht="12.75">
      <c r="A1014" s="271"/>
      <c r="B1014" s="268"/>
      <c r="C1014" s="268"/>
      <c r="D1014" s="268"/>
      <c r="E1014" s="273"/>
      <c r="F1014" s="270"/>
      <c r="G1014" s="268"/>
      <c r="H1014" s="268"/>
      <c r="I1014" s="268"/>
      <c r="J1014" s="273"/>
      <c r="K1014" s="268"/>
      <c r="L1014" s="268"/>
      <c r="M1014" s="268"/>
      <c r="N1014" s="269"/>
      <c r="O1014" s="547"/>
      <c r="P1014" s="547"/>
    </row>
    <row r="1015" spans="1:16" ht="12.75">
      <c r="A1015" s="271"/>
      <c r="B1015" s="268"/>
      <c r="C1015" s="268"/>
      <c r="D1015" s="268"/>
      <c r="E1015" s="273"/>
      <c r="F1015" s="270"/>
      <c r="G1015" s="268"/>
      <c r="H1015" s="268"/>
      <c r="I1015" s="268"/>
      <c r="J1015" s="273"/>
      <c r="K1015" s="268"/>
      <c r="L1015" s="268"/>
      <c r="M1015" s="268"/>
      <c r="N1015" s="269"/>
      <c r="O1015" s="547"/>
      <c r="P1015" s="547"/>
    </row>
    <row r="1016" spans="1:16" ht="12.75">
      <c r="A1016" s="271"/>
      <c r="B1016" s="268"/>
      <c r="C1016" s="268"/>
      <c r="D1016" s="268"/>
      <c r="E1016" s="273"/>
      <c r="F1016" s="270"/>
      <c r="G1016" s="268"/>
      <c r="H1016" s="268"/>
      <c r="I1016" s="268"/>
      <c r="J1016" s="273"/>
      <c r="K1016" s="268"/>
      <c r="L1016" s="268"/>
      <c r="M1016" s="268"/>
      <c r="N1016" s="269"/>
      <c r="O1016" s="547"/>
      <c r="P1016" s="547"/>
    </row>
    <row r="1017" spans="1:16" ht="12.75">
      <c r="A1017" s="271"/>
      <c r="B1017" s="268"/>
      <c r="C1017" s="268"/>
      <c r="D1017" s="268"/>
      <c r="E1017" s="273"/>
      <c r="F1017" s="270"/>
      <c r="G1017" s="268"/>
      <c r="H1017" s="268"/>
      <c r="I1017" s="268"/>
      <c r="J1017" s="273"/>
      <c r="K1017" s="268"/>
      <c r="L1017" s="268"/>
      <c r="M1017" s="268"/>
      <c r="N1017" s="269"/>
      <c r="O1017" s="547"/>
      <c r="P1017" s="547"/>
    </row>
    <row r="1018" spans="1:16" ht="12.75">
      <c r="A1018" s="271"/>
      <c r="B1018" s="268"/>
      <c r="C1018" s="268"/>
      <c r="D1018" s="268"/>
      <c r="E1018" s="273"/>
      <c r="F1018" s="270"/>
      <c r="G1018" s="268"/>
      <c r="H1018" s="268"/>
      <c r="I1018" s="268"/>
      <c r="J1018" s="273"/>
      <c r="K1018" s="268"/>
      <c r="L1018" s="268"/>
      <c r="M1018" s="268"/>
      <c r="N1018" s="269"/>
      <c r="O1018" s="547"/>
      <c r="P1018" s="547"/>
    </row>
    <row r="1019" spans="1:16" ht="12.75">
      <c r="A1019" s="271"/>
      <c r="B1019" s="268"/>
      <c r="C1019" s="268"/>
      <c r="D1019" s="268"/>
      <c r="E1019" s="273"/>
      <c r="F1019" s="270"/>
      <c r="G1019" s="268"/>
      <c r="H1019" s="268"/>
      <c r="I1019" s="268"/>
      <c r="J1019" s="273"/>
      <c r="K1019" s="268"/>
      <c r="L1019" s="268"/>
      <c r="M1019" s="268"/>
      <c r="N1019" s="269"/>
      <c r="O1019" s="547"/>
      <c r="P1019" s="547"/>
    </row>
    <row r="1020" spans="1:16" ht="12.75">
      <c r="A1020" s="271"/>
      <c r="B1020" s="268"/>
      <c r="C1020" s="268"/>
      <c r="D1020" s="268"/>
      <c r="E1020" s="273"/>
      <c r="F1020" s="270"/>
      <c r="G1020" s="268"/>
      <c r="H1020" s="268"/>
      <c r="I1020" s="268"/>
      <c r="J1020" s="273"/>
      <c r="K1020" s="268"/>
      <c r="L1020" s="268"/>
      <c r="M1020" s="268"/>
      <c r="N1020" s="269"/>
      <c r="O1020" s="547"/>
      <c r="P1020" s="547"/>
    </row>
    <row r="1021" spans="1:16" ht="12.75">
      <c r="A1021" s="271"/>
      <c r="B1021" s="268"/>
      <c r="C1021" s="268"/>
      <c r="D1021" s="268"/>
      <c r="E1021" s="273"/>
      <c r="F1021" s="270"/>
      <c r="G1021" s="268"/>
      <c r="H1021" s="268"/>
      <c r="I1021" s="268"/>
      <c r="J1021" s="273"/>
      <c r="K1021" s="268"/>
      <c r="L1021" s="268"/>
      <c r="M1021" s="268"/>
      <c r="N1021" s="269"/>
      <c r="O1021" s="547"/>
      <c r="P1021" s="547"/>
    </row>
    <row r="1022" spans="1:16" ht="12.75">
      <c r="A1022" s="271"/>
      <c r="B1022" s="268"/>
      <c r="C1022" s="268"/>
      <c r="D1022" s="268"/>
      <c r="E1022" s="273"/>
      <c r="F1022" s="270"/>
      <c r="G1022" s="268"/>
      <c r="H1022" s="268"/>
      <c r="I1022" s="268"/>
      <c r="J1022" s="273"/>
      <c r="K1022" s="268"/>
      <c r="L1022" s="268"/>
      <c r="M1022" s="268"/>
      <c r="N1022" s="269"/>
      <c r="O1022" s="547"/>
      <c r="P1022" s="547"/>
    </row>
    <row r="1023" spans="1:16" ht="12.75">
      <c r="A1023" s="271"/>
      <c r="B1023" s="268"/>
      <c r="C1023" s="268"/>
      <c r="D1023" s="268"/>
      <c r="E1023" s="273"/>
      <c r="F1023" s="270"/>
      <c r="G1023" s="268"/>
      <c r="H1023" s="268"/>
      <c r="I1023" s="268"/>
      <c r="J1023" s="273"/>
      <c r="K1023" s="268"/>
      <c r="L1023" s="268"/>
      <c r="M1023" s="268"/>
      <c r="N1023" s="269"/>
      <c r="O1023" s="547"/>
      <c r="P1023" s="547"/>
    </row>
    <row r="1024" spans="1:16" ht="12.75">
      <c r="A1024" s="271"/>
      <c r="B1024" s="268"/>
      <c r="C1024" s="268"/>
      <c r="D1024" s="268"/>
      <c r="E1024" s="273"/>
      <c r="F1024" s="270"/>
      <c r="G1024" s="268"/>
      <c r="H1024" s="268"/>
      <c r="I1024" s="268"/>
      <c r="J1024" s="273"/>
      <c r="K1024" s="268"/>
      <c r="L1024" s="268"/>
      <c r="M1024" s="268"/>
      <c r="N1024" s="269"/>
      <c r="O1024" s="547"/>
      <c r="P1024" s="547"/>
    </row>
    <row r="1025" spans="1:16" ht="12.75">
      <c r="A1025" s="271"/>
      <c r="B1025" s="268"/>
      <c r="C1025" s="268"/>
      <c r="D1025" s="268"/>
      <c r="E1025" s="273"/>
      <c r="F1025" s="270"/>
      <c r="G1025" s="268"/>
      <c r="H1025" s="268"/>
      <c r="I1025" s="268"/>
      <c r="J1025" s="273"/>
      <c r="K1025" s="268"/>
      <c r="L1025" s="268"/>
      <c r="M1025" s="268"/>
      <c r="N1025" s="269"/>
      <c r="O1025" s="547"/>
      <c r="P1025" s="547"/>
    </row>
    <row r="1026" spans="1:16" ht="12.75">
      <c r="A1026" s="271"/>
      <c r="B1026" s="268"/>
      <c r="C1026" s="268"/>
      <c r="D1026" s="268"/>
      <c r="E1026" s="273"/>
      <c r="F1026" s="270"/>
      <c r="G1026" s="268"/>
      <c r="H1026" s="268"/>
      <c r="I1026" s="268"/>
      <c r="J1026" s="273"/>
      <c r="K1026" s="268"/>
      <c r="L1026" s="268"/>
      <c r="M1026" s="268"/>
      <c r="N1026" s="269"/>
      <c r="O1026" s="547"/>
      <c r="P1026" s="547"/>
    </row>
    <row r="1027" spans="1:16" ht="12.75">
      <c r="A1027" s="271"/>
      <c r="B1027" s="268"/>
      <c r="C1027" s="268"/>
      <c r="D1027" s="268"/>
      <c r="E1027" s="273"/>
      <c r="F1027" s="270"/>
      <c r="G1027" s="268"/>
      <c r="H1027" s="268"/>
      <c r="I1027" s="268"/>
      <c r="J1027" s="273"/>
      <c r="K1027" s="268"/>
      <c r="L1027" s="268"/>
      <c r="M1027" s="268"/>
      <c r="N1027" s="269"/>
      <c r="O1027" s="547"/>
      <c r="P1027" s="547"/>
    </row>
    <row r="1028" spans="1:16" ht="12.75">
      <c r="A1028" s="271"/>
      <c r="B1028" s="268"/>
      <c r="C1028" s="268"/>
      <c r="D1028" s="268"/>
      <c r="E1028" s="273"/>
      <c r="F1028" s="270"/>
      <c r="G1028" s="268"/>
      <c r="H1028" s="268"/>
      <c r="I1028" s="268"/>
      <c r="J1028" s="273"/>
      <c r="K1028" s="268"/>
      <c r="L1028" s="268"/>
      <c r="M1028" s="268"/>
      <c r="N1028" s="269"/>
      <c r="O1028" s="547"/>
      <c r="P1028" s="547"/>
    </row>
    <row r="1029" spans="1:16" ht="12.75">
      <c r="A1029" s="271"/>
      <c r="B1029" s="268"/>
      <c r="C1029" s="268"/>
      <c r="D1029" s="268"/>
      <c r="E1029" s="273"/>
      <c r="F1029" s="270"/>
      <c r="G1029" s="268"/>
      <c r="H1029" s="268"/>
      <c r="I1029" s="268"/>
      <c r="J1029" s="273"/>
      <c r="K1029" s="268"/>
      <c r="L1029" s="268"/>
      <c r="M1029" s="268"/>
      <c r="N1029" s="269"/>
      <c r="O1029" s="547"/>
      <c r="P1029" s="547"/>
    </row>
    <row r="1030" spans="1:16" ht="12.75">
      <c r="A1030" s="271"/>
      <c r="B1030" s="268"/>
      <c r="C1030" s="268"/>
      <c r="D1030" s="268"/>
      <c r="E1030" s="273"/>
      <c r="F1030" s="270"/>
      <c r="G1030" s="268"/>
      <c r="H1030" s="268"/>
      <c r="I1030" s="268"/>
      <c r="J1030" s="273"/>
      <c r="K1030" s="268"/>
      <c r="L1030" s="268"/>
      <c r="M1030" s="268"/>
      <c r="N1030" s="269"/>
      <c r="O1030" s="547"/>
      <c r="P1030" s="547"/>
    </row>
    <row r="1031" spans="1:16" ht="12.75">
      <c r="A1031" s="271"/>
      <c r="B1031" s="268"/>
      <c r="C1031" s="268"/>
      <c r="D1031" s="268"/>
      <c r="E1031" s="273"/>
      <c r="F1031" s="270"/>
      <c r="G1031" s="268"/>
      <c r="H1031" s="268"/>
      <c r="I1031" s="268"/>
      <c r="J1031" s="273"/>
      <c r="K1031" s="268"/>
      <c r="L1031" s="268"/>
      <c r="M1031" s="268"/>
      <c r="N1031" s="269"/>
      <c r="O1031" s="547"/>
      <c r="P1031" s="547"/>
    </row>
    <row r="1032" spans="1:16" ht="12.75">
      <c r="A1032" s="271"/>
      <c r="B1032" s="268"/>
      <c r="C1032" s="268"/>
      <c r="D1032" s="268"/>
      <c r="E1032" s="273"/>
      <c r="F1032" s="270"/>
      <c r="G1032" s="268"/>
      <c r="H1032" s="268"/>
      <c r="I1032" s="268"/>
      <c r="J1032" s="273"/>
      <c r="K1032" s="268"/>
      <c r="L1032" s="268"/>
      <c r="M1032" s="268"/>
      <c r="N1032" s="269"/>
      <c r="O1032" s="547"/>
      <c r="P1032" s="547"/>
    </row>
    <row r="1033" spans="1:16" ht="12.75">
      <c r="A1033" s="271"/>
      <c r="B1033" s="268"/>
      <c r="C1033" s="268"/>
      <c r="D1033" s="268"/>
      <c r="E1033" s="273"/>
      <c r="F1033" s="270"/>
      <c r="G1033" s="268"/>
      <c r="H1033" s="268"/>
      <c r="I1033" s="268"/>
      <c r="J1033" s="273"/>
      <c r="K1033" s="268"/>
      <c r="L1033" s="268"/>
      <c r="M1033" s="268"/>
      <c r="N1033" s="269"/>
      <c r="O1033" s="547"/>
      <c r="P1033" s="547"/>
    </row>
    <row r="1034" spans="1:16" ht="12.75">
      <c r="A1034" s="271"/>
      <c r="B1034" s="268"/>
      <c r="C1034" s="268"/>
      <c r="D1034" s="268"/>
      <c r="E1034" s="273"/>
      <c r="F1034" s="270"/>
      <c r="G1034" s="268"/>
      <c r="H1034" s="268"/>
      <c r="I1034" s="268"/>
      <c r="J1034" s="273"/>
      <c r="K1034" s="268"/>
      <c r="L1034" s="268"/>
      <c r="M1034" s="268"/>
      <c r="N1034" s="269"/>
      <c r="O1034" s="547"/>
      <c r="P1034" s="547"/>
    </row>
    <row r="1035" spans="1:16" ht="12.75">
      <c r="A1035" s="271"/>
      <c r="B1035" s="268"/>
      <c r="C1035" s="268"/>
      <c r="D1035" s="268"/>
      <c r="E1035" s="273"/>
      <c r="F1035" s="270"/>
      <c r="G1035" s="268"/>
      <c r="H1035" s="268"/>
      <c r="I1035" s="268"/>
      <c r="J1035" s="273"/>
      <c r="K1035" s="268"/>
      <c r="L1035" s="268"/>
      <c r="M1035" s="268"/>
      <c r="N1035" s="269"/>
      <c r="O1035" s="547"/>
      <c r="P1035" s="547"/>
    </row>
    <row r="1036" spans="1:16" ht="12.75">
      <c r="A1036" s="271"/>
      <c r="B1036" s="268"/>
      <c r="C1036" s="268"/>
      <c r="D1036" s="268"/>
      <c r="E1036" s="273"/>
      <c r="F1036" s="270"/>
      <c r="G1036" s="268"/>
      <c r="H1036" s="268"/>
      <c r="I1036" s="268"/>
      <c r="J1036" s="273"/>
      <c r="K1036" s="268"/>
      <c r="L1036" s="268"/>
      <c r="M1036" s="268"/>
      <c r="N1036" s="269"/>
      <c r="O1036" s="547"/>
      <c r="P1036" s="547"/>
    </row>
    <row r="1037" spans="1:16" ht="12.75">
      <c r="A1037" s="271"/>
      <c r="B1037" s="268"/>
      <c r="C1037" s="268"/>
      <c r="D1037" s="268"/>
      <c r="E1037" s="273"/>
      <c r="F1037" s="270"/>
      <c r="G1037" s="268"/>
      <c r="H1037" s="268"/>
      <c r="I1037" s="268"/>
      <c r="J1037" s="273"/>
      <c r="K1037" s="268"/>
      <c r="L1037" s="268"/>
      <c r="M1037" s="268"/>
      <c r="N1037" s="269"/>
      <c r="O1037" s="547"/>
      <c r="P1037" s="547"/>
    </row>
    <row r="1038" spans="1:16" ht="12.75">
      <c r="A1038" s="271"/>
      <c r="B1038" s="268"/>
      <c r="C1038" s="268"/>
      <c r="D1038" s="268"/>
      <c r="E1038" s="273"/>
      <c r="F1038" s="270"/>
      <c r="G1038" s="268"/>
      <c r="H1038" s="268"/>
      <c r="I1038" s="268"/>
      <c r="J1038" s="273"/>
      <c r="K1038" s="268"/>
      <c r="L1038" s="268"/>
      <c r="M1038" s="268"/>
      <c r="N1038" s="269"/>
      <c r="O1038" s="547"/>
      <c r="P1038" s="547"/>
    </row>
    <row r="1039" spans="1:16" ht="12.75">
      <c r="A1039" s="271"/>
      <c r="B1039" s="268"/>
      <c r="C1039" s="268"/>
      <c r="D1039" s="268"/>
      <c r="E1039" s="273"/>
      <c r="F1039" s="270"/>
      <c r="G1039" s="268"/>
      <c r="H1039" s="268"/>
      <c r="I1039" s="268"/>
      <c r="J1039" s="273"/>
      <c r="K1039" s="268"/>
      <c r="L1039" s="268"/>
      <c r="M1039" s="268"/>
      <c r="N1039" s="269"/>
      <c r="O1039" s="547"/>
      <c r="P1039" s="547"/>
    </row>
    <row r="1040" spans="1:16" ht="12.75">
      <c r="A1040" s="271"/>
      <c r="B1040" s="268"/>
      <c r="C1040" s="268"/>
      <c r="D1040" s="268"/>
      <c r="E1040" s="273"/>
      <c r="F1040" s="270"/>
      <c r="G1040" s="268"/>
      <c r="H1040" s="268"/>
      <c r="I1040" s="268"/>
      <c r="J1040" s="273"/>
      <c r="K1040" s="268"/>
      <c r="L1040" s="268"/>
      <c r="M1040" s="268"/>
      <c r="N1040" s="269"/>
      <c r="O1040" s="547"/>
      <c r="P1040" s="547"/>
    </row>
    <row r="1041" spans="1:16" ht="12.75">
      <c r="A1041" s="271"/>
      <c r="B1041" s="268"/>
      <c r="C1041" s="268"/>
      <c r="D1041" s="268"/>
      <c r="E1041" s="273"/>
      <c r="F1041" s="270"/>
      <c r="G1041" s="268"/>
      <c r="H1041" s="268"/>
      <c r="I1041" s="268"/>
      <c r="J1041" s="273"/>
      <c r="K1041" s="268"/>
      <c r="L1041" s="268"/>
      <c r="M1041" s="268"/>
      <c r="N1041" s="269"/>
      <c r="O1041" s="547"/>
      <c r="P1041" s="547"/>
    </row>
    <row r="1042" spans="1:16" ht="12.75">
      <c r="A1042" s="271"/>
      <c r="B1042" s="268"/>
      <c r="C1042" s="268"/>
      <c r="D1042" s="268"/>
      <c r="E1042" s="273"/>
      <c r="F1042" s="270"/>
      <c r="G1042" s="268"/>
      <c r="H1042" s="268"/>
      <c r="I1042" s="268"/>
      <c r="J1042" s="273"/>
      <c r="K1042" s="268"/>
      <c r="L1042" s="268"/>
      <c r="M1042" s="268"/>
      <c r="N1042" s="269"/>
      <c r="O1042" s="547"/>
      <c r="P1042" s="547"/>
    </row>
    <row r="1043" spans="1:16" ht="12.75">
      <c r="A1043" s="271"/>
      <c r="B1043" s="268"/>
      <c r="C1043" s="268"/>
      <c r="D1043" s="268"/>
      <c r="E1043" s="273"/>
      <c r="F1043" s="270"/>
      <c r="G1043" s="268"/>
      <c r="H1043" s="268"/>
      <c r="I1043" s="268"/>
      <c r="J1043" s="273"/>
      <c r="K1043" s="268"/>
      <c r="L1043" s="268"/>
      <c r="M1043" s="268"/>
      <c r="N1043" s="269"/>
      <c r="O1043" s="547"/>
      <c r="P1043" s="547"/>
    </row>
    <row r="1044" spans="1:16" ht="12.75">
      <c r="A1044" s="271"/>
      <c r="B1044" s="268"/>
      <c r="C1044" s="268"/>
      <c r="D1044" s="268"/>
      <c r="E1044" s="273"/>
      <c r="F1044" s="270"/>
      <c r="G1044" s="268"/>
      <c r="H1044" s="268"/>
      <c r="I1044" s="268"/>
      <c r="J1044" s="273"/>
      <c r="K1044" s="268"/>
      <c r="L1044" s="268"/>
      <c r="M1044" s="268"/>
      <c r="N1044" s="269"/>
      <c r="O1044" s="547"/>
      <c r="P1044" s="547"/>
    </row>
    <row r="1045" spans="1:16" ht="12.75">
      <c r="A1045" s="271"/>
      <c r="B1045" s="268"/>
      <c r="C1045" s="268"/>
      <c r="D1045" s="268"/>
      <c r="E1045" s="273"/>
      <c r="F1045" s="270"/>
      <c r="G1045" s="268"/>
      <c r="H1045" s="268"/>
      <c r="I1045" s="268"/>
      <c r="J1045" s="273"/>
      <c r="K1045" s="268"/>
      <c r="L1045" s="268"/>
      <c r="M1045" s="268"/>
      <c r="N1045" s="269"/>
      <c r="O1045" s="547"/>
      <c r="P1045" s="547"/>
    </row>
    <row r="1046" spans="1:16" ht="12.75">
      <c r="A1046" s="271"/>
      <c r="B1046" s="268"/>
      <c r="C1046" s="268"/>
      <c r="D1046" s="268"/>
      <c r="E1046" s="273"/>
      <c r="F1046" s="270"/>
      <c r="G1046" s="268"/>
      <c r="H1046" s="268"/>
      <c r="I1046" s="268"/>
      <c r="J1046" s="273"/>
      <c r="K1046" s="268"/>
      <c r="L1046" s="268"/>
      <c r="M1046" s="268"/>
      <c r="N1046" s="269"/>
      <c r="O1046" s="547"/>
      <c r="P1046" s="547"/>
    </row>
    <row r="1047" spans="1:16" ht="12.75">
      <c r="A1047" s="271"/>
      <c r="B1047" s="268"/>
      <c r="C1047" s="268"/>
      <c r="D1047" s="268"/>
      <c r="E1047" s="273"/>
      <c r="F1047" s="270"/>
      <c r="G1047" s="268"/>
      <c r="H1047" s="268"/>
      <c r="I1047" s="268"/>
      <c r="J1047" s="273"/>
      <c r="K1047" s="268"/>
      <c r="L1047" s="268"/>
      <c r="M1047" s="268"/>
      <c r="N1047" s="269"/>
      <c r="O1047" s="547"/>
      <c r="P1047" s="547"/>
    </row>
    <row r="1048" spans="1:16" ht="12.75">
      <c r="A1048" s="271"/>
      <c r="B1048" s="268"/>
      <c r="C1048" s="268"/>
      <c r="D1048" s="268"/>
      <c r="E1048" s="273"/>
      <c r="F1048" s="270"/>
      <c r="G1048" s="268"/>
      <c r="H1048" s="268"/>
      <c r="I1048" s="268"/>
      <c r="J1048" s="273"/>
      <c r="K1048" s="268"/>
      <c r="L1048" s="268"/>
      <c r="M1048" s="268"/>
      <c r="N1048" s="269"/>
      <c r="O1048" s="547"/>
      <c r="P1048" s="547"/>
    </row>
    <row r="1049" spans="1:16" ht="12.75">
      <c r="A1049" s="271"/>
      <c r="B1049" s="268"/>
      <c r="C1049" s="268"/>
      <c r="D1049" s="268"/>
      <c r="E1049" s="273"/>
      <c r="F1049" s="270"/>
      <c r="G1049" s="268"/>
      <c r="H1049" s="268"/>
      <c r="I1049" s="268"/>
      <c r="J1049" s="273"/>
      <c r="K1049" s="268"/>
      <c r="L1049" s="268"/>
      <c r="M1049" s="268"/>
      <c r="N1049" s="269"/>
      <c r="O1049" s="547"/>
      <c r="P1049" s="547"/>
    </row>
    <row r="1050" spans="1:16" ht="12.75">
      <c r="A1050" s="271"/>
      <c r="B1050" s="268"/>
      <c r="C1050" s="268"/>
      <c r="D1050" s="268"/>
      <c r="E1050" s="273"/>
      <c r="F1050" s="270"/>
      <c r="G1050" s="268"/>
      <c r="H1050" s="268"/>
      <c r="I1050" s="268"/>
      <c r="J1050" s="273"/>
      <c r="K1050" s="268"/>
      <c r="L1050" s="268"/>
      <c r="M1050" s="268"/>
      <c r="N1050" s="269"/>
      <c r="O1050" s="547"/>
      <c r="P1050" s="547"/>
    </row>
    <row r="1051" spans="1:16" ht="12.75">
      <c r="A1051" s="271"/>
      <c r="B1051" s="268"/>
      <c r="C1051" s="268"/>
      <c r="D1051" s="268"/>
      <c r="E1051" s="273"/>
      <c r="F1051" s="270"/>
      <c r="G1051" s="268"/>
      <c r="H1051" s="268"/>
      <c r="I1051" s="268"/>
      <c r="J1051" s="273"/>
      <c r="K1051" s="268"/>
      <c r="L1051" s="268"/>
      <c r="M1051" s="268"/>
      <c r="N1051" s="269"/>
      <c r="O1051" s="547"/>
      <c r="P1051" s="547"/>
    </row>
    <row r="1052" spans="1:16" ht="12.75">
      <c r="A1052" s="271"/>
      <c r="B1052" s="268"/>
      <c r="C1052" s="268"/>
      <c r="D1052" s="268"/>
      <c r="E1052" s="273"/>
      <c r="F1052" s="270"/>
      <c r="G1052" s="268"/>
      <c r="H1052" s="268"/>
      <c r="I1052" s="268"/>
      <c r="J1052" s="273"/>
      <c r="K1052" s="268"/>
      <c r="L1052" s="268"/>
      <c r="M1052" s="268"/>
      <c r="N1052" s="269"/>
      <c r="O1052" s="547"/>
      <c r="P1052" s="547"/>
    </row>
    <row r="1053" spans="1:16" ht="12.75">
      <c r="A1053" s="271"/>
      <c r="B1053" s="268"/>
      <c r="C1053" s="268"/>
      <c r="D1053" s="268"/>
      <c r="E1053" s="273"/>
      <c r="F1053" s="270"/>
      <c r="G1053" s="268"/>
      <c r="H1053" s="268"/>
      <c r="I1053" s="268"/>
      <c r="J1053" s="273"/>
      <c r="K1053" s="268"/>
      <c r="L1053" s="268"/>
      <c r="M1053" s="268"/>
      <c r="N1053" s="269"/>
      <c r="O1053" s="547"/>
      <c r="P1053" s="547"/>
    </row>
    <row r="1054" spans="1:16" ht="12.75">
      <c r="A1054" s="271"/>
      <c r="B1054" s="268"/>
      <c r="C1054" s="268"/>
      <c r="D1054" s="268"/>
      <c r="E1054" s="273"/>
      <c r="F1054" s="270"/>
      <c r="G1054" s="268"/>
      <c r="H1054" s="268"/>
      <c r="I1054" s="268"/>
      <c r="J1054" s="273"/>
      <c r="K1054" s="268"/>
      <c r="L1054" s="268"/>
      <c r="M1054" s="268"/>
      <c r="N1054" s="269"/>
      <c r="O1054" s="547"/>
      <c r="P1054" s="547"/>
    </row>
    <row r="1055" spans="1:16" ht="12.75">
      <c r="A1055" s="271"/>
      <c r="B1055" s="268"/>
      <c r="C1055" s="268"/>
      <c r="D1055" s="268"/>
      <c r="E1055" s="273"/>
      <c r="F1055" s="270"/>
      <c r="G1055" s="268"/>
      <c r="H1055" s="268"/>
      <c r="I1055" s="268"/>
      <c r="J1055" s="273"/>
      <c r="K1055" s="268"/>
      <c r="L1055" s="268"/>
      <c r="M1055" s="268"/>
      <c r="N1055" s="269"/>
      <c r="O1055" s="547"/>
      <c r="P1055" s="547"/>
    </row>
    <row r="1056" spans="1:16" ht="12.75">
      <c r="A1056" s="271"/>
      <c r="B1056" s="268"/>
      <c r="C1056" s="268"/>
      <c r="D1056" s="268"/>
      <c r="E1056" s="273"/>
      <c r="F1056" s="270"/>
      <c r="G1056" s="268"/>
      <c r="H1056" s="268"/>
      <c r="I1056" s="268"/>
      <c r="J1056" s="273"/>
      <c r="K1056" s="268"/>
      <c r="L1056" s="268"/>
      <c r="M1056" s="268"/>
      <c r="N1056" s="269"/>
      <c r="O1056" s="547"/>
      <c r="P1056" s="547"/>
    </row>
    <row r="1057" spans="1:16" ht="12.75">
      <c r="A1057" s="271"/>
      <c r="B1057" s="268"/>
      <c r="C1057" s="268"/>
      <c r="D1057" s="268"/>
      <c r="E1057" s="273"/>
      <c r="F1057" s="270"/>
      <c r="G1057" s="268"/>
      <c r="H1057" s="268"/>
      <c r="I1057" s="268"/>
      <c r="J1057" s="273"/>
      <c r="K1057" s="268"/>
      <c r="L1057" s="268"/>
      <c r="M1057" s="268"/>
      <c r="N1057" s="269"/>
      <c r="O1057" s="547"/>
      <c r="P1057" s="547"/>
    </row>
    <row r="1058" spans="1:16" ht="12.75">
      <c r="A1058" s="271"/>
      <c r="B1058" s="268"/>
      <c r="C1058" s="268"/>
      <c r="D1058" s="268"/>
      <c r="E1058" s="273"/>
      <c r="F1058" s="270"/>
      <c r="G1058" s="268"/>
      <c r="H1058" s="268"/>
      <c r="I1058" s="268"/>
      <c r="J1058" s="273"/>
      <c r="K1058" s="268"/>
      <c r="L1058" s="268"/>
      <c r="M1058" s="268"/>
      <c r="N1058" s="269"/>
      <c r="O1058" s="547"/>
      <c r="P1058" s="547"/>
    </row>
    <row r="1059" spans="1:16" ht="12.75">
      <c r="A1059" s="271"/>
      <c r="B1059" s="268"/>
      <c r="C1059" s="268"/>
      <c r="D1059" s="268"/>
      <c r="E1059" s="273"/>
      <c r="F1059" s="270"/>
      <c r="G1059" s="268"/>
      <c r="H1059" s="268"/>
      <c r="I1059" s="268"/>
      <c r="J1059" s="273"/>
      <c r="K1059" s="268"/>
      <c r="L1059" s="268"/>
      <c r="M1059" s="268"/>
      <c r="N1059" s="269"/>
      <c r="O1059" s="547"/>
      <c r="P1059" s="547"/>
    </row>
    <row r="1060" spans="1:16" ht="12.75">
      <c r="A1060" s="271"/>
      <c r="B1060" s="268"/>
      <c r="C1060" s="268"/>
      <c r="D1060" s="268"/>
      <c r="E1060" s="273"/>
      <c r="F1060" s="270"/>
      <c r="G1060" s="268"/>
      <c r="H1060" s="268"/>
      <c r="I1060" s="268"/>
      <c r="J1060" s="273"/>
      <c r="K1060" s="268"/>
      <c r="L1060" s="268"/>
      <c r="M1060" s="268"/>
      <c r="N1060" s="269"/>
      <c r="O1060" s="547"/>
      <c r="P1060" s="547"/>
    </row>
    <row r="1061" spans="1:16" ht="12.75">
      <c r="A1061" s="271"/>
      <c r="B1061" s="268"/>
      <c r="C1061" s="268"/>
      <c r="D1061" s="268"/>
      <c r="E1061" s="273"/>
      <c r="F1061" s="270"/>
      <c r="G1061" s="268"/>
      <c r="H1061" s="268"/>
      <c r="I1061" s="268"/>
      <c r="J1061" s="273"/>
      <c r="K1061" s="268"/>
      <c r="L1061" s="268"/>
      <c r="M1061" s="268"/>
      <c r="N1061" s="269"/>
      <c r="O1061" s="547"/>
      <c r="P1061" s="547"/>
    </row>
    <row r="1062" spans="1:16" ht="12.75">
      <c r="A1062" s="271"/>
      <c r="B1062" s="268"/>
      <c r="C1062" s="268"/>
      <c r="D1062" s="268"/>
      <c r="E1062" s="273"/>
      <c r="F1062" s="270"/>
      <c r="G1062" s="268"/>
      <c r="H1062" s="268"/>
      <c r="I1062" s="268"/>
      <c r="J1062" s="273"/>
      <c r="K1062" s="268"/>
      <c r="L1062" s="268"/>
      <c r="M1062" s="268"/>
      <c r="N1062" s="269"/>
      <c r="O1062" s="547"/>
      <c r="P1062" s="547"/>
    </row>
    <row r="1063" spans="1:16" ht="12.75">
      <c r="A1063" s="271"/>
      <c r="B1063" s="268"/>
      <c r="C1063" s="268"/>
      <c r="D1063" s="268"/>
      <c r="E1063" s="273"/>
      <c r="F1063" s="270"/>
      <c r="G1063" s="268"/>
      <c r="H1063" s="268"/>
      <c r="I1063" s="268"/>
      <c r="J1063" s="273"/>
      <c r="K1063" s="268"/>
      <c r="L1063" s="268"/>
      <c r="M1063" s="268"/>
      <c r="N1063" s="269"/>
      <c r="O1063" s="547"/>
      <c r="P1063" s="547"/>
    </row>
    <row r="1064" spans="1:16" ht="12.75">
      <c r="A1064" s="271"/>
      <c r="B1064" s="268"/>
      <c r="C1064" s="268"/>
      <c r="D1064" s="268"/>
      <c r="E1064" s="273"/>
      <c r="F1064" s="270"/>
      <c r="G1064" s="268"/>
      <c r="H1064" s="268"/>
      <c r="I1064" s="268"/>
      <c r="J1064" s="273"/>
      <c r="K1064" s="268"/>
      <c r="L1064" s="268"/>
      <c r="M1064" s="268"/>
      <c r="N1064" s="269"/>
      <c r="O1064" s="547"/>
      <c r="P1064" s="547"/>
    </row>
    <row r="1065" spans="1:16" ht="12.75">
      <c r="A1065" s="271"/>
      <c r="B1065" s="268"/>
      <c r="C1065" s="268"/>
      <c r="D1065" s="268"/>
      <c r="E1065" s="273"/>
      <c r="F1065" s="270"/>
      <c r="G1065" s="268"/>
      <c r="H1065" s="268"/>
      <c r="I1065" s="268"/>
      <c r="J1065" s="273"/>
      <c r="K1065" s="268"/>
      <c r="L1065" s="268"/>
      <c r="M1065" s="268"/>
      <c r="N1065" s="269"/>
      <c r="O1065" s="547"/>
      <c r="P1065" s="547"/>
    </row>
    <row r="1066" spans="1:16" ht="12.75">
      <c r="A1066" s="271"/>
      <c r="B1066" s="268"/>
      <c r="C1066" s="268"/>
      <c r="D1066" s="268"/>
      <c r="E1066" s="273"/>
      <c r="F1066" s="270"/>
      <c r="G1066" s="268"/>
      <c r="H1066" s="268"/>
      <c r="I1066" s="268"/>
      <c r="J1066" s="273"/>
      <c r="K1066" s="268"/>
      <c r="L1066" s="268"/>
      <c r="M1066" s="268"/>
      <c r="N1066" s="269"/>
      <c r="O1066" s="547"/>
      <c r="P1066" s="547"/>
    </row>
    <row r="1067" spans="1:16" ht="12.75">
      <c r="A1067" s="271"/>
      <c r="B1067" s="268"/>
      <c r="C1067" s="268"/>
      <c r="D1067" s="268"/>
      <c r="E1067" s="273"/>
      <c r="F1067" s="270"/>
      <c r="G1067" s="268"/>
      <c r="H1067" s="268"/>
      <c r="I1067" s="268"/>
      <c r="J1067" s="273"/>
      <c r="K1067" s="268"/>
      <c r="L1067" s="268"/>
      <c r="M1067" s="268"/>
      <c r="N1067" s="269"/>
      <c r="O1067" s="547"/>
      <c r="P1067" s="547"/>
    </row>
    <row r="1068" spans="1:16" ht="12.75">
      <c r="A1068" s="271"/>
      <c r="B1068" s="268"/>
      <c r="C1068" s="268"/>
      <c r="D1068" s="268"/>
      <c r="E1068" s="273"/>
      <c r="F1068" s="270"/>
      <c r="G1068" s="268"/>
      <c r="H1068" s="268"/>
      <c r="I1068" s="268"/>
      <c r="J1068" s="273"/>
      <c r="K1068" s="268"/>
      <c r="L1068" s="268"/>
      <c r="M1068" s="268"/>
      <c r="N1068" s="269"/>
      <c r="O1068" s="547"/>
      <c r="P1068" s="547"/>
    </row>
    <row r="1069" spans="1:16" ht="12.75">
      <c r="A1069" s="271"/>
      <c r="B1069" s="268"/>
      <c r="C1069" s="268"/>
      <c r="D1069" s="268"/>
      <c r="E1069" s="273"/>
      <c r="F1069" s="270"/>
      <c r="G1069" s="268"/>
      <c r="H1069" s="268"/>
      <c r="I1069" s="268"/>
      <c r="J1069" s="273"/>
      <c r="K1069" s="268"/>
      <c r="L1069" s="268"/>
      <c r="M1069" s="268"/>
      <c r="N1069" s="269"/>
      <c r="O1069" s="547"/>
      <c r="P1069" s="547"/>
    </row>
    <row r="1070" spans="1:16" ht="12.75">
      <c r="A1070" s="271"/>
      <c r="B1070" s="268"/>
      <c r="C1070" s="268"/>
      <c r="D1070" s="268"/>
      <c r="E1070" s="273"/>
      <c r="F1070" s="270"/>
      <c r="G1070" s="268"/>
      <c r="H1070" s="268"/>
      <c r="I1070" s="268"/>
      <c r="J1070" s="273"/>
      <c r="K1070" s="268"/>
      <c r="L1070" s="268"/>
      <c r="M1070" s="268"/>
      <c r="N1070" s="269"/>
      <c r="O1070" s="547"/>
      <c r="P1070" s="547"/>
    </row>
    <row r="1071" spans="1:16" ht="12.75">
      <c r="A1071" s="271"/>
      <c r="B1071" s="268"/>
      <c r="C1071" s="268"/>
      <c r="D1071" s="268"/>
      <c r="E1071" s="273"/>
      <c r="F1071" s="270"/>
      <c r="G1071" s="268"/>
      <c r="H1071" s="268"/>
      <c r="I1071" s="268"/>
      <c r="J1071" s="273"/>
      <c r="K1071" s="268"/>
      <c r="L1071" s="268"/>
      <c r="M1071" s="268"/>
      <c r="N1071" s="269"/>
      <c r="O1071" s="547"/>
      <c r="P1071" s="547"/>
    </row>
    <row r="1072" spans="1:16" ht="12.75">
      <c r="A1072" s="271"/>
      <c r="B1072" s="268"/>
      <c r="C1072" s="268"/>
      <c r="D1072" s="268"/>
      <c r="E1072" s="273"/>
      <c r="F1072" s="270"/>
      <c r="G1072" s="268"/>
      <c r="H1072" s="268"/>
      <c r="I1072" s="268"/>
      <c r="J1072" s="273"/>
      <c r="K1072" s="268"/>
      <c r="L1072" s="268"/>
      <c r="M1072" s="268"/>
      <c r="N1072" s="269"/>
      <c r="O1072" s="547"/>
      <c r="P1072" s="547"/>
    </row>
    <row r="1073" spans="1:16" ht="12.75">
      <c r="A1073" s="271"/>
      <c r="B1073" s="268"/>
      <c r="C1073" s="268"/>
      <c r="D1073" s="268"/>
      <c r="E1073" s="273"/>
      <c r="F1073" s="270"/>
      <c r="G1073" s="268"/>
      <c r="H1073" s="268"/>
      <c r="I1073" s="268"/>
      <c r="J1073" s="273"/>
      <c r="K1073" s="268"/>
      <c r="L1073" s="268"/>
      <c r="M1073" s="268"/>
      <c r="N1073" s="269"/>
      <c r="O1073" s="547"/>
      <c r="P1073" s="547"/>
    </row>
    <row r="1074" spans="1:16" ht="12.75">
      <c r="A1074" s="271"/>
      <c r="B1074" s="268"/>
      <c r="C1074" s="268"/>
      <c r="D1074" s="268"/>
      <c r="E1074" s="273"/>
      <c r="F1074" s="270"/>
      <c r="G1074" s="268"/>
      <c r="H1074" s="268"/>
      <c r="I1074" s="268"/>
      <c r="J1074" s="273"/>
      <c r="K1074" s="268"/>
      <c r="L1074" s="268"/>
      <c r="M1074" s="268"/>
      <c r="N1074" s="269"/>
      <c r="O1074" s="547"/>
      <c r="P1074" s="547"/>
    </row>
    <row r="1075" spans="1:16" ht="12.75">
      <c r="A1075" s="271"/>
      <c r="B1075" s="268"/>
      <c r="C1075" s="268"/>
      <c r="D1075" s="268"/>
      <c r="E1075" s="273"/>
      <c r="F1075" s="270"/>
      <c r="G1075" s="268"/>
      <c r="H1075" s="268"/>
      <c r="I1075" s="268"/>
      <c r="J1075" s="273"/>
      <c r="K1075" s="268"/>
      <c r="L1075" s="268"/>
      <c r="M1075" s="268"/>
      <c r="N1075" s="269"/>
      <c r="O1075" s="547"/>
      <c r="P1075" s="547"/>
    </row>
    <row r="1076" spans="1:16" ht="12.75">
      <c r="A1076" s="271"/>
      <c r="B1076" s="268"/>
      <c r="C1076" s="268"/>
      <c r="D1076" s="268"/>
      <c r="E1076" s="273"/>
      <c r="F1076" s="270"/>
      <c r="G1076" s="268"/>
      <c r="H1076" s="268"/>
      <c r="I1076" s="268"/>
      <c r="J1076" s="273"/>
      <c r="K1076" s="268"/>
      <c r="L1076" s="268"/>
      <c r="M1076" s="268"/>
      <c r="N1076" s="269"/>
      <c r="O1076" s="547"/>
      <c r="P1076" s="547"/>
    </row>
    <row r="1077" spans="1:16" ht="12.75">
      <c r="A1077" s="271"/>
      <c r="B1077" s="268"/>
      <c r="C1077" s="268"/>
      <c r="D1077" s="268"/>
      <c r="E1077" s="273"/>
      <c r="F1077" s="270"/>
      <c r="G1077" s="268"/>
      <c r="H1077" s="268"/>
      <c r="I1077" s="268"/>
      <c r="J1077" s="273"/>
      <c r="K1077" s="268"/>
      <c r="L1077" s="268"/>
      <c r="M1077" s="268"/>
      <c r="N1077" s="269"/>
      <c r="O1077" s="547"/>
      <c r="P1077" s="547"/>
    </row>
    <row r="1078" spans="1:16" ht="12.75">
      <c r="A1078" s="271"/>
      <c r="B1078" s="268"/>
      <c r="C1078" s="268"/>
      <c r="D1078" s="268"/>
      <c r="E1078" s="273"/>
      <c r="F1078" s="270"/>
      <c r="G1078" s="268"/>
      <c r="H1078" s="268"/>
      <c r="I1078" s="268"/>
      <c r="J1078" s="273"/>
      <c r="K1078" s="268"/>
      <c r="L1078" s="268"/>
      <c r="M1078" s="268"/>
      <c r="N1078" s="269"/>
      <c r="O1078" s="547"/>
      <c r="P1078" s="547"/>
    </row>
    <row r="1079" spans="1:16" ht="12.75">
      <c r="A1079" s="271"/>
      <c r="B1079" s="268"/>
      <c r="C1079" s="268"/>
      <c r="D1079" s="268"/>
      <c r="E1079" s="273"/>
      <c r="F1079" s="270"/>
      <c r="G1079" s="268"/>
      <c r="H1079" s="268"/>
      <c r="I1079" s="268"/>
      <c r="J1079" s="273"/>
      <c r="K1079" s="268"/>
      <c r="L1079" s="268"/>
      <c r="M1079" s="268"/>
      <c r="N1079" s="269"/>
      <c r="O1079" s="547"/>
      <c r="P1079" s="547"/>
    </row>
    <row r="1080" spans="1:16" ht="12.75">
      <c r="A1080" s="271"/>
      <c r="B1080" s="268"/>
      <c r="C1080" s="268"/>
      <c r="D1080" s="268"/>
      <c r="E1080" s="273"/>
      <c r="F1080" s="270"/>
      <c r="G1080" s="268"/>
      <c r="H1080" s="268"/>
      <c r="I1080" s="268"/>
      <c r="J1080" s="273"/>
      <c r="K1080" s="268"/>
      <c r="L1080" s="268"/>
      <c r="M1080" s="268"/>
      <c r="N1080" s="269"/>
      <c r="O1080" s="547"/>
      <c r="P1080" s="547"/>
    </row>
    <row r="1081" spans="1:16" ht="12.75">
      <c r="A1081" s="271"/>
      <c r="B1081" s="268"/>
      <c r="C1081" s="268"/>
      <c r="D1081" s="268"/>
      <c r="E1081" s="273"/>
      <c r="F1081" s="270"/>
      <c r="G1081" s="268"/>
      <c r="H1081" s="268"/>
      <c r="I1081" s="268"/>
      <c r="J1081" s="273"/>
      <c r="K1081" s="268"/>
      <c r="L1081" s="268"/>
      <c r="M1081" s="268"/>
      <c r="N1081" s="269"/>
      <c r="O1081" s="547"/>
      <c r="P1081" s="547"/>
    </row>
    <row r="1082" spans="1:16" ht="12.75">
      <c r="A1082" s="271"/>
      <c r="B1082" s="268"/>
      <c r="C1082" s="268"/>
      <c r="D1082" s="268"/>
      <c r="E1082" s="273"/>
      <c r="F1082" s="270"/>
      <c r="G1082" s="268"/>
      <c r="H1082" s="268"/>
      <c r="I1082" s="268"/>
      <c r="J1082" s="273"/>
      <c r="K1082" s="268"/>
      <c r="L1082" s="268"/>
      <c r="M1082" s="268"/>
      <c r="N1082" s="269"/>
      <c r="O1082" s="547"/>
      <c r="P1082" s="547"/>
    </row>
    <row r="1083" spans="1:16" ht="12.75">
      <c r="A1083" s="271"/>
      <c r="B1083" s="268"/>
      <c r="C1083" s="268"/>
      <c r="D1083" s="268"/>
      <c r="E1083" s="273"/>
      <c r="F1083" s="270"/>
      <c r="G1083" s="268"/>
      <c r="H1083" s="268"/>
      <c r="I1083" s="268"/>
      <c r="J1083" s="273"/>
      <c r="K1083" s="268"/>
      <c r="L1083" s="268"/>
      <c r="M1083" s="268"/>
      <c r="N1083" s="269"/>
      <c r="O1083" s="547"/>
      <c r="P1083" s="547"/>
    </row>
    <row r="1084" spans="1:16" ht="12.75">
      <c r="A1084" s="271"/>
      <c r="B1084" s="268"/>
      <c r="C1084" s="268"/>
      <c r="D1084" s="268"/>
      <c r="E1084" s="273"/>
      <c r="F1084" s="270"/>
      <c r="G1084" s="268"/>
      <c r="H1084" s="268"/>
      <c r="I1084" s="268"/>
      <c r="J1084" s="273"/>
      <c r="K1084" s="268"/>
      <c r="L1084" s="268"/>
      <c r="M1084" s="268"/>
      <c r="N1084" s="269"/>
      <c r="O1084" s="547"/>
      <c r="P1084" s="547"/>
    </row>
    <row r="1085" spans="1:16" ht="12.75">
      <c r="A1085" s="271"/>
      <c r="B1085" s="268"/>
      <c r="C1085" s="268"/>
      <c r="D1085" s="268"/>
      <c r="E1085" s="273"/>
      <c r="F1085" s="270"/>
      <c r="G1085" s="268"/>
      <c r="H1085" s="268"/>
      <c r="I1085" s="268"/>
      <c r="J1085" s="273"/>
      <c r="K1085" s="268"/>
      <c r="L1085" s="268"/>
      <c r="M1085" s="268"/>
      <c r="N1085" s="269"/>
      <c r="O1085" s="547"/>
      <c r="P1085" s="547"/>
    </row>
    <row r="1086" spans="1:16" ht="12.75">
      <c r="A1086" s="271"/>
      <c r="B1086" s="268"/>
      <c r="C1086" s="268"/>
      <c r="D1086" s="268"/>
      <c r="E1086" s="273"/>
      <c r="F1086" s="270"/>
      <c r="G1086" s="268"/>
      <c r="H1086" s="268"/>
      <c r="I1086" s="268"/>
      <c r="J1086" s="273"/>
      <c r="K1086" s="268"/>
      <c r="L1086" s="268"/>
      <c r="M1086" s="268"/>
      <c r="N1086" s="269"/>
      <c r="O1086" s="547"/>
      <c r="P1086" s="547"/>
    </row>
    <row r="1087" spans="1:16" ht="12.75">
      <c r="A1087" s="271"/>
      <c r="B1087" s="268"/>
      <c r="C1087" s="268"/>
      <c r="D1087" s="268"/>
      <c r="E1087" s="273"/>
      <c r="F1087" s="270"/>
      <c r="G1087" s="268"/>
      <c r="H1087" s="268"/>
      <c r="I1087" s="268"/>
      <c r="J1087" s="273"/>
      <c r="K1087" s="268"/>
      <c r="L1087" s="268"/>
      <c r="M1087" s="268"/>
      <c r="N1087" s="269"/>
      <c r="O1087" s="547"/>
      <c r="P1087" s="547"/>
    </row>
    <row r="1088" spans="1:16" ht="12.75">
      <c r="A1088" s="271"/>
      <c r="B1088" s="268"/>
      <c r="C1088" s="268"/>
      <c r="D1088" s="268"/>
      <c r="E1088" s="273"/>
      <c r="F1088" s="270"/>
      <c r="G1088" s="268"/>
      <c r="H1088" s="268"/>
      <c r="I1088" s="268"/>
      <c r="J1088" s="273"/>
      <c r="K1088" s="268"/>
      <c r="L1088" s="268"/>
      <c r="M1088" s="268"/>
      <c r="N1088" s="269"/>
      <c r="O1088" s="547"/>
      <c r="P1088" s="547"/>
    </row>
    <row r="1089" spans="1:16" ht="12.75">
      <c r="A1089" s="271"/>
      <c r="B1089" s="268"/>
      <c r="C1089" s="268"/>
      <c r="D1089" s="268"/>
      <c r="E1089" s="273"/>
      <c r="F1089" s="270"/>
      <c r="G1089" s="268"/>
      <c r="H1089" s="268"/>
      <c r="I1089" s="268"/>
      <c r="J1089" s="273"/>
      <c r="K1089" s="268"/>
      <c r="L1089" s="268"/>
      <c r="M1089" s="268"/>
      <c r="N1089" s="269"/>
      <c r="O1089" s="547"/>
      <c r="P1089" s="547"/>
    </row>
    <row r="1090" spans="1:16" ht="12.75">
      <c r="A1090" s="271"/>
      <c r="B1090" s="268"/>
      <c r="C1090" s="268"/>
      <c r="D1090" s="268"/>
      <c r="E1090" s="273"/>
      <c r="F1090" s="270"/>
      <c r="G1090" s="268"/>
      <c r="H1090" s="268"/>
      <c r="I1090" s="268"/>
      <c r="J1090" s="273"/>
      <c r="K1090" s="268"/>
      <c r="L1090" s="268"/>
      <c r="M1090" s="268"/>
      <c r="N1090" s="269"/>
      <c r="O1090" s="547"/>
      <c r="P1090" s="547"/>
    </row>
    <row r="1091" spans="1:16" ht="12.75">
      <c r="A1091" s="271"/>
      <c r="B1091" s="268"/>
      <c r="C1091" s="268"/>
      <c r="D1091" s="268"/>
      <c r="E1091" s="273"/>
      <c r="F1091" s="270"/>
      <c r="G1091" s="268"/>
      <c r="H1091" s="268"/>
      <c r="I1091" s="268"/>
      <c r="J1091" s="273"/>
      <c r="K1091" s="268"/>
      <c r="L1091" s="268"/>
      <c r="M1091" s="268"/>
      <c r="N1091" s="269"/>
      <c r="O1091" s="547"/>
      <c r="P1091" s="547"/>
    </row>
    <row r="1092" spans="1:16" ht="12.75">
      <c r="A1092" s="271"/>
      <c r="B1092" s="268"/>
      <c r="C1092" s="268"/>
      <c r="D1092" s="268"/>
      <c r="E1092" s="273"/>
      <c r="F1092" s="270"/>
      <c r="G1092" s="268"/>
      <c r="H1092" s="268"/>
      <c r="I1092" s="268"/>
      <c r="J1092" s="273"/>
      <c r="K1092" s="268"/>
      <c r="L1092" s="268"/>
      <c r="M1092" s="268"/>
      <c r="N1092" s="269"/>
      <c r="O1092" s="547"/>
      <c r="P1092" s="547"/>
    </row>
    <row r="1093" spans="1:16" ht="12.75">
      <c r="A1093" s="271"/>
      <c r="B1093" s="268"/>
      <c r="C1093" s="268"/>
      <c r="D1093" s="268"/>
      <c r="E1093" s="273"/>
      <c r="F1093" s="270"/>
      <c r="G1093" s="268"/>
      <c r="H1093" s="268"/>
      <c r="I1093" s="268"/>
      <c r="J1093" s="273"/>
      <c r="K1093" s="268"/>
      <c r="L1093" s="268"/>
      <c r="M1093" s="268"/>
      <c r="N1093" s="269"/>
      <c r="O1093" s="547"/>
      <c r="P1093" s="547"/>
    </row>
    <row r="1094" spans="1:16" ht="12.75">
      <c r="A1094" s="271"/>
      <c r="B1094" s="268"/>
      <c r="C1094" s="268"/>
      <c r="D1094" s="268"/>
      <c r="E1094" s="273"/>
      <c r="F1094" s="270"/>
      <c r="G1094" s="268"/>
      <c r="H1094" s="268"/>
      <c r="I1094" s="268"/>
      <c r="J1094" s="273"/>
      <c r="K1094" s="268"/>
      <c r="L1094" s="268"/>
      <c r="M1094" s="268"/>
      <c r="N1094" s="269"/>
      <c r="O1094" s="547"/>
      <c r="P1094" s="547"/>
    </row>
    <row r="1095" spans="1:16" ht="12.75">
      <c r="A1095" s="271"/>
      <c r="B1095" s="268"/>
      <c r="C1095" s="268"/>
      <c r="D1095" s="268"/>
      <c r="E1095" s="273"/>
      <c r="F1095" s="270"/>
      <c r="G1095" s="268"/>
      <c r="H1095" s="268"/>
      <c r="I1095" s="268"/>
      <c r="J1095" s="273"/>
      <c r="K1095" s="268"/>
      <c r="L1095" s="268"/>
      <c r="M1095" s="268"/>
      <c r="N1095" s="269"/>
      <c r="O1095" s="547"/>
      <c r="P1095" s="547"/>
    </row>
    <row r="1096" spans="1:16" ht="12.75">
      <c r="A1096" s="271"/>
      <c r="B1096" s="268"/>
      <c r="C1096" s="268"/>
      <c r="D1096" s="268"/>
      <c r="E1096" s="273"/>
      <c r="F1096" s="270"/>
      <c r="G1096" s="268"/>
      <c r="H1096" s="268"/>
      <c r="I1096" s="268"/>
      <c r="J1096" s="273"/>
      <c r="K1096" s="268"/>
      <c r="L1096" s="268"/>
      <c r="M1096" s="268"/>
      <c r="N1096" s="269"/>
      <c r="O1096" s="547"/>
      <c r="P1096" s="547"/>
    </row>
    <row r="1097" spans="1:16" ht="12.75">
      <c r="A1097" s="271"/>
      <c r="B1097" s="268"/>
      <c r="C1097" s="268"/>
      <c r="D1097" s="268"/>
      <c r="E1097" s="273"/>
      <c r="F1097" s="270"/>
      <c r="G1097" s="268"/>
      <c r="H1097" s="268"/>
      <c r="I1097" s="268"/>
      <c r="J1097" s="273"/>
      <c r="K1097" s="268"/>
      <c r="L1097" s="268"/>
      <c r="M1097" s="268"/>
      <c r="N1097" s="269"/>
      <c r="O1097" s="547"/>
      <c r="P1097" s="547"/>
    </row>
    <row r="1098" spans="1:16" ht="12.75">
      <c r="A1098" s="271"/>
      <c r="B1098" s="268"/>
      <c r="C1098" s="268"/>
      <c r="D1098" s="268"/>
      <c r="E1098" s="273"/>
      <c r="F1098" s="270"/>
      <c r="G1098" s="268"/>
      <c r="H1098" s="268"/>
      <c r="I1098" s="268"/>
      <c r="J1098" s="273"/>
      <c r="K1098" s="268"/>
      <c r="L1098" s="268"/>
      <c r="M1098" s="268"/>
      <c r="N1098" s="269"/>
      <c r="O1098" s="547"/>
      <c r="P1098" s="547"/>
    </row>
    <row r="1099" spans="1:16" ht="12.75">
      <c r="A1099" s="271"/>
      <c r="B1099" s="268"/>
      <c r="C1099" s="268"/>
      <c r="D1099" s="268"/>
      <c r="E1099" s="273"/>
      <c r="F1099" s="270"/>
      <c r="G1099" s="268"/>
      <c r="H1099" s="268"/>
      <c r="I1099" s="268"/>
      <c r="J1099" s="273"/>
      <c r="K1099" s="268"/>
      <c r="L1099" s="268"/>
      <c r="M1099" s="268"/>
      <c r="N1099" s="269"/>
      <c r="O1099" s="547"/>
      <c r="P1099" s="547"/>
    </row>
    <row r="1100" spans="1:16" ht="12.75">
      <c r="A1100" s="271"/>
      <c r="B1100" s="268"/>
      <c r="C1100" s="268"/>
      <c r="D1100" s="268"/>
      <c r="E1100" s="273"/>
      <c r="F1100" s="270"/>
      <c r="G1100" s="268"/>
      <c r="H1100" s="268"/>
      <c r="I1100" s="268"/>
      <c r="J1100" s="273"/>
      <c r="K1100" s="268"/>
      <c r="L1100" s="268"/>
      <c r="M1100" s="268"/>
      <c r="N1100" s="269"/>
      <c r="O1100" s="547"/>
      <c r="P1100" s="547"/>
    </row>
    <row r="1101" spans="1:16" ht="12.75">
      <c r="A1101" s="271"/>
      <c r="B1101" s="268"/>
      <c r="C1101" s="268"/>
      <c r="D1101" s="268"/>
      <c r="E1101" s="273"/>
      <c r="F1101" s="270"/>
      <c r="G1101" s="268"/>
      <c r="H1101" s="268"/>
      <c r="I1101" s="268"/>
      <c r="J1101" s="273"/>
      <c r="K1101" s="268"/>
      <c r="L1101" s="268"/>
      <c r="M1101" s="268"/>
      <c r="N1101" s="269"/>
      <c r="O1101" s="547"/>
      <c r="P1101" s="547"/>
    </row>
    <row r="1102" spans="1:16" ht="12.75">
      <c r="A1102" s="271"/>
      <c r="B1102" s="268"/>
      <c r="C1102" s="268"/>
      <c r="D1102" s="268"/>
      <c r="E1102" s="273"/>
      <c r="F1102" s="270"/>
      <c r="G1102" s="268"/>
      <c r="H1102" s="268"/>
      <c r="I1102" s="268"/>
      <c r="J1102" s="273"/>
      <c r="K1102" s="268"/>
      <c r="L1102" s="268"/>
      <c r="M1102" s="268"/>
      <c r="N1102" s="269"/>
      <c r="O1102" s="547"/>
      <c r="P1102" s="547"/>
    </row>
    <row r="1103" spans="1:16" ht="12.75">
      <c r="A1103" s="271"/>
      <c r="B1103" s="268"/>
      <c r="C1103" s="268"/>
      <c r="D1103" s="268"/>
      <c r="E1103" s="273"/>
      <c r="F1103" s="270"/>
      <c r="G1103" s="268"/>
      <c r="H1103" s="268"/>
      <c r="I1103" s="268"/>
      <c r="J1103" s="273"/>
      <c r="K1103" s="268"/>
      <c r="L1103" s="268"/>
      <c r="M1103" s="268"/>
      <c r="N1103" s="269"/>
      <c r="O1103" s="547"/>
      <c r="P1103" s="547"/>
    </row>
    <row r="1104" spans="1:16" ht="12.75">
      <c r="A1104" s="271"/>
      <c r="B1104" s="268"/>
      <c r="C1104" s="268"/>
      <c r="D1104" s="268"/>
      <c r="E1104" s="273"/>
      <c r="F1104" s="270"/>
      <c r="G1104" s="268"/>
      <c r="H1104" s="268"/>
      <c r="I1104" s="268"/>
      <c r="J1104" s="273"/>
      <c r="K1104" s="268"/>
      <c r="L1104" s="268"/>
      <c r="M1104" s="268"/>
      <c r="N1104" s="269"/>
      <c r="O1104" s="547"/>
      <c r="P1104" s="547"/>
    </row>
    <row r="1105" spans="1:16" ht="12.75">
      <c r="A1105" s="271"/>
      <c r="B1105" s="268"/>
      <c r="C1105" s="268"/>
      <c r="D1105" s="268"/>
      <c r="E1105" s="273"/>
      <c r="F1105" s="270"/>
      <c r="G1105" s="268"/>
      <c r="H1105" s="268"/>
      <c r="I1105" s="268"/>
      <c r="J1105" s="273"/>
      <c r="K1105" s="268"/>
      <c r="L1105" s="268"/>
      <c r="M1105" s="268"/>
      <c r="N1105" s="269"/>
      <c r="O1105" s="547"/>
      <c r="P1105" s="547"/>
    </row>
    <row r="1106" spans="1:16" ht="12.75">
      <c r="A1106" s="271"/>
      <c r="B1106" s="268"/>
      <c r="C1106" s="268"/>
      <c r="D1106" s="268"/>
      <c r="E1106" s="273"/>
      <c r="F1106" s="270"/>
      <c r="G1106" s="268"/>
      <c r="H1106" s="268"/>
      <c r="I1106" s="268"/>
      <c r="J1106" s="273"/>
      <c r="K1106" s="268"/>
      <c r="L1106" s="268"/>
      <c r="M1106" s="268"/>
      <c r="N1106" s="269"/>
      <c r="O1106" s="547"/>
      <c r="P1106" s="547"/>
    </row>
    <row r="1107" spans="1:16" ht="12.75">
      <c r="A1107" s="271"/>
      <c r="B1107" s="268"/>
      <c r="C1107" s="268"/>
      <c r="D1107" s="268"/>
      <c r="E1107" s="273"/>
      <c r="F1107" s="270"/>
      <c r="G1107" s="268"/>
      <c r="H1107" s="268"/>
      <c r="I1107" s="268"/>
      <c r="J1107" s="273"/>
      <c r="K1107" s="268"/>
      <c r="L1107" s="268"/>
      <c r="M1107" s="268"/>
      <c r="N1107" s="269"/>
      <c r="O1107" s="547"/>
      <c r="P1107" s="547"/>
    </row>
    <row r="1108" spans="1:16" ht="12.75">
      <c r="A1108" s="271"/>
      <c r="B1108" s="268"/>
      <c r="C1108" s="268"/>
      <c r="D1108" s="268"/>
      <c r="E1108" s="273"/>
      <c r="F1108" s="270"/>
      <c r="G1108" s="268"/>
      <c r="H1108" s="268"/>
      <c r="I1108" s="268"/>
      <c r="J1108" s="273"/>
      <c r="K1108" s="268"/>
      <c r="L1108" s="268"/>
      <c r="M1108" s="268"/>
      <c r="N1108" s="269"/>
      <c r="O1108" s="547"/>
      <c r="P1108" s="547"/>
    </row>
    <row r="1109" spans="1:16" ht="12.75">
      <c r="A1109" s="271"/>
      <c r="B1109" s="268"/>
      <c r="C1109" s="268"/>
      <c r="D1109" s="268"/>
      <c r="E1109" s="273"/>
      <c r="F1109" s="270"/>
      <c r="G1109" s="268"/>
      <c r="H1109" s="268"/>
      <c r="I1109" s="268"/>
      <c r="J1109" s="273"/>
      <c r="K1109" s="268"/>
      <c r="L1109" s="268"/>
      <c r="M1109" s="268"/>
      <c r="N1109" s="269"/>
      <c r="O1109" s="547"/>
      <c r="P1109" s="547"/>
    </row>
    <row r="1110" spans="1:16" ht="12.75">
      <c r="A1110" s="271"/>
      <c r="B1110" s="268"/>
      <c r="C1110" s="268"/>
      <c r="D1110" s="268"/>
      <c r="E1110" s="273"/>
      <c r="F1110" s="270"/>
      <c r="G1110" s="268"/>
      <c r="H1110" s="268"/>
      <c r="I1110" s="268"/>
      <c r="J1110" s="273"/>
      <c r="K1110" s="268"/>
      <c r="L1110" s="268"/>
      <c r="M1110" s="268"/>
      <c r="N1110" s="269"/>
      <c r="O1110" s="547"/>
      <c r="P1110" s="547"/>
    </row>
    <row r="1111" spans="1:16" ht="12.75">
      <c r="A1111" s="271"/>
      <c r="B1111" s="268"/>
      <c r="C1111" s="268"/>
      <c r="D1111" s="268"/>
      <c r="E1111" s="273"/>
      <c r="F1111" s="270"/>
      <c r="G1111" s="268"/>
      <c r="H1111" s="268"/>
      <c r="I1111" s="268"/>
      <c r="J1111" s="273"/>
      <c r="K1111" s="268"/>
      <c r="L1111" s="268"/>
      <c r="M1111" s="268"/>
      <c r="N1111" s="269"/>
      <c r="O1111" s="547"/>
      <c r="P1111" s="547"/>
    </row>
    <row r="1112" spans="1:16" ht="12.75">
      <c r="A1112" s="271"/>
      <c r="B1112" s="268"/>
      <c r="C1112" s="268"/>
      <c r="D1112" s="268"/>
      <c r="E1112" s="273"/>
      <c r="F1112" s="270"/>
      <c r="G1112" s="268"/>
      <c r="H1112" s="268"/>
      <c r="I1112" s="268"/>
      <c r="J1112" s="273"/>
      <c r="K1112" s="268"/>
      <c r="L1112" s="268"/>
      <c r="M1112" s="268"/>
      <c r="N1112" s="269"/>
      <c r="O1112" s="547"/>
      <c r="P1112" s="547"/>
    </row>
    <row r="1113" spans="1:16" ht="12.75">
      <c r="A1113" s="271"/>
      <c r="B1113" s="268"/>
      <c r="C1113" s="268"/>
      <c r="D1113" s="268"/>
      <c r="E1113" s="273"/>
      <c r="F1113" s="270"/>
      <c r="G1113" s="268"/>
      <c r="H1113" s="268"/>
      <c r="I1113" s="268"/>
      <c r="J1113" s="273"/>
      <c r="K1113" s="268"/>
      <c r="L1113" s="268"/>
      <c r="M1113" s="268"/>
      <c r="N1113" s="269"/>
      <c r="O1113" s="547"/>
      <c r="P1113" s="547"/>
    </row>
    <row r="1114" spans="1:16" ht="12.75">
      <c r="A1114" s="271"/>
      <c r="B1114" s="268"/>
      <c r="C1114" s="268"/>
      <c r="D1114" s="268"/>
      <c r="E1114" s="273"/>
      <c r="F1114" s="270"/>
      <c r="G1114" s="268"/>
      <c r="H1114" s="268"/>
      <c r="I1114" s="268"/>
      <c r="J1114" s="273"/>
      <c r="K1114" s="268"/>
      <c r="L1114" s="268"/>
      <c r="M1114" s="268"/>
      <c r="N1114" s="269"/>
      <c r="O1114" s="547"/>
      <c r="P1114" s="547"/>
    </row>
    <row r="1115" spans="1:16" ht="12.75">
      <c r="A1115" s="271"/>
      <c r="B1115" s="268"/>
      <c r="C1115" s="268"/>
      <c r="D1115" s="268"/>
      <c r="E1115" s="273"/>
      <c r="F1115" s="270"/>
      <c r="G1115" s="268"/>
      <c r="H1115" s="268"/>
      <c r="I1115" s="268"/>
      <c r="J1115" s="273"/>
      <c r="K1115" s="268"/>
      <c r="L1115" s="268"/>
      <c r="M1115" s="268"/>
      <c r="N1115" s="269"/>
      <c r="O1115" s="547"/>
      <c r="P1115" s="547"/>
    </row>
    <row r="1116" spans="1:16" ht="12.75">
      <c r="A1116" s="271"/>
      <c r="B1116" s="268"/>
      <c r="C1116" s="268"/>
      <c r="D1116" s="268"/>
      <c r="E1116" s="273"/>
      <c r="F1116" s="270"/>
      <c r="G1116" s="268"/>
      <c r="H1116" s="268"/>
      <c r="I1116" s="268"/>
      <c r="J1116" s="273"/>
      <c r="K1116" s="268"/>
      <c r="L1116" s="268"/>
      <c r="M1116" s="268"/>
      <c r="N1116" s="269"/>
      <c r="O1116" s="547"/>
      <c r="P1116" s="547"/>
    </row>
    <row r="1117" spans="1:16" ht="12.75">
      <c r="A1117" s="271"/>
      <c r="B1117" s="268"/>
      <c r="C1117" s="268"/>
      <c r="D1117" s="268"/>
      <c r="E1117" s="273"/>
      <c r="F1117" s="270"/>
      <c r="G1117" s="268"/>
      <c r="H1117" s="268"/>
      <c r="I1117" s="268"/>
      <c r="J1117" s="273"/>
      <c r="K1117" s="268"/>
      <c r="L1117" s="268"/>
      <c r="M1117" s="268"/>
      <c r="N1117" s="269"/>
      <c r="O1117" s="547"/>
      <c r="P1117" s="547"/>
    </row>
    <row r="1118" spans="1:16" ht="12.75">
      <c r="A1118" s="271"/>
      <c r="B1118" s="268"/>
      <c r="C1118" s="268"/>
      <c r="D1118" s="268"/>
      <c r="E1118" s="273"/>
      <c r="F1118" s="270"/>
      <c r="G1118" s="268"/>
      <c r="H1118" s="268"/>
      <c r="I1118" s="268"/>
      <c r="J1118" s="273"/>
      <c r="K1118" s="268"/>
      <c r="L1118" s="268"/>
      <c r="M1118" s="268"/>
      <c r="N1118" s="269"/>
      <c r="O1118" s="547"/>
      <c r="P1118" s="547"/>
    </row>
    <row r="1119" spans="1:16" ht="12.75">
      <c r="A1119" s="271"/>
      <c r="B1119" s="268"/>
      <c r="C1119" s="268"/>
      <c r="D1119" s="268"/>
      <c r="E1119" s="273"/>
      <c r="F1119" s="270"/>
      <c r="G1119" s="268"/>
      <c r="H1119" s="268"/>
      <c r="I1119" s="268"/>
      <c r="J1119" s="273"/>
      <c r="K1119" s="268"/>
      <c r="L1119" s="268"/>
      <c r="M1119" s="268"/>
      <c r="N1119" s="269"/>
      <c r="O1119" s="547"/>
      <c r="P1119" s="547"/>
    </row>
    <row r="1120" spans="1:16" ht="12.75">
      <c r="A1120" s="271"/>
      <c r="B1120" s="268"/>
      <c r="C1120" s="268"/>
      <c r="D1120" s="268"/>
      <c r="E1120" s="273"/>
      <c r="F1120" s="270"/>
      <c r="G1120" s="268"/>
      <c r="H1120" s="268"/>
      <c r="I1120" s="268"/>
      <c r="J1120" s="273"/>
      <c r="K1120" s="268"/>
      <c r="L1120" s="268"/>
      <c r="M1120" s="268"/>
      <c r="N1120" s="269"/>
      <c r="O1120" s="547"/>
      <c r="P1120" s="547"/>
    </row>
    <row r="1121" spans="1:16" ht="12.75">
      <c r="A1121" s="271"/>
      <c r="B1121" s="268"/>
      <c r="C1121" s="268"/>
      <c r="D1121" s="268"/>
      <c r="E1121" s="273"/>
      <c r="F1121" s="270"/>
      <c r="G1121" s="268"/>
      <c r="H1121" s="268"/>
      <c r="I1121" s="268"/>
      <c r="J1121" s="273"/>
      <c r="K1121" s="268"/>
      <c r="L1121" s="268"/>
      <c r="M1121" s="268"/>
      <c r="N1121" s="269"/>
      <c r="O1121" s="547"/>
      <c r="P1121" s="547"/>
    </row>
    <row r="1122" spans="1:16" ht="12.75">
      <c r="A1122" s="271"/>
      <c r="B1122" s="268"/>
      <c r="C1122" s="268"/>
      <c r="D1122" s="268"/>
      <c r="E1122" s="273"/>
      <c r="F1122" s="270"/>
      <c r="G1122" s="268"/>
      <c r="H1122" s="268"/>
      <c r="I1122" s="268"/>
      <c r="J1122" s="273"/>
      <c r="K1122" s="268"/>
      <c r="L1122" s="268"/>
      <c r="M1122" s="268"/>
      <c r="N1122" s="269"/>
      <c r="O1122" s="547"/>
      <c r="P1122" s="547"/>
    </row>
    <row r="1123" spans="1:16" ht="12.75">
      <c r="A1123" s="271"/>
      <c r="B1123" s="268"/>
      <c r="C1123" s="268"/>
      <c r="D1123" s="268"/>
      <c r="E1123" s="273"/>
      <c r="F1123" s="270"/>
      <c r="G1123" s="268"/>
      <c r="H1123" s="268"/>
      <c r="I1123" s="268"/>
      <c r="J1123" s="273"/>
      <c r="K1123" s="268"/>
      <c r="L1123" s="268"/>
      <c r="M1123" s="268"/>
      <c r="N1123" s="269"/>
      <c r="O1123" s="547"/>
      <c r="P1123" s="547"/>
    </row>
    <row r="1124" spans="1:16" ht="12.75">
      <c r="A1124" s="271"/>
      <c r="B1124" s="268"/>
      <c r="C1124" s="268"/>
      <c r="D1124" s="268"/>
      <c r="E1124" s="273"/>
      <c r="F1124" s="270"/>
      <c r="G1124" s="268"/>
      <c r="H1124" s="268"/>
      <c r="I1124" s="268"/>
      <c r="J1124" s="273"/>
      <c r="K1124" s="268"/>
      <c r="L1124" s="268"/>
      <c r="M1124" s="268"/>
      <c r="N1124" s="269"/>
      <c r="O1124" s="547"/>
      <c r="P1124" s="547"/>
    </row>
    <row r="1125" spans="1:16" ht="12.75">
      <c r="A1125" s="271"/>
      <c r="B1125" s="268"/>
      <c r="C1125" s="268"/>
      <c r="D1125" s="268"/>
      <c r="E1125" s="273"/>
      <c r="F1125" s="270"/>
      <c r="G1125" s="268"/>
      <c r="H1125" s="268"/>
      <c r="I1125" s="268"/>
      <c r="J1125" s="273"/>
      <c r="K1125" s="268"/>
      <c r="L1125" s="268"/>
      <c r="M1125" s="268"/>
      <c r="N1125" s="269"/>
      <c r="O1125" s="547"/>
      <c r="P1125" s="547"/>
    </row>
    <row r="1126" spans="1:16" ht="12.75">
      <c r="A1126" s="271"/>
      <c r="B1126" s="268"/>
      <c r="C1126" s="268"/>
      <c r="D1126" s="268"/>
      <c r="E1126" s="273"/>
      <c r="F1126" s="270"/>
      <c r="G1126" s="268"/>
      <c r="H1126" s="268"/>
      <c r="I1126" s="268"/>
      <c r="J1126" s="273"/>
      <c r="K1126" s="268"/>
      <c r="L1126" s="268"/>
      <c r="M1126" s="268"/>
      <c r="N1126" s="269"/>
      <c r="O1126" s="547"/>
      <c r="P1126" s="547"/>
    </row>
    <row r="1127" spans="1:16" ht="12.75">
      <c r="A1127" s="271"/>
      <c r="B1127" s="268"/>
      <c r="C1127" s="268"/>
      <c r="D1127" s="268"/>
      <c r="E1127" s="273"/>
      <c r="F1127" s="270"/>
      <c r="G1127" s="268"/>
      <c r="H1127" s="268"/>
      <c r="I1127" s="268"/>
      <c r="J1127" s="273"/>
      <c r="K1127" s="268"/>
      <c r="L1127" s="268"/>
      <c r="M1127" s="268"/>
      <c r="N1127" s="269"/>
      <c r="O1127" s="547"/>
      <c r="P1127" s="547"/>
    </row>
    <row r="1128" spans="1:16" ht="12.75">
      <c r="A1128" s="271"/>
      <c r="B1128" s="268"/>
      <c r="C1128" s="268"/>
      <c r="D1128" s="268"/>
      <c r="E1128" s="273"/>
      <c r="F1128" s="270"/>
      <c r="G1128" s="268"/>
      <c r="H1128" s="268"/>
      <c r="I1128" s="268"/>
      <c r="J1128" s="273"/>
      <c r="K1128" s="268"/>
      <c r="L1128" s="268"/>
      <c r="M1128" s="268"/>
      <c r="N1128" s="269"/>
      <c r="O1128" s="547"/>
      <c r="P1128" s="547"/>
    </row>
    <row r="1129" spans="1:16" ht="12.75">
      <c r="A1129" s="271"/>
      <c r="B1129" s="268"/>
      <c r="C1129" s="268"/>
      <c r="D1129" s="268"/>
      <c r="E1129" s="273"/>
      <c r="F1129" s="270"/>
      <c r="G1129" s="268"/>
      <c r="H1129" s="268"/>
      <c r="I1129" s="268"/>
      <c r="J1129" s="273"/>
      <c r="K1129" s="268"/>
      <c r="L1129" s="268"/>
      <c r="M1129" s="268"/>
      <c r="N1129" s="269"/>
      <c r="O1129" s="547"/>
      <c r="P1129" s="547"/>
    </row>
    <row r="1130" spans="1:16" ht="12.75">
      <c r="A1130" s="271"/>
      <c r="B1130" s="268"/>
      <c r="C1130" s="268"/>
      <c r="D1130" s="268"/>
      <c r="E1130" s="273"/>
      <c r="F1130" s="270"/>
      <c r="G1130" s="268"/>
      <c r="H1130" s="268"/>
      <c r="I1130" s="268"/>
      <c r="J1130" s="273"/>
      <c r="K1130" s="268"/>
      <c r="L1130" s="268"/>
      <c r="M1130" s="268"/>
      <c r="N1130" s="269"/>
      <c r="O1130" s="547"/>
      <c r="P1130" s="547"/>
    </row>
    <row r="1131" spans="1:16" ht="12.75">
      <c r="A1131" s="271"/>
      <c r="B1131" s="268"/>
      <c r="C1131" s="268"/>
      <c r="D1131" s="268"/>
      <c r="E1131" s="273"/>
      <c r="F1131" s="270"/>
      <c r="G1131" s="268"/>
      <c r="H1131" s="268"/>
      <c r="I1131" s="268"/>
      <c r="J1131" s="273"/>
      <c r="K1131" s="268"/>
      <c r="L1131" s="268"/>
      <c r="M1131" s="268"/>
      <c r="N1131" s="269"/>
      <c r="O1131" s="547"/>
      <c r="P1131" s="547"/>
    </row>
    <row r="1132" spans="1:16" ht="12.75">
      <c r="A1132" s="271"/>
      <c r="B1132" s="268"/>
      <c r="C1132" s="268"/>
      <c r="D1132" s="268"/>
      <c r="E1132" s="273"/>
      <c r="F1132" s="270"/>
      <c r="G1132" s="268"/>
      <c r="H1132" s="268"/>
      <c r="I1132" s="268"/>
      <c r="J1132" s="273"/>
      <c r="K1132" s="268"/>
      <c r="L1132" s="268"/>
      <c r="M1132" s="268"/>
      <c r="N1132" s="269"/>
      <c r="O1132" s="547"/>
      <c r="P1132" s="547"/>
    </row>
    <row r="1133" spans="1:16" ht="12.75">
      <c r="A1133" s="271"/>
      <c r="B1133" s="268"/>
      <c r="C1133" s="268"/>
      <c r="D1133" s="268"/>
      <c r="E1133" s="273"/>
      <c r="F1133" s="270"/>
      <c r="G1133" s="268"/>
      <c r="H1133" s="268"/>
      <c r="I1133" s="268"/>
      <c r="J1133" s="273"/>
      <c r="K1133" s="268"/>
      <c r="L1133" s="268"/>
      <c r="M1133" s="268"/>
      <c r="N1133" s="269"/>
      <c r="O1133" s="547"/>
      <c r="P1133" s="547"/>
    </row>
    <row r="1134" spans="1:16" ht="12.75">
      <c r="A1134" s="271"/>
      <c r="B1134" s="268"/>
      <c r="C1134" s="268"/>
      <c r="D1134" s="268"/>
      <c r="E1134" s="273"/>
      <c r="F1134" s="270"/>
      <c r="G1134" s="268"/>
      <c r="H1134" s="268"/>
      <c r="I1134" s="268"/>
      <c r="J1134" s="273"/>
      <c r="K1134" s="268"/>
      <c r="L1134" s="268"/>
      <c r="M1134" s="268"/>
      <c r="N1134" s="269"/>
      <c r="O1134" s="547"/>
      <c r="P1134" s="547"/>
    </row>
    <row r="1135" spans="1:16" ht="12.75">
      <c r="A1135" s="271"/>
      <c r="B1135" s="268"/>
      <c r="C1135" s="268"/>
      <c r="D1135" s="268"/>
      <c r="E1135" s="273"/>
      <c r="F1135" s="270"/>
      <c r="G1135" s="268"/>
      <c r="H1135" s="268"/>
      <c r="I1135" s="268"/>
      <c r="J1135" s="273"/>
      <c r="K1135" s="268"/>
      <c r="L1135" s="268"/>
      <c r="M1135" s="268"/>
      <c r="N1135" s="269"/>
      <c r="O1135" s="547"/>
      <c r="P1135" s="547"/>
    </row>
    <row r="1136" spans="1:16" ht="12.75">
      <c r="A1136" s="271"/>
      <c r="B1136" s="268"/>
      <c r="C1136" s="268"/>
      <c r="D1136" s="268"/>
      <c r="E1136" s="273"/>
      <c r="F1136" s="270"/>
      <c r="G1136" s="268"/>
      <c r="H1136" s="268"/>
      <c r="I1136" s="268"/>
      <c r="J1136" s="273"/>
      <c r="K1136" s="268"/>
      <c r="L1136" s="268"/>
      <c r="M1136" s="268"/>
      <c r="N1136" s="269"/>
      <c r="O1136" s="547"/>
      <c r="P1136" s="547"/>
    </row>
    <row r="1137" spans="1:16" ht="12.75">
      <c r="A1137" s="271"/>
      <c r="B1137" s="268"/>
      <c r="C1137" s="268"/>
      <c r="D1137" s="268"/>
      <c r="E1137" s="273"/>
      <c r="F1137" s="270"/>
      <c r="G1137" s="268"/>
      <c r="H1137" s="268"/>
      <c r="I1137" s="268"/>
      <c r="J1137" s="273"/>
      <c r="K1137" s="268"/>
      <c r="L1137" s="268"/>
      <c r="M1137" s="268"/>
      <c r="N1137" s="269"/>
      <c r="O1137" s="547"/>
      <c r="P1137" s="547"/>
    </row>
    <row r="1138" spans="1:16" ht="12.75">
      <c r="A1138" s="271"/>
      <c r="B1138" s="268"/>
      <c r="C1138" s="268"/>
      <c r="D1138" s="268"/>
      <c r="E1138" s="273"/>
      <c r="F1138" s="270"/>
      <c r="G1138" s="268"/>
      <c r="H1138" s="268"/>
      <c r="I1138" s="268"/>
      <c r="J1138" s="273"/>
      <c r="K1138" s="268"/>
      <c r="L1138" s="268"/>
      <c r="M1138" s="268"/>
      <c r="N1138" s="269"/>
      <c r="O1138" s="547"/>
      <c r="P1138" s="547"/>
    </row>
    <row r="1139" spans="1:16" ht="12.75">
      <c r="A1139" s="271"/>
      <c r="B1139" s="268"/>
      <c r="C1139" s="268"/>
      <c r="D1139" s="268"/>
      <c r="E1139" s="273"/>
      <c r="F1139" s="270"/>
      <c r="G1139" s="268"/>
      <c r="H1139" s="268"/>
      <c r="I1139" s="268"/>
      <c r="J1139" s="273"/>
      <c r="K1139" s="268"/>
      <c r="L1139" s="268"/>
      <c r="M1139" s="268"/>
      <c r="N1139" s="269"/>
      <c r="O1139" s="547"/>
      <c r="P1139" s="547"/>
    </row>
    <row r="1140" spans="1:16" ht="12.75">
      <c r="A1140" s="271"/>
      <c r="B1140" s="268"/>
      <c r="C1140" s="268"/>
      <c r="D1140" s="268"/>
      <c r="E1140" s="273"/>
      <c r="F1140" s="270"/>
      <c r="G1140" s="268"/>
      <c r="H1140" s="268"/>
      <c r="I1140" s="268"/>
      <c r="J1140" s="273"/>
      <c r="K1140" s="268"/>
      <c r="L1140" s="268"/>
      <c r="M1140" s="268"/>
      <c r="N1140" s="269"/>
      <c r="O1140" s="547"/>
      <c r="P1140" s="547"/>
    </row>
    <row r="1141" spans="1:16" ht="12.75">
      <c r="A1141" s="271"/>
      <c r="B1141" s="268"/>
      <c r="C1141" s="268"/>
      <c r="D1141" s="268"/>
      <c r="E1141" s="273"/>
      <c r="F1141" s="270"/>
      <c r="G1141" s="268"/>
      <c r="H1141" s="268"/>
      <c r="I1141" s="268"/>
      <c r="J1141" s="273"/>
      <c r="K1141" s="268"/>
      <c r="L1141" s="268"/>
      <c r="M1141" s="268"/>
      <c r="N1141" s="269"/>
      <c r="O1141" s="547"/>
      <c r="P1141" s="547"/>
    </row>
    <row r="1142" spans="1:16" ht="12.75">
      <c r="A1142" s="271"/>
      <c r="B1142" s="268"/>
      <c r="C1142" s="268"/>
      <c r="D1142" s="268"/>
      <c r="E1142" s="273"/>
      <c r="F1142" s="270"/>
      <c r="G1142" s="268"/>
      <c r="H1142" s="268"/>
      <c r="I1142" s="268"/>
      <c r="J1142" s="273"/>
      <c r="K1142" s="268"/>
      <c r="L1142" s="268"/>
      <c r="M1142" s="268"/>
      <c r="N1142" s="269"/>
      <c r="O1142" s="547"/>
      <c r="P1142" s="547"/>
    </row>
    <row r="1143" spans="1:16" ht="12.75">
      <c r="A1143" s="271"/>
      <c r="B1143" s="268"/>
      <c r="C1143" s="268"/>
      <c r="D1143" s="268"/>
      <c r="E1143" s="273"/>
      <c r="F1143" s="270"/>
      <c r="G1143" s="268"/>
      <c r="H1143" s="268"/>
      <c r="I1143" s="268"/>
      <c r="J1143" s="273"/>
      <c r="K1143" s="268"/>
      <c r="L1143" s="268"/>
      <c r="M1143" s="268"/>
      <c r="N1143" s="269"/>
      <c r="O1143" s="547"/>
      <c r="P1143" s="547"/>
    </row>
    <row r="1144" spans="1:16" ht="12.75">
      <c r="A1144" s="271"/>
      <c r="B1144" s="268"/>
      <c r="C1144" s="268"/>
      <c r="D1144" s="268"/>
      <c r="E1144" s="273"/>
      <c r="F1144" s="270"/>
      <c r="G1144" s="268"/>
      <c r="H1144" s="268"/>
      <c r="I1144" s="268"/>
      <c r="J1144" s="273"/>
      <c r="K1144" s="268"/>
      <c r="L1144" s="268"/>
      <c r="M1144" s="268"/>
      <c r="N1144" s="269"/>
      <c r="O1144" s="547"/>
      <c r="P1144" s="547"/>
    </row>
    <row r="1145" spans="1:16" ht="12.75">
      <c r="A1145" s="271"/>
      <c r="B1145" s="268"/>
      <c r="C1145" s="268"/>
      <c r="D1145" s="268"/>
      <c r="E1145" s="273"/>
      <c r="F1145" s="270"/>
      <c r="G1145" s="268"/>
      <c r="H1145" s="268"/>
      <c r="I1145" s="268"/>
      <c r="J1145" s="273"/>
      <c r="K1145" s="268"/>
      <c r="L1145" s="268"/>
      <c r="M1145" s="268"/>
      <c r="N1145" s="269"/>
      <c r="O1145" s="547"/>
      <c r="P1145" s="547"/>
    </row>
    <row r="1146" spans="1:16" ht="12.75">
      <c r="A1146" s="271"/>
      <c r="B1146" s="268"/>
      <c r="C1146" s="268"/>
      <c r="D1146" s="268"/>
      <c r="E1146" s="273"/>
      <c r="F1146" s="270"/>
      <c r="G1146" s="268"/>
      <c r="H1146" s="268"/>
      <c r="I1146" s="268"/>
      <c r="J1146" s="273"/>
      <c r="K1146" s="268"/>
      <c r="L1146" s="268"/>
      <c r="M1146" s="268"/>
      <c r="N1146" s="269"/>
      <c r="O1146" s="547"/>
      <c r="P1146" s="547"/>
    </row>
    <row r="1147" spans="1:16" ht="12.75">
      <c r="A1147" s="271"/>
      <c r="B1147" s="268"/>
      <c r="C1147" s="268"/>
      <c r="D1147" s="268"/>
      <c r="E1147" s="273"/>
      <c r="F1147" s="270"/>
      <c r="G1147" s="268"/>
      <c r="H1147" s="268"/>
      <c r="I1147" s="268"/>
      <c r="J1147" s="273"/>
      <c r="K1147" s="268"/>
      <c r="L1147" s="268"/>
      <c r="M1147" s="268"/>
      <c r="N1147" s="269"/>
      <c r="O1147" s="547"/>
      <c r="P1147" s="547"/>
    </row>
    <row r="1148" spans="1:16" ht="12.75">
      <c r="A1148" s="271"/>
      <c r="B1148" s="268"/>
      <c r="C1148" s="268"/>
      <c r="D1148" s="268"/>
      <c r="E1148" s="273"/>
      <c r="F1148" s="270"/>
      <c r="G1148" s="268"/>
      <c r="H1148" s="268"/>
      <c r="I1148" s="268"/>
      <c r="J1148" s="273"/>
      <c r="K1148" s="268"/>
      <c r="L1148" s="268"/>
      <c r="M1148" s="268"/>
      <c r="N1148" s="269"/>
      <c r="O1148" s="547"/>
      <c r="P1148" s="547"/>
    </row>
    <row r="1149" spans="1:16" ht="12.75">
      <c r="A1149" s="271"/>
      <c r="B1149" s="268"/>
      <c r="C1149" s="268"/>
      <c r="D1149" s="268"/>
      <c r="E1149" s="273"/>
      <c r="F1149" s="270"/>
      <c r="G1149" s="268"/>
      <c r="H1149" s="268"/>
      <c r="I1149" s="268"/>
      <c r="J1149" s="273"/>
      <c r="K1149" s="268"/>
      <c r="L1149" s="268"/>
      <c r="M1149" s="268"/>
      <c r="N1149" s="269"/>
      <c r="O1149" s="547"/>
      <c r="P1149" s="547"/>
    </row>
    <row r="1150" spans="1:16" ht="12.75">
      <c r="A1150" s="271"/>
      <c r="B1150" s="268"/>
      <c r="C1150" s="268"/>
      <c r="D1150" s="268"/>
      <c r="E1150" s="273"/>
      <c r="F1150" s="270"/>
      <c r="G1150" s="268"/>
      <c r="H1150" s="268"/>
      <c r="I1150" s="268"/>
      <c r="J1150" s="273"/>
      <c r="K1150" s="268"/>
      <c r="L1150" s="268"/>
      <c r="M1150" s="268"/>
      <c r="N1150" s="269"/>
      <c r="O1150" s="547"/>
      <c r="P1150" s="547"/>
    </row>
    <row r="1151" spans="1:16" ht="12.75">
      <c r="A1151" s="271"/>
      <c r="B1151" s="268"/>
      <c r="C1151" s="268"/>
      <c r="D1151" s="268"/>
      <c r="E1151" s="273"/>
      <c r="F1151" s="270"/>
      <c r="G1151" s="268"/>
      <c r="H1151" s="268"/>
      <c r="I1151" s="268"/>
      <c r="J1151" s="273"/>
      <c r="K1151" s="268"/>
      <c r="L1151" s="268"/>
      <c r="M1151" s="268"/>
      <c r="N1151" s="269"/>
      <c r="O1151" s="547"/>
      <c r="P1151" s="547"/>
    </row>
    <row r="1152" spans="1:16" ht="12.75">
      <c r="A1152" s="271"/>
      <c r="B1152" s="268"/>
      <c r="C1152" s="268"/>
      <c r="D1152" s="268"/>
      <c r="E1152" s="273"/>
      <c r="F1152" s="270"/>
      <c r="G1152" s="268"/>
      <c r="H1152" s="268"/>
      <c r="I1152" s="268"/>
      <c r="J1152" s="273"/>
      <c r="K1152" s="268"/>
      <c r="L1152" s="268"/>
      <c r="M1152" s="268"/>
      <c r="N1152" s="269"/>
      <c r="O1152" s="547"/>
      <c r="P1152" s="547"/>
    </row>
    <row r="1153" spans="1:16" ht="12.75">
      <c r="A1153" s="271"/>
      <c r="B1153" s="268"/>
      <c r="C1153" s="268"/>
      <c r="D1153" s="268"/>
      <c r="E1153" s="273"/>
      <c r="F1153" s="270"/>
      <c r="G1153" s="268"/>
      <c r="H1153" s="268"/>
      <c r="I1153" s="268"/>
      <c r="J1153" s="273"/>
      <c r="K1153" s="268"/>
      <c r="L1153" s="268"/>
      <c r="M1153" s="268"/>
      <c r="N1153" s="269"/>
      <c r="O1153" s="547"/>
      <c r="P1153" s="547"/>
    </row>
    <row r="1154" spans="1:16" ht="12.75">
      <c r="A1154" s="271"/>
      <c r="B1154" s="268"/>
      <c r="C1154" s="268"/>
      <c r="D1154" s="268"/>
      <c r="E1154" s="273"/>
      <c r="F1154" s="270"/>
      <c r="G1154" s="268"/>
      <c r="H1154" s="268"/>
      <c r="I1154" s="268"/>
      <c r="J1154" s="273"/>
      <c r="K1154" s="268"/>
      <c r="L1154" s="268"/>
      <c r="M1154" s="268"/>
      <c r="N1154" s="269"/>
      <c r="O1154" s="547"/>
      <c r="P1154" s="547"/>
    </row>
    <row r="1155" spans="1:16" ht="12.75">
      <c r="A1155" s="271"/>
      <c r="B1155" s="268"/>
      <c r="C1155" s="268"/>
      <c r="D1155" s="268"/>
      <c r="E1155" s="273"/>
      <c r="F1155" s="270"/>
      <c r="G1155" s="268"/>
      <c r="H1155" s="268"/>
      <c r="I1155" s="268"/>
      <c r="J1155" s="273"/>
      <c r="K1155" s="268"/>
      <c r="L1155" s="268"/>
      <c r="M1155" s="268"/>
      <c r="N1155" s="269"/>
      <c r="O1155" s="547"/>
      <c r="P1155" s="547"/>
    </row>
    <row r="1156" spans="1:16" ht="12.75">
      <c r="A1156" s="271"/>
      <c r="B1156" s="268"/>
      <c r="C1156" s="268"/>
      <c r="D1156" s="268"/>
      <c r="E1156" s="273"/>
      <c r="F1156" s="270"/>
      <c r="G1156" s="268"/>
      <c r="H1156" s="268"/>
      <c r="I1156" s="268"/>
      <c r="J1156" s="273"/>
      <c r="K1156" s="268"/>
      <c r="L1156" s="268"/>
      <c r="M1156" s="268"/>
      <c r="N1156" s="269"/>
      <c r="O1156" s="547"/>
      <c r="P1156" s="547"/>
    </row>
    <row r="1157" spans="1:16" ht="12.75">
      <c r="A1157" s="271"/>
      <c r="B1157" s="268"/>
      <c r="C1157" s="268"/>
      <c r="D1157" s="268"/>
      <c r="E1157" s="273"/>
      <c r="F1157" s="270"/>
      <c r="G1157" s="268"/>
      <c r="H1157" s="268"/>
      <c r="I1157" s="268"/>
      <c r="J1157" s="273"/>
      <c r="K1157" s="268"/>
      <c r="L1157" s="268"/>
      <c r="M1157" s="268"/>
      <c r="N1157" s="269"/>
      <c r="O1157" s="547"/>
      <c r="P1157" s="547"/>
    </row>
    <row r="1158" spans="1:16" ht="12.75">
      <c r="A1158" s="271"/>
      <c r="B1158" s="268"/>
      <c r="C1158" s="268"/>
      <c r="D1158" s="268"/>
      <c r="E1158" s="273"/>
      <c r="F1158" s="270"/>
      <c r="G1158" s="268"/>
      <c r="H1158" s="268"/>
      <c r="I1158" s="268"/>
      <c r="J1158" s="273"/>
      <c r="K1158" s="268"/>
      <c r="L1158" s="268"/>
      <c r="M1158" s="268"/>
      <c r="N1158" s="269"/>
      <c r="O1158" s="547"/>
      <c r="P1158" s="547"/>
    </row>
    <row r="1159" spans="1:16" ht="12.75">
      <c r="A1159" s="271"/>
      <c r="B1159" s="268"/>
      <c r="C1159" s="268"/>
      <c r="D1159" s="268"/>
      <c r="E1159" s="273"/>
      <c r="F1159" s="270"/>
      <c r="G1159" s="268"/>
      <c r="H1159" s="268"/>
      <c r="I1159" s="268"/>
      <c r="J1159" s="273"/>
      <c r="K1159" s="268"/>
      <c r="L1159" s="268"/>
      <c r="M1159" s="268"/>
      <c r="N1159" s="269"/>
      <c r="O1159" s="547"/>
      <c r="P1159" s="547"/>
    </row>
    <row r="1160" spans="1:16" ht="12.75">
      <c r="A1160" s="271"/>
      <c r="B1160" s="268"/>
      <c r="C1160" s="268"/>
      <c r="D1160" s="268"/>
      <c r="E1160" s="273"/>
      <c r="F1160" s="270"/>
      <c r="G1160" s="268"/>
      <c r="H1160" s="268"/>
      <c r="I1160" s="268"/>
      <c r="J1160" s="273"/>
      <c r="K1160" s="268"/>
      <c r="L1160" s="268"/>
      <c r="M1160" s="268"/>
      <c r="N1160" s="269"/>
      <c r="O1160" s="547"/>
      <c r="P1160" s="547"/>
    </row>
    <row r="1161" spans="1:16" ht="12.75">
      <c r="A1161" s="271"/>
      <c r="B1161" s="268"/>
      <c r="C1161" s="268"/>
      <c r="D1161" s="268"/>
      <c r="E1161" s="273"/>
      <c r="F1161" s="270"/>
      <c r="G1161" s="268"/>
      <c r="H1161" s="268"/>
      <c r="I1161" s="268"/>
      <c r="J1161" s="273"/>
      <c r="K1161" s="268"/>
      <c r="L1161" s="268"/>
      <c r="M1161" s="268"/>
      <c r="N1161" s="269"/>
      <c r="O1161" s="547"/>
      <c r="P1161" s="547"/>
    </row>
    <row r="1162" spans="1:16" ht="12.75">
      <c r="A1162" s="271"/>
      <c r="B1162" s="268"/>
      <c r="C1162" s="268"/>
      <c r="D1162" s="268"/>
      <c r="E1162" s="273"/>
      <c r="F1162" s="270"/>
      <c r="G1162" s="268"/>
      <c r="H1162" s="268"/>
      <c r="I1162" s="268"/>
      <c r="J1162" s="273"/>
      <c r="K1162" s="268"/>
      <c r="L1162" s="268"/>
      <c r="M1162" s="268"/>
      <c r="N1162" s="269"/>
      <c r="O1162" s="547"/>
      <c r="P1162" s="547"/>
    </row>
    <row r="1163" spans="1:16" ht="12.75">
      <c r="A1163" s="271"/>
      <c r="B1163" s="268"/>
      <c r="C1163" s="268"/>
      <c r="D1163" s="268"/>
      <c r="E1163" s="273"/>
      <c r="F1163" s="270"/>
      <c r="G1163" s="268"/>
      <c r="H1163" s="268"/>
      <c r="I1163" s="268"/>
      <c r="J1163" s="273"/>
      <c r="K1163" s="268"/>
      <c r="L1163" s="268"/>
      <c r="M1163" s="268"/>
      <c r="N1163" s="269"/>
      <c r="O1163" s="547"/>
      <c r="P1163" s="547"/>
    </row>
    <row r="1164" spans="1:16" ht="12.75">
      <c r="A1164" s="271"/>
      <c r="B1164" s="268"/>
      <c r="C1164" s="268"/>
      <c r="D1164" s="268"/>
      <c r="E1164" s="273"/>
      <c r="F1164" s="270"/>
      <c r="G1164" s="268"/>
      <c r="H1164" s="268"/>
      <c r="I1164" s="268"/>
      <c r="J1164" s="273"/>
      <c r="K1164" s="268"/>
      <c r="L1164" s="268"/>
      <c r="M1164" s="268"/>
      <c r="N1164" s="269"/>
      <c r="O1164" s="547"/>
      <c r="P1164" s="547"/>
    </row>
    <row r="1165" spans="1:16" ht="12.75">
      <c r="A1165" s="271"/>
      <c r="B1165" s="268"/>
      <c r="C1165" s="268"/>
      <c r="D1165" s="268"/>
      <c r="E1165" s="273"/>
      <c r="F1165" s="270"/>
      <c r="G1165" s="268"/>
      <c r="H1165" s="268"/>
      <c r="I1165" s="268"/>
      <c r="J1165" s="273"/>
      <c r="K1165" s="268"/>
      <c r="L1165" s="268"/>
      <c r="M1165" s="268"/>
      <c r="N1165" s="269"/>
      <c r="O1165" s="547"/>
      <c r="P1165" s="547"/>
    </row>
    <row r="1166" spans="1:16" ht="12.75">
      <c r="A1166" s="271"/>
      <c r="B1166" s="268"/>
      <c r="C1166" s="268"/>
      <c r="D1166" s="268"/>
      <c r="E1166" s="273"/>
      <c r="F1166" s="270"/>
      <c r="G1166" s="268"/>
      <c r="H1166" s="268"/>
      <c r="I1166" s="268"/>
      <c r="J1166" s="273"/>
      <c r="K1166" s="268"/>
      <c r="L1166" s="268"/>
      <c r="M1166" s="268"/>
      <c r="N1166" s="269"/>
      <c r="O1166" s="547"/>
      <c r="P1166" s="547"/>
    </row>
    <row r="1167" spans="1:16" ht="12.75">
      <c r="A1167" s="271"/>
      <c r="B1167" s="268"/>
      <c r="C1167" s="268"/>
      <c r="D1167" s="268"/>
      <c r="E1167" s="273"/>
      <c r="F1167" s="270"/>
      <c r="G1167" s="268"/>
      <c r="H1167" s="268"/>
      <c r="I1167" s="268"/>
      <c r="J1167" s="273"/>
      <c r="K1167" s="268"/>
      <c r="L1167" s="268"/>
      <c r="M1167" s="268"/>
      <c r="N1167" s="269"/>
      <c r="O1167" s="547"/>
      <c r="P1167" s="547"/>
    </row>
    <row r="1168" spans="1:16" ht="12.75">
      <c r="A1168" s="271"/>
      <c r="B1168" s="268"/>
      <c r="C1168" s="268"/>
      <c r="D1168" s="268"/>
      <c r="E1168" s="273"/>
      <c r="F1168" s="270"/>
      <c r="G1168" s="268"/>
      <c r="H1168" s="268"/>
      <c r="I1168" s="268"/>
      <c r="J1168" s="273"/>
      <c r="K1168" s="268"/>
      <c r="L1168" s="268"/>
      <c r="M1168" s="268"/>
      <c r="N1168" s="269"/>
      <c r="O1168" s="547"/>
      <c r="P1168" s="547"/>
    </row>
    <row r="1169" spans="1:16" ht="12.75">
      <c r="A1169" s="271"/>
      <c r="B1169" s="268"/>
      <c r="C1169" s="268"/>
      <c r="D1169" s="268"/>
      <c r="E1169" s="273"/>
      <c r="F1169" s="270"/>
      <c r="G1169" s="268"/>
      <c r="H1169" s="268"/>
      <c r="I1169" s="268"/>
      <c r="J1169" s="273"/>
      <c r="K1169" s="268"/>
      <c r="L1169" s="268"/>
      <c r="M1169" s="268"/>
      <c r="N1169" s="269"/>
      <c r="O1169" s="547"/>
      <c r="P1169" s="547"/>
    </row>
    <row r="1170" spans="1:16" ht="12.75">
      <c r="A1170" s="271"/>
      <c r="B1170" s="268"/>
      <c r="C1170" s="268"/>
      <c r="D1170" s="268"/>
      <c r="E1170" s="273"/>
      <c r="F1170" s="270"/>
      <c r="G1170" s="268"/>
      <c r="H1170" s="268"/>
      <c r="I1170" s="268"/>
      <c r="J1170" s="273"/>
      <c r="K1170" s="268"/>
      <c r="L1170" s="268"/>
      <c r="M1170" s="268"/>
      <c r="N1170" s="269"/>
      <c r="O1170" s="547"/>
      <c r="P1170" s="547"/>
    </row>
    <row r="1171" spans="1:16" ht="12.75">
      <c r="A1171" s="271"/>
      <c r="B1171" s="268"/>
      <c r="C1171" s="268"/>
      <c r="D1171" s="268"/>
      <c r="E1171" s="273"/>
      <c r="F1171" s="270"/>
      <c r="G1171" s="268"/>
      <c r="H1171" s="268"/>
      <c r="I1171" s="268"/>
      <c r="J1171" s="273"/>
      <c r="K1171" s="268"/>
      <c r="L1171" s="268"/>
      <c r="M1171" s="268"/>
      <c r="N1171" s="269"/>
      <c r="O1171" s="547"/>
      <c r="P1171" s="547"/>
    </row>
    <row r="1172" spans="1:16" ht="12.75">
      <c r="A1172" s="271"/>
      <c r="B1172" s="268"/>
      <c r="C1172" s="268"/>
      <c r="D1172" s="268"/>
      <c r="E1172" s="273"/>
      <c r="F1172" s="270"/>
      <c r="G1172" s="268"/>
      <c r="H1172" s="268"/>
      <c r="I1172" s="268"/>
      <c r="J1172" s="273"/>
      <c r="K1172" s="268"/>
      <c r="L1172" s="268"/>
      <c r="M1172" s="268"/>
      <c r="N1172" s="269"/>
      <c r="O1172" s="547"/>
      <c r="P1172" s="547"/>
    </row>
    <row r="1173" spans="1:16" ht="12.75">
      <c r="A1173" s="271"/>
      <c r="B1173" s="268"/>
      <c r="C1173" s="268"/>
      <c r="D1173" s="268"/>
      <c r="E1173" s="273"/>
      <c r="F1173" s="270"/>
      <c r="G1173" s="268"/>
      <c r="H1173" s="268"/>
      <c r="I1173" s="268"/>
      <c r="J1173" s="273"/>
      <c r="K1173" s="268"/>
      <c r="L1173" s="268"/>
      <c r="M1173" s="268"/>
      <c r="N1173" s="269"/>
      <c r="O1173" s="547"/>
      <c r="P1173" s="547"/>
    </row>
    <row r="1174" spans="1:16" ht="12.75">
      <c r="A1174" s="271"/>
      <c r="B1174" s="268"/>
      <c r="C1174" s="268"/>
      <c r="D1174" s="268"/>
      <c r="E1174" s="273"/>
      <c r="F1174" s="270"/>
      <c r="G1174" s="268"/>
      <c r="H1174" s="268"/>
      <c r="I1174" s="268"/>
      <c r="J1174" s="273"/>
      <c r="K1174" s="268"/>
      <c r="L1174" s="268"/>
      <c r="M1174" s="268"/>
      <c r="N1174" s="269"/>
      <c r="O1174" s="547"/>
      <c r="P1174" s="547"/>
    </row>
    <row r="1175" spans="1:16" ht="12.75">
      <c r="A1175" s="271"/>
      <c r="B1175" s="268"/>
      <c r="C1175" s="268"/>
      <c r="D1175" s="268"/>
      <c r="E1175" s="273"/>
      <c r="F1175" s="270"/>
      <c r="G1175" s="268"/>
      <c r="H1175" s="268"/>
      <c r="I1175" s="268"/>
      <c r="J1175" s="273"/>
      <c r="K1175" s="268"/>
      <c r="L1175" s="268"/>
      <c r="M1175" s="268"/>
      <c r="N1175" s="269"/>
      <c r="O1175" s="547"/>
      <c r="P1175" s="547"/>
    </row>
    <row r="1176" spans="1:16" ht="12.75">
      <c r="A1176" s="271"/>
      <c r="B1176" s="268"/>
      <c r="C1176" s="268"/>
      <c r="D1176" s="268"/>
      <c r="E1176" s="273"/>
      <c r="F1176" s="270"/>
      <c r="G1176" s="268"/>
      <c r="H1176" s="268"/>
      <c r="I1176" s="268"/>
      <c r="J1176" s="273"/>
      <c r="K1176" s="268"/>
      <c r="L1176" s="268"/>
      <c r="M1176" s="268"/>
      <c r="N1176" s="269"/>
      <c r="O1176" s="547"/>
      <c r="P1176" s="547"/>
    </row>
    <row r="1177" spans="1:16" ht="12.75">
      <c r="A1177" s="271"/>
      <c r="B1177" s="268"/>
      <c r="C1177" s="268"/>
      <c r="D1177" s="268"/>
      <c r="E1177" s="273"/>
      <c r="F1177" s="270"/>
      <c r="G1177" s="268"/>
      <c r="H1177" s="268"/>
      <c r="I1177" s="268"/>
      <c r="J1177" s="273"/>
      <c r="K1177" s="268"/>
      <c r="L1177" s="268"/>
      <c r="M1177" s="268"/>
      <c r="N1177" s="269"/>
      <c r="O1177" s="547"/>
      <c r="P1177" s="547"/>
    </row>
    <row r="1178" spans="1:16" ht="12.75">
      <c r="A1178" s="271"/>
      <c r="B1178" s="268"/>
      <c r="C1178" s="268"/>
      <c r="D1178" s="268"/>
      <c r="E1178" s="273"/>
      <c r="F1178" s="270"/>
      <c r="G1178" s="268"/>
      <c r="H1178" s="268"/>
      <c r="I1178" s="268"/>
      <c r="J1178" s="273"/>
      <c r="K1178" s="268"/>
      <c r="L1178" s="268"/>
      <c r="M1178" s="268"/>
      <c r="N1178" s="269"/>
      <c r="O1178" s="547"/>
      <c r="P1178" s="547"/>
    </row>
    <row r="1179" spans="1:16" ht="12.75">
      <c r="A1179" s="271"/>
      <c r="B1179" s="268"/>
      <c r="C1179" s="268"/>
      <c r="D1179" s="268"/>
      <c r="E1179" s="273"/>
      <c r="F1179" s="270"/>
      <c r="G1179" s="268"/>
      <c r="H1179" s="268"/>
      <c r="I1179" s="268"/>
      <c r="J1179" s="273"/>
      <c r="K1179" s="268"/>
      <c r="L1179" s="268"/>
      <c r="M1179" s="268"/>
      <c r="N1179" s="269"/>
      <c r="O1179" s="547"/>
      <c r="P1179" s="547"/>
    </row>
    <row r="1180" spans="1:16" ht="12.75">
      <c r="A1180" s="271"/>
      <c r="B1180" s="268"/>
      <c r="C1180" s="268"/>
      <c r="D1180" s="268"/>
      <c r="E1180" s="273"/>
      <c r="F1180" s="270"/>
      <c r="G1180" s="268"/>
      <c r="H1180" s="268"/>
      <c r="I1180" s="268"/>
      <c r="J1180" s="273"/>
      <c r="K1180" s="268"/>
      <c r="L1180" s="268"/>
      <c r="M1180" s="268"/>
      <c r="N1180" s="269"/>
      <c r="O1180" s="547"/>
      <c r="P1180" s="547"/>
    </row>
    <row r="1181" spans="1:16" ht="12.75">
      <c r="A1181" s="271"/>
      <c r="B1181" s="268"/>
      <c r="C1181" s="268"/>
      <c r="D1181" s="268"/>
      <c r="E1181" s="273"/>
      <c r="F1181" s="270"/>
      <c r="G1181" s="268"/>
      <c r="H1181" s="268"/>
      <c r="I1181" s="268"/>
      <c r="J1181" s="273"/>
      <c r="K1181" s="268"/>
      <c r="L1181" s="268"/>
      <c r="M1181" s="268"/>
      <c r="N1181" s="269"/>
      <c r="O1181" s="547"/>
      <c r="P1181" s="547"/>
    </row>
    <row r="1182" spans="1:16" ht="12.75">
      <c r="A1182" s="271"/>
      <c r="B1182" s="268"/>
      <c r="C1182" s="268"/>
      <c r="D1182" s="268"/>
      <c r="E1182" s="273"/>
      <c r="F1182" s="270"/>
      <c r="G1182" s="268"/>
      <c r="H1182" s="268"/>
      <c r="I1182" s="268"/>
      <c r="J1182" s="273"/>
      <c r="K1182" s="268"/>
      <c r="L1182" s="268"/>
      <c r="M1182" s="268"/>
      <c r="N1182" s="269"/>
      <c r="O1182" s="547"/>
      <c r="P1182" s="547"/>
    </row>
    <row r="1183" spans="1:16" ht="12.75">
      <c r="A1183" s="271"/>
      <c r="B1183" s="268"/>
      <c r="C1183" s="268"/>
      <c r="D1183" s="268"/>
      <c r="E1183" s="273"/>
      <c r="F1183" s="270"/>
      <c r="G1183" s="268"/>
      <c r="H1183" s="268"/>
      <c r="I1183" s="268"/>
      <c r="J1183" s="273"/>
      <c r="K1183" s="268"/>
      <c r="L1183" s="268"/>
      <c r="M1183" s="268"/>
      <c r="N1183" s="269"/>
      <c r="O1183" s="547"/>
      <c r="P1183" s="547"/>
    </row>
    <row r="1184" spans="1:16" ht="12.75">
      <c r="A1184" s="271"/>
      <c r="B1184" s="268"/>
      <c r="C1184" s="268"/>
      <c r="D1184" s="268"/>
      <c r="E1184" s="273"/>
      <c r="F1184" s="270"/>
      <c r="G1184" s="268"/>
      <c r="H1184" s="268"/>
      <c r="I1184" s="268"/>
      <c r="J1184" s="273"/>
      <c r="K1184" s="268"/>
      <c r="L1184" s="268"/>
      <c r="M1184" s="268"/>
      <c r="N1184" s="269"/>
      <c r="O1184" s="547"/>
      <c r="P1184" s="547"/>
    </row>
    <row r="1185" spans="1:16" ht="12.75">
      <c r="A1185" s="271"/>
      <c r="B1185" s="268"/>
      <c r="C1185" s="268"/>
      <c r="D1185" s="268"/>
      <c r="E1185" s="273"/>
      <c r="F1185" s="270"/>
      <c r="G1185" s="268"/>
      <c r="H1185" s="268"/>
      <c r="I1185" s="268"/>
      <c r="J1185" s="273"/>
      <c r="K1185" s="268"/>
      <c r="L1185" s="268"/>
      <c r="M1185" s="268"/>
      <c r="N1185" s="269"/>
      <c r="O1185" s="547"/>
      <c r="P1185" s="547"/>
    </row>
    <row r="1186" spans="1:16" ht="12.75">
      <c r="A1186" s="271"/>
      <c r="B1186" s="268"/>
      <c r="C1186" s="268"/>
      <c r="D1186" s="268"/>
      <c r="E1186" s="273"/>
      <c r="F1186" s="270"/>
      <c r="G1186" s="268"/>
      <c r="H1186" s="268"/>
      <c r="I1186" s="268"/>
      <c r="J1186" s="273"/>
      <c r="K1186" s="268"/>
      <c r="L1186" s="268"/>
      <c r="M1186" s="268"/>
      <c r="N1186" s="269"/>
      <c r="O1186" s="547"/>
      <c r="P1186" s="547"/>
    </row>
    <row r="1187" spans="1:16" ht="12.75">
      <c r="A1187" s="271"/>
      <c r="B1187" s="268"/>
      <c r="C1187" s="268"/>
      <c r="D1187" s="268"/>
      <c r="E1187" s="273"/>
      <c r="F1187" s="270"/>
      <c r="G1187" s="268"/>
      <c r="H1187" s="268"/>
      <c r="I1187" s="268"/>
      <c r="J1187" s="273"/>
      <c r="K1187" s="268"/>
      <c r="L1187" s="268"/>
      <c r="M1187" s="268"/>
      <c r="N1187" s="269"/>
      <c r="O1187" s="547"/>
      <c r="P1187" s="547"/>
    </row>
    <row r="1188" spans="1:16" ht="12.75">
      <c r="A1188" s="271"/>
      <c r="B1188" s="268"/>
      <c r="C1188" s="268"/>
      <c r="D1188" s="268"/>
      <c r="E1188" s="273"/>
      <c r="F1188" s="270"/>
      <c r="G1188" s="268"/>
      <c r="H1188" s="268"/>
      <c r="I1188" s="268"/>
      <c r="J1188" s="273"/>
      <c r="K1188" s="268"/>
      <c r="L1188" s="268"/>
      <c r="M1188" s="268"/>
      <c r="N1188" s="269"/>
      <c r="O1188" s="547"/>
      <c r="P1188" s="547"/>
    </row>
    <row r="1189" spans="1:16" ht="12.75">
      <c r="A1189" s="271"/>
      <c r="B1189" s="268"/>
      <c r="C1189" s="268"/>
      <c r="D1189" s="268"/>
      <c r="E1189" s="273"/>
      <c r="F1189" s="270"/>
      <c r="G1189" s="268"/>
      <c r="H1189" s="268"/>
      <c r="I1189" s="268"/>
      <c r="J1189" s="273"/>
      <c r="K1189" s="268"/>
      <c r="L1189" s="268"/>
      <c r="M1189" s="268"/>
      <c r="N1189" s="269"/>
      <c r="O1189" s="547"/>
      <c r="P1189" s="547"/>
    </row>
    <row r="1190" spans="1:16" ht="12.75">
      <c r="A1190" s="271"/>
      <c r="B1190" s="268"/>
      <c r="C1190" s="268"/>
      <c r="D1190" s="268"/>
      <c r="E1190" s="273"/>
      <c r="F1190" s="270"/>
      <c r="G1190" s="268"/>
      <c r="H1190" s="268"/>
      <c r="I1190" s="268"/>
      <c r="J1190" s="273"/>
      <c r="K1190" s="268"/>
      <c r="L1190" s="268"/>
      <c r="M1190" s="268"/>
      <c r="N1190" s="269"/>
      <c r="O1190" s="547"/>
      <c r="P1190" s="547"/>
    </row>
    <row r="1191" spans="1:16" ht="12.75">
      <c r="A1191" s="271"/>
      <c r="B1191" s="268"/>
      <c r="C1191" s="268"/>
      <c r="D1191" s="268"/>
      <c r="E1191" s="273"/>
      <c r="F1191" s="270"/>
      <c r="G1191" s="268"/>
      <c r="H1191" s="268"/>
      <c r="I1191" s="268"/>
      <c r="J1191" s="273"/>
      <c r="K1191" s="268"/>
      <c r="L1191" s="268"/>
      <c r="M1191" s="268"/>
      <c r="N1191" s="269"/>
      <c r="O1191" s="547"/>
      <c r="P1191" s="547"/>
    </row>
    <row r="1192" spans="1:16" ht="12.75">
      <c r="A1192" s="271"/>
      <c r="B1192" s="268"/>
      <c r="C1192" s="268"/>
      <c r="D1192" s="268"/>
      <c r="E1192" s="273"/>
      <c r="F1192" s="270"/>
      <c r="G1192" s="268"/>
      <c r="H1192" s="268"/>
      <c r="I1192" s="268"/>
      <c r="J1192" s="273"/>
      <c r="K1192" s="268"/>
      <c r="L1192" s="268"/>
      <c r="M1192" s="268"/>
      <c r="N1192" s="269"/>
      <c r="O1192" s="547"/>
      <c r="P1192" s="547"/>
    </row>
    <row r="1193" spans="1:16" ht="12.75">
      <c r="A1193" s="271"/>
      <c r="B1193" s="268"/>
      <c r="C1193" s="268"/>
      <c r="D1193" s="268"/>
      <c r="E1193" s="273"/>
      <c r="F1193" s="270"/>
      <c r="G1193" s="268"/>
      <c r="H1193" s="268"/>
      <c r="I1193" s="268"/>
      <c r="J1193" s="273"/>
      <c r="K1193" s="268"/>
      <c r="L1193" s="268"/>
      <c r="M1193" s="268"/>
      <c r="N1193" s="269"/>
      <c r="O1193" s="547"/>
      <c r="P1193" s="547"/>
    </row>
    <row r="1194" spans="1:16" ht="12.75">
      <c r="A1194" s="271"/>
      <c r="B1194" s="268"/>
      <c r="C1194" s="268"/>
      <c r="D1194" s="268"/>
      <c r="E1194" s="273"/>
      <c r="F1194" s="270"/>
      <c r="G1194" s="268"/>
      <c r="H1194" s="268"/>
      <c r="I1194" s="268"/>
      <c r="J1194" s="273"/>
      <c r="K1194" s="268"/>
      <c r="L1194" s="268"/>
      <c r="M1194" s="268"/>
      <c r="N1194" s="269"/>
      <c r="O1194" s="547"/>
      <c r="P1194" s="547"/>
    </row>
    <row r="1195" spans="1:16" ht="12.75">
      <c r="A1195" s="271"/>
      <c r="B1195" s="268"/>
      <c r="C1195" s="268"/>
      <c r="D1195" s="268"/>
      <c r="E1195" s="273"/>
      <c r="F1195" s="270"/>
      <c r="G1195" s="268"/>
      <c r="H1195" s="268"/>
      <c r="I1195" s="268"/>
      <c r="J1195" s="273"/>
      <c r="K1195" s="268"/>
      <c r="L1195" s="268"/>
      <c r="M1195" s="268"/>
      <c r="N1195" s="269"/>
      <c r="O1195" s="547"/>
      <c r="P1195" s="547"/>
    </row>
    <row r="1196" spans="1:16" ht="12.75">
      <c r="A1196" s="271"/>
      <c r="B1196" s="268"/>
      <c r="C1196" s="268"/>
      <c r="D1196" s="268"/>
      <c r="E1196" s="273"/>
      <c r="F1196" s="270"/>
      <c r="G1196" s="268"/>
      <c r="H1196" s="268"/>
      <c r="I1196" s="268"/>
      <c r="J1196" s="273"/>
      <c r="K1196" s="268"/>
      <c r="L1196" s="268"/>
      <c r="M1196" s="268"/>
      <c r="N1196" s="269"/>
      <c r="O1196" s="547"/>
      <c r="P1196" s="547"/>
    </row>
    <row r="1197" spans="1:16" ht="12.75">
      <c r="A1197" s="271"/>
      <c r="B1197" s="268"/>
      <c r="C1197" s="268"/>
      <c r="D1197" s="268"/>
      <c r="E1197" s="273"/>
      <c r="F1197" s="270"/>
      <c r="G1197" s="268"/>
      <c r="H1197" s="268"/>
      <c r="I1197" s="268"/>
      <c r="J1197" s="273"/>
      <c r="K1197" s="268"/>
      <c r="L1197" s="268"/>
      <c r="M1197" s="268"/>
      <c r="N1197" s="269"/>
      <c r="O1197" s="547"/>
      <c r="P1197" s="547"/>
    </row>
    <row r="1198" spans="1:16" ht="12.75">
      <c r="A1198" s="271"/>
      <c r="B1198" s="268"/>
      <c r="C1198" s="268"/>
      <c r="D1198" s="268"/>
      <c r="E1198" s="273"/>
      <c r="F1198" s="270"/>
      <c r="G1198" s="268"/>
      <c r="H1198" s="268"/>
      <c r="I1198" s="268"/>
      <c r="J1198" s="273"/>
      <c r="K1198" s="268"/>
      <c r="L1198" s="268"/>
      <c r="M1198" s="268"/>
      <c r="N1198" s="269"/>
      <c r="O1198" s="547"/>
      <c r="P1198" s="547"/>
    </row>
    <row r="1199" spans="1:16" ht="12.75">
      <c r="A1199" s="271"/>
      <c r="B1199" s="268"/>
      <c r="C1199" s="268"/>
      <c r="D1199" s="268"/>
      <c r="E1199" s="273"/>
      <c r="F1199" s="270"/>
      <c r="G1199" s="268"/>
      <c r="H1199" s="268"/>
      <c r="I1199" s="268"/>
      <c r="J1199" s="273"/>
      <c r="K1199" s="268"/>
      <c r="L1199" s="268"/>
      <c r="M1199" s="268"/>
      <c r="N1199" s="269"/>
      <c r="O1199" s="547"/>
      <c r="P1199" s="547"/>
    </row>
    <row r="1200" spans="1:16" ht="12.75">
      <c r="A1200" s="271"/>
      <c r="B1200" s="268"/>
      <c r="C1200" s="268"/>
      <c r="D1200" s="268"/>
      <c r="E1200" s="273"/>
      <c r="F1200" s="270"/>
      <c r="G1200" s="268"/>
      <c r="H1200" s="268"/>
      <c r="I1200" s="268"/>
      <c r="J1200" s="273"/>
      <c r="K1200" s="268"/>
      <c r="L1200" s="268"/>
      <c r="M1200" s="268"/>
      <c r="N1200" s="269"/>
      <c r="O1200" s="547"/>
      <c r="P1200" s="547"/>
    </row>
    <row r="1201" spans="1:16" ht="12.75">
      <c r="A1201" s="271"/>
      <c r="B1201" s="268"/>
      <c r="C1201" s="268"/>
      <c r="D1201" s="268"/>
      <c r="E1201" s="273"/>
      <c r="F1201" s="270"/>
      <c r="G1201" s="268"/>
      <c r="H1201" s="268"/>
      <c r="I1201" s="268"/>
      <c r="J1201" s="273"/>
      <c r="K1201" s="268"/>
      <c r="L1201" s="268"/>
      <c r="M1201" s="268"/>
      <c r="N1201" s="269"/>
      <c r="O1201" s="547"/>
      <c r="P1201" s="547"/>
    </row>
    <row r="1202" spans="1:16" ht="12.75">
      <c r="A1202" s="271"/>
      <c r="B1202" s="268"/>
      <c r="C1202" s="268"/>
      <c r="D1202" s="268"/>
      <c r="E1202" s="273"/>
      <c r="F1202" s="270"/>
      <c r="G1202" s="268"/>
      <c r="H1202" s="268"/>
      <c r="I1202" s="268"/>
      <c r="J1202" s="273"/>
      <c r="K1202" s="268"/>
      <c r="L1202" s="268"/>
      <c r="M1202" s="268"/>
      <c r="N1202" s="269"/>
      <c r="O1202" s="547"/>
      <c r="P1202" s="547"/>
    </row>
    <row r="1203" spans="1:16" ht="12.75">
      <c r="A1203" s="271"/>
      <c r="B1203" s="268"/>
      <c r="C1203" s="268"/>
      <c r="D1203" s="268"/>
      <c r="E1203" s="273"/>
      <c r="F1203" s="270"/>
      <c r="G1203" s="268"/>
      <c r="H1203" s="268"/>
      <c r="I1203" s="268"/>
      <c r="J1203" s="273"/>
      <c r="K1203" s="268"/>
      <c r="L1203" s="268"/>
      <c r="M1203" s="268"/>
      <c r="N1203" s="269"/>
      <c r="O1203" s="547"/>
      <c r="P1203" s="547"/>
    </row>
    <row r="1204" spans="1:16" ht="12.75">
      <c r="A1204" s="271"/>
      <c r="B1204" s="268"/>
      <c r="C1204" s="268"/>
      <c r="D1204" s="268"/>
      <c r="E1204" s="273"/>
      <c r="F1204" s="270"/>
      <c r="G1204" s="268"/>
      <c r="H1204" s="268"/>
      <c r="I1204" s="268"/>
      <c r="J1204" s="273"/>
      <c r="K1204" s="268"/>
      <c r="L1204" s="268"/>
      <c r="M1204" s="268"/>
      <c r="N1204" s="269"/>
      <c r="O1204" s="547"/>
      <c r="P1204" s="547"/>
    </row>
    <row r="1205" spans="1:16" ht="12.75">
      <c r="A1205" s="271"/>
      <c r="B1205" s="268"/>
      <c r="C1205" s="268"/>
      <c r="D1205" s="268"/>
      <c r="E1205" s="273"/>
      <c r="F1205" s="270"/>
      <c r="G1205" s="268"/>
      <c r="H1205" s="268"/>
      <c r="I1205" s="268"/>
      <c r="J1205" s="273"/>
      <c r="K1205" s="268"/>
      <c r="L1205" s="268"/>
      <c r="M1205" s="268"/>
      <c r="N1205" s="269"/>
      <c r="O1205" s="547"/>
      <c r="P1205" s="547"/>
    </row>
    <row r="1206" spans="1:16" ht="12.75">
      <c r="A1206" s="271"/>
      <c r="B1206" s="268"/>
      <c r="C1206" s="268"/>
      <c r="D1206" s="268"/>
      <c r="E1206" s="273"/>
      <c r="F1206" s="270"/>
      <c r="G1206" s="268"/>
      <c r="H1206" s="268"/>
      <c r="I1206" s="268"/>
      <c r="J1206" s="273"/>
      <c r="K1206" s="268"/>
      <c r="L1206" s="268"/>
      <c r="M1206" s="268"/>
      <c r="N1206" s="269"/>
      <c r="O1206" s="547"/>
      <c r="P1206" s="547"/>
    </row>
    <row r="1207" spans="1:16" ht="12.75">
      <c r="A1207" s="271"/>
      <c r="B1207" s="268"/>
      <c r="C1207" s="268"/>
      <c r="D1207" s="268"/>
      <c r="E1207" s="273"/>
      <c r="F1207" s="270"/>
      <c r="G1207" s="268"/>
      <c r="H1207" s="268"/>
      <c r="I1207" s="268"/>
      <c r="J1207" s="273"/>
      <c r="K1207" s="268"/>
      <c r="L1207" s="268"/>
      <c r="M1207" s="268"/>
      <c r="N1207" s="269"/>
      <c r="O1207" s="547"/>
      <c r="P1207" s="547"/>
    </row>
    <row r="1208" spans="1:16" ht="12.75">
      <c r="A1208" s="271"/>
      <c r="B1208" s="268"/>
      <c r="C1208" s="268"/>
      <c r="D1208" s="268"/>
      <c r="E1208" s="273"/>
      <c r="F1208" s="270"/>
      <c r="G1208" s="268"/>
      <c r="H1208" s="268"/>
      <c r="I1208" s="268"/>
      <c r="J1208" s="273"/>
      <c r="K1208" s="268"/>
      <c r="L1208" s="268"/>
      <c r="M1208" s="268"/>
      <c r="N1208" s="269"/>
      <c r="O1208" s="547"/>
      <c r="P1208" s="547"/>
    </row>
    <row r="1209" spans="1:16" ht="12.75">
      <c r="A1209" s="271"/>
      <c r="B1209" s="268"/>
      <c r="C1209" s="268"/>
      <c r="D1209" s="268"/>
      <c r="E1209" s="273"/>
      <c r="F1209" s="270"/>
      <c r="G1209" s="268"/>
      <c r="H1209" s="268"/>
      <c r="I1209" s="268"/>
      <c r="J1209" s="273"/>
      <c r="K1209" s="268"/>
      <c r="L1209" s="268"/>
      <c r="M1209" s="268"/>
      <c r="N1209" s="269"/>
      <c r="O1209" s="547"/>
      <c r="P1209" s="547"/>
    </row>
    <row r="1210" spans="1:16" ht="12.75">
      <c r="A1210" s="271"/>
      <c r="B1210" s="268"/>
      <c r="C1210" s="268"/>
      <c r="D1210" s="268"/>
      <c r="E1210" s="273"/>
      <c r="F1210" s="270"/>
      <c r="G1210" s="268"/>
      <c r="H1210" s="268"/>
      <c r="I1210" s="268"/>
      <c r="J1210" s="273"/>
      <c r="K1210" s="268"/>
      <c r="L1210" s="268"/>
      <c r="M1210" s="268"/>
      <c r="N1210" s="269"/>
      <c r="O1210" s="547"/>
      <c r="P1210" s="547"/>
    </row>
    <row r="1211" spans="1:16" ht="12.75">
      <c r="A1211" s="271"/>
      <c r="B1211" s="268"/>
      <c r="C1211" s="268"/>
      <c r="D1211" s="268"/>
      <c r="E1211" s="273"/>
      <c r="F1211" s="270"/>
      <c r="G1211" s="268"/>
      <c r="H1211" s="268"/>
      <c r="I1211" s="268"/>
      <c r="J1211" s="273"/>
      <c r="K1211" s="268"/>
      <c r="L1211" s="268"/>
      <c r="M1211" s="268"/>
      <c r="N1211" s="269"/>
      <c r="O1211" s="547"/>
      <c r="P1211" s="547"/>
    </row>
    <row r="1212" spans="1:16" ht="12.75">
      <c r="A1212" s="271"/>
      <c r="B1212" s="268"/>
      <c r="C1212" s="268"/>
      <c r="D1212" s="268"/>
      <c r="E1212" s="273"/>
      <c r="F1212" s="270"/>
      <c r="G1212" s="268"/>
      <c r="H1212" s="268"/>
      <c r="I1212" s="268"/>
      <c r="J1212" s="273"/>
      <c r="K1212" s="268"/>
      <c r="L1212" s="268"/>
      <c r="M1212" s="268"/>
      <c r="N1212" s="269"/>
      <c r="O1212" s="547"/>
      <c r="P1212" s="547"/>
    </row>
    <row r="1213" spans="1:16" ht="12.75">
      <c r="A1213" s="271"/>
      <c r="B1213" s="268"/>
      <c r="C1213" s="268"/>
      <c r="D1213" s="268"/>
      <c r="E1213" s="273"/>
      <c r="F1213" s="270"/>
      <c r="G1213" s="268"/>
      <c r="H1213" s="268"/>
      <c r="I1213" s="268"/>
      <c r="J1213" s="273"/>
      <c r="K1213" s="268"/>
      <c r="L1213" s="268"/>
      <c r="M1213" s="268"/>
      <c r="N1213" s="269"/>
      <c r="O1213" s="547"/>
      <c r="P1213" s="547"/>
    </row>
    <row r="1214" spans="1:16" ht="12.75">
      <c r="A1214" s="271"/>
      <c r="B1214" s="268"/>
      <c r="C1214" s="268"/>
      <c r="D1214" s="268"/>
      <c r="E1214" s="273"/>
      <c r="F1214" s="270"/>
      <c r="G1214" s="268"/>
      <c r="H1214" s="268"/>
      <c r="I1214" s="268"/>
      <c r="J1214" s="273"/>
      <c r="K1214" s="268"/>
      <c r="L1214" s="268"/>
      <c r="M1214" s="268"/>
      <c r="N1214" s="269"/>
      <c r="O1214" s="547"/>
      <c r="P1214" s="547"/>
    </row>
    <row r="1215" spans="1:16" ht="12.75">
      <c r="A1215" s="271"/>
      <c r="B1215" s="268"/>
      <c r="C1215" s="268"/>
      <c r="D1215" s="268"/>
      <c r="E1215" s="273"/>
      <c r="F1215" s="270"/>
      <c r="G1215" s="268"/>
      <c r="H1215" s="268"/>
      <c r="I1215" s="268"/>
      <c r="J1215" s="273"/>
      <c r="K1215" s="268"/>
      <c r="L1215" s="268"/>
      <c r="M1215" s="268"/>
      <c r="N1215" s="269"/>
      <c r="O1215" s="547"/>
      <c r="P1215" s="547"/>
    </row>
    <row r="1216" spans="1:16" ht="12.75">
      <c r="A1216" s="271"/>
      <c r="B1216" s="268"/>
      <c r="C1216" s="268"/>
      <c r="D1216" s="268"/>
      <c r="E1216" s="273"/>
      <c r="F1216" s="270"/>
      <c r="G1216" s="268"/>
      <c r="H1216" s="268"/>
      <c r="I1216" s="268"/>
      <c r="J1216" s="273"/>
      <c r="K1216" s="268"/>
      <c r="L1216" s="268"/>
      <c r="M1216" s="268"/>
      <c r="N1216" s="269"/>
      <c r="O1216" s="547"/>
      <c r="P1216" s="547"/>
    </row>
    <row r="1217" spans="1:16" ht="12.75">
      <c r="A1217" s="271"/>
      <c r="B1217" s="268"/>
      <c r="C1217" s="268"/>
      <c r="D1217" s="268"/>
      <c r="E1217" s="273"/>
      <c r="F1217" s="270"/>
      <c r="G1217" s="268"/>
      <c r="H1217" s="268"/>
      <c r="I1217" s="268"/>
      <c r="J1217" s="273"/>
      <c r="K1217" s="268"/>
      <c r="L1217" s="268"/>
      <c r="M1217" s="268"/>
      <c r="N1217" s="269"/>
      <c r="O1217" s="547"/>
      <c r="P1217" s="547"/>
    </row>
    <row r="1218" spans="1:16" ht="12.75">
      <c r="A1218" s="271"/>
      <c r="B1218" s="268"/>
      <c r="C1218" s="268"/>
      <c r="D1218" s="268"/>
      <c r="E1218" s="273"/>
      <c r="F1218" s="270"/>
      <c r="G1218" s="268"/>
      <c r="H1218" s="268"/>
      <c r="I1218" s="268"/>
      <c r="J1218" s="273"/>
      <c r="K1218" s="268"/>
      <c r="L1218" s="268"/>
      <c r="M1218" s="268"/>
      <c r="N1218" s="269"/>
      <c r="O1218" s="547"/>
      <c r="P1218" s="547"/>
    </row>
    <row r="1219" spans="1:16" ht="12.75">
      <c r="A1219" s="271"/>
      <c r="B1219" s="268"/>
      <c r="C1219" s="268"/>
      <c r="D1219" s="268"/>
      <c r="E1219" s="273"/>
      <c r="F1219" s="270"/>
      <c r="G1219" s="268"/>
      <c r="H1219" s="268"/>
      <c r="I1219" s="268"/>
      <c r="J1219" s="273"/>
      <c r="K1219" s="268"/>
      <c r="L1219" s="268"/>
      <c r="M1219" s="268"/>
      <c r="N1219" s="269"/>
      <c r="O1219" s="547"/>
      <c r="P1219" s="547"/>
    </row>
    <row r="1220" spans="1:16" ht="12.75">
      <c r="A1220" s="271"/>
      <c r="B1220" s="268"/>
      <c r="C1220" s="268"/>
      <c r="D1220" s="268"/>
      <c r="E1220" s="273"/>
      <c r="F1220" s="270"/>
      <c r="G1220" s="268"/>
      <c r="H1220" s="268"/>
      <c r="I1220" s="268"/>
      <c r="J1220" s="273"/>
      <c r="K1220" s="268"/>
      <c r="L1220" s="268"/>
      <c r="M1220" s="268"/>
      <c r="N1220" s="269"/>
      <c r="O1220" s="547"/>
      <c r="P1220" s="547"/>
    </row>
    <row r="1221" spans="1:16" ht="12.75">
      <c r="A1221" s="271"/>
      <c r="B1221" s="268"/>
      <c r="C1221" s="268"/>
      <c r="D1221" s="268"/>
      <c r="E1221" s="273"/>
      <c r="F1221" s="270"/>
      <c r="G1221" s="268"/>
      <c r="H1221" s="268"/>
      <c r="I1221" s="268"/>
      <c r="J1221" s="273"/>
      <c r="K1221" s="268"/>
      <c r="L1221" s="268"/>
      <c r="M1221" s="268"/>
      <c r="N1221" s="269"/>
      <c r="O1221" s="547"/>
      <c r="P1221" s="547"/>
    </row>
    <row r="1222" spans="1:16" ht="12.75">
      <c r="A1222" s="271"/>
      <c r="B1222" s="268"/>
      <c r="C1222" s="268"/>
      <c r="D1222" s="268"/>
      <c r="E1222" s="273"/>
      <c r="F1222" s="270"/>
      <c r="G1222" s="268"/>
      <c r="H1222" s="268"/>
      <c r="I1222" s="268"/>
      <c r="J1222" s="273"/>
      <c r="K1222" s="268"/>
      <c r="L1222" s="268"/>
      <c r="M1222" s="268"/>
      <c r="N1222" s="269"/>
      <c r="O1222" s="547"/>
      <c r="P1222" s="547"/>
    </row>
    <row r="1223" spans="1:16" ht="12.75">
      <c r="A1223" s="271"/>
      <c r="B1223" s="268"/>
      <c r="C1223" s="268"/>
      <c r="D1223" s="268"/>
      <c r="E1223" s="273"/>
      <c r="F1223" s="270"/>
      <c r="G1223" s="268"/>
      <c r="H1223" s="268"/>
      <c r="I1223" s="268"/>
      <c r="J1223" s="273"/>
      <c r="K1223" s="268"/>
      <c r="L1223" s="268"/>
      <c r="M1223" s="268"/>
      <c r="N1223" s="269"/>
      <c r="O1223" s="547"/>
      <c r="P1223" s="547"/>
    </row>
    <row r="1224" spans="1:16" ht="12.75">
      <c r="A1224" s="271"/>
      <c r="B1224" s="268"/>
      <c r="C1224" s="268"/>
      <c r="D1224" s="268"/>
      <c r="E1224" s="273"/>
      <c r="F1224" s="270"/>
      <c r="G1224" s="268"/>
      <c r="H1224" s="268"/>
      <c r="I1224" s="268"/>
      <c r="J1224" s="273"/>
      <c r="K1224" s="268"/>
      <c r="L1224" s="268"/>
      <c r="M1224" s="268"/>
      <c r="N1224" s="269"/>
      <c r="O1224" s="547"/>
      <c r="P1224" s="547"/>
    </row>
    <row r="1225" spans="1:16" ht="12.75">
      <c r="A1225" s="271"/>
      <c r="B1225" s="268"/>
      <c r="C1225" s="268"/>
      <c r="D1225" s="268"/>
      <c r="E1225" s="273"/>
      <c r="F1225" s="270"/>
      <c r="G1225" s="268"/>
      <c r="H1225" s="268"/>
      <c r="I1225" s="268"/>
      <c r="J1225" s="273"/>
      <c r="K1225" s="268"/>
      <c r="L1225" s="268"/>
      <c r="M1225" s="268"/>
      <c r="N1225" s="269"/>
      <c r="O1225" s="547"/>
      <c r="P1225" s="547"/>
    </row>
    <row r="1226" spans="1:16" ht="12.75">
      <c r="A1226" s="271"/>
      <c r="B1226" s="268"/>
      <c r="C1226" s="268"/>
      <c r="D1226" s="268"/>
      <c r="E1226" s="273"/>
      <c r="F1226" s="270"/>
      <c r="G1226" s="268"/>
      <c r="H1226" s="268"/>
      <c r="I1226" s="268"/>
      <c r="J1226" s="273"/>
      <c r="K1226" s="268"/>
      <c r="L1226" s="268"/>
      <c r="M1226" s="268"/>
      <c r="N1226" s="269"/>
      <c r="O1226" s="547"/>
      <c r="P1226" s="547"/>
    </row>
    <row r="1227" spans="1:16" ht="12.75">
      <c r="A1227" s="271"/>
      <c r="B1227" s="268"/>
      <c r="C1227" s="268"/>
      <c r="D1227" s="268"/>
      <c r="E1227" s="273"/>
      <c r="F1227" s="270"/>
      <c r="G1227" s="268"/>
      <c r="H1227" s="268"/>
      <c r="I1227" s="268"/>
      <c r="J1227" s="273"/>
      <c r="K1227" s="268"/>
      <c r="L1227" s="268"/>
      <c r="M1227" s="268"/>
      <c r="N1227" s="269"/>
      <c r="O1227" s="547"/>
      <c r="P1227" s="547"/>
    </row>
    <row r="1228" spans="1:16" ht="12.75">
      <c r="A1228" s="271"/>
      <c r="B1228" s="268"/>
      <c r="C1228" s="268"/>
      <c r="D1228" s="268"/>
      <c r="E1228" s="273"/>
      <c r="F1228" s="270"/>
      <c r="G1228" s="268"/>
      <c r="H1228" s="268"/>
      <c r="I1228" s="268"/>
      <c r="J1228" s="273"/>
      <c r="K1228" s="268"/>
      <c r="L1228" s="268"/>
      <c r="M1228" s="268"/>
      <c r="N1228" s="269"/>
      <c r="O1228" s="547"/>
      <c r="P1228" s="547"/>
    </row>
    <row r="1229" spans="1:16" ht="12.75">
      <c r="A1229" s="271"/>
      <c r="B1229" s="268"/>
      <c r="C1229" s="268"/>
      <c r="D1229" s="268"/>
      <c r="E1229" s="273"/>
      <c r="F1229" s="270"/>
      <c r="G1229" s="268"/>
      <c r="H1229" s="268"/>
      <c r="I1229" s="268"/>
      <c r="J1229" s="273"/>
      <c r="K1229" s="268"/>
      <c r="L1229" s="268"/>
      <c r="M1229" s="268"/>
      <c r="N1229" s="269"/>
      <c r="O1229" s="547"/>
      <c r="P1229" s="547"/>
    </row>
    <row r="1230" spans="1:16" ht="12.75">
      <c r="A1230" s="271"/>
      <c r="B1230" s="268"/>
      <c r="C1230" s="268"/>
      <c r="D1230" s="268"/>
      <c r="E1230" s="273"/>
      <c r="F1230" s="270"/>
      <c r="G1230" s="268"/>
      <c r="H1230" s="268"/>
      <c r="I1230" s="268"/>
      <c r="J1230" s="273"/>
      <c r="K1230" s="268"/>
      <c r="L1230" s="268"/>
      <c r="M1230" s="268"/>
      <c r="N1230" s="269"/>
      <c r="O1230" s="547"/>
      <c r="P1230" s="547"/>
    </row>
    <row r="1231" spans="1:16" ht="12.75">
      <c r="A1231" s="271"/>
      <c r="B1231" s="268"/>
      <c r="C1231" s="268"/>
      <c r="D1231" s="268"/>
      <c r="E1231" s="273"/>
      <c r="F1231" s="270"/>
      <c r="G1231" s="268"/>
      <c r="H1231" s="268"/>
      <c r="I1231" s="268"/>
      <c r="J1231" s="273"/>
      <c r="K1231" s="268"/>
      <c r="L1231" s="268"/>
      <c r="M1231" s="268"/>
      <c r="N1231" s="269"/>
      <c r="O1231" s="547"/>
      <c r="P1231" s="547"/>
    </row>
    <row r="1232" spans="1:16" ht="12.75">
      <c r="A1232" s="271"/>
      <c r="B1232" s="268"/>
      <c r="C1232" s="268"/>
      <c r="D1232" s="268"/>
      <c r="E1232" s="273"/>
      <c r="F1232" s="270"/>
      <c r="G1232" s="268"/>
      <c r="H1232" s="268"/>
      <c r="I1232" s="268"/>
      <c r="J1232" s="273"/>
      <c r="K1232" s="268"/>
      <c r="L1232" s="268"/>
      <c r="M1232" s="268"/>
      <c r="N1232" s="269"/>
      <c r="O1232" s="547"/>
      <c r="P1232" s="547"/>
    </row>
    <row r="1233" spans="1:16" ht="12.75">
      <c r="A1233" s="271"/>
      <c r="B1233" s="268"/>
      <c r="C1233" s="268"/>
      <c r="D1233" s="268"/>
      <c r="E1233" s="273"/>
      <c r="F1233" s="270"/>
      <c r="G1233" s="268"/>
      <c r="H1233" s="268"/>
      <c r="I1233" s="268"/>
      <c r="J1233" s="273"/>
      <c r="K1233" s="268"/>
      <c r="L1233" s="268"/>
      <c r="M1233" s="268"/>
      <c r="N1233" s="269"/>
      <c r="O1233" s="547"/>
      <c r="P1233" s="547"/>
    </row>
    <row r="1234" spans="1:16" ht="12.75">
      <c r="A1234" s="271"/>
      <c r="B1234" s="268"/>
      <c r="C1234" s="268"/>
      <c r="D1234" s="268"/>
      <c r="E1234" s="273"/>
      <c r="F1234" s="270"/>
      <c r="G1234" s="268"/>
      <c r="H1234" s="268"/>
      <c r="I1234" s="268"/>
      <c r="J1234" s="273"/>
      <c r="K1234" s="268"/>
      <c r="L1234" s="268"/>
      <c r="M1234" s="268"/>
      <c r="N1234" s="269"/>
      <c r="O1234" s="547"/>
      <c r="P1234" s="547"/>
    </row>
    <row r="1235" spans="1:16" ht="12.75">
      <c r="A1235" s="271"/>
      <c r="B1235" s="268"/>
      <c r="C1235" s="268"/>
      <c r="D1235" s="268"/>
      <c r="E1235" s="273"/>
      <c r="F1235" s="270"/>
      <c r="G1235" s="268"/>
      <c r="H1235" s="268"/>
      <c r="I1235" s="268"/>
      <c r="J1235" s="273"/>
      <c r="K1235" s="268"/>
      <c r="L1235" s="268"/>
      <c r="M1235" s="268"/>
      <c r="N1235" s="269"/>
      <c r="O1235" s="547"/>
      <c r="P1235" s="547"/>
    </row>
    <row r="1236" spans="1:16" ht="12.75">
      <c r="A1236" s="271"/>
      <c r="B1236" s="268"/>
      <c r="C1236" s="268"/>
      <c r="D1236" s="268"/>
      <c r="E1236" s="273"/>
      <c r="F1236" s="270"/>
      <c r="G1236" s="268"/>
      <c r="H1236" s="268"/>
      <c r="I1236" s="268"/>
      <c r="J1236" s="273"/>
      <c r="K1236" s="268"/>
      <c r="L1236" s="268"/>
      <c r="M1236" s="268"/>
      <c r="N1236" s="269"/>
      <c r="O1236" s="547"/>
      <c r="P1236" s="547"/>
    </row>
    <row r="1237" spans="1:16" ht="12.75">
      <c r="A1237" s="271"/>
      <c r="B1237" s="268"/>
      <c r="C1237" s="268"/>
      <c r="D1237" s="268"/>
      <c r="E1237" s="273"/>
      <c r="F1237" s="270"/>
      <c r="G1237" s="268"/>
      <c r="H1237" s="268"/>
      <c r="I1237" s="268"/>
      <c r="J1237" s="273"/>
      <c r="K1237" s="268"/>
      <c r="L1237" s="268"/>
      <c r="M1237" s="268"/>
      <c r="N1237" s="269"/>
      <c r="O1237" s="547"/>
      <c r="P1237" s="547"/>
    </row>
    <row r="1238" spans="1:16" ht="12.75">
      <c r="A1238" s="271"/>
      <c r="B1238" s="268"/>
      <c r="C1238" s="268"/>
      <c r="D1238" s="268"/>
      <c r="E1238" s="273"/>
      <c r="F1238" s="270"/>
      <c r="G1238" s="268"/>
      <c r="H1238" s="268"/>
      <c r="I1238" s="268"/>
      <c r="J1238" s="273"/>
      <c r="K1238" s="268"/>
      <c r="L1238" s="268"/>
      <c r="M1238" s="268"/>
      <c r="N1238" s="269"/>
      <c r="O1238" s="547"/>
      <c r="P1238" s="547"/>
    </row>
    <row r="1239" spans="1:16" ht="12.75">
      <c r="A1239" s="271"/>
      <c r="B1239" s="268"/>
      <c r="C1239" s="268"/>
      <c r="D1239" s="268"/>
      <c r="E1239" s="273"/>
      <c r="F1239" s="270"/>
      <c r="G1239" s="268"/>
      <c r="H1239" s="268"/>
      <c r="I1239" s="268"/>
      <c r="J1239" s="273"/>
      <c r="K1239" s="268"/>
      <c r="L1239" s="268"/>
      <c r="M1239" s="268"/>
      <c r="N1239" s="269"/>
      <c r="O1239" s="547"/>
      <c r="P1239" s="547"/>
    </row>
    <row r="1240" spans="1:16" ht="12.75">
      <c r="A1240" s="271"/>
      <c r="B1240" s="268"/>
      <c r="C1240" s="268"/>
      <c r="D1240" s="268"/>
      <c r="E1240" s="273"/>
      <c r="F1240" s="270"/>
      <c r="G1240" s="268"/>
      <c r="H1240" s="268"/>
      <c r="I1240" s="268"/>
      <c r="J1240" s="273"/>
      <c r="K1240" s="268"/>
      <c r="L1240" s="268"/>
      <c r="M1240" s="268"/>
      <c r="N1240" s="269"/>
      <c r="O1240" s="547"/>
      <c r="P1240" s="547"/>
    </row>
    <row r="1241" spans="1:16" ht="12.75">
      <c r="A1241" s="271"/>
      <c r="B1241" s="268"/>
      <c r="C1241" s="268"/>
      <c r="D1241" s="268"/>
      <c r="E1241" s="273"/>
      <c r="F1241" s="270"/>
      <c r="G1241" s="268"/>
      <c r="H1241" s="268"/>
      <c r="I1241" s="268"/>
      <c r="J1241" s="273"/>
      <c r="K1241" s="268"/>
      <c r="L1241" s="268"/>
      <c r="M1241" s="268"/>
      <c r="N1241" s="269"/>
      <c r="O1241" s="547"/>
      <c r="P1241" s="547"/>
    </row>
    <row r="1242" spans="1:16" ht="12.75">
      <c r="A1242" s="271"/>
      <c r="B1242" s="268"/>
      <c r="C1242" s="268"/>
      <c r="D1242" s="268"/>
      <c r="E1242" s="273"/>
      <c r="F1242" s="270"/>
      <c r="G1242" s="268"/>
      <c r="H1242" s="268"/>
      <c r="I1242" s="268"/>
      <c r="J1242" s="273"/>
      <c r="K1242" s="268"/>
      <c r="L1242" s="268"/>
      <c r="M1242" s="268"/>
      <c r="N1242" s="269"/>
      <c r="O1242" s="547"/>
      <c r="P1242" s="547"/>
    </row>
    <row r="1243" spans="1:16" ht="12.75">
      <c r="A1243" s="271"/>
      <c r="B1243" s="268"/>
      <c r="C1243" s="268"/>
      <c r="D1243" s="268"/>
      <c r="E1243" s="273"/>
      <c r="F1243" s="270"/>
      <c r="G1243" s="268"/>
      <c r="H1243" s="268"/>
      <c r="I1243" s="268"/>
      <c r="J1243" s="273"/>
      <c r="K1243" s="268"/>
      <c r="L1243" s="268"/>
      <c r="M1243" s="268"/>
      <c r="N1243" s="269"/>
      <c r="O1243" s="547"/>
      <c r="P1243" s="547"/>
    </row>
    <row r="1244" spans="1:16" ht="12.75">
      <c r="A1244" s="271"/>
      <c r="B1244" s="268"/>
      <c r="C1244" s="268"/>
      <c r="D1244" s="268"/>
      <c r="E1244" s="273"/>
      <c r="F1244" s="270"/>
      <c r="G1244" s="268"/>
      <c r="H1244" s="268"/>
      <c r="I1244" s="268"/>
      <c r="J1244" s="273"/>
      <c r="K1244" s="268"/>
      <c r="L1244" s="268"/>
      <c r="M1244" s="268"/>
      <c r="N1244" s="269"/>
      <c r="O1244" s="547"/>
      <c r="P1244" s="547"/>
    </row>
    <row r="1245" spans="1:16" ht="12.75">
      <c r="A1245" s="271"/>
      <c r="B1245" s="268"/>
      <c r="C1245" s="268"/>
      <c r="D1245" s="268"/>
      <c r="E1245" s="273"/>
      <c r="F1245" s="270"/>
      <c r="G1245" s="268"/>
      <c r="H1245" s="268"/>
      <c r="I1245" s="268"/>
      <c r="J1245" s="273"/>
      <c r="K1245" s="268"/>
      <c r="L1245" s="268"/>
      <c r="M1245" s="268"/>
      <c r="N1245" s="269"/>
      <c r="O1245" s="547"/>
      <c r="P1245" s="547"/>
    </row>
    <row r="1246" spans="1:16" ht="12.75">
      <c r="A1246" s="271"/>
      <c r="B1246" s="268"/>
      <c r="C1246" s="268"/>
      <c r="D1246" s="268"/>
      <c r="E1246" s="273"/>
      <c r="F1246" s="270"/>
      <c r="G1246" s="268"/>
      <c r="H1246" s="268"/>
      <c r="I1246" s="268"/>
      <c r="J1246" s="273"/>
      <c r="K1246" s="268"/>
      <c r="L1246" s="268"/>
      <c r="M1246" s="268"/>
      <c r="N1246" s="269"/>
      <c r="O1246" s="547"/>
      <c r="P1246" s="547"/>
    </row>
    <row r="1247" spans="1:16" ht="12.75">
      <c r="A1247" s="271"/>
      <c r="B1247" s="268"/>
      <c r="C1247" s="268"/>
      <c r="D1247" s="268"/>
      <c r="E1247" s="273"/>
      <c r="F1247" s="270"/>
      <c r="G1247" s="268"/>
      <c r="H1247" s="268"/>
      <c r="I1247" s="268"/>
      <c r="J1247" s="273"/>
      <c r="K1247" s="268"/>
      <c r="L1247" s="268"/>
      <c r="M1247" s="268"/>
      <c r="N1247" s="269"/>
      <c r="O1247" s="547"/>
      <c r="P1247" s="547"/>
    </row>
    <row r="1248" spans="1:16" ht="12.75">
      <c r="A1248" s="271"/>
      <c r="B1248" s="268"/>
      <c r="C1248" s="268"/>
      <c r="D1248" s="268"/>
      <c r="E1248" s="273"/>
      <c r="F1248" s="270"/>
      <c r="G1248" s="268"/>
      <c r="H1248" s="268"/>
      <c r="I1248" s="268"/>
      <c r="J1248" s="273"/>
      <c r="K1248" s="268"/>
      <c r="L1248" s="268"/>
      <c r="M1248" s="268"/>
      <c r="N1248" s="269"/>
      <c r="O1248" s="547"/>
      <c r="P1248" s="547"/>
    </row>
    <row r="1249" spans="1:16" ht="12.75">
      <c r="A1249" s="271"/>
      <c r="B1249" s="268"/>
      <c r="C1249" s="268"/>
      <c r="D1249" s="268"/>
      <c r="E1249" s="273"/>
      <c r="F1249" s="270"/>
      <c r="G1249" s="268"/>
      <c r="H1249" s="268"/>
      <c r="I1249" s="268"/>
      <c r="J1249" s="273"/>
      <c r="K1249" s="268"/>
      <c r="L1249" s="268"/>
      <c r="M1249" s="268"/>
      <c r="N1249" s="269"/>
      <c r="O1249" s="547"/>
      <c r="P1249" s="547"/>
    </row>
    <row r="1250" spans="1:16" ht="12.75">
      <c r="A1250" s="271"/>
      <c r="B1250" s="268"/>
      <c r="C1250" s="268"/>
      <c r="D1250" s="268"/>
      <c r="E1250" s="273"/>
      <c r="F1250" s="270"/>
      <c r="G1250" s="268"/>
      <c r="H1250" s="268"/>
      <c r="I1250" s="268"/>
      <c r="J1250" s="273"/>
      <c r="K1250" s="268"/>
      <c r="L1250" s="268"/>
      <c r="M1250" s="268"/>
      <c r="N1250" s="269"/>
      <c r="O1250" s="547"/>
      <c r="P1250" s="547"/>
    </row>
    <row r="1251" spans="1:16" ht="12.75">
      <c r="A1251" s="271"/>
      <c r="B1251" s="268"/>
      <c r="C1251" s="268"/>
      <c r="D1251" s="268"/>
      <c r="E1251" s="273"/>
      <c r="F1251" s="270"/>
      <c r="G1251" s="268"/>
      <c r="H1251" s="268"/>
      <c r="I1251" s="268"/>
      <c r="J1251" s="273"/>
      <c r="K1251" s="268"/>
      <c r="L1251" s="268"/>
      <c r="M1251" s="268"/>
      <c r="N1251" s="269"/>
      <c r="O1251" s="547"/>
      <c r="P1251" s="547"/>
    </row>
    <row r="1252" spans="1:16" ht="12.75">
      <c r="A1252" s="271"/>
      <c r="B1252" s="268"/>
      <c r="C1252" s="268"/>
      <c r="D1252" s="268"/>
      <c r="E1252" s="273"/>
      <c r="F1252" s="270"/>
      <c r="G1252" s="268"/>
      <c r="H1252" s="268"/>
      <c r="I1252" s="268"/>
      <c r="J1252" s="273"/>
      <c r="K1252" s="268"/>
      <c r="L1252" s="268"/>
      <c r="M1252" s="268"/>
      <c r="N1252" s="269"/>
      <c r="O1252" s="547"/>
      <c r="P1252" s="547"/>
    </row>
    <row r="1253" spans="1:16" ht="12.75">
      <c r="A1253" s="271"/>
      <c r="B1253" s="268"/>
      <c r="C1253" s="268"/>
      <c r="D1253" s="268"/>
      <c r="E1253" s="273"/>
      <c r="F1253" s="270"/>
      <c r="G1253" s="268"/>
      <c r="H1253" s="268"/>
      <c r="I1253" s="268"/>
      <c r="J1253" s="273"/>
      <c r="K1253" s="268"/>
      <c r="L1253" s="268"/>
      <c r="M1253" s="268"/>
      <c r="N1253" s="269"/>
      <c r="O1253" s="547"/>
      <c r="P1253" s="547"/>
    </row>
    <row r="1254" spans="1:16" ht="12.75">
      <c r="A1254" s="271"/>
      <c r="B1254" s="268"/>
      <c r="C1254" s="268"/>
      <c r="D1254" s="268"/>
      <c r="E1254" s="273"/>
      <c r="F1254" s="270"/>
      <c r="G1254" s="268"/>
      <c r="H1254" s="268"/>
      <c r="I1254" s="268"/>
      <c r="J1254" s="273"/>
      <c r="K1254" s="268"/>
      <c r="L1254" s="268"/>
      <c r="M1254" s="268"/>
      <c r="N1254" s="269"/>
      <c r="O1254" s="547"/>
      <c r="P1254" s="547"/>
    </row>
    <row r="1255" spans="1:16" ht="12.75">
      <c r="A1255" s="271"/>
      <c r="B1255" s="268"/>
      <c r="C1255" s="268"/>
      <c r="D1255" s="268"/>
      <c r="E1255" s="273"/>
      <c r="F1255" s="270"/>
      <c r="G1255" s="268"/>
      <c r="H1255" s="268"/>
      <c r="I1255" s="268"/>
      <c r="J1255" s="273"/>
      <c r="K1255" s="268"/>
      <c r="L1255" s="268"/>
      <c r="M1255" s="268"/>
      <c r="N1255" s="269"/>
      <c r="O1255" s="547"/>
      <c r="P1255" s="547"/>
    </row>
    <row r="1256" spans="1:16" ht="12.75">
      <c r="A1256" s="271"/>
      <c r="B1256" s="268"/>
      <c r="C1256" s="268"/>
      <c r="D1256" s="268"/>
      <c r="E1256" s="273"/>
      <c r="F1256" s="270"/>
      <c r="G1256" s="268"/>
      <c r="H1256" s="268"/>
      <c r="I1256" s="268"/>
      <c r="J1256" s="273"/>
      <c r="K1256" s="268"/>
      <c r="L1256" s="268"/>
      <c r="M1256" s="268"/>
      <c r="N1256" s="269"/>
      <c r="O1256" s="547"/>
      <c r="P1256" s="547"/>
    </row>
    <row r="1257" spans="1:16" ht="12.75">
      <c r="A1257" s="271"/>
      <c r="B1257" s="268"/>
      <c r="C1257" s="268"/>
      <c r="D1257" s="268"/>
      <c r="E1257" s="273"/>
      <c r="F1257" s="270"/>
      <c r="G1257" s="268"/>
      <c r="H1257" s="268"/>
      <c r="I1257" s="268"/>
      <c r="J1257" s="273"/>
      <c r="K1257" s="268"/>
      <c r="L1257" s="268"/>
      <c r="M1257" s="268"/>
      <c r="N1257" s="269"/>
      <c r="O1257" s="547"/>
      <c r="P1257" s="547"/>
    </row>
    <row r="1258" spans="1:16" ht="12.75">
      <c r="A1258" s="271"/>
      <c r="B1258" s="268"/>
      <c r="C1258" s="268"/>
      <c r="D1258" s="268"/>
      <c r="E1258" s="273"/>
      <c r="F1258" s="270"/>
      <c r="G1258" s="268"/>
      <c r="H1258" s="268"/>
      <c r="I1258" s="268"/>
      <c r="J1258" s="273"/>
      <c r="K1258" s="268"/>
      <c r="L1258" s="268"/>
      <c r="M1258" s="268"/>
      <c r="N1258" s="269"/>
      <c r="O1258" s="547"/>
      <c r="P1258" s="547"/>
    </row>
    <row r="1259" spans="1:16" ht="12.75">
      <c r="A1259" s="271"/>
      <c r="B1259" s="268"/>
      <c r="C1259" s="268"/>
      <c r="D1259" s="268"/>
      <c r="E1259" s="273"/>
      <c r="F1259" s="270"/>
      <c r="G1259" s="268"/>
      <c r="H1259" s="268"/>
      <c r="I1259" s="268"/>
      <c r="J1259" s="273"/>
      <c r="K1259" s="268"/>
      <c r="L1259" s="268"/>
      <c r="M1259" s="268"/>
      <c r="N1259" s="269"/>
      <c r="O1259" s="547"/>
      <c r="P1259" s="547"/>
    </row>
    <row r="1260" spans="1:16" ht="12.75">
      <c r="A1260" s="271"/>
      <c r="B1260" s="268"/>
      <c r="C1260" s="268"/>
      <c r="D1260" s="268"/>
      <c r="E1260" s="273"/>
      <c r="F1260" s="270"/>
      <c r="G1260" s="268"/>
      <c r="H1260" s="268"/>
      <c r="I1260" s="268"/>
      <c r="J1260" s="273"/>
      <c r="K1260" s="268"/>
      <c r="L1260" s="268"/>
      <c r="M1260" s="268"/>
      <c r="N1260" s="269"/>
      <c r="O1260" s="547"/>
      <c r="P1260" s="547"/>
    </row>
    <row r="1261" spans="1:16" ht="12.75">
      <c r="A1261" s="271"/>
      <c r="B1261" s="268"/>
      <c r="C1261" s="268"/>
      <c r="D1261" s="268"/>
      <c r="E1261" s="273"/>
      <c r="F1261" s="270"/>
      <c r="G1261" s="268"/>
      <c r="H1261" s="268"/>
      <c r="I1261" s="268"/>
      <c r="J1261" s="273"/>
      <c r="K1261" s="268"/>
      <c r="L1261" s="268"/>
      <c r="M1261" s="268"/>
      <c r="N1261" s="269"/>
      <c r="O1261" s="547"/>
      <c r="P1261" s="547"/>
    </row>
    <row r="1262" spans="1:16" ht="12.75">
      <c r="A1262" s="271"/>
      <c r="B1262" s="268"/>
      <c r="C1262" s="268"/>
      <c r="D1262" s="268"/>
      <c r="E1262" s="273"/>
      <c r="F1262" s="270"/>
      <c r="G1262" s="268"/>
      <c r="H1262" s="268"/>
      <c r="I1262" s="268"/>
      <c r="J1262" s="273"/>
      <c r="K1262" s="268"/>
      <c r="L1262" s="268"/>
      <c r="M1262" s="268"/>
      <c r="N1262" s="269"/>
      <c r="O1262" s="547"/>
      <c r="P1262" s="547"/>
    </row>
    <row r="1263" spans="1:16" ht="12.75">
      <c r="A1263" s="271"/>
      <c r="B1263" s="268"/>
      <c r="C1263" s="268"/>
      <c r="D1263" s="268"/>
      <c r="E1263" s="273"/>
      <c r="F1263" s="270"/>
      <c r="G1263" s="268"/>
      <c r="H1263" s="268"/>
      <c r="I1263" s="268"/>
      <c r="J1263" s="273"/>
      <c r="K1263" s="268"/>
      <c r="L1263" s="268"/>
      <c r="M1263" s="268"/>
      <c r="N1263" s="269"/>
      <c r="O1263" s="547"/>
      <c r="P1263" s="547"/>
    </row>
    <row r="1264" spans="1:16" ht="12.75">
      <c r="A1264" s="271"/>
      <c r="B1264" s="268"/>
      <c r="C1264" s="268"/>
      <c r="D1264" s="268"/>
      <c r="E1264" s="273"/>
      <c r="F1264" s="270"/>
      <c r="G1264" s="268"/>
      <c r="H1264" s="268"/>
      <c r="I1264" s="268"/>
      <c r="J1264" s="273"/>
      <c r="K1264" s="268"/>
      <c r="L1264" s="268"/>
      <c r="M1264" s="268"/>
      <c r="N1264" s="269"/>
      <c r="O1264" s="547"/>
      <c r="P1264" s="547"/>
    </row>
    <row r="1265" spans="1:16" ht="12.75">
      <c r="A1265" s="271"/>
      <c r="B1265" s="268"/>
      <c r="C1265" s="268"/>
      <c r="D1265" s="268"/>
      <c r="E1265" s="273"/>
      <c r="F1265" s="270"/>
      <c r="G1265" s="268"/>
      <c r="H1265" s="268"/>
      <c r="I1265" s="268"/>
      <c r="J1265" s="273"/>
      <c r="K1265" s="268"/>
      <c r="L1265" s="268"/>
      <c r="M1265" s="268"/>
      <c r="N1265" s="269"/>
      <c r="O1265" s="547"/>
      <c r="P1265" s="547"/>
    </row>
    <row r="1266" spans="1:16" ht="12.75">
      <c r="A1266" s="271"/>
      <c r="B1266" s="268"/>
      <c r="C1266" s="268"/>
      <c r="D1266" s="268"/>
      <c r="E1266" s="273"/>
      <c r="F1266" s="270"/>
      <c r="G1266" s="268"/>
      <c r="H1266" s="268"/>
      <c r="I1266" s="268"/>
      <c r="J1266" s="273"/>
      <c r="K1266" s="268"/>
      <c r="L1266" s="268"/>
      <c r="M1266" s="268"/>
      <c r="N1266" s="269"/>
      <c r="O1266" s="547"/>
      <c r="P1266" s="547"/>
    </row>
    <row r="1267" spans="1:16" ht="12.75">
      <c r="A1267" s="271"/>
      <c r="B1267" s="268"/>
      <c r="C1267" s="268"/>
      <c r="D1267" s="268"/>
      <c r="E1267" s="273"/>
      <c r="F1267" s="270"/>
      <c r="G1267" s="268"/>
      <c r="H1267" s="268"/>
      <c r="I1267" s="268"/>
      <c r="J1267" s="273"/>
      <c r="K1267" s="268"/>
      <c r="L1267" s="268"/>
      <c r="M1267" s="268"/>
      <c r="N1267" s="269"/>
      <c r="O1267" s="547"/>
      <c r="P1267" s="547"/>
    </row>
    <row r="1268" spans="1:16" ht="12.75">
      <c r="A1268" s="271"/>
      <c r="B1268" s="268"/>
      <c r="C1268" s="268"/>
      <c r="D1268" s="268"/>
      <c r="E1268" s="273"/>
      <c r="F1268" s="270"/>
      <c r="G1268" s="268"/>
      <c r="H1268" s="268"/>
      <c r="I1268" s="268"/>
      <c r="J1268" s="273"/>
      <c r="K1268" s="268"/>
      <c r="L1268" s="268"/>
      <c r="M1268" s="268"/>
      <c r="N1268" s="269"/>
      <c r="O1268" s="547"/>
      <c r="P1268" s="547"/>
    </row>
    <row r="1269" spans="1:16" ht="12.75">
      <c r="A1269" s="271"/>
      <c r="B1269" s="268"/>
      <c r="C1269" s="268"/>
      <c r="D1269" s="268"/>
      <c r="E1269" s="273"/>
      <c r="F1269" s="270"/>
      <c r="G1269" s="268"/>
      <c r="H1269" s="268"/>
      <c r="I1269" s="268"/>
      <c r="J1269" s="273"/>
      <c r="K1269" s="268"/>
      <c r="L1269" s="268"/>
      <c r="M1269" s="268"/>
      <c r="N1269" s="269"/>
      <c r="O1269" s="547"/>
      <c r="P1269" s="547"/>
    </row>
    <row r="1270" spans="1:16" ht="12.75">
      <c r="A1270" s="271"/>
      <c r="B1270" s="268"/>
      <c r="C1270" s="268"/>
      <c r="D1270" s="268"/>
      <c r="E1270" s="273"/>
      <c r="F1270" s="270"/>
      <c r="G1270" s="268"/>
      <c r="H1270" s="268"/>
      <c r="I1270" s="268"/>
      <c r="J1270" s="273"/>
      <c r="K1270" s="268"/>
      <c r="L1270" s="268"/>
      <c r="M1270" s="268"/>
      <c r="N1270" s="269"/>
      <c r="O1270" s="547"/>
      <c r="P1270" s="547"/>
    </row>
    <row r="1271" spans="1:16" ht="12.75">
      <c r="A1271" s="271"/>
      <c r="B1271" s="268"/>
      <c r="C1271" s="268"/>
      <c r="D1271" s="268"/>
      <c r="E1271" s="273"/>
      <c r="F1271" s="270"/>
      <c r="G1271" s="268"/>
      <c r="H1271" s="268"/>
      <c r="I1271" s="268"/>
      <c r="J1271" s="273"/>
      <c r="K1271" s="268"/>
      <c r="L1271" s="268"/>
      <c r="M1271" s="268"/>
      <c r="N1271" s="269"/>
      <c r="O1271" s="547"/>
      <c r="P1271" s="547"/>
    </row>
    <row r="1272" spans="1:16" ht="12.75">
      <c r="A1272" s="271"/>
      <c r="B1272" s="268"/>
      <c r="C1272" s="268"/>
      <c r="D1272" s="268"/>
      <c r="E1272" s="273"/>
      <c r="F1272" s="270"/>
      <c r="G1272" s="268"/>
      <c r="H1272" s="268"/>
      <c r="I1272" s="268"/>
      <c r="J1272" s="273"/>
      <c r="K1272" s="268"/>
      <c r="L1272" s="268"/>
      <c r="M1272" s="268"/>
      <c r="N1272" s="269"/>
      <c r="O1272" s="547"/>
      <c r="P1272" s="547"/>
    </row>
    <row r="1273" spans="1:16" ht="12.75">
      <c r="A1273" s="271"/>
      <c r="B1273" s="268"/>
      <c r="C1273" s="268"/>
      <c r="D1273" s="268"/>
      <c r="E1273" s="273"/>
      <c r="F1273" s="270"/>
      <c r="G1273" s="268"/>
      <c r="H1273" s="268"/>
      <c r="I1273" s="268"/>
      <c r="J1273" s="273"/>
      <c r="K1273" s="268"/>
      <c r="L1273" s="268"/>
      <c r="M1273" s="268"/>
      <c r="N1273" s="269"/>
      <c r="O1273" s="547"/>
      <c r="P1273" s="547"/>
    </row>
    <row r="1274" spans="1:16" ht="12.75">
      <c r="A1274" s="271"/>
      <c r="B1274" s="268"/>
      <c r="C1274" s="268"/>
      <c r="D1274" s="268"/>
      <c r="E1274" s="273"/>
      <c r="F1274" s="270"/>
      <c r="G1274" s="268"/>
      <c r="H1274" s="268"/>
      <c r="I1274" s="268"/>
      <c r="J1274" s="273"/>
      <c r="K1274" s="268"/>
      <c r="L1274" s="268"/>
      <c r="M1274" s="268"/>
      <c r="N1274" s="269"/>
      <c r="O1274" s="547"/>
      <c r="P1274" s="547"/>
    </row>
    <row r="1275" spans="1:16" ht="12.75">
      <c r="A1275" s="271"/>
      <c r="B1275" s="268"/>
      <c r="C1275" s="268"/>
      <c r="D1275" s="268"/>
      <c r="E1275" s="273"/>
      <c r="F1275" s="270"/>
      <c r="G1275" s="268"/>
      <c r="H1275" s="268"/>
      <c r="I1275" s="268"/>
      <c r="J1275" s="273"/>
      <c r="K1275" s="268"/>
      <c r="L1275" s="268"/>
      <c r="M1275" s="268"/>
      <c r="N1275" s="269"/>
      <c r="O1275" s="547"/>
      <c r="P1275" s="547"/>
    </row>
    <row r="1276" spans="1:16" ht="12.75">
      <c r="A1276" s="271"/>
      <c r="B1276" s="268"/>
      <c r="C1276" s="268"/>
      <c r="D1276" s="268"/>
      <c r="E1276" s="273"/>
      <c r="F1276" s="270"/>
      <c r="G1276" s="268"/>
      <c r="H1276" s="268"/>
      <c r="I1276" s="268"/>
      <c r="J1276" s="273"/>
      <c r="K1276" s="268"/>
      <c r="L1276" s="268"/>
      <c r="M1276" s="268"/>
      <c r="N1276" s="269"/>
      <c r="O1276" s="547"/>
      <c r="P1276" s="547"/>
    </row>
    <row r="1277" spans="1:16" ht="12.75">
      <c r="A1277" s="271"/>
      <c r="B1277" s="268"/>
      <c r="C1277" s="268"/>
      <c r="D1277" s="268"/>
      <c r="E1277" s="273"/>
      <c r="F1277" s="270"/>
      <c r="G1277" s="268"/>
      <c r="H1277" s="268"/>
      <c r="I1277" s="268"/>
      <c r="J1277" s="273"/>
      <c r="K1277" s="268"/>
      <c r="L1277" s="268"/>
      <c r="M1277" s="268"/>
      <c r="N1277" s="269"/>
      <c r="O1277" s="547"/>
      <c r="P1277" s="547"/>
    </row>
    <row r="1278" spans="1:16" ht="12.75">
      <c r="A1278" s="271"/>
      <c r="B1278" s="268"/>
      <c r="C1278" s="268"/>
      <c r="D1278" s="268"/>
      <c r="E1278" s="273"/>
      <c r="F1278" s="270"/>
      <c r="G1278" s="268"/>
      <c r="H1278" s="268"/>
      <c r="I1278" s="268"/>
      <c r="J1278" s="273"/>
      <c r="K1278" s="268"/>
      <c r="L1278" s="268"/>
      <c r="M1278" s="268"/>
      <c r="N1278" s="269"/>
      <c r="O1278" s="547"/>
      <c r="P1278" s="547"/>
    </row>
    <row r="1279" spans="1:16" ht="12.75">
      <c r="A1279" s="271"/>
      <c r="B1279" s="268"/>
      <c r="C1279" s="268"/>
      <c r="D1279" s="268"/>
      <c r="E1279" s="273"/>
      <c r="F1279" s="270"/>
      <c r="G1279" s="268"/>
      <c r="H1279" s="268"/>
      <c r="I1279" s="268"/>
      <c r="J1279" s="273"/>
      <c r="K1279" s="268"/>
      <c r="L1279" s="268"/>
      <c r="M1279" s="268"/>
      <c r="N1279" s="269"/>
      <c r="O1279" s="547"/>
      <c r="P1279" s="547"/>
    </row>
    <row r="1280" spans="1:16" ht="12.75">
      <c r="A1280" s="271"/>
      <c r="B1280" s="268"/>
      <c r="C1280" s="268"/>
      <c r="D1280" s="268"/>
      <c r="E1280" s="273"/>
      <c r="F1280" s="270"/>
      <c r="G1280" s="268"/>
      <c r="H1280" s="268"/>
      <c r="I1280" s="268"/>
      <c r="J1280" s="273"/>
      <c r="K1280" s="268"/>
      <c r="L1280" s="268"/>
      <c r="M1280" s="268"/>
      <c r="N1280" s="269"/>
      <c r="O1280" s="547"/>
      <c r="P1280" s="547"/>
    </row>
    <row r="1281" spans="1:16" ht="12.75">
      <c r="A1281" s="271"/>
      <c r="B1281" s="268"/>
      <c r="C1281" s="268"/>
      <c r="D1281" s="268"/>
      <c r="E1281" s="273"/>
      <c r="F1281" s="270"/>
      <c r="G1281" s="268"/>
      <c r="H1281" s="268"/>
      <c r="I1281" s="268"/>
      <c r="J1281" s="273"/>
      <c r="K1281" s="268"/>
      <c r="L1281" s="268"/>
      <c r="M1281" s="268"/>
      <c r="N1281" s="269"/>
      <c r="O1281" s="547"/>
      <c r="P1281" s="547"/>
    </row>
    <row r="1282" spans="1:16" ht="12.75">
      <c r="A1282" s="271"/>
      <c r="B1282" s="268"/>
      <c r="C1282" s="268"/>
      <c r="D1282" s="268"/>
      <c r="E1282" s="273"/>
      <c r="F1282" s="270"/>
      <c r="G1282" s="268"/>
      <c r="H1282" s="268"/>
      <c r="I1282" s="268"/>
      <c r="J1282" s="273"/>
      <c r="K1282" s="268"/>
      <c r="L1282" s="268"/>
      <c r="M1282" s="268"/>
      <c r="N1282" s="269"/>
      <c r="O1282" s="547"/>
      <c r="P1282" s="547"/>
    </row>
    <row r="1283" spans="1:16" ht="12.75">
      <c r="A1283" s="271"/>
      <c r="B1283" s="268"/>
      <c r="C1283" s="268"/>
      <c r="D1283" s="268"/>
      <c r="E1283" s="273"/>
      <c r="F1283" s="270"/>
      <c r="G1283" s="268"/>
      <c r="H1283" s="268"/>
      <c r="I1283" s="268"/>
      <c r="J1283" s="273"/>
      <c r="K1283" s="268"/>
      <c r="L1283" s="268"/>
      <c r="M1283" s="268"/>
      <c r="N1283" s="269"/>
      <c r="O1283" s="547"/>
      <c r="P1283" s="547"/>
    </row>
    <row r="1284" spans="1:16" ht="12.75">
      <c r="A1284" s="271"/>
      <c r="B1284" s="268"/>
      <c r="C1284" s="268"/>
      <c r="D1284" s="268"/>
      <c r="E1284" s="273"/>
      <c r="F1284" s="270"/>
      <c r="G1284" s="268"/>
      <c r="H1284" s="268"/>
      <c r="I1284" s="268"/>
      <c r="J1284" s="273"/>
      <c r="K1284" s="268"/>
      <c r="L1284" s="268"/>
      <c r="M1284" s="268"/>
      <c r="N1284" s="269"/>
      <c r="O1284" s="547"/>
      <c r="P1284" s="547"/>
    </row>
    <row r="1285" spans="1:16" ht="12.75">
      <c r="A1285" s="271"/>
      <c r="B1285" s="268"/>
      <c r="C1285" s="268"/>
      <c r="D1285" s="268"/>
      <c r="E1285" s="273"/>
      <c r="F1285" s="270"/>
      <c r="G1285" s="268"/>
      <c r="H1285" s="268"/>
      <c r="I1285" s="268"/>
      <c r="J1285" s="273"/>
      <c r="K1285" s="268"/>
      <c r="L1285" s="268"/>
      <c r="M1285" s="268"/>
      <c r="N1285" s="269"/>
      <c r="O1285" s="547"/>
      <c r="P1285" s="547"/>
    </row>
    <row r="1286" spans="1:16" ht="12.75">
      <c r="A1286" s="271"/>
      <c r="B1286" s="268"/>
      <c r="C1286" s="268"/>
      <c r="D1286" s="268"/>
      <c r="E1286" s="273"/>
      <c r="F1286" s="270"/>
      <c r="G1286" s="268"/>
      <c r="H1286" s="268"/>
      <c r="I1286" s="268"/>
      <c r="J1286" s="273"/>
      <c r="K1286" s="268"/>
      <c r="L1286" s="268"/>
      <c r="M1286" s="268"/>
      <c r="N1286" s="269"/>
      <c r="O1286" s="547"/>
      <c r="P1286" s="547"/>
    </row>
    <row r="1287" spans="1:16" ht="12.75">
      <c r="A1287" s="271"/>
      <c r="B1287" s="268"/>
      <c r="C1287" s="268"/>
      <c r="D1287" s="268"/>
      <c r="E1287" s="273"/>
      <c r="F1287" s="270"/>
      <c r="G1287" s="268"/>
      <c r="H1287" s="268"/>
      <c r="I1287" s="268"/>
      <c r="J1287" s="273"/>
      <c r="K1287" s="268"/>
      <c r="L1287" s="268"/>
      <c r="M1287" s="268"/>
      <c r="N1287" s="269"/>
      <c r="O1287" s="547"/>
      <c r="P1287" s="547"/>
    </row>
    <row r="1288" spans="1:16" ht="12.75">
      <c r="A1288" s="271"/>
      <c r="B1288" s="268"/>
      <c r="C1288" s="268"/>
      <c r="D1288" s="268"/>
      <c r="E1288" s="273"/>
      <c r="F1288" s="270"/>
      <c r="G1288" s="268"/>
      <c r="H1288" s="268"/>
      <c r="I1288" s="268"/>
      <c r="J1288" s="273"/>
      <c r="K1288" s="268"/>
      <c r="L1288" s="268"/>
      <c r="M1288" s="268"/>
      <c r="N1288" s="269"/>
      <c r="O1288" s="547"/>
      <c r="P1288" s="547"/>
    </row>
    <row r="1289" spans="1:16" ht="12.75">
      <c r="A1289" s="271"/>
      <c r="B1289" s="268"/>
      <c r="C1289" s="268"/>
      <c r="D1289" s="268"/>
      <c r="E1289" s="273"/>
      <c r="F1289" s="270"/>
      <c r="G1289" s="268"/>
      <c r="H1289" s="268"/>
      <c r="I1289" s="268"/>
      <c r="J1289" s="273"/>
      <c r="K1289" s="268"/>
      <c r="L1289" s="268"/>
      <c r="M1289" s="268"/>
      <c r="N1289" s="269"/>
      <c r="O1289" s="547"/>
      <c r="P1289" s="547"/>
    </row>
    <row r="1290" spans="1:16" ht="12.75">
      <c r="A1290" s="271"/>
      <c r="B1290" s="268"/>
      <c r="C1290" s="268"/>
      <c r="D1290" s="268"/>
      <c r="E1290" s="273"/>
      <c r="F1290" s="270"/>
      <c r="G1290" s="268"/>
      <c r="H1290" s="268"/>
      <c r="I1290" s="268"/>
      <c r="J1290" s="273"/>
      <c r="K1290" s="268"/>
      <c r="L1290" s="268"/>
      <c r="M1290" s="268"/>
      <c r="N1290" s="269"/>
      <c r="O1290" s="547"/>
      <c r="P1290" s="547"/>
    </row>
    <row r="1291" spans="1:16" ht="12.75">
      <c r="A1291" s="271"/>
      <c r="B1291" s="268"/>
      <c r="C1291" s="268"/>
      <c r="D1291" s="268"/>
      <c r="E1291" s="273"/>
      <c r="F1291" s="270"/>
      <c r="G1291" s="268"/>
      <c r="H1291" s="268"/>
      <c r="I1291" s="268"/>
      <c r="J1291" s="273"/>
      <c r="K1291" s="268"/>
      <c r="L1291" s="268"/>
      <c r="M1291" s="268"/>
      <c r="N1291" s="269"/>
      <c r="O1291" s="547"/>
      <c r="P1291" s="547"/>
    </row>
    <row r="1292" spans="1:16" ht="12.75">
      <c r="A1292" s="271"/>
      <c r="B1292" s="268"/>
      <c r="C1292" s="268"/>
      <c r="D1292" s="268"/>
      <c r="E1292" s="273"/>
      <c r="F1292" s="270"/>
      <c r="G1292" s="268"/>
      <c r="H1292" s="268"/>
      <c r="I1292" s="268"/>
      <c r="J1292" s="273"/>
      <c r="K1292" s="268"/>
      <c r="L1292" s="268"/>
      <c r="M1292" s="268"/>
      <c r="N1292" s="269"/>
      <c r="O1292" s="547"/>
      <c r="P1292" s="547"/>
    </row>
    <row r="1293" spans="1:16" ht="12.75">
      <c r="A1293" s="271"/>
      <c r="B1293" s="268"/>
      <c r="C1293" s="268"/>
      <c r="D1293" s="268"/>
      <c r="E1293" s="273"/>
      <c r="F1293" s="270"/>
      <c r="G1293" s="268"/>
      <c r="H1293" s="268"/>
      <c r="I1293" s="268"/>
      <c r="J1293" s="273"/>
      <c r="K1293" s="268"/>
      <c r="L1293" s="268"/>
      <c r="M1293" s="268"/>
      <c r="N1293" s="269"/>
      <c r="O1293" s="547"/>
      <c r="P1293" s="547"/>
    </row>
    <row r="1294" spans="1:16" ht="12.75">
      <c r="A1294" s="271"/>
      <c r="B1294" s="268"/>
      <c r="C1294" s="268"/>
      <c r="D1294" s="268"/>
      <c r="E1294" s="273"/>
      <c r="F1294" s="270"/>
      <c r="G1294" s="268"/>
      <c r="H1294" s="268"/>
      <c r="I1294" s="268"/>
      <c r="J1294" s="273"/>
      <c r="K1294" s="268"/>
      <c r="L1294" s="268"/>
      <c r="M1294" s="268"/>
      <c r="N1294" s="269"/>
      <c r="O1294" s="547"/>
      <c r="P1294" s="547"/>
    </row>
    <row r="1295" spans="1:16" ht="12.75">
      <c r="A1295" s="271"/>
      <c r="B1295" s="268"/>
      <c r="C1295" s="268"/>
      <c r="D1295" s="268"/>
      <c r="E1295" s="273"/>
      <c r="F1295" s="270"/>
      <c r="G1295" s="268"/>
      <c r="H1295" s="268"/>
      <c r="I1295" s="268"/>
      <c r="J1295" s="273"/>
      <c r="K1295" s="268"/>
      <c r="L1295" s="268"/>
      <c r="M1295" s="268"/>
      <c r="N1295" s="269"/>
      <c r="O1295" s="547"/>
      <c r="P1295" s="547"/>
    </row>
    <row r="1296" spans="1:16" ht="12.75">
      <c r="A1296" s="271"/>
      <c r="B1296" s="268"/>
      <c r="C1296" s="268"/>
      <c r="D1296" s="268"/>
      <c r="E1296" s="273"/>
      <c r="F1296" s="270"/>
      <c r="G1296" s="268"/>
      <c r="H1296" s="268"/>
      <c r="I1296" s="268"/>
      <c r="J1296" s="273"/>
      <c r="K1296" s="268"/>
      <c r="L1296" s="268"/>
      <c r="M1296" s="268"/>
      <c r="N1296" s="269"/>
      <c r="O1296" s="547"/>
      <c r="P1296" s="547"/>
    </row>
    <row r="1297" spans="1:16" ht="12.75">
      <c r="A1297" s="271"/>
      <c r="B1297" s="268"/>
      <c r="C1297" s="268"/>
      <c r="D1297" s="268"/>
      <c r="E1297" s="273"/>
      <c r="F1297" s="270"/>
      <c r="G1297" s="268"/>
      <c r="H1297" s="268"/>
      <c r="I1297" s="268"/>
      <c r="J1297" s="273"/>
      <c r="K1297" s="268"/>
      <c r="L1297" s="268"/>
      <c r="M1297" s="268"/>
      <c r="N1297" s="269"/>
      <c r="O1297" s="547"/>
      <c r="P1297" s="547"/>
    </row>
    <row r="1298" spans="1:16" ht="12.75">
      <c r="A1298" s="271"/>
      <c r="B1298" s="268"/>
      <c r="C1298" s="268"/>
      <c r="D1298" s="268"/>
      <c r="E1298" s="273"/>
      <c r="F1298" s="270"/>
      <c r="G1298" s="268"/>
      <c r="H1298" s="268"/>
      <c r="I1298" s="268"/>
      <c r="J1298" s="273"/>
      <c r="K1298" s="268"/>
      <c r="L1298" s="268"/>
      <c r="M1298" s="268"/>
      <c r="N1298" s="269"/>
      <c r="O1298" s="547"/>
      <c r="P1298" s="547"/>
    </row>
    <row r="1299" spans="1:16" ht="12.75">
      <c r="A1299" s="271"/>
      <c r="B1299" s="268"/>
      <c r="C1299" s="268"/>
      <c r="D1299" s="268"/>
      <c r="E1299" s="273"/>
      <c r="F1299" s="270"/>
      <c r="G1299" s="268"/>
      <c r="H1299" s="268"/>
      <c r="I1299" s="268"/>
      <c r="J1299" s="273"/>
      <c r="K1299" s="268"/>
      <c r="L1299" s="268"/>
      <c r="M1299" s="268"/>
      <c r="N1299" s="269"/>
      <c r="O1299" s="547"/>
      <c r="P1299" s="547"/>
    </row>
    <row r="1300" spans="1:16" ht="12.75">
      <c r="A1300" s="271"/>
      <c r="B1300" s="268"/>
      <c r="C1300" s="268"/>
      <c r="D1300" s="268"/>
      <c r="E1300" s="273"/>
      <c r="F1300" s="270"/>
      <c r="G1300" s="268"/>
      <c r="H1300" s="268"/>
      <c r="I1300" s="268"/>
      <c r="J1300" s="273"/>
      <c r="K1300" s="268"/>
      <c r="L1300" s="268"/>
      <c r="M1300" s="268"/>
      <c r="N1300" s="269"/>
      <c r="O1300" s="547"/>
      <c r="P1300" s="547"/>
    </row>
    <row r="1301" spans="1:16" ht="12.75">
      <c r="A1301" s="271"/>
      <c r="B1301" s="268"/>
      <c r="C1301" s="268"/>
      <c r="D1301" s="268"/>
      <c r="E1301" s="273"/>
      <c r="F1301" s="270"/>
      <c r="G1301" s="268"/>
      <c r="H1301" s="268"/>
      <c r="I1301" s="268"/>
      <c r="J1301" s="273"/>
      <c r="K1301" s="268"/>
      <c r="L1301" s="268"/>
      <c r="M1301" s="268"/>
      <c r="N1301" s="269"/>
      <c r="O1301" s="547"/>
      <c r="P1301" s="547"/>
    </row>
    <row r="1302" spans="1:16" ht="12.75">
      <c r="A1302" s="271"/>
      <c r="B1302" s="268"/>
      <c r="C1302" s="268"/>
      <c r="D1302" s="268"/>
      <c r="E1302" s="273"/>
      <c r="F1302" s="270"/>
      <c r="G1302" s="268"/>
      <c r="H1302" s="268"/>
      <c r="I1302" s="268"/>
      <c r="J1302" s="273"/>
      <c r="K1302" s="268"/>
      <c r="L1302" s="268"/>
      <c r="M1302" s="268"/>
      <c r="N1302" s="269"/>
      <c r="O1302" s="547"/>
      <c r="P1302" s="547"/>
    </row>
    <row r="1303" spans="1:16" ht="12.75">
      <c r="A1303" s="271"/>
      <c r="B1303" s="268"/>
      <c r="C1303" s="268"/>
      <c r="D1303" s="268"/>
      <c r="E1303" s="273"/>
      <c r="F1303" s="270"/>
      <c r="G1303" s="268"/>
      <c r="H1303" s="268"/>
      <c r="I1303" s="268"/>
      <c r="J1303" s="273"/>
      <c r="K1303" s="268"/>
      <c r="L1303" s="268"/>
      <c r="M1303" s="268"/>
      <c r="N1303" s="269"/>
      <c r="O1303" s="547"/>
      <c r="P1303" s="547"/>
    </row>
    <row r="1304" spans="1:16" ht="12.75">
      <c r="A1304" s="271"/>
      <c r="B1304" s="268"/>
      <c r="C1304" s="268"/>
      <c r="D1304" s="268"/>
      <c r="E1304" s="273"/>
      <c r="F1304" s="270"/>
      <c r="G1304" s="268"/>
      <c r="H1304" s="268"/>
      <c r="I1304" s="268"/>
      <c r="J1304" s="273"/>
      <c r="K1304" s="268"/>
      <c r="L1304" s="268"/>
      <c r="M1304" s="268"/>
      <c r="N1304" s="269"/>
      <c r="O1304" s="547"/>
      <c r="P1304" s="547"/>
    </row>
    <row r="1305" spans="1:16" ht="12.75">
      <c r="A1305" s="271"/>
      <c r="B1305" s="268"/>
      <c r="C1305" s="268"/>
      <c r="D1305" s="268"/>
      <c r="E1305" s="273"/>
      <c r="F1305" s="270"/>
      <c r="G1305" s="268"/>
      <c r="H1305" s="268"/>
      <c r="I1305" s="268"/>
      <c r="J1305" s="273"/>
      <c r="K1305" s="268"/>
      <c r="L1305" s="268"/>
      <c r="M1305" s="268"/>
      <c r="N1305" s="269"/>
      <c r="O1305" s="547"/>
      <c r="P1305" s="547"/>
    </row>
    <row r="1306" spans="1:16" ht="12.75">
      <c r="A1306" s="271"/>
      <c r="B1306" s="268"/>
      <c r="C1306" s="268"/>
      <c r="D1306" s="268"/>
      <c r="E1306" s="273"/>
      <c r="F1306" s="270"/>
      <c r="G1306" s="268"/>
      <c r="H1306" s="268"/>
      <c r="I1306" s="268"/>
      <c r="J1306" s="273"/>
      <c r="K1306" s="268"/>
      <c r="L1306" s="268"/>
      <c r="M1306" s="268"/>
      <c r="N1306" s="269"/>
      <c r="O1306" s="547"/>
      <c r="P1306" s="547"/>
    </row>
    <row r="1307" spans="1:16" ht="12.75">
      <c r="A1307" s="271"/>
      <c r="B1307" s="268"/>
      <c r="C1307" s="268"/>
      <c r="D1307" s="268"/>
      <c r="E1307" s="273"/>
      <c r="F1307" s="270"/>
      <c r="G1307" s="268"/>
      <c r="H1307" s="268"/>
      <c r="I1307" s="268"/>
      <c r="J1307" s="273"/>
      <c r="K1307" s="268"/>
      <c r="L1307" s="268"/>
      <c r="M1307" s="268"/>
      <c r="N1307" s="269"/>
      <c r="O1307" s="547"/>
      <c r="P1307" s="547"/>
    </row>
    <row r="1308" spans="1:16" ht="12.75">
      <c r="A1308" s="271"/>
      <c r="B1308" s="268"/>
      <c r="C1308" s="268"/>
      <c r="D1308" s="268"/>
      <c r="E1308" s="273"/>
      <c r="F1308" s="270"/>
      <c r="G1308" s="268"/>
      <c r="H1308" s="268"/>
      <c r="I1308" s="268"/>
      <c r="J1308" s="273"/>
      <c r="K1308" s="268"/>
      <c r="L1308" s="268"/>
      <c r="M1308" s="268"/>
      <c r="N1308" s="269"/>
      <c r="O1308" s="547"/>
      <c r="P1308" s="547"/>
    </row>
    <row r="1309" spans="1:16" ht="12.75">
      <c r="A1309" s="271"/>
      <c r="B1309" s="268"/>
      <c r="C1309" s="268"/>
      <c r="D1309" s="268"/>
      <c r="E1309" s="273"/>
      <c r="F1309" s="270"/>
      <c r="G1309" s="268"/>
      <c r="H1309" s="268"/>
      <c r="I1309" s="268"/>
      <c r="J1309" s="273"/>
      <c r="K1309" s="268"/>
      <c r="L1309" s="268"/>
      <c r="M1309" s="268"/>
      <c r="N1309" s="269"/>
      <c r="O1309" s="547"/>
      <c r="P1309" s="547"/>
    </row>
    <row r="1310" spans="1:16" ht="12.75">
      <c r="A1310" s="271"/>
      <c r="B1310" s="268"/>
      <c r="C1310" s="268"/>
      <c r="D1310" s="268"/>
      <c r="E1310" s="273"/>
      <c r="F1310" s="270"/>
      <c r="G1310" s="268"/>
      <c r="H1310" s="268"/>
      <c r="I1310" s="268"/>
      <c r="J1310" s="273"/>
      <c r="K1310" s="268"/>
      <c r="L1310" s="268"/>
      <c r="M1310" s="268"/>
      <c r="N1310" s="269"/>
      <c r="O1310" s="547"/>
      <c r="P1310" s="547"/>
    </row>
    <row r="1311" spans="1:16" ht="12.75">
      <c r="A1311" s="271"/>
      <c r="B1311" s="268"/>
      <c r="C1311" s="268"/>
      <c r="D1311" s="268"/>
      <c r="E1311" s="273"/>
      <c r="F1311" s="270"/>
      <c r="G1311" s="268"/>
      <c r="H1311" s="268"/>
      <c r="I1311" s="268"/>
      <c r="J1311" s="273"/>
      <c r="K1311" s="268"/>
      <c r="L1311" s="268"/>
      <c r="M1311" s="268"/>
      <c r="N1311" s="269"/>
      <c r="O1311" s="547"/>
      <c r="P1311" s="547"/>
    </row>
    <row r="1312" spans="1:16" ht="12.75">
      <c r="A1312" s="271"/>
      <c r="B1312" s="268"/>
      <c r="C1312" s="268"/>
      <c r="D1312" s="268"/>
      <c r="E1312" s="273"/>
      <c r="F1312" s="270"/>
      <c r="G1312" s="268"/>
      <c r="H1312" s="268"/>
      <c r="I1312" s="268"/>
      <c r="J1312" s="273"/>
      <c r="K1312" s="268"/>
      <c r="L1312" s="268"/>
      <c r="M1312" s="268"/>
      <c r="N1312" s="269"/>
      <c r="O1312" s="547"/>
      <c r="P1312" s="547"/>
    </row>
    <row r="1313" spans="1:16" ht="12.75">
      <c r="A1313" s="271"/>
      <c r="B1313" s="268"/>
      <c r="C1313" s="268"/>
      <c r="D1313" s="268"/>
      <c r="E1313" s="273"/>
      <c r="F1313" s="270"/>
      <c r="G1313" s="268"/>
      <c r="H1313" s="268"/>
      <c r="I1313" s="268"/>
      <c r="J1313" s="273"/>
      <c r="K1313" s="268"/>
      <c r="L1313" s="268"/>
      <c r="M1313" s="268"/>
      <c r="N1313" s="269"/>
      <c r="O1313" s="547"/>
      <c r="P1313" s="547"/>
    </row>
    <row r="1314" spans="1:16" ht="12.75">
      <c r="A1314" s="271"/>
      <c r="B1314" s="268"/>
      <c r="C1314" s="268"/>
      <c r="D1314" s="268"/>
      <c r="E1314" s="273"/>
      <c r="F1314" s="270"/>
      <c r="G1314" s="268"/>
      <c r="H1314" s="268"/>
      <c r="I1314" s="268"/>
      <c r="J1314" s="273"/>
      <c r="K1314" s="268"/>
      <c r="L1314" s="268"/>
      <c r="M1314" s="268"/>
      <c r="N1314" s="269"/>
      <c r="O1314" s="547"/>
      <c r="P1314" s="547"/>
    </row>
    <row r="1315" spans="1:16" ht="12.75">
      <c r="A1315" s="271"/>
      <c r="B1315" s="268"/>
      <c r="C1315" s="268"/>
      <c r="D1315" s="268"/>
      <c r="E1315" s="273"/>
      <c r="F1315" s="270"/>
      <c r="G1315" s="268"/>
      <c r="H1315" s="268"/>
      <c r="I1315" s="268"/>
      <c r="J1315" s="273"/>
      <c r="K1315" s="268"/>
      <c r="L1315" s="268"/>
      <c r="M1315" s="268"/>
      <c r="N1315" s="269"/>
      <c r="O1315" s="547"/>
      <c r="P1315" s="547"/>
    </row>
    <row r="1316" spans="1:16" ht="12.75">
      <c r="A1316" s="271"/>
      <c r="B1316" s="268"/>
      <c r="C1316" s="268"/>
      <c r="D1316" s="268"/>
      <c r="E1316" s="273"/>
      <c r="F1316" s="270"/>
      <c r="G1316" s="268"/>
      <c r="H1316" s="268"/>
      <c r="I1316" s="268"/>
      <c r="J1316" s="273"/>
      <c r="K1316" s="268"/>
      <c r="L1316" s="268"/>
      <c r="M1316" s="268"/>
      <c r="N1316" s="269"/>
      <c r="O1316" s="547"/>
      <c r="P1316" s="547"/>
    </row>
    <row r="1317" spans="1:16" ht="12.75">
      <c r="A1317" s="271"/>
      <c r="B1317" s="268"/>
      <c r="C1317" s="268"/>
      <c r="D1317" s="268"/>
      <c r="E1317" s="273"/>
      <c r="F1317" s="270"/>
      <c r="G1317" s="268"/>
      <c r="H1317" s="268"/>
      <c r="I1317" s="268"/>
      <c r="J1317" s="273"/>
      <c r="K1317" s="268"/>
      <c r="L1317" s="268"/>
      <c r="M1317" s="268"/>
      <c r="N1317" s="269"/>
      <c r="O1317" s="547"/>
      <c r="P1317" s="547"/>
    </row>
    <row r="1318" spans="1:16" ht="12.75">
      <c r="A1318" s="271"/>
      <c r="B1318" s="268"/>
      <c r="C1318" s="268"/>
      <c r="D1318" s="268"/>
      <c r="E1318" s="273"/>
      <c r="F1318" s="270"/>
      <c r="G1318" s="268"/>
      <c r="H1318" s="268"/>
      <c r="I1318" s="268"/>
      <c r="J1318" s="273"/>
      <c r="K1318" s="268"/>
      <c r="L1318" s="268"/>
      <c r="M1318" s="268"/>
      <c r="N1318" s="269"/>
      <c r="O1318" s="547"/>
      <c r="P1318" s="547"/>
    </row>
    <row r="1319" spans="1:16" ht="12.75">
      <c r="A1319" s="271"/>
      <c r="B1319" s="268"/>
      <c r="C1319" s="268"/>
      <c r="D1319" s="268"/>
      <c r="E1319" s="273"/>
      <c r="F1319" s="270"/>
      <c r="G1319" s="268"/>
      <c r="H1319" s="268"/>
      <c r="I1319" s="268"/>
      <c r="J1319" s="273"/>
      <c r="K1319" s="268"/>
      <c r="L1319" s="268"/>
      <c r="M1319" s="268"/>
      <c r="N1319" s="269"/>
      <c r="O1319" s="547"/>
      <c r="P1319" s="547"/>
    </row>
    <row r="1320" spans="1:16" ht="12.75">
      <c r="A1320" s="271"/>
      <c r="B1320" s="268"/>
      <c r="C1320" s="268"/>
      <c r="D1320" s="268"/>
      <c r="E1320" s="273"/>
      <c r="F1320" s="270"/>
      <c r="G1320" s="268"/>
      <c r="H1320" s="268"/>
      <c r="I1320" s="268"/>
      <c r="J1320" s="273"/>
      <c r="K1320" s="268"/>
      <c r="L1320" s="268"/>
      <c r="M1320" s="268"/>
      <c r="N1320" s="269"/>
      <c r="O1320" s="547"/>
      <c r="P1320" s="547"/>
    </row>
    <row r="1321" spans="1:16" ht="12.75">
      <c r="A1321" s="271"/>
      <c r="B1321" s="268"/>
      <c r="C1321" s="268"/>
      <c r="D1321" s="268"/>
      <c r="E1321" s="273"/>
      <c r="F1321" s="270"/>
      <c r="G1321" s="268"/>
      <c r="H1321" s="268"/>
      <c r="I1321" s="268"/>
      <c r="J1321" s="273"/>
      <c r="K1321" s="268"/>
      <c r="L1321" s="268"/>
      <c r="M1321" s="268"/>
      <c r="N1321" s="269"/>
      <c r="O1321" s="547"/>
      <c r="P1321" s="547"/>
    </row>
    <row r="1322" spans="1:16" ht="12.75">
      <c r="A1322" s="271"/>
      <c r="B1322" s="268"/>
      <c r="C1322" s="268"/>
      <c r="D1322" s="268"/>
      <c r="E1322" s="273"/>
      <c r="F1322" s="270"/>
      <c r="G1322" s="268"/>
      <c r="H1322" s="268"/>
      <c r="I1322" s="268"/>
      <c r="J1322" s="273"/>
      <c r="K1322" s="268"/>
      <c r="L1322" s="268"/>
      <c r="M1322" s="268"/>
      <c r="N1322" s="269"/>
      <c r="O1322" s="547"/>
      <c r="P1322" s="547"/>
    </row>
    <row r="1323" spans="1:16" ht="12.75">
      <c r="A1323" s="271"/>
      <c r="B1323" s="268"/>
      <c r="C1323" s="268"/>
      <c r="D1323" s="268"/>
      <c r="E1323" s="273"/>
      <c r="F1323" s="270"/>
      <c r="G1323" s="268"/>
      <c r="H1323" s="268"/>
      <c r="I1323" s="268"/>
      <c r="J1323" s="273"/>
      <c r="K1323" s="268"/>
      <c r="L1323" s="268"/>
      <c r="M1323" s="268"/>
      <c r="N1323" s="269"/>
      <c r="O1323" s="547"/>
      <c r="P1323" s="547"/>
    </row>
    <row r="1324" spans="1:16" ht="12.75">
      <c r="A1324" s="271"/>
      <c r="B1324" s="268"/>
      <c r="C1324" s="268"/>
      <c r="D1324" s="268"/>
      <c r="E1324" s="273"/>
      <c r="F1324" s="270"/>
      <c r="G1324" s="268"/>
      <c r="H1324" s="268"/>
      <c r="I1324" s="268"/>
      <c r="J1324" s="273"/>
      <c r="K1324" s="268"/>
      <c r="L1324" s="268"/>
      <c r="M1324" s="268"/>
      <c r="N1324" s="269"/>
      <c r="O1324" s="547"/>
      <c r="P1324" s="547"/>
    </row>
    <row r="1325" spans="1:16" ht="12.75">
      <c r="A1325" s="271"/>
      <c r="B1325" s="268"/>
      <c r="C1325" s="268"/>
      <c r="D1325" s="268"/>
      <c r="E1325" s="273"/>
      <c r="F1325" s="270"/>
      <c r="G1325" s="268"/>
      <c r="H1325" s="268"/>
      <c r="I1325" s="268"/>
      <c r="J1325" s="273"/>
      <c r="K1325" s="268"/>
      <c r="L1325" s="268"/>
      <c r="M1325" s="268"/>
      <c r="N1325" s="269"/>
      <c r="O1325" s="547"/>
      <c r="P1325" s="547"/>
    </row>
    <row r="1326" spans="1:16" ht="12.75">
      <c r="A1326" s="271"/>
      <c r="B1326" s="268"/>
      <c r="C1326" s="268"/>
      <c r="D1326" s="268"/>
      <c r="E1326" s="273"/>
      <c r="F1326" s="270"/>
      <c r="G1326" s="268"/>
      <c r="H1326" s="268"/>
      <c r="I1326" s="268"/>
      <c r="J1326" s="273"/>
      <c r="K1326" s="268"/>
      <c r="L1326" s="268"/>
      <c r="M1326" s="268"/>
      <c r="N1326" s="269"/>
      <c r="O1326" s="547"/>
      <c r="P1326" s="547"/>
    </row>
    <row r="1327" spans="1:16" ht="12.75">
      <c r="A1327" s="271"/>
      <c r="B1327" s="268"/>
      <c r="C1327" s="268"/>
      <c r="D1327" s="268"/>
      <c r="E1327" s="273"/>
      <c r="F1327" s="270"/>
      <c r="G1327" s="268"/>
      <c r="H1327" s="268"/>
      <c r="I1327" s="268"/>
      <c r="J1327" s="273"/>
      <c r="K1327" s="268"/>
      <c r="L1327" s="268"/>
      <c r="M1327" s="268"/>
      <c r="N1327" s="269"/>
      <c r="O1327" s="547"/>
      <c r="P1327" s="547"/>
    </row>
    <row r="1328" spans="1:16" ht="12.75">
      <c r="A1328" s="271"/>
      <c r="B1328" s="268"/>
      <c r="C1328" s="268"/>
      <c r="D1328" s="268"/>
      <c r="E1328" s="273"/>
      <c r="F1328" s="270"/>
      <c r="G1328" s="268"/>
      <c r="H1328" s="268"/>
      <c r="I1328" s="268"/>
      <c r="J1328" s="273"/>
      <c r="K1328" s="268"/>
      <c r="L1328" s="268"/>
      <c r="M1328" s="268"/>
      <c r="N1328" s="269"/>
      <c r="O1328" s="547"/>
      <c r="P1328" s="547"/>
    </row>
    <row r="1329" spans="1:16" ht="12.75">
      <c r="A1329" s="271"/>
      <c r="B1329" s="268"/>
      <c r="C1329" s="268"/>
      <c r="D1329" s="268"/>
      <c r="E1329" s="273"/>
      <c r="F1329" s="270"/>
      <c r="G1329" s="268"/>
      <c r="H1329" s="268"/>
      <c r="I1329" s="268"/>
      <c r="J1329" s="273"/>
      <c r="K1329" s="268"/>
      <c r="L1329" s="268"/>
      <c r="M1329" s="268"/>
      <c r="N1329" s="269"/>
      <c r="O1329" s="547"/>
      <c r="P1329" s="547"/>
    </row>
    <row r="1330" spans="1:16" ht="12.75">
      <c r="A1330" s="271"/>
      <c r="B1330" s="268"/>
      <c r="C1330" s="268"/>
      <c r="D1330" s="268"/>
      <c r="E1330" s="273"/>
      <c r="F1330" s="270"/>
      <c r="G1330" s="268"/>
      <c r="H1330" s="268"/>
      <c r="I1330" s="268"/>
      <c r="J1330" s="273"/>
      <c r="K1330" s="268"/>
      <c r="L1330" s="268"/>
      <c r="M1330" s="268"/>
      <c r="N1330" s="269"/>
      <c r="O1330" s="547"/>
      <c r="P1330" s="547"/>
    </row>
    <row r="1331" spans="1:16" ht="12.75">
      <c r="A1331" s="271"/>
      <c r="B1331" s="268"/>
      <c r="C1331" s="268"/>
      <c r="D1331" s="268"/>
      <c r="E1331" s="273"/>
      <c r="F1331" s="270"/>
      <c r="G1331" s="268"/>
      <c r="H1331" s="268"/>
      <c r="I1331" s="268"/>
      <c r="J1331" s="273"/>
      <c r="K1331" s="268"/>
      <c r="L1331" s="268"/>
      <c r="M1331" s="268"/>
      <c r="N1331" s="269"/>
      <c r="O1331" s="547"/>
      <c r="P1331" s="547"/>
    </row>
    <row r="1332" spans="1:16" ht="12.75">
      <c r="A1332" s="271"/>
      <c r="B1332" s="268"/>
      <c r="C1332" s="268"/>
      <c r="D1332" s="268"/>
      <c r="E1332" s="273"/>
      <c r="F1332" s="270"/>
      <c r="G1332" s="268"/>
      <c r="H1332" s="268"/>
      <c r="I1332" s="268"/>
      <c r="J1332" s="273"/>
      <c r="K1332" s="268"/>
      <c r="L1332" s="268"/>
      <c r="M1332" s="268"/>
      <c r="N1332" s="269"/>
      <c r="O1332" s="547"/>
      <c r="P1332" s="547"/>
    </row>
    <row r="1333" spans="1:16" ht="12.75">
      <c r="A1333" s="271"/>
      <c r="B1333" s="268"/>
      <c r="C1333" s="268"/>
      <c r="D1333" s="268"/>
      <c r="E1333" s="273"/>
      <c r="F1333" s="270"/>
      <c r="G1333" s="268"/>
      <c r="H1333" s="268"/>
      <c r="I1333" s="268"/>
      <c r="J1333" s="273"/>
      <c r="K1333" s="268"/>
      <c r="L1333" s="268"/>
      <c r="M1333" s="268"/>
      <c r="N1333" s="269"/>
      <c r="O1333" s="547"/>
      <c r="P1333" s="547"/>
    </row>
    <row r="1334" spans="1:16" ht="12.75">
      <c r="A1334" s="271"/>
      <c r="B1334" s="268"/>
      <c r="C1334" s="268"/>
      <c r="D1334" s="268"/>
      <c r="E1334" s="273"/>
      <c r="F1334" s="270"/>
      <c r="G1334" s="268"/>
      <c r="H1334" s="268"/>
      <c r="I1334" s="268"/>
      <c r="J1334" s="273"/>
      <c r="K1334" s="268"/>
      <c r="L1334" s="268"/>
      <c r="M1334" s="268"/>
      <c r="N1334" s="269"/>
      <c r="O1334" s="547"/>
      <c r="P1334" s="547"/>
    </row>
    <row r="1335" spans="1:16" ht="12.75">
      <c r="A1335" s="271"/>
      <c r="B1335" s="268"/>
      <c r="C1335" s="268"/>
      <c r="D1335" s="268"/>
      <c r="E1335" s="273"/>
      <c r="F1335" s="270"/>
      <c r="G1335" s="268"/>
      <c r="H1335" s="268"/>
      <c r="I1335" s="268"/>
      <c r="J1335" s="273"/>
      <c r="K1335" s="268"/>
      <c r="L1335" s="268"/>
      <c r="M1335" s="268"/>
      <c r="N1335" s="269"/>
      <c r="O1335" s="547"/>
      <c r="P1335" s="547"/>
    </row>
    <row r="1336" spans="1:16" ht="12.75">
      <c r="A1336" s="271"/>
      <c r="B1336" s="268"/>
      <c r="C1336" s="268"/>
      <c r="D1336" s="268"/>
      <c r="E1336" s="273"/>
      <c r="F1336" s="270"/>
      <c r="G1336" s="268"/>
      <c r="H1336" s="268"/>
      <c r="I1336" s="268"/>
      <c r="J1336" s="273"/>
      <c r="K1336" s="268"/>
      <c r="L1336" s="268"/>
      <c r="M1336" s="268"/>
      <c r="N1336" s="269"/>
      <c r="O1336" s="547"/>
      <c r="P1336" s="547"/>
    </row>
    <row r="1337" spans="1:16" ht="12.75">
      <c r="A1337" s="271"/>
      <c r="B1337" s="268"/>
      <c r="C1337" s="268"/>
      <c r="D1337" s="268"/>
      <c r="E1337" s="273"/>
      <c r="F1337" s="270"/>
      <c r="G1337" s="268"/>
      <c r="H1337" s="268"/>
      <c r="I1337" s="268"/>
      <c r="J1337" s="273"/>
      <c r="K1337" s="268"/>
      <c r="L1337" s="268"/>
      <c r="M1337" s="268"/>
      <c r="N1337" s="269"/>
      <c r="O1337" s="547"/>
      <c r="P1337" s="547"/>
    </row>
    <row r="1338" spans="1:16" ht="12.75">
      <c r="A1338" s="271"/>
      <c r="B1338" s="268"/>
      <c r="C1338" s="268"/>
      <c r="D1338" s="268"/>
      <c r="E1338" s="273"/>
      <c r="F1338" s="270"/>
      <c r="G1338" s="268"/>
      <c r="H1338" s="268"/>
      <c r="I1338" s="268"/>
      <c r="J1338" s="273"/>
      <c r="K1338" s="268"/>
      <c r="L1338" s="268"/>
      <c r="M1338" s="268"/>
      <c r="N1338" s="269"/>
      <c r="O1338" s="547"/>
      <c r="P1338" s="547"/>
    </row>
    <row r="1339" spans="1:16" ht="12.75">
      <c r="A1339" s="271"/>
      <c r="B1339" s="268"/>
      <c r="C1339" s="268"/>
      <c r="D1339" s="268"/>
      <c r="E1339" s="273"/>
      <c r="F1339" s="270"/>
      <c r="G1339" s="268"/>
      <c r="H1339" s="268"/>
      <c r="I1339" s="268"/>
      <c r="J1339" s="273"/>
      <c r="K1339" s="268"/>
      <c r="L1339" s="268"/>
      <c r="M1339" s="268"/>
      <c r="N1339" s="269"/>
      <c r="O1339" s="547"/>
      <c r="P1339" s="547"/>
    </row>
    <row r="1340" spans="1:16" ht="12.75">
      <c r="A1340" s="271"/>
      <c r="B1340" s="268"/>
      <c r="C1340" s="268"/>
      <c r="D1340" s="268"/>
      <c r="E1340" s="273"/>
      <c r="F1340" s="270"/>
      <c r="G1340" s="268"/>
      <c r="H1340" s="268"/>
      <c r="I1340" s="268"/>
      <c r="J1340" s="273"/>
      <c r="K1340" s="268"/>
      <c r="L1340" s="268"/>
      <c r="M1340" s="268"/>
      <c r="N1340" s="269"/>
      <c r="O1340" s="547"/>
      <c r="P1340" s="547"/>
    </row>
    <row r="1341" spans="1:16" ht="12.75">
      <c r="A1341" s="271"/>
      <c r="B1341" s="268"/>
      <c r="C1341" s="268"/>
      <c r="D1341" s="268"/>
      <c r="E1341" s="273"/>
      <c r="F1341" s="270"/>
      <c r="G1341" s="268"/>
      <c r="H1341" s="268"/>
      <c r="I1341" s="268"/>
      <c r="J1341" s="273"/>
      <c r="K1341" s="268"/>
      <c r="L1341" s="268"/>
      <c r="M1341" s="268"/>
      <c r="N1341" s="269"/>
      <c r="O1341" s="547"/>
      <c r="P1341" s="547"/>
    </row>
    <row r="1342" spans="1:16" ht="12.75">
      <c r="A1342" s="271"/>
      <c r="B1342" s="268"/>
      <c r="C1342" s="268"/>
      <c r="D1342" s="268"/>
      <c r="E1342" s="273"/>
      <c r="F1342" s="270"/>
      <c r="G1342" s="268"/>
      <c r="H1342" s="268"/>
      <c r="I1342" s="268"/>
      <c r="J1342" s="273"/>
      <c r="K1342" s="268"/>
      <c r="L1342" s="268"/>
      <c r="M1342" s="268"/>
      <c r="N1342" s="269"/>
      <c r="O1342" s="547"/>
      <c r="P1342" s="547"/>
    </row>
    <row r="1343" spans="1:16" ht="12.75">
      <c r="A1343" s="271"/>
      <c r="B1343" s="268"/>
      <c r="C1343" s="268"/>
      <c r="D1343" s="268"/>
      <c r="E1343" s="273"/>
      <c r="F1343" s="270"/>
      <c r="G1343" s="268"/>
      <c r="H1343" s="268"/>
      <c r="I1343" s="268"/>
      <c r="J1343" s="273"/>
      <c r="K1343" s="268"/>
      <c r="L1343" s="268"/>
      <c r="M1343" s="268"/>
      <c r="N1343" s="269"/>
      <c r="O1343" s="547"/>
      <c r="P1343" s="547"/>
    </row>
    <row r="1344" spans="1:16" ht="12.75">
      <c r="A1344" s="271"/>
      <c r="B1344" s="268"/>
      <c r="C1344" s="268"/>
      <c r="D1344" s="268"/>
      <c r="E1344" s="273"/>
      <c r="F1344" s="270"/>
      <c r="G1344" s="268"/>
      <c r="H1344" s="268"/>
      <c r="I1344" s="268"/>
      <c r="J1344" s="273"/>
      <c r="K1344" s="268"/>
      <c r="L1344" s="268"/>
      <c r="M1344" s="268"/>
      <c r="N1344" s="269"/>
      <c r="O1344" s="547"/>
      <c r="P1344" s="547"/>
    </row>
    <row r="1345" spans="1:16" ht="12.75">
      <c r="A1345" s="271"/>
      <c r="B1345" s="268"/>
      <c r="C1345" s="268"/>
      <c r="D1345" s="268"/>
      <c r="E1345" s="273"/>
      <c r="F1345" s="270"/>
      <c r="G1345" s="268"/>
      <c r="H1345" s="268"/>
      <c r="I1345" s="268"/>
      <c r="J1345" s="273"/>
      <c r="K1345" s="268"/>
      <c r="L1345" s="268"/>
      <c r="M1345" s="268"/>
      <c r="N1345" s="269"/>
      <c r="O1345" s="547"/>
      <c r="P1345" s="547"/>
    </row>
    <row r="1346" spans="1:16" ht="12.75">
      <c r="A1346" s="271"/>
      <c r="B1346" s="268"/>
      <c r="C1346" s="268"/>
      <c r="D1346" s="268"/>
      <c r="E1346" s="273"/>
      <c r="F1346" s="270"/>
      <c r="G1346" s="268"/>
      <c r="H1346" s="268"/>
      <c r="I1346" s="268"/>
      <c r="J1346" s="273"/>
      <c r="K1346" s="268"/>
      <c r="L1346" s="268"/>
      <c r="M1346" s="268"/>
      <c r="N1346" s="269"/>
      <c r="O1346" s="547"/>
      <c r="P1346" s="547"/>
    </row>
    <row r="1347" spans="1:16" ht="12.75">
      <c r="A1347" s="271"/>
      <c r="B1347" s="268"/>
      <c r="C1347" s="268"/>
      <c r="D1347" s="268"/>
      <c r="E1347" s="273"/>
      <c r="F1347" s="270"/>
      <c r="G1347" s="268"/>
      <c r="H1347" s="268"/>
      <c r="I1347" s="268"/>
      <c r="J1347" s="273"/>
      <c r="K1347" s="268"/>
      <c r="L1347" s="268"/>
      <c r="M1347" s="268"/>
      <c r="N1347" s="269"/>
      <c r="O1347" s="547"/>
      <c r="P1347" s="547"/>
    </row>
    <row r="1348" spans="1:16" ht="12.75">
      <c r="A1348" s="271"/>
      <c r="B1348" s="268"/>
      <c r="C1348" s="268"/>
      <c r="D1348" s="268"/>
      <c r="E1348" s="273"/>
      <c r="F1348" s="270"/>
      <c r="G1348" s="268"/>
      <c r="H1348" s="268"/>
      <c r="I1348" s="268"/>
      <c r="J1348" s="273"/>
      <c r="K1348" s="268"/>
      <c r="L1348" s="268"/>
      <c r="M1348" s="268"/>
      <c r="N1348" s="269"/>
      <c r="O1348" s="547"/>
      <c r="P1348" s="547"/>
    </row>
    <row r="1349" spans="1:16" ht="12.75">
      <c r="A1349" s="271"/>
      <c r="B1349" s="268"/>
      <c r="C1349" s="268"/>
      <c r="D1349" s="268"/>
      <c r="E1349" s="273"/>
      <c r="F1349" s="270"/>
      <c r="G1349" s="268"/>
      <c r="H1349" s="268"/>
      <c r="I1349" s="268"/>
      <c r="J1349" s="273"/>
      <c r="K1349" s="268"/>
      <c r="L1349" s="268"/>
      <c r="M1349" s="268"/>
      <c r="N1349" s="269"/>
      <c r="O1349" s="547"/>
      <c r="P1349" s="547"/>
    </row>
    <row r="1350" spans="1:16" ht="12.75">
      <c r="A1350" s="271"/>
      <c r="B1350" s="268"/>
      <c r="C1350" s="268"/>
      <c r="D1350" s="268"/>
      <c r="E1350" s="273"/>
      <c r="F1350" s="270"/>
      <c r="G1350" s="268"/>
      <c r="H1350" s="268"/>
      <c r="I1350" s="268"/>
      <c r="J1350" s="273"/>
      <c r="K1350" s="268"/>
      <c r="L1350" s="268"/>
      <c r="M1350" s="268"/>
      <c r="N1350" s="269"/>
      <c r="O1350" s="547"/>
      <c r="P1350" s="547"/>
    </row>
    <row r="1351" spans="1:16" ht="12.75">
      <c r="A1351" s="271"/>
      <c r="B1351" s="268"/>
      <c r="C1351" s="268"/>
      <c r="D1351" s="268"/>
      <c r="E1351" s="273"/>
      <c r="F1351" s="270"/>
      <c r="G1351" s="268"/>
      <c r="H1351" s="268"/>
      <c r="I1351" s="268"/>
      <c r="J1351" s="273"/>
      <c r="K1351" s="268"/>
      <c r="L1351" s="268"/>
      <c r="M1351" s="268"/>
      <c r="N1351" s="269"/>
      <c r="O1351" s="547"/>
      <c r="P1351" s="547"/>
    </row>
    <row r="1352" spans="1:16" ht="12.75">
      <c r="A1352" s="271"/>
      <c r="B1352" s="268"/>
      <c r="C1352" s="268"/>
      <c r="D1352" s="268"/>
      <c r="E1352" s="273"/>
      <c r="F1352" s="270"/>
      <c r="G1352" s="268"/>
      <c r="H1352" s="268"/>
      <c r="I1352" s="268"/>
      <c r="J1352" s="273"/>
      <c r="K1352" s="268"/>
      <c r="L1352" s="268"/>
      <c r="M1352" s="268"/>
      <c r="N1352" s="269"/>
      <c r="O1352" s="547"/>
      <c r="P1352" s="547"/>
    </row>
    <row r="1353" spans="1:16" ht="12.75">
      <c r="A1353" s="271"/>
      <c r="B1353" s="268"/>
      <c r="C1353" s="268"/>
      <c r="D1353" s="268"/>
      <c r="E1353" s="273"/>
      <c r="F1353" s="270"/>
      <c r="G1353" s="268"/>
      <c r="H1353" s="268"/>
      <c r="I1353" s="268"/>
      <c r="J1353" s="273"/>
      <c r="K1353" s="268"/>
      <c r="L1353" s="268"/>
      <c r="M1353" s="268"/>
      <c r="N1353" s="269"/>
      <c r="O1353" s="547"/>
      <c r="P1353" s="547"/>
    </row>
    <row r="1354" spans="1:16" ht="12.75">
      <c r="A1354" s="271"/>
      <c r="B1354" s="268"/>
      <c r="C1354" s="268"/>
      <c r="D1354" s="268"/>
      <c r="E1354" s="273"/>
      <c r="F1354" s="270"/>
      <c r="G1354" s="268"/>
      <c r="H1354" s="268"/>
      <c r="I1354" s="268"/>
      <c r="J1354" s="273"/>
      <c r="K1354" s="268"/>
      <c r="L1354" s="268"/>
      <c r="M1354" s="268"/>
      <c r="N1354" s="269"/>
      <c r="O1354" s="547"/>
      <c r="P1354" s="547"/>
    </row>
    <row r="1355" spans="1:16" ht="12.75">
      <c r="A1355" s="271"/>
      <c r="B1355" s="268"/>
      <c r="C1355" s="268"/>
      <c r="D1355" s="268"/>
      <c r="E1355" s="273"/>
      <c r="F1355" s="270"/>
      <c r="G1355" s="268"/>
      <c r="H1355" s="268"/>
      <c r="I1355" s="268"/>
      <c r="J1355" s="273"/>
      <c r="K1355" s="268"/>
      <c r="L1355" s="268"/>
      <c r="M1355" s="268"/>
      <c r="N1355" s="269"/>
      <c r="O1355" s="547"/>
      <c r="P1355" s="547"/>
    </row>
    <row r="1356" spans="1:16" ht="12.75">
      <c r="A1356" s="271"/>
      <c r="B1356" s="268"/>
      <c r="C1356" s="268"/>
      <c r="D1356" s="268"/>
      <c r="E1356" s="273"/>
      <c r="F1356" s="270"/>
      <c r="G1356" s="268"/>
      <c r="H1356" s="268"/>
      <c r="I1356" s="268"/>
      <c r="J1356" s="273"/>
      <c r="K1356" s="268"/>
      <c r="L1356" s="268"/>
      <c r="M1356" s="268"/>
      <c r="N1356" s="269"/>
      <c r="O1356" s="547"/>
      <c r="P1356" s="547"/>
    </row>
    <row r="1357" spans="1:16" ht="12.75">
      <c r="A1357" s="271"/>
      <c r="B1357" s="268"/>
      <c r="C1357" s="268"/>
      <c r="D1357" s="268"/>
      <c r="E1357" s="273"/>
      <c r="F1357" s="270"/>
      <c r="G1357" s="268"/>
      <c r="H1357" s="268"/>
      <c r="I1357" s="268"/>
      <c r="J1357" s="273"/>
      <c r="K1357" s="268"/>
      <c r="L1357" s="268"/>
      <c r="M1357" s="268"/>
      <c r="N1357" s="269"/>
      <c r="O1357" s="547"/>
      <c r="P1357" s="547"/>
    </row>
    <row r="1358" spans="1:16" ht="12.75">
      <c r="A1358" s="271"/>
      <c r="B1358" s="268"/>
      <c r="C1358" s="268"/>
      <c r="D1358" s="268"/>
      <c r="E1358" s="273"/>
      <c r="F1358" s="270"/>
      <c r="G1358" s="268"/>
      <c r="H1358" s="268"/>
      <c r="I1358" s="268"/>
      <c r="J1358" s="273"/>
      <c r="K1358" s="268"/>
      <c r="L1358" s="268"/>
      <c r="M1358" s="268"/>
      <c r="N1358" s="269"/>
      <c r="O1358" s="547"/>
      <c r="P1358" s="547"/>
    </row>
    <row r="1359" spans="1:16" ht="12.75">
      <c r="A1359" s="271"/>
      <c r="B1359" s="268"/>
      <c r="C1359" s="268"/>
      <c r="D1359" s="268"/>
      <c r="E1359" s="273"/>
      <c r="F1359" s="270"/>
      <c r="G1359" s="268"/>
      <c r="H1359" s="268"/>
      <c r="I1359" s="268"/>
      <c r="J1359" s="273"/>
      <c r="K1359" s="268"/>
      <c r="L1359" s="268"/>
      <c r="M1359" s="268"/>
      <c r="N1359" s="269"/>
      <c r="O1359" s="547"/>
      <c r="P1359" s="547"/>
    </row>
    <row r="1360" spans="1:16" ht="12.75">
      <c r="A1360" s="271"/>
      <c r="B1360" s="268"/>
      <c r="C1360" s="268"/>
      <c r="D1360" s="268"/>
      <c r="E1360" s="273"/>
      <c r="F1360" s="270"/>
      <c r="G1360" s="268"/>
      <c r="H1360" s="268"/>
      <c r="I1360" s="268"/>
      <c r="J1360" s="273"/>
      <c r="K1360" s="268"/>
      <c r="L1360" s="268"/>
      <c r="M1360" s="268"/>
      <c r="N1360" s="269"/>
      <c r="O1360" s="547"/>
      <c r="P1360" s="547"/>
    </row>
    <row r="1361" spans="1:16" ht="12.75">
      <c r="A1361" s="271"/>
      <c r="B1361" s="268"/>
      <c r="C1361" s="268"/>
      <c r="D1361" s="268"/>
      <c r="E1361" s="273"/>
      <c r="F1361" s="270"/>
      <c r="G1361" s="268"/>
      <c r="H1361" s="268"/>
      <c r="I1361" s="268"/>
      <c r="J1361" s="273"/>
      <c r="K1361" s="268"/>
      <c r="L1361" s="268"/>
      <c r="M1361" s="268"/>
      <c r="N1361" s="269"/>
      <c r="O1361" s="547"/>
      <c r="P1361" s="547"/>
    </row>
    <row r="1362" spans="1:16" ht="12.75">
      <c r="A1362" s="271"/>
      <c r="B1362" s="268"/>
      <c r="C1362" s="268"/>
      <c r="D1362" s="268"/>
      <c r="E1362" s="273"/>
      <c r="F1362" s="270"/>
      <c r="G1362" s="268"/>
      <c r="H1362" s="268"/>
      <c r="I1362" s="268"/>
      <c r="J1362" s="273"/>
      <c r="K1362" s="268"/>
      <c r="L1362" s="268"/>
      <c r="M1362" s="268"/>
      <c r="N1362" s="269"/>
      <c r="O1362" s="547"/>
      <c r="P1362" s="547"/>
    </row>
    <row r="1363" spans="1:16" ht="12.75">
      <c r="A1363" s="271"/>
      <c r="B1363" s="268"/>
      <c r="C1363" s="268"/>
      <c r="D1363" s="268"/>
      <c r="E1363" s="273"/>
      <c r="F1363" s="270"/>
      <c r="G1363" s="268"/>
      <c r="H1363" s="268"/>
      <c r="I1363" s="268"/>
      <c r="J1363" s="273"/>
      <c r="K1363" s="268"/>
      <c r="L1363" s="268"/>
      <c r="M1363" s="268"/>
      <c r="N1363" s="269"/>
      <c r="O1363" s="547"/>
      <c r="P1363" s="547"/>
    </row>
    <row r="1364" spans="1:16" ht="12.75">
      <c r="A1364" s="271"/>
      <c r="B1364" s="268"/>
      <c r="C1364" s="268"/>
      <c r="D1364" s="268"/>
      <c r="E1364" s="273"/>
      <c r="F1364" s="270"/>
      <c r="G1364" s="268"/>
      <c r="H1364" s="268"/>
      <c r="I1364" s="268"/>
      <c r="J1364" s="273"/>
      <c r="K1364" s="268"/>
      <c r="L1364" s="268"/>
      <c r="M1364" s="268"/>
      <c r="N1364" s="269"/>
      <c r="O1364" s="547"/>
      <c r="P1364" s="547"/>
    </row>
    <row r="1365" spans="1:16" ht="12.75">
      <c r="A1365" s="271"/>
      <c r="B1365" s="268"/>
      <c r="C1365" s="268"/>
      <c r="D1365" s="268"/>
      <c r="E1365" s="273"/>
      <c r="F1365" s="270"/>
      <c r="G1365" s="268"/>
      <c r="H1365" s="268"/>
      <c r="I1365" s="268"/>
      <c r="J1365" s="273"/>
      <c r="K1365" s="268"/>
      <c r="L1365" s="268"/>
      <c r="M1365" s="268"/>
      <c r="N1365" s="269"/>
      <c r="O1365" s="547"/>
      <c r="P1365" s="547"/>
    </row>
    <row r="1366" spans="1:16" ht="12.75">
      <c r="A1366" s="271"/>
      <c r="B1366" s="268"/>
      <c r="C1366" s="268"/>
      <c r="D1366" s="268"/>
      <c r="E1366" s="273"/>
      <c r="F1366" s="270"/>
      <c r="G1366" s="268"/>
      <c r="H1366" s="268"/>
      <c r="I1366" s="268"/>
      <c r="J1366" s="273"/>
      <c r="K1366" s="268"/>
      <c r="L1366" s="268"/>
      <c r="M1366" s="268"/>
      <c r="N1366" s="269"/>
      <c r="O1366" s="547"/>
      <c r="P1366" s="547"/>
    </row>
    <row r="1367" spans="1:16" ht="12.75">
      <c r="A1367" s="271"/>
      <c r="B1367" s="268"/>
      <c r="C1367" s="268"/>
      <c r="D1367" s="268"/>
      <c r="E1367" s="273"/>
      <c r="F1367" s="270"/>
      <c r="G1367" s="268"/>
      <c r="H1367" s="268"/>
      <c r="I1367" s="268"/>
      <c r="J1367" s="273"/>
      <c r="K1367" s="268"/>
      <c r="L1367" s="268"/>
      <c r="M1367" s="268"/>
      <c r="N1367" s="269"/>
      <c r="O1367" s="547"/>
      <c r="P1367" s="547"/>
    </row>
    <row r="1368" spans="1:16" ht="12.75">
      <c r="A1368" s="271"/>
      <c r="B1368" s="268"/>
      <c r="C1368" s="268"/>
      <c r="D1368" s="268"/>
      <c r="E1368" s="273"/>
      <c r="F1368" s="270"/>
      <c r="G1368" s="268"/>
      <c r="H1368" s="268"/>
      <c r="I1368" s="268"/>
      <c r="J1368" s="273"/>
      <c r="K1368" s="268"/>
      <c r="L1368" s="268"/>
      <c r="M1368" s="268"/>
      <c r="N1368" s="269"/>
      <c r="O1368" s="547"/>
      <c r="P1368" s="547"/>
    </row>
    <row r="1369" spans="1:16" ht="12.75">
      <c r="A1369" s="271"/>
      <c r="B1369" s="268"/>
      <c r="C1369" s="268"/>
      <c r="D1369" s="268"/>
      <c r="E1369" s="273"/>
      <c r="F1369" s="270"/>
      <c r="G1369" s="268"/>
      <c r="H1369" s="268"/>
      <c r="I1369" s="268"/>
      <c r="J1369" s="273"/>
      <c r="K1369" s="268"/>
      <c r="L1369" s="268"/>
      <c r="M1369" s="268"/>
      <c r="N1369" s="269"/>
      <c r="O1369" s="547"/>
      <c r="P1369" s="547"/>
    </row>
    <row r="1370" spans="1:16" ht="12.75">
      <c r="A1370" s="271"/>
      <c r="B1370" s="268"/>
      <c r="C1370" s="268"/>
      <c r="D1370" s="268"/>
      <c r="E1370" s="273"/>
      <c r="F1370" s="270"/>
      <c r="G1370" s="268"/>
      <c r="H1370" s="268"/>
      <c r="I1370" s="268"/>
      <c r="J1370" s="273"/>
      <c r="K1370" s="268"/>
      <c r="L1370" s="268"/>
      <c r="M1370" s="268"/>
      <c r="N1370" s="269"/>
      <c r="O1370" s="547"/>
      <c r="P1370" s="547"/>
    </row>
    <row r="1371" spans="1:16" ht="12.75">
      <c r="A1371" s="271"/>
      <c r="B1371" s="268"/>
      <c r="C1371" s="268"/>
      <c r="D1371" s="268"/>
      <c r="E1371" s="273"/>
      <c r="F1371" s="270"/>
      <c r="G1371" s="268"/>
      <c r="H1371" s="268"/>
      <c r="I1371" s="268"/>
      <c r="J1371" s="273"/>
      <c r="K1371" s="268"/>
      <c r="L1371" s="268"/>
      <c r="M1371" s="268"/>
      <c r="N1371" s="269"/>
      <c r="O1371" s="547"/>
      <c r="P1371" s="547"/>
    </row>
    <row r="1372" spans="1:16" ht="12.75">
      <c r="A1372" s="271"/>
      <c r="B1372" s="268"/>
      <c r="C1372" s="268"/>
      <c r="D1372" s="268"/>
      <c r="E1372" s="273"/>
      <c r="F1372" s="270"/>
      <c r="G1372" s="268"/>
      <c r="H1372" s="268"/>
      <c r="I1372" s="268"/>
      <c r="J1372" s="273"/>
      <c r="K1372" s="268"/>
      <c r="L1372" s="268"/>
      <c r="M1372" s="268"/>
      <c r="N1372" s="269"/>
      <c r="O1372" s="547"/>
      <c r="P1372" s="547"/>
    </row>
    <row r="1373" spans="1:16" ht="12.75">
      <c r="A1373" s="271"/>
      <c r="B1373" s="268"/>
      <c r="C1373" s="268"/>
      <c r="D1373" s="268"/>
      <c r="E1373" s="273"/>
      <c r="F1373" s="270"/>
      <c r="G1373" s="268"/>
      <c r="H1373" s="268"/>
      <c r="I1373" s="268"/>
      <c r="J1373" s="273"/>
      <c r="K1373" s="268"/>
      <c r="L1373" s="268"/>
      <c r="M1373" s="268"/>
      <c r="N1373" s="269"/>
      <c r="O1373" s="547"/>
      <c r="P1373" s="547"/>
    </row>
    <row r="1374" spans="1:16" ht="12.75">
      <c r="A1374" s="271"/>
      <c r="B1374" s="268"/>
      <c r="C1374" s="268"/>
      <c r="D1374" s="268"/>
      <c r="E1374" s="273"/>
      <c r="F1374" s="270"/>
      <c r="G1374" s="268"/>
      <c r="H1374" s="268"/>
      <c r="I1374" s="268"/>
      <c r="J1374" s="273"/>
      <c r="K1374" s="268"/>
      <c r="L1374" s="268"/>
      <c r="M1374" s="268"/>
      <c r="N1374" s="269"/>
      <c r="O1374" s="547"/>
      <c r="P1374" s="547"/>
    </row>
    <row r="1375" spans="1:16" ht="12.75">
      <c r="A1375" s="271"/>
      <c r="B1375" s="268"/>
      <c r="C1375" s="268"/>
      <c r="D1375" s="268"/>
      <c r="E1375" s="273"/>
      <c r="F1375" s="270"/>
      <c r="G1375" s="268"/>
      <c r="H1375" s="268"/>
      <c r="I1375" s="268"/>
      <c r="J1375" s="273"/>
      <c r="K1375" s="268"/>
      <c r="L1375" s="268"/>
      <c r="M1375" s="268"/>
      <c r="N1375" s="269"/>
      <c r="O1375" s="547"/>
      <c r="P1375" s="547"/>
    </row>
    <row r="1376" spans="1:16" ht="12.75">
      <c r="A1376" s="271"/>
      <c r="B1376" s="268"/>
      <c r="C1376" s="268"/>
      <c r="D1376" s="268"/>
      <c r="E1376" s="273"/>
      <c r="F1376" s="270"/>
      <c r="G1376" s="268"/>
      <c r="H1376" s="268"/>
      <c r="I1376" s="268"/>
      <c r="J1376" s="273"/>
      <c r="K1376" s="268"/>
      <c r="L1376" s="268"/>
      <c r="M1376" s="268"/>
      <c r="N1376" s="269"/>
      <c r="O1376" s="547"/>
      <c r="P1376" s="547"/>
    </row>
    <row r="1377" spans="1:16" ht="12.75">
      <c r="A1377" s="271"/>
      <c r="B1377" s="268"/>
      <c r="C1377" s="268"/>
      <c r="D1377" s="268"/>
      <c r="E1377" s="273"/>
      <c r="F1377" s="270"/>
      <c r="G1377" s="268"/>
      <c r="H1377" s="268"/>
      <c r="I1377" s="268"/>
      <c r="J1377" s="273"/>
      <c r="K1377" s="268"/>
      <c r="L1377" s="268"/>
      <c r="M1377" s="268"/>
      <c r="N1377" s="269"/>
      <c r="O1377" s="547"/>
      <c r="P1377" s="547"/>
    </row>
    <row r="1378" spans="1:16" ht="12.75">
      <c r="A1378" s="271"/>
      <c r="B1378" s="268"/>
      <c r="C1378" s="268"/>
      <c r="D1378" s="268"/>
      <c r="E1378" s="273"/>
      <c r="F1378" s="270"/>
      <c r="G1378" s="268"/>
      <c r="H1378" s="268"/>
      <c r="I1378" s="268"/>
      <c r="J1378" s="273"/>
      <c r="K1378" s="268"/>
      <c r="L1378" s="268"/>
      <c r="M1378" s="268"/>
      <c r="N1378" s="269"/>
      <c r="O1378" s="547"/>
      <c r="P1378" s="547"/>
    </row>
    <row r="1379" spans="1:16" ht="12.75">
      <c r="A1379" s="271"/>
      <c r="B1379" s="268"/>
      <c r="C1379" s="268"/>
      <c r="D1379" s="268"/>
      <c r="E1379" s="273"/>
      <c r="F1379" s="270"/>
      <c r="G1379" s="268"/>
      <c r="H1379" s="268"/>
      <c r="I1379" s="268"/>
      <c r="J1379" s="273"/>
      <c r="K1379" s="268"/>
      <c r="L1379" s="268"/>
      <c r="M1379" s="268"/>
      <c r="N1379" s="269"/>
      <c r="O1379" s="547"/>
      <c r="P1379" s="547"/>
    </row>
    <row r="1380" spans="1:16" ht="12.75">
      <c r="A1380" s="271"/>
      <c r="B1380" s="268"/>
      <c r="C1380" s="268"/>
      <c r="D1380" s="268"/>
      <c r="E1380" s="273"/>
      <c r="F1380" s="270"/>
      <c r="G1380" s="268"/>
      <c r="H1380" s="268"/>
      <c r="I1380" s="268"/>
      <c r="J1380" s="273"/>
      <c r="K1380" s="268"/>
      <c r="L1380" s="268"/>
      <c r="M1380" s="268"/>
      <c r="N1380" s="269"/>
      <c r="O1380" s="547"/>
      <c r="P1380" s="547"/>
    </row>
    <row r="1381" spans="1:16" ht="12.75">
      <c r="A1381" s="271"/>
      <c r="B1381" s="268"/>
      <c r="C1381" s="268"/>
      <c r="D1381" s="268"/>
      <c r="E1381" s="273"/>
      <c r="F1381" s="270"/>
      <c r="G1381" s="268"/>
      <c r="H1381" s="268"/>
      <c r="I1381" s="268"/>
      <c r="J1381" s="273"/>
      <c r="K1381" s="268"/>
      <c r="L1381" s="268"/>
      <c r="M1381" s="268"/>
      <c r="N1381" s="269"/>
      <c r="O1381" s="547"/>
      <c r="P1381" s="547"/>
    </row>
    <row r="1382" spans="1:16" ht="12.75">
      <c r="A1382" s="271"/>
      <c r="B1382" s="268"/>
      <c r="C1382" s="268"/>
      <c r="D1382" s="268"/>
      <c r="E1382" s="273"/>
      <c r="F1382" s="270"/>
      <c r="G1382" s="268"/>
      <c r="H1382" s="268"/>
      <c r="I1382" s="268"/>
      <c r="J1382" s="273"/>
      <c r="K1382" s="268"/>
      <c r="L1382" s="268"/>
      <c r="M1382" s="268"/>
      <c r="N1382" s="269"/>
      <c r="O1382" s="547"/>
      <c r="P1382" s="547"/>
    </row>
    <row r="1383" spans="1:16" ht="12.75">
      <c r="A1383" s="271"/>
      <c r="B1383" s="268"/>
      <c r="C1383" s="268"/>
      <c r="D1383" s="268"/>
      <c r="E1383" s="273"/>
      <c r="F1383" s="270"/>
      <c r="G1383" s="268"/>
      <c r="H1383" s="268"/>
      <c r="I1383" s="268"/>
      <c r="J1383" s="273"/>
      <c r="K1383" s="268"/>
      <c r="L1383" s="268"/>
      <c r="M1383" s="268"/>
      <c r="N1383" s="269"/>
      <c r="O1383" s="547"/>
      <c r="P1383" s="547"/>
    </row>
    <row r="1384" spans="1:16" ht="12.75">
      <c r="A1384" s="271"/>
      <c r="B1384" s="268"/>
      <c r="C1384" s="268"/>
      <c r="D1384" s="268"/>
      <c r="E1384" s="273"/>
      <c r="F1384" s="270"/>
      <c r="G1384" s="268"/>
      <c r="H1384" s="268"/>
      <c r="I1384" s="268"/>
      <c r="J1384" s="273"/>
      <c r="K1384" s="268"/>
      <c r="L1384" s="268"/>
      <c r="M1384" s="268"/>
      <c r="N1384" s="269"/>
      <c r="O1384" s="547"/>
      <c r="P1384" s="547"/>
    </row>
    <row r="1385" spans="1:16" ht="12.75">
      <c r="A1385" s="271"/>
      <c r="B1385" s="268"/>
      <c r="C1385" s="268"/>
      <c r="D1385" s="268"/>
      <c r="E1385" s="273"/>
      <c r="F1385" s="270"/>
      <c r="G1385" s="268"/>
      <c r="H1385" s="268"/>
      <c r="I1385" s="268"/>
      <c r="J1385" s="273"/>
      <c r="K1385" s="268"/>
      <c r="L1385" s="268"/>
      <c r="M1385" s="268"/>
      <c r="N1385" s="269"/>
      <c r="O1385" s="547"/>
      <c r="P1385" s="547"/>
    </row>
    <row r="1386" spans="1:16" ht="12.75">
      <c r="A1386" s="271"/>
      <c r="B1386" s="268"/>
      <c r="C1386" s="268"/>
      <c r="D1386" s="268"/>
      <c r="E1386" s="273"/>
      <c r="F1386" s="270"/>
      <c r="G1386" s="268"/>
      <c r="H1386" s="268"/>
      <c r="I1386" s="268"/>
      <c r="J1386" s="273"/>
      <c r="K1386" s="268"/>
      <c r="L1386" s="268"/>
      <c r="M1386" s="268"/>
      <c r="N1386" s="269"/>
      <c r="O1386" s="547"/>
      <c r="P1386" s="547"/>
    </row>
    <row r="1387" spans="1:16" ht="12.75">
      <c r="A1387" s="271"/>
      <c r="B1387" s="268"/>
      <c r="C1387" s="268"/>
      <c r="D1387" s="268"/>
      <c r="E1387" s="273"/>
      <c r="F1387" s="270"/>
      <c r="G1387" s="268"/>
      <c r="H1387" s="268"/>
      <c r="I1387" s="268"/>
      <c r="J1387" s="273"/>
      <c r="K1387" s="268"/>
      <c r="L1387" s="268"/>
      <c r="M1387" s="268"/>
      <c r="N1387" s="269"/>
      <c r="O1387" s="547"/>
      <c r="P1387" s="547"/>
    </row>
    <row r="1388" spans="1:16" ht="12.75">
      <c r="A1388" s="271"/>
      <c r="B1388" s="268"/>
      <c r="C1388" s="268"/>
      <c r="D1388" s="268"/>
      <c r="E1388" s="273"/>
      <c r="F1388" s="270"/>
      <c r="G1388" s="268"/>
      <c r="H1388" s="268"/>
      <c r="I1388" s="268"/>
      <c r="J1388" s="273"/>
      <c r="K1388" s="268"/>
      <c r="L1388" s="268"/>
      <c r="M1388" s="268"/>
      <c r="N1388" s="269"/>
      <c r="O1388" s="547"/>
      <c r="P1388" s="547"/>
    </row>
    <row r="1389" spans="1:16" ht="12.75">
      <c r="A1389" s="271"/>
      <c r="B1389" s="268"/>
      <c r="C1389" s="268"/>
      <c r="D1389" s="268"/>
      <c r="E1389" s="273"/>
      <c r="F1389" s="270"/>
      <c r="G1389" s="268"/>
      <c r="H1389" s="268"/>
      <c r="I1389" s="268"/>
      <c r="J1389" s="273"/>
      <c r="K1389" s="268"/>
      <c r="L1389" s="268"/>
      <c r="M1389" s="268"/>
      <c r="N1389" s="269"/>
      <c r="O1389" s="547"/>
      <c r="P1389" s="547"/>
    </row>
    <row r="1390" spans="1:16" ht="12.75">
      <c r="A1390" s="271"/>
      <c r="B1390" s="268"/>
      <c r="C1390" s="268"/>
      <c r="D1390" s="268"/>
      <c r="E1390" s="273"/>
      <c r="F1390" s="270"/>
      <c r="G1390" s="268"/>
      <c r="H1390" s="268"/>
      <c r="I1390" s="268"/>
      <c r="J1390" s="273"/>
      <c r="K1390" s="268"/>
      <c r="L1390" s="268"/>
      <c r="M1390" s="268"/>
      <c r="N1390" s="269"/>
      <c r="O1390" s="547"/>
      <c r="P1390" s="547"/>
    </row>
    <row r="1391" spans="1:16" ht="12.75">
      <c r="A1391" s="271"/>
      <c r="B1391" s="268"/>
      <c r="C1391" s="268"/>
      <c r="D1391" s="268"/>
      <c r="E1391" s="273"/>
      <c r="F1391" s="270"/>
      <c r="G1391" s="268"/>
      <c r="H1391" s="268"/>
      <c r="I1391" s="268"/>
      <c r="J1391" s="273"/>
      <c r="K1391" s="268"/>
      <c r="L1391" s="268"/>
      <c r="M1391" s="268"/>
      <c r="N1391" s="269"/>
      <c r="O1391" s="547"/>
      <c r="P1391" s="547"/>
    </row>
    <row r="1392" spans="1:16" ht="12.75">
      <c r="A1392" s="271"/>
      <c r="B1392" s="268"/>
      <c r="C1392" s="268"/>
      <c r="D1392" s="268"/>
      <c r="E1392" s="273"/>
      <c r="F1392" s="270"/>
      <c r="G1392" s="268"/>
      <c r="H1392" s="268"/>
      <c r="I1392" s="268"/>
      <c r="J1392" s="273"/>
      <c r="K1392" s="268"/>
      <c r="L1392" s="268"/>
      <c r="M1392" s="268"/>
      <c r="N1392" s="269"/>
      <c r="O1392" s="547"/>
      <c r="P1392" s="547"/>
    </row>
    <row r="1393" spans="1:16" ht="12.75">
      <c r="A1393" s="271"/>
      <c r="B1393" s="268"/>
      <c r="C1393" s="268"/>
      <c r="D1393" s="268"/>
      <c r="E1393" s="273"/>
      <c r="F1393" s="270"/>
      <c r="G1393" s="268"/>
      <c r="H1393" s="268"/>
      <c r="I1393" s="268"/>
      <c r="J1393" s="273"/>
      <c r="K1393" s="268"/>
      <c r="L1393" s="268"/>
      <c r="M1393" s="268"/>
      <c r="N1393" s="269"/>
      <c r="O1393" s="547"/>
      <c r="P1393" s="547"/>
    </row>
    <row r="1394" spans="1:16" ht="12.75">
      <c r="A1394" s="271"/>
      <c r="B1394" s="268"/>
      <c r="C1394" s="268"/>
      <c r="D1394" s="268"/>
      <c r="E1394" s="273"/>
      <c r="F1394" s="270"/>
      <c r="G1394" s="268"/>
      <c r="H1394" s="268"/>
      <c r="I1394" s="268"/>
      <c r="J1394" s="273"/>
      <c r="K1394" s="268"/>
      <c r="L1394" s="268"/>
      <c r="M1394" s="268"/>
      <c r="N1394" s="269"/>
      <c r="O1394" s="547"/>
      <c r="P1394" s="547"/>
    </row>
    <row r="1395" spans="1:16" ht="12.75">
      <c r="A1395" s="271"/>
      <c r="B1395" s="268"/>
      <c r="C1395" s="268"/>
      <c r="D1395" s="268"/>
      <c r="E1395" s="273"/>
      <c r="F1395" s="270"/>
      <c r="G1395" s="268"/>
      <c r="H1395" s="268"/>
      <c r="I1395" s="268"/>
      <c r="J1395" s="273"/>
      <c r="K1395" s="268"/>
      <c r="L1395" s="268"/>
      <c r="M1395" s="268"/>
      <c r="N1395" s="269"/>
      <c r="O1395" s="547"/>
      <c r="P1395" s="547"/>
    </row>
    <row r="1396" spans="1:16" ht="12.75">
      <c r="A1396" s="271"/>
      <c r="B1396" s="268"/>
      <c r="C1396" s="268"/>
      <c r="D1396" s="268"/>
      <c r="E1396" s="273"/>
      <c r="F1396" s="270"/>
      <c r="G1396" s="268"/>
      <c r="H1396" s="268"/>
      <c r="I1396" s="268"/>
      <c r="J1396" s="273"/>
      <c r="K1396" s="268"/>
      <c r="L1396" s="268"/>
      <c r="M1396" s="268"/>
      <c r="N1396" s="269"/>
      <c r="O1396" s="547"/>
      <c r="P1396" s="547"/>
    </row>
    <row r="1397" spans="1:16" ht="12.75">
      <c r="A1397" s="271"/>
      <c r="B1397" s="268"/>
      <c r="C1397" s="268"/>
      <c r="D1397" s="268"/>
      <c r="E1397" s="273"/>
      <c r="F1397" s="270"/>
      <c r="G1397" s="268"/>
      <c r="H1397" s="268"/>
      <c r="I1397" s="268"/>
      <c r="J1397" s="273"/>
      <c r="K1397" s="268"/>
      <c r="L1397" s="268"/>
      <c r="M1397" s="268"/>
      <c r="N1397" s="269"/>
      <c r="O1397" s="547"/>
      <c r="P1397" s="547"/>
    </row>
    <row r="1398" spans="1:16" ht="12.75">
      <c r="A1398" s="271"/>
      <c r="B1398" s="268"/>
      <c r="C1398" s="268"/>
      <c r="D1398" s="268"/>
      <c r="E1398" s="273"/>
      <c r="F1398" s="270"/>
      <c r="G1398" s="268"/>
      <c r="H1398" s="268"/>
      <c r="I1398" s="268"/>
      <c r="J1398" s="273"/>
      <c r="K1398" s="268"/>
      <c r="L1398" s="268"/>
      <c r="M1398" s="268"/>
      <c r="N1398" s="269"/>
      <c r="O1398" s="547"/>
      <c r="P1398" s="547"/>
    </row>
    <row r="1399" spans="1:16" ht="12.75">
      <c r="A1399" s="271"/>
      <c r="B1399" s="268"/>
      <c r="C1399" s="268"/>
      <c r="D1399" s="268"/>
      <c r="E1399" s="273"/>
      <c r="F1399" s="270"/>
      <c r="G1399" s="268"/>
      <c r="H1399" s="268"/>
      <c r="I1399" s="268"/>
      <c r="J1399" s="273"/>
      <c r="K1399" s="268"/>
      <c r="L1399" s="268"/>
      <c r="M1399" s="268"/>
      <c r="N1399" s="269"/>
      <c r="O1399" s="547"/>
      <c r="P1399" s="547"/>
    </row>
    <row r="1400" spans="1:16" ht="12.75">
      <c r="A1400" s="271"/>
      <c r="B1400" s="268"/>
      <c r="C1400" s="268"/>
      <c r="D1400" s="268"/>
      <c r="E1400" s="273"/>
      <c r="F1400" s="270"/>
      <c r="G1400" s="268"/>
      <c r="H1400" s="268"/>
      <c r="I1400" s="268"/>
      <c r="J1400" s="273"/>
      <c r="K1400" s="268"/>
      <c r="L1400" s="268"/>
      <c r="M1400" s="268"/>
      <c r="N1400" s="269"/>
      <c r="O1400" s="547"/>
      <c r="P1400" s="547"/>
    </row>
    <row r="1401" spans="1:16" ht="12.75">
      <c r="A1401" s="271"/>
      <c r="B1401" s="268"/>
      <c r="C1401" s="268"/>
      <c r="D1401" s="268"/>
      <c r="E1401" s="273"/>
      <c r="F1401" s="270"/>
      <c r="G1401" s="268"/>
      <c r="H1401" s="268"/>
      <c r="I1401" s="268"/>
      <c r="J1401" s="273"/>
      <c r="K1401" s="268"/>
      <c r="L1401" s="268"/>
      <c r="M1401" s="268"/>
      <c r="N1401" s="269"/>
      <c r="O1401" s="547"/>
      <c r="P1401" s="547"/>
    </row>
    <row r="1402" spans="1:16" ht="12.75">
      <c r="A1402" s="271"/>
      <c r="B1402" s="268"/>
      <c r="C1402" s="268"/>
      <c r="D1402" s="268"/>
      <c r="E1402" s="273"/>
      <c r="F1402" s="270"/>
      <c r="G1402" s="268"/>
      <c r="H1402" s="268"/>
      <c r="I1402" s="268"/>
      <c r="J1402" s="273"/>
      <c r="K1402" s="268"/>
      <c r="L1402" s="268"/>
      <c r="M1402" s="268"/>
      <c r="N1402" s="269"/>
      <c r="O1402" s="547"/>
      <c r="P1402" s="547"/>
    </row>
    <row r="1403" spans="1:16" ht="12.75">
      <c r="A1403" s="271"/>
      <c r="B1403" s="268"/>
      <c r="C1403" s="268"/>
      <c r="D1403" s="268"/>
      <c r="E1403" s="273"/>
      <c r="F1403" s="270"/>
      <c r="G1403" s="268"/>
      <c r="H1403" s="268"/>
      <c r="I1403" s="268"/>
      <c r="J1403" s="273"/>
      <c r="K1403" s="268"/>
      <c r="L1403" s="268"/>
      <c r="M1403" s="268"/>
      <c r="N1403" s="269"/>
      <c r="O1403" s="547"/>
      <c r="P1403" s="547"/>
    </row>
    <row r="1404" spans="1:16" ht="12.75">
      <c r="A1404" s="271"/>
      <c r="B1404" s="268"/>
      <c r="C1404" s="268"/>
      <c r="D1404" s="268"/>
      <c r="E1404" s="273"/>
      <c r="F1404" s="270"/>
      <c r="G1404" s="268"/>
      <c r="H1404" s="268"/>
      <c r="I1404" s="268"/>
      <c r="J1404" s="273"/>
      <c r="K1404" s="268"/>
      <c r="L1404" s="268"/>
      <c r="M1404" s="268"/>
      <c r="N1404" s="269"/>
      <c r="O1404" s="547"/>
      <c r="P1404" s="547"/>
    </row>
    <row r="1405" spans="1:16" ht="12.75">
      <c r="A1405" s="271"/>
      <c r="B1405" s="268"/>
      <c r="C1405" s="268"/>
      <c r="D1405" s="268"/>
      <c r="E1405" s="273"/>
      <c r="F1405" s="270"/>
      <c r="G1405" s="268"/>
      <c r="H1405" s="268"/>
      <c r="I1405" s="268"/>
      <c r="J1405" s="273"/>
      <c r="K1405" s="268"/>
      <c r="L1405" s="268"/>
      <c r="M1405" s="268"/>
      <c r="N1405" s="269"/>
      <c r="O1405" s="547"/>
      <c r="P1405" s="547"/>
    </row>
    <row r="1406" spans="1:16" ht="12.75">
      <c r="A1406" s="271"/>
      <c r="B1406" s="268"/>
      <c r="C1406" s="268"/>
      <c r="D1406" s="268"/>
      <c r="E1406" s="273"/>
      <c r="F1406" s="270"/>
      <c r="G1406" s="268"/>
      <c r="H1406" s="268"/>
      <c r="I1406" s="268"/>
      <c r="J1406" s="273"/>
      <c r="K1406" s="268"/>
      <c r="L1406" s="268"/>
      <c r="M1406" s="268"/>
      <c r="N1406" s="269"/>
      <c r="O1406" s="547"/>
      <c r="P1406" s="547"/>
    </row>
    <row r="1407" spans="1:16" ht="12.75">
      <c r="A1407" s="271"/>
      <c r="B1407" s="268"/>
      <c r="C1407" s="268"/>
      <c r="D1407" s="268"/>
      <c r="E1407" s="273"/>
      <c r="F1407" s="270"/>
      <c r="G1407" s="268"/>
      <c r="H1407" s="268"/>
      <c r="I1407" s="268"/>
      <c r="J1407" s="273"/>
      <c r="K1407" s="268"/>
      <c r="L1407" s="268"/>
      <c r="M1407" s="268"/>
      <c r="N1407" s="269"/>
      <c r="O1407" s="547"/>
      <c r="P1407" s="547"/>
    </row>
    <row r="1408" spans="1:16" ht="12.75">
      <c r="A1408" s="271"/>
      <c r="B1408" s="268"/>
      <c r="C1408" s="268"/>
      <c r="D1408" s="268"/>
      <c r="E1408" s="273"/>
      <c r="F1408" s="270"/>
      <c r="G1408" s="268"/>
      <c r="H1408" s="268"/>
      <c r="I1408" s="268"/>
      <c r="J1408" s="273"/>
      <c r="K1408" s="268"/>
      <c r="L1408" s="268"/>
      <c r="M1408" s="268"/>
      <c r="N1408" s="269"/>
      <c r="O1408" s="547"/>
      <c r="P1408" s="547"/>
    </row>
    <row r="1409" spans="1:16" ht="12.75">
      <c r="A1409" s="271"/>
      <c r="B1409" s="268"/>
      <c r="C1409" s="268"/>
      <c r="D1409" s="268"/>
      <c r="E1409" s="273"/>
      <c r="F1409" s="270"/>
      <c r="G1409" s="268"/>
      <c r="H1409" s="268"/>
      <c r="I1409" s="268"/>
      <c r="J1409" s="273"/>
      <c r="K1409" s="268"/>
      <c r="L1409" s="268"/>
      <c r="M1409" s="268"/>
      <c r="N1409" s="269"/>
      <c r="O1409" s="547"/>
      <c r="P1409" s="547"/>
    </row>
    <row r="1410" spans="1:16" ht="12.75">
      <c r="A1410" s="271"/>
      <c r="B1410" s="268"/>
      <c r="C1410" s="268"/>
      <c r="D1410" s="268"/>
      <c r="E1410" s="273"/>
      <c r="F1410" s="270"/>
      <c r="G1410" s="268"/>
      <c r="H1410" s="268"/>
      <c r="I1410" s="268"/>
      <c r="J1410" s="273"/>
      <c r="K1410" s="268"/>
      <c r="L1410" s="268"/>
      <c r="M1410" s="268"/>
      <c r="N1410" s="269"/>
      <c r="O1410" s="547"/>
      <c r="P1410" s="547"/>
    </row>
    <row r="1411" spans="1:16" ht="12.75">
      <c r="A1411" s="271"/>
      <c r="B1411" s="268"/>
      <c r="C1411" s="268"/>
      <c r="D1411" s="268"/>
      <c r="E1411" s="273"/>
      <c r="F1411" s="270"/>
      <c r="G1411" s="268"/>
      <c r="H1411" s="268"/>
      <c r="I1411" s="268"/>
      <c r="J1411" s="273"/>
      <c r="K1411" s="268"/>
      <c r="L1411" s="268"/>
      <c r="M1411" s="268"/>
      <c r="N1411" s="269"/>
      <c r="O1411" s="547"/>
      <c r="P1411" s="547"/>
    </row>
    <row r="1412" spans="1:16" ht="12.75">
      <c r="A1412" s="271"/>
      <c r="B1412" s="268"/>
      <c r="C1412" s="268"/>
      <c r="D1412" s="268"/>
      <c r="E1412" s="273"/>
      <c r="F1412" s="270"/>
      <c r="G1412" s="268"/>
      <c r="H1412" s="268"/>
      <c r="I1412" s="268"/>
      <c r="J1412" s="273"/>
      <c r="K1412" s="268"/>
      <c r="L1412" s="268"/>
      <c r="M1412" s="268"/>
      <c r="N1412" s="269"/>
      <c r="O1412" s="547"/>
      <c r="P1412" s="547"/>
    </row>
    <row r="1413" spans="1:16" ht="12.75">
      <c r="A1413" s="271"/>
      <c r="B1413" s="268"/>
      <c r="C1413" s="268"/>
      <c r="D1413" s="268"/>
      <c r="E1413" s="273"/>
      <c r="F1413" s="270"/>
      <c r="G1413" s="268"/>
      <c r="H1413" s="268"/>
      <c r="I1413" s="268"/>
      <c r="J1413" s="273"/>
      <c r="K1413" s="268"/>
      <c r="L1413" s="268"/>
      <c r="M1413" s="268"/>
      <c r="N1413" s="269"/>
      <c r="O1413" s="547"/>
      <c r="P1413" s="547"/>
    </row>
    <row r="1414" spans="1:16" ht="12.75">
      <c r="A1414" s="271"/>
      <c r="B1414" s="268"/>
      <c r="C1414" s="268"/>
      <c r="D1414" s="268"/>
      <c r="E1414" s="273"/>
      <c r="F1414" s="270"/>
      <c r="G1414" s="268"/>
      <c r="H1414" s="268"/>
      <c r="I1414" s="268"/>
      <c r="J1414" s="273"/>
      <c r="K1414" s="268"/>
      <c r="L1414" s="268"/>
      <c r="M1414" s="268"/>
      <c r="N1414" s="269"/>
      <c r="O1414" s="547"/>
      <c r="P1414" s="547"/>
    </row>
    <row r="1415" spans="1:16" ht="12.75">
      <c r="A1415" s="271"/>
      <c r="B1415" s="268"/>
      <c r="C1415" s="268"/>
      <c r="D1415" s="268"/>
      <c r="E1415" s="273"/>
      <c r="F1415" s="270"/>
      <c r="G1415" s="268"/>
      <c r="H1415" s="268"/>
      <c r="I1415" s="268"/>
      <c r="J1415" s="273"/>
      <c r="K1415" s="268"/>
      <c r="L1415" s="268"/>
      <c r="M1415" s="268"/>
      <c r="N1415" s="269"/>
      <c r="O1415" s="547"/>
      <c r="P1415" s="547"/>
    </row>
    <row r="1416" spans="1:16" ht="12.75">
      <c r="A1416" s="271"/>
      <c r="B1416" s="268"/>
      <c r="C1416" s="268"/>
      <c r="D1416" s="268"/>
      <c r="E1416" s="273"/>
      <c r="F1416" s="270"/>
      <c r="G1416" s="268"/>
      <c r="H1416" s="268"/>
      <c r="I1416" s="268"/>
      <c r="J1416" s="273"/>
      <c r="K1416" s="268"/>
      <c r="L1416" s="268"/>
      <c r="M1416" s="268"/>
      <c r="N1416" s="269"/>
      <c r="O1416" s="547"/>
      <c r="P1416" s="547"/>
    </row>
    <row r="1417" spans="1:16" ht="12.75">
      <c r="A1417" s="271"/>
      <c r="B1417" s="268"/>
      <c r="C1417" s="268"/>
      <c r="D1417" s="268"/>
      <c r="E1417" s="273"/>
      <c r="F1417" s="270"/>
      <c r="G1417" s="268"/>
      <c r="H1417" s="268"/>
      <c r="I1417" s="268"/>
      <c r="J1417" s="273"/>
      <c r="K1417" s="268"/>
      <c r="L1417" s="268"/>
      <c r="M1417" s="268"/>
      <c r="N1417" s="269"/>
      <c r="O1417" s="547"/>
      <c r="P1417" s="547"/>
    </row>
    <row r="1418" spans="1:16" ht="12.75">
      <c r="A1418" s="271"/>
      <c r="B1418" s="268"/>
      <c r="C1418" s="268"/>
      <c r="D1418" s="268"/>
      <c r="E1418" s="273"/>
      <c r="F1418" s="270"/>
      <c r="G1418" s="268"/>
      <c r="H1418" s="268"/>
      <c r="I1418" s="268"/>
      <c r="J1418" s="273"/>
      <c r="K1418" s="268"/>
      <c r="L1418" s="268"/>
      <c r="M1418" s="268"/>
      <c r="N1418" s="269"/>
      <c r="O1418" s="547"/>
      <c r="P1418" s="547"/>
    </row>
    <row r="1419" spans="1:16" ht="12.75">
      <c r="A1419" s="271"/>
      <c r="B1419" s="268"/>
      <c r="C1419" s="268"/>
      <c r="D1419" s="268"/>
      <c r="E1419" s="273"/>
      <c r="F1419" s="270"/>
      <c r="G1419" s="268"/>
      <c r="H1419" s="268"/>
      <c r="I1419" s="268"/>
      <c r="J1419" s="273"/>
      <c r="K1419" s="268"/>
      <c r="L1419" s="268"/>
      <c r="M1419" s="268"/>
      <c r="N1419" s="269"/>
      <c r="O1419" s="547"/>
      <c r="P1419" s="547"/>
    </row>
    <row r="1420" spans="1:16" ht="12.75">
      <c r="A1420" s="271"/>
      <c r="B1420" s="268"/>
      <c r="C1420" s="268"/>
      <c r="D1420" s="268"/>
      <c r="E1420" s="273"/>
      <c r="F1420" s="270"/>
      <c r="G1420" s="268"/>
      <c r="H1420" s="268"/>
      <c r="I1420" s="268"/>
      <c r="J1420" s="273"/>
      <c r="K1420" s="268"/>
      <c r="L1420" s="268"/>
      <c r="M1420" s="268"/>
      <c r="N1420" s="269"/>
      <c r="O1420" s="547"/>
      <c r="P1420" s="547"/>
    </row>
    <row r="1421" spans="1:16" ht="12.75">
      <c r="A1421" s="271"/>
      <c r="B1421" s="268"/>
      <c r="C1421" s="268"/>
      <c r="D1421" s="268"/>
      <c r="E1421" s="273"/>
      <c r="F1421" s="270"/>
      <c r="G1421" s="268"/>
      <c r="H1421" s="268"/>
      <c r="I1421" s="268"/>
      <c r="J1421" s="273"/>
      <c r="K1421" s="268"/>
      <c r="L1421" s="268"/>
      <c r="M1421" s="268"/>
      <c r="N1421" s="269"/>
      <c r="O1421" s="547"/>
      <c r="P1421" s="547"/>
    </row>
    <row r="1422" spans="1:16" ht="12.75">
      <c r="A1422" s="271"/>
      <c r="B1422" s="268"/>
      <c r="C1422" s="268"/>
      <c r="D1422" s="268"/>
      <c r="E1422" s="273"/>
      <c r="F1422" s="270"/>
      <c r="G1422" s="268"/>
      <c r="H1422" s="268"/>
      <c r="I1422" s="268"/>
      <c r="J1422" s="273"/>
      <c r="K1422" s="268"/>
      <c r="L1422" s="268"/>
      <c r="M1422" s="268"/>
      <c r="N1422" s="269"/>
      <c r="O1422" s="547"/>
      <c r="P1422" s="547"/>
    </row>
    <row r="1423" spans="1:16" ht="12.75">
      <c r="A1423" s="271"/>
      <c r="B1423" s="268"/>
      <c r="C1423" s="268"/>
      <c r="D1423" s="268"/>
      <c r="E1423" s="273"/>
      <c r="F1423" s="270"/>
      <c r="G1423" s="268"/>
      <c r="H1423" s="268"/>
      <c r="I1423" s="268"/>
      <c r="J1423" s="273"/>
      <c r="K1423" s="268"/>
      <c r="L1423" s="268"/>
      <c r="M1423" s="268"/>
      <c r="N1423" s="269"/>
      <c r="O1423" s="547"/>
      <c r="P1423" s="547"/>
    </row>
    <row r="1424" spans="1:16" ht="12.75">
      <c r="A1424" s="271"/>
      <c r="B1424" s="268"/>
      <c r="C1424" s="268"/>
      <c r="D1424" s="268"/>
      <c r="E1424" s="273"/>
      <c r="F1424" s="270"/>
      <c r="G1424" s="268"/>
      <c r="H1424" s="268"/>
      <c r="I1424" s="268"/>
      <c r="J1424" s="273"/>
      <c r="K1424" s="268"/>
      <c r="L1424" s="268"/>
      <c r="M1424" s="268"/>
      <c r="N1424" s="269"/>
      <c r="O1424" s="547"/>
      <c r="P1424" s="547"/>
    </row>
    <row r="1425" spans="1:16" ht="12.75">
      <c r="A1425" s="271"/>
      <c r="B1425" s="268"/>
      <c r="C1425" s="268"/>
      <c r="D1425" s="268"/>
      <c r="E1425" s="273"/>
      <c r="F1425" s="270"/>
      <c r="G1425" s="268"/>
      <c r="H1425" s="268"/>
      <c r="I1425" s="268"/>
      <c r="J1425" s="273"/>
      <c r="K1425" s="268"/>
      <c r="L1425" s="268"/>
      <c r="M1425" s="268"/>
      <c r="N1425" s="269"/>
      <c r="O1425" s="547"/>
      <c r="P1425" s="547"/>
    </row>
    <row r="1426" spans="1:16" ht="12.75">
      <c r="A1426" s="271"/>
      <c r="B1426" s="268"/>
      <c r="C1426" s="268"/>
      <c r="D1426" s="268"/>
      <c r="E1426" s="273"/>
      <c r="F1426" s="270"/>
      <c r="G1426" s="268"/>
      <c r="H1426" s="268"/>
      <c r="I1426" s="268"/>
      <c r="J1426" s="273"/>
      <c r="K1426" s="268"/>
      <c r="L1426" s="268"/>
      <c r="M1426" s="268"/>
      <c r="N1426" s="269"/>
      <c r="O1426" s="547"/>
      <c r="P1426" s="547"/>
    </row>
    <row r="1427" spans="1:16" ht="12.75">
      <c r="A1427" s="271"/>
      <c r="B1427" s="268"/>
      <c r="C1427" s="268"/>
      <c r="D1427" s="268"/>
      <c r="E1427" s="273"/>
      <c r="F1427" s="270"/>
      <c r="G1427" s="268"/>
      <c r="H1427" s="268"/>
      <c r="I1427" s="268"/>
      <c r="J1427" s="273"/>
      <c r="K1427" s="268"/>
      <c r="L1427" s="268"/>
      <c r="M1427" s="268"/>
      <c r="N1427" s="269"/>
      <c r="O1427" s="547"/>
      <c r="P1427" s="547"/>
    </row>
    <row r="1428" spans="1:16" ht="12.75">
      <c r="A1428" s="271"/>
      <c r="B1428" s="268"/>
      <c r="C1428" s="268"/>
      <c r="D1428" s="268"/>
      <c r="E1428" s="273"/>
      <c r="F1428" s="270"/>
      <c r="G1428" s="268"/>
      <c r="H1428" s="268"/>
      <c r="I1428" s="268"/>
      <c r="J1428" s="273"/>
      <c r="K1428" s="268"/>
      <c r="L1428" s="268"/>
      <c r="M1428" s="268"/>
      <c r="N1428" s="269"/>
      <c r="O1428" s="547"/>
      <c r="P1428" s="547"/>
    </row>
    <row r="1429" spans="1:16" ht="12.75">
      <c r="A1429" s="271"/>
      <c r="B1429" s="268"/>
      <c r="C1429" s="268"/>
      <c r="D1429" s="268"/>
      <c r="E1429" s="273"/>
      <c r="F1429" s="270"/>
      <c r="G1429" s="268"/>
      <c r="H1429" s="268"/>
      <c r="I1429" s="268"/>
      <c r="J1429" s="273"/>
      <c r="K1429" s="268"/>
      <c r="L1429" s="268"/>
      <c r="M1429" s="268"/>
      <c r="N1429" s="269"/>
      <c r="O1429" s="547"/>
      <c r="P1429" s="547"/>
    </row>
    <row r="1430" spans="1:16" ht="12.75">
      <c r="A1430" s="271"/>
      <c r="B1430" s="268"/>
      <c r="C1430" s="268"/>
      <c r="D1430" s="268"/>
      <c r="E1430" s="273"/>
      <c r="F1430" s="270"/>
      <c r="G1430" s="268"/>
      <c r="H1430" s="268"/>
      <c r="I1430" s="268"/>
      <c r="J1430" s="273"/>
      <c r="K1430" s="268"/>
      <c r="L1430" s="268"/>
      <c r="M1430" s="268"/>
      <c r="N1430" s="269"/>
      <c r="O1430" s="547"/>
      <c r="P1430" s="547"/>
    </row>
    <row r="1431" spans="1:16" ht="12.75">
      <c r="A1431" s="271"/>
      <c r="B1431" s="268"/>
      <c r="C1431" s="268"/>
      <c r="D1431" s="268"/>
      <c r="E1431" s="273"/>
      <c r="F1431" s="270"/>
      <c r="G1431" s="268"/>
      <c r="H1431" s="268"/>
      <c r="I1431" s="268"/>
      <c r="J1431" s="273"/>
      <c r="K1431" s="268"/>
      <c r="L1431" s="268"/>
      <c r="M1431" s="268"/>
      <c r="N1431" s="269"/>
      <c r="O1431" s="547"/>
      <c r="P1431" s="547"/>
    </row>
    <row r="1432" spans="1:16" ht="12.75">
      <c r="A1432" s="271"/>
      <c r="B1432" s="268"/>
      <c r="C1432" s="268"/>
      <c r="D1432" s="268"/>
      <c r="E1432" s="273"/>
      <c r="F1432" s="270"/>
      <c r="G1432" s="268"/>
      <c r="H1432" s="268"/>
      <c r="I1432" s="268"/>
      <c r="J1432" s="273"/>
      <c r="K1432" s="268"/>
      <c r="L1432" s="268"/>
      <c r="M1432" s="268"/>
      <c r="N1432" s="269"/>
      <c r="O1432" s="547"/>
      <c r="P1432" s="547"/>
    </row>
    <row r="1433" spans="1:16" ht="12.75">
      <c r="A1433" s="271"/>
      <c r="B1433" s="268"/>
      <c r="C1433" s="268"/>
      <c r="D1433" s="268"/>
      <c r="E1433" s="273"/>
      <c r="F1433" s="270"/>
      <c r="G1433" s="268"/>
      <c r="H1433" s="268"/>
      <c r="I1433" s="268"/>
      <c r="J1433" s="273"/>
      <c r="K1433" s="268"/>
      <c r="L1433" s="268"/>
      <c r="M1433" s="268"/>
      <c r="N1433" s="269"/>
      <c r="O1433" s="547"/>
      <c r="P1433" s="547"/>
    </row>
    <row r="1434" spans="1:16" ht="12.75">
      <c r="A1434" s="271"/>
      <c r="B1434" s="268"/>
      <c r="C1434" s="268"/>
      <c r="D1434" s="268"/>
      <c r="E1434" s="273"/>
      <c r="F1434" s="270"/>
      <c r="G1434" s="268"/>
      <c r="H1434" s="268"/>
      <c r="I1434" s="268"/>
      <c r="J1434" s="273"/>
      <c r="K1434" s="268"/>
      <c r="L1434" s="268"/>
      <c r="M1434" s="268"/>
      <c r="N1434" s="269"/>
      <c r="O1434" s="547"/>
      <c r="P1434" s="547"/>
    </row>
    <row r="1435" spans="1:16" ht="12.75">
      <c r="A1435" s="271"/>
      <c r="B1435" s="268"/>
      <c r="C1435" s="268"/>
      <c r="D1435" s="268"/>
      <c r="E1435" s="273"/>
      <c r="F1435" s="270"/>
      <c r="G1435" s="268"/>
      <c r="H1435" s="268"/>
      <c r="I1435" s="268"/>
      <c r="J1435" s="273"/>
      <c r="K1435" s="268"/>
      <c r="L1435" s="268"/>
      <c r="M1435" s="268"/>
      <c r="N1435" s="269"/>
      <c r="O1435" s="547"/>
      <c r="P1435" s="547"/>
    </row>
    <row r="1436" spans="1:16" ht="12.75">
      <c r="A1436" s="271"/>
      <c r="B1436" s="268"/>
      <c r="C1436" s="268"/>
      <c r="D1436" s="268"/>
      <c r="E1436" s="273"/>
      <c r="F1436" s="270"/>
      <c r="G1436" s="268"/>
      <c r="H1436" s="268"/>
      <c r="I1436" s="268"/>
      <c r="J1436" s="273"/>
      <c r="K1436" s="268"/>
      <c r="L1436" s="268"/>
      <c r="M1436" s="268"/>
      <c r="N1436" s="269"/>
      <c r="O1436" s="547"/>
      <c r="P1436" s="547"/>
    </row>
    <row r="1437" spans="1:16" ht="12.75">
      <c r="A1437" s="271"/>
      <c r="B1437" s="268"/>
      <c r="C1437" s="268"/>
      <c r="D1437" s="268"/>
      <c r="E1437" s="273"/>
      <c r="F1437" s="270"/>
      <c r="G1437" s="268"/>
      <c r="H1437" s="268"/>
      <c r="I1437" s="268"/>
      <c r="J1437" s="273"/>
      <c r="K1437" s="268"/>
      <c r="L1437" s="268"/>
      <c r="M1437" s="268"/>
      <c r="N1437" s="269"/>
      <c r="O1437" s="547"/>
      <c r="P1437" s="547"/>
    </row>
    <row r="1438" spans="1:16" ht="12.75">
      <c r="A1438" s="271"/>
      <c r="B1438" s="268"/>
      <c r="C1438" s="268"/>
      <c r="D1438" s="268"/>
      <c r="E1438" s="273"/>
      <c r="F1438" s="270"/>
      <c r="G1438" s="268"/>
      <c r="H1438" s="268"/>
      <c r="I1438" s="268"/>
      <c r="J1438" s="273"/>
      <c r="K1438" s="268"/>
      <c r="L1438" s="268"/>
      <c r="M1438" s="268"/>
      <c r="N1438" s="269"/>
      <c r="O1438" s="547"/>
      <c r="P1438" s="547"/>
    </row>
    <row r="1439" spans="1:16" ht="12.75">
      <c r="A1439" s="271"/>
      <c r="B1439" s="268"/>
      <c r="C1439" s="268"/>
      <c r="D1439" s="268"/>
      <c r="E1439" s="273"/>
      <c r="F1439" s="270"/>
      <c r="G1439" s="268"/>
      <c r="H1439" s="268"/>
      <c r="I1439" s="268"/>
      <c r="J1439" s="273"/>
      <c r="K1439" s="268"/>
      <c r="L1439" s="268"/>
      <c r="M1439" s="268"/>
      <c r="N1439" s="269"/>
      <c r="O1439" s="547"/>
      <c r="P1439" s="547"/>
    </row>
    <row r="1440" spans="1:16" ht="12.75">
      <c r="A1440" s="271"/>
      <c r="B1440" s="268"/>
      <c r="C1440" s="268"/>
      <c r="D1440" s="268"/>
      <c r="E1440" s="273"/>
      <c r="F1440" s="270"/>
      <c r="G1440" s="268"/>
      <c r="H1440" s="268"/>
      <c r="I1440" s="268"/>
      <c r="J1440" s="273"/>
      <c r="K1440" s="268"/>
      <c r="L1440" s="268"/>
      <c r="M1440" s="268"/>
      <c r="N1440" s="269"/>
      <c r="O1440" s="547"/>
      <c r="P1440" s="547"/>
    </row>
    <row r="1441" spans="1:16" ht="12.75">
      <c r="A1441" s="271"/>
      <c r="B1441" s="268"/>
      <c r="C1441" s="268"/>
      <c r="D1441" s="268"/>
      <c r="E1441" s="273"/>
      <c r="F1441" s="270"/>
      <c r="G1441" s="268"/>
      <c r="H1441" s="268"/>
      <c r="I1441" s="268"/>
      <c r="J1441" s="273"/>
      <c r="K1441" s="268"/>
      <c r="L1441" s="268"/>
      <c r="M1441" s="268"/>
      <c r="N1441" s="269"/>
      <c r="O1441" s="547"/>
      <c r="P1441" s="547"/>
    </row>
    <row r="1442" spans="1:16" ht="12.75">
      <c r="A1442" s="271"/>
      <c r="B1442" s="268"/>
      <c r="C1442" s="268"/>
      <c r="D1442" s="268"/>
      <c r="E1442" s="273"/>
      <c r="F1442" s="270"/>
      <c r="G1442" s="268"/>
      <c r="H1442" s="268"/>
      <c r="I1442" s="268"/>
      <c r="J1442" s="273"/>
      <c r="K1442" s="268"/>
      <c r="L1442" s="268"/>
      <c r="M1442" s="268"/>
      <c r="N1442" s="269"/>
      <c r="O1442" s="547"/>
      <c r="P1442" s="547"/>
    </row>
    <row r="1443" spans="1:16" ht="12.75">
      <c r="A1443" s="271"/>
      <c r="B1443" s="268"/>
      <c r="C1443" s="268"/>
      <c r="D1443" s="268"/>
      <c r="E1443" s="273"/>
      <c r="F1443" s="270"/>
      <c r="G1443" s="268"/>
      <c r="H1443" s="268"/>
      <c r="I1443" s="268"/>
      <c r="J1443" s="273"/>
      <c r="K1443" s="268"/>
      <c r="L1443" s="268"/>
      <c r="M1443" s="268"/>
      <c r="N1443" s="269"/>
      <c r="O1443" s="547"/>
      <c r="P1443" s="547"/>
    </row>
    <row r="1444" spans="1:16" ht="12.75">
      <c r="A1444" s="271"/>
      <c r="B1444" s="268"/>
      <c r="C1444" s="268"/>
      <c r="D1444" s="268"/>
      <c r="E1444" s="273"/>
      <c r="F1444" s="270"/>
      <c r="G1444" s="268"/>
      <c r="H1444" s="268"/>
      <c r="I1444" s="268"/>
      <c r="J1444" s="273"/>
      <c r="K1444" s="268"/>
      <c r="L1444" s="268"/>
      <c r="M1444" s="268"/>
      <c r="N1444" s="269"/>
      <c r="O1444" s="547"/>
      <c r="P1444" s="547"/>
    </row>
    <row r="1445" spans="1:16" ht="12.75">
      <c r="A1445" s="271"/>
      <c r="B1445" s="268"/>
      <c r="C1445" s="268"/>
      <c r="D1445" s="268"/>
      <c r="E1445" s="273"/>
      <c r="F1445" s="270"/>
      <c r="G1445" s="268"/>
      <c r="H1445" s="268"/>
      <c r="I1445" s="268"/>
      <c r="J1445" s="273"/>
      <c r="K1445" s="268"/>
      <c r="L1445" s="268"/>
      <c r="M1445" s="268"/>
      <c r="N1445" s="269"/>
      <c r="O1445" s="547"/>
      <c r="P1445" s="547"/>
    </row>
    <row r="1446" spans="1:16" ht="12.75">
      <c r="A1446" s="271"/>
      <c r="B1446" s="268"/>
      <c r="C1446" s="268"/>
      <c r="D1446" s="268"/>
      <c r="E1446" s="273"/>
      <c r="F1446" s="270"/>
      <c r="G1446" s="268"/>
      <c r="H1446" s="268"/>
      <c r="I1446" s="268"/>
      <c r="J1446" s="273"/>
      <c r="K1446" s="268"/>
      <c r="L1446" s="268"/>
      <c r="M1446" s="268"/>
      <c r="N1446" s="269"/>
      <c r="O1446" s="547"/>
      <c r="P1446" s="547"/>
    </row>
    <row r="1447" spans="1:16" ht="12.75">
      <c r="A1447" s="271"/>
      <c r="B1447" s="268"/>
      <c r="C1447" s="268"/>
      <c r="D1447" s="268"/>
      <c r="E1447" s="273"/>
      <c r="F1447" s="270"/>
      <c r="G1447" s="268"/>
      <c r="H1447" s="268"/>
      <c r="I1447" s="268"/>
      <c r="J1447" s="273"/>
      <c r="K1447" s="268"/>
      <c r="L1447" s="268"/>
      <c r="M1447" s="268"/>
      <c r="N1447" s="269"/>
      <c r="O1447" s="547"/>
      <c r="P1447" s="547"/>
    </row>
    <row r="1448" spans="1:16" ht="12.75">
      <c r="A1448" s="271"/>
      <c r="B1448" s="268"/>
      <c r="C1448" s="268"/>
      <c r="D1448" s="268"/>
      <c r="E1448" s="273"/>
      <c r="F1448" s="270"/>
      <c r="G1448" s="268"/>
      <c r="H1448" s="268"/>
      <c r="I1448" s="268"/>
      <c r="J1448" s="273"/>
      <c r="K1448" s="268"/>
      <c r="L1448" s="268"/>
      <c r="M1448" s="268"/>
      <c r="N1448" s="269"/>
      <c r="O1448" s="547"/>
      <c r="P1448" s="547"/>
    </row>
    <row r="1449" spans="1:16" ht="12.75">
      <c r="A1449" s="271"/>
      <c r="B1449" s="268"/>
      <c r="C1449" s="268"/>
      <c r="D1449" s="268"/>
      <c r="E1449" s="273"/>
      <c r="F1449" s="270"/>
      <c r="G1449" s="268"/>
      <c r="H1449" s="268"/>
      <c r="I1449" s="268"/>
      <c r="J1449" s="273"/>
      <c r="K1449" s="268"/>
      <c r="L1449" s="268"/>
      <c r="M1449" s="268"/>
      <c r="N1449" s="269"/>
      <c r="O1449" s="547"/>
      <c r="P1449" s="547"/>
    </row>
    <row r="1450" spans="1:16" ht="12.75">
      <c r="A1450" s="271"/>
      <c r="B1450" s="268"/>
      <c r="C1450" s="268"/>
      <c r="D1450" s="268"/>
      <c r="E1450" s="273"/>
      <c r="F1450" s="270"/>
      <c r="G1450" s="268"/>
      <c r="H1450" s="268"/>
      <c r="I1450" s="268"/>
      <c r="J1450" s="273"/>
      <c r="K1450" s="268"/>
      <c r="L1450" s="268"/>
      <c r="M1450" s="268"/>
      <c r="N1450" s="269"/>
      <c r="O1450" s="547"/>
      <c r="P1450" s="547"/>
    </row>
    <row r="1451" spans="1:16" ht="12.75">
      <c r="A1451" s="271"/>
      <c r="B1451" s="268"/>
      <c r="C1451" s="268"/>
      <c r="D1451" s="268"/>
      <c r="E1451" s="273"/>
      <c r="F1451" s="270"/>
      <c r="G1451" s="268"/>
      <c r="H1451" s="268"/>
      <c r="I1451" s="268"/>
      <c r="J1451" s="273"/>
      <c r="K1451" s="268"/>
      <c r="L1451" s="268"/>
      <c r="M1451" s="268"/>
      <c r="N1451" s="269"/>
      <c r="O1451" s="547"/>
      <c r="P1451" s="547"/>
    </row>
    <row r="1452" spans="1:16" ht="12.75">
      <c r="A1452" s="271"/>
      <c r="B1452" s="268"/>
      <c r="C1452" s="268"/>
      <c r="D1452" s="268"/>
      <c r="E1452" s="273"/>
      <c r="F1452" s="270"/>
      <c r="G1452" s="268"/>
      <c r="H1452" s="268"/>
      <c r="I1452" s="268"/>
      <c r="J1452" s="273"/>
      <c r="K1452" s="268"/>
      <c r="L1452" s="268"/>
      <c r="M1452" s="268"/>
      <c r="N1452" s="269"/>
      <c r="O1452" s="547"/>
      <c r="P1452" s="547"/>
    </row>
    <row r="1453" spans="1:16" ht="12.75">
      <c r="A1453" s="271"/>
      <c r="B1453" s="268"/>
      <c r="C1453" s="268"/>
      <c r="D1453" s="268"/>
      <c r="E1453" s="273"/>
      <c r="F1453" s="270"/>
      <c r="G1453" s="268"/>
      <c r="H1453" s="268"/>
      <c r="I1453" s="268"/>
      <c r="J1453" s="273"/>
      <c r="K1453" s="268"/>
      <c r="L1453" s="268"/>
      <c r="M1453" s="268"/>
      <c r="N1453" s="269"/>
      <c r="O1453" s="547"/>
      <c r="P1453" s="547"/>
    </row>
    <row r="1454" spans="1:16" ht="12.75">
      <c r="A1454" s="271"/>
      <c r="B1454" s="268"/>
      <c r="C1454" s="268"/>
      <c r="D1454" s="268"/>
      <c r="E1454" s="273"/>
      <c r="F1454" s="270"/>
      <c r="G1454" s="268"/>
      <c r="H1454" s="268"/>
      <c r="I1454" s="268"/>
      <c r="J1454" s="273"/>
      <c r="K1454" s="268"/>
      <c r="L1454" s="268"/>
      <c r="M1454" s="268"/>
      <c r="N1454" s="269"/>
      <c r="O1454" s="547"/>
      <c r="P1454" s="547"/>
    </row>
    <row r="1455" spans="1:16" ht="12.75">
      <c r="A1455" s="271"/>
      <c r="B1455" s="268"/>
      <c r="C1455" s="268"/>
      <c r="D1455" s="268"/>
      <c r="E1455" s="273"/>
      <c r="F1455" s="270"/>
      <c r="G1455" s="268"/>
      <c r="H1455" s="268"/>
      <c r="I1455" s="268"/>
      <c r="J1455" s="273"/>
      <c r="K1455" s="268"/>
      <c r="L1455" s="268"/>
      <c r="M1455" s="268"/>
      <c r="N1455" s="269"/>
      <c r="O1455" s="547"/>
      <c r="P1455" s="547"/>
    </row>
    <row r="1456" spans="1:16" ht="12.75">
      <c r="A1456" s="271"/>
      <c r="B1456" s="268"/>
      <c r="C1456" s="268"/>
      <c r="D1456" s="268"/>
      <c r="E1456" s="273"/>
      <c r="F1456" s="270"/>
      <c r="G1456" s="268"/>
      <c r="H1456" s="268"/>
      <c r="I1456" s="268"/>
      <c r="J1456" s="273"/>
      <c r="K1456" s="268"/>
      <c r="L1456" s="268"/>
      <c r="M1456" s="268"/>
      <c r="N1456" s="269"/>
      <c r="O1456" s="547"/>
      <c r="P1456" s="547"/>
    </row>
    <row r="1457" spans="1:16" ht="12.75">
      <c r="A1457" s="271"/>
      <c r="B1457" s="268"/>
      <c r="C1457" s="268"/>
      <c r="D1457" s="268"/>
      <c r="E1457" s="273"/>
      <c r="F1457" s="270"/>
      <c r="G1457" s="268"/>
      <c r="H1457" s="268"/>
      <c r="I1457" s="268"/>
      <c r="J1457" s="273"/>
      <c r="K1457" s="268"/>
      <c r="L1457" s="268"/>
      <c r="M1457" s="268"/>
      <c r="N1457" s="269"/>
      <c r="O1457" s="547"/>
      <c r="P1457" s="547"/>
    </row>
    <row r="1458" spans="1:16" ht="12.75">
      <c r="A1458" s="271"/>
      <c r="B1458" s="268"/>
      <c r="C1458" s="268"/>
      <c r="D1458" s="268"/>
      <c r="E1458" s="273"/>
      <c r="F1458" s="270"/>
      <c r="G1458" s="268"/>
      <c r="H1458" s="268"/>
      <c r="I1458" s="268"/>
      <c r="J1458" s="273"/>
      <c r="K1458" s="268"/>
      <c r="L1458" s="268"/>
      <c r="M1458" s="268"/>
      <c r="N1458" s="269"/>
      <c r="O1458" s="547"/>
      <c r="P1458" s="547"/>
    </row>
    <row r="1459" spans="1:16" ht="12.75">
      <c r="A1459" s="271"/>
      <c r="B1459" s="268"/>
      <c r="C1459" s="268"/>
      <c r="D1459" s="268"/>
      <c r="E1459" s="273"/>
      <c r="F1459" s="270"/>
      <c r="G1459" s="268"/>
      <c r="H1459" s="268"/>
      <c r="I1459" s="268"/>
      <c r="J1459" s="273"/>
      <c r="K1459" s="268"/>
      <c r="L1459" s="268"/>
      <c r="M1459" s="268"/>
      <c r="N1459" s="269"/>
      <c r="O1459" s="547"/>
      <c r="P1459" s="547"/>
    </row>
    <row r="1460" spans="1:16" ht="12.75">
      <c r="A1460" s="271"/>
      <c r="B1460" s="268"/>
      <c r="C1460" s="268"/>
      <c r="D1460" s="268"/>
      <c r="E1460" s="273"/>
      <c r="F1460" s="270"/>
      <c r="G1460" s="268"/>
      <c r="H1460" s="268"/>
      <c r="I1460" s="268"/>
      <c r="J1460" s="273"/>
      <c r="K1460" s="268"/>
      <c r="L1460" s="268"/>
      <c r="M1460" s="268"/>
      <c r="N1460" s="269"/>
      <c r="O1460" s="547"/>
      <c r="P1460" s="547"/>
    </row>
    <row r="1461" spans="1:16" ht="12.75">
      <c r="A1461" s="271"/>
      <c r="B1461" s="268"/>
      <c r="C1461" s="268"/>
      <c r="D1461" s="268"/>
      <c r="E1461" s="273"/>
      <c r="F1461" s="270"/>
      <c r="G1461" s="268"/>
      <c r="H1461" s="268"/>
      <c r="I1461" s="268"/>
      <c r="J1461" s="273"/>
      <c r="K1461" s="268"/>
      <c r="L1461" s="268"/>
      <c r="M1461" s="268"/>
      <c r="N1461" s="269"/>
      <c r="O1461" s="547"/>
      <c r="P1461" s="547"/>
    </row>
    <row r="1462" spans="1:16" ht="12.75">
      <c r="A1462" s="271"/>
      <c r="B1462" s="268"/>
      <c r="C1462" s="268"/>
      <c r="D1462" s="268"/>
      <c r="E1462" s="273"/>
      <c r="F1462" s="270"/>
      <c r="G1462" s="268"/>
      <c r="H1462" s="268"/>
      <c r="I1462" s="268"/>
      <c r="J1462" s="273"/>
      <c r="K1462" s="268"/>
      <c r="L1462" s="268"/>
      <c r="M1462" s="268"/>
      <c r="N1462" s="269"/>
      <c r="O1462" s="547"/>
      <c r="P1462" s="547"/>
    </row>
    <row r="1463" spans="1:16" ht="12.75">
      <c r="A1463" s="271"/>
      <c r="B1463" s="268"/>
      <c r="C1463" s="268"/>
      <c r="D1463" s="268"/>
      <c r="E1463" s="273"/>
      <c r="F1463" s="270"/>
      <c r="G1463" s="268"/>
      <c r="H1463" s="268"/>
      <c r="I1463" s="268"/>
      <c r="J1463" s="273"/>
      <c r="K1463" s="268"/>
      <c r="L1463" s="268"/>
      <c r="M1463" s="268"/>
      <c r="N1463" s="269"/>
      <c r="O1463" s="547"/>
      <c r="P1463" s="547"/>
    </row>
    <row r="1464" spans="1:16" ht="12.75">
      <c r="A1464" s="271"/>
      <c r="B1464" s="268"/>
      <c r="C1464" s="268"/>
      <c r="D1464" s="268"/>
      <c r="E1464" s="273"/>
      <c r="F1464" s="270"/>
      <c r="G1464" s="268"/>
      <c r="H1464" s="268"/>
      <c r="I1464" s="268"/>
      <c r="J1464" s="273"/>
      <c r="K1464" s="268"/>
      <c r="L1464" s="268"/>
      <c r="M1464" s="268"/>
      <c r="N1464" s="269"/>
      <c r="O1464" s="547"/>
      <c r="P1464" s="547"/>
    </row>
    <row r="1465" spans="1:16" ht="12.75">
      <c r="A1465" s="271"/>
      <c r="B1465" s="268"/>
      <c r="C1465" s="268"/>
      <c r="D1465" s="268"/>
      <c r="E1465" s="273"/>
      <c r="F1465" s="270"/>
      <c r="G1465" s="268"/>
      <c r="H1465" s="268"/>
      <c r="I1465" s="268"/>
      <c r="J1465" s="273"/>
      <c r="K1465" s="268"/>
      <c r="L1465" s="268"/>
      <c r="M1465" s="268"/>
      <c r="N1465" s="269"/>
      <c r="O1465" s="547"/>
      <c r="P1465" s="547"/>
    </row>
    <row r="1466" spans="1:16" ht="12.75">
      <c r="A1466" s="271"/>
      <c r="B1466" s="268"/>
      <c r="C1466" s="268"/>
      <c r="D1466" s="268"/>
      <c r="E1466" s="273"/>
      <c r="F1466" s="270"/>
      <c r="G1466" s="268"/>
      <c r="H1466" s="268"/>
      <c r="I1466" s="268"/>
      <c r="J1466" s="273"/>
      <c r="K1466" s="268"/>
      <c r="L1466" s="268"/>
      <c r="M1466" s="268"/>
      <c r="N1466" s="269"/>
      <c r="O1466" s="547"/>
      <c r="P1466" s="547"/>
    </row>
    <row r="1467" spans="1:16" ht="12.75">
      <c r="A1467" s="271"/>
      <c r="B1467" s="268"/>
      <c r="C1467" s="268"/>
      <c r="D1467" s="268"/>
      <c r="E1467" s="273"/>
      <c r="F1467" s="270"/>
      <c r="G1467" s="268"/>
      <c r="H1467" s="268"/>
      <c r="I1467" s="268"/>
      <c r="J1467" s="273"/>
      <c r="K1467" s="268"/>
      <c r="L1467" s="268"/>
      <c r="M1467" s="268"/>
      <c r="N1467" s="269"/>
      <c r="O1467" s="547"/>
      <c r="P1467" s="547"/>
    </row>
    <row r="1468" spans="1:16" ht="12.75">
      <c r="A1468" s="271"/>
      <c r="B1468" s="268"/>
      <c r="C1468" s="268"/>
      <c r="D1468" s="268"/>
      <c r="E1468" s="273"/>
      <c r="F1468" s="270"/>
      <c r="G1468" s="268"/>
      <c r="H1468" s="268"/>
      <c r="I1468" s="268"/>
      <c r="J1468" s="273"/>
      <c r="K1468" s="268"/>
      <c r="L1468" s="268"/>
      <c r="M1468" s="268"/>
      <c r="N1468" s="269"/>
      <c r="O1468" s="547"/>
      <c r="P1468" s="547"/>
    </row>
    <row r="1469" spans="1:16" ht="12.75">
      <c r="A1469" s="271"/>
      <c r="B1469" s="268"/>
      <c r="C1469" s="268"/>
      <c r="D1469" s="268"/>
      <c r="E1469" s="273"/>
      <c r="F1469" s="270"/>
      <c r="G1469" s="268"/>
      <c r="H1469" s="268"/>
      <c r="I1469" s="268"/>
      <c r="J1469" s="273"/>
      <c r="K1469" s="268"/>
      <c r="L1469" s="268"/>
      <c r="M1469" s="268"/>
      <c r="N1469" s="269"/>
      <c r="O1469" s="547"/>
      <c r="P1469" s="547"/>
    </row>
    <row r="1470" spans="1:16" ht="12.75">
      <c r="A1470" s="271"/>
      <c r="B1470" s="268"/>
      <c r="C1470" s="268"/>
      <c r="D1470" s="268"/>
      <c r="E1470" s="273"/>
      <c r="F1470" s="270"/>
      <c r="G1470" s="268"/>
      <c r="H1470" s="268"/>
      <c r="I1470" s="268"/>
      <c r="J1470" s="273"/>
      <c r="K1470" s="268"/>
      <c r="L1470" s="268"/>
      <c r="M1470" s="268"/>
      <c r="N1470" s="269"/>
      <c r="O1470" s="547"/>
      <c r="P1470" s="547"/>
    </row>
    <row r="1471" spans="1:16" ht="12.75">
      <c r="A1471" s="271"/>
      <c r="B1471" s="268"/>
      <c r="C1471" s="268"/>
      <c r="D1471" s="268"/>
      <c r="E1471" s="273"/>
      <c r="F1471" s="270"/>
      <c r="G1471" s="268"/>
      <c r="H1471" s="268"/>
      <c r="I1471" s="268"/>
      <c r="J1471" s="273"/>
      <c r="K1471" s="268"/>
      <c r="L1471" s="268"/>
      <c r="M1471" s="268"/>
      <c r="N1471" s="269"/>
      <c r="O1471" s="547"/>
      <c r="P1471" s="547"/>
    </row>
    <row r="1472" spans="1:16" ht="12.75">
      <c r="A1472" s="271"/>
      <c r="B1472" s="268"/>
      <c r="C1472" s="268"/>
      <c r="D1472" s="268"/>
      <c r="E1472" s="273"/>
      <c r="F1472" s="270"/>
      <c r="G1472" s="268"/>
      <c r="H1472" s="268"/>
      <c r="I1472" s="268"/>
      <c r="J1472" s="273"/>
      <c r="K1472" s="268"/>
      <c r="L1472" s="268"/>
      <c r="M1472" s="268"/>
      <c r="N1472" s="269"/>
      <c r="O1472" s="547"/>
      <c r="P1472" s="547"/>
    </row>
    <row r="1473" spans="1:16" ht="12.75">
      <c r="A1473" s="271"/>
      <c r="B1473" s="268"/>
      <c r="C1473" s="268"/>
      <c r="D1473" s="268"/>
      <c r="E1473" s="273"/>
      <c r="F1473" s="270"/>
      <c r="G1473" s="268"/>
      <c r="H1473" s="268"/>
      <c r="I1473" s="268"/>
      <c r="J1473" s="273"/>
      <c r="K1473" s="268"/>
      <c r="L1473" s="268"/>
      <c r="M1473" s="268"/>
      <c r="N1473" s="269"/>
      <c r="O1473" s="547"/>
      <c r="P1473" s="547"/>
    </row>
    <row r="1474" spans="1:16" ht="12.75">
      <c r="A1474" s="271"/>
      <c r="B1474" s="268"/>
      <c r="C1474" s="268"/>
      <c r="D1474" s="268"/>
      <c r="E1474" s="273"/>
      <c r="F1474" s="270"/>
      <c r="G1474" s="268"/>
      <c r="H1474" s="268"/>
      <c r="I1474" s="268"/>
      <c r="J1474" s="273"/>
      <c r="K1474" s="268"/>
      <c r="L1474" s="268"/>
      <c r="M1474" s="268"/>
      <c r="N1474" s="269"/>
      <c r="O1474" s="547"/>
      <c r="P1474" s="547"/>
    </row>
    <row r="1475" spans="1:16" ht="12.75">
      <c r="A1475" s="271"/>
      <c r="B1475" s="268"/>
      <c r="C1475" s="268"/>
      <c r="D1475" s="268"/>
      <c r="E1475" s="273"/>
      <c r="F1475" s="270"/>
      <c r="G1475" s="268"/>
      <c r="H1475" s="268"/>
      <c r="I1475" s="268"/>
      <c r="J1475" s="273"/>
      <c r="K1475" s="268"/>
      <c r="L1475" s="268"/>
      <c r="M1475" s="268"/>
      <c r="N1475" s="269"/>
      <c r="O1475" s="547"/>
      <c r="P1475" s="547"/>
    </row>
    <row r="1476" spans="1:16" ht="12.75">
      <c r="A1476" s="271"/>
      <c r="B1476" s="268"/>
      <c r="C1476" s="268"/>
      <c r="D1476" s="268"/>
      <c r="E1476" s="273"/>
      <c r="F1476" s="270"/>
      <c r="G1476" s="268"/>
      <c r="H1476" s="268"/>
      <c r="I1476" s="268"/>
      <c r="J1476" s="273"/>
      <c r="K1476" s="268"/>
      <c r="L1476" s="268"/>
      <c r="M1476" s="268"/>
      <c r="N1476" s="269"/>
      <c r="O1476" s="547"/>
      <c r="P1476" s="547"/>
    </row>
    <row r="1477" spans="1:16" ht="12.75">
      <c r="A1477" s="271"/>
      <c r="B1477" s="268"/>
      <c r="C1477" s="268"/>
      <c r="D1477" s="268"/>
      <c r="E1477" s="273"/>
      <c r="F1477" s="270"/>
      <c r="G1477" s="268"/>
      <c r="H1477" s="268"/>
      <c r="I1477" s="268"/>
      <c r="J1477" s="273"/>
      <c r="K1477" s="268"/>
      <c r="L1477" s="268"/>
      <c r="M1477" s="268"/>
      <c r="N1477" s="269"/>
      <c r="O1477" s="547"/>
      <c r="P1477" s="547"/>
    </row>
    <row r="1478" spans="1:16" ht="12.75">
      <c r="A1478" s="271"/>
      <c r="B1478" s="268"/>
      <c r="C1478" s="268"/>
      <c r="D1478" s="268"/>
      <c r="E1478" s="273"/>
      <c r="F1478" s="270"/>
      <c r="G1478" s="268"/>
      <c r="H1478" s="268"/>
      <c r="I1478" s="268"/>
      <c r="J1478" s="273"/>
      <c r="K1478" s="268"/>
      <c r="L1478" s="268"/>
      <c r="M1478" s="268"/>
      <c r="N1478" s="269"/>
      <c r="O1478" s="547"/>
      <c r="P1478" s="547"/>
    </row>
    <row r="1479" spans="1:16" ht="12.75">
      <c r="A1479" s="271"/>
      <c r="B1479" s="268"/>
      <c r="C1479" s="268"/>
      <c r="D1479" s="268"/>
      <c r="E1479" s="273"/>
      <c r="F1479" s="270"/>
      <c r="G1479" s="268"/>
      <c r="H1479" s="268"/>
      <c r="I1479" s="268"/>
      <c r="J1479" s="273"/>
      <c r="K1479" s="268"/>
      <c r="L1479" s="268"/>
      <c r="M1479" s="268"/>
      <c r="N1479" s="269"/>
      <c r="O1479" s="547"/>
      <c r="P1479" s="547"/>
    </row>
    <row r="1480" spans="1:16" ht="12.75">
      <c r="A1480" s="271"/>
      <c r="B1480" s="268"/>
      <c r="C1480" s="268"/>
      <c r="D1480" s="268"/>
      <c r="E1480" s="273"/>
      <c r="F1480" s="270"/>
      <c r="G1480" s="268"/>
      <c r="H1480" s="268"/>
      <c r="I1480" s="268"/>
      <c r="J1480" s="273"/>
      <c r="K1480" s="268"/>
      <c r="L1480" s="268"/>
      <c r="M1480" s="268"/>
      <c r="N1480" s="269"/>
      <c r="O1480" s="547"/>
      <c r="P1480" s="547"/>
    </row>
    <row r="1481" spans="1:16" ht="12.75">
      <c r="A1481" s="271"/>
      <c r="B1481" s="268"/>
      <c r="C1481" s="268"/>
      <c r="D1481" s="268"/>
      <c r="E1481" s="273"/>
      <c r="F1481" s="270"/>
      <c r="G1481" s="268"/>
      <c r="H1481" s="268"/>
      <c r="I1481" s="268"/>
      <c r="J1481" s="273"/>
      <c r="K1481" s="268"/>
      <c r="L1481" s="268"/>
      <c r="M1481" s="268"/>
      <c r="N1481" s="269"/>
      <c r="O1481" s="547"/>
      <c r="P1481" s="547"/>
    </row>
    <row r="1482" spans="1:16" ht="12.75">
      <c r="A1482" s="271"/>
      <c r="B1482" s="268"/>
      <c r="C1482" s="268"/>
      <c r="D1482" s="268"/>
      <c r="E1482" s="273"/>
      <c r="F1482" s="270"/>
      <c r="G1482" s="268"/>
      <c r="H1482" s="268"/>
      <c r="I1482" s="268"/>
      <c r="J1482" s="273"/>
      <c r="K1482" s="268"/>
      <c r="L1482" s="268"/>
      <c r="M1482" s="268"/>
      <c r="N1482" s="269"/>
      <c r="O1482" s="547"/>
      <c r="P1482" s="547"/>
    </row>
    <row r="1483" spans="1:16" ht="12.75">
      <c r="A1483" s="271"/>
      <c r="B1483" s="268"/>
      <c r="C1483" s="268"/>
      <c r="D1483" s="268"/>
      <c r="E1483" s="273"/>
      <c r="F1483" s="270"/>
      <c r="G1483" s="268"/>
      <c r="H1483" s="268"/>
      <c r="I1483" s="268"/>
      <c r="J1483" s="273"/>
      <c r="K1483" s="268"/>
      <c r="L1483" s="268"/>
      <c r="M1483" s="268"/>
      <c r="N1483" s="269"/>
      <c r="O1483" s="547"/>
      <c r="P1483" s="547"/>
    </row>
    <row r="1484" spans="1:16" ht="12.75">
      <c r="A1484" s="271"/>
      <c r="B1484" s="268"/>
      <c r="C1484" s="268"/>
      <c r="D1484" s="268"/>
      <c r="E1484" s="273"/>
      <c r="F1484" s="270"/>
      <c r="G1484" s="268"/>
      <c r="H1484" s="268"/>
      <c r="I1484" s="268"/>
      <c r="J1484" s="273"/>
      <c r="K1484" s="268"/>
      <c r="L1484" s="268"/>
      <c r="M1484" s="268"/>
      <c r="N1484" s="269"/>
      <c r="O1484" s="547"/>
      <c r="P1484" s="547"/>
    </row>
    <row r="1485" spans="1:16" ht="12.75">
      <c r="A1485" s="271"/>
      <c r="B1485" s="268"/>
      <c r="C1485" s="268"/>
      <c r="D1485" s="268"/>
      <c r="E1485" s="273"/>
      <c r="F1485" s="270"/>
      <c r="G1485" s="268"/>
      <c r="H1485" s="268"/>
      <c r="I1485" s="268"/>
      <c r="J1485" s="273"/>
      <c r="K1485" s="268"/>
      <c r="L1485" s="268"/>
      <c r="M1485" s="268"/>
      <c r="N1485" s="269"/>
      <c r="O1485" s="547"/>
      <c r="P1485" s="547"/>
    </row>
    <row r="1486" spans="1:16" ht="12.75">
      <c r="A1486" s="271"/>
      <c r="B1486" s="268"/>
      <c r="C1486" s="268"/>
      <c r="D1486" s="268"/>
      <c r="E1486" s="273"/>
      <c r="F1486" s="270"/>
      <c r="G1486" s="268"/>
      <c r="H1486" s="268"/>
      <c r="I1486" s="268"/>
      <c r="J1486" s="273"/>
      <c r="K1486" s="268"/>
      <c r="L1486" s="268"/>
      <c r="M1486" s="268"/>
      <c r="N1486" s="269"/>
      <c r="O1486" s="547"/>
      <c r="P1486" s="547"/>
    </row>
    <row r="1487" spans="1:16" ht="12.75">
      <c r="A1487" s="271"/>
      <c r="B1487" s="268"/>
      <c r="C1487" s="268"/>
      <c r="D1487" s="268"/>
      <c r="E1487" s="273"/>
      <c r="F1487" s="270"/>
      <c r="G1487" s="268"/>
      <c r="H1487" s="268"/>
      <c r="I1487" s="268"/>
      <c r="J1487" s="273"/>
      <c r="K1487" s="268"/>
      <c r="L1487" s="268"/>
      <c r="M1487" s="268"/>
      <c r="N1487" s="269"/>
      <c r="O1487" s="547"/>
      <c r="P1487" s="547"/>
    </row>
    <row r="1488" spans="1:16" ht="12.75">
      <c r="A1488" s="271"/>
      <c r="B1488" s="268"/>
      <c r="C1488" s="268"/>
      <c r="D1488" s="268"/>
      <c r="E1488" s="273"/>
      <c r="F1488" s="270"/>
      <c r="G1488" s="268"/>
      <c r="H1488" s="268"/>
      <c r="I1488" s="268"/>
      <c r="J1488" s="273"/>
      <c r="K1488" s="268"/>
      <c r="L1488" s="268"/>
      <c r="M1488" s="268"/>
      <c r="N1488" s="269"/>
      <c r="O1488" s="547"/>
      <c r="P1488" s="547"/>
    </row>
    <row r="1489" spans="1:16" ht="12.75">
      <c r="A1489" s="271"/>
      <c r="B1489" s="268"/>
      <c r="C1489" s="268"/>
      <c r="D1489" s="268"/>
      <c r="E1489" s="273"/>
      <c r="F1489" s="270"/>
      <c r="G1489" s="268"/>
      <c r="H1489" s="268"/>
      <c r="I1489" s="268"/>
      <c r="J1489" s="273"/>
      <c r="K1489" s="268"/>
      <c r="L1489" s="268"/>
      <c r="M1489" s="268"/>
      <c r="N1489" s="269"/>
      <c r="O1489" s="547"/>
      <c r="P1489" s="547"/>
    </row>
    <row r="1490" spans="1:16" ht="12.75">
      <c r="A1490" s="271"/>
      <c r="B1490" s="268"/>
      <c r="C1490" s="268"/>
      <c r="D1490" s="268"/>
      <c r="E1490" s="273"/>
      <c r="F1490" s="270"/>
      <c r="G1490" s="268"/>
      <c r="H1490" s="268"/>
      <c r="I1490" s="268"/>
      <c r="J1490" s="273"/>
      <c r="K1490" s="268"/>
      <c r="L1490" s="268"/>
      <c r="M1490" s="268"/>
      <c r="N1490" s="269"/>
      <c r="O1490" s="547"/>
      <c r="P1490" s="547"/>
    </row>
    <row r="1491" spans="1:16" ht="12.75">
      <c r="A1491" s="271"/>
      <c r="B1491" s="268"/>
      <c r="C1491" s="268"/>
      <c r="D1491" s="268"/>
      <c r="E1491" s="273"/>
      <c r="F1491" s="270"/>
      <c r="G1491" s="268"/>
      <c r="H1491" s="268"/>
      <c r="I1491" s="268"/>
      <c r="J1491" s="273"/>
      <c r="K1491" s="268"/>
      <c r="L1491" s="268"/>
      <c r="M1491" s="268"/>
      <c r="N1491" s="269"/>
      <c r="O1491" s="547"/>
      <c r="P1491" s="547"/>
    </row>
    <row r="1492" spans="1:16" ht="12.75">
      <c r="A1492" s="271"/>
      <c r="B1492" s="268"/>
      <c r="C1492" s="268"/>
      <c r="D1492" s="268"/>
      <c r="E1492" s="273"/>
      <c r="F1492" s="270"/>
      <c r="G1492" s="268"/>
      <c r="H1492" s="268"/>
      <c r="I1492" s="268"/>
      <c r="J1492" s="273"/>
      <c r="K1492" s="268"/>
      <c r="L1492" s="268"/>
      <c r="M1492" s="268"/>
      <c r="N1492" s="269"/>
      <c r="O1492" s="547"/>
      <c r="P1492" s="547"/>
    </row>
    <row r="1493" spans="1:16" ht="12.75">
      <c r="A1493" s="271"/>
      <c r="B1493" s="268"/>
      <c r="C1493" s="268"/>
      <c r="D1493" s="268"/>
      <c r="E1493" s="273"/>
      <c r="F1493" s="270"/>
      <c r="G1493" s="268"/>
      <c r="H1493" s="268"/>
      <c r="I1493" s="268"/>
      <c r="J1493" s="273"/>
      <c r="K1493" s="268"/>
      <c r="L1493" s="268"/>
      <c r="M1493" s="268"/>
      <c r="N1493" s="269"/>
      <c r="O1493" s="547"/>
      <c r="P1493" s="547"/>
    </row>
    <row r="1494" spans="1:16" ht="12.75">
      <c r="A1494" s="271"/>
      <c r="B1494" s="268"/>
      <c r="C1494" s="268"/>
      <c r="D1494" s="268"/>
      <c r="E1494" s="273"/>
      <c r="F1494" s="270"/>
      <c r="G1494" s="268"/>
      <c r="H1494" s="268"/>
      <c r="I1494" s="268"/>
      <c r="J1494" s="273"/>
      <c r="K1494" s="268"/>
      <c r="L1494" s="268"/>
      <c r="M1494" s="268"/>
      <c r="N1494" s="269"/>
      <c r="O1494" s="547"/>
      <c r="P1494" s="547"/>
    </row>
    <row r="1495" spans="1:16" ht="12.75">
      <c r="A1495" s="271"/>
      <c r="B1495" s="268"/>
      <c r="C1495" s="268"/>
      <c r="D1495" s="268"/>
      <c r="E1495" s="273"/>
      <c r="F1495" s="270"/>
      <c r="G1495" s="268"/>
      <c r="H1495" s="268"/>
      <c r="I1495" s="268"/>
      <c r="J1495" s="273"/>
      <c r="K1495" s="268"/>
      <c r="L1495" s="268"/>
      <c r="M1495" s="268"/>
      <c r="N1495" s="269"/>
      <c r="O1495" s="547"/>
      <c r="P1495" s="547"/>
    </row>
    <row r="1496" spans="1:16" ht="12.75">
      <c r="A1496" s="271"/>
      <c r="B1496" s="268"/>
      <c r="C1496" s="268"/>
      <c r="D1496" s="268"/>
      <c r="E1496" s="273"/>
      <c r="F1496" s="270"/>
      <c r="G1496" s="268"/>
      <c r="H1496" s="268"/>
      <c r="I1496" s="268"/>
      <c r="J1496" s="273"/>
      <c r="K1496" s="268"/>
      <c r="L1496" s="268"/>
      <c r="M1496" s="268"/>
      <c r="N1496" s="269"/>
      <c r="O1496" s="547"/>
      <c r="P1496" s="547"/>
    </row>
    <row r="1497" spans="1:16" ht="12.75">
      <c r="A1497" s="271"/>
      <c r="B1497" s="268"/>
      <c r="C1497" s="268"/>
      <c r="D1497" s="268"/>
      <c r="E1497" s="273"/>
      <c r="F1497" s="270"/>
      <c r="G1497" s="268"/>
      <c r="H1497" s="268"/>
      <c r="I1497" s="268"/>
      <c r="J1497" s="273"/>
      <c r="K1497" s="268"/>
      <c r="L1497" s="268"/>
      <c r="M1497" s="268"/>
      <c r="N1497" s="269"/>
      <c r="O1497" s="547"/>
      <c r="P1497" s="547"/>
    </row>
    <row r="1498" spans="1:16" ht="12.75">
      <c r="A1498" s="271"/>
      <c r="B1498" s="268"/>
      <c r="C1498" s="268"/>
      <c r="D1498" s="268"/>
      <c r="E1498" s="273"/>
      <c r="F1498" s="270"/>
      <c r="G1498" s="268"/>
      <c r="H1498" s="268"/>
      <c r="I1498" s="268"/>
      <c r="J1498" s="273"/>
      <c r="K1498" s="268"/>
      <c r="L1498" s="268"/>
      <c r="M1498" s="268"/>
      <c r="N1498" s="269"/>
      <c r="O1498" s="547"/>
      <c r="P1498" s="547"/>
    </row>
    <row r="1499" spans="1:16" ht="12.75">
      <c r="A1499" s="271"/>
      <c r="B1499" s="268"/>
      <c r="C1499" s="268"/>
      <c r="D1499" s="268"/>
      <c r="E1499" s="273"/>
      <c r="F1499" s="270"/>
      <c r="G1499" s="268"/>
      <c r="H1499" s="268"/>
      <c r="I1499" s="268"/>
      <c r="J1499" s="273"/>
      <c r="K1499" s="268"/>
      <c r="L1499" s="268"/>
      <c r="M1499" s="268"/>
      <c r="N1499" s="269"/>
      <c r="O1499" s="547"/>
      <c r="P1499" s="547"/>
    </row>
    <row r="1500" spans="1:16" ht="12.75">
      <c r="A1500" s="271"/>
      <c r="B1500" s="268"/>
      <c r="C1500" s="268"/>
      <c r="D1500" s="268"/>
      <c r="E1500" s="273"/>
      <c r="F1500" s="270"/>
      <c r="G1500" s="268"/>
      <c r="H1500" s="268"/>
      <c r="I1500" s="268"/>
      <c r="J1500" s="273"/>
      <c r="K1500" s="268"/>
      <c r="L1500" s="268"/>
      <c r="M1500" s="268"/>
      <c r="N1500" s="269"/>
      <c r="O1500" s="547"/>
      <c r="P1500" s="547"/>
    </row>
    <row r="1501" spans="1:16" ht="12.75">
      <c r="A1501" s="271"/>
      <c r="B1501" s="268"/>
      <c r="C1501" s="268"/>
      <c r="D1501" s="268"/>
      <c r="E1501" s="273"/>
      <c r="F1501" s="270"/>
      <c r="G1501" s="268"/>
      <c r="H1501" s="268"/>
      <c r="I1501" s="268"/>
      <c r="J1501" s="273"/>
      <c r="K1501" s="268"/>
      <c r="L1501" s="268"/>
      <c r="M1501" s="268"/>
      <c r="N1501" s="269"/>
      <c r="O1501" s="547"/>
      <c r="P1501" s="547"/>
    </row>
    <row r="1502" spans="1:16" ht="12.75">
      <c r="A1502" s="271"/>
      <c r="B1502" s="268"/>
      <c r="C1502" s="268"/>
      <c r="D1502" s="268"/>
      <c r="E1502" s="273"/>
      <c r="F1502" s="270"/>
      <c r="G1502" s="268"/>
      <c r="H1502" s="268"/>
      <c r="I1502" s="268"/>
      <c r="J1502" s="273"/>
      <c r="K1502" s="268"/>
      <c r="L1502" s="268"/>
      <c r="M1502" s="268"/>
      <c r="N1502" s="269"/>
      <c r="O1502" s="547"/>
      <c r="P1502" s="547"/>
    </row>
    <row r="1503" spans="1:16" ht="12.75">
      <c r="A1503" s="271"/>
      <c r="B1503" s="268"/>
      <c r="C1503" s="268"/>
      <c r="D1503" s="268"/>
      <c r="E1503" s="273"/>
      <c r="F1503" s="270"/>
      <c r="G1503" s="268"/>
      <c r="H1503" s="268"/>
      <c r="I1503" s="268"/>
      <c r="J1503" s="273"/>
      <c r="K1503" s="268"/>
      <c r="L1503" s="268"/>
      <c r="M1503" s="268"/>
      <c r="N1503" s="269"/>
      <c r="O1503" s="547"/>
      <c r="P1503" s="547"/>
    </row>
    <row r="1504" spans="1:16" ht="12.75">
      <c r="A1504" s="271"/>
      <c r="B1504" s="268"/>
      <c r="C1504" s="268"/>
      <c r="D1504" s="268"/>
      <c r="E1504" s="273"/>
      <c r="F1504" s="270"/>
      <c r="G1504" s="268"/>
      <c r="H1504" s="268"/>
      <c r="I1504" s="268"/>
      <c r="J1504" s="273"/>
      <c r="K1504" s="268"/>
      <c r="L1504" s="268"/>
      <c r="M1504" s="268"/>
      <c r="N1504" s="269"/>
      <c r="O1504" s="547"/>
      <c r="P1504" s="547"/>
    </row>
    <row r="1505" spans="1:16" ht="12.75">
      <c r="A1505" s="271"/>
      <c r="B1505" s="268"/>
      <c r="C1505" s="268"/>
      <c r="D1505" s="268"/>
      <c r="E1505" s="273"/>
      <c r="F1505" s="270"/>
      <c r="G1505" s="268"/>
      <c r="H1505" s="268"/>
      <c r="I1505" s="268"/>
      <c r="J1505" s="273"/>
      <c r="K1505" s="268"/>
      <c r="L1505" s="268"/>
      <c r="M1505" s="268"/>
      <c r="N1505" s="269"/>
      <c r="O1505" s="547"/>
      <c r="P1505" s="547"/>
    </row>
    <row r="1506" spans="1:16" ht="12.75">
      <c r="A1506" s="271"/>
      <c r="B1506" s="268"/>
      <c r="C1506" s="268"/>
      <c r="D1506" s="268"/>
      <c r="E1506" s="273"/>
      <c r="F1506" s="270"/>
      <c r="G1506" s="268"/>
      <c r="H1506" s="268"/>
      <c r="I1506" s="268"/>
      <c r="J1506" s="273"/>
      <c r="K1506" s="268"/>
      <c r="L1506" s="268"/>
      <c r="M1506" s="268"/>
      <c r="N1506" s="269"/>
      <c r="O1506" s="547"/>
      <c r="P1506" s="547"/>
    </row>
    <row r="1507" spans="1:16" ht="12.75">
      <c r="A1507" s="271"/>
      <c r="B1507" s="268"/>
      <c r="C1507" s="268"/>
      <c r="D1507" s="268"/>
      <c r="E1507" s="273"/>
      <c r="F1507" s="270"/>
      <c r="G1507" s="268"/>
      <c r="H1507" s="268"/>
      <c r="I1507" s="268"/>
      <c r="J1507" s="273"/>
      <c r="K1507" s="268"/>
      <c r="L1507" s="268"/>
      <c r="M1507" s="268"/>
      <c r="N1507" s="269"/>
      <c r="O1507" s="547"/>
      <c r="P1507" s="547"/>
    </row>
    <row r="1508" spans="1:16" ht="12.75">
      <c r="A1508" s="271"/>
      <c r="B1508" s="268"/>
      <c r="C1508" s="268"/>
      <c r="D1508" s="268"/>
      <c r="E1508" s="273"/>
      <c r="F1508" s="270"/>
      <c r="G1508" s="268"/>
      <c r="H1508" s="268"/>
      <c r="I1508" s="268"/>
      <c r="J1508" s="273"/>
      <c r="K1508" s="268"/>
      <c r="L1508" s="268"/>
      <c r="M1508" s="268"/>
      <c r="N1508" s="269"/>
      <c r="O1508" s="547"/>
      <c r="P1508" s="547"/>
    </row>
    <row r="1509" spans="1:16" ht="12.75">
      <c r="A1509" s="271"/>
      <c r="B1509" s="268"/>
      <c r="C1509" s="268"/>
      <c r="D1509" s="268"/>
      <c r="E1509" s="273"/>
      <c r="F1509" s="270"/>
      <c r="G1509" s="268"/>
      <c r="H1509" s="268"/>
      <c r="I1509" s="268"/>
      <c r="J1509" s="273"/>
      <c r="K1509" s="268"/>
      <c r="L1509" s="268"/>
      <c r="M1509" s="268"/>
      <c r="N1509" s="269"/>
      <c r="O1509" s="547"/>
      <c r="P1509" s="547"/>
    </row>
    <row r="1510" spans="1:16" ht="12.75">
      <c r="A1510" s="271"/>
      <c r="B1510" s="268"/>
      <c r="C1510" s="268"/>
      <c r="D1510" s="268"/>
      <c r="E1510" s="273"/>
      <c r="F1510" s="270"/>
      <c r="G1510" s="268"/>
      <c r="H1510" s="268"/>
      <c r="I1510" s="268"/>
      <c r="J1510" s="273"/>
      <c r="K1510" s="268"/>
      <c r="L1510" s="268"/>
      <c r="M1510" s="268"/>
      <c r="N1510" s="269"/>
      <c r="O1510" s="547"/>
      <c r="P1510" s="547"/>
    </row>
    <row r="1511" spans="1:16" ht="12.75">
      <c r="A1511" s="271"/>
      <c r="B1511" s="268"/>
      <c r="C1511" s="268"/>
      <c r="D1511" s="268"/>
      <c r="E1511" s="273"/>
      <c r="F1511" s="270"/>
      <c r="G1511" s="268"/>
      <c r="H1511" s="268"/>
      <c r="I1511" s="268"/>
      <c r="J1511" s="273"/>
      <c r="K1511" s="268"/>
      <c r="L1511" s="268"/>
      <c r="M1511" s="268"/>
      <c r="N1511" s="269"/>
      <c r="O1511" s="547"/>
      <c r="P1511" s="547"/>
    </row>
    <row r="1512" spans="1:16" ht="12.75">
      <c r="A1512" s="271"/>
      <c r="B1512" s="268"/>
      <c r="C1512" s="268"/>
      <c r="D1512" s="268"/>
      <c r="E1512" s="273"/>
      <c r="F1512" s="270"/>
      <c r="G1512" s="268"/>
      <c r="H1512" s="268"/>
      <c r="I1512" s="268"/>
      <c r="J1512" s="273"/>
      <c r="K1512" s="268"/>
      <c r="L1512" s="268"/>
      <c r="M1512" s="268"/>
      <c r="N1512" s="269"/>
      <c r="O1512" s="547"/>
      <c r="P1512" s="547"/>
    </row>
    <row r="1513" spans="1:16" ht="12.75">
      <c r="A1513" s="271"/>
      <c r="B1513" s="268"/>
      <c r="C1513" s="268"/>
      <c r="D1513" s="268"/>
      <c r="E1513" s="273"/>
      <c r="F1513" s="270"/>
      <c r="G1513" s="268"/>
      <c r="H1513" s="268"/>
      <c r="I1513" s="268"/>
      <c r="J1513" s="273"/>
      <c r="K1513" s="268"/>
      <c r="L1513" s="268"/>
      <c r="M1513" s="268"/>
      <c r="N1513" s="269"/>
      <c r="O1513" s="547"/>
      <c r="P1513" s="547"/>
    </row>
    <row r="1514" spans="1:16" ht="12.75">
      <c r="A1514" s="271"/>
      <c r="B1514" s="268"/>
      <c r="C1514" s="268"/>
      <c r="D1514" s="268"/>
      <c r="E1514" s="273"/>
      <c r="F1514" s="270"/>
      <c r="G1514" s="268"/>
      <c r="H1514" s="268"/>
      <c r="I1514" s="268"/>
      <c r="J1514" s="273"/>
      <c r="K1514" s="268"/>
      <c r="L1514" s="268"/>
      <c r="M1514" s="268"/>
      <c r="N1514" s="269"/>
      <c r="O1514" s="547"/>
      <c r="P1514" s="547"/>
    </row>
    <row r="1515" spans="1:16" ht="12.75">
      <c r="A1515" s="271"/>
      <c r="B1515" s="268"/>
      <c r="C1515" s="268"/>
      <c r="D1515" s="268"/>
      <c r="E1515" s="273"/>
      <c r="F1515" s="270"/>
      <c r="G1515" s="268"/>
      <c r="H1515" s="268"/>
      <c r="I1515" s="268"/>
      <c r="J1515" s="273"/>
      <c r="K1515" s="268"/>
      <c r="L1515" s="268"/>
      <c r="M1515" s="268"/>
      <c r="N1515" s="269"/>
      <c r="O1515" s="547"/>
      <c r="P1515" s="547"/>
    </row>
    <row r="1516" spans="1:16" ht="12.75">
      <c r="A1516" s="271"/>
      <c r="B1516" s="268"/>
      <c r="C1516" s="268"/>
      <c r="D1516" s="268"/>
      <c r="E1516" s="273"/>
      <c r="F1516" s="270"/>
      <c r="G1516" s="268"/>
      <c r="H1516" s="268"/>
      <c r="I1516" s="268"/>
      <c r="J1516" s="273"/>
      <c r="K1516" s="268"/>
      <c r="L1516" s="268"/>
      <c r="M1516" s="268"/>
      <c r="N1516" s="269"/>
      <c r="O1516" s="547"/>
      <c r="P1516" s="547"/>
    </row>
    <row r="1517" spans="1:16" ht="12.75">
      <c r="A1517" s="271"/>
      <c r="B1517" s="268"/>
      <c r="C1517" s="268"/>
      <c r="D1517" s="268"/>
      <c r="E1517" s="273"/>
      <c r="F1517" s="270"/>
      <c r="G1517" s="268"/>
      <c r="H1517" s="268"/>
      <c r="I1517" s="268"/>
      <c r="J1517" s="273"/>
      <c r="K1517" s="268"/>
      <c r="L1517" s="268"/>
      <c r="M1517" s="268"/>
      <c r="N1517" s="269"/>
      <c r="O1517" s="547"/>
      <c r="P1517" s="547"/>
    </row>
    <row r="1518" spans="1:16" ht="12.75">
      <c r="A1518" s="271"/>
      <c r="B1518" s="268"/>
      <c r="C1518" s="268"/>
      <c r="D1518" s="268"/>
      <c r="E1518" s="273"/>
      <c r="F1518" s="270"/>
      <c r="G1518" s="268"/>
      <c r="H1518" s="268"/>
      <c r="I1518" s="268"/>
      <c r="J1518" s="273"/>
      <c r="K1518" s="268"/>
      <c r="L1518" s="268"/>
      <c r="M1518" s="268"/>
      <c r="N1518" s="269"/>
      <c r="O1518" s="547"/>
      <c r="P1518" s="547"/>
    </row>
    <row r="1519" spans="1:16" ht="12.75">
      <c r="A1519" s="271"/>
      <c r="B1519" s="268"/>
      <c r="C1519" s="268"/>
      <c r="D1519" s="268"/>
      <c r="E1519" s="273"/>
      <c r="F1519" s="270"/>
      <c r="G1519" s="268"/>
      <c r="H1519" s="268"/>
      <c r="I1519" s="268"/>
      <c r="J1519" s="273"/>
      <c r="K1519" s="268"/>
      <c r="L1519" s="268"/>
      <c r="M1519" s="268"/>
      <c r="N1519" s="269"/>
      <c r="O1519" s="547"/>
      <c r="P1519" s="547"/>
    </row>
    <row r="1520" spans="1:16" ht="12.75">
      <c r="A1520" s="271"/>
      <c r="B1520" s="268"/>
      <c r="C1520" s="268"/>
      <c r="D1520" s="268"/>
      <c r="E1520" s="273"/>
      <c r="F1520" s="270"/>
      <c r="G1520" s="268"/>
      <c r="H1520" s="268"/>
      <c r="I1520" s="268"/>
      <c r="J1520" s="273"/>
      <c r="K1520" s="268"/>
      <c r="L1520" s="268"/>
      <c r="M1520" s="268"/>
      <c r="N1520" s="269"/>
      <c r="O1520" s="547"/>
      <c r="P1520" s="547"/>
    </row>
    <row r="1521" spans="1:16" ht="12.75">
      <c r="A1521" s="271"/>
      <c r="B1521" s="268"/>
      <c r="C1521" s="268"/>
      <c r="D1521" s="268"/>
      <c r="E1521" s="273"/>
      <c r="F1521" s="270"/>
      <c r="G1521" s="268"/>
      <c r="H1521" s="268"/>
      <c r="I1521" s="268"/>
      <c r="J1521" s="273"/>
      <c r="K1521" s="268"/>
      <c r="L1521" s="268"/>
      <c r="M1521" s="268"/>
      <c r="N1521" s="269"/>
      <c r="O1521" s="547"/>
      <c r="P1521" s="547"/>
    </row>
    <row r="1522" spans="1:16" ht="12.75">
      <c r="A1522" s="271"/>
      <c r="B1522" s="268"/>
      <c r="C1522" s="268"/>
      <c r="D1522" s="268"/>
      <c r="E1522" s="273"/>
      <c r="F1522" s="270"/>
      <c r="G1522" s="268"/>
      <c r="H1522" s="268"/>
      <c r="I1522" s="268"/>
      <c r="J1522" s="273"/>
      <c r="K1522" s="268"/>
      <c r="L1522" s="268"/>
      <c r="M1522" s="268"/>
      <c r="N1522" s="269"/>
      <c r="O1522" s="547"/>
      <c r="P1522" s="547"/>
    </row>
    <row r="1523" spans="1:16" ht="12.75">
      <c r="A1523" s="271"/>
      <c r="B1523" s="268"/>
      <c r="C1523" s="268"/>
      <c r="D1523" s="268"/>
      <c r="E1523" s="273"/>
      <c r="F1523" s="270"/>
      <c r="G1523" s="268"/>
      <c r="H1523" s="268"/>
      <c r="I1523" s="268"/>
      <c r="J1523" s="273"/>
      <c r="K1523" s="268"/>
      <c r="L1523" s="268"/>
      <c r="M1523" s="268"/>
      <c r="N1523" s="269"/>
      <c r="O1523" s="547"/>
      <c r="P1523" s="547"/>
    </row>
    <row r="1524" spans="1:16" ht="12.75">
      <c r="A1524" s="271"/>
      <c r="B1524" s="268"/>
      <c r="C1524" s="268"/>
      <c r="D1524" s="268"/>
      <c r="E1524" s="273"/>
      <c r="F1524" s="270"/>
      <c r="G1524" s="268"/>
      <c r="H1524" s="268"/>
      <c r="I1524" s="268"/>
      <c r="J1524" s="273"/>
      <c r="K1524" s="268"/>
      <c r="L1524" s="268"/>
      <c r="M1524" s="268"/>
      <c r="N1524" s="269"/>
      <c r="O1524" s="547"/>
      <c r="P1524" s="547"/>
    </row>
    <row r="1525" spans="1:16" ht="12.75">
      <c r="A1525" s="271"/>
      <c r="B1525" s="268"/>
      <c r="C1525" s="268"/>
      <c r="D1525" s="268"/>
      <c r="E1525" s="273"/>
      <c r="F1525" s="270"/>
      <c r="G1525" s="268"/>
      <c r="H1525" s="268"/>
      <c r="I1525" s="268"/>
      <c r="J1525" s="273"/>
      <c r="K1525" s="268"/>
      <c r="L1525" s="268"/>
      <c r="M1525" s="268"/>
      <c r="N1525" s="269"/>
      <c r="O1525" s="547"/>
      <c r="P1525" s="547"/>
    </row>
    <row r="1526" spans="1:16" ht="12.75">
      <c r="A1526" s="271"/>
      <c r="B1526" s="268"/>
      <c r="C1526" s="268"/>
      <c r="D1526" s="268"/>
      <c r="E1526" s="273"/>
      <c r="F1526" s="270"/>
      <c r="G1526" s="268"/>
      <c r="H1526" s="268"/>
      <c r="I1526" s="268"/>
      <c r="J1526" s="273"/>
      <c r="K1526" s="268"/>
      <c r="L1526" s="268"/>
      <c r="M1526" s="268"/>
      <c r="N1526" s="269"/>
      <c r="O1526" s="547"/>
      <c r="P1526" s="547"/>
    </row>
    <row r="1527" spans="1:16" ht="12.75">
      <c r="A1527" s="271"/>
      <c r="B1527" s="268"/>
      <c r="C1527" s="268"/>
      <c r="D1527" s="268"/>
      <c r="E1527" s="273"/>
      <c r="F1527" s="270"/>
      <c r="G1527" s="268"/>
      <c r="H1527" s="268"/>
      <c r="I1527" s="268"/>
      <c r="J1527" s="273"/>
      <c r="K1527" s="268"/>
      <c r="L1527" s="268"/>
      <c r="M1527" s="268"/>
      <c r="N1527" s="269"/>
      <c r="O1527" s="547"/>
      <c r="P1527" s="547"/>
    </row>
    <row r="1528" spans="1:16" ht="12.75">
      <c r="A1528" s="271"/>
      <c r="B1528" s="268"/>
      <c r="C1528" s="268"/>
      <c r="D1528" s="268"/>
      <c r="E1528" s="273"/>
      <c r="F1528" s="270"/>
      <c r="G1528" s="268"/>
      <c r="H1528" s="268"/>
      <c r="I1528" s="268"/>
      <c r="J1528" s="273"/>
      <c r="K1528" s="268"/>
      <c r="L1528" s="268"/>
      <c r="M1528" s="268"/>
      <c r="N1528" s="269"/>
      <c r="O1528" s="547"/>
      <c r="P1528" s="547"/>
    </row>
    <row r="1529" spans="1:16" ht="12.75">
      <c r="A1529" s="271"/>
      <c r="B1529" s="268"/>
      <c r="C1529" s="268"/>
      <c r="D1529" s="268"/>
      <c r="E1529" s="273"/>
      <c r="F1529" s="270"/>
      <c r="G1529" s="268"/>
      <c r="H1529" s="268"/>
      <c r="I1529" s="268"/>
      <c r="J1529" s="273"/>
      <c r="K1529" s="268"/>
      <c r="L1529" s="268"/>
      <c r="M1529" s="268"/>
      <c r="N1529" s="269"/>
      <c r="O1529" s="547"/>
      <c r="P1529" s="547"/>
    </row>
    <row r="1530" spans="1:16" ht="12.75">
      <c r="A1530" s="271"/>
      <c r="B1530" s="268"/>
      <c r="C1530" s="268"/>
      <c r="D1530" s="268"/>
      <c r="E1530" s="273"/>
      <c r="F1530" s="270"/>
      <c r="G1530" s="268"/>
      <c r="H1530" s="268"/>
      <c r="I1530" s="268"/>
      <c r="J1530" s="273"/>
      <c r="K1530" s="268"/>
      <c r="L1530" s="268"/>
      <c r="M1530" s="268"/>
      <c r="N1530" s="269"/>
      <c r="O1530" s="547"/>
      <c r="P1530" s="547"/>
    </row>
    <row r="1531" spans="1:16" ht="12.75">
      <c r="A1531" s="271"/>
      <c r="B1531" s="268"/>
      <c r="C1531" s="268"/>
      <c r="D1531" s="268"/>
      <c r="E1531" s="273"/>
      <c r="F1531" s="270"/>
      <c r="G1531" s="268"/>
      <c r="H1531" s="268"/>
      <c r="I1531" s="268"/>
      <c r="J1531" s="273"/>
      <c r="K1531" s="268"/>
      <c r="L1531" s="268"/>
      <c r="M1531" s="268"/>
      <c r="N1531" s="269"/>
      <c r="O1531" s="547"/>
      <c r="P1531" s="547"/>
    </row>
    <row r="1532" spans="1:16" ht="12.75">
      <c r="A1532" s="271"/>
      <c r="B1532" s="268"/>
      <c r="C1532" s="268"/>
      <c r="D1532" s="268"/>
      <c r="E1532" s="273"/>
      <c r="F1532" s="270"/>
      <c r="G1532" s="268"/>
      <c r="H1532" s="268"/>
      <c r="I1532" s="268"/>
      <c r="J1532" s="273"/>
      <c r="K1532" s="268"/>
      <c r="L1532" s="268"/>
      <c r="M1532" s="268"/>
      <c r="N1532" s="269"/>
      <c r="O1532" s="547"/>
      <c r="P1532" s="547"/>
    </row>
    <row r="1533" spans="1:16" ht="12.75">
      <c r="A1533" s="271"/>
      <c r="B1533" s="268"/>
      <c r="C1533" s="268"/>
      <c r="D1533" s="268"/>
      <c r="E1533" s="273"/>
      <c r="F1533" s="270"/>
      <c r="G1533" s="268"/>
      <c r="H1533" s="268"/>
      <c r="I1533" s="268"/>
      <c r="J1533" s="273"/>
      <c r="K1533" s="268"/>
      <c r="L1533" s="268"/>
      <c r="M1533" s="268"/>
      <c r="N1533" s="269"/>
      <c r="O1533" s="547"/>
      <c r="P1533" s="547"/>
    </row>
    <row r="1534" spans="1:16" ht="12.75">
      <c r="A1534" s="271"/>
      <c r="B1534" s="268"/>
      <c r="C1534" s="268"/>
      <c r="D1534" s="268"/>
      <c r="E1534" s="273"/>
      <c r="F1534" s="270"/>
      <c r="G1534" s="268"/>
      <c r="H1534" s="268"/>
      <c r="I1534" s="268"/>
      <c r="J1534" s="273"/>
      <c r="K1534" s="268"/>
      <c r="L1534" s="268"/>
      <c r="M1534" s="268"/>
      <c r="N1534" s="269"/>
      <c r="O1534" s="547"/>
      <c r="P1534" s="547"/>
    </row>
    <row r="1535" spans="1:16" ht="12.75">
      <c r="A1535" s="271"/>
      <c r="B1535" s="268"/>
      <c r="C1535" s="268"/>
      <c r="D1535" s="268"/>
      <c r="E1535" s="273"/>
      <c r="F1535" s="270"/>
      <c r="G1535" s="268"/>
      <c r="H1535" s="268"/>
      <c r="I1535" s="268"/>
      <c r="J1535" s="273"/>
      <c r="K1535" s="268"/>
      <c r="L1535" s="268"/>
      <c r="M1535" s="268"/>
      <c r="N1535" s="269"/>
      <c r="O1535" s="547"/>
      <c r="P1535" s="547"/>
    </row>
    <row r="1536" spans="1:16" ht="12.75">
      <c r="A1536" s="271"/>
      <c r="B1536" s="268"/>
      <c r="C1536" s="268"/>
      <c r="D1536" s="268"/>
      <c r="E1536" s="273"/>
      <c r="F1536" s="270"/>
      <c r="G1536" s="268"/>
      <c r="H1536" s="268"/>
      <c r="I1536" s="268"/>
      <c r="J1536" s="273"/>
      <c r="K1536" s="268"/>
      <c r="L1536" s="268"/>
      <c r="M1536" s="268"/>
      <c r="N1536" s="269"/>
      <c r="O1536" s="547"/>
      <c r="P1536" s="547"/>
    </row>
    <row r="1537" spans="1:16" ht="12.75">
      <c r="A1537" s="271"/>
      <c r="B1537" s="268"/>
      <c r="C1537" s="268"/>
      <c r="D1537" s="268"/>
      <c r="E1537" s="273"/>
      <c r="F1537" s="270"/>
      <c r="G1537" s="268"/>
      <c r="H1537" s="268"/>
      <c r="I1537" s="268"/>
      <c r="J1537" s="273"/>
      <c r="K1537" s="268"/>
      <c r="L1537" s="268"/>
      <c r="M1537" s="268"/>
      <c r="N1537" s="269"/>
      <c r="O1537" s="547"/>
      <c r="P1537" s="547"/>
    </row>
    <row r="1538" spans="1:16" ht="12.75">
      <c r="A1538" s="271"/>
      <c r="B1538" s="268"/>
      <c r="C1538" s="268"/>
      <c r="D1538" s="268"/>
      <c r="E1538" s="273"/>
      <c r="F1538" s="270"/>
      <c r="G1538" s="268"/>
      <c r="H1538" s="268"/>
      <c r="I1538" s="268"/>
      <c r="J1538" s="273"/>
      <c r="K1538" s="268"/>
      <c r="L1538" s="268"/>
      <c r="M1538" s="268"/>
      <c r="N1538" s="269"/>
      <c r="O1538" s="547"/>
      <c r="P1538" s="547"/>
    </row>
    <row r="1539" spans="1:16" ht="12.75">
      <c r="A1539" s="271"/>
      <c r="B1539" s="268"/>
      <c r="C1539" s="268"/>
      <c r="D1539" s="268"/>
      <c r="E1539" s="273"/>
      <c r="F1539" s="270"/>
      <c r="G1539" s="268"/>
      <c r="H1539" s="268"/>
      <c r="I1539" s="268"/>
      <c r="J1539" s="273"/>
      <c r="K1539" s="268"/>
      <c r="L1539" s="268"/>
      <c r="M1539" s="268"/>
      <c r="N1539" s="269"/>
      <c r="O1539" s="547"/>
      <c r="P1539" s="547"/>
    </row>
    <row r="1540" spans="1:16" ht="12.75">
      <c r="A1540" s="271"/>
      <c r="B1540" s="268"/>
      <c r="C1540" s="268"/>
      <c r="D1540" s="268"/>
      <c r="E1540" s="273"/>
      <c r="F1540" s="270"/>
      <c r="G1540" s="268"/>
      <c r="H1540" s="268"/>
      <c r="I1540" s="268"/>
      <c r="J1540" s="273"/>
      <c r="K1540" s="268"/>
      <c r="L1540" s="268"/>
      <c r="M1540" s="268"/>
      <c r="N1540" s="269"/>
      <c r="O1540" s="547"/>
      <c r="P1540" s="547"/>
    </row>
    <row r="1541" spans="1:16" ht="12.75">
      <c r="A1541" s="271"/>
      <c r="B1541" s="268"/>
      <c r="C1541" s="268"/>
      <c r="D1541" s="268"/>
      <c r="E1541" s="273"/>
      <c r="F1541" s="270"/>
      <c r="G1541" s="268"/>
      <c r="H1541" s="268"/>
      <c r="I1541" s="268"/>
      <c r="J1541" s="273"/>
      <c r="K1541" s="268"/>
      <c r="L1541" s="268"/>
      <c r="M1541" s="268"/>
      <c r="N1541" s="269"/>
      <c r="O1541" s="547"/>
      <c r="P1541" s="547"/>
    </row>
    <row r="1542" spans="1:16" ht="12.75">
      <c r="A1542" s="271"/>
      <c r="B1542" s="268"/>
      <c r="C1542" s="268"/>
      <c r="D1542" s="268"/>
      <c r="E1542" s="273"/>
      <c r="F1542" s="270"/>
      <c r="G1542" s="268"/>
      <c r="H1542" s="268"/>
      <c r="I1542" s="268"/>
      <c r="J1542" s="273"/>
      <c r="K1542" s="268"/>
      <c r="L1542" s="268"/>
      <c r="M1542" s="268"/>
      <c r="N1542" s="269"/>
      <c r="O1542" s="547"/>
      <c r="P1542" s="547"/>
    </row>
    <row r="1543" spans="1:16" ht="12.75">
      <c r="A1543" s="271"/>
      <c r="B1543" s="268"/>
      <c r="C1543" s="268"/>
      <c r="D1543" s="268"/>
      <c r="E1543" s="273"/>
      <c r="F1543" s="270"/>
      <c r="G1543" s="268"/>
      <c r="H1543" s="268"/>
      <c r="I1543" s="268"/>
      <c r="J1543" s="273"/>
      <c r="K1543" s="268"/>
      <c r="L1543" s="268"/>
      <c r="M1543" s="268"/>
      <c r="N1543" s="269"/>
      <c r="O1543" s="547"/>
      <c r="P1543" s="547"/>
    </row>
    <row r="1544" spans="1:16" ht="12.75">
      <c r="A1544" s="271"/>
      <c r="B1544" s="268"/>
      <c r="C1544" s="268"/>
      <c r="D1544" s="268"/>
      <c r="E1544" s="273"/>
      <c r="F1544" s="270"/>
      <c r="G1544" s="268"/>
      <c r="H1544" s="268"/>
      <c r="I1544" s="268"/>
      <c r="J1544" s="273"/>
      <c r="K1544" s="268"/>
      <c r="L1544" s="268"/>
      <c r="M1544" s="268"/>
      <c r="N1544" s="269"/>
      <c r="O1544" s="547"/>
      <c r="P1544" s="547"/>
    </row>
    <row r="1545" spans="1:16" ht="12.75">
      <c r="A1545" s="271"/>
      <c r="B1545" s="268"/>
      <c r="C1545" s="268"/>
      <c r="D1545" s="268"/>
      <c r="E1545" s="273"/>
      <c r="F1545" s="270"/>
      <c r="G1545" s="268"/>
      <c r="H1545" s="268"/>
      <c r="I1545" s="268"/>
      <c r="J1545" s="273"/>
      <c r="K1545" s="268"/>
      <c r="L1545" s="268"/>
      <c r="M1545" s="268"/>
      <c r="N1545" s="269"/>
      <c r="O1545" s="547"/>
      <c r="P1545" s="547"/>
    </row>
    <row r="1546" spans="1:16" ht="12.75">
      <c r="A1546" s="271"/>
      <c r="B1546" s="268"/>
      <c r="C1546" s="268"/>
      <c r="D1546" s="268"/>
      <c r="E1546" s="273"/>
      <c r="F1546" s="270"/>
      <c r="G1546" s="268"/>
      <c r="H1546" s="268"/>
      <c r="I1546" s="268"/>
      <c r="J1546" s="273"/>
      <c r="K1546" s="268"/>
      <c r="L1546" s="268"/>
      <c r="M1546" s="268"/>
      <c r="N1546" s="269"/>
      <c r="O1546" s="547"/>
      <c r="P1546" s="547"/>
    </row>
    <row r="1547" spans="1:16" ht="12.75">
      <c r="A1547" s="271"/>
      <c r="B1547" s="268"/>
      <c r="C1547" s="268"/>
      <c r="D1547" s="268"/>
      <c r="E1547" s="273"/>
      <c r="F1547" s="270"/>
      <c r="G1547" s="268"/>
      <c r="H1547" s="268"/>
      <c r="I1547" s="268"/>
      <c r="J1547" s="273"/>
      <c r="K1547" s="268"/>
      <c r="L1547" s="268"/>
      <c r="M1547" s="268"/>
      <c r="N1547" s="269"/>
      <c r="O1547" s="547"/>
      <c r="P1547" s="547"/>
    </row>
    <row r="1548" spans="1:16" ht="12.75">
      <c r="A1548" s="271"/>
      <c r="B1548" s="268"/>
      <c r="C1548" s="268"/>
      <c r="D1548" s="268"/>
      <c r="E1548" s="273"/>
      <c r="F1548" s="270"/>
      <c r="G1548" s="268"/>
      <c r="H1548" s="268"/>
      <c r="I1548" s="268"/>
      <c r="J1548" s="273"/>
      <c r="K1548" s="268"/>
      <c r="L1548" s="268"/>
      <c r="M1548" s="268"/>
      <c r="N1548" s="269"/>
      <c r="O1548" s="547"/>
      <c r="P1548" s="547"/>
    </row>
    <row r="1549" spans="1:16" ht="12.75">
      <c r="A1549" s="271"/>
      <c r="B1549" s="268"/>
      <c r="C1549" s="268"/>
      <c r="D1549" s="268"/>
      <c r="E1549" s="273"/>
      <c r="F1549" s="270"/>
      <c r="G1549" s="268"/>
      <c r="H1549" s="268"/>
      <c r="I1549" s="268"/>
      <c r="J1549" s="273"/>
      <c r="K1549" s="268"/>
      <c r="L1549" s="268"/>
      <c r="M1549" s="268"/>
      <c r="N1549" s="269"/>
      <c r="O1549" s="547"/>
      <c r="P1549" s="547"/>
    </row>
    <row r="1550" spans="1:16" ht="12.75">
      <c r="A1550" s="271"/>
      <c r="B1550" s="268"/>
      <c r="C1550" s="268"/>
      <c r="D1550" s="268"/>
      <c r="E1550" s="273"/>
      <c r="F1550" s="270"/>
      <c r="G1550" s="268"/>
      <c r="H1550" s="268"/>
      <c r="I1550" s="268"/>
      <c r="J1550" s="273"/>
      <c r="K1550" s="268"/>
      <c r="L1550" s="268"/>
      <c r="M1550" s="268"/>
      <c r="N1550" s="269"/>
      <c r="O1550" s="547"/>
      <c r="P1550" s="547"/>
    </row>
    <row r="1551" spans="1:16" ht="12.75">
      <c r="A1551" s="271"/>
      <c r="B1551" s="268"/>
      <c r="C1551" s="268"/>
      <c r="D1551" s="268"/>
      <c r="E1551" s="273"/>
      <c r="F1551" s="270"/>
      <c r="G1551" s="268"/>
      <c r="H1551" s="268"/>
      <c r="I1551" s="268"/>
      <c r="J1551" s="273"/>
      <c r="K1551" s="268"/>
      <c r="L1551" s="268"/>
      <c r="M1551" s="268"/>
      <c r="N1551" s="269"/>
      <c r="O1551" s="547"/>
      <c r="P1551" s="547"/>
    </row>
    <row r="1552" spans="1:16" ht="12.75">
      <c r="A1552" s="271"/>
      <c r="B1552" s="268"/>
      <c r="C1552" s="268"/>
      <c r="D1552" s="268"/>
      <c r="E1552" s="273"/>
      <c r="F1552" s="270"/>
      <c r="G1552" s="268"/>
      <c r="H1552" s="268"/>
      <c r="I1552" s="268"/>
      <c r="J1552" s="273"/>
      <c r="K1552" s="268"/>
      <c r="L1552" s="268"/>
      <c r="M1552" s="268"/>
      <c r="N1552" s="269"/>
      <c r="O1552" s="547"/>
      <c r="P1552" s="547"/>
    </row>
    <row r="1553" spans="1:16" ht="12.75">
      <c r="A1553" s="271"/>
      <c r="B1553" s="268"/>
      <c r="C1553" s="268"/>
      <c r="D1553" s="268"/>
      <c r="E1553" s="273"/>
      <c r="F1553" s="270"/>
      <c r="G1553" s="268"/>
      <c r="H1553" s="268"/>
      <c r="I1553" s="268"/>
      <c r="J1553" s="273"/>
      <c r="K1553" s="268"/>
      <c r="L1553" s="268"/>
      <c r="M1553" s="268"/>
      <c r="N1553" s="269"/>
      <c r="O1553" s="547"/>
      <c r="P1553" s="547"/>
    </row>
    <row r="1554" spans="1:16" ht="12.75">
      <c r="A1554" s="271"/>
      <c r="B1554" s="268"/>
      <c r="C1554" s="268"/>
      <c r="D1554" s="268"/>
      <c r="E1554" s="273"/>
      <c r="F1554" s="270"/>
      <c r="G1554" s="268"/>
      <c r="H1554" s="268"/>
      <c r="I1554" s="268"/>
      <c r="J1554" s="273"/>
      <c r="K1554" s="268"/>
      <c r="L1554" s="268"/>
      <c r="M1554" s="268"/>
      <c r="N1554" s="269"/>
      <c r="O1554" s="547"/>
      <c r="P1554" s="547"/>
    </row>
    <row r="1555" spans="1:16" ht="12.75">
      <c r="A1555" s="271"/>
      <c r="B1555" s="268"/>
      <c r="C1555" s="268"/>
      <c r="D1555" s="268"/>
      <c r="E1555" s="273"/>
      <c r="F1555" s="270"/>
      <c r="G1555" s="268"/>
      <c r="H1555" s="268"/>
      <c r="I1555" s="268"/>
      <c r="J1555" s="273"/>
      <c r="K1555" s="268"/>
      <c r="L1555" s="268"/>
      <c r="M1555" s="268"/>
      <c r="N1555" s="269"/>
      <c r="O1555" s="547"/>
      <c r="P1555" s="547"/>
    </row>
    <row r="1556" spans="1:16" ht="12.75">
      <c r="A1556" s="271"/>
      <c r="B1556" s="268"/>
      <c r="C1556" s="268"/>
      <c r="D1556" s="268"/>
      <c r="E1556" s="273"/>
      <c r="F1556" s="270"/>
      <c r="G1556" s="268"/>
      <c r="H1556" s="268"/>
      <c r="I1556" s="268"/>
      <c r="J1556" s="273"/>
      <c r="K1556" s="268"/>
      <c r="L1556" s="268"/>
      <c r="M1556" s="268"/>
      <c r="N1556" s="269"/>
      <c r="O1556" s="547"/>
      <c r="P1556" s="547"/>
    </row>
    <row r="1557" spans="1:16" ht="12.75">
      <c r="A1557" s="271"/>
      <c r="B1557" s="268"/>
      <c r="C1557" s="268"/>
      <c r="D1557" s="268"/>
      <c r="E1557" s="273"/>
      <c r="F1557" s="270"/>
      <c r="G1557" s="268"/>
      <c r="H1557" s="268"/>
      <c r="I1557" s="268"/>
      <c r="J1557" s="273"/>
      <c r="K1557" s="268"/>
      <c r="L1557" s="268"/>
      <c r="M1557" s="268"/>
      <c r="N1557" s="269"/>
      <c r="O1557" s="547"/>
      <c r="P1557" s="547"/>
    </row>
    <row r="1558" spans="1:16" ht="12.75">
      <c r="A1558" s="271"/>
      <c r="B1558" s="268"/>
      <c r="C1558" s="268"/>
      <c r="D1558" s="268"/>
      <c r="E1558" s="273"/>
      <c r="F1558" s="270"/>
      <c r="G1558" s="268"/>
      <c r="H1558" s="268"/>
      <c r="I1558" s="268"/>
      <c r="J1558" s="273"/>
      <c r="K1558" s="268"/>
      <c r="L1558" s="268"/>
      <c r="M1558" s="268"/>
      <c r="N1558" s="269"/>
      <c r="O1558" s="547"/>
      <c r="P1558" s="547"/>
    </row>
    <row r="1559" spans="1:16" ht="12.75">
      <c r="A1559" s="271"/>
      <c r="B1559" s="268"/>
      <c r="C1559" s="268"/>
      <c r="D1559" s="268"/>
      <c r="E1559" s="273"/>
      <c r="F1559" s="270"/>
      <c r="G1559" s="268"/>
      <c r="H1559" s="268"/>
      <c r="I1559" s="268"/>
      <c r="J1559" s="273"/>
      <c r="K1559" s="268"/>
      <c r="L1559" s="268"/>
      <c r="M1559" s="268"/>
      <c r="N1559" s="269"/>
      <c r="O1559" s="547"/>
      <c r="P1559" s="547"/>
    </row>
    <row r="1560" spans="1:16" ht="12.75">
      <c r="A1560" s="271"/>
      <c r="B1560" s="268"/>
      <c r="C1560" s="268"/>
      <c r="D1560" s="268"/>
      <c r="E1560" s="273"/>
      <c r="F1560" s="270"/>
      <c r="G1560" s="268"/>
      <c r="H1560" s="268"/>
      <c r="I1560" s="268"/>
      <c r="J1560" s="273"/>
      <c r="K1560" s="268"/>
      <c r="L1560" s="268"/>
      <c r="M1560" s="268"/>
      <c r="N1560" s="269"/>
      <c r="O1560" s="547"/>
      <c r="P1560" s="547"/>
    </row>
    <row r="1561" spans="1:16" ht="12.75">
      <c r="A1561" s="271"/>
      <c r="B1561" s="268"/>
      <c r="C1561" s="268"/>
      <c r="D1561" s="268"/>
      <c r="E1561" s="273"/>
      <c r="F1561" s="270"/>
      <c r="G1561" s="268"/>
      <c r="H1561" s="268"/>
      <c r="I1561" s="268"/>
      <c r="J1561" s="273"/>
      <c r="K1561" s="268"/>
      <c r="L1561" s="268"/>
      <c r="M1561" s="268"/>
      <c r="N1561" s="269"/>
      <c r="O1561" s="547"/>
      <c r="P1561" s="547"/>
    </row>
    <row r="1562" spans="1:16" ht="12.75">
      <c r="A1562" s="271"/>
      <c r="B1562" s="268"/>
      <c r="C1562" s="268"/>
      <c r="D1562" s="268"/>
      <c r="E1562" s="273"/>
      <c r="F1562" s="270"/>
      <c r="G1562" s="268"/>
      <c r="H1562" s="268"/>
      <c r="I1562" s="268"/>
      <c r="J1562" s="273"/>
      <c r="K1562" s="268"/>
      <c r="L1562" s="268"/>
      <c r="M1562" s="268"/>
      <c r="N1562" s="269"/>
      <c r="O1562" s="547"/>
      <c r="P1562" s="547"/>
    </row>
    <row r="1563" spans="1:16" ht="12.75">
      <c r="A1563" s="271"/>
      <c r="B1563" s="268"/>
      <c r="C1563" s="268"/>
      <c r="D1563" s="268"/>
      <c r="E1563" s="273"/>
      <c r="F1563" s="270"/>
      <c r="G1563" s="268"/>
      <c r="H1563" s="268"/>
      <c r="I1563" s="268"/>
      <c r="J1563" s="273"/>
      <c r="K1563" s="268"/>
      <c r="L1563" s="268"/>
      <c r="M1563" s="268"/>
      <c r="N1563" s="269"/>
      <c r="O1563" s="547"/>
      <c r="P1563" s="547"/>
    </row>
    <row r="1564" spans="1:16" ht="12.75">
      <c r="A1564" s="271"/>
      <c r="B1564" s="268"/>
      <c r="C1564" s="268"/>
      <c r="D1564" s="268"/>
      <c r="E1564" s="273"/>
      <c r="F1564" s="270"/>
      <c r="G1564" s="268"/>
      <c r="H1564" s="268"/>
      <c r="I1564" s="268"/>
      <c r="J1564" s="273"/>
      <c r="K1564" s="268"/>
      <c r="L1564" s="268"/>
      <c r="M1564" s="268"/>
      <c r="N1564" s="269"/>
      <c r="O1564" s="547"/>
      <c r="P1564" s="547"/>
    </row>
    <row r="1565" spans="1:16" ht="12.75">
      <c r="A1565" s="271"/>
      <c r="B1565" s="268"/>
      <c r="C1565" s="268"/>
      <c r="D1565" s="268"/>
      <c r="E1565" s="273"/>
      <c r="F1565" s="270"/>
      <c r="G1565" s="268"/>
      <c r="H1565" s="268"/>
      <c r="I1565" s="268"/>
      <c r="J1565" s="273"/>
      <c r="K1565" s="268"/>
      <c r="L1565" s="268"/>
      <c r="M1565" s="268"/>
      <c r="N1565" s="269"/>
      <c r="O1565" s="547"/>
      <c r="P1565" s="547"/>
    </row>
    <row r="1566" spans="1:16" ht="12.75">
      <c r="A1566" s="271"/>
      <c r="B1566" s="268"/>
      <c r="C1566" s="268"/>
      <c r="D1566" s="268"/>
      <c r="E1566" s="273"/>
      <c r="F1566" s="270"/>
      <c r="G1566" s="268"/>
      <c r="H1566" s="268"/>
      <c r="I1566" s="268"/>
      <c r="J1566" s="273"/>
      <c r="K1566" s="268"/>
      <c r="L1566" s="268"/>
      <c r="M1566" s="268"/>
      <c r="N1566" s="269"/>
      <c r="O1566" s="547"/>
      <c r="P1566" s="547"/>
    </row>
    <row r="1567" spans="1:16" ht="12.75">
      <c r="A1567" s="271"/>
      <c r="B1567" s="268"/>
      <c r="C1567" s="268"/>
      <c r="D1567" s="268"/>
      <c r="E1567" s="273"/>
      <c r="F1567" s="270"/>
      <c r="G1567" s="268"/>
      <c r="H1567" s="268"/>
      <c r="I1567" s="268"/>
      <c r="J1567" s="273"/>
      <c r="K1567" s="268"/>
      <c r="L1567" s="268"/>
      <c r="M1567" s="268"/>
      <c r="N1567" s="269"/>
      <c r="O1567" s="547"/>
      <c r="P1567" s="547"/>
    </row>
    <row r="1568" spans="1:16" ht="12.75">
      <c r="A1568" s="271"/>
      <c r="B1568" s="268"/>
      <c r="C1568" s="268"/>
      <c r="D1568" s="268"/>
      <c r="E1568" s="273"/>
      <c r="F1568" s="270"/>
      <c r="G1568" s="268"/>
      <c r="H1568" s="268"/>
      <c r="I1568" s="268"/>
      <c r="J1568" s="273"/>
      <c r="K1568" s="268"/>
      <c r="L1568" s="268"/>
      <c r="M1568" s="268"/>
      <c r="N1568" s="269"/>
      <c r="O1568" s="547"/>
      <c r="P1568" s="547"/>
    </row>
    <row r="1569" spans="1:16" ht="12.75">
      <c r="A1569" s="271"/>
      <c r="B1569" s="268"/>
      <c r="C1569" s="268"/>
      <c r="D1569" s="268"/>
      <c r="E1569" s="273"/>
      <c r="F1569" s="270"/>
      <c r="G1569" s="268"/>
      <c r="H1569" s="268"/>
      <c r="I1569" s="268"/>
      <c r="J1569" s="273"/>
      <c r="K1569" s="268"/>
      <c r="L1569" s="268"/>
      <c r="M1569" s="268"/>
      <c r="N1569" s="269"/>
      <c r="O1569" s="547"/>
      <c r="P1569" s="547"/>
    </row>
    <row r="1570" spans="1:16" ht="12.75">
      <c r="A1570" s="271"/>
      <c r="B1570" s="268"/>
      <c r="C1570" s="268"/>
      <c r="D1570" s="268"/>
      <c r="E1570" s="273"/>
      <c r="F1570" s="270"/>
      <c r="G1570" s="268"/>
      <c r="H1570" s="268"/>
      <c r="I1570" s="268"/>
      <c r="J1570" s="273"/>
      <c r="K1570" s="268"/>
      <c r="L1570" s="268"/>
      <c r="M1570" s="268"/>
      <c r="N1570" s="269"/>
      <c r="O1570" s="547"/>
      <c r="P1570" s="547"/>
    </row>
    <row r="1571" spans="1:16" ht="12.75">
      <c r="A1571" s="271"/>
      <c r="B1571" s="268"/>
      <c r="C1571" s="268"/>
      <c r="D1571" s="268"/>
      <c r="E1571" s="273"/>
      <c r="F1571" s="270"/>
      <c r="G1571" s="268"/>
      <c r="H1571" s="268"/>
      <c r="I1571" s="268"/>
      <c r="J1571" s="273"/>
      <c r="K1571" s="268"/>
      <c r="L1571" s="268"/>
      <c r="M1571" s="268"/>
      <c r="N1571" s="269"/>
      <c r="O1571" s="547"/>
      <c r="P1571" s="547"/>
    </row>
    <row r="1572" spans="1:16" ht="12.75">
      <c r="A1572" s="271"/>
      <c r="B1572" s="268"/>
      <c r="C1572" s="268"/>
      <c r="D1572" s="268"/>
      <c r="E1572" s="273"/>
      <c r="F1572" s="270"/>
      <c r="G1572" s="268"/>
      <c r="H1572" s="268"/>
      <c r="I1572" s="268"/>
      <c r="J1572" s="273"/>
      <c r="K1572" s="268"/>
      <c r="L1572" s="268"/>
      <c r="M1572" s="268"/>
      <c r="N1572" s="269"/>
      <c r="O1572" s="547"/>
      <c r="P1572" s="547"/>
    </row>
    <row r="1573" spans="1:16" ht="12.75">
      <c r="A1573" s="271"/>
      <c r="B1573" s="268"/>
      <c r="C1573" s="268"/>
      <c r="D1573" s="268"/>
      <c r="E1573" s="273"/>
      <c r="F1573" s="270"/>
      <c r="G1573" s="268"/>
      <c r="H1573" s="268"/>
      <c r="I1573" s="268"/>
      <c r="J1573" s="273"/>
      <c r="K1573" s="268"/>
      <c r="L1573" s="268"/>
      <c r="M1573" s="268"/>
      <c r="N1573" s="269"/>
      <c r="O1573" s="547"/>
      <c r="P1573" s="547"/>
    </row>
    <row r="1574" spans="1:16" ht="12.75">
      <c r="A1574" s="271"/>
      <c r="B1574" s="268"/>
      <c r="C1574" s="268"/>
      <c r="D1574" s="268"/>
      <c r="E1574" s="273"/>
      <c r="F1574" s="270"/>
      <c r="G1574" s="268"/>
      <c r="H1574" s="268"/>
      <c r="I1574" s="268"/>
      <c r="J1574" s="273"/>
      <c r="K1574" s="268"/>
      <c r="L1574" s="268"/>
      <c r="M1574" s="268"/>
      <c r="N1574" s="269"/>
      <c r="O1574" s="547"/>
      <c r="P1574" s="547"/>
    </row>
    <row r="1575" spans="1:16" ht="12.75">
      <c r="A1575" s="271"/>
      <c r="B1575" s="268"/>
      <c r="C1575" s="268"/>
      <c r="D1575" s="268"/>
      <c r="E1575" s="273"/>
      <c r="F1575" s="270"/>
      <c r="G1575" s="268"/>
      <c r="H1575" s="268"/>
      <c r="I1575" s="268"/>
      <c r="J1575" s="273"/>
      <c r="K1575" s="268"/>
      <c r="L1575" s="268"/>
      <c r="M1575" s="268"/>
      <c r="N1575" s="269"/>
      <c r="O1575" s="547"/>
      <c r="P1575" s="547"/>
    </row>
    <row r="1576" spans="1:16" ht="12.75">
      <c r="A1576" s="271"/>
      <c r="B1576" s="268"/>
      <c r="C1576" s="268"/>
      <c r="D1576" s="268"/>
      <c r="E1576" s="273"/>
      <c r="F1576" s="270"/>
      <c r="G1576" s="268"/>
      <c r="H1576" s="268"/>
      <c r="I1576" s="268"/>
      <c r="J1576" s="273"/>
      <c r="K1576" s="268"/>
      <c r="L1576" s="268"/>
      <c r="M1576" s="268"/>
      <c r="N1576" s="269"/>
      <c r="O1576" s="547"/>
      <c r="P1576" s="547"/>
    </row>
    <row r="1577" spans="1:16" ht="12.75">
      <c r="A1577" s="271"/>
      <c r="B1577" s="268"/>
      <c r="C1577" s="268"/>
      <c r="D1577" s="268"/>
      <c r="E1577" s="273"/>
      <c r="F1577" s="270"/>
      <c r="G1577" s="268"/>
      <c r="H1577" s="268"/>
      <c r="I1577" s="268"/>
      <c r="J1577" s="273"/>
      <c r="K1577" s="268"/>
      <c r="L1577" s="268"/>
      <c r="M1577" s="268"/>
      <c r="N1577" s="269"/>
      <c r="O1577" s="547"/>
      <c r="P1577" s="547"/>
    </row>
    <row r="1578" spans="1:16" ht="12.75">
      <c r="A1578" s="271"/>
      <c r="B1578" s="268"/>
      <c r="C1578" s="268"/>
      <c r="D1578" s="268"/>
      <c r="E1578" s="273"/>
      <c r="F1578" s="270"/>
      <c r="G1578" s="268"/>
      <c r="H1578" s="268"/>
      <c r="I1578" s="268"/>
      <c r="J1578" s="273"/>
      <c r="K1578" s="268"/>
      <c r="L1578" s="268"/>
      <c r="M1578" s="268"/>
      <c r="N1578" s="269"/>
      <c r="O1578" s="547"/>
      <c r="P1578" s="547"/>
    </row>
    <row r="1579" spans="1:16" ht="12.75">
      <c r="A1579" s="271"/>
      <c r="B1579" s="268"/>
      <c r="C1579" s="268"/>
      <c r="D1579" s="268"/>
      <c r="E1579" s="273"/>
      <c r="F1579" s="270"/>
      <c r="G1579" s="268"/>
      <c r="H1579" s="268"/>
      <c r="I1579" s="268"/>
      <c r="J1579" s="273"/>
      <c r="K1579" s="268"/>
      <c r="L1579" s="268"/>
      <c r="M1579" s="268"/>
      <c r="N1579" s="269"/>
      <c r="O1579" s="547"/>
      <c r="P1579" s="547"/>
    </row>
    <row r="1580" spans="1:16" ht="12.75">
      <c r="A1580" s="271"/>
      <c r="B1580" s="268"/>
      <c r="C1580" s="268"/>
      <c r="D1580" s="268"/>
      <c r="E1580" s="273"/>
      <c r="F1580" s="270"/>
      <c r="G1580" s="268"/>
      <c r="H1580" s="268"/>
      <c r="I1580" s="268"/>
      <c r="J1580" s="273"/>
      <c r="K1580" s="268"/>
      <c r="L1580" s="268"/>
      <c r="M1580" s="268"/>
      <c r="N1580" s="269"/>
      <c r="O1580" s="547"/>
      <c r="P1580" s="547"/>
    </row>
    <row r="1581" spans="1:16" ht="12.75">
      <c r="A1581" s="271"/>
      <c r="B1581" s="268"/>
      <c r="C1581" s="268"/>
      <c r="D1581" s="268"/>
      <c r="E1581" s="273"/>
      <c r="F1581" s="270"/>
      <c r="G1581" s="268"/>
      <c r="H1581" s="268"/>
      <c r="I1581" s="268"/>
      <c r="J1581" s="273"/>
      <c r="K1581" s="268"/>
      <c r="L1581" s="268"/>
      <c r="M1581" s="268"/>
      <c r="N1581" s="269"/>
      <c r="O1581" s="547"/>
      <c r="P1581" s="547"/>
    </row>
    <row r="1582" spans="1:16" ht="12.75">
      <c r="A1582" s="271"/>
      <c r="B1582" s="268"/>
      <c r="C1582" s="268"/>
      <c r="D1582" s="268"/>
      <c r="E1582" s="273"/>
      <c r="F1582" s="270"/>
      <c r="G1582" s="268"/>
      <c r="H1582" s="268"/>
      <c r="I1582" s="268"/>
      <c r="J1582" s="273"/>
      <c r="K1582" s="268"/>
      <c r="L1582" s="268"/>
      <c r="M1582" s="268"/>
      <c r="N1582" s="269"/>
      <c r="O1582" s="547"/>
      <c r="P1582" s="547"/>
    </row>
    <row r="1583" spans="1:16" ht="12.75">
      <c r="A1583" s="271"/>
      <c r="B1583" s="268"/>
      <c r="C1583" s="268"/>
      <c r="D1583" s="268"/>
      <c r="E1583" s="273"/>
      <c r="F1583" s="270"/>
      <c r="G1583" s="268"/>
      <c r="H1583" s="268"/>
      <c r="I1583" s="268"/>
      <c r="J1583" s="273"/>
      <c r="K1583" s="268"/>
      <c r="L1583" s="268"/>
      <c r="M1583" s="268"/>
      <c r="N1583" s="269"/>
      <c r="O1583" s="547"/>
      <c r="P1583" s="547"/>
    </row>
    <row r="1584" spans="1:16" ht="12.75">
      <c r="A1584" s="271"/>
      <c r="B1584" s="268"/>
      <c r="C1584" s="268"/>
      <c r="D1584" s="268"/>
      <c r="E1584" s="273"/>
      <c r="F1584" s="270"/>
      <c r="G1584" s="268"/>
      <c r="H1584" s="268"/>
      <c r="I1584" s="268"/>
      <c r="J1584" s="273"/>
      <c r="K1584" s="268"/>
      <c r="L1584" s="268"/>
      <c r="M1584" s="268"/>
      <c r="N1584" s="269"/>
      <c r="O1584" s="547"/>
      <c r="P1584" s="547"/>
    </row>
    <row r="1585" spans="1:16" ht="12.75">
      <c r="A1585" s="271"/>
      <c r="B1585" s="268"/>
      <c r="C1585" s="268"/>
      <c r="D1585" s="268"/>
      <c r="E1585" s="273"/>
      <c r="F1585" s="270"/>
      <c r="G1585" s="268"/>
      <c r="H1585" s="268"/>
      <c r="I1585" s="268"/>
      <c r="J1585" s="273"/>
      <c r="K1585" s="268"/>
      <c r="L1585" s="268"/>
      <c r="M1585" s="268"/>
      <c r="N1585" s="269"/>
      <c r="O1585" s="547"/>
      <c r="P1585" s="547"/>
    </row>
    <row r="1586" spans="1:16" ht="12.75">
      <c r="A1586" s="271"/>
      <c r="B1586" s="268"/>
      <c r="C1586" s="268"/>
      <c r="D1586" s="268"/>
      <c r="E1586" s="273"/>
      <c r="F1586" s="270"/>
      <c r="G1586" s="268"/>
      <c r="H1586" s="268"/>
      <c r="I1586" s="268"/>
      <c r="J1586" s="273"/>
      <c r="K1586" s="268"/>
      <c r="L1586" s="268"/>
      <c r="M1586" s="268"/>
      <c r="N1586" s="269"/>
      <c r="O1586" s="547"/>
      <c r="P1586" s="547"/>
    </row>
    <row r="1587" spans="1:16" ht="12.75">
      <c r="A1587" s="271"/>
      <c r="B1587" s="268"/>
      <c r="C1587" s="268"/>
      <c r="D1587" s="268"/>
      <c r="E1587" s="273"/>
      <c r="F1587" s="270"/>
      <c r="G1587" s="268"/>
      <c r="H1587" s="268"/>
      <c r="I1587" s="268"/>
      <c r="J1587" s="273"/>
      <c r="K1587" s="268"/>
      <c r="L1587" s="268"/>
      <c r="M1587" s="268"/>
      <c r="N1587" s="269"/>
      <c r="O1587" s="547"/>
      <c r="P1587" s="547"/>
    </row>
    <row r="1588" spans="1:16" ht="12.75">
      <c r="A1588" s="271"/>
      <c r="B1588" s="268"/>
      <c r="C1588" s="268"/>
      <c r="D1588" s="268"/>
      <c r="E1588" s="273"/>
      <c r="F1588" s="270"/>
      <c r="G1588" s="268"/>
      <c r="H1588" s="268"/>
      <c r="I1588" s="268"/>
      <c r="J1588" s="273"/>
      <c r="K1588" s="268"/>
      <c r="L1588" s="268"/>
      <c r="M1588" s="268"/>
      <c r="N1588" s="269"/>
      <c r="O1588" s="547"/>
      <c r="P1588" s="547"/>
    </row>
    <row r="1589" spans="1:16" ht="12.75">
      <c r="A1589" s="271"/>
      <c r="B1589" s="268"/>
      <c r="C1589" s="268"/>
      <c r="D1589" s="268"/>
      <c r="E1589" s="273"/>
      <c r="F1589" s="270"/>
      <c r="G1589" s="268"/>
      <c r="H1589" s="268"/>
      <c r="I1589" s="268"/>
      <c r="J1589" s="273"/>
      <c r="K1589" s="268"/>
      <c r="L1589" s="268"/>
      <c r="M1589" s="268"/>
      <c r="N1589" s="269"/>
      <c r="O1589" s="547"/>
      <c r="P1589" s="547"/>
    </row>
    <row r="1590" spans="1:16" ht="12.75">
      <c r="A1590" s="271"/>
      <c r="B1590" s="268"/>
      <c r="C1590" s="268"/>
      <c r="D1590" s="268"/>
      <c r="E1590" s="273"/>
      <c r="F1590" s="270"/>
      <c r="G1590" s="268"/>
      <c r="H1590" s="268"/>
      <c r="I1590" s="268"/>
      <c r="J1590" s="273"/>
      <c r="K1590" s="268"/>
      <c r="L1590" s="268"/>
      <c r="M1590" s="268"/>
      <c r="N1590" s="269"/>
      <c r="O1590" s="547"/>
      <c r="P1590" s="547"/>
    </row>
    <row r="1591" spans="1:16" ht="12.75">
      <c r="A1591" s="271"/>
      <c r="B1591" s="268"/>
      <c r="C1591" s="268"/>
      <c r="D1591" s="268"/>
      <c r="E1591" s="273"/>
      <c r="F1591" s="270"/>
      <c r="G1591" s="268"/>
      <c r="H1591" s="268"/>
      <c r="I1591" s="268"/>
      <c r="J1591" s="273"/>
      <c r="K1591" s="268"/>
      <c r="L1591" s="268"/>
      <c r="M1591" s="268"/>
      <c r="N1591" s="269"/>
      <c r="O1591" s="547"/>
      <c r="P1591" s="547"/>
    </row>
    <row r="1592" spans="1:16" ht="12.75">
      <c r="A1592" s="271"/>
      <c r="B1592" s="268"/>
      <c r="C1592" s="268"/>
      <c r="D1592" s="268"/>
      <c r="E1592" s="273"/>
      <c r="F1592" s="270"/>
      <c r="G1592" s="268"/>
      <c r="H1592" s="268"/>
      <c r="I1592" s="268"/>
      <c r="J1592" s="273"/>
      <c r="K1592" s="268"/>
      <c r="L1592" s="268"/>
      <c r="M1592" s="268"/>
      <c r="N1592" s="269"/>
      <c r="O1592" s="547"/>
      <c r="P1592" s="547"/>
    </row>
    <row r="1593" spans="1:16" ht="12.75">
      <c r="A1593" s="271"/>
      <c r="B1593" s="268"/>
      <c r="C1593" s="268"/>
      <c r="D1593" s="268"/>
      <c r="E1593" s="273"/>
      <c r="F1593" s="270"/>
      <c r="G1593" s="268"/>
      <c r="H1593" s="268"/>
      <c r="I1593" s="268"/>
      <c r="J1593" s="273"/>
      <c r="K1593" s="268"/>
      <c r="L1593" s="268"/>
      <c r="M1593" s="268"/>
      <c r="N1593" s="269"/>
      <c r="O1593" s="547"/>
      <c r="P1593" s="547"/>
    </row>
    <row r="1594" spans="1:16" ht="12.75">
      <c r="A1594" s="271"/>
      <c r="B1594" s="268"/>
      <c r="C1594" s="268"/>
      <c r="D1594" s="268"/>
      <c r="E1594" s="273"/>
      <c r="F1594" s="270"/>
      <c r="G1594" s="268"/>
      <c r="H1594" s="268"/>
      <c r="I1594" s="268"/>
      <c r="J1594" s="273"/>
      <c r="K1594" s="268"/>
      <c r="L1594" s="268"/>
      <c r="M1594" s="268"/>
      <c r="N1594" s="269"/>
      <c r="O1594" s="547"/>
      <c r="P1594" s="547"/>
    </row>
    <row r="1595" spans="1:16" ht="12.75">
      <c r="A1595" s="271"/>
      <c r="B1595" s="268"/>
      <c r="C1595" s="268"/>
      <c r="D1595" s="268"/>
      <c r="E1595" s="273"/>
      <c r="F1595" s="270"/>
      <c r="G1595" s="268"/>
      <c r="H1595" s="268"/>
      <c r="I1595" s="268"/>
      <c r="J1595" s="273"/>
      <c r="K1595" s="268"/>
      <c r="L1595" s="268"/>
      <c r="M1595" s="268"/>
      <c r="N1595" s="269"/>
      <c r="O1595" s="547"/>
      <c r="P1595" s="547"/>
    </row>
    <row r="1596" spans="1:16" ht="12.75">
      <c r="A1596" s="271"/>
      <c r="B1596" s="268"/>
      <c r="C1596" s="268"/>
      <c r="D1596" s="268"/>
      <c r="E1596" s="273"/>
      <c r="F1596" s="270"/>
      <c r="G1596" s="268"/>
      <c r="H1596" s="268"/>
      <c r="I1596" s="268"/>
      <c r="J1596" s="273"/>
      <c r="K1596" s="268"/>
      <c r="L1596" s="268"/>
      <c r="M1596" s="268"/>
      <c r="N1596" s="269"/>
      <c r="O1596" s="547"/>
      <c r="P1596" s="547"/>
    </row>
    <row r="1597" spans="1:16" ht="12.75">
      <c r="A1597" s="271"/>
      <c r="B1597" s="268"/>
      <c r="C1597" s="268"/>
      <c r="D1597" s="268"/>
      <c r="E1597" s="273"/>
      <c r="F1597" s="270"/>
      <c r="G1597" s="268"/>
      <c r="H1597" s="268"/>
      <c r="I1597" s="268"/>
      <c r="J1597" s="273"/>
      <c r="K1597" s="268"/>
      <c r="L1597" s="268"/>
      <c r="M1597" s="268"/>
      <c r="N1597" s="269"/>
      <c r="O1597" s="547"/>
      <c r="P1597" s="547"/>
    </row>
    <row r="1598" spans="1:16" ht="12.75">
      <c r="A1598" s="271"/>
      <c r="B1598" s="268"/>
      <c r="C1598" s="268"/>
      <c r="D1598" s="268"/>
      <c r="E1598" s="273"/>
      <c r="F1598" s="270"/>
      <c r="G1598" s="268"/>
      <c r="H1598" s="268"/>
      <c r="I1598" s="268"/>
      <c r="J1598" s="273"/>
      <c r="K1598" s="268"/>
      <c r="L1598" s="268"/>
      <c r="M1598" s="268"/>
      <c r="N1598" s="269"/>
      <c r="O1598" s="547"/>
      <c r="P1598" s="547"/>
    </row>
    <row r="1599" spans="1:16" ht="12.75">
      <c r="A1599" s="271"/>
      <c r="B1599" s="268"/>
      <c r="C1599" s="268"/>
      <c r="D1599" s="268"/>
      <c r="E1599" s="273"/>
      <c r="F1599" s="270"/>
      <c r="G1599" s="268"/>
      <c r="H1599" s="268"/>
      <c r="I1599" s="268"/>
      <c r="J1599" s="273"/>
      <c r="K1599" s="268"/>
      <c r="L1599" s="268"/>
      <c r="M1599" s="268"/>
      <c r="N1599" s="269"/>
      <c r="O1599" s="547"/>
      <c r="P1599" s="547"/>
    </row>
    <row r="1600" spans="1:16" ht="12.75">
      <c r="A1600" s="271"/>
      <c r="B1600" s="268"/>
      <c r="C1600" s="268"/>
      <c r="D1600" s="268"/>
      <c r="E1600" s="273"/>
      <c r="F1600" s="270"/>
      <c r="G1600" s="268"/>
      <c r="H1600" s="268"/>
      <c r="I1600" s="268"/>
      <c r="J1600" s="273"/>
      <c r="K1600" s="268"/>
      <c r="L1600" s="268"/>
      <c r="M1600" s="268"/>
      <c r="N1600" s="269"/>
      <c r="O1600" s="547"/>
      <c r="P1600" s="547"/>
    </row>
    <row r="1601" spans="1:16" ht="12.75">
      <c r="A1601" s="271"/>
      <c r="B1601" s="268"/>
      <c r="C1601" s="268"/>
      <c r="D1601" s="268"/>
      <c r="E1601" s="273"/>
      <c r="F1601" s="270"/>
      <c r="G1601" s="268"/>
      <c r="H1601" s="268"/>
      <c r="I1601" s="268"/>
      <c r="J1601" s="273"/>
      <c r="K1601" s="268"/>
      <c r="L1601" s="268"/>
      <c r="M1601" s="268"/>
      <c r="N1601" s="269"/>
      <c r="O1601" s="547"/>
      <c r="P1601" s="547"/>
    </row>
    <row r="1602" spans="1:16" ht="12.75">
      <c r="A1602" s="271"/>
      <c r="B1602" s="268"/>
      <c r="C1602" s="268"/>
      <c r="D1602" s="268"/>
      <c r="E1602" s="273"/>
      <c r="F1602" s="270"/>
      <c r="G1602" s="268"/>
      <c r="H1602" s="268"/>
      <c r="I1602" s="268"/>
      <c r="J1602" s="273"/>
      <c r="K1602" s="268"/>
      <c r="L1602" s="268"/>
      <c r="M1602" s="268"/>
      <c r="N1602" s="269"/>
      <c r="O1602" s="547"/>
      <c r="P1602" s="547"/>
    </row>
    <row r="1603" spans="1:16" ht="12.75">
      <c r="A1603" s="271"/>
      <c r="B1603" s="268"/>
      <c r="C1603" s="268"/>
      <c r="D1603" s="268"/>
      <c r="E1603" s="273"/>
      <c r="F1603" s="270"/>
      <c r="G1603" s="268"/>
      <c r="H1603" s="268"/>
      <c r="I1603" s="268"/>
      <c r="J1603" s="273"/>
      <c r="K1603" s="268"/>
      <c r="L1603" s="268"/>
      <c r="M1603" s="268"/>
      <c r="N1603" s="269"/>
      <c r="O1603" s="547"/>
      <c r="P1603" s="547"/>
    </row>
    <row r="1604" spans="1:16" ht="12.75">
      <c r="A1604" s="271"/>
      <c r="B1604" s="268"/>
      <c r="C1604" s="268"/>
      <c r="D1604" s="268"/>
      <c r="E1604" s="273"/>
      <c r="F1604" s="270"/>
      <c r="G1604" s="268"/>
      <c r="H1604" s="268"/>
      <c r="I1604" s="268"/>
      <c r="J1604" s="273"/>
      <c r="K1604" s="268"/>
      <c r="L1604" s="268"/>
      <c r="M1604" s="268"/>
      <c r="N1604" s="269"/>
      <c r="O1604" s="547"/>
      <c r="P1604" s="547"/>
    </row>
    <row r="1605" spans="1:16" ht="12.75">
      <c r="A1605" s="271"/>
      <c r="B1605" s="268"/>
      <c r="C1605" s="268"/>
      <c r="D1605" s="268"/>
      <c r="E1605" s="273"/>
      <c r="F1605" s="270"/>
      <c r="G1605" s="268"/>
      <c r="H1605" s="268"/>
      <c r="I1605" s="268"/>
      <c r="J1605" s="273"/>
      <c r="K1605" s="268"/>
      <c r="L1605" s="268"/>
      <c r="M1605" s="268"/>
      <c r="N1605" s="269"/>
      <c r="O1605" s="547"/>
      <c r="P1605" s="547"/>
    </row>
    <row r="1606" spans="1:16" ht="12.75">
      <c r="A1606" s="271"/>
      <c r="B1606" s="268"/>
      <c r="C1606" s="268"/>
      <c r="D1606" s="268"/>
      <c r="E1606" s="273"/>
      <c r="F1606" s="270"/>
      <c r="G1606" s="268"/>
      <c r="H1606" s="268"/>
      <c r="I1606" s="268"/>
      <c r="J1606" s="273"/>
      <c r="K1606" s="268"/>
      <c r="L1606" s="268"/>
      <c r="M1606" s="268"/>
      <c r="N1606" s="269"/>
      <c r="O1606" s="547"/>
      <c r="P1606" s="547"/>
    </row>
    <row r="1607" spans="1:16" ht="12.75">
      <c r="A1607" s="271"/>
      <c r="B1607" s="268"/>
      <c r="C1607" s="268"/>
      <c r="D1607" s="268"/>
      <c r="E1607" s="273"/>
      <c r="F1607" s="270"/>
      <c r="G1607" s="268"/>
      <c r="H1607" s="268"/>
      <c r="I1607" s="268"/>
      <c r="J1607" s="273"/>
      <c r="K1607" s="268"/>
      <c r="L1607" s="268"/>
      <c r="M1607" s="268"/>
      <c r="N1607" s="269"/>
      <c r="O1607" s="547"/>
      <c r="P1607" s="547"/>
    </row>
    <row r="1608" spans="1:16" ht="12.75">
      <c r="A1608" s="271"/>
      <c r="B1608" s="268"/>
      <c r="C1608" s="268"/>
      <c r="D1608" s="268"/>
      <c r="E1608" s="273"/>
      <c r="F1608" s="270"/>
      <c r="G1608" s="268"/>
      <c r="H1608" s="268"/>
      <c r="I1608" s="268"/>
      <c r="J1608" s="273"/>
      <c r="K1608" s="268"/>
      <c r="L1608" s="268"/>
      <c r="M1608" s="268"/>
      <c r="N1608" s="269"/>
      <c r="O1608" s="547"/>
      <c r="P1608" s="547"/>
    </row>
    <row r="1609" spans="1:16" ht="12.75">
      <c r="A1609" s="271"/>
      <c r="B1609" s="268"/>
      <c r="C1609" s="268"/>
      <c r="D1609" s="268"/>
      <c r="E1609" s="273"/>
      <c r="F1609" s="270"/>
      <c r="G1609" s="268"/>
      <c r="H1609" s="268"/>
      <c r="I1609" s="268"/>
      <c r="J1609" s="273"/>
      <c r="K1609" s="268"/>
      <c r="L1609" s="268"/>
      <c r="M1609" s="268"/>
      <c r="N1609" s="269"/>
      <c r="O1609" s="547"/>
      <c r="P1609" s="547"/>
    </row>
    <row r="1610" spans="1:16" ht="12.75">
      <c r="A1610" s="271"/>
      <c r="B1610" s="268"/>
      <c r="C1610" s="268"/>
      <c r="D1610" s="268"/>
      <c r="E1610" s="273"/>
      <c r="F1610" s="270"/>
      <c r="G1610" s="268"/>
      <c r="H1610" s="268"/>
      <c r="I1610" s="268"/>
      <c r="J1610" s="273"/>
      <c r="K1610" s="268"/>
      <c r="L1610" s="268"/>
      <c r="M1610" s="268"/>
      <c r="N1610" s="269"/>
      <c r="O1610" s="547"/>
      <c r="P1610" s="547"/>
    </row>
    <row r="1611" spans="1:16" ht="12.75">
      <c r="A1611" s="271"/>
      <c r="B1611" s="268"/>
      <c r="C1611" s="268"/>
      <c r="D1611" s="268"/>
      <c r="E1611" s="273"/>
      <c r="F1611" s="270"/>
      <c r="G1611" s="268"/>
      <c r="H1611" s="268"/>
      <c r="I1611" s="268"/>
      <c r="J1611" s="273"/>
      <c r="K1611" s="268"/>
      <c r="L1611" s="268"/>
      <c r="M1611" s="268"/>
      <c r="N1611" s="269"/>
      <c r="O1611" s="547"/>
      <c r="P1611" s="547"/>
    </row>
    <row r="1612" spans="1:16" ht="12.75">
      <c r="A1612" s="271"/>
      <c r="B1612" s="268"/>
      <c r="C1612" s="268"/>
      <c r="D1612" s="268"/>
      <c r="E1612" s="273"/>
      <c r="F1612" s="270"/>
      <c r="G1612" s="268"/>
      <c r="H1612" s="268"/>
      <c r="I1612" s="268"/>
      <c r="J1612" s="273"/>
      <c r="K1612" s="268"/>
      <c r="L1612" s="268"/>
      <c r="M1612" s="268"/>
      <c r="N1612" s="269"/>
      <c r="O1612" s="547"/>
      <c r="P1612" s="547"/>
    </row>
    <row r="1613" spans="1:16" ht="12.75">
      <c r="A1613" s="271"/>
      <c r="B1613" s="268"/>
      <c r="C1613" s="268"/>
      <c r="D1613" s="268"/>
      <c r="E1613" s="273"/>
      <c r="F1613" s="270"/>
      <c r="G1613" s="268"/>
      <c r="H1613" s="268"/>
      <c r="I1613" s="268"/>
      <c r="J1613" s="273"/>
      <c r="K1613" s="268"/>
      <c r="L1613" s="268"/>
      <c r="M1613" s="268"/>
      <c r="N1613" s="269"/>
      <c r="O1613" s="547"/>
      <c r="P1613" s="547"/>
    </row>
    <row r="1614" spans="1:16" ht="12.75">
      <c r="A1614" s="271"/>
      <c r="B1614" s="268"/>
      <c r="C1614" s="268"/>
      <c r="D1614" s="268"/>
      <c r="E1614" s="273"/>
      <c r="F1614" s="270"/>
      <c r="G1614" s="268"/>
      <c r="H1614" s="268"/>
      <c r="I1614" s="268"/>
      <c r="J1614" s="273"/>
      <c r="K1614" s="268"/>
      <c r="L1614" s="268"/>
      <c r="M1614" s="268"/>
      <c r="N1614" s="269"/>
      <c r="O1614" s="547"/>
      <c r="P1614" s="547"/>
    </row>
    <row r="1615" spans="1:16" ht="12.75">
      <c r="A1615" s="271"/>
      <c r="B1615" s="268"/>
      <c r="C1615" s="268"/>
      <c r="D1615" s="268"/>
      <c r="E1615" s="273"/>
      <c r="F1615" s="270"/>
      <c r="G1615" s="268"/>
      <c r="H1615" s="268"/>
      <c r="I1615" s="268"/>
      <c r="J1615" s="273"/>
      <c r="K1615" s="268"/>
      <c r="L1615" s="268"/>
      <c r="M1615" s="268"/>
      <c r="N1615" s="269"/>
      <c r="O1615" s="547"/>
      <c r="P1615" s="547"/>
    </row>
    <row r="1616" spans="1:16" ht="12.75">
      <c r="A1616" s="271"/>
      <c r="B1616" s="268"/>
      <c r="C1616" s="268"/>
      <c r="D1616" s="268"/>
      <c r="E1616" s="273"/>
      <c r="F1616" s="270"/>
      <c r="G1616" s="268"/>
      <c r="H1616" s="268"/>
      <c r="I1616" s="268"/>
      <c r="J1616" s="273"/>
      <c r="K1616" s="268"/>
      <c r="L1616" s="268"/>
      <c r="M1616" s="268"/>
      <c r="N1616" s="269"/>
      <c r="O1616" s="547"/>
      <c r="P1616" s="547"/>
    </row>
    <row r="1617" spans="1:16" ht="12.75">
      <c r="A1617" s="271"/>
      <c r="B1617" s="268"/>
      <c r="C1617" s="268"/>
      <c r="D1617" s="268"/>
      <c r="E1617" s="273"/>
      <c r="F1617" s="270"/>
      <c r="G1617" s="268"/>
      <c r="H1617" s="268"/>
      <c r="I1617" s="268"/>
      <c r="J1617" s="273"/>
      <c r="K1617" s="268"/>
      <c r="L1617" s="268"/>
      <c r="M1617" s="268"/>
      <c r="N1617" s="269"/>
      <c r="O1617" s="547"/>
      <c r="P1617" s="547"/>
    </row>
    <row r="1618" spans="1:16" ht="12.75">
      <c r="A1618" s="271"/>
      <c r="B1618" s="268"/>
      <c r="C1618" s="268"/>
      <c r="D1618" s="268"/>
      <c r="E1618" s="273"/>
      <c r="F1618" s="270"/>
      <c r="G1618" s="268"/>
      <c r="H1618" s="268"/>
      <c r="I1618" s="268"/>
      <c r="J1618" s="273"/>
      <c r="K1618" s="268"/>
      <c r="L1618" s="268"/>
      <c r="M1618" s="268"/>
      <c r="N1618" s="269"/>
      <c r="O1618" s="547"/>
      <c r="P1618" s="547"/>
    </row>
    <row r="1619" spans="1:16" ht="12.75">
      <c r="A1619" s="271"/>
      <c r="B1619" s="268"/>
      <c r="C1619" s="268"/>
      <c r="D1619" s="268"/>
      <c r="E1619" s="273"/>
      <c r="F1619" s="270"/>
      <c r="G1619" s="268"/>
      <c r="H1619" s="268"/>
      <c r="I1619" s="268"/>
      <c r="J1619" s="273"/>
      <c r="K1619" s="268"/>
      <c r="L1619" s="268"/>
      <c r="M1619" s="268"/>
      <c r="N1619" s="269"/>
      <c r="O1619" s="547"/>
      <c r="P1619" s="547"/>
    </row>
    <row r="1620" spans="1:16" ht="12.75">
      <c r="A1620" s="271"/>
      <c r="B1620" s="268"/>
      <c r="C1620" s="268"/>
      <c r="D1620" s="268"/>
      <c r="E1620" s="273"/>
      <c r="F1620" s="270"/>
      <c r="G1620" s="268"/>
      <c r="H1620" s="268"/>
      <c r="I1620" s="268"/>
      <c r="J1620" s="273"/>
      <c r="K1620" s="268"/>
      <c r="L1620" s="268"/>
      <c r="M1620" s="268"/>
      <c r="N1620" s="269"/>
      <c r="O1620" s="547"/>
      <c r="P1620" s="547"/>
    </row>
    <row r="1621" spans="1:16" ht="12.75">
      <c r="A1621" s="271"/>
      <c r="B1621" s="268"/>
      <c r="C1621" s="268"/>
      <c r="D1621" s="268"/>
      <c r="E1621" s="273"/>
      <c r="F1621" s="270"/>
      <c r="G1621" s="268"/>
      <c r="H1621" s="268"/>
      <c r="I1621" s="268"/>
      <c r="J1621" s="273"/>
      <c r="K1621" s="268"/>
      <c r="L1621" s="268"/>
      <c r="M1621" s="268"/>
      <c r="N1621" s="269"/>
      <c r="O1621" s="547"/>
      <c r="P1621" s="547"/>
    </row>
    <row r="1622" spans="1:16" ht="12.75">
      <c r="A1622" s="271"/>
      <c r="B1622" s="268"/>
      <c r="C1622" s="268"/>
      <c r="D1622" s="268"/>
      <c r="E1622" s="273"/>
      <c r="F1622" s="270"/>
      <c r="G1622" s="268"/>
      <c r="H1622" s="268"/>
      <c r="I1622" s="268"/>
      <c r="J1622" s="273"/>
      <c r="K1622" s="268"/>
      <c r="L1622" s="268"/>
      <c r="M1622" s="268"/>
      <c r="N1622" s="269"/>
      <c r="O1622" s="547"/>
      <c r="P1622" s="547"/>
    </row>
    <row r="1623" spans="1:16" ht="12.75">
      <c r="A1623" s="271"/>
      <c r="B1623" s="268"/>
      <c r="C1623" s="268"/>
      <c r="D1623" s="268"/>
      <c r="E1623" s="273"/>
      <c r="F1623" s="270"/>
      <c r="G1623" s="268"/>
      <c r="H1623" s="268"/>
      <c r="I1623" s="268"/>
      <c r="J1623" s="273"/>
      <c r="K1623" s="268"/>
      <c r="L1623" s="268"/>
      <c r="M1623" s="268"/>
      <c r="N1623" s="269"/>
      <c r="O1623" s="547"/>
      <c r="P1623" s="547"/>
    </row>
    <row r="1624" spans="1:16" ht="12.75">
      <c r="A1624" s="271"/>
      <c r="B1624" s="268"/>
      <c r="C1624" s="268"/>
      <c r="D1624" s="268"/>
      <c r="E1624" s="273"/>
      <c r="F1624" s="270"/>
      <c r="G1624" s="268"/>
      <c r="H1624" s="268"/>
      <c r="I1624" s="268"/>
      <c r="J1624" s="273"/>
      <c r="K1624" s="268"/>
      <c r="L1624" s="268"/>
      <c r="M1624" s="268"/>
      <c r="N1624" s="269"/>
      <c r="O1624" s="547"/>
      <c r="P1624" s="547"/>
    </row>
    <row r="1625" spans="1:16" ht="12.75">
      <c r="A1625" s="271"/>
      <c r="B1625" s="268"/>
      <c r="C1625" s="268"/>
      <c r="D1625" s="268"/>
      <c r="E1625" s="273"/>
      <c r="F1625" s="270"/>
      <c r="G1625" s="268"/>
      <c r="H1625" s="268"/>
      <c r="I1625" s="268"/>
      <c r="J1625" s="273"/>
      <c r="K1625" s="268"/>
      <c r="L1625" s="268"/>
      <c r="M1625" s="268"/>
      <c r="N1625" s="269"/>
      <c r="O1625" s="547"/>
      <c r="P1625" s="547"/>
    </row>
    <row r="1626" spans="1:16" ht="12.75">
      <c r="A1626" s="271"/>
      <c r="B1626" s="268"/>
      <c r="C1626" s="268"/>
      <c r="D1626" s="268"/>
      <c r="E1626" s="273"/>
      <c r="F1626" s="270"/>
      <c r="G1626" s="268"/>
      <c r="H1626" s="268"/>
      <c r="I1626" s="268"/>
      <c r="J1626" s="273"/>
      <c r="K1626" s="268"/>
      <c r="L1626" s="268"/>
      <c r="M1626" s="268"/>
      <c r="N1626" s="269"/>
      <c r="O1626" s="547"/>
      <c r="P1626" s="547"/>
    </row>
    <row r="1627" spans="1:16" ht="12.75">
      <c r="A1627" s="271"/>
      <c r="B1627" s="268"/>
      <c r="C1627" s="268"/>
      <c r="D1627" s="268"/>
      <c r="E1627" s="273"/>
      <c r="F1627" s="270"/>
      <c r="G1627" s="268"/>
      <c r="H1627" s="268"/>
      <c r="I1627" s="268"/>
      <c r="J1627" s="273"/>
      <c r="K1627" s="268"/>
      <c r="L1627" s="268"/>
      <c r="M1627" s="268"/>
      <c r="N1627" s="269"/>
      <c r="O1627" s="547"/>
      <c r="P1627" s="547"/>
    </row>
    <row r="1628" spans="1:16" ht="12.75">
      <c r="A1628" s="271"/>
      <c r="B1628" s="268"/>
      <c r="C1628" s="268"/>
      <c r="D1628" s="268"/>
      <c r="E1628" s="273"/>
      <c r="F1628" s="270"/>
      <c r="G1628" s="268"/>
      <c r="H1628" s="268"/>
      <c r="I1628" s="268"/>
      <c r="J1628" s="273"/>
      <c r="K1628" s="268"/>
      <c r="L1628" s="268"/>
      <c r="M1628" s="268"/>
      <c r="N1628" s="269"/>
      <c r="O1628" s="547"/>
      <c r="P1628" s="547"/>
    </row>
    <row r="1629" spans="1:16" ht="12.75">
      <c r="A1629" s="271"/>
      <c r="B1629" s="268"/>
      <c r="C1629" s="268"/>
      <c r="D1629" s="268"/>
      <c r="E1629" s="273"/>
      <c r="F1629" s="270"/>
      <c r="G1629" s="268"/>
      <c r="H1629" s="268"/>
      <c r="I1629" s="268"/>
      <c r="J1629" s="273"/>
      <c r="K1629" s="268"/>
      <c r="L1629" s="268"/>
      <c r="M1629" s="268"/>
      <c r="N1629" s="269"/>
      <c r="O1629" s="547"/>
      <c r="P1629" s="547"/>
    </row>
    <row r="1630" spans="1:16" ht="12.75">
      <c r="A1630" s="271"/>
      <c r="B1630" s="268"/>
      <c r="C1630" s="268"/>
      <c r="D1630" s="268"/>
      <c r="E1630" s="273"/>
      <c r="F1630" s="270"/>
      <c r="G1630" s="268"/>
      <c r="H1630" s="268"/>
      <c r="I1630" s="268"/>
      <c r="J1630" s="273"/>
      <c r="K1630" s="268"/>
      <c r="L1630" s="268"/>
      <c r="M1630" s="268"/>
      <c r="N1630" s="269"/>
      <c r="O1630" s="547"/>
      <c r="P1630" s="547"/>
    </row>
    <row r="1631" spans="1:16" ht="12.75">
      <c r="A1631" s="271"/>
      <c r="B1631" s="268"/>
      <c r="C1631" s="268"/>
      <c r="D1631" s="268"/>
      <c r="E1631" s="273"/>
      <c r="F1631" s="270"/>
      <c r="G1631" s="268"/>
      <c r="H1631" s="268"/>
      <c r="I1631" s="268"/>
      <c r="J1631" s="273"/>
      <c r="K1631" s="268"/>
      <c r="L1631" s="268"/>
      <c r="M1631" s="268"/>
      <c r="N1631" s="269"/>
      <c r="O1631" s="547"/>
      <c r="P1631" s="547"/>
    </row>
    <row r="1632" spans="1:16" ht="12.75">
      <c r="A1632" s="271"/>
      <c r="B1632" s="268"/>
      <c r="C1632" s="268"/>
      <c r="D1632" s="268"/>
      <c r="E1632" s="273"/>
      <c r="F1632" s="270"/>
      <c r="G1632" s="268"/>
      <c r="H1632" s="268"/>
      <c r="I1632" s="268"/>
      <c r="J1632" s="273"/>
      <c r="K1632" s="268"/>
      <c r="L1632" s="268"/>
      <c r="M1632" s="268"/>
      <c r="N1632" s="269"/>
      <c r="O1632" s="547"/>
      <c r="P1632" s="547"/>
    </row>
    <row r="1633" spans="1:16" ht="12.75">
      <c r="A1633" s="271"/>
      <c r="B1633" s="268"/>
      <c r="C1633" s="268"/>
      <c r="D1633" s="268"/>
      <c r="E1633" s="273"/>
      <c r="F1633" s="270"/>
      <c r="G1633" s="268"/>
      <c r="H1633" s="268"/>
      <c r="I1633" s="268"/>
      <c r="J1633" s="273"/>
      <c r="K1633" s="268"/>
      <c r="L1633" s="268"/>
      <c r="M1633" s="268"/>
      <c r="N1633" s="269"/>
      <c r="O1633" s="547"/>
      <c r="P1633" s="547"/>
    </row>
    <row r="1634" spans="1:16" ht="12.75">
      <c r="A1634" s="271"/>
      <c r="B1634" s="268"/>
      <c r="C1634" s="268"/>
      <c r="D1634" s="268"/>
      <c r="E1634" s="273"/>
      <c r="F1634" s="270"/>
      <c r="G1634" s="268"/>
      <c r="H1634" s="268"/>
      <c r="I1634" s="268"/>
      <c r="J1634" s="273"/>
      <c r="K1634" s="268"/>
      <c r="L1634" s="268"/>
      <c r="M1634" s="268"/>
      <c r="N1634" s="269"/>
      <c r="O1634" s="547"/>
      <c r="P1634" s="547"/>
    </row>
    <row r="1635" spans="1:16" ht="12.75">
      <c r="A1635" s="271"/>
      <c r="B1635" s="268"/>
      <c r="C1635" s="268"/>
      <c r="D1635" s="268"/>
      <c r="E1635" s="273"/>
      <c r="F1635" s="270"/>
      <c r="G1635" s="268"/>
      <c r="H1635" s="268"/>
      <c r="I1635" s="268"/>
      <c r="J1635" s="273"/>
      <c r="K1635" s="268"/>
      <c r="L1635" s="268"/>
      <c r="M1635" s="268"/>
      <c r="N1635" s="269"/>
      <c r="O1635" s="547"/>
      <c r="P1635" s="547"/>
    </row>
    <row r="1636" spans="1:16" ht="12.75">
      <c r="A1636" s="271"/>
      <c r="B1636" s="268"/>
      <c r="C1636" s="268"/>
      <c r="D1636" s="268"/>
      <c r="E1636" s="273"/>
      <c r="F1636" s="270"/>
      <c r="G1636" s="268"/>
      <c r="H1636" s="268"/>
      <c r="I1636" s="268"/>
      <c r="J1636" s="273"/>
      <c r="K1636" s="268"/>
      <c r="L1636" s="268"/>
      <c r="M1636" s="268"/>
      <c r="N1636" s="269"/>
      <c r="O1636" s="547"/>
      <c r="P1636" s="547"/>
    </row>
    <row r="1637" spans="1:16" ht="12.75">
      <c r="A1637" s="271"/>
      <c r="B1637" s="268"/>
      <c r="C1637" s="268"/>
      <c r="D1637" s="268"/>
      <c r="E1637" s="273"/>
      <c r="F1637" s="270"/>
      <c r="G1637" s="268"/>
      <c r="H1637" s="268"/>
      <c r="I1637" s="268"/>
      <c r="J1637" s="273"/>
      <c r="K1637" s="268"/>
      <c r="L1637" s="268"/>
      <c r="M1637" s="268"/>
      <c r="N1637" s="269"/>
      <c r="O1637" s="547"/>
      <c r="P1637" s="547"/>
    </row>
    <row r="1638" spans="1:16" ht="12.75">
      <c r="A1638" s="271"/>
      <c r="B1638" s="268"/>
      <c r="C1638" s="268"/>
      <c r="D1638" s="268"/>
      <c r="E1638" s="273"/>
      <c r="F1638" s="270"/>
      <c r="G1638" s="268"/>
      <c r="H1638" s="268"/>
      <c r="I1638" s="268"/>
      <c r="J1638" s="273"/>
      <c r="K1638" s="268"/>
      <c r="L1638" s="268"/>
      <c r="M1638" s="268"/>
      <c r="N1638" s="269"/>
      <c r="O1638" s="547"/>
      <c r="P1638" s="547"/>
    </row>
    <row r="1639" spans="1:16" ht="12.75">
      <c r="A1639" s="271"/>
      <c r="B1639" s="268"/>
      <c r="C1639" s="268"/>
      <c r="D1639" s="268"/>
      <c r="E1639" s="273"/>
      <c r="F1639" s="270"/>
      <c r="G1639" s="268"/>
      <c r="H1639" s="268"/>
      <c r="I1639" s="268"/>
      <c r="J1639" s="273"/>
      <c r="K1639" s="268"/>
      <c r="L1639" s="268"/>
      <c r="M1639" s="268"/>
      <c r="N1639" s="269"/>
      <c r="O1639" s="547"/>
      <c r="P1639" s="547"/>
    </row>
    <row r="1640" spans="1:16" ht="12.75">
      <c r="A1640" s="271"/>
      <c r="B1640" s="268"/>
      <c r="C1640" s="268"/>
      <c r="D1640" s="268"/>
      <c r="E1640" s="273"/>
      <c r="F1640" s="270"/>
      <c r="G1640" s="268"/>
      <c r="H1640" s="268"/>
      <c r="I1640" s="268"/>
      <c r="J1640" s="273"/>
      <c r="K1640" s="268"/>
      <c r="L1640" s="268"/>
      <c r="M1640" s="268"/>
      <c r="N1640" s="269"/>
      <c r="O1640" s="547"/>
      <c r="P1640" s="547"/>
    </row>
    <row r="1641" spans="1:16" ht="12.75">
      <c r="A1641" s="271"/>
      <c r="B1641" s="268"/>
      <c r="C1641" s="268"/>
      <c r="D1641" s="268"/>
      <c r="E1641" s="273"/>
      <c r="F1641" s="270"/>
      <c r="G1641" s="268"/>
      <c r="H1641" s="268"/>
      <c r="I1641" s="268"/>
      <c r="J1641" s="273"/>
      <c r="K1641" s="268"/>
      <c r="L1641" s="268"/>
      <c r="M1641" s="268"/>
      <c r="N1641" s="269"/>
      <c r="O1641" s="547"/>
      <c r="P1641" s="547"/>
    </row>
    <row r="1642" spans="1:16" ht="12.75">
      <c r="A1642" s="271"/>
      <c r="B1642" s="268"/>
      <c r="C1642" s="268"/>
      <c r="D1642" s="268"/>
      <c r="E1642" s="273"/>
      <c r="F1642" s="270"/>
      <c r="G1642" s="268"/>
      <c r="H1642" s="268"/>
      <c r="I1642" s="268"/>
      <c r="J1642" s="273"/>
      <c r="K1642" s="268"/>
      <c r="L1642" s="268"/>
      <c r="M1642" s="268"/>
      <c r="N1642" s="269"/>
      <c r="O1642" s="547"/>
      <c r="P1642" s="547"/>
    </row>
    <row r="1643" spans="1:16" ht="12.75">
      <c r="A1643" s="271"/>
      <c r="B1643" s="268"/>
      <c r="C1643" s="268"/>
      <c r="D1643" s="268"/>
      <c r="E1643" s="273"/>
      <c r="F1643" s="270"/>
      <c r="G1643" s="268"/>
      <c r="H1643" s="268"/>
      <c r="I1643" s="268"/>
      <c r="J1643" s="273"/>
      <c r="K1643" s="268"/>
      <c r="L1643" s="268"/>
      <c r="M1643" s="268"/>
      <c r="N1643" s="269"/>
      <c r="O1643" s="547"/>
      <c r="P1643" s="547"/>
    </row>
    <row r="1644" spans="1:16" ht="12.75">
      <c r="A1644" s="271"/>
      <c r="B1644" s="268"/>
      <c r="C1644" s="268"/>
      <c r="D1644" s="268"/>
      <c r="E1644" s="273"/>
      <c r="F1644" s="270"/>
      <c r="G1644" s="268"/>
      <c r="H1644" s="268"/>
      <c r="I1644" s="268"/>
      <c r="J1644" s="273"/>
      <c r="K1644" s="268"/>
      <c r="L1644" s="268"/>
      <c r="M1644" s="268"/>
      <c r="N1644" s="269"/>
      <c r="O1644" s="547"/>
      <c r="P1644" s="547"/>
    </row>
    <row r="1645" spans="1:16" ht="12.75">
      <c r="A1645" s="271"/>
      <c r="B1645" s="268"/>
      <c r="C1645" s="268"/>
      <c r="D1645" s="268"/>
      <c r="E1645" s="273"/>
      <c r="F1645" s="270"/>
      <c r="G1645" s="268"/>
      <c r="H1645" s="268"/>
      <c r="I1645" s="268"/>
      <c r="J1645" s="273"/>
      <c r="K1645" s="268"/>
      <c r="L1645" s="268"/>
      <c r="M1645" s="268"/>
      <c r="N1645" s="269"/>
      <c r="O1645" s="547"/>
      <c r="P1645" s="547"/>
    </row>
    <row r="1646" spans="1:16" ht="12.75">
      <c r="A1646" s="271"/>
      <c r="B1646" s="268"/>
      <c r="C1646" s="268"/>
      <c r="D1646" s="268"/>
      <c r="E1646" s="273"/>
      <c r="F1646" s="270"/>
      <c r="G1646" s="268"/>
      <c r="H1646" s="268"/>
      <c r="I1646" s="268"/>
      <c r="J1646" s="273"/>
      <c r="K1646" s="268"/>
      <c r="L1646" s="268"/>
      <c r="M1646" s="268"/>
      <c r="N1646" s="269"/>
      <c r="O1646" s="547"/>
      <c r="P1646" s="547"/>
    </row>
    <row r="1647" spans="1:16" ht="12.75">
      <c r="A1647" s="271"/>
      <c r="B1647" s="268"/>
      <c r="C1647" s="268"/>
      <c r="D1647" s="268"/>
      <c r="E1647" s="273"/>
      <c r="F1647" s="270"/>
      <c r="G1647" s="268"/>
      <c r="H1647" s="268"/>
      <c r="I1647" s="268"/>
      <c r="J1647" s="273"/>
      <c r="K1647" s="268"/>
      <c r="L1647" s="268"/>
      <c r="M1647" s="268"/>
      <c r="N1647" s="269"/>
      <c r="O1647" s="547"/>
      <c r="P1647" s="547"/>
    </row>
    <row r="1648" spans="1:16" ht="12.75">
      <c r="A1648" s="271"/>
      <c r="B1648" s="268"/>
      <c r="C1648" s="268"/>
      <c r="D1648" s="268"/>
      <c r="E1648" s="273"/>
      <c r="F1648" s="270"/>
      <c r="G1648" s="268"/>
      <c r="H1648" s="268"/>
      <c r="I1648" s="268"/>
      <c r="J1648" s="273"/>
      <c r="K1648" s="268"/>
      <c r="L1648" s="268"/>
      <c r="M1648" s="268"/>
      <c r="N1648" s="269"/>
      <c r="O1648" s="547"/>
      <c r="P1648" s="547"/>
    </row>
    <row r="1649" spans="1:16" ht="12.75">
      <c r="A1649" s="271"/>
      <c r="B1649" s="268"/>
      <c r="C1649" s="268"/>
      <c r="D1649" s="268"/>
      <c r="E1649" s="273"/>
      <c r="F1649" s="270"/>
      <c r="G1649" s="268"/>
      <c r="H1649" s="268"/>
      <c r="I1649" s="268"/>
      <c r="J1649" s="273"/>
      <c r="K1649" s="268"/>
      <c r="L1649" s="268"/>
      <c r="M1649" s="268"/>
      <c r="N1649" s="269"/>
      <c r="O1649" s="547"/>
      <c r="P1649" s="547"/>
    </row>
    <row r="1650" spans="1:16" ht="12.75">
      <c r="A1650" s="271"/>
      <c r="B1650" s="268"/>
      <c r="C1650" s="268"/>
      <c r="D1650" s="268"/>
      <c r="E1650" s="273"/>
      <c r="F1650" s="270"/>
      <c r="G1650" s="268"/>
      <c r="H1650" s="268"/>
      <c r="I1650" s="268"/>
      <c r="J1650" s="273"/>
      <c r="K1650" s="268"/>
      <c r="L1650" s="268"/>
      <c r="M1650" s="268"/>
      <c r="N1650" s="269"/>
      <c r="O1650" s="547"/>
      <c r="P1650" s="547"/>
    </row>
    <row r="1651" spans="1:16" ht="12.75">
      <c r="A1651" s="271"/>
      <c r="B1651" s="268"/>
      <c r="C1651" s="268"/>
      <c r="D1651" s="268"/>
      <c r="E1651" s="273"/>
      <c r="F1651" s="270"/>
      <c r="G1651" s="268"/>
      <c r="H1651" s="268"/>
      <c r="I1651" s="268"/>
      <c r="J1651" s="273"/>
      <c r="K1651" s="268"/>
      <c r="L1651" s="268"/>
      <c r="M1651" s="268"/>
      <c r="N1651" s="269"/>
      <c r="O1651" s="547"/>
      <c r="P1651" s="547"/>
    </row>
    <row r="1652" spans="1:16" ht="12.75">
      <c r="A1652" s="271"/>
      <c r="B1652" s="268"/>
      <c r="C1652" s="268"/>
      <c r="D1652" s="268"/>
      <c r="E1652" s="273"/>
      <c r="F1652" s="270"/>
      <c r="G1652" s="268"/>
      <c r="H1652" s="268"/>
      <c r="I1652" s="268"/>
      <c r="J1652" s="273"/>
      <c r="K1652" s="268"/>
      <c r="L1652" s="268"/>
      <c r="M1652" s="268"/>
      <c r="N1652" s="269"/>
      <c r="O1652" s="547"/>
      <c r="P1652" s="547"/>
    </row>
    <row r="1653" spans="1:16" ht="12.75">
      <c r="A1653" s="271"/>
      <c r="B1653" s="268"/>
      <c r="C1653" s="268"/>
      <c r="D1653" s="268"/>
      <c r="E1653" s="273"/>
      <c r="F1653" s="270"/>
      <c r="G1653" s="268"/>
      <c r="H1653" s="268"/>
      <c r="I1653" s="268"/>
      <c r="J1653" s="273"/>
      <c r="K1653" s="268"/>
      <c r="L1653" s="268"/>
      <c r="M1653" s="268"/>
      <c r="N1653" s="269"/>
      <c r="O1653" s="547"/>
      <c r="P1653" s="547"/>
    </row>
    <row r="1654" spans="1:16" ht="12.75">
      <c r="A1654" s="271"/>
      <c r="B1654" s="268"/>
      <c r="C1654" s="268"/>
      <c r="D1654" s="268"/>
      <c r="E1654" s="273"/>
      <c r="F1654" s="270"/>
      <c r="G1654" s="268"/>
      <c r="H1654" s="268"/>
      <c r="I1654" s="268"/>
      <c r="J1654" s="273"/>
      <c r="K1654" s="268"/>
      <c r="L1654" s="268"/>
      <c r="M1654" s="268"/>
      <c r="N1654" s="269"/>
      <c r="O1654" s="547"/>
      <c r="P1654" s="547"/>
    </row>
    <row r="1655" spans="1:16" ht="12.75">
      <c r="A1655" s="271"/>
      <c r="B1655" s="268"/>
      <c r="C1655" s="268"/>
      <c r="D1655" s="268"/>
      <c r="E1655" s="273"/>
      <c r="F1655" s="270"/>
      <c r="G1655" s="268"/>
      <c r="H1655" s="268"/>
      <c r="I1655" s="268"/>
      <c r="J1655" s="273"/>
      <c r="K1655" s="268"/>
      <c r="L1655" s="268"/>
      <c r="M1655" s="268"/>
      <c r="N1655" s="269"/>
      <c r="O1655" s="547"/>
      <c r="P1655" s="547"/>
    </row>
    <row r="1656" spans="1:16" ht="12.75">
      <c r="A1656" s="271"/>
      <c r="B1656" s="268"/>
      <c r="C1656" s="268"/>
      <c r="D1656" s="268"/>
      <c r="E1656" s="273"/>
      <c r="F1656" s="270"/>
      <c r="G1656" s="268"/>
      <c r="H1656" s="268"/>
      <c r="I1656" s="268"/>
      <c r="J1656" s="273"/>
      <c r="K1656" s="268"/>
      <c r="L1656" s="268"/>
      <c r="M1656" s="268"/>
      <c r="N1656" s="269"/>
      <c r="O1656" s="547"/>
      <c r="P1656" s="547"/>
    </row>
    <row r="1657" spans="1:16" ht="12.75">
      <c r="A1657" s="271"/>
      <c r="B1657" s="268"/>
      <c r="C1657" s="268"/>
      <c r="D1657" s="268"/>
      <c r="E1657" s="273"/>
      <c r="F1657" s="270"/>
      <c r="G1657" s="268"/>
      <c r="H1657" s="268"/>
      <c r="I1657" s="268"/>
      <c r="J1657" s="273"/>
      <c r="K1657" s="268"/>
      <c r="L1657" s="268"/>
      <c r="M1657" s="268"/>
      <c r="N1657" s="269"/>
      <c r="O1657" s="547"/>
      <c r="P1657" s="547"/>
    </row>
    <row r="1658" spans="1:16" ht="12.75">
      <c r="A1658" s="271"/>
      <c r="B1658" s="268"/>
      <c r="C1658" s="268"/>
      <c r="D1658" s="268"/>
      <c r="E1658" s="273"/>
      <c r="F1658" s="270"/>
      <c r="G1658" s="268"/>
      <c r="H1658" s="268"/>
      <c r="I1658" s="268"/>
      <c r="J1658" s="273"/>
      <c r="K1658" s="268"/>
      <c r="L1658" s="268"/>
      <c r="M1658" s="268"/>
      <c r="N1658" s="269"/>
      <c r="O1658" s="547"/>
      <c r="P1658" s="547"/>
    </row>
    <row r="1659" spans="1:16" ht="12.75">
      <c r="A1659" s="271"/>
      <c r="B1659" s="268"/>
      <c r="C1659" s="268"/>
      <c r="D1659" s="268"/>
      <c r="E1659" s="273"/>
      <c r="F1659" s="270"/>
      <c r="G1659" s="268"/>
      <c r="H1659" s="268"/>
      <c r="I1659" s="268"/>
      <c r="J1659" s="273"/>
      <c r="K1659" s="268"/>
      <c r="L1659" s="268"/>
      <c r="M1659" s="268"/>
      <c r="N1659" s="269"/>
      <c r="O1659" s="547"/>
      <c r="P1659" s="547"/>
    </row>
    <row r="1660" spans="1:16" ht="12.75">
      <c r="A1660" s="271"/>
      <c r="B1660" s="268"/>
      <c r="C1660" s="268"/>
      <c r="D1660" s="268"/>
      <c r="E1660" s="273"/>
      <c r="F1660" s="270"/>
      <c r="G1660" s="268"/>
      <c r="H1660" s="268"/>
      <c r="I1660" s="268"/>
      <c r="J1660" s="273"/>
      <c r="K1660" s="268"/>
      <c r="L1660" s="268"/>
      <c r="M1660" s="268"/>
      <c r="N1660" s="269"/>
      <c r="O1660" s="547"/>
      <c r="P1660" s="547"/>
    </row>
    <row r="1661" spans="1:16" ht="12.75">
      <c r="A1661" s="271"/>
      <c r="B1661" s="268"/>
      <c r="C1661" s="268"/>
      <c r="D1661" s="268"/>
      <c r="E1661" s="273"/>
      <c r="F1661" s="270"/>
      <c r="G1661" s="268"/>
      <c r="H1661" s="268"/>
      <c r="I1661" s="268"/>
      <c r="J1661" s="273"/>
      <c r="K1661" s="268"/>
      <c r="L1661" s="268"/>
      <c r="M1661" s="268"/>
      <c r="N1661" s="269"/>
      <c r="O1661" s="547"/>
      <c r="P1661" s="547"/>
    </row>
    <row r="1662" spans="1:16" ht="12.75">
      <c r="A1662" s="271"/>
      <c r="B1662" s="268"/>
      <c r="C1662" s="268"/>
      <c r="D1662" s="268"/>
      <c r="E1662" s="273"/>
      <c r="F1662" s="270"/>
      <c r="G1662" s="268"/>
      <c r="H1662" s="268"/>
      <c r="I1662" s="268"/>
      <c r="J1662" s="273"/>
      <c r="K1662" s="268"/>
      <c r="L1662" s="268"/>
      <c r="M1662" s="268"/>
      <c r="N1662" s="269"/>
      <c r="O1662" s="547"/>
      <c r="P1662" s="547"/>
    </row>
    <row r="1663" spans="1:16" ht="12.75">
      <c r="A1663" s="271"/>
      <c r="B1663" s="268"/>
      <c r="C1663" s="268"/>
      <c r="D1663" s="268"/>
      <c r="E1663" s="273"/>
      <c r="F1663" s="270"/>
      <c r="G1663" s="268"/>
      <c r="H1663" s="268"/>
      <c r="I1663" s="268"/>
      <c r="J1663" s="273"/>
      <c r="K1663" s="268"/>
      <c r="L1663" s="268"/>
      <c r="M1663" s="268"/>
      <c r="N1663" s="269"/>
      <c r="O1663" s="547"/>
      <c r="P1663" s="547"/>
    </row>
    <row r="1664" spans="1:16" ht="12.75">
      <c r="A1664" s="271"/>
      <c r="B1664" s="268"/>
      <c r="C1664" s="268"/>
      <c r="D1664" s="268"/>
      <c r="E1664" s="273"/>
      <c r="F1664" s="270"/>
      <c r="G1664" s="268"/>
      <c r="H1664" s="268"/>
      <c r="I1664" s="268"/>
      <c r="J1664" s="273"/>
      <c r="K1664" s="268"/>
      <c r="L1664" s="268"/>
      <c r="M1664" s="268"/>
      <c r="N1664" s="269"/>
      <c r="O1664" s="547"/>
      <c r="P1664" s="547"/>
    </row>
    <row r="1665" spans="1:16" ht="12.75">
      <c r="A1665" s="271"/>
      <c r="B1665" s="268"/>
      <c r="C1665" s="268"/>
      <c r="D1665" s="268"/>
      <c r="E1665" s="273"/>
      <c r="F1665" s="270"/>
      <c r="G1665" s="268"/>
      <c r="H1665" s="268"/>
      <c r="I1665" s="268"/>
      <c r="J1665" s="273"/>
      <c r="K1665" s="268"/>
      <c r="L1665" s="268"/>
      <c r="M1665" s="268"/>
      <c r="N1665" s="269"/>
      <c r="O1665" s="547"/>
      <c r="P1665" s="547"/>
    </row>
    <row r="1666" spans="1:16" ht="12.75">
      <c r="A1666" s="271"/>
      <c r="B1666" s="268"/>
      <c r="C1666" s="268"/>
      <c r="D1666" s="268"/>
      <c r="E1666" s="273"/>
      <c r="F1666" s="270"/>
      <c r="G1666" s="268"/>
      <c r="H1666" s="268"/>
      <c r="I1666" s="268"/>
      <c r="J1666" s="273"/>
      <c r="K1666" s="268"/>
      <c r="L1666" s="268"/>
      <c r="M1666" s="268"/>
      <c r="N1666" s="269"/>
      <c r="O1666" s="547"/>
      <c r="P1666" s="547"/>
    </row>
    <row r="1667" spans="1:16" ht="12.75">
      <c r="A1667" s="271"/>
      <c r="B1667" s="268"/>
      <c r="C1667" s="268"/>
      <c r="D1667" s="268"/>
      <c r="E1667" s="273"/>
      <c r="F1667" s="270"/>
      <c r="G1667" s="268"/>
      <c r="H1667" s="268"/>
      <c r="I1667" s="268"/>
      <c r="J1667" s="273"/>
      <c r="K1667" s="268"/>
      <c r="L1667" s="268"/>
      <c r="M1667" s="268"/>
      <c r="N1667" s="269"/>
      <c r="O1667" s="547"/>
      <c r="P1667" s="547"/>
    </row>
    <row r="1668" spans="1:16" ht="12.75">
      <c r="A1668" s="271"/>
      <c r="B1668" s="268"/>
      <c r="C1668" s="268"/>
      <c r="D1668" s="268"/>
      <c r="E1668" s="273"/>
      <c r="F1668" s="270"/>
      <c r="G1668" s="268"/>
      <c r="H1668" s="268"/>
      <c r="I1668" s="268"/>
      <c r="J1668" s="273"/>
      <c r="K1668" s="268"/>
      <c r="L1668" s="268"/>
      <c r="M1668" s="268"/>
      <c r="N1668" s="269"/>
      <c r="O1668" s="547"/>
      <c r="P1668" s="547"/>
    </row>
    <row r="1669" spans="1:16" ht="12.75">
      <c r="A1669" s="271"/>
      <c r="B1669" s="268"/>
      <c r="C1669" s="268"/>
      <c r="D1669" s="268"/>
      <c r="E1669" s="273"/>
      <c r="F1669" s="270"/>
      <c r="G1669" s="268"/>
      <c r="H1669" s="268"/>
      <c r="I1669" s="268"/>
      <c r="J1669" s="273"/>
      <c r="K1669" s="268"/>
      <c r="L1669" s="268"/>
      <c r="M1669" s="268"/>
      <c r="N1669" s="269"/>
      <c r="O1669" s="547"/>
      <c r="P1669" s="547"/>
    </row>
    <row r="1670" spans="1:16" ht="12.75">
      <c r="A1670" s="271"/>
      <c r="B1670" s="268"/>
      <c r="C1670" s="268"/>
      <c r="D1670" s="268"/>
      <c r="E1670" s="273"/>
      <c r="F1670" s="270"/>
      <c r="G1670" s="268"/>
      <c r="H1670" s="268"/>
      <c r="I1670" s="268"/>
      <c r="J1670" s="273"/>
      <c r="K1670" s="268"/>
      <c r="L1670" s="268"/>
      <c r="M1670" s="268"/>
      <c r="N1670" s="269"/>
      <c r="O1670" s="547"/>
      <c r="P1670" s="547"/>
    </row>
    <row r="1671" spans="1:16" ht="12.75">
      <c r="A1671" s="271"/>
      <c r="B1671" s="268"/>
      <c r="C1671" s="268"/>
      <c r="D1671" s="268"/>
      <c r="E1671" s="273"/>
      <c r="F1671" s="270"/>
      <c r="G1671" s="268"/>
      <c r="H1671" s="268"/>
      <c r="I1671" s="268"/>
      <c r="J1671" s="273"/>
      <c r="K1671" s="268"/>
      <c r="L1671" s="268"/>
      <c r="M1671" s="268"/>
      <c r="N1671" s="269"/>
      <c r="O1671" s="547"/>
      <c r="P1671" s="547"/>
    </row>
    <row r="1672" spans="1:16" ht="12.75">
      <c r="A1672" s="271"/>
      <c r="B1672" s="268"/>
      <c r="C1672" s="268"/>
      <c r="D1672" s="268"/>
      <c r="E1672" s="273"/>
      <c r="F1672" s="270"/>
      <c r="G1672" s="268"/>
      <c r="H1672" s="268"/>
      <c r="I1672" s="268"/>
      <c r="J1672" s="273"/>
      <c r="K1672" s="268"/>
      <c r="L1672" s="268"/>
      <c r="M1672" s="268"/>
      <c r="N1672" s="269"/>
      <c r="O1672" s="547"/>
      <c r="P1672" s="547"/>
    </row>
    <row r="1673" spans="1:16" ht="12.75">
      <c r="A1673" s="271"/>
      <c r="B1673" s="268"/>
      <c r="C1673" s="268"/>
      <c r="D1673" s="268"/>
      <c r="E1673" s="273"/>
      <c r="F1673" s="270"/>
      <c r="G1673" s="268"/>
      <c r="H1673" s="268"/>
      <c r="I1673" s="268"/>
      <c r="J1673" s="273"/>
      <c r="K1673" s="268"/>
      <c r="L1673" s="268"/>
      <c r="M1673" s="268"/>
      <c r="N1673" s="269"/>
      <c r="O1673" s="547"/>
      <c r="P1673" s="547"/>
    </row>
    <row r="1674" spans="1:16" ht="12.75">
      <c r="A1674" s="271"/>
      <c r="B1674" s="268"/>
      <c r="C1674" s="268"/>
      <c r="D1674" s="268"/>
      <c r="E1674" s="273"/>
      <c r="F1674" s="270"/>
      <c r="G1674" s="268"/>
      <c r="H1674" s="268"/>
      <c r="I1674" s="268"/>
      <c r="J1674" s="273"/>
      <c r="K1674" s="268"/>
      <c r="L1674" s="268"/>
      <c r="M1674" s="268"/>
      <c r="N1674" s="269"/>
      <c r="O1674" s="547"/>
      <c r="P1674" s="547"/>
    </row>
    <row r="1675" spans="1:16" ht="12.75">
      <c r="A1675" s="271"/>
      <c r="B1675" s="268"/>
      <c r="C1675" s="268"/>
      <c r="D1675" s="268"/>
      <c r="E1675" s="273"/>
      <c r="F1675" s="270"/>
      <c r="G1675" s="268"/>
      <c r="H1675" s="268"/>
      <c r="I1675" s="268"/>
      <c r="J1675" s="273"/>
      <c r="K1675" s="268"/>
      <c r="L1675" s="268"/>
      <c r="M1675" s="268"/>
      <c r="N1675" s="269"/>
      <c r="O1675" s="547"/>
      <c r="P1675" s="547"/>
    </row>
    <row r="1676" spans="1:16" ht="12.75">
      <c r="A1676" s="271"/>
      <c r="B1676" s="268"/>
      <c r="C1676" s="268"/>
      <c r="D1676" s="268"/>
      <c r="E1676" s="273"/>
      <c r="F1676" s="270"/>
      <c r="G1676" s="268"/>
      <c r="H1676" s="268"/>
      <c r="I1676" s="268"/>
      <c r="J1676" s="273"/>
      <c r="K1676" s="268"/>
      <c r="L1676" s="268"/>
      <c r="M1676" s="268"/>
      <c r="N1676" s="269"/>
      <c r="O1676" s="547"/>
      <c r="P1676" s="547"/>
    </row>
    <row r="1677" spans="1:16" ht="12.75">
      <c r="A1677" s="271"/>
      <c r="B1677" s="268"/>
      <c r="C1677" s="268"/>
      <c r="D1677" s="268"/>
      <c r="E1677" s="273"/>
      <c r="F1677" s="270"/>
      <c r="G1677" s="268"/>
      <c r="H1677" s="268"/>
      <c r="I1677" s="268"/>
      <c r="J1677" s="273"/>
      <c r="K1677" s="268"/>
      <c r="L1677" s="268"/>
      <c r="M1677" s="268"/>
      <c r="N1677" s="269"/>
      <c r="O1677" s="547"/>
      <c r="P1677" s="547"/>
    </row>
    <row r="1678" spans="1:16" ht="12.75">
      <c r="A1678" s="271"/>
      <c r="B1678" s="268"/>
      <c r="C1678" s="268"/>
      <c r="D1678" s="268"/>
      <c r="E1678" s="273"/>
      <c r="F1678" s="270"/>
      <c r="G1678" s="268"/>
      <c r="H1678" s="268"/>
      <c r="I1678" s="268"/>
      <c r="J1678" s="273"/>
      <c r="K1678" s="268"/>
      <c r="L1678" s="268"/>
      <c r="M1678" s="268"/>
      <c r="N1678" s="269"/>
      <c r="O1678" s="547"/>
      <c r="P1678" s="547"/>
    </row>
    <row r="1679" spans="1:16" ht="12.75">
      <c r="A1679" s="271"/>
      <c r="B1679" s="268"/>
      <c r="C1679" s="268"/>
      <c r="D1679" s="268"/>
      <c r="E1679" s="273"/>
      <c r="F1679" s="270"/>
      <c r="G1679" s="268"/>
      <c r="H1679" s="268"/>
      <c r="I1679" s="268"/>
      <c r="J1679" s="273"/>
      <c r="K1679" s="268"/>
      <c r="L1679" s="268"/>
      <c r="M1679" s="268"/>
      <c r="N1679" s="269"/>
      <c r="O1679" s="547"/>
      <c r="P1679" s="547"/>
    </row>
    <row r="1680" spans="1:16" ht="12.75">
      <c r="A1680" s="271"/>
      <c r="B1680" s="268"/>
      <c r="C1680" s="268"/>
      <c r="D1680" s="268"/>
      <c r="E1680" s="273"/>
      <c r="F1680" s="270"/>
      <c r="G1680" s="268"/>
      <c r="H1680" s="268"/>
      <c r="I1680" s="268"/>
      <c r="J1680" s="273"/>
      <c r="K1680" s="268"/>
      <c r="L1680" s="268"/>
      <c r="M1680" s="268"/>
      <c r="N1680" s="269"/>
      <c r="O1680" s="547"/>
      <c r="P1680" s="547"/>
    </row>
    <row r="1681" spans="1:16" ht="12.75">
      <c r="A1681" s="271"/>
      <c r="B1681" s="268"/>
      <c r="C1681" s="268"/>
      <c r="D1681" s="268"/>
      <c r="E1681" s="273"/>
      <c r="F1681" s="270"/>
      <c r="G1681" s="268"/>
      <c r="H1681" s="268"/>
      <c r="I1681" s="268"/>
      <c r="J1681" s="273"/>
      <c r="K1681" s="268"/>
      <c r="L1681" s="268"/>
      <c r="M1681" s="268"/>
      <c r="N1681" s="269"/>
      <c r="O1681" s="547"/>
      <c r="P1681" s="547"/>
    </row>
    <row r="1682" spans="1:16" ht="12.75">
      <c r="A1682" s="271"/>
      <c r="B1682" s="268"/>
      <c r="C1682" s="268"/>
      <c r="D1682" s="268"/>
      <c r="E1682" s="273"/>
      <c r="F1682" s="270"/>
      <c r="G1682" s="268"/>
      <c r="H1682" s="268"/>
      <c r="I1682" s="268"/>
      <c r="J1682" s="273"/>
      <c r="K1682" s="268"/>
      <c r="L1682" s="268"/>
      <c r="M1682" s="268"/>
      <c r="N1682" s="269"/>
      <c r="O1682" s="547"/>
      <c r="P1682" s="547"/>
    </row>
    <row r="1683" spans="1:16" ht="12.75">
      <c r="A1683" s="271"/>
      <c r="B1683" s="268"/>
      <c r="C1683" s="268"/>
      <c r="D1683" s="268"/>
      <c r="E1683" s="273"/>
      <c r="F1683" s="270"/>
      <c r="G1683" s="268"/>
      <c r="H1683" s="268"/>
      <c r="I1683" s="268"/>
      <c r="J1683" s="273"/>
      <c r="K1683" s="268"/>
      <c r="L1683" s="268"/>
      <c r="M1683" s="268"/>
      <c r="N1683" s="269"/>
      <c r="O1683" s="547"/>
      <c r="P1683" s="547"/>
    </row>
    <row r="1684" spans="1:16" ht="12.75">
      <c r="A1684" s="271"/>
      <c r="B1684" s="268"/>
      <c r="C1684" s="268"/>
      <c r="D1684" s="268"/>
      <c r="E1684" s="273"/>
      <c r="F1684" s="270"/>
      <c r="G1684" s="268"/>
      <c r="H1684" s="268"/>
      <c r="I1684" s="268"/>
      <c r="J1684" s="273"/>
      <c r="K1684" s="268"/>
      <c r="L1684" s="268"/>
      <c r="M1684" s="268"/>
      <c r="N1684" s="269"/>
      <c r="O1684" s="547"/>
      <c r="P1684" s="547"/>
    </row>
    <row r="1685" spans="1:16" ht="12.75">
      <c r="A1685" s="271"/>
      <c r="B1685" s="268"/>
      <c r="C1685" s="268"/>
      <c r="D1685" s="268"/>
      <c r="E1685" s="273"/>
      <c r="F1685" s="270"/>
      <c r="G1685" s="268"/>
      <c r="H1685" s="268"/>
      <c r="I1685" s="268"/>
      <c r="J1685" s="273"/>
      <c r="K1685" s="268"/>
      <c r="L1685" s="268"/>
      <c r="M1685" s="268"/>
      <c r="N1685" s="269"/>
      <c r="O1685" s="547"/>
      <c r="P1685" s="547"/>
    </row>
    <row r="1686" spans="1:16" ht="12.75">
      <c r="A1686" s="271"/>
      <c r="B1686" s="268"/>
      <c r="C1686" s="268"/>
      <c r="D1686" s="268"/>
      <c r="E1686" s="273"/>
      <c r="F1686" s="270"/>
      <c r="G1686" s="268"/>
      <c r="H1686" s="268"/>
      <c r="I1686" s="268"/>
      <c r="J1686" s="273"/>
      <c r="K1686" s="268"/>
      <c r="L1686" s="268"/>
      <c r="M1686" s="268"/>
      <c r="N1686" s="269"/>
      <c r="O1686" s="547"/>
      <c r="P1686" s="547"/>
    </row>
    <row r="1687" spans="1:16" ht="12.75">
      <c r="A1687" s="271"/>
      <c r="B1687" s="268"/>
      <c r="C1687" s="268"/>
      <c r="D1687" s="268"/>
      <c r="E1687" s="273"/>
      <c r="F1687" s="270"/>
      <c r="G1687" s="268"/>
      <c r="H1687" s="268"/>
      <c r="I1687" s="268"/>
      <c r="J1687" s="273"/>
      <c r="K1687" s="268"/>
      <c r="L1687" s="268"/>
      <c r="M1687" s="268"/>
      <c r="N1687" s="269"/>
      <c r="O1687" s="547"/>
      <c r="P1687" s="547"/>
    </row>
    <row r="1688" spans="1:16" ht="12.75">
      <c r="A1688" s="271"/>
      <c r="B1688" s="268"/>
      <c r="C1688" s="268"/>
      <c r="D1688" s="268"/>
      <c r="E1688" s="273"/>
      <c r="F1688" s="270"/>
      <c r="G1688" s="268"/>
      <c r="H1688" s="268"/>
      <c r="I1688" s="268"/>
      <c r="J1688" s="273"/>
      <c r="K1688" s="268"/>
      <c r="L1688" s="268"/>
      <c r="M1688" s="268"/>
      <c r="N1688" s="269"/>
      <c r="O1688" s="547"/>
      <c r="P1688" s="547"/>
    </row>
    <row r="1689" spans="1:16" ht="12.75">
      <c r="A1689" s="271"/>
      <c r="B1689" s="268"/>
      <c r="C1689" s="268"/>
      <c r="D1689" s="268"/>
      <c r="E1689" s="273"/>
      <c r="F1689" s="270"/>
      <c r="G1689" s="268"/>
      <c r="H1689" s="268"/>
      <c r="I1689" s="268"/>
      <c r="J1689" s="273"/>
      <c r="K1689" s="268"/>
      <c r="L1689" s="268"/>
      <c r="M1689" s="268"/>
      <c r="N1689" s="269"/>
      <c r="O1689" s="547"/>
      <c r="P1689" s="547"/>
    </row>
    <row r="1690" spans="1:16" ht="12.75">
      <c r="A1690" s="271"/>
      <c r="B1690" s="268"/>
      <c r="C1690" s="268"/>
      <c r="D1690" s="268"/>
      <c r="E1690" s="273"/>
      <c r="F1690" s="270"/>
      <c r="G1690" s="268"/>
      <c r="H1690" s="268"/>
      <c r="I1690" s="268"/>
      <c r="J1690" s="273"/>
      <c r="K1690" s="268"/>
      <c r="L1690" s="268"/>
      <c r="M1690" s="268"/>
      <c r="N1690" s="269"/>
      <c r="O1690" s="547"/>
      <c r="P1690" s="547"/>
    </row>
    <row r="1691" spans="1:16" ht="12.75">
      <c r="A1691" s="271"/>
      <c r="B1691" s="268"/>
      <c r="C1691" s="268"/>
      <c r="D1691" s="268"/>
      <c r="E1691" s="273"/>
      <c r="F1691" s="270"/>
      <c r="G1691" s="268"/>
      <c r="H1691" s="268"/>
      <c r="I1691" s="268"/>
      <c r="J1691" s="273"/>
      <c r="K1691" s="268"/>
      <c r="L1691" s="268"/>
      <c r="M1691" s="268"/>
      <c r="N1691" s="269"/>
      <c r="O1691" s="547"/>
      <c r="P1691" s="547"/>
    </row>
    <row r="1692" spans="1:16" ht="12.75">
      <c r="A1692" s="271"/>
      <c r="B1692" s="268"/>
      <c r="C1692" s="268"/>
      <c r="D1692" s="268"/>
      <c r="E1692" s="273"/>
      <c r="F1692" s="270"/>
      <c r="G1692" s="268"/>
      <c r="H1692" s="268"/>
      <c r="I1692" s="268"/>
      <c r="J1692" s="273"/>
      <c r="K1692" s="268"/>
      <c r="L1692" s="268"/>
      <c r="M1692" s="268"/>
      <c r="N1692" s="269"/>
      <c r="O1692" s="547"/>
      <c r="P1692" s="547"/>
    </row>
    <row r="1693" spans="1:16" ht="12.75">
      <c r="A1693" s="271"/>
      <c r="B1693" s="268"/>
      <c r="C1693" s="268"/>
      <c r="D1693" s="268"/>
      <c r="E1693" s="273"/>
      <c r="F1693" s="270"/>
      <c r="G1693" s="268"/>
      <c r="H1693" s="268"/>
      <c r="I1693" s="268"/>
      <c r="J1693" s="273"/>
      <c r="K1693" s="268"/>
      <c r="L1693" s="268"/>
      <c r="M1693" s="268"/>
      <c r="N1693" s="269"/>
      <c r="O1693" s="547"/>
      <c r="P1693" s="547"/>
    </row>
    <row r="1694" spans="1:16" ht="12.75">
      <c r="A1694" s="271"/>
      <c r="B1694" s="268"/>
      <c r="C1694" s="268"/>
      <c r="D1694" s="268"/>
      <c r="E1694" s="273"/>
      <c r="F1694" s="270"/>
      <c r="G1694" s="268"/>
      <c r="H1694" s="268"/>
      <c r="I1694" s="268"/>
      <c r="J1694" s="273"/>
      <c r="K1694" s="268"/>
      <c r="L1694" s="268"/>
      <c r="M1694" s="268"/>
      <c r="N1694" s="269"/>
      <c r="O1694" s="547"/>
      <c r="P1694" s="547"/>
    </row>
    <row r="1695" spans="1:16" ht="12.75">
      <c r="A1695" s="271"/>
      <c r="B1695" s="268"/>
      <c r="C1695" s="268"/>
      <c r="D1695" s="268"/>
      <c r="E1695" s="273"/>
      <c r="F1695" s="270"/>
      <c r="G1695" s="268"/>
      <c r="H1695" s="268"/>
      <c r="I1695" s="268"/>
      <c r="J1695" s="273"/>
      <c r="K1695" s="268"/>
      <c r="L1695" s="268"/>
      <c r="M1695" s="268"/>
      <c r="N1695" s="269"/>
      <c r="O1695" s="547"/>
      <c r="P1695" s="547"/>
    </row>
    <row r="1696" spans="1:16" ht="12.75">
      <c r="A1696" s="271"/>
      <c r="B1696" s="268"/>
      <c r="C1696" s="268"/>
      <c r="D1696" s="268"/>
      <c r="E1696" s="273"/>
      <c r="F1696" s="270"/>
      <c r="G1696" s="268"/>
      <c r="H1696" s="268"/>
      <c r="I1696" s="268"/>
      <c r="J1696" s="273"/>
      <c r="K1696" s="268"/>
      <c r="L1696" s="268"/>
      <c r="M1696" s="268"/>
      <c r="N1696" s="269"/>
      <c r="O1696" s="547"/>
      <c r="P1696" s="547"/>
    </row>
    <row r="1697" spans="1:16" ht="12.75">
      <c r="A1697" s="271"/>
      <c r="B1697" s="268"/>
      <c r="C1697" s="268"/>
      <c r="D1697" s="268"/>
      <c r="E1697" s="273"/>
      <c r="F1697" s="270"/>
      <c r="G1697" s="268"/>
      <c r="H1697" s="268"/>
      <c r="I1697" s="268"/>
      <c r="J1697" s="273"/>
      <c r="K1697" s="268"/>
      <c r="L1697" s="268"/>
      <c r="M1697" s="268"/>
      <c r="N1697" s="269"/>
      <c r="O1697" s="547"/>
      <c r="P1697" s="547"/>
    </row>
    <row r="1698" spans="1:16" ht="12.75">
      <c r="A1698" s="271"/>
      <c r="B1698" s="268"/>
      <c r="C1698" s="268"/>
      <c r="D1698" s="268"/>
      <c r="E1698" s="273"/>
      <c r="F1698" s="270"/>
      <c r="G1698" s="268"/>
      <c r="H1698" s="268"/>
      <c r="I1698" s="268"/>
      <c r="J1698" s="273"/>
      <c r="K1698" s="268"/>
      <c r="L1698" s="268"/>
      <c r="M1698" s="268"/>
      <c r="N1698" s="269"/>
      <c r="O1698" s="547"/>
      <c r="P1698" s="547"/>
    </row>
    <row r="1699" spans="1:16" ht="12.75">
      <c r="A1699" s="271"/>
      <c r="B1699" s="268"/>
      <c r="C1699" s="268"/>
      <c r="D1699" s="268"/>
      <c r="E1699" s="273"/>
      <c r="F1699" s="270"/>
      <c r="G1699" s="268"/>
      <c r="H1699" s="268"/>
      <c r="I1699" s="268"/>
      <c r="J1699" s="273"/>
      <c r="K1699" s="268"/>
      <c r="L1699" s="268"/>
      <c r="M1699" s="268"/>
      <c r="N1699" s="269"/>
      <c r="O1699" s="547"/>
      <c r="P1699" s="547"/>
    </row>
    <row r="1700" spans="1:16" ht="12.75">
      <c r="A1700" s="271"/>
      <c r="B1700" s="268"/>
      <c r="C1700" s="268"/>
      <c r="D1700" s="268"/>
      <c r="E1700" s="273"/>
      <c r="F1700" s="270"/>
      <c r="G1700" s="268"/>
      <c r="H1700" s="268"/>
      <c r="I1700" s="268"/>
      <c r="J1700" s="273"/>
      <c r="K1700" s="268"/>
      <c r="L1700" s="268"/>
      <c r="M1700" s="268"/>
      <c r="N1700" s="269"/>
      <c r="O1700" s="547"/>
      <c r="P1700" s="547"/>
    </row>
    <row r="1701" spans="1:16" ht="12.75">
      <c r="A1701" s="271"/>
      <c r="B1701" s="268"/>
      <c r="C1701" s="268"/>
      <c r="D1701" s="268"/>
      <c r="E1701" s="273"/>
      <c r="F1701" s="270"/>
      <c r="G1701" s="268"/>
      <c r="H1701" s="268"/>
      <c r="I1701" s="268"/>
      <c r="J1701" s="273"/>
      <c r="K1701" s="268"/>
      <c r="L1701" s="268"/>
      <c r="M1701" s="268"/>
      <c r="N1701" s="269"/>
      <c r="O1701" s="547"/>
      <c r="P1701" s="547"/>
    </row>
    <row r="1702" spans="1:16" ht="12.75">
      <c r="A1702" s="271"/>
      <c r="B1702" s="268"/>
      <c r="C1702" s="268"/>
      <c r="D1702" s="268"/>
      <c r="E1702" s="273"/>
      <c r="F1702" s="270"/>
      <c r="G1702" s="268"/>
      <c r="H1702" s="268"/>
      <c r="I1702" s="268"/>
      <c r="J1702" s="273"/>
      <c r="K1702" s="268"/>
      <c r="L1702" s="268"/>
      <c r="M1702" s="268"/>
      <c r="N1702" s="269"/>
      <c r="O1702" s="547"/>
      <c r="P1702" s="547"/>
    </row>
    <row r="1703" spans="1:16" ht="12.75">
      <c r="A1703" s="271"/>
      <c r="B1703" s="268"/>
      <c r="C1703" s="268"/>
      <c r="D1703" s="268"/>
      <c r="E1703" s="273"/>
      <c r="F1703" s="270"/>
      <c r="G1703" s="268"/>
      <c r="H1703" s="268"/>
      <c r="I1703" s="268"/>
      <c r="J1703" s="273"/>
      <c r="K1703" s="268"/>
      <c r="L1703" s="268"/>
      <c r="M1703" s="268"/>
      <c r="N1703" s="269"/>
      <c r="O1703" s="547"/>
      <c r="P1703" s="547"/>
    </row>
    <row r="1704" spans="1:16" ht="12.75">
      <c r="A1704" s="271"/>
      <c r="B1704" s="268"/>
      <c r="C1704" s="268"/>
      <c r="D1704" s="268"/>
      <c r="E1704" s="273"/>
      <c r="F1704" s="270"/>
      <c r="G1704" s="268"/>
      <c r="H1704" s="268"/>
      <c r="I1704" s="268"/>
      <c r="J1704" s="273"/>
      <c r="K1704" s="268"/>
      <c r="L1704" s="268"/>
      <c r="M1704" s="268"/>
      <c r="N1704" s="269"/>
      <c r="O1704" s="547"/>
      <c r="P1704" s="547"/>
    </row>
    <row r="1705" spans="1:16" ht="12.75">
      <c r="A1705" s="271"/>
      <c r="B1705" s="268"/>
      <c r="C1705" s="268"/>
      <c r="D1705" s="268"/>
      <c r="E1705" s="273"/>
      <c r="F1705" s="270"/>
      <c r="G1705" s="268"/>
      <c r="H1705" s="268"/>
      <c r="I1705" s="268"/>
      <c r="J1705" s="273"/>
      <c r="K1705" s="268"/>
      <c r="L1705" s="268"/>
      <c r="M1705" s="268"/>
      <c r="N1705" s="269"/>
      <c r="O1705" s="547"/>
      <c r="P1705" s="547"/>
    </row>
    <row r="1706" spans="1:16" ht="12.75">
      <c r="A1706" s="271"/>
      <c r="B1706" s="268"/>
      <c r="C1706" s="268"/>
      <c r="D1706" s="268"/>
      <c r="E1706" s="273"/>
      <c r="F1706" s="270"/>
      <c r="G1706" s="268"/>
      <c r="H1706" s="268"/>
      <c r="I1706" s="268"/>
      <c r="J1706" s="273"/>
      <c r="K1706" s="268"/>
      <c r="L1706" s="268"/>
      <c r="M1706" s="268"/>
      <c r="N1706" s="269"/>
      <c r="O1706" s="547"/>
      <c r="P1706" s="547"/>
    </row>
    <row r="1707" spans="1:16" ht="12.75">
      <c r="A1707" s="271"/>
      <c r="B1707" s="268"/>
      <c r="C1707" s="268"/>
      <c r="D1707" s="268"/>
      <c r="E1707" s="273"/>
      <c r="F1707" s="270"/>
      <c r="G1707" s="268"/>
      <c r="H1707" s="268"/>
      <c r="I1707" s="268"/>
      <c r="J1707" s="273"/>
      <c r="K1707" s="268"/>
      <c r="L1707" s="268"/>
      <c r="M1707" s="268"/>
      <c r="N1707" s="269"/>
      <c r="O1707" s="547"/>
      <c r="P1707" s="547"/>
    </row>
    <row r="1708" spans="1:16" ht="12.75">
      <c r="A1708" s="271"/>
      <c r="B1708" s="268"/>
      <c r="C1708" s="268"/>
      <c r="D1708" s="268"/>
      <c r="E1708" s="273"/>
      <c r="F1708" s="270"/>
      <c r="G1708" s="268"/>
      <c r="H1708" s="268"/>
      <c r="I1708" s="268"/>
      <c r="J1708" s="273"/>
      <c r="K1708" s="268"/>
      <c r="L1708" s="268"/>
      <c r="M1708" s="268"/>
      <c r="N1708" s="269"/>
      <c r="O1708" s="547"/>
      <c r="P1708" s="547"/>
    </row>
    <row r="1709" spans="1:16" ht="12.75">
      <c r="A1709" s="271"/>
      <c r="B1709" s="268"/>
      <c r="C1709" s="268"/>
      <c r="D1709" s="268"/>
      <c r="E1709" s="273"/>
      <c r="F1709" s="270"/>
      <c r="G1709" s="268"/>
      <c r="H1709" s="268"/>
      <c r="I1709" s="268"/>
      <c r="J1709" s="273"/>
      <c r="K1709" s="268"/>
      <c r="L1709" s="268"/>
      <c r="M1709" s="268"/>
      <c r="N1709" s="269"/>
      <c r="O1709" s="547"/>
      <c r="P1709" s="547"/>
    </row>
    <row r="1710" spans="1:16" ht="12.75">
      <c r="A1710" s="271"/>
      <c r="B1710" s="268"/>
      <c r="C1710" s="268"/>
      <c r="D1710" s="268"/>
      <c r="E1710" s="273"/>
      <c r="F1710" s="270"/>
      <c r="G1710" s="268"/>
      <c r="H1710" s="268"/>
      <c r="I1710" s="268"/>
      <c r="J1710" s="273"/>
      <c r="K1710" s="268"/>
      <c r="L1710" s="268"/>
      <c r="M1710" s="268"/>
      <c r="N1710" s="269"/>
      <c r="O1710" s="547"/>
      <c r="P1710" s="547"/>
    </row>
    <row r="1711" spans="1:16" ht="12.75">
      <c r="A1711" s="271"/>
      <c r="B1711" s="268"/>
      <c r="C1711" s="268"/>
      <c r="D1711" s="268"/>
      <c r="E1711" s="273"/>
      <c r="F1711" s="270"/>
      <c r="G1711" s="268"/>
      <c r="H1711" s="268"/>
      <c r="I1711" s="268"/>
      <c r="J1711" s="273"/>
      <c r="K1711" s="268"/>
      <c r="L1711" s="268"/>
      <c r="M1711" s="268"/>
      <c r="N1711" s="269"/>
      <c r="O1711" s="547"/>
      <c r="P1711" s="547"/>
    </row>
    <row r="1712" spans="1:16" ht="12.75">
      <c r="A1712" s="271"/>
      <c r="B1712" s="268"/>
      <c r="C1712" s="268"/>
      <c r="D1712" s="268"/>
      <c r="E1712" s="273"/>
      <c r="F1712" s="270"/>
      <c r="G1712" s="268"/>
      <c r="H1712" s="268"/>
      <c r="I1712" s="268"/>
      <c r="J1712" s="273"/>
      <c r="K1712" s="268"/>
      <c r="L1712" s="268"/>
      <c r="M1712" s="268"/>
      <c r="N1712" s="269"/>
      <c r="O1712" s="547"/>
      <c r="P1712" s="547"/>
    </row>
  </sheetData>
  <autoFilter ref="A1:P960"/>
  <customSheetViews>
    <customSheetView guid="{5BFFE4F1-6512-4A43-A6E8-8E8A72197DCC}" filter="1" showAutoFilter="1">
      <pageMargins left="0.7" right="0.7" top="0.75" bottom="0.75" header="0.3" footer="0.3"/>
      <autoFilter ref="A1:AB1230"/>
    </customSheetView>
    <customSheetView guid="{B0D94C60-A0E6-43E3-ABE0-6CB936F0E9A4}" filter="1" showAutoFilter="1">
      <pageMargins left="0.7" right="0.7" top="0.75" bottom="0.75" header="0.3" footer="0.3"/>
      <autoFilter ref="A1:AB985"/>
    </customSheetView>
    <customSheetView guid="{F4C44891-1869-4B46-9876-D4A61EEFD6B7}" filter="1" showAutoFilter="1">
      <pageMargins left="0.7" right="0.7" top="0.75" bottom="0.75" header="0.3" footer="0.3"/>
      <autoFilter ref="A1:W744">
        <filterColumn colId="0">
          <filters>
            <filter val="Martha Marina Gutierrez Gomez"/>
          </filters>
        </filterColumn>
      </autoFilter>
    </customSheetView>
    <customSheetView guid="{443826B1-392E-4D1E-AC28-E0F1C71544E2}" filter="1" showAutoFilter="1">
      <pageMargins left="0.7" right="0.7" top="0.75" bottom="0.75" header="0.3" footer="0.3"/>
      <autoFilter ref="A1:W1012"/>
    </customSheetView>
  </customSheetViews>
  <conditionalFormatting sqref="I749:J749 I751:J805 I807:J808 I812:J818 I821:J841 I843:J891 I893:J895 I897:J1712 I1:J747">
    <cfRule type="containsText" dxfId="95" priority="7" operator="containsText" text="7008146">
      <formula>NOT(ISERROR(SEARCH(("7008146"),(I1))))</formula>
    </cfRule>
  </conditionalFormatting>
  <conditionalFormatting sqref="I749:J749 I751:J805 I807:J808 I812:J818 I821:J841 I843:J891 I893:J895 I897:J1712 I1:J747">
    <cfRule type="containsText" dxfId="94" priority="8" operator="containsText" text="7008459">
      <formula>NOT(ISERROR(SEARCH(("7008459"),(I1))))</formula>
    </cfRule>
  </conditionalFormatting>
  <conditionalFormatting sqref="I749:J749 I751:J805 I807:J808 I812:J818 I821:J841 I843:J891 I893:J895 I897:J1712 I1:J747">
    <cfRule type="containsText" dxfId="93" priority="9" operator="containsText" text="7008147">
      <formula>NOT(ISERROR(SEARCH(("7008147"),(I1))))</formula>
    </cfRule>
  </conditionalFormatting>
  <conditionalFormatting sqref="I516:J516">
    <cfRule type="containsText" dxfId="92" priority="10" operator="containsText" text="7008151">
      <formula>NOT(ISERROR(SEARCH(("7008151"),(I516))))</formula>
    </cfRule>
  </conditionalFormatting>
  <pageMargins left="0.7" right="0.7" top="0.75" bottom="0.75" header="0.3" footer="0.3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E599"/>
    <outlinePr summaryBelow="0" summaryRight="0"/>
  </sheetPr>
  <dimension ref="A1:GZ792"/>
  <sheetViews>
    <sheetView workbookViewId="0"/>
  </sheetViews>
  <sheetFormatPr baseColWidth="10" defaultColWidth="12.5703125" defaultRowHeight="15.75" customHeight="1"/>
  <cols>
    <col min="1" max="1" width="4.85546875" customWidth="1"/>
    <col min="2" max="2" width="28.7109375" customWidth="1"/>
    <col min="3" max="3" width="10.28515625" customWidth="1"/>
    <col min="4" max="4" width="14.28515625" customWidth="1"/>
    <col min="5" max="5" width="26.7109375" customWidth="1"/>
    <col min="6" max="6" width="21.5703125" customWidth="1"/>
    <col min="7" max="7" width="6.28515625" customWidth="1"/>
    <col min="8" max="8" width="4.5703125" customWidth="1"/>
    <col min="9" max="9" width="14.5703125" customWidth="1"/>
    <col min="10" max="10" width="8.42578125" customWidth="1"/>
    <col min="11" max="11" width="10.85546875" customWidth="1"/>
    <col min="12" max="12" width="3.85546875" customWidth="1"/>
    <col min="13" max="13" width="10.140625" customWidth="1"/>
    <col min="14" max="14" width="6.42578125" customWidth="1"/>
    <col min="15" max="15" width="16.28515625" customWidth="1"/>
    <col min="16" max="16" width="8.5703125" customWidth="1"/>
    <col min="17" max="17" width="7.42578125" customWidth="1"/>
    <col min="18" max="18" width="10.140625" customWidth="1"/>
    <col min="19" max="19" width="10.42578125" customWidth="1"/>
    <col min="20" max="20" width="29.28515625" customWidth="1"/>
    <col min="21" max="21" width="15.28515625" customWidth="1"/>
    <col min="22" max="22" width="14" customWidth="1"/>
    <col min="23" max="23" width="12.140625" customWidth="1"/>
    <col min="24" max="208" width="47.7109375" customWidth="1"/>
  </cols>
  <sheetData>
    <row r="1" spans="1:208" ht="51" customHeight="1">
      <c r="A1" s="275" t="s">
        <v>4232</v>
      </c>
      <c r="B1" s="275" t="s">
        <v>4233</v>
      </c>
      <c r="C1" s="275" t="s">
        <v>4234</v>
      </c>
      <c r="D1" s="275" t="s">
        <v>4235</v>
      </c>
      <c r="E1" s="275" t="s">
        <v>0</v>
      </c>
      <c r="F1" s="275" t="s">
        <v>4236</v>
      </c>
      <c r="G1" s="275" t="s">
        <v>4237</v>
      </c>
      <c r="H1" s="276" t="s">
        <v>9</v>
      </c>
      <c r="I1" s="275" t="s">
        <v>4238</v>
      </c>
      <c r="J1" s="275" t="s">
        <v>4239</v>
      </c>
      <c r="K1" s="275" t="s">
        <v>4240</v>
      </c>
      <c r="L1" s="275" t="s">
        <v>4241</v>
      </c>
      <c r="M1" s="277" t="s">
        <v>4242</v>
      </c>
      <c r="N1" s="275" t="s">
        <v>4243</v>
      </c>
      <c r="O1" s="278" t="s">
        <v>4244</v>
      </c>
      <c r="P1" s="275" t="s">
        <v>4245</v>
      </c>
      <c r="Q1" s="275" t="s">
        <v>3425</v>
      </c>
      <c r="R1" s="275" t="s">
        <v>4246</v>
      </c>
      <c r="S1" s="276" t="s">
        <v>19</v>
      </c>
      <c r="T1" s="275" t="s">
        <v>4247</v>
      </c>
      <c r="U1" s="275" t="s">
        <v>4248</v>
      </c>
      <c r="V1" s="275"/>
      <c r="W1" s="275"/>
      <c r="X1" s="275"/>
      <c r="Y1" s="275"/>
      <c r="Z1" s="279"/>
      <c r="AA1" s="279"/>
      <c r="AB1" s="279"/>
      <c r="AC1" s="279"/>
      <c r="AD1" s="279"/>
      <c r="AE1" s="279"/>
      <c r="AF1" s="279"/>
      <c r="AG1" s="279"/>
      <c r="AH1" s="279"/>
      <c r="AI1" s="279"/>
      <c r="AJ1" s="279"/>
      <c r="AK1" s="279"/>
      <c r="AL1" s="279"/>
      <c r="AM1" s="279"/>
      <c r="AN1" s="279"/>
      <c r="AO1" s="279"/>
      <c r="AP1" s="279"/>
      <c r="AQ1" s="279"/>
      <c r="AR1" s="279"/>
      <c r="AS1" s="279"/>
      <c r="AT1" s="279"/>
      <c r="AU1" s="279"/>
      <c r="AV1" s="279"/>
      <c r="AW1" s="279"/>
      <c r="AX1" s="279"/>
      <c r="AY1" s="279"/>
      <c r="AZ1" s="279"/>
      <c r="BA1" s="279"/>
      <c r="BB1" s="279"/>
      <c r="BC1" s="279"/>
      <c r="BD1" s="279"/>
      <c r="BE1" s="279"/>
      <c r="BF1" s="279"/>
      <c r="BG1" s="279"/>
      <c r="BH1" s="279"/>
      <c r="BI1" s="279"/>
      <c r="BJ1" s="279"/>
      <c r="BK1" s="279"/>
      <c r="BL1" s="279"/>
      <c r="BM1" s="279"/>
      <c r="BN1" s="279"/>
      <c r="BO1" s="279"/>
      <c r="BP1" s="279"/>
      <c r="BQ1" s="279"/>
      <c r="BR1" s="279"/>
      <c r="BS1" s="279"/>
      <c r="BT1" s="279"/>
      <c r="BU1" s="279"/>
      <c r="BV1" s="279"/>
      <c r="BW1" s="279"/>
      <c r="BX1" s="279"/>
      <c r="BY1" s="279"/>
      <c r="BZ1" s="279"/>
      <c r="CA1" s="279"/>
      <c r="CB1" s="279"/>
      <c r="CC1" s="279"/>
      <c r="CD1" s="279"/>
      <c r="CE1" s="279"/>
      <c r="CF1" s="279"/>
      <c r="CG1" s="279"/>
      <c r="CH1" s="279"/>
      <c r="CI1" s="279"/>
      <c r="CJ1" s="279"/>
      <c r="CK1" s="279"/>
      <c r="CL1" s="279"/>
      <c r="CM1" s="279"/>
      <c r="CN1" s="279"/>
      <c r="CO1" s="279"/>
      <c r="CP1" s="279"/>
      <c r="CQ1" s="279"/>
      <c r="CR1" s="279"/>
      <c r="CS1" s="279"/>
      <c r="CT1" s="279"/>
      <c r="CU1" s="279"/>
      <c r="CV1" s="279"/>
      <c r="CW1" s="279"/>
      <c r="CX1" s="279"/>
      <c r="CY1" s="279"/>
      <c r="CZ1" s="279"/>
      <c r="DA1" s="279"/>
      <c r="DB1" s="279"/>
      <c r="DC1" s="279"/>
      <c r="DD1" s="279"/>
      <c r="DE1" s="279"/>
      <c r="DF1" s="279"/>
      <c r="DG1" s="279"/>
      <c r="DH1" s="279"/>
      <c r="DI1" s="279"/>
      <c r="DJ1" s="279"/>
      <c r="DK1" s="279"/>
      <c r="DL1" s="279"/>
      <c r="DM1" s="279"/>
      <c r="DN1" s="279"/>
      <c r="DO1" s="279"/>
      <c r="DP1" s="279"/>
      <c r="DQ1" s="279"/>
      <c r="DR1" s="279"/>
      <c r="DS1" s="279"/>
      <c r="DT1" s="279"/>
      <c r="DU1" s="279"/>
      <c r="DV1" s="279"/>
      <c r="DW1" s="279"/>
      <c r="DX1" s="279"/>
      <c r="DY1" s="279"/>
      <c r="DZ1" s="279"/>
      <c r="EA1" s="279"/>
      <c r="EB1" s="279"/>
      <c r="EC1" s="279"/>
      <c r="ED1" s="279"/>
      <c r="EE1" s="279"/>
      <c r="EF1" s="279"/>
      <c r="EG1" s="279"/>
      <c r="EH1" s="279"/>
      <c r="EI1" s="279"/>
      <c r="EJ1" s="279"/>
      <c r="EK1" s="279"/>
      <c r="EL1" s="279"/>
      <c r="EM1" s="279"/>
      <c r="EN1" s="279"/>
      <c r="EO1" s="279"/>
      <c r="EP1" s="279"/>
      <c r="EQ1" s="279"/>
      <c r="ER1" s="279"/>
      <c r="ES1" s="279"/>
      <c r="ET1" s="279"/>
      <c r="EU1" s="279"/>
      <c r="EV1" s="279"/>
      <c r="EW1" s="279"/>
      <c r="EX1" s="279"/>
      <c r="EY1" s="279"/>
      <c r="EZ1" s="279"/>
      <c r="FA1" s="279"/>
      <c r="FB1" s="279"/>
      <c r="FC1" s="279"/>
      <c r="FD1" s="279"/>
      <c r="FE1" s="279"/>
      <c r="FF1" s="279"/>
      <c r="FG1" s="279"/>
      <c r="FH1" s="279"/>
      <c r="FI1" s="279"/>
      <c r="FJ1" s="279"/>
      <c r="FK1" s="279"/>
      <c r="FL1" s="279"/>
      <c r="FM1" s="279"/>
      <c r="FN1" s="279"/>
      <c r="FO1" s="279"/>
      <c r="FP1" s="279"/>
      <c r="FQ1" s="279"/>
      <c r="FR1" s="279"/>
      <c r="FS1" s="279"/>
      <c r="FT1" s="279"/>
      <c r="FU1" s="279"/>
      <c r="FV1" s="279"/>
      <c r="FW1" s="279"/>
      <c r="FX1" s="279"/>
      <c r="FY1" s="279"/>
      <c r="FZ1" s="279"/>
      <c r="GA1" s="279"/>
      <c r="GB1" s="279"/>
      <c r="GC1" s="279"/>
      <c r="GD1" s="279"/>
      <c r="GE1" s="279"/>
      <c r="GF1" s="279"/>
      <c r="GG1" s="279"/>
      <c r="GH1" s="279"/>
      <c r="GI1" s="279"/>
      <c r="GJ1" s="279"/>
      <c r="GK1" s="279"/>
      <c r="GL1" s="279"/>
      <c r="GM1" s="279"/>
      <c r="GN1" s="279"/>
      <c r="GO1" s="279"/>
      <c r="GP1" s="279"/>
      <c r="GQ1" s="279"/>
      <c r="GR1" s="279"/>
      <c r="GS1" s="279"/>
      <c r="GT1" s="279"/>
      <c r="GU1" s="279"/>
      <c r="GV1" s="279"/>
      <c r="GW1" s="279"/>
      <c r="GX1" s="279"/>
      <c r="GY1" s="279"/>
      <c r="GZ1" s="279"/>
    </row>
    <row r="2" spans="1:208" ht="30">
      <c r="A2" s="280">
        <v>1</v>
      </c>
      <c r="B2" s="281">
        <v>44560</v>
      </c>
      <c r="C2" s="282">
        <v>1106184</v>
      </c>
      <c r="D2" s="282" t="s">
        <v>4249</v>
      </c>
      <c r="E2" s="282" t="s">
        <v>4250</v>
      </c>
      <c r="F2" s="282" t="s">
        <v>4251</v>
      </c>
      <c r="G2" s="282">
        <v>3185</v>
      </c>
      <c r="H2" s="282">
        <v>70</v>
      </c>
      <c r="I2" s="282">
        <v>4502244775</v>
      </c>
      <c r="J2" s="282">
        <v>3025457</v>
      </c>
      <c r="K2" s="282">
        <v>4902184561</v>
      </c>
      <c r="L2" s="282" t="s">
        <v>4252</v>
      </c>
      <c r="M2" s="283">
        <v>34001</v>
      </c>
      <c r="N2" s="282">
        <v>6850</v>
      </c>
      <c r="O2" s="284">
        <f t="shared" ref="O2:O9" si="0">M2*N2</f>
        <v>232906850</v>
      </c>
      <c r="P2" s="282">
        <v>5</v>
      </c>
      <c r="Q2" s="282" t="s">
        <v>3455</v>
      </c>
      <c r="R2" s="282">
        <v>1040968</v>
      </c>
      <c r="S2" s="282">
        <v>15232200</v>
      </c>
      <c r="T2" s="285"/>
      <c r="U2" s="285"/>
      <c r="V2" s="285"/>
      <c r="W2" s="285"/>
      <c r="X2" s="285"/>
      <c r="Y2" s="285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A2" s="286"/>
      <c r="BB2" s="286"/>
      <c r="BC2" s="286"/>
      <c r="BD2" s="286"/>
      <c r="BE2" s="286"/>
      <c r="BF2" s="286"/>
      <c r="BG2" s="286"/>
      <c r="BH2" s="286"/>
      <c r="BI2" s="286"/>
      <c r="BJ2" s="286"/>
      <c r="BK2" s="286"/>
      <c r="BL2" s="286"/>
      <c r="BM2" s="286"/>
      <c r="BN2" s="286"/>
      <c r="BO2" s="286"/>
      <c r="BP2" s="286"/>
      <c r="BQ2" s="286"/>
      <c r="BR2" s="286"/>
      <c r="BS2" s="286"/>
      <c r="BT2" s="286"/>
      <c r="BU2" s="286"/>
      <c r="BV2" s="286"/>
      <c r="BW2" s="286"/>
      <c r="BX2" s="286"/>
      <c r="BY2" s="286"/>
      <c r="BZ2" s="286"/>
      <c r="CA2" s="286"/>
      <c r="CB2" s="286"/>
      <c r="CC2" s="286"/>
      <c r="CD2" s="286"/>
      <c r="CE2" s="286"/>
      <c r="CF2" s="286"/>
      <c r="CG2" s="286"/>
      <c r="CH2" s="286"/>
      <c r="CI2" s="286"/>
      <c r="CJ2" s="286"/>
      <c r="CK2" s="286"/>
      <c r="CL2" s="286"/>
      <c r="CM2" s="286"/>
      <c r="CN2" s="286"/>
      <c r="CO2" s="286"/>
      <c r="CP2" s="286"/>
      <c r="CQ2" s="286"/>
      <c r="CR2" s="286"/>
      <c r="CS2" s="286"/>
      <c r="CT2" s="286"/>
      <c r="CU2" s="286"/>
      <c r="CV2" s="286"/>
      <c r="CW2" s="286"/>
      <c r="CX2" s="286"/>
      <c r="CY2" s="286"/>
      <c r="CZ2" s="286"/>
      <c r="DA2" s="286"/>
      <c r="DB2" s="286"/>
      <c r="DC2" s="286"/>
      <c r="DD2" s="286"/>
      <c r="DE2" s="286"/>
      <c r="DF2" s="286"/>
      <c r="DG2" s="286"/>
      <c r="DH2" s="286"/>
      <c r="DI2" s="286"/>
      <c r="DJ2" s="286"/>
      <c r="DK2" s="286"/>
      <c r="DL2" s="286"/>
      <c r="DM2" s="286"/>
      <c r="DN2" s="286"/>
      <c r="DO2" s="286"/>
      <c r="DP2" s="286"/>
      <c r="DQ2" s="286"/>
      <c r="DR2" s="286"/>
      <c r="DS2" s="286"/>
      <c r="DT2" s="286"/>
      <c r="DU2" s="286"/>
      <c r="DV2" s="286"/>
      <c r="DW2" s="286"/>
      <c r="DX2" s="286"/>
      <c r="DY2" s="286"/>
      <c r="DZ2" s="286"/>
      <c r="EA2" s="286"/>
      <c r="EB2" s="286"/>
      <c r="EC2" s="286"/>
      <c r="ED2" s="286"/>
      <c r="EE2" s="286"/>
      <c r="EF2" s="286"/>
      <c r="EG2" s="286"/>
      <c r="EH2" s="286"/>
      <c r="EI2" s="286"/>
      <c r="EJ2" s="286"/>
      <c r="EK2" s="286"/>
      <c r="EL2" s="286"/>
      <c r="EM2" s="286"/>
      <c r="EN2" s="286"/>
      <c r="EO2" s="286"/>
      <c r="EP2" s="286"/>
      <c r="EQ2" s="286"/>
      <c r="ER2" s="286"/>
      <c r="ES2" s="286"/>
      <c r="ET2" s="286"/>
      <c r="EU2" s="286"/>
      <c r="EV2" s="286"/>
      <c r="EW2" s="286"/>
      <c r="EX2" s="286"/>
      <c r="EY2" s="286"/>
      <c r="EZ2" s="286"/>
      <c r="FA2" s="286"/>
      <c r="FB2" s="286"/>
      <c r="FC2" s="286"/>
      <c r="FD2" s="286"/>
      <c r="FE2" s="286"/>
      <c r="FF2" s="286"/>
      <c r="FG2" s="286"/>
      <c r="FH2" s="286"/>
      <c r="FI2" s="286"/>
      <c r="FJ2" s="286"/>
      <c r="FK2" s="286"/>
      <c r="FL2" s="286"/>
      <c r="FM2" s="286"/>
      <c r="FN2" s="286"/>
      <c r="FO2" s="286"/>
      <c r="FP2" s="286"/>
      <c r="FQ2" s="286"/>
      <c r="FR2" s="286"/>
      <c r="FS2" s="286"/>
      <c r="FT2" s="286"/>
      <c r="FU2" s="286"/>
      <c r="FV2" s="286"/>
      <c r="FW2" s="286"/>
      <c r="FX2" s="286"/>
      <c r="FY2" s="286"/>
      <c r="FZ2" s="286"/>
      <c r="GA2" s="286"/>
      <c r="GB2" s="286"/>
      <c r="GC2" s="286"/>
      <c r="GD2" s="286"/>
      <c r="GE2" s="286"/>
      <c r="GF2" s="286"/>
      <c r="GG2" s="286"/>
      <c r="GH2" s="286"/>
      <c r="GI2" s="286"/>
      <c r="GJ2" s="286"/>
      <c r="GK2" s="286"/>
      <c r="GL2" s="286"/>
      <c r="GM2" s="286"/>
      <c r="GN2" s="286"/>
      <c r="GO2" s="286"/>
      <c r="GP2" s="286"/>
      <c r="GQ2" s="286"/>
      <c r="GR2" s="286"/>
      <c r="GS2" s="286"/>
      <c r="GT2" s="286"/>
      <c r="GU2" s="286"/>
      <c r="GV2" s="286"/>
      <c r="GW2" s="286"/>
      <c r="GX2" s="286"/>
      <c r="GY2" s="286"/>
      <c r="GZ2" s="286"/>
    </row>
    <row r="3" spans="1:208" ht="30">
      <c r="A3" s="280">
        <v>1</v>
      </c>
      <c r="B3" s="281">
        <v>44561</v>
      </c>
      <c r="C3" s="282">
        <v>1096824</v>
      </c>
      <c r="D3" s="282" t="s">
        <v>4253</v>
      </c>
      <c r="E3" s="282" t="s">
        <v>4254</v>
      </c>
      <c r="F3" s="282" t="s">
        <v>4251</v>
      </c>
      <c r="G3" s="282">
        <v>3187</v>
      </c>
      <c r="H3" s="282">
        <v>56</v>
      </c>
      <c r="I3" s="282">
        <v>4502245664</v>
      </c>
      <c r="J3" s="282">
        <v>3025457</v>
      </c>
      <c r="K3" s="282">
        <v>4902185384</v>
      </c>
      <c r="L3" s="282" t="s">
        <v>4252</v>
      </c>
      <c r="M3" s="283">
        <v>26523</v>
      </c>
      <c r="N3" s="282">
        <v>6800</v>
      </c>
      <c r="O3" s="284">
        <f t="shared" si="0"/>
        <v>180356400</v>
      </c>
      <c r="P3" s="282">
        <v>4</v>
      </c>
      <c r="Q3" s="282" t="s">
        <v>3455</v>
      </c>
      <c r="R3" s="282">
        <v>1040968</v>
      </c>
      <c r="S3" s="282">
        <v>13130400</v>
      </c>
      <c r="T3" s="285"/>
      <c r="U3" s="285"/>
      <c r="V3" s="285"/>
      <c r="W3" s="285"/>
      <c r="X3" s="285"/>
      <c r="Y3" s="285"/>
      <c r="Z3" s="286"/>
      <c r="AA3" s="286"/>
      <c r="AB3" s="286"/>
      <c r="AC3" s="286"/>
      <c r="AD3" s="286"/>
      <c r="AE3" s="286"/>
      <c r="AF3" s="286"/>
      <c r="AG3" s="286"/>
      <c r="AH3" s="286"/>
      <c r="AI3" s="286"/>
      <c r="AJ3" s="286"/>
      <c r="AK3" s="286"/>
      <c r="AL3" s="286"/>
      <c r="AM3" s="286"/>
      <c r="AN3" s="286"/>
      <c r="AO3" s="286"/>
      <c r="AP3" s="286"/>
      <c r="AQ3" s="286"/>
      <c r="AR3" s="286"/>
      <c r="AS3" s="286"/>
      <c r="AT3" s="286"/>
      <c r="AU3" s="286"/>
      <c r="AV3" s="286"/>
      <c r="AW3" s="286"/>
      <c r="AX3" s="286"/>
      <c r="AY3" s="286"/>
      <c r="AZ3" s="286"/>
      <c r="BA3" s="286"/>
      <c r="BB3" s="286"/>
      <c r="BC3" s="286"/>
      <c r="BD3" s="286"/>
      <c r="BE3" s="286"/>
      <c r="BF3" s="286"/>
      <c r="BG3" s="286"/>
      <c r="BH3" s="286"/>
      <c r="BI3" s="286"/>
      <c r="BJ3" s="286"/>
      <c r="BK3" s="286"/>
      <c r="BL3" s="286"/>
      <c r="BM3" s="286"/>
      <c r="BN3" s="286"/>
      <c r="BO3" s="286"/>
      <c r="BP3" s="286"/>
      <c r="BQ3" s="286"/>
      <c r="BR3" s="286"/>
      <c r="BS3" s="286"/>
      <c r="BT3" s="286"/>
      <c r="BU3" s="286"/>
      <c r="BV3" s="286"/>
      <c r="BW3" s="286"/>
      <c r="BX3" s="286"/>
      <c r="BY3" s="286"/>
      <c r="BZ3" s="286"/>
      <c r="CA3" s="286"/>
      <c r="CB3" s="286"/>
      <c r="CC3" s="286"/>
      <c r="CD3" s="286"/>
      <c r="CE3" s="286"/>
      <c r="CF3" s="286"/>
      <c r="CG3" s="286"/>
      <c r="CH3" s="286"/>
      <c r="CI3" s="286"/>
      <c r="CJ3" s="286"/>
      <c r="CK3" s="286"/>
      <c r="CL3" s="286"/>
      <c r="CM3" s="286"/>
      <c r="CN3" s="286"/>
      <c r="CO3" s="286"/>
      <c r="CP3" s="286"/>
      <c r="CQ3" s="286"/>
      <c r="CR3" s="286"/>
      <c r="CS3" s="286"/>
      <c r="CT3" s="286"/>
      <c r="CU3" s="286"/>
      <c r="CV3" s="286"/>
      <c r="CW3" s="286"/>
      <c r="CX3" s="286"/>
      <c r="CY3" s="286"/>
      <c r="CZ3" s="286"/>
      <c r="DA3" s="286"/>
      <c r="DB3" s="286"/>
      <c r="DC3" s="286"/>
      <c r="DD3" s="286"/>
      <c r="DE3" s="286"/>
      <c r="DF3" s="286"/>
      <c r="DG3" s="286"/>
      <c r="DH3" s="286"/>
      <c r="DI3" s="286"/>
      <c r="DJ3" s="286"/>
      <c r="DK3" s="286"/>
      <c r="DL3" s="286"/>
      <c r="DM3" s="286"/>
      <c r="DN3" s="286"/>
      <c r="DO3" s="286"/>
      <c r="DP3" s="286"/>
      <c r="DQ3" s="286"/>
      <c r="DR3" s="286"/>
      <c r="DS3" s="286"/>
      <c r="DT3" s="286"/>
      <c r="DU3" s="286"/>
      <c r="DV3" s="286"/>
      <c r="DW3" s="286"/>
      <c r="DX3" s="286"/>
      <c r="DY3" s="286"/>
      <c r="DZ3" s="286"/>
      <c r="EA3" s="286"/>
      <c r="EB3" s="286"/>
      <c r="EC3" s="286"/>
      <c r="ED3" s="286"/>
      <c r="EE3" s="286"/>
      <c r="EF3" s="286"/>
      <c r="EG3" s="286"/>
      <c r="EH3" s="286"/>
      <c r="EI3" s="286"/>
      <c r="EJ3" s="286"/>
      <c r="EK3" s="286"/>
      <c r="EL3" s="286"/>
      <c r="EM3" s="286"/>
      <c r="EN3" s="286"/>
      <c r="EO3" s="286"/>
      <c r="EP3" s="286"/>
      <c r="EQ3" s="286"/>
      <c r="ER3" s="286"/>
      <c r="ES3" s="286"/>
      <c r="ET3" s="286"/>
      <c r="EU3" s="286"/>
      <c r="EV3" s="286"/>
      <c r="EW3" s="286"/>
      <c r="EX3" s="286"/>
      <c r="EY3" s="286"/>
      <c r="EZ3" s="286"/>
      <c r="FA3" s="286"/>
      <c r="FB3" s="286"/>
      <c r="FC3" s="286"/>
      <c r="FD3" s="286"/>
      <c r="FE3" s="286"/>
      <c r="FF3" s="286"/>
      <c r="FG3" s="286"/>
      <c r="FH3" s="286"/>
      <c r="FI3" s="286"/>
      <c r="FJ3" s="286"/>
      <c r="FK3" s="286"/>
      <c r="FL3" s="286"/>
      <c r="FM3" s="286"/>
      <c r="FN3" s="286"/>
      <c r="FO3" s="286"/>
      <c r="FP3" s="286"/>
      <c r="FQ3" s="286"/>
      <c r="FR3" s="286"/>
      <c r="FS3" s="286"/>
      <c r="FT3" s="286"/>
      <c r="FU3" s="286"/>
      <c r="FV3" s="286"/>
      <c r="FW3" s="286"/>
      <c r="FX3" s="286"/>
      <c r="FY3" s="286"/>
      <c r="FZ3" s="286"/>
      <c r="GA3" s="286"/>
      <c r="GB3" s="286"/>
      <c r="GC3" s="286"/>
      <c r="GD3" s="286"/>
      <c r="GE3" s="286"/>
      <c r="GF3" s="286"/>
      <c r="GG3" s="286"/>
      <c r="GH3" s="286"/>
      <c r="GI3" s="286"/>
      <c r="GJ3" s="286"/>
      <c r="GK3" s="286"/>
      <c r="GL3" s="286"/>
      <c r="GM3" s="286"/>
      <c r="GN3" s="286"/>
      <c r="GO3" s="286"/>
      <c r="GP3" s="286"/>
      <c r="GQ3" s="286"/>
      <c r="GR3" s="286"/>
      <c r="GS3" s="286"/>
      <c r="GT3" s="286"/>
      <c r="GU3" s="286"/>
      <c r="GV3" s="286"/>
      <c r="GW3" s="286"/>
      <c r="GX3" s="286"/>
      <c r="GY3" s="286"/>
      <c r="GZ3" s="286"/>
    </row>
    <row r="4" spans="1:208" ht="30">
      <c r="A4" s="280">
        <v>1</v>
      </c>
      <c r="B4" s="281">
        <v>44561</v>
      </c>
      <c r="C4" s="282">
        <v>1109669</v>
      </c>
      <c r="D4" s="282" t="s">
        <v>4255</v>
      </c>
      <c r="E4" s="282" t="s">
        <v>4256</v>
      </c>
      <c r="F4" s="282" t="s">
        <v>4251</v>
      </c>
      <c r="G4" s="282">
        <v>3186</v>
      </c>
      <c r="H4" s="282">
        <v>70</v>
      </c>
      <c r="I4" s="282">
        <v>4502245665</v>
      </c>
      <c r="J4" s="282">
        <v>3025457</v>
      </c>
      <c r="K4" s="282">
        <v>4902185385</v>
      </c>
      <c r="L4" s="282" t="s">
        <v>4252</v>
      </c>
      <c r="M4" s="283">
        <v>35136</v>
      </c>
      <c r="N4" s="282">
        <v>6850</v>
      </c>
      <c r="O4" s="284">
        <f t="shared" si="0"/>
        <v>240681600</v>
      </c>
      <c r="P4" s="282">
        <v>5</v>
      </c>
      <c r="Q4" s="282" t="s">
        <v>3455</v>
      </c>
      <c r="R4" s="282">
        <v>1040968</v>
      </c>
      <c r="S4" s="282">
        <v>14896000</v>
      </c>
      <c r="T4" s="285"/>
      <c r="U4" s="285"/>
      <c r="V4" s="285"/>
      <c r="W4" s="285"/>
      <c r="X4" s="285"/>
      <c r="Y4" s="285"/>
      <c r="Z4" s="286"/>
      <c r="AA4" s="286"/>
      <c r="AB4" s="286"/>
      <c r="AC4" s="286"/>
      <c r="AD4" s="286"/>
      <c r="AE4" s="286"/>
      <c r="AF4" s="286"/>
      <c r="AG4" s="286"/>
      <c r="AH4" s="286"/>
      <c r="AI4" s="286"/>
      <c r="AJ4" s="286"/>
      <c r="AK4" s="286"/>
      <c r="AL4" s="286"/>
      <c r="AM4" s="286"/>
      <c r="AN4" s="286"/>
      <c r="AO4" s="286"/>
      <c r="AP4" s="286"/>
      <c r="AQ4" s="286"/>
      <c r="AR4" s="286"/>
      <c r="AS4" s="286"/>
      <c r="AT4" s="286"/>
      <c r="AU4" s="286"/>
      <c r="AV4" s="286"/>
      <c r="AW4" s="286"/>
      <c r="AX4" s="286"/>
      <c r="AY4" s="286"/>
      <c r="AZ4" s="286"/>
      <c r="BA4" s="286"/>
      <c r="BB4" s="286"/>
      <c r="BC4" s="286"/>
      <c r="BD4" s="286"/>
      <c r="BE4" s="286"/>
      <c r="BF4" s="286"/>
      <c r="BG4" s="286"/>
      <c r="BH4" s="286"/>
      <c r="BI4" s="286"/>
      <c r="BJ4" s="286"/>
      <c r="BK4" s="286"/>
      <c r="BL4" s="286"/>
      <c r="BM4" s="286"/>
      <c r="BN4" s="286"/>
      <c r="BO4" s="286"/>
      <c r="BP4" s="286"/>
      <c r="BQ4" s="286"/>
      <c r="BR4" s="286"/>
      <c r="BS4" s="286"/>
      <c r="BT4" s="286"/>
      <c r="BU4" s="286"/>
      <c r="BV4" s="286"/>
      <c r="BW4" s="286"/>
      <c r="BX4" s="286"/>
      <c r="BY4" s="286"/>
      <c r="BZ4" s="286"/>
      <c r="CA4" s="286"/>
      <c r="CB4" s="286"/>
      <c r="CC4" s="286"/>
      <c r="CD4" s="286"/>
      <c r="CE4" s="286"/>
      <c r="CF4" s="286"/>
      <c r="CG4" s="286"/>
      <c r="CH4" s="286"/>
      <c r="CI4" s="286"/>
      <c r="CJ4" s="286"/>
      <c r="CK4" s="286"/>
      <c r="CL4" s="286"/>
      <c r="CM4" s="286"/>
      <c r="CN4" s="286"/>
      <c r="CO4" s="286"/>
      <c r="CP4" s="286"/>
      <c r="CQ4" s="286"/>
      <c r="CR4" s="286"/>
      <c r="CS4" s="286"/>
      <c r="CT4" s="286"/>
      <c r="CU4" s="286"/>
      <c r="CV4" s="286"/>
      <c r="CW4" s="286"/>
      <c r="CX4" s="286"/>
      <c r="CY4" s="286"/>
      <c r="CZ4" s="286"/>
      <c r="DA4" s="286"/>
      <c r="DB4" s="286"/>
      <c r="DC4" s="286"/>
      <c r="DD4" s="286"/>
      <c r="DE4" s="286"/>
      <c r="DF4" s="286"/>
      <c r="DG4" s="286"/>
      <c r="DH4" s="286"/>
      <c r="DI4" s="286"/>
      <c r="DJ4" s="286"/>
      <c r="DK4" s="286"/>
      <c r="DL4" s="286"/>
      <c r="DM4" s="286"/>
      <c r="DN4" s="286"/>
      <c r="DO4" s="286"/>
      <c r="DP4" s="286"/>
      <c r="DQ4" s="286"/>
      <c r="DR4" s="286"/>
      <c r="DS4" s="286"/>
      <c r="DT4" s="286"/>
      <c r="DU4" s="286"/>
      <c r="DV4" s="286"/>
      <c r="DW4" s="286"/>
      <c r="DX4" s="286"/>
      <c r="DY4" s="286"/>
      <c r="DZ4" s="286"/>
      <c r="EA4" s="286"/>
      <c r="EB4" s="286"/>
      <c r="EC4" s="286"/>
      <c r="ED4" s="286"/>
      <c r="EE4" s="286"/>
      <c r="EF4" s="286"/>
      <c r="EG4" s="286"/>
      <c r="EH4" s="286"/>
      <c r="EI4" s="286"/>
      <c r="EJ4" s="286"/>
      <c r="EK4" s="286"/>
      <c r="EL4" s="286"/>
      <c r="EM4" s="286"/>
      <c r="EN4" s="286"/>
      <c r="EO4" s="286"/>
      <c r="EP4" s="286"/>
      <c r="EQ4" s="286"/>
      <c r="ER4" s="286"/>
      <c r="ES4" s="286"/>
      <c r="ET4" s="286"/>
      <c r="EU4" s="286"/>
      <c r="EV4" s="286"/>
      <c r="EW4" s="286"/>
      <c r="EX4" s="286"/>
      <c r="EY4" s="286"/>
      <c r="EZ4" s="286"/>
      <c r="FA4" s="286"/>
      <c r="FB4" s="286"/>
      <c r="FC4" s="286"/>
      <c r="FD4" s="286"/>
      <c r="FE4" s="286"/>
      <c r="FF4" s="286"/>
      <c r="FG4" s="286"/>
      <c r="FH4" s="286"/>
      <c r="FI4" s="286"/>
      <c r="FJ4" s="286"/>
      <c r="FK4" s="286"/>
      <c r="FL4" s="286"/>
      <c r="FM4" s="286"/>
      <c r="FN4" s="286"/>
      <c r="FO4" s="286"/>
      <c r="FP4" s="286"/>
      <c r="FQ4" s="286"/>
      <c r="FR4" s="286"/>
      <c r="FS4" s="286"/>
      <c r="FT4" s="286"/>
      <c r="FU4" s="286"/>
      <c r="FV4" s="286"/>
      <c r="FW4" s="286"/>
      <c r="FX4" s="286"/>
      <c r="FY4" s="286"/>
      <c r="FZ4" s="286"/>
      <c r="GA4" s="286"/>
      <c r="GB4" s="286"/>
      <c r="GC4" s="286"/>
      <c r="GD4" s="286"/>
      <c r="GE4" s="286"/>
      <c r="GF4" s="286"/>
      <c r="GG4" s="286"/>
      <c r="GH4" s="286"/>
      <c r="GI4" s="286"/>
      <c r="GJ4" s="286"/>
      <c r="GK4" s="286"/>
      <c r="GL4" s="286"/>
      <c r="GM4" s="286"/>
      <c r="GN4" s="286"/>
      <c r="GO4" s="286"/>
      <c r="GP4" s="286"/>
      <c r="GQ4" s="286"/>
      <c r="GR4" s="286"/>
      <c r="GS4" s="286"/>
      <c r="GT4" s="286"/>
      <c r="GU4" s="286"/>
      <c r="GV4" s="286"/>
      <c r="GW4" s="286"/>
      <c r="GX4" s="286"/>
      <c r="GY4" s="286"/>
      <c r="GZ4" s="286"/>
    </row>
    <row r="5" spans="1:208" ht="30">
      <c r="A5" s="280">
        <v>1</v>
      </c>
      <c r="B5" s="281">
        <v>44565</v>
      </c>
      <c r="C5" s="282">
        <v>1036751</v>
      </c>
      <c r="D5" s="282" t="s">
        <v>4257</v>
      </c>
      <c r="E5" s="282" t="s">
        <v>4258</v>
      </c>
      <c r="F5" s="282" t="s">
        <v>4251</v>
      </c>
      <c r="G5" s="282">
        <v>3180</v>
      </c>
      <c r="H5" s="282">
        <v>98</v>
      </c>
      <c r="I5" s="282">
        <v>4502244647</v>
      </c>
      <c r="J5" s="282">
        <v>3025457</v>
      </c>
      <c r="K5" s="282">
        <v>4902185387</v>
      </c>
      <c r="L5" s="282" t="s">
        <v>4252</v>
      </c>
      <c r="M5" s="283">
        <v>52532.432999999997</v>
      </c>
      <c r="N5" s="282">
        <v>7800</v>
      </c>
      <c r="O5" s="284">
        <f t="shared" si="0"/>
        <v>409752977.39999998</v>
      </c>
      <c r="P5" s="282">
        <v>7</v>
      </c>
      <c r="Q5" s="282" t="s">
        <v>3455</v>
      </c>
      <c r="R5" s="282">
        <v>1040968</v>
      </c>
      <c r="S5" s="282">
        <v>11390000</v>
      </c>
      <c r="T5" s="285"/>
      <c r="U5" s="285"/>
      <c r="V5" s="285"/>
      <c r="W5" s="285"/>
      <c r="X5" s="285"/>
      <c r="Y5" s="285"/>
      <c r="Z5" s="286"/>
      <c r="AA5" s="286"/>
      <c r="AB5" s="286"/>
      <c r="AC5" s="286"/>
      <c r="AD5" s="286"/>
      <c r="AE5" s="286"/>
      <c r="AF5" s="286"/>
      <c r="AG5" s="286"/>
      <c r="AH5" s="286"/>
      <c r="AI5" s="286"/>
      <c r="AJ5" s="286"/>
      <c r="AK5" s="286"/>
      <c r="AL5" s="286"/>
      <c r="AM5" s="286"/>
      <c r="AN5" s="286"/>
      <c r="AO5" s="286"/>
      <c r="AP5" s="286"/>
      <c r="AQ5" s="286"/>
      <c r="AR5" s="286"/>
      <c r="AS5" s="286"/>
      <c r="AT5" s="286"/>
      <c r="AU5" s="286"/>
      <c r="AV5" s="286"/>
      <c r="AW5" s="286"/>
      <c r="AX5" s="286"/>
      <c r="AY5" s="286"/>
      <c r="AZ5" s="286"/>
      <c r="BA5" s="286"/>
      <c r="BB5" s="286"/>
      <c r="BC5" s="286"/>
      <c r="BD5" s="286"/>
      <c r="BE5" s="286"/>
      <c r="BF5" s="286"/>
      <c r="BG5" s="286"/>
      <c r="BH5" s="286"/>
      <c r="BI5" s="286"/>
      <c r="BJ5" s="286"/>
      <c r="BK5" s="286"/>
      <c r="BL5" s="286"/>
      <c r="BM5" s="286"/>
      <c r="BN5" s="286"/>
      <c r="BO5" s="286"/>
      <c r="BP5" s="286"/>
      <c r="BQ5" s="286"/>
      <c r="BR5" s="286"/>
      <c r="BS5" s="286"/>
      <c r="BT5" s="286"/>
      <c r="BU5" s="286"/>
      <c r="BV5" s="286"/>
      <c r="BW5" s="286"/>
      <c r="BX5" s="286"/>
      <c r="BY5" s="286"/>
      <c r="BZ5" s="286"/>
      <c r="CA5" s="286"/>
      <c r="CB5" s="286"/>
      <c r="CC5" s="286"/>
      <c r="CD5" s="286"/>
      <c r="CE5" s="286"/>
      <c r="CF5" s="286"/>
      <c r="CG5" s="286"/>
      <c r="CH5" s="286"/>
      <c r="CI5" s="286"/>
      <c r="CJ5" s="286"/>
      <c r="CK5" s="286"/>
      <c r="CL5" s="286"/>
      <c r="CM5" s="286"/>
      <c r="CN5" s="286"/>
      <c r="CO5" s="286"/>
      <c r="CP5" s="286"/>
      <c r="CQ5" s="286"/>
      <c r="CR5" s="286"/>
      <c r="CS5" s="286"/>
      <c r="CT5" s="286"/>
      <c r="CU5" s="286"/>
      <c r="CV5" s="286"/>
      <c r="CW5" s="286"/>
      <c r="CX5" s="286"/>
      <c r="CY5" s="286"/>
      <c r="CZ5" s="286"/>
      <c r="DA5" s="286"/>
      <c r="DB5" s="286"/>
      <c r="DC5" s="286"/>
      <c r="DD5" s="286"/>
      <c r="DE5" s="286"/>
      <c r="DF5" s="286"/>
      <c r="DG5" s="286"/>
      <c r="DH5" s="286"/>
      <c r="DI5" s="286"/>
      <c r="DJ5" s="286"/>
      <c r="DK5" s="286"/>
      <c r="DL5" s="286"/>
      <c r="DM5" s="286"/>
      <c r="DN5" s="286"/>
      <c r="DO5" s="286"/>
      <c r="DP5" s="286"/>
      <c r="DQ5" s="286"/>
      <c r="DR5" s="286"/>
      <c r="DS5" s="286"/>
      <c r="DT5" s="286"/>
      <c r="DU5" s="286"/>
      <c r="DV5" s="286"/>
      <c r="DW5" s="286"/>
      <c r="DX5" s="286"/>
      <c r="DY5" s="286"/>
      <c r="DZ5" s="286"/>
      <c r="EA5" s="286"/>
      <c r="EB5" s="286"/>
      <c r="EC5" s="286"/>
      <c r="ED5" s="286"/>
      <c r="EE5" s="286"/>
      <c r="EF5" s="286"/>
      <c r="EG5" s="286"/>
      <c r="EH5" s="286"/>
      <c r="EI5" s="286"/>
      <c r="EJ5" s="286"/>
      <c r="EK5" s="286"/>
      <c r="EL5" s="286"/>
      <c r="EM5" s="286"/>
      <c r="EN5" s="286"/>
      <c r="EO5" s="286"/>
      <c r="EP5" s="286"/>
      <c r="EQ5" s="286"/>
      <c r="ER5" s="286"/>
      <c r="ES5" s="286"/>
      <c r="ET5" s="286"/>
      <c r="EU5" s="286"/>
      <c r="EV5" s="286"/>
      <c r="EW5" s="286"/>
      <c r="EX5" s="286"/>
      <c r="EY5" s="286"/>
      <c r="EZ5" s="286"/>
      <c r="FA5" s="286"/>
      <c r="FB5" s="286"/>
      <c r="FC5" s="286"/>
      <c r="FD5" s="286"/>
      <c r="FE5" s="286"/>
      <c r="FF5" s="286"/>
      <c r="FG5" s="286"/>
      <c r="FH5" s="286"/>
      <c r="FI5" s="286"/>
      <c r="FJ5" s="286"/>
      <c r="FK5" s="286"/>
      <c r="FL5" s="286"/>
      <c r="FM5" s="286"/>
      <c r="FN5" s="286"/>
      <c r="FO5" s="286"/>
      <c r="FP5" s="286"/>
      <c r="FQ5" s="286"/>
      <c r="FR5" s="286"/>
      <c r="FS5" s="286"/>
      <c r="FT5" s="286"/>
      <c r="FU5" s="286"/>
      <c r="FV5" s="286"/>
      <c r="FW5" s="286"/>
      <c r="FX5" s="286"/>
      <c r="FY5" s="286"/>
      <c r="FZ5" s="286"/>
      <c r="GA5" s="286"/>
      <c r="GB5" s="286"/>
      <c r="GC5" s="286"/>
      <c r="GD5" s="286"/>
      <c r="GE5" s="286"/>
      <c r="GF5" s="286"/>
      <c r="GG5" s="286"/>
      <c r="GH5" s="286"/>
      <c r="GI5" s="286"/>
      <c r="GJ5" s="286"/>
      <c r="GK5" s="286"/>
      <c r="GL5" s="286"/>
      <c r="GM5" s="286"/>
      <c r="GN5" s="286"/>
      <c r="GO5" s="286"/>
      <c r="GP5" s="286"/>
      <c r="GQ5" s="286"/>
      <c r="GR5" s="286"/>
      <c r="GS5" s="286"/>
      <c r="GT5" s="286"/>
      <c r="GU5" s="286"/>
      <c r="GV5" s="286"/>
      <c r="GW5" s="286"/>
      <c r="GX5" s="286"/>
      <c r="GY5" s="286"/>
      <c r="GZ5" s="286"/>
    </row>
    <row r="6" spans="1:208" ht="30">
      <c r="A6" s="287">
        <v>2</v>
      </c>
      <c r="B6" s="288">
        <v>44569</v>
      </c>
      <c r="C6" s="289">
        <v>1106184</v>
      </c>
      <c r="D6" s="289" t="s">
        <v>4259</v>
      </c>
      <c r="E6" s="289" t="s">
        <v>4250</v>
      </c>
      <c r="F6" s="289" t="s">
        <v>4251</v>
      </c>
      <c r="G6" s="289">
        <v>3185</v>
      </c>
      <c r="H6" s="289">
        <v>70</v>
      </c>
      <c r="I6" s="289">
        <v>4502249256</v>
      </c>
      <c r="J6" s="289">
        <v>3025457</v>
      </c>
      <c r="K6" s="289">
        <v>4902188282</v>
      </c>
      <c r="L6" s="289" t="s">
        <v>4252</v>
      </c>
      <c r="M6" s="290">
        <v>34646</v>
      </c>
      <c r="N6" s="289">
        <v>6850</v>
      </c>
      <c r="O6" s="291">
        <f t="shared" si="0"/>
        <v>237325100</v>
      </c>
      <c r="P6" s="292">
        <f t="shared" ref="P6:P8" si="1">H6/14</f>
        <v>5</v>
      </c>
      <c r="Q6" s="289" t="s">
        <v>3720</v>
      </c>
      <c r="R6" s="289">
        <v>1040968</v>
      </c>
      <c r="S6" s="289">
        <f>2982600*P6</f>
        <v>14913000</v>
      </c>
      <c r="T6" s="292"/>
      <c r="U6" s="292"/>
      <c r="V6" s="292"/>
      <c r="W6" s="292"/>
      <c r="X6" s="292"/>
      <c r="Y6" s="292"/>
      <c r="Z6" s="293"/>
      <c r="AA6" s="293"/>
      <c r="AB6" s="293"/>
      <c r="AC6" s="293"/>
      <c r="AD6" s="293"/>
      <c r="AE6" s="293"/>
      <c r="AF6" s="293"/>
      <c r="AG6" s="293"/>
      <c r="AH6" s="293"/>
      <c r="AI6" s="293"/>
      <c r="AJ6" s="293"/>
      <c r="AK6" s="293"/>
      <c r="AL6" s="293"/>
      <c r="AM6" s="293"/>
      <c r="AN6" s="293"/>
      <c r="AO6" s="293"/>
      <c r="AP6" s="293"/>
      <c r="AQ6" s="293"/>
      <c r="AR6" s="293"/>
      <c r="AS6" s="293"/>
      <c r="AT6" s="293"/>
      <c r="AU6" s="293"/>
      <c r="AV6" s="293"/>
      <c r="AW6" s="293"/>
      <c r="AX6" s="293"/>
      <c r="AY6" s="293"/>
      <c r="AZ6" s="293"/>
      <c r="BA6" s="293"/>
      <c r="BB6" s="293"/>
      <c r="BC6" s="293"/>
      <c r="BD6" s="293"/>
      <c r="BE6" s="293"/>
      <c r="BF6" s="293"/>
      <c r="BG6" s="293"/>
      <c r="BH6" s="293"/>
      <c r="BI6" s="293"/>
      <c r="BJ6" s="293"/>
      <c r="BK6" s="293"/>
      <c r="BL6" s="293"/>
      <c r="BM6" s="293"/>
      <c r="BN6" s="293"/>
      <c r="BO6" s="293"/>
      <c r="BP6" s="293"/>
      <c r="BQ6" s="293"/>
      <c r="BR6" s="293"/>
      <c r="BS6" s="293"/>
      <c r="BT6" s="293"/>
      <c r="BU6" s="293"/>
      <c r="BV6" s="293"/>
      <c r="BW6" s="293"/>
      <c r="BX6" s="293"/>
      <c r="BY6" s="293"/>
      <c r="BZ6" s="293"/>
      <c r="CA6" s="293"/>
      <c r="CB6" s="293"/>
      <c r="CC6" s="293"/>
      <c r="CD6" s="293"/>
      <c r="CE6" s="293"/>
      <c r="CF6" s="293"/>
      <c r="CG6" s="293"/>
      <c r="CH6" s="293"/>
      <c r="CI6" s="293"/>
      <c r="CJ6" s="293"/>
      <c r="CK6" s="293"/>
      <c r="CL6" s="293"/>
      <c r="CM6" s="293"/>
      <c r="CN6" s="293"/>
      <c r="CO6" s="293"/>
      <c r="CP6" s="293"/>
      <c r="CQ6" s="293"/>
      <c r="CR6" s="293"/>
      <c r="CS6" s="293"/>
      <c r="CT6" s="293"/>
      <c r="CU6" s="293"/>
      <c r="CV6" s="293"/>
      <c r="CW6" s="293"/>
      <c r="CX6" s="293"/>
      <c r="CY6" s="293"/>
      <c r="CZ6" s="293"/>
      <c r="DA6" s="293"/>
      <c r="DB6" s="293"/>
      <c r="DC6" s="293"/>
      <c r="DD6" s="293"/>
      <c r="DE6" s="293"/>
      <c r="DF6" s="293"/>
      <c r="DG6" s="293"/>
      <c r="DH6" s="293"/>
      <c r="DI6" s="293"/>
      <c r="DJ6" s="293"/>
      <c r="DK6" s="293"/>
      <c r="DL6" s="293"/>
      <c r="DM6" s="293"/>
      <c r="DN6" s="293"/>
      <c r="DO6" s="293"/>
      <c r="DP6" s="293"/>
      <c r="DQ6" s="293"/>
      <c r="DR6" s="293"/>
      <c r="DS6" s="293"/>
      <c r="DT6" s="293"/>
      <c r="DU6" s="293"/>
      <c r="DV6" s="293"/>
      <c r="DW6" s="293"/>
      <c r="DX6" s="293"/>
      <c r="DY6" s="293"/>
      <c r="DZ6" s="293"/>
      <c r="EA6" s="293"/>
      <c r="EB6" s="293"/>
      <c r="EC6" s="293"/>
      <c r="ED6" s="293"/>
      <c r="EE6" s="293"/>
      <c r="EF6" s="293"/>
      <c r="EG6" s="293"/>
      <c r="EH6" s="293"/>
      <c r="EI6" s="293"/>
      <c r="EJ6" s="293"/>
      <c r="EK6" s="293"/>
      <c r="EL6" s="293"/>
      <c r="EM6" s="293"/>
      <c r="EN6" s="293"/>
      <c r="EO6" s="293"/>
      <c r="EP6" s="293"/>
      <c r="EQ6" s="293"/>
      <c r="ER6" s="293"/>
      <c r="ES6" s="293"/>
      <c r="ET6" s="293"/>
      <c r="EU6" s="293"/>
      <c r="EV6" s="293"/>
      <c r="EW6" s="293"/>
      <c r="EX6" s="293"/>
      <c r="EY6" s="293"/>
      <c r="EZ6" s="293"/>
      <c r="FA6" s="293"/>
      <c r="FB6" s="293"/>
      <c r="FC6" s="293"/>
      <c r="FD6" s="293"/>
      <c r="FE6" s="293"/>
      <c r="FF6" s="293"/>
      <c r="FG6" s="293"/>
      <c r="FH6" s="293"/>
      <c r="FI6" s="293"/>
      <c r="FJ6" s="293"/>
      <c r="FK6" s="293"/>
      <c r="FL6" s="293"/>
      <c r="FM6" s="293"/>
      <c r="FN6" s="293"/>
      <c r="FO6" s="293"/>
      <c r="FP6" s="293"/>
      <c r="FQ6" s="293"/>
      <c r="FR6" s="293"/>
      <c r="FS6" s="293"/>
      <c r="FT6" s="293"/>
      <c r="FU6" s="293"/>
      <c r="FV6" s="293"/>
      <c r="FW6" s="293"/>
      <c r="FX6" s="293"/>
      <c r="FY6" s="293"/>
      <c r="FZ6" s="293"/>
      <c r="GA6" s="293"/>
      <c r="GB6" s="293"/>
      <c r="GC6" s="293"/>
      <c r="GD6" s="293"/>
      <c r="GE6" s="293"/>
      <c r="GF6" s="293"/>
      <c r="GG6" s="293"/>
      <c r="GH6" s="293"/>
      <c r="GI6" s="293"/>
      <c r="GJ6" s="293"/>
      <c r="GK6" s="293"/>
      <c r="GL6" s="293"/>
      <c r="GM6" s="293"/>
      <c r="GN6" s="293"/>
      <c r="GO6" s="293"/>
      <c r="GP6" s="293"/>
      <c r="GQ6" s="293"/>
      <c r="GR6" s="293"/>
      <c r="GS6" s="293"/>
      <c r="GT6" s="293"/>
      <c r="GU6" s="293"/>
      <c r="GV6" s="293"/>
      <c r="GW6" s="293"/>
      <c r="GX6" s="293"/>
      <c r="GY6" s="293"/>
      <c r="GZ6" s="293"/>
    </row>
    <row r="7" spans="1:208" ht="30">
      <c r="A7" s="287">
        <v>2</v>
      </c>
      <c r="B7" s="288">
        <v>44570</v>
      </c>
      <c r="C7" s="289">
        <v>1109669</v>
      </c>
      <c r="D7" s="289" t="s">
        <v>4260</v>
      </c>
      <c r="E7" s="289" t="s">
        <v>4256</v>
      </c>
      <c r="F7" s="289" t="s">
        <v>4251</v>
      </c>
      <c r="G7" s="289">
        <v>3186</v>
      </c>
      <c r="H7" s="289">
        <v>56</v>
      </c>
      <c r="I7" s="289">
        <v>4502249258</v>
      </c>
      <c r="J7" s="289">
        <v>3025457</v>
      </c>
      <c r="K7" s="289">
        <v>4902188285</v>
      </c>
      <c r="L7" s="289" t="s">
        <v>4252</v>
      </c>
      <c r="M7" s="290">
        <v>28599</v>
      </c>
      <c r="N7" s="289">
        <v>6850</v>
      </c>
      <c r="O7" s="291">
        <f t="shared" si="0"/>
        <v>195903150</v>
      </c>
      <c r="P7" s="292">
        <f t="shared" si="1"/>
        <v>4</v>
      </c>
      <c r="Q7" s="289" t="s">
        <v>3720</v>
      </c>
      <c r="R7" s="289">
        <v>1040968</v>
      </c>
      <c r="S7" s="289">
        <f>2979200*P7</f>
        <v>11916800</v>
      </c>
      <c r="T7" s="292"/>
      <c r="U7" s="292"/>
      <c r="V7" s="292"/>
      <c r="W7" s="292"/>
      <c r="X7" s="292"/>
      <c r="Y7" s="292"/>
      <c r="Z7" s="293"/>
      <c r="AA7" s="293"/>
      <c r="AB7" s="293"/>
      <c r="AC7" s="293"/>
      <c r="AD7" s="293"/>
      <c r="AE7" s="293"/>
      <c r="AF7" s="293"/>
      <c r="AG7" s="293"/>
      <c r="AH7" s="293"/>
      <c r="AI7" s="293"/>
      <c r="AJ7" s="293"/>
      <c r="AK7" s="293"/>
      <c r="AL7" s="293"/>
      <c r="AM7" s="293"/>
      <c r="AN7" s="293"/>
      <c r="AO7" s="293"/>
      <c r="AP7" s="293"/>
      <c r="AQ7" s="293"/>
      <c r="AR7" s="293"/>
      <c r="AS7" s="293"/>
      <c r="AT7" s="293"/>
      <c r="AU7" s="293"/>
      <c r="AV7" s="293"/>
      <c r="AW7" s="293"/>
      <c r="AX7" s="293"/>
      <c r="AY7" s="293"/>
      <c r="AZ7" s="293"/>
      <c r="BA7" s="293"/>
      <c r="BB7" s="293"/>
      <c r="BC7" s="293"/>
      <c r="BD7" s="293"/>
      <c r="BE7" s="293"/>
      <c r="BF7" s="293"/>
      <c r="BG7" s="293"/>
      <c r="BH7" s="293"/>
      <c r="BI7" s="293"/>
      <c r="BJ7" s="293"/>
      <c r="BK7" s="293"/>
      <c r="BL7" s="293"/>
      <c r="BM7" s="293"/>
      <c r="BN7" s="293"/>
      <c r="BO7" s="293"/>
      <c r="BP7" s="293"/>
      <c r="BQ7" s="293"/>
      <c r="BR7" s="293"/>
      <c r="BS7" s="293"/>
      <c r="BT7" s="293"/>
      <c r="BU7" s="293"/>
      <c r="BV7" s="293"/>
      <c r="BW7" s="293"/>
      <c r="BX7" s="293"/>
      <c r="BY7" s="293"/>
      <c r="BZ7" s="293"/>
      <c r="CA7" s="293"/>
      <c r="CB7" s="293"/>
      <c r="CC7" s="293"/>
      <c r="CD7" s="293"/>
      <c r="CE7" s="293"/>
      <c r="CF7" s="293"/>
      <c r="CG7" s="293"/>
      <c r="CH7" s="293"/>
      <c r="CI7" s="293"/>
      <c r="CJ7" s="293"/>
      <c r="CK7" s="293"/>
      <c r="CL7" s="293"/>
      <c r="CM7" s="293"/>
      <c r="CN7" s="293"/>
      <c r="CO7" s="293"/>
      <c r="CP7" s="293"/>
      <c r="CQ7" s="293"/>
      <c r="CR7" s="293"/>
      <c r="CS7" s="293"/>
      <c r="CT7" s="293"/>
      <c r="CU7" s="293"/>
      <c r="CV7" s="293"/>
      <c r="CW7" s="293"/>
      <c r="CX7" s="293"/>
      <c r="CY7" s="293"/>
      <c r="CZ7" s="293"/>
      <c r="DA7" s="293"/>
      <c r="DB7" s="293"/>
      <c r="DC7" s="293"/>
      <c r="DD7" s="293"/>
      <c r="DE7" s="293"/>
      <c r="DF7" s="293"/>
      <c r="DG7" s="293"/>
      <c r="DH7" s="293"/>
      <c r="DI7" s="293"/>
      <c r="DJ7" s="293"/>
      <c r="DK7" s="293"/>
      <c r="DL7" s="293"/>
      <c r="DM7" s="293"/>
      <c r="DN7" s="293"/>
      <c r="DO7" s="293"/>
      <c r="DP7" s="293"/>
      <c r="DQ7" s="293"/>
      <c r="DR7" s="293"/>
      <c r="DS7" s="293"/>
      <c r="DT7" s="293"/>
      <c r="DU7" s="293"/>
      <c r="DV7" s="293"/>
      <c r="DW7" s="293"/>
      <c r="DX7" s="293"/>
      <c r="DY7" s="293"/>
      <c r="DZ7" s="293"/>
      <c r="EA7" s="293"/>
      <c r="EB7" s="293"/>
      <c r="EC7" s="293"/>
      <c r="ED7" s="293"/>
      <c r="EE7" s="293"/>
      <c r="EF7" s="293"/>
      <c r="EG7" s="293"/>
      <c r="EH7" s="293"/>
      <c r="EI7" s="293"/>
      <c r="EJ7" s="293"/>
      <c r="EK7" s="293"/>
      <c r="EL7" s="293"/>
      <c r="EM7" s="293"/>
      <c r="EN7" s="293"/>
      <c r="EO7" s="293"/>
      <c r="EP7" s="293"/>
      <c r="EQ7" s="293"/>
      <c r="ER7" s="293"/>
      <c r="ES7" s="293"/>
      <c r="ET7" s="293"/>
      <c r="EU7" s="293"/>
      <c r="EV7" s="293"/>
      <c r="EW7" s="293"/>
      <c r="EX7" s="293"/>
      <c r="EY7" s="293"/>
      <c r="EZ7" s="293"/>
      <c r="FA7" s="293"/>
      <c r="FB7" s="293"/>
      <c r="FC7" s="293"/>
      <c r="FD7" s="293"/>
      <c r="FE7" s="293"/>
      <c r="FF7" s="293"/>
      <c r="FG7" s="293"/>
      <c r="FH7" s="293"/>
      <c r="FI7" s="293"/>
      <c r="FJ7" s="293"/>
      <c r="FK7" s="293"/>
      <c r="FL7" s="293"/>
      <c r="FM7" s="293"/>
      <c r="FN7" s="293"/>
      <c r="FO7" s="293"/>
      <c r="FP7" s="293"/>
      <c r="FQ7" s="293"/>
      <c r="FR7" s="293"/>
      <c r="FS7" s="293"/>
      <c r="FT7" s="293"/>
      <c r="FU7" s="293"/>
      <c r="FV7" s="293"/>
      <c r="FW7" s="293"/>
      <c r="FX7" s="293"/>
      <c r="FY7" s="293"/>
      <c r="FZ7" s="293"/>
      <c r="GA7" s="293"/>
      <c r="GB7" s="293"/>
      <c r="GC7" s="293"/>
      <c r="GD7" s="293"/>
      <c r="GE7" s="293"/>
      <c r="GF7" s="293"/>
      <c r="GG7" s="293"/>
      <c r="GH7" s="293"/>
      <c r="GI7" s="293"/>
      <c r="GJ7" s="293"/>
      <c r="GK7" s="293"/>
      <c r="GL7" s="293"/>
      <c r="GM7" s="293"/>
      <c r="GN7" s="293"/>
      <c r="GO7" s="293"/>
      <c r="GP7" s="293"/>
      <c r="GQ7" s="293"/>
      <c r="GR7" s="293"/>
      <c r="GS7" s="293"/>
      <c r="GT7" s="293"/>
      <c r="GU7" s="293"/>
      <c r="GV7" s="293"/>
      <c r="GW7" s="293"/>
      <c r="GX7" s="293"/>
      <c r="GY7" s="293"/>
      <c r="GZ7" s="293"/>
    </row>
    <row r="8" spans="1:208" ht="30">
      <c r="A8" s="287">
        <v>2</v>
      </c>
      <c r="B8" s="288">
        <v>44572</v>
      </c>
      <c r="C8" s="289">
        <v>1036751</v>
      </c>
      <c r="D8" s="289" t="s">
        <v>4261</v>
      </c>
      <c r="E8" s="289" t="s">
        <v>4258</v>
      </c>
      <c r="F8" s="289" t="s">
        <v>4251</v>
      </c>
      <c r="G8" s="289">
        <v>3180</v>
      </c>
      <c r="H8" s="289">
        <v>126</v>
      </c>
      <c r="I8" s="289">
        <v>4502244647</v>
      </c>
      <c r="J8" s="289">
        <v>3025457</v>
      </c>
      <c r="K8" s="289">
        <v>4902188286</v>
      </c>
      <c r="L8" s="289" t="s">
        <v>4252</v>
      </c>
      <c r="M8" s="290">
        <v>67541.7</v>
      </c>
      <c r="N8" s="289">
        <v>8035</v>
      </c>
      <c r="O8" s="291">
        <f t="shared" si="0"/>
        <v>542697559.5</v>
      </c>
      <c r="P8" s="292">
        <f t="shared" si="1"/>
        <v>9</v>
      </c>
      <c r="Q8" s="289" t="s">
        <v>3720</v>
      </c>
      <c r="R8" s="289">
        <v>1040968</v>
      </c>
      <c r="S8" s="294">
        <v>14250000</v>
      </c>
      <c r="T8" s="292"/>
      <c r="U8" s="292"/>
      <c r="V8" s="292"/>
      <c r="W8" s="292"/>
      <c r="X8" s="292"/>
      <c r="Y8" s="292"/>
      <c r="Z8" s="293"/>
      <c r="AA8" s="293"/>
      <c r="AB8" s="293"/>
      <c r="AC8" s="293"/>
      <c r="AD8" s="293"/>
      <c r="AE8" s="293"/>
      <c r="AF8" s="293"/>
      <c r="AG8" s="293"/>
      <c r="AH8" s="293"/>
      <c r="AI8" s="293"/>
      <c r="AJ8" s="293"/>
      <c r="AK8" s="293"/>
      <c r="AL8" s="293"/>
      <c r="AM8" s="293"/>
      <c r="AN8" s="293"/>
      <c r="AO8" s="293"/>
      <c r="AP8" s="293"/>
      <c r="AQ8" s="293"/>
      <c r="AR8" s="293"/>
      <c r="AS8" s="293"/>
      <c r="AT8" s="293"/>
      <c r="AU8" s="293"/>
      <c r="AV8" s="293"/>
      <c r="AW8" s="293"/>
      <c r="AX8" s="293"/>
      <c r="AY8" s="293"/>
      <c r="AZ8" s="293"/>
      <c r="BA8" s="293"/>
      <c r="BB8" s="293"/>
      <c r="BC8" s="293"/>
      <c r="BD8" s="293"/>
      <c r="BE8" s="293"/>
      <c r="BF8" s="293"/>
      <c r="BG8" s="293"/>
      <c r="BH8" s="293"/>
      <c r="BI8" s="293"/>
      <c r="BJ8" s="293"/>
      <c r="BK8" s="293"/>
      <c r="BL8" s="293"/>
      <c r="BM8" s="293"/>
      <c r="BN8" s="293"/>
      <c r="BO8" s="293"/>
      <c r="BP8" s="293"/>
      <c r="BQ8" s="293"/>
      <c r="BR8" s="293"/>
      <c r="BS8" s="293"/>
      <c r="BT8" s="293"/>
      <c r="BU8" s="293"/>
      <c r="BV8" s="293"/>
      <c r="BW8" s="293"/>
      <c r="BX8" s="293"/>
      <c r="BY8" s="293"/>
      <c r="BZ8" s="293"/>
      <c r="CA8" s="293"/>
      <c r="CB8" s="293"/>
      <c r="CC8" s="293"/>
      <c r="CD8" s="293"/>
      <c r="CE8" s="293"/>
      <c r="CF8" s="293"/>
      <c r="CG8" s="293"/>
      <c r="CH8" s="293"/>
      <c r="CI8" s="293"/>
      <c r="CJ8" s="293"/>
      <c r="CK8" s="293"/>
      <c r="CL8" s="293"/>
      <c r="CM8" s="293"/>
      <c r="CN8" s="293"/>
      <c r="CO8" s="293"/>
      <c r="CP8" s="293"/>
      <c r="CQ8" s="293"/>
      <c r="CR8" s="293"/>
      <c r="CS8" s="293"/>
      <c r="CT8" s="293"/>
      <c r="CU8" s="293"/>
      <c r="CV8" s="293"/>
      <c r="CW8" s="293"/>
      <c r="CX8" s="293"/>
      <c r="CY8" s="293"/>
      <c r="CZ8" s="293"/>
      <c r="DA8" s="293"/>
      <c r="DB8" s="293"/>
      <c r="DC8" s="293"/>
      <c r="DD8" s="293"/>
      <c r="DE8" s="293"/>
      <c r="DF8" s="293"/>
      <c r="DG8" s="293"/>
      <c r="DH8" s="293"/>
      <c r="DI8" s="293"/>
      <c r="DJ8" s="293"/>
      <c r="DK8" s="293"/>
      <c r="DL8" s="293"/>
      <c r="DM8" s="293"/>
      <c r="DN8" s="293"/>
      <c r="DO8" s="293"/>
      <c r="DP8" s="293"/>
      <c r="DQ8" s="293"/>
      <c r="DR8" s="293"/>
      <c r="DS8" s="293"/>
      <c r="DT8" s="293"/>
      <c r="DU8" s="293"/>
      <c r="DV8" s="293"/>
      <c r="DW8" s="293"/>
      <c r="DX8" s="293"/>
      <c r="DY8" s="293"/>
      <c r="DZ8" s="293"/>
      <c r="EA8" s="293"/>
      <c r="EB8" s="293"/>
      <c r="EC8" s="293"/>
      <c r="ED8" s="293"/>
      <c r="EE8" s="293"/>
      <c r="EF8" s="293"/>
      <c r="EG8" s="293"/>
      <c r="EH8" s="293"/>
      <c r="EI8" s="293"/>
      <c r="EJ8" s="293"/>
      <c r="EK8" s="293"/>
      <c r="EL8" s="293"/>
      <c r="EM8" s="293"/>
      <c r="EN8" s="293"/>
      <c r="EO8" s="293"/>
      <c r="EP8" s="293"/>
      <c r="EQ8" s="293"/>
      <c r="ER8" s="293"/>
      <c r="ES8" s="293"/>
      <c r="ET8" s="293"/>
      <c r="EU8" s="293"/>
      <c r="EV8" s="293"/>
      <c r="EW8" s="293"/>
      <c r="EX8" s="293"/>
      <c r="EY8" s="293"/>
      <c r="EZ8" s="293"/>
      <c r="FA8" s="293"/>
      <c r="FB8" s="293"/>
      <c r="FC8" s="293"/>
      <c r="FD8" s="293"/>
      <c r="FE8" s="293"/>
      <c r="FF8" s="293"/>
      <c r="FG8" s="293"/>
      <c r="FH8" s="293"/>
      <c r="FI8" s="293"/>
      <c r="FJ8" s="293"/>
      <c r="FK8" s="293"/>
      <c r="FL8" s="293"/>
      <c r="FM8" s="293"/>
      <c r="FN8" s="293"/>
      <c r="FO8" s="293"/>
      <c r="FP8" s="293"/>
      <c r="FQ8" s="293"/>
      <c r="FR8" s="293"/>
      <c r="FS8" s="293"/>
      <c r="FT8" s="293"/>
      <c r="FU8" s="293"/>
      <c r="FV8" s="293"/>
      <c r="FW8" s="293"/>
      <c r="FX8" s="293"/>
      <c r="FY8" s="293"/>
      <c r="FZ8" s="293"/>
      <c r="GA8" s="293"/>
      <c r="GB8" s="293"/>
      <c r="GC8" s="293"/>
      <c r="GD8" s="293"/>
      <c r="GE8" s="293"/>
      <c r="GF8" s="293"/>
      <c r="GG8" s="293"/>
      <c r="GH8" s="293"/>
      <c r="GI8" s="293"/>
      <c r="GJ8" s="293"/>
      <c r="GK8" s="293"/>
      <c r="GL8" s="293"/>
      <c r="GM8" s="293"/>
      <c r="GN8" s="293"/>
      <c r="GO8" s="293"/>
      <c r="GP8" s="293"/>
      <c r="GQ8" s="293"/>
      <c r="GR8" s="293"/>
      <c r="GS8" s="293"/>
      <c r="GT8" s="293"/>
      <c r="GU8" s="293"/>
      <c r="GV8" s="293"/>
      <c r="GW8" s="293"/>
      <c r="GX8" s="293"/>
      <c r="GY8" s="293"/>
      <c r="GZ8" s="293"/>
    </row>
    <row r="9" spans="1:208" ht="30">
      <c r="A9" s="280">
        <v>3</v>
      </c>
      <c r="B9" s="281">
        <v>44575</v>
      </c>
      <c r="C9" s="282">
        <v>1053331</v>
      </c>
      <c r="D9" s="282" t="s">
        <v>4262</v>
      </c>
      <c r="E9" s="282" t="s">
        <v>4263</v>
      </c>
      <c r="F9" s="282" t="s">
        <v>4264</v>
      </c>
      <c r="G9" s="282">
        <v>3178</v>
      </c>
      <c r="H9" s="282">
        <v>84</v>
      </c>
      <c r="I9" s="282">
        <v>4502252895</v>
      </c>
      <c r="J9" s="282">
        <v>3025460</v>
      </c>
      <c r="K9" s="282">
        <v>4902192596</v>
      </c>
      <c r="L9" s="282" t="s">
        <v>4252</v>
      </c>
      <c r="M9" s="283">
        <v>39656</v>
      </c>
      <c r="N9" s="282">
        <v>7300</v>
      </c>
      <c r="O9" s="284">
        <f t="shared" si="0"/>
        <v>289488800</v>
      </c>
      <c r="P9" s="285">
        <f>42/14</f>
        <v>3</v>
      </c>
      <c r="Q9" s="282" t="s">
        <v>3455</v>
      </c>
      <c r="R9" s="282">
        <v>1040968</v>
      </c>
      <c r="S9" s="282">
        <v>5573100</v>
      </c>
      <c r="T9" s="285"/>
      <c r="U9" s="285"/>
      <c r="V9" s="285"/>
      <c r="W9" s="285"/>
      <c r="X9" s="285"/>
      <c r="Y9" s="285"/>
      <c r="Z9" s="286"/>
      <c r="AA9" s="286"/>
      <c r="AB9" s="286"/>
      <c r="AC9" s="286"/>
      <c r="AD9" s="286"/>
      <c r="AE9" s="286"/>
      <c r="AF9" s="286"/>
      <c r="AG9" s="286"/>
      <c r="AH9" s="286"/>
      <c r="AI9" s="286"/>
      <c r="AJ9" s="286"/>
      <c r="AK9" s="286"/>
      <c r="AL9" s="286"/>
      <c r="AM9" s="286"/>
      <c r="AN9" s="286"/>
      <c r="AO9" s="286"/>
      <c r="AP9" s="286"/>
      <c r="AQ9" s="286"/>
      <c r="AR9" s="286"/>
      <c r="AS9" s="286"/>
      <c r="AT9" s="286"/>
      <c r="AU9" s="286"/>
      <c r="AV9" s="286"/>
      <c r="AW9" s="286"/>
      <c r="AX9" s="286"/>
      <c r="AY9" s="286"/>
      <c r="AZ9" s="286"/>
      <c r="BA9" s="286"/>
      <c r="BB9" s="286"/>
      <c r="BC9" s="286"/>
      <c r="BD9" s="286"/>
      <c r="BE9" s="286"/>
      <c r="BF9" s="286"/>
      <c r="BG9" s="286"/>
      <c r="BH9" s="286"/>
      <c r="BI9" s="286"/>
      <c r="BJ9" s="286"/>
      <c r="BK9" s="286"/>
      <c r="BL9" s="286"/>
      <c r="BM9" s="286"/>
      <c r="BN9" s="286"/>
      <c r="BO9" s="286"/>
      <c r="BP9" s="286"/>
      <c r="BQ9" s="286"/>
      <c r="BR9" s="286"/>
      <c r="BS9" s="286"/>
      <c r="BT9" s="286"/>
      <c r="BU9" s="286"/>
      <c r="BV9" s="286"/>
      <c r="BW9" s="286"/>
      <c r="BX9" s="286"/>
      <c r="BY9" s="286"/>
      <c r="BZ9" s="286"/>
      <c r="CA9" s="286"/>
      <c r="CB9" s="286"/>
      <c r="CC9" s="286"/>
      <c r="CD9" s="286"/>
      <c r="CE9" s="286"/>
      <c r="CF9" s="286"/>
      <c r="CG9" s="286"/>
      <c r="CH9" s="286"/>
      <c r="CI9" s="286"/>
      <c r="CJ9" s="286"/>
      <c r="CK9" s="286"/>
      <c r="CL9" s="286"/>
      <c r="CM9" s="286"/>
      <c r="CN9" s="286"/>
      <c r="CO9" s="286"/>
      <c r="CP9" s="286"/>
      <c r="CQ9" s="286"/>
      <c r="CR9" s="286"/>
      <c r="CS9" s="286"/>
      <c r="CT9" s="286"/>
      <c r="CU9" s="286"/>
      <c r="CV9" s="286"/>
      <c r="CW9" s="286"/>
      <c r="CX9" s="286"/>
      <c r="CY9" s="286"/>
      <c r="CZ9" s="286"/>
      <c r="DA9" s="286"/>
      <c r="DB9" s="286"/>
      <c r="DC9" s="286"/>
      <c r="DD9" s="286"/>
      <c r="DE9" s="286"/>
      <c r="DF9" s="286"/>
      <c r="DG9" s="286"/>
      <c r="DH9" s="286"/>
      <c r="DI9" s="286"/>
      <c r="DJ9" s="286"/>
      <c r="DK9" s="286"/>
      <c r="DL9" s="286"/>
      <c r="DM9" s="286"/>
      <c r="DN9" s="286"/>
      <c r="DO9" s="286"/>
      <c r="DP9" s="286"/>
      <c r="DQ9" s="286"/>
      <c r="DR9" s="286"/>
      <c r="DS9" s="286"/>
      <c r="DT9" s="286"/>
      <c r="DU9" s="286"/>
      <c r="DV9" s="286"/>
      <c r="DW9" s="286"/>
      <c r="DX9" s="286"/>
      <c r="DY9" s="286"/>
      <c r="DZ9" s="286"/>
      <c r="EA9" s="286"/>
      <c r="EB9" s="286"/>
      <c r="EC9" s="286"/>
      <c r="ED9" s="286"/>
      <c r="EE9" s="286"/>
      <c r="EF9" s="286"/>
      <c r="EG9" s="286"/>
      <c r="EH9" s="286"/>
      <c r="EI9" s="286"/>
      <c r="EJ9" s="286"/>
      <c r="EK9" s="286"/>
      <c r="EL9" s="286"/>
      <c r="EM9" s="286"/>
      <c r="EN9" s="286"/>
      <c r="EO9" s="286"/>
      <c r="EP9" s="286"/>
      <c r="EQ9" s="286"/>
      <c r="ER9" s="286"/>
      <c r="ES9" s="286"/>
      <c r="ET9" s="286"/>
      <c r="EU9" s="286"/>
      <c r="EV9" s="286"/>
      <c r="EW9" s="286"/>
      <c r="EX9" s="286"/>
      <c r="EY9" s="286"/>
      <c r="EZ9" s="286"/>
      <c r="FA9" s="286"/>
      <c r="FB9" s="286"/>
      <c r="FC9" s="286"/>
      <c r="FD9" s="286"/>
      <c r="FE9" s="286"/>
      <c r="FF9" s="286"/>
      <c r="FG9" s="286"/>
      <c r="FH9" s="286"/>
      <c r="FI9" s="286"/>
      <c r="FJ9" s="286"/>
      <c r="FK9" s="286"/>
      <c r="FL9" s="286"/>
      <c r="FM9" s="286"/>
      <c r="FN9" s="286"/>
      <c r="FO9" s="286"/>
      <c r="FP9" s="286"/>
      <c r="FQ9" s="286"/>
      <c r="FR9" s="286"/>
      <c r="FS9" s="286"/>
      <c r="FT9" s="286"/>
      <c r="FU9" s="286"/>
      <c r="FV9" s="286"/>
      <c r="FW9" s="286"/>
      <c r="FX9" s="286"/>
      <c r="FY9" s="286"/>
      <c r="FZ9" s="286"/>
      <c r="GA9" s="286"/>
      <c r="GB9" s="286"/>
      <c r="GC9" s="286"/>
      <c r="GD9" s="286"/>
      <c r="GE9" s="286"/>
      <c r="GF9" s="286"/>
      <c r="GG9" s="286"/>
      <c r="GH9" s="286"/>
      <c r="GI9" s="286"/>
      <c r="GJ9" s="286"/>
      <c r="GK9" s="286"/>
      <c r="GL9" s="286"/>
      <c r="GM9" s="286"/>
      <c r="GN9" s="286"/>
      <c r="GO9" s="286"/>
      <c r="GP9" s="286"/>
      <c r="GQ9" s="286"/>
      <c r="GR9" s="286"/>
      <c r="GS9" s="286"/>
      <c r="GT9" s="286"/>
      <c r="GU9" s="286"/>
      <c r="GV9" s="286"/>
      <c r="GW9" s="286"/>
      <c r="GX9" s="286"/>
      <c r="GY9" s="286"/>
      <c r="GZ9" s="286"/>
    </row>
    <row r="10" spans="1:208" ht="15">
      <c r="A10" s="295"/>
      <c r="B10" s="285"/>
      <c r="C10" s="285"/>
      <c r="D10" s="285"/>
      <c r="E10" s="285"/>
      <c r="F10" s="285"/>
      <c r="G10" s="285"/>
      <c r="H10" s="285"/>
      <c r="I10" s="285"/>
      <c r="J10" s="285"/>
      <c r="K10" s="285"/>
      <c r="L10" s="285"/>
      <c r="M10" s="296"/>
      <c r="N10" s="285"/>
      <c r="O10" s="285"/>
      <c r="P10" s="282" t="s">
        <v>4265</v>
      </c>
      <c r="Q10" s="282" t="s">
        <v>4266</v>
      </c>
      <c r="R10" s="282">
        <v>1004892</v>
      </c>
      <c r="S10" s="282">
        <v>4200000</v>
      </c>
      <c r="T10" s="285"/>
      <c r="U10" s="285"/>
      <c r="V10" s="285"/>
      <c r="W10" s="285"/>
      <c r="X10" s="285"/>
      <c r="Y10" s="285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  <c r="BM10" s="286"/>
      <c r="BN10" s="286"/>
      <c r="BO10" s="286"/>
      <c r="BP10" s="286"/>
      <c r="BQ10" s="286"/>
      <c r="BR10" s="286"/>
      <c r="BS10" s="286"/>
      <c r="BT10" s="286"/>
      <c r="BU10" s="286"/>
      <c r="BV10" s="286"/>
      <c r="BW10" s="286"/>
      <c r="BX10" s="286"/>
      <c r="BY10" s="286"/>
      <c r="BZ10" s="286"/>
      <c r="CA10" s="286"/>
      <c r="CB10" s="286"/>
      <c r="CC10" s="286"/>
      <c r="CD10" s="286"/>
      <c r="CE10" s="286"/>
      <c r="CF10" s="286"/>
      <c r="CG10" s="286"/>
      <c r="CH10" s="286"/>
      <c r="CI10" s="286"/>
      <c r="CJ10" s="286"/>
      <c r="CK10" s="286"/>
      <c r="CL10" s="286"/>
      <c r="CM10" s="286"/>
      <c r="CN10" s="286"/>
      <c r="CO10" s="286"/>
      <c r="CP10" s="286"/>
      <c r="CQ10" s="286"/>
      <c r="CR10" s="286"/>
      <c r="CS10" s="286"/>
      <c r="CT10" s="286"/>
      <c r="CU10" s="286"/>
      <c r="CV10" s="286"/>
      <c r="CW10" s="286"/>
      <c r="CX10" s="286"/>
      <c r="CY10" s="286"/>
      <c r="CZ10" s="286"/>
      <c r="DA10" s="286"/>
      <c r="DB10" s="286"/>
      <c r="DC10" s="286"/>
      <c r="DD10" s="286"/>
      <c r="DE10" s="286"/>
      <c r="DF10" s="286"/>
      <c r="DG10" s="286"/>
      <c r="DH10" s="286"/>
      <c r="DI10" s="286"/>
      <c r="DJ10" s="286"/>
      <c r="DK10" s="286"/>
      <c r="DL10" s="286"/>
      <c r="DM10" s="286"/>
      <c r="DN10" s="286"/>
      <c r="DO10" s="286"/>
      <c r="DP10" s="286"/>
      <c r="DQ10" s="286"/>
      <c r="DR10" s="286"/>
      <c r="DS10" s="286"/>
      <c r="DT10" s="286"/>
      <c r="DU10" s="286"/>
      <c r="DV10" s="286"/>
      <c r="DW10" s="286"/>
      <c r="DX10" s="286"/>
      <c r="DY10" s="286"/>
      <c r="DZ10" s="286"/>
      <c r="EA10" s="286"/>
      <c r="EB10" s="286"/>
      <c r="EC10" s="286"/>
      <c r="ED10" s="286"/>
      <c r="EE10" s="286"/>
      <c r="EF10" s="286"/>
      <c r="EG10" s="286"/>
      <c r="EH10" s="286"/>
      <c r="EI10" s="286"/>
      <c r="EJ10" s="286"/>
      <c r="EK10" s="286"/>
      <c r="EL10" s="286"/>
      <c r="EM10" s="286"/>
      <c r="EN10" s="286"/>
      <c r="EO10" s="286"/>
      <c r="EP10" s="286"/>
      <c r="EQ10" s="286"/>
      <c r="ER10" s="286"/>
      <c r="ES10" s="286"/>
      <c r="ET10" s="286"/>
      <c r="EU10" s="286"/>
      <c r="EV10" s="286"/>
      <c r="EW10" s="286"/>
      <c r="EX10" s="286"/>
      <c r="EY10" s="286"/>
      <c r="EZ10" s="286"/>
      <c r="FA10" s="286"/>
      <c r="FB10" s="286"/>
      <c r="FC10" s="286"/>
      <c r="FD10" s="286"/>
      <c r="FE10" s="286"/>
      <c r="FF10" s="286"/>
      <c r="FG10" s="286"/>
      <c r="FH10" s="286"/>
      <c r="FI10" s="286"/>
      <c r="FJ10" s="286"/>
      <c r="FK10" s="286"/>
      <c r="FL10" s="286"/>
      <c r="FM10" s="286"/>
      <c r="FN10" s="286"/>
      <c r="FO10" s="286"/>
      <c r="FP10" s="286"/>
      <c r="FQ10" s="286"/>
      <c r="FR10" s="286"/>
      <c r="FS10" s="286"/>
      <c r="FT10" s="286"/>
      <c r="FU10" s="286"/>
      <c r="FV10" s="286"/>
      <c r="FW10" s="286"/>
      <c r="FX10" s="286"/>
      <c r="FY10" s="286"/>
      <c r="FZ10" s="286"/>
      <c r="GA10" s="286"/>
      <c r="GB10" s="286"/>
      <c r="GC10" s="286"/>
      <c r="GD10" s="286"/>
      <c r="GE10" s="286"/>
      <c r="GF10" s="286"/>
      <c r="GG10" s="286"/>
      <c r="GH10" s="286"/>
      <c r="GI10" s="286"/>
      <c r="GJ10" s="286"/>
      <c r="GK10" s="286"/>
      <c r="GL10" s="286"/>
      <c r="GM10" s="286"/>
      <c r="GN10" s="286"/>
      <c r="GO10" s="286"/>
      <c r="GP10" s="286"/>
      <c r="GQ10" s="286"/>
      <c r="GR10" s="286"/>
      <c r="GS10" s="286"/>
      <c r="GT10" s="286"/>
      <c r="GU10" s="286"/>
      <c r="GV10" s="286"/>
      <c r="GW10" s="286"/>
      <c r="GX10" s="286"/>
      <c r="GY10" s="286"/>
      <c r="GZ10" s="286"/>
    </row>
    <row r="11" spans="1:208" ht="30">
      <c r="A11" s="280">
        <v>3</v>
      </c>
      <c r="B11" s="281">
        <v>44576</v>
      </c>
      <c r="C11" s="282">
        <v>1073359</v>
      </c>
      <c r="D11" s="282" t="s">
        <v>4267</v>
      </c>
      <c r="E11" s="282" t="s">
        <v>4268</v>
      </c>
      <c r="F11" s="282" t="s">
        <v>4264</v>
      </c>
      <c r="G11" s="282">
        <v>3188</v>
      </c>
      <c r="H11" s="282">
        <v>56</v>
      </c>
      <c r="I11" s="282">
        <v>4502252898</v>
      </c>
      <c r="J11" s="282">
        <v>3025460</v>
      </c>
      <c r="K11" s="282">
        <v>4902192597</v>
      </c>
      <c r="L11" s="282" t="s">
        <v>4252</v>
      </c>
      <c r="M11" s="283">
        <v>26582</v>
      </c>
      <c r="N11" s="282">
        <v>7300</v>
      </c>
      <c r="O11" s="284">
        <f t="shared" ref="O11:O32" si="2">M11*N11</f>
        <v>194048600</v>
      </c>
      <c r="P11" s="285">
        <f t="shared" ref="P11:P30" si="3">H11/14</f>
        <v>4</v>
      </c>
      <c r="Q11" s="282" t="s">
        <v>3455</v>
      </c>
      <c r="R11" s="282">
        <v>1040968</v>
      </c>
      <c r="S11" s="282">
        <v>6552892</v>
      </c>
      <c r="T11" s="285"/>
      <c r="U11" s="285"/>
      <c r="V11" s="285"/>
      <c r="W11" s="285"/>
      <c r="X11" s="285"/>
      <c r="Y11" s="285"/>
      <c r="Z11" s="286"/>
      <c r="AA11" s="286"/>
      <c r="AB11" s="286"/>
      <c r="AC11" s="286"/>
      <c r="AD11" s="286"/>
      <c r="AE11" s="286"/>
      <c r="AF11" s="286"/>
      <c r="AG11" s="286"/>
      <c r="AH11" s="286"/>
      <c r="AI11" s="286"/>
      <c r="AJ11" s="286"/>
      <c r="AK11" s="286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286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286"/>
      <c r="BV11" s="286"/>
      <c r="BW11" s="286"/>
      <c r="BX11" s="286"/>
      <c r="BY11" s="286"/>
      <c r="BZ11" s="286"/>
      <c r="CA11" s="286"/>
      <c r="CB11" s="286"/>
      <c r="CC11" s="286"/>
      <c r="CD11" s="286"/>
      <c r="CE11" s="286"/>
      <c r="CF11" s="286"/>
      <c r="CG11" s="286"/>
      <c r="CH11" s="286"/>
      <c r="CI11" s="286"/>
      <c r="CJ11" s="286"/>
      <c r="CK11" s="286"/>
      <c r="CL11" s="286"/>
      <c r="CM11" s="286"/>
      <c r="CN11" s="286"/>
      <c r="CO11" s="286"/>
      <c r="CP11" s="286"/>
      <c r="CQ11" s="286"/>
      <c r="CR11" s="286"/>
      <c r="CS11" s="286"/>
      <c r="CT11" s="286"/>
      <c r="CU11" s="286"/>
      <c r="CV11" s="286"/>
      <c r="CW11" s="286"/>
      <c r="CX11" s="286"/>
      <c r="CY11" s="286"/>
      <c r="CZ11" s="286"/>
      <c r="DA11" s="286"/>
      <c r="DB11" s="286"/>
      <c r="DC11" s="286"/>
      <c r="DD11" s="286"/>
      <c r="DE11" s="286"/>
      <c r="DF11" s="286"/>
      <c r="DG11" s="286"/>
      <c r="DH11" s="286"/>
      <c r="DI11" s="286"/>
      <c r="DJ11" s="286"/>
      <c r="DK11" s="286"/>
      <c r="DL11" s="286"/>
      <c r="DM11" s="286"/>
      <c r="DN11" s="286"/>
      <c r="DO11" s="286"/>
      <c r="DP11" s="286"/>
      <c r="DQ11" s="286"/>
      <c r="DR11" s="286"/>
      <c r="DS11" s="286"/>
      <c r="DT11" s="286"/>
      <c r="DU11" s="286"/>
      <c r="DV11" s="286"/>
      <c r="DW11" s="286"/>
      <c r="DX11" s="286"/>
      <c r="DY11" s="286"/>
      <c r="DZ11" s="286"/>
      <c r="EA11" s="286"/>
      <c r="EB11" s="286"/>
      <c r="EC11" s="286"/>
      <c r="ED11" s="286"/>
      <c r="EE11" s="286"/>
      <c r="EF11" s="286"/>
      <c r="EG11" s="286"/>
      <c r="EH11" s="286"/>
      <c r="EI11" s="286"/>
      <c r="EJ11" s="286"/>
      <c r="EK11" s="286"/>
      <c r="EL11" s="286"/>
      <c r="EM11" s="286"/>
      <c r="EN11" s="286"/>
      <c r="EO11" s="286"/>
      <c r="EP11" s="286"/>
      <c r="EQ11" s="286"/>
      <c r="ER11" s="286"/>
      <c r="ES11" s="286"/>
      <c r="ET11" s="286"/>
      <c r="EU11" s="286"/>
      <c r="EV11" s="286"/>
      <c r="EW11" s="286"/>
      <c r="EX11" s="286"/>
      <c r="EY11" s="286"/>
      <c r="EZ11" s="286"/>
      <c r="FA11" s="286"/>
      <c r="FB11" s="286"/>
      <c r="FC11" s="286"/>
      <c r="FD11" s="286"/>
      <c r="FE11" s="286"/>
      <c r="FF11" s="286"/>
      <c r="FG11" s="286"/>
      <c r="FH11" s="286"/>
      <c r="FI11" s="286"/>
      <c r="FJ11" s="286"/>
      <c r="FK11" s="286"/>
      <c r="FL11" s="286"/>
      <c r="FM11" s="286"/>
      <c r="FN11" s="286"/>
      <c r="FO11" s="286"/>
      <c r="FP11" s="286"/>
      <c r="FQ11" s="286"/>
      <c r="FR11" s="286"/>
      <c r="FS11" s="286"/>
      <c r="FT11" s="286"/>
      <c r="FU11" s="286"/>
      <c r="FV11" s="286"/>
      <c r="FW11" s="286"/>
      <c r="FX11" s="286"/>
      <c r="FY11" s="286"/>
      <c r="FZ11" s="286"/>
      <c r="GA11" s="286"/>
      <c r="GB11" s="286"/>
      <c r="GC11" s="286"/>
      <c r="GD11" s="286"/>
      <c r="GE11" s="286"/>
      <c r="GF11" s="286"/>
      <c r="GG11" s="286"/>
      <c r="GH11" s="286"/>
      <c r="GI11" s="286"/>
      <c r="GJ11" s="286"/>
      <c r="GK11" s="286"/>
      <c r="GL11" s="286"/>
      <c r="GM11" s="286"/>
      <c r="GN11" s="286"/>
      <c r="GO11" s="286"/>
      <c r="GP11" s="286"/>
      <c r="GQ11" s="286"/>
      <c r="GR11" s="286"/>
      <c r="GS11" s="286"/>
      <c r="GT11" s="286"/>
      <c r="GU11" s="286"/>
      <c r="GV11" s="286"/>
      <c r="GW11" s="286"/>
      <c r="GX11" s="286"/>
      <c r="GY11" s="286"/>
      <c r="GZ11" s="286"/>
    </row>
    <row r="12" spans="1:208" ht="30">
      <c r="A12" s="280">
        <v>3</v>
      </c>
      <c r="B12" s="281">
        <v>44579</v>
      </c>
      <c r="C12" s="282">
        <v>1093247</v>
      </c>
      <c r="D12" s="282" t="s">
        <v>4269</v>
      </c>
      <c r="E12" s="282" t="s">
        <v>4270</v>
      </c>
      <c r="F12" s="282" t="s">
        <v>4264</v>
      </c>
      <c r="G12" s="282">
        <v>3190</v>
      </c>
      <c r="H12" s="282">
        <v>42</v>
      </c>
      <c r="I12" s="282">
        <v>4502254501</v>
      </c>
      <c r="J12" s="282">
        <v>3025460</v>
      </c>
      <c r="K12" s="282">
        <v>4902192600</v>
      </c>
      <c r="L12" s="282" t="s">
        <v>4252</v>
      </c>
      <c r="M12" s="283">
        <v>20782</v>
      </c>
      <c r="N12" s="282">
        <v>7300</v>
      </c>
      <c r="O12" s="284">
        <f t="shared" si="2"/>
        <v>151708600</v>
      </c>
      <c r="P12" s="285">
        <f t="shared" si="3"/>
        <v>3</v>
      </c>
      <c r="Q12" s="282" t="s">
        <v>3455</v>
      </c>
      <c r="R12" s="282">
        <v>1040968</v>
      </c>
      <c r="S12" s="282">
        <v>5381700</v>
      </c>
      <c r="T12" s="282"/>
      <c r="U12" s="282"/>
      <c r="V12" s="282"/>
      <c r="W12" s="282"/>
      <c r="X12" s="282"/>
      <c r="Y12" s="282"/>
      <c r="Z12" s="297"/>
      <c r="AA12" s="297"/>
      <c r="AB12" s="297"/>
      <c r="AC12" s="297"/>
      <c r="AD12" s="297"/>
      <c r="AE12" s="297"/>
      <c r="AF12" s="297"/>
      <c r="AG12" s="297"/>
      <c r="AH12" s="297"/>
      <c r="AI12" s="297"/>
      <c r="AJ12" s="297"/>
      <c r="AK12" s="297"/>
      <c r="AL12" s="297"/>
      <c r="AM12" s="297"/>
      <c r="AN12" s="297"/>
      <c r="AO12" s="297"/>
      <c r="AP12" s="297"/>
      <c r="AQ12" s="297"/>
      <c r="AR12" s="297"/>
      <c r="AS12" s="297"/>
      <c r="AT12" s="297"/>
      <c r="AU12" s="297"/>
      <c r="AV12" s="297"/>
      <c r="AW12" s="297"/>
      <c r="AX12" s="297"/>
      <c r="AY12" s="297"/>
      <c r="AZ12" s="297"/>
      <c r="BA12" s="297"/>
      <c r="BB12" s="297"/>
      <c r="BC12" s="297"/>
      <c r="BD12" s="297"/>
      <c r="BE12" s="297"/>
      <c r="BF12" s="297"/>
      <c r="BG12" s="297"/>
      <c r="BH12" s="297"/>
      <c r="BI12" s="297"/>
      <c r="BJ12" s="297"/>
      <c r="BK12" s="297"/>
      <c r="BL12" s="297"/>
      <c r="BM12" s="297"/>
      <c r="BN12" s="297"/>
      <c r="BO12" s="297"/>
      <c r="BP12" s="297"/>
      <c r="BQ12" s="297"/>
      <c r="BR12" s="297"/>
      <c r="BS12" s="297"/>
      <c r="BT12" s="297"/>
      <c r="BU12" s="297"/>
      <c r="BV12" s="297"/>
      <c r="BW12" s="297"/>
      <c r="BX12" s="297"/>
      <c r="BY12" s="297"/>
      <c r="BZ12" s="297"/>
      <c r="CA12" s="297"/>
      <c r="CB12" s="297"/>
      <c r="CC12" s="297"/>
      <c r="CD12" s="297"/>
      <c r="CE12" s="297"/>
      <c r="CF12" s="297"/>
      <c r="CG12" s="297"/>
      <c r="CH12" s="297"/>
      <c r="CI12" s="297"/>
      <c r="CJ12" s="297"/>
      <c r="CK12" s="297"/>
      <c r="CL12" s="297"/>
      <c r="CM12" s="297"/>
      <c r="CN12" s="297"/>
      <c r="CO12" s="297"/>
      <c r="CP12" s="297"/>
      <c r="CQ12" s="297"/>
      <c r="CR12" s="297"/>
      <c r="CS12" s="297"/>
      <c r="CT12" s="297"/>
      <c r="CU12" s="297"/>
      <c r="CV12" s="297"/>
      <c r="CW12" s="297"/>
      <c r="CX12" s="297"/>
      <c r="CY12" s="297"/>
      <c r="CZ12" s="297"/>
      <c r="DA12" s="297"/>
      <c r="DB12" s="297"/>
      <c r="DC12" s="297"/>
      <c r="DD12" s="297"/>
      <c r="DE12" s="297"/>
      <c r="DF12" s="297"/>
      <c r="DG12" s="297"/>
      <c r="DH12" s="297"/>
      <c r="DI12" s="297"/>
      <c r="DJ12" s="297"/>
      <c r="DK12" s="297"/>
      <c r="DL12" s="297"/>
      <c r="DM12" s="297"/>
      <c r="DN12" s="297"/>
      <c r="DO12" s="297"/>
      <c r="DP12" s="297"/>
      <c r="DQ12" s="297"/>
      <c r="DR12" s="297"/>
      <c r="DS12" s="297"/>
      <c r="DT12" s="297"/>
      <c r="DU12" s="297"/>
      <c r="DV12" s="297"/>
      <c r="DW12" s="297"/>
      <c r="DX12" s="297"/>
      <c r="DY12" s="297"/>
      <c r="DZ12" s="297"/>
      <c r="EA12" s="297"/>
      <c r="EB12" s="297"/>
      <c r="EC12" s="297"/>
      <c r="ED12" s="297"/>
      <c r="EE12" s="297"/>
      <c r="EF12" s="297"/>
      <c r="EG12" s="297"/>
      <c r="EH12" s="297"/>
      <c r="EI12" s="297"/>
      <c r="EJ12" s="297"/>
      <c r="EK12" s="297"/>
      <c r="EL12" s="297"/>
      <c r="EM12" s="297"/>
      <c r="EN12" s="297"/>
      <c r="EO12" s="297"/>
      <c r="EP12" s="297"/>
      <c r="EQ12" s="297"/>
      <c r="ER12" s="297"/>
      <c r="ES12" s="297"/>
      <c r="ET12" s="297"/>
      <c r="EU12" s="297"/>
      <c r="EV12" s="297"/>
      <c r="EW12" s="297"/>
      <c r="EX12" s="297"/>
      <c r="EY12" s="297"/>
      <c r="EZ12" s="297"/>
      <c r="FA12" s="297"/>
      <c r="FB12" s="297"/>
      <c r="FC12" s="297"/>
      <c r="FD12" s="297"/>
      <c r="FE12" s="297"/>
      <c r="FF12" s="297"/>
      <c r="FG12" s="297"/>
      <c r="FH12" s="297"/>
      <c r="FI12" s="297"/>
      <c r="FJ12" s="297"/>
      <c r="FK12" s="297"/>
      <c r="FL12" s="297"/>
      <c r="FM12" s="297"/>
      <c r="FN12" s="297"/>
      <c r="FO12" s="297"/>
      <c r="FP12" s="297"/>
      <c r="FQ12" s="297"/>
      <c r="FR12" s="297"/>
      <c r="FS12" s="297"/>
      <c r="FT12" s="297"/>
      <c r="FU12" s="297"/>
      <c r="FV12" s="297"/>
      <c r="FW12" s="297"/>
      <c r="FX12" s="297"/>
      <c r="FY12" s="297"/>
      <c r="FZ12" s="297"/>
      <c r="GA12" s="297"/>
      <c r="GB12" s="297"/>
      <c r="GC12" s="297"/>
      <c r="GD12" s="297"/>
      <c r="GE12" s="297"/>
      <c r="GF12" s="297"/>
      <c r="GG12" s="297"/>
      <c r="GH12" s="297"/>
      <c r="GI12" s="297"/>
      <c r="GJ12" s="297"/>
      <c r="GK12" s="297"/>
      <c r="GL12" s="297"/>
      <c r="GM12" s="297"/>
      <c r="GN12" s="297"/>
      <c r="GO12" s="297"/>
      <c r="GP12" s="297"/>
      <c r="GQ12" s="297"/>
      <c r="GR12" s="297"/>
      <c r="GS12" s="297"/>
      <c r="GT12" s="297"/>
      <c r="GU12" s="297"/>
      <c r="GV12" s="297"/>
      <c r="GW12" s="297"/>
      <c r="GX12" s="297"/>
      <c r="GY12" s="297"/>
      <c r="GZ12" s="297"/>
    </row>
    <row r="13" spans="1:208" ht="30">
      <c r="A13" s="280">
        <v>3</v>
      </c>
      <c r="B13" s="281">
        <v>44579</v>
      </c>
      <c r="C13" s="282">
        <v>1036751</v>
      </c>
      <c r="D13" s="282" t="s">
        <v>4271</v>
      </c>
      <c r="E13" s="282" t="s">
        <v>4258</v>
      </c>
      <c r="F13" s="282" t="s">
        <v>4251</v>
      </c>
      <c r="G13" s="282">
        <v>3180</v>
      </c>
      <c r="H13" s="282">
        <v>84</v>
      </c>
      <c r="I13" s="282">
        <v>4502244647</v>
      </c>
      <c r="J13" s="282">
        <v>3025457</v>
      </c>
      <c r="K13" s="282">
        <v>4902192602</v>
      </c>
      <c r="L13" s="282" t="s">
        <v>4252</v>
      </c>
      <c r="M13" s="296">
        <v>45027.799714285713</v>
      </c>
      <c r="N13" s="282">
        <v>8035</v>
      </c>
      <c r="O13" s="284">
        <f t="shared" si="2"/>
        <v>361798370.70428568</v>
      </c>
      <c r="P13" s="285">
        <f t="shared" si="3"/>
        <v>6</v>
      </c>
      <c r="Q13" s="282" t="s">
        <v>3455</v>
      </c>
      <c r="R13" s="282">
        <v>1040968</v>
      </c>
      <c r="S13" s="282">
        <v>9030000</v>
      </c>
      <c r="T13" s="282"/>
      <c r="U13" s="282"/>
      <c r="V13" s="282"/>
      <c r="W13" s="282"/>
      <c r="X13" s="282"/>
      <c r="Y13" s="282"/>
      <c r="Z13" s="297"/>
      <c r="AA13" s="297"/>
      <c r="AB13" s="297"/>
      <c r="AC13" s="297"/>
      <c r="AD13" s="297"/>
      <c r="AE13" s="297"/>
      <c r="AF13" s="297"/>
      <c r="AG13" s="297"/>
      <c r="AH13" s="297"/>
      <c r="AI13" s="297"/>
      <c r="AJ13" s="297"/>
      <c r="AK13" s="297"/>
      <c r="AL13" s="297"/>
      <c r="AM13" s="297"/>
      <c r="AN13" s="297"/>
      <c r="AO13" s="297"/>
      <c r="AP13" s="297"/>
      <c r="AQ13" s="297"/>
      <c r="AR13" s="297"/>
      <c r="AS13" s="297"/>
      <c r="AT13" s="297"/>
      <c r="AU13" s="297"/>
      <c r="AV13" s="297"/>
      <c r="AW13" s="297"/>
      <c r="AX13" s="297"/>
      <c r="AY13" s="297"/>
      <c r="AZ13" s="297"/>
      <c r="BA13" s="297"/>
      <c r="BB13" s="297"/>
      <c r="BC13" s="297"/>
      <c r="BD13" s="297"/>
      <c r="BE13" s="297"/>
      <c r="BF13" s="297"/>
      <c r="BG13" s="297"/>
      <c r="BH13" s="297"/>
      <c r="BI13" s="297"/>
      <c r="BJ13" s="297"/>
      <c r="BK13" s="297"/>
      <c r="BL13" s="297"/>
      <c r="BM13" s="297"/>
      <c r="BN13" s="297"/>
      <c r="BO13" s="297"/>
      <c r="BP13" s="297"/>
      <c r="BQ13" s="297"/>
      <c r="BR13" s="297"/>
      <c r="BS13" s="297"/>
      <c r="BT13" s="297"/>
      <c r="BU13" s="297"/>
      <c r="BV13" s="297"/>
      <c r="BW13" s="297"/>
      <c r="BX13" s="297"/>
      <c r="BY13" s="297"/>
      <c r="BZ13" s="297"/>
      <c r="CA13" s="297"/>
      <c r="CB13" s="297"/>
      <c r="CC13" s="297"/>
      <c r="CD13" s="297"/>
      <c r="CE13" s="297"/>
      <c r="CF13" s="297"/>
      <c r="CG13" s="297"/>
      <c r="CH13" s="297"/>
      <c r="CI13" s="297"/>
      <c r="CJ13" s="297"/>
      <c r="CK13" s="297"/>
      <c r="CL13" s="297"/>
      <c r="CM13" s="297"/>
      <c r="CN13" s="297"/>
      <c r="CO13" s="297"/>
      <c r="CP13" s="297"/>
      <c r="CQ13" s="297"/>
      <c r="CR13" s="297"/>
      <c r="CS13" s="297"/>
      <c r="CT13" s="297"/>
      <c r="CU13" s="297"/>
      <c r="CV13" s="297"/>
      <c r="CW13" s="297"/>
      <c r="CX13" s="297"/>
      <c r="CY13" s="297"/>
      <c r="CZ13" s="297"/>
      <c r="DA13" s="297"/>
      <c r="DB13" s="297"/>
      <c r="DC13" s="297"/>
      <c r="DD13" s="297"/>
      <c r="DE13" s="297"/>
      <c r="DF13" s="297"/>
      <c r="DG13" s="297"/>
      <c r="DH13" s="297"/>
      <c r="DI13" s="297"/>
      <c r="DJ13" s="297"/>
      <c r="DK13" s="297"/>
      <c r="DL13" s="297"/>
      <c r="DM13" s="297"/>
      <c r="DN13" s="297"/>
      <c r="DO13" s="297"/>
      <c r="DP13" s="297"/>
      <c r="DQ13" s="297"/>
      <c r="DR13" s="297"/>
      <c r="DS13" s="297"/>
      <c r="DT13" s="297"/>
      <c r="DU13" s="297"/>
      <c r="DV13" s="297"/>
      <c r="DW13" s="297"/>
      <c r="DX13" s="297"/>
      <c r="DY13" s="297"/>
      <c r="DZ13" s="297"/>
      <c r="EA13" s="297"/>
      <c r="EB13" s="297"/>
      <c r="EC13" s="297"/>
      <c r="ED13" s="297"/>
      <c r="EE13" s="297"/>
      <c r="EF13" s="297"/>
      <c r="EG13" s="297"/>
      <c r="EH13" s="297"/>
      <c r="EI13" s="297"/>
      <c r="EJ13" s="297"/>
      <c r="EK13" s="297"/>
      <c r="EL13" s="297"/>
      <c r="EM13" s="297"/>
      <c r="EN13" s="297"/>
      <c r="EO13" s="297"/>
      <c r="EP13" s="297"/>
      <c r="EQ13" s="297"/>
      <c r="ER13" s="297"/>
      <c r="ES13" s="297"/>
      <c r="ET13" s="297"/>
      <c r="EU13" s="297"/>
      <c r="EV13" s="297"/>
      <c r="EW13" s="297"/>
      <c r="EX13" s="297"/>
      <c r="EY13" s="297"/>
      <c r="EZ13" s="297"/>
      <c r="FA13" s="297"/>
      <c r="FB13" s="297"/>
      <c r="FC13" s="297"/>
      <c r="FD13" s="297"/>
      <c r="FE13" s="297"/>
      <c r="FF13" s="297"/>
      <c r="FG13" s="297"/>
      <c r="FH13" s="297"/>
      <c r="FI13" s="297"/>
      <c r="FJ13" s="297"/>
      <c r="FK13" s="297"/>
      <c r="FL13" s="297"/>
      <c r="FM13" s="297"/>
      <c r="FN13" s="297"/>
      <c r="FO13" s="297"/>
      <c r="FP13" s="297"/>
      <c r="FQ13" s="297"/>
      <c r="FR13" s="297"/>
      <c r="FS13" s="297"/>
      <c r="FT13" s="297"/>
      <c r="FU13" s="297"/>
      <c r="FV13" s="297"/>
      <c r="FW13" s="297"/>
      <c r="FX13" s="297"/>
      <c r="FY13" s="297"/>
      <c r="FZ13" s="297"/>
      <c r="GA13" s="297"/>
      <c r="GB13" s="297"/>
      <c r="GC13" s="297"/>
      <c r="GD13" s="297"/>
      <c r="GE13" s="297"/>
      <c r="GF13" s="297"/>
      <c r="GG13" s="297"/>
      <c r="GH13" s="297"/>
      <c r="GI13" s="297"/>
      <c r="GJ13" s="297"/>
      <c r="GK13" s="297"/>
      <c r="GL13" s="297"/>
      <c r="GM13" s="297"/>
      <c r="GN13" s="297"/>
      <c r="GO13" s="297"/>
      <c r="GP13" s="297"/>
      <c r="GQ13" s="297"/>
      <c r="GR13" s="297"/>
      <c r="GS13" s="297"/>
      <c r="GT13" s="297"/>
      <c r="GU13" s="297"/>
      <c r="GV13" s="297"/>
      <c r="GW13" s="297"/>
      <c r="GX13" s="297"/>
      <c r="GY13" s="297"/>
      <c r="GZ13" s="297"/>
    </row>
    <row r="14" spans="1:208" ht="30">
      <c r="A14" s="287">
        <v>4</v>
      </c>
      <c r="B14" s="288">
        <v>44583</v>
      </c>
      <c r="C14" s="289">
        <v>1106184</v>
      </c>
      <c r="D14" s="289" t="s">
        <v>4272</v>
      </c>
      <c r="E14" s="289" t="s">
        <v>4250</v>
      </c>
      <c r="F14" s="289" t="s">
        <v>4264</v>
      </c>
      <c r="G14" s="289">
        <v>3185</v>
      </c>
      <c r="H14" s="289">
        <v>56</v>
      </c>
      <c r="I14" s="289">
        <v>4502257440</v>
      </c>
      <c r="J14" s="289">
        <v>3025460</v>
      </c>
      <c r="K14" s="289">
        <v>4902197258</v>
      </c>
      <c r="L14" s="289" t="s">
        <v>4252</v>
      </c>
      <c r="M14" s="298">
        <v>27166.857142857141</v>
      </c>
      <c r="N14" s="289">
        <v>6850</v>
      </c>
      <c r="O14" s="291">
        <f t="shared" si="2"/>
        <v>186092971.4285714</v>
      </c>
      <c r="P14" s="292">
        <f t="shared" si="3"/>
        <v>4</v>
      </c>
      <c r="Q14" s="289" t="s">
        <v>3720</v>
      </c>
      <c r="R14" s="289">
        <v>1040968</v>
      </c>
      <c r="S14" s="299">
        <f t="shared" ref="S14:S15" si="4">2982600*P14</f>
        <v>11930400</v>
      </c>
      <c r="T14" s="292"/>
      <c r="U14" s="292"/>
      <c r="V14" s="292"/>
      <c r="W14" s="292"/>
      <c r="X14" s="292"/>
      <c r="Y14" s="292"/>
      <c r="Z14" s="293"/>
      <c r="AA14" s="293"/>
      <c r="AB14" s="293"/>
      <c r="AC14" s="293"/>
      <c r="AD14" s="293"/>
      <c r="AE14" s="293"/>
      <c r="AF14" s="293"/>
      <c r="AG14" s="293"/>
      <c r="AH14" s="293"/>
      <c r="AI14" s="293"/>
      <c r="AJ14" s="293"/>
      <c r="AK14" s="293"/>
      <c r="AL14" s="293"/>
      <c r="AM14" s="293"/>
      <c r="AN14" s="293"/>
      <c r="AO14" s="293"/>
      <c r="AP14" s="293"/>
      <c r="AQ14" s="293"/>
      <c r="AR14" s="293"/>
      <c r="AS14" s="293"/>
      <c r="AT14" s="293"/>
      <c r="AU14" s="293"/>
      <c r="AV14" s="293"/>
      <c r="AW14" s="293"/>
      <c r="AX14" s="293"/>
      <c r="AY14" s="293"/>
      <c r="AZ14" s="293"/>
      <c r="BA14" s="293"/>
      <c r="BB14" s="293"/>
      <c r="BC14" s="293"/>
      <c r="BD14" s="293"/>
      <c r="BE14" s="293"/>
      <c r="BF14" s="293"/>
      <c r="BG14" s="293"/>
      <c r="BH14" s="293"/>
      <c r="BI14" s="293"/>
      <c r="BJ14" s="293"/>
      <c r="BK14" s="293"/>
      <c r="BL14" s="293"/>
      <c r="BM14" s="293"/>
      <c r="BN14" s="293"/>
      <c r="BO14" s="293"/>
      <c r="BP14" s="293"/>
      <c r="BQ14" s="293"/>
      <c r="BR14" s="293"/>
      <c r="BS14" s="293"/>
      <c r="BT14" s="293"/>
      <c r="BU14" s="293"/>
      <c r="BV14" s="293"/>
      <c r="BW14" s="293"/>
      <c r="BX14" s="293"/>
      <c r="BY14" s="293"/>
      <c r="BZ14" s="293"/>
      <c r="CA14" s="293"/>
      <c r="CB14" s="293"/>
      <c r="CC14" s="293"/>
      <c r="CD14" s="293"/>
      <c r="CE14" s="293"/>
      <c r="CF14" s="293"/>
      <c r="CG14" s="293"/>
      <c r="CH14" s="293"/>
      <c r="CI14" s="293"/>
      <c r="CJ14" s="293"/>
      <c r="CK14" s="293"/>
      <c r="CL14" s="293"/>
      <c r="CM14" s="293"/>
      <c r="CN14" s="293"/>
      <c r="CO14" s="293"/>
      <c r="CP14" s="293"/>
      <c r="CQ14" s="293"/>
      <c r="CR14" s="293"/>
      <c r="CS14" s="293"/>
      <c r="CT14" s="293"/>
      <c r="CU14" s="293"/>
      <c r="CV14" s="293"/>
      <c r="CW14" s="293"/>
      <c r="CX14" s="293"/>
      <c r="CY14" s="293"/>
      <c r="CZ14" s="293"/>
      <c r="DA14" s="293"/>
      <c r="DB14" s="293"/>
      <c r="DC14" s="293"/>
      <c r="DD14" s="293"/>
      <c r="DE14" s="293"/>
      <c r="DF14" s="293"/>
      <c r="DG14" s="293"/>
      <c r="DH14" s="293"/>
      <c r="DI14" s="293"/>
      <c r="DJ14" s="293"/>
      <c r="DK14" s="293"/>
      <c r="DL14" s="293"/>
      <c r="DM14" s="293"/>
      <c r="DN14" s="293"/>
      <c r="DO14" s="293"/>
      <c r="DP14" s="293"/>
      <c r="DQ14" s="293"/>
      <c r="DR14" s="293"/>
      <c r="DS14" s="293"/>
      <c r="DT14" s="293"/>
      <c r="DU14" s="293"/>
      <c r="DV14" s="293"/>
      <c r="DW14" s="293"/>
      <c r="DX14" s="293"/>
      <c r="DY14" s="293"/>
      <c r="DZ14" s="293"/>
      <c r="EA14" s="293"/>
      <c r="EB14" s="293"/>
      <c r="EC14" s="293"/>
      <c r="ED14" s="293"/>
      <c r="EE14" s="293"/>
      <c r="EF14" s="293"/>
      <c r="EG14" s="293"/>
      <c r="EH14" s="293"/>
      <c r="EI14" s="293"/>
      <c r="EJ14" s="293"/>
      <c r="EK14" s="293"/>
      <c r="EL14" s="293"/>
      <c r="EM14" s="293"/>
      <c r="EN14" s="293"/>
      <c r="EO14" s="293"/>
      <c r="EP14" s="293"/>
      <c r="EQ14" s="293"/>
      <c r="ER14" s="293"/>
      <c r="ES14" s="293"/>
      <c r="ET14" s="293"/>
      <c r="EU14" s="293"/>
      <c r="EV14" s="293"/>
      <c r="EW14" s="293"/>
      <c r="EX14" s="293"/>
      <c r="EY14" s="293"/>
      <c r="EZ14" s="293"/>
      <c r="FA14" s="293"/>
      <c r="FB14" s="293"/>
      <c r="FC14" s="293"/>
      <c r="FD14" s="293"/>
      <c r="FE14" s="293"/>
      <c r="FF14" s="293"/>
      <c r="FG14" s="293"/>
      <c r="FH14" s="293"/>
      <c r="FI14" s="293"/>
      <c r="FJ14" s="293"/>
      <c r="FK14" s="293"/>
      <c r="FL14" s="293"/>
      <c r="FM14" s="293"/>
      <c r="FN14" s="293"/>
      <c r="FO14" s="293"/>
      <c r="FP14" s="293"/>
      <c r="FQ14" s="293"/>
      <c r="FR14" s="293"/>
      <c r="FS14" s="293"/>
      <c r="FT14" s="293"/>
      <c r="FU14" s="293"/>
      <c r="FV14" s="293"/>
      <c r="FW14" s="293"/>
      <c r="FX14" s="293"/>
      <c r="FY14" s="293"/>
      <c r="FZ14" s="293"/>
      <c r="GA14" s="293"/>
      <c r="GB14" s="293"/>
      <c r="GC14" s="293"/>
      <c r="GD14" s="293"/>
      <c r="GE14" s="293"/>
      <c r="GF14" s="293"/>
      <c r="GG14" s="293"/>
      <c r="GH14" s="293"/>
      <c r="GI14" s="293"/>
      <c r="GJ14" s="293"/>
      <c r="GK14" s="293"/>
      <c r="GL14" s="293"/>
      <c r="GM14" s="293"/>
      <c r="GN14" s="293"/>
      <c r="GO14" s="293"/>
      <c r="GP14" s="293"/>
      <c r="GQ14" s="293"/>
      <c r="GR14" s="293"/>
      <c r="GS14" s="293"/>
      <c r="GT14" s="293"/>
      <c r="GU14" s="293"/>
      <c r="GV14" s="293"/>
      <c r="GW14" s="293"/>
      <c r="GX14" s="293"/>
      <c r="GY14" s="293"/>
      <c r="GZ14" s="293"/>
    </row>
    <row r="15" spans="1:208" ht="30">
      <c r="A15" s="287">
        <v>4</v>
      </c>
      <c r="B15" s="300">
        <v>44584</v>
      </c>
      <c r="C15" s="289">
        <v>1106184</v>
      </c>
      <c r="D15" s="289" t="s">
        <v>4272</v>
      </c>
      <c r="E15" s="289" t="s">
        <v>4250</v>
      </c>
      <c r="F15" s="289" t="s">
        <v>4264</v>
      </c>
      <c r="G15" s="289">
        <v>3185</v>
      </c>
      <c r="H15" s="289">
        <v>42</v>
      </c>
      <c r="I15" s="289">
        <v>4502257440</v>
      </c>
      <c r="J15" s="289">
        <v>3025460</v>
      </c>
      <c r="K15" s="289">
        <v>4902198597</v>
      </c>
      <c r="L15" s="289" t="s">
        <v>4252</v>
      </c>
      <c r="M15" s="298">
        <v>20375.142857142855</v>
      </c>
      <c r="N15" s="289">
        <v>6850</v>
      </c>
      <c r="O15" s="291">
        <f t="shared" si="2"/>
        <v>139569728.57142857</v>
      </c>
      <c r="P15" s="292">
        <f t="shared" si="3"/>
        <v>3</v>
      </c>
      <c r="Q15" s="289" t="s">
        <v>3720</v>
      </c>
      <c r="R15" s="289">
        <v>1040968</v>
      </c>
      <c r="S15" s="299">
        <f t="shared" si="4"/>
        <v>8947800</v>
      </c>
      <c r="T15" s="292"/>
      <c r="U15" s="292"/>
      <c r="V15" s="292"/>
      <c r="W15" s="292"/>
      <c r="X15" s="292"/>
      <c r="Y15" s="292"/>
      <c r="Z15" s="293"/>
      <c r="AA15" s="293"/>
      <c r="AB15" s="293"/>
      <c r="AC15" s="293"/>
      <c r="AD15" s="293"/>
      <c r="AE15" s="293"/>
      <c r="AF15" s="293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  <c r="BA15" s="293"/>
      <c r="BB15" s="293"/>
      <c r="BC15" s="293"/>
      <c r="BD15" s="293"/>
      <c r="BE15" s="293"/>
      <c r="BF15" s="293"/>
      <c r="BG15" s="293"/>
      <c r="BH15" s="293"/>
      <c r="BI15" s="293"/>
      <c r="BJ15" s="293"/>
      <c r="BK15" s="293"/>
      <c r="BL15" s="293"/>
      <c r="BM15" s="293"/>
      <c r="BN15" s="293"/>
      <c r="BO15" s="293"/>
      <c r="BP15" s="293"/>
      <c r="BQ15" s="293"/>
      <c r="BR15" s="293"/>
      <c r="BS15" s="293"/>
      <c r="BT15" s="293"/>
      <c r="BU15" s="293"/>
      <c r="BV15" s="293"/>
      <c r="BW15" s="293"/>
      <c r="BX15" s="293"/>
      <c r="BY15" s="293"/>
      <c r="BZ15" s="293"/>
      <c r="CA15" s="293"/>
      <c r="CB15" s="293"/>
      <c r="CC15" s="293"/>
      <c r="CD15" s="293"/>
      <c r="CE15" s="293"/>
      <c r="CF15" s="293"/>
      <c r="CG15" s="293"/>
      <c r="CH15" s="293"/>
      <c r="CI15" s="293"/>
      <c r="CJ15" s="293"/>
      <c r="CK15" s="293"/>
      <c r="CL15" s="293"/>
      <c r="CM15" s="293"/>
      <c r="CN15" s="293"/>
      <c r="CO15" s="293"/>
      <c r="CP15" s="293"/>
      <c r="CQ15" s="293"/>
      <c r="CR15" s="293"/>
      <c r="CS15" s="293"/>
      <c r="CT15" s="293"/>
      <c r="CU15" s="293"/>
      <c r="CV15" s="293"/>
      <c r="CW15" s="293"/>
      <c r="CX15" s="293"/>
      <c r="CY15" s="293"/>
      <c r="CZ15" s="293"/>
      <c r="DA15" s="293"/>
      <c r="DB15" s="293"/>
      <c r="DC15" s="293"/>
      <c r="DD15" s="293"/>
      <c r="DE15" s="293"/>
      <c r="DF15" s="293"/>
      <c r="DG15" s="293"/>
      <c r="DH15" s="293"/>
      <c r="DI15" s="293"/>
      <c r="DJ15" s="293"/>
      <c r="DK15" s="293"/>
      <c r="DL15" s="293"/>
      <c r="DM15" s="293"/>
      <c r="DN15" s="293"/>
      <c r="DO15" s="293"/>
      <c r="DP15" s="293"/>
      <c r="DQ15" s="293"/>
      <c r="DR15" s="293"/>
      <c r="DS15" s="293"/>
      <c r="DT15" s="293"/>
      <c r="DU15" s="293"/>
      <c r="DV15" s="293"/>
      <c r="DW15" s="293"/>
      <c r="DX15" s="293"/>
      <c r="DY15" s="293"/>
      <c r="DZ15" s="293"/>
      <c r="EA15" s="293"/>
      <c r="EB15" s="293"/>
      <c r="EC15" s="293"/>
      <c r="ED15" s="293"/>
      <c r="EE15" s="293"/>
      <c r="EF15" s="293"/>
      <c r="EG15" s="293"/>
      <c r="EH15" s="293"/>
      <c r="EI15" s="293"/>
      <c r="EJ15" s="293"/>
      <c r="EK15" s="293"/>
      <c r="EL15" s="293"/>
      <c r="EM15" s="293"/>
      <c r="EN15" s="293"/>
      <c r="EO15" s="293"/>
      <c r="EP15" s="293"/>
      <c r="EQ15" s="293"/>
      <c r="ER15" s="293"/>
      <c r="ES15" s="293"/>
      <c r="ET15" s="293"/>
      <c r="EU15" s="293"/>
      <c r="EV15" s="293"/>
      <c r="EW15" s="293"/>
      <c r="EX15" s="293"/>
      <c r="EY15" s="293"/>
      <c r="EZ15" s="293"/>
      <c r="FA15" s="293"/>
      <c r="FB15" s="293"/>
      <c r="FC15" s="293"/>
      <c r="FD15" s="293"/>
      <c r="FE15" s="293"/>
      <c r="FF15" s="293"/>
      <c r="FG15" s="293"/>
      <c r="FH15" s="293"/>
      <c r="FI15" s="293"/>
      <c r="FJ15" s="293"/>
      <c r="FK15" s="293"/>
      <c r="FL15" s="293"/>
      <c r="FM15" s="293"/>
      <c r="FN15" s="293"/>
      <c r="FO15" s="293"/>
      <c r="FP15" s="293"/>
      <c r="FQ15" s="293"/>
      <c r="FR15" s="293"/>
      <c r="FS15" s="293"/>
      <c r="FT15" s="293"/>
      <c r="FU15" s="293"/>
      <c r="FV15" s="293"/>
      <c r="FW15" s="293"/>
      <c r="FX15" s="293"/>
      <c r="FY15" s="293"/>
      <c r="FZ15" s="293"/>
      <c r="GA15" s="293"/>
      <c r="GB15" s="293"/>
      <c r="GC15" s="293"/>
      <c r="GD15" s="293"/>
      <c r="GE15" s="293"/>
      <c r="GF15" s="293"/>
      <c r="GG15" s="293"/>
      <c r="GH15" s="293"/>
      <c r="GI15" s="293"/>
      <c r="GJ15" s="293"/>
      <c r="GK15" s="293"/>
      <c r="GL15" s="293"/>
      <c r="GM15" s="293"/>
      <c r="GN15" s="293"/>
      <c r="GO15" s="293"/>
      <c r="GP15" s="293"/>
      <c r="GQ15" s="293"/>
      <c r="GR15" s="293"/>
      <c r="GS15" s="293"/>
      <c r="GT15" s="293"/>
      <c r="GU15" s="293"/>
      <c r="GV15" s="293"/>
      <c r="GW15" s="293"/>
      <c r="GX15" s="293"/>
      <c r="GY15" s="293"/>
      <c r="GZ15" s="293"/>
    </row>
    <row r="16" spans="1:208" ht="15">
      <c r="A16" s="287">
        <v>4</v>
      </c>
      <c r="B16" s="288">
        <v>44584</v>
      </c>
      <c r="C16" s="289">
        <v>1109669</v>
      </c>
      <c r="D16" s="289" t="s">
        <v>4273</v>
      </c>
      <c r="E16" s="289" t="s">
        <v>4256</v>
      </c>
      <c r="F16" s="289" t="s">
        <v>4264</v>
      </c>
      <c r="G16" s="289">
        <v>3186</v>
      </c>
      <c r="H16" s="289">
        <v>28</v>
      </c>
      <c r="I16" s="289">
        <v>4502257444</v>
      </c>
      <c r="J16" s="289">
        <v>3025460</v>
      </c>
      <c r="K16" s="289">
        <v>4902197259</v>
      </c>
      <c r="L16" s="289" t="s">
        <v>4252</v>
      </c>
      <c r="M16" s="298">
        <v>13712</v>
      </c>
      <c r="N16" s="289">
        <v>6850</v>
      </c>
      <c r="O16" s="291">
        <f t="shared" si="2"/>
        <v>93927200</v>
      </c>
      <c r="P16" s="292">
        <f t="shared" si="3"/>
        <v>2</v>
      </c>
      <c r="Q16" s="289" t="s">
        <v>3720</v>
      </c>
      <c r="R16" s="289">
        <v>1040968</v>
      </c>
      <c r="S16" s="292">
        <v>5958400</v>
      </c>
      <c r="T16" s="292"/>
      <c r="U16" s="292"/>
      <c r="V16" s="292"/>
      <c r="W16" s="292"/>
      <c r="X16" s="292"/>
      <c r="Y16" s="292"/>
      <c r="Z16" s="293"/>
      <c r="AA16" s="293"/>
      <c r="AB16" s="293"/>
      <c r="AC16" s="293"/>
      <c r="AD16" s="293"/>
      <c r="AE16" s="293"/>
      <c r="AF16" s="293"/>
      <c r="AG16" s="293"/>
      <c r="AH16" s="293"/>
      <c r="AI16" s="293"/>
      <c r="AJ16" s="293"/>
      <c r="AK16" s="293"/>
      <c r="AL16" s="293"/>
      <c r="AM16" s="293"/>
      <c r="AN16" s="293"/>
      <c r="AO16" s="293"/>
      <c r="AP16" s="293"/>
      <c r="AQ16" s="293"/>
      <c r="AR16" s="293"/>
      <c r="AS16" s="293"/>
      <c r="AT16" s="293"/>
      <c r="AU16" s="293"/>
      <c r="AV16" s="293"/>
      <c r="AW16" s="293"/>
      <c r="AX16" s="293"/>
      <c r="AY16" s="293"/>
      <c r="AZ16" s="293"/>
      <c r="BA16" s="293"/>
      <c r="BB16" s="293"/>
      <c r="BC16" s="293"/>
      <c r="BD16" s="293"/>
      <c r="BE16" s="293"/>
      <c r="BF16" s="293"/>
      <c r="BG16" s="293"/>
      <c r="BH16" s="293"/>
      <c r="BI16" s="293"/>
      <c r="BJ16" s="293"/>
      <c r="BK16" s="293"/>
      <c r="BL16" s="293"/>
      <c r="BM16" s="293"/>
      <c r="BN16" s="293"/>
      <c r="BO16" s="293"/>
      <c r="BP16" s="293"/>
      <c r="BQ16" s="293"/>
      <c r="BR16" s="293"/>
      <c r="BS16" s="293"/>
      <c r="BT16" s="293"/>
      <c r="BU16" s="293"/>
      <c r="BV16" s="293"/>
      <c r="BW16" s="293"/>
      <c r="BX16" s="293"/>
      <c r="BY16" s="293"/>
      <c r="BZ16" s="293"/>
      <c r="CA16" s="293"/>
      <c r="CB16" s="293"/>
      <c r="CC16" s="293"/>
      <c r="CD16" s="293"/>
      <c r="CE16" s="293"/>
      <c r="CF16" s="293"/>
      <c r="CG16" s="293"/>
      <c r="CH16" s="293"/>
      <c r="CI16" s="293"/>
      <c r="CJ16" s="293"/>
      <c r="CK16" s="293"/>
      <c r="CL16" s="293"/>
      <c r="CM16" s="293"/>
      <c r="CN16" s="293"/>
      <c r="CO16" s="293"/>
      <c r="CP16" s="293"/>
      <c r="CQ16" s="293"/>
      <c r="CR16" s="293"/>
      <c r="CS16" s="293"/>
      <c r="CT16" s="293"/>
      <c r="CU16" s="293"/>
      <c r="CV16" s="293"/>
      <c r="CW16" s="293"/>
      <c r="CX16" s="293"/>
      <c r="CY16" s="293"/>
      <c r="CZ16" s="293"/>
      <c r="DA16" s="293"/>
      <c r="DB16" s="293"/>
      <c r="DC16" s="293"/>
      <c r="DD16" s="293"/>
      <c r="DE16" s="293"/>
      <c r="DF16" s="293"/>
      <c r="DG16" s="293"/>
      <c r="DH16" s="293"/>
      <c r="DI16" s="293"/>
      <c r="DJ16" s="293"/>
      <c r="DK16" s="293"/>
      <c r="DL16" s="293"/>
      <c r="DM16" s="293"/>
      <c r="DN16" s="293"/>
      <c r="DO16" s="293"/>
      <c r="DP16" s="293"/>
      <c r="DQ16" s="293"/>
      <c r="DR16" s="293"/>
      <c r="DS16" s="293"/>
      <c r="DT16" s="293"/>
      <c r="DU16" s="293"/>
      <c r="DV16" s="293"/>
      <c r="DW16" s="293"/>
      <c r="DX16" s="293"/>
      <c r="DY16" s="293"/>
      <c r="DZ16" s="293"/>
      <c r="EA16" s="293"/>
      <c r="EB16" s="293"/>
      <c r="EC16" s="293"/>
      <c r="ED16" s="293"/>
      <c r="EE16" s="293"/>
      <c r="EF16" s="293"/>
      <c r="EG16" s="293"/>
      <c r="EH16" s="293"/>
      <c r="EI16" s="293"/>
      <c r="EJ16" s="293"/>
      <c r="EK16" s="293"/>
      <c r="EL16" s="293"/>
      <c r="EM16" s="293"/>
      <c r="EN16" s="293"/>
      <c r="EO16" s="293"/>
      <c r="EP16" s="293"/>
      <c r="EQ16" s="293"/>
      <c r="ER16" s="293"/>
      <c r="ES16" s="293"/>
      <c r="ET16" s="293"/>
      <c r="EU16" s="293"/>
      <c r="EV16" s="293"/>
      <c r="EW16" s="293"/>
      <c r="EX16" s="293"/>
      <c r="EY16" s="293"/>
      <c r="EZ16" s="293"/>
      <c r="FA16" s="293"/>
      <c r="FB16" s="293"/>
      <c r="FC16" s="293"/>
      <c r="FD16" s="293"/>
      <c r="FE16" s="293"/>
      <c r="FF16" s="293"/>
      <c r="FG16" s="293"/>
      <c r="FH16" s="293"/>
      <c r="FI16" s="293"/>
      <c r="FJ16" s="293"/>
      <c r="FK16" s="293"/>
      <c r="FL16" s="293"/>
      <c r="FM16" s="293"/>
      <c r="FN16" s="293"/>
      <c r="FO16" s="293"/>
      <c r="FP16" s="293"/>
      <c r="FQ16" s="293"/>
      <c r="FR16" s="293"/>
      <c r="FS16" s="293"/>
      <c r="FT16" s="293"/>
      <c r="FU16" s="293"/>
      <c r="FV16" s="293"/>
      <c r="FW16" s="293"/>
      <c r="FX16" s="293"/>
      <c r="FY16" s="293"/>
      <c r="FZ16" s="293"/>
      <c r="GA16" s="293"/>
      <c r="GB16" s="293"/>
      <c r="GC16" s="293"/>
      <c r="GD16" s="293"/>
      <c r="GE16" s="293"/>
      <c r="GF16" s="293"/>
      <c r="GG16" s="293"/>
      <c r="GH16" s="293"/>
      <c r="GI16" s="293"/>
      <c r="GJ16" s="293"/>
      <c r="GK16" s="293"/>
      <c r="GL16" s="293"/>
      <c r="GM16" s="293"/>
      <c r="GN16" s="293"/>
      <c r="GO16" s="293"/>
      <c r="GP16" s="293"/>
      <c r="GQ16" s="293"/>
      <c r="GR16" s="293"/>
      <c r="GS16" s="293"/>
      <c r="GT16" s="293"/>
      <c r="GU16" s="293"/>
      <c r="GV16" s="293"/>
      <c r="GW16" s="293"/>
      <c r="GX16" s="293"/>
      <c r="GY16" s="293"/>
      <c r="GZ16" s="293"/>
    </row>
    <row r="17" spans="1:208" ht="15">
      <c r="A17" s="287">
        <v>4</v>
      </c>
      <c r="B17" s="288">
        <v>44584</v>
      </c>
      <c r="C17" s="289">
        <v>1109669</v>
      </c>
      <c r="D17" s="289" t="s">
        <v>4274</v>
      </c>
      <c r="E17" s="289" t="s">
        <v>4256</v>
      </c>
      <c r="F17" s="289" t="s">
        <v>4275</v>
      </c>
      <c r="G17" s="289">
        <v>3186</v>
      </c>
      <c r="H17" s="289">
        <v>56</v>
      </c>
      <c r="I17" s="289">
        <v>4502257444</v>
      </c>
      <c r="J17" s="289">
        <v>3025459</v>
      </c>
      <c r="K17" s="289">
        <v>4902197260</v>
      </c>
      <c r="L17" s="289" t="s">
        <v>4252</v>
      </c>
      <c r="M17" s="298">
        <v>27424</v>
      </c>
      <c r="N17" s="289">
        <v>6850</v>
      </c>
      <c r="O17" s="291">
        <f t="shared" si="2"/>
        <v>187854400</v>
      </c>
      <c r="P17" s="292">
        <f t="shared" si="3"/>
        <v>4</v>
      </c>
      <c r="Q17" s="289" t="s">
        <v>3720</v>
      </c>
      <c r="R17" s="289">
        <v>1040968</v>
      </c>
      <c r="S17" s="292">
        <v>11916800</v>
      </c>
      <c r="T17" s="292"/>
      <c r="U17" s="292"/>
      <c r="V17" s="292"/>
      <c r="W17" s="292"/>
      <c r="X17" s="292"/>
      <c r="Y17" s="292"/>
      <c r="Z17" s="293"/>
      <c r="AA17" s="293"/>
      <c r="AB17" s="293"/>
      <c r="AC17" s="293"/>
      <c r="AD17" s="293"/>
      <c r="AE17" s="293"/>
      <c r="AF17" s="293"/>
      <c r="AG17" s="293"/>
      <c r="AH17" s="293"/>
      <c r="AI17" s="293"/>
      <c r="AJ17" s="293"/>
      <c r="AK17" s="293"/>
      <c r="AL17" s="293"/>
      <c r="AM17" s="293"/>
      <c r="AN17" s="293"/>
      <c r="AO17" s="293"/>
      <c r="AP17" s="293"/>
      <c r="AQ17" s="293"/>
      <c r="AR17" s="293"/>
      <c r="AS17" s="293"/>
      <c r="AT17" s="293"/>
      <c r="AU17" s="293"/>
      <c r="AV17" s="293"/>
      <c r="AW17" s="293"/>
      <c r="AX17" s="293"/>
      <c r="AY17" s="293"/>
      <c r="AZ17" s="293"/>
      <c r="BA17" s="293"/>
      <c r="BB17" s="293"/>
      <c r="BC17" s="293"/>
      <c r="BD17" s="293"/>
      <c r="BE17" s="293"/>
      <c r="BF17" s="293"/>
      <c r="BG17" s="293"/>
      <c r="BH17" s="293"/>
      <c r="BI17" s="293"/>
      <c r="BJ17" s="293"/>
      <c r="BK17" s="293"/>
      <c r="BL17" s="293"/>
      <c r="BM17" s="293"/>
      <c r="BN17" s="293"/>
      <c r="BO17" s="293"/>
      <c r="BP17" s="293"/>
      <c r="BQ17" s="293"/>
      <c r="BR17" s="293"/>
      <c r="BS17" s="293"/>
      <c r="BT17" s="293"/>
      <c r="BU17" s="293"/>
      <c r="BV17" s="293"/>
      <c r="BW17" s="293"/>
      <c r="BX17" s="293"/>
      <c r="BY17" s="293"/>
      <c r="BZ17" s="293"/>
      <c r="CA17" s="293"/>
      <c r="CB17" s="293"/>
      <c r="CC17" s="293"/>
      <c r="CD17" s="293"/>
      <c r="CE17" s="293"/>
      <c r="CF17" s="293"/>
      <c r="CG17" s="293"/>
      <c r="CH17" s="293"/>
      <c r="CI17" s="293"/>
      <c r="CJ17" s="293"/>
      <c r="CK17" s="293"/>
      <c r="CL17" s="293"/>
      <c r="CM17" s="293"/>
      <c r="CN17" s="293"/>
      <c r="CO17" s="293"/>
      <c r="CP17" s="293"/>
      <c r="CQ17" s="293"/>
      <c r="CR17" s="293"/>
      <c r="CS17" s="293"/>
      <c r="CT17" s="293"/>
      <c r="CU17" s="293"/>
      <c r="CV17" s="293"/>
      <c r="CW17" s="293"/>
      <c r="CX17" s="293"/>
      <c r="CY17" s="293"/>
      <c r="CZ17" s="293"/>
      <c r="DA17" s="293"/>
      <c r="DB17" s="293"/>
      <c r="DC17" s="293"/>
      <c r="DD17" s="293"/>
      <c r="DE17" s="293"/>
      <c r="DF17" s="293"/>
      <c r="DG17" s="293"/>
      <c r="DH17" s="293"/>
      <c r="DI17" s="293"/>
      <c r="DJ17" s="293"/>
      <c r="DK17" s="293"/>
      <c r="DL17" s="293"/>
      <c r="DM17" s="293"/>
      <c r="DN17" s="293"/>
      <c r="DO17" s="293"/>
      <c r="DP17" s="293"/>
      <c r="DQ17" s="293"/>
      <c r="DR17" s="293"/>
      <c r="DS17" s="293"/>
      <c r="DT17" s="293"/>
      <c r="DU17" s="293"/>
      <c r="DV17" s="293"/>
      <c r="DW17" s="293"/>
      <c r="DX17" s="293"/>
      <c r="DY17" s="293"/>
      <c r="DZ17" s="293"/>
      <c r="EA17" s="293"/>
      <c r="EB17" s="293"/>
      <c r="EC17" s="293"/>
      <c r="ED17" s="293"/>
      <c r="EE17" s="293"/>
      <c r="EF17" s="293"/>
      <c r="EG17" s="293"/>
      <c r="EH17" s="293"/>
      <c r="EI17" s="293"/>
      <c r="EJ17" s="293"/>
      <c r="EK17" s="293"/>
      <c r="EL17" s="293"/>
      <c r="EM17" s="293"/>
      <c r="EN17" s="293"/>
      <c r="EO17" s="293"/>
      <c r="EP17" s="293"/>
      <c r="EQ17" s="293"/>
      <c r="ER17" s="293"/>
      <c r="ES17" s="293"/>
      <c r="ET17" s="293"/>
      <c r="EU17" s="293"/>
      <c r="EV17" s="293"/>
      <c r="EW17" s="293"/>
      <c r="EX17" s="293"/>
      <c r="EY17" s="293"/>
      <c r="EZ17" s="293"/>
      <c r="FA17" s="293"/>
      <c r="FB17" s="293"/>
      <c r="FC17" s="293"/>
      <c r="FD17" s="293"/>
      <c r="FE17" s="293"/>
      <c r="FF17" s="293"/>
      <c r="FG17" s="293"/>
      <c r="FH17" s="293"/>
      <c r="FI17" s="293"/>
      <c r="FJ17" s="293"/>
      <c r="FK17" s="293"/>
      <c r="FL17" s="293"/>
      <c r="FM17" s="293"/>
      <c r="FN17" s="293"/>
      <c r="FO17" s="293"/>
      <c r="FP17" s="293"/>
      <c r="FQ17" s="293"/>
      <c r="FR17" s="293"/>
      <c r="FS17" s="293"/>
      <c r="FT17" s="293"/>
      <c r="FU17" s="293"/>
      <c r="FV17" s="293"/>
      <c r="FW17" s="293"/>
      <c r="FX17" s="293"/>
      <c r="FY17" s="293"/>
      <c r="FZ17" s="293"/>
      <c r="GA17" s="293"/>
      <c r="GB17" s="293"/>
      <c r="GC17" s="293"/>
      <c r="GD17" s="293"/>
      <c r="GE17" s="293"/>
      <c r="GF17" s="293"/>
      <c r="GG17" s="293"/>
      <c r="GH17" s="293"/>
      <c r="GI17" s="293"/>
      <c r="GJ17" s="293"/>
      <c r="GK17" s="293"/>
      <c r="GL17" s="293"/>
      <c r="GM17" s="293"/>
      <c r="GN17" s="293"/>
      <c r="GO17" s="293"/>
      <c r="GP17" s="293"/>
      <c r="GQ17" s="293"/>
      <c r="GR17" s="293"/>
      <c r="GS17" s="293"/>
      <c r="GT17" s="293"/>
      <c r="GU17" s="293"/>
      <c r="GV17" s="293"/>
      <c r="GW17" s="293"/>
      <c r="GX17" s="293"/>
      <c r="GY17" s="293"/>
      <c r="GZ17" s="293"/>
    </row>
    <row r="18" spans="1:208" ht="30">
      <c r="A18" s="287">
        <v>4</v>
      </c>
      <c r="B18" s="288">
        <v>44586</v>
      </c>
      <c r="C18" s="289">
        <v>1036751</v>
      </c>
      <c r="D18" s="289" t="s">
        <v>4271</v>
      </c>
      <c r="E18" s="301" t="s">
        <v>4258</v>
      </c>
      <c r="F18" s="289" t="s">
        <v>4251</v>
      </c>
      <c r="G18" s="289">
        <v>3180</v>
      </c>
      <c r="H18" s="289">
        <v>14</v>
      </c>
      <c r="I18" s="289">
        <v>4502244647</v>
      </c>
      <c r="J18" s="289">
        <v>3025457</v>
      </c>
      <c r="K18" s="289">
        <v>4902197261</v>
      </c>
      <c r="L18" s="289" t="s">
        <v>4252</v>
      </c>
      <c r="M18" s="290">
        <v>7504.6329999999998</v>
      </c>
      <c r="N18" s="289">
        <v>8035</v>
      </c>
      <c r="O18" s="291">
        <f t="shared" si="2"/>
        <v>60299726.155000001</v>
      </c>
      <c r="P18" s="292">
        <f t="shared" si="3"/>
        <v>1</v>
      </c>
      <c r="Q18" s="289" t="s">
        <v>3720</v>
      </c>
      <c r="R18" s="289">
        <v>1040968</v>
      </c>
      <c r="S18" s="292">
        <v>12720000</v>
      </c>
      <c r="T18" s="292"/>
      <c r="U18" s="292"/>
      <c r="V18" s="292"/>
      <c r="W18" s="292"/>
      <c r="X18" s="292"/>
      <c r="Y18" s="292"/>
      <c r="Z18" s="293"/>
      <c r="AA18" s="293"/>
      <c r="AB18" s="293"/>
      <c r="AC18" s="293"/>
      <c r="AD18" s="293"/>
      <c r="AE18" s="293"/>
      <c r="AF18" s="293"/>
      <c r="AG18" s="293"/>
      <c r="AH18" s="293"/>
      <c r="AI18" s="293"/>
      <c r="AJ18" s="293"/>
      <c r="AK18" s="293"/>
      <c r="AL18" s="293"/>
      <c r="AM18" s="293"/>
      <c r="AN18" s="293"/>
      <c r="AO18" s="293"/>
      <c r="AP18" s="293"/>
      <c r="AQ18" s="293"/>
      <c r="AR18" s="293"/>
      <c r="AS18" s="293"/>
      <c r="AT18" s="293"/>
      <c r="AU18" s="293"/>
      <c r="AV18" s="293"/>
      <c r="AW18" s="293"/>
      <c r="AX18" s="293"/>
      <c r="AY18" s="293"/>
      <c r="AZ18" s="293"/>
      <c r="BA18" s="293"/>
      <c r="BB18" s="293"/>
      <c r="BC18" s="293"/>
      <c r="BD18" s="293"/>
      <c r="BE18" s="293"/>
      <c r="BF18" s="293"/>
      <c r="BG18" s="293"/>
      <c r="BH18" s="293"/>
      <c r="BI18" s="293"/>
      <c r="BJ18" s="293"/>
      <c r="BK18" s="293"/>
      <c r="BL18" s="293"/>
      <c r="BM18" s="293"/>
      <c r="BN18" s="293"/>
      <c r="BO18" s="293"/>
      <c r="BP18" s="293"/>
      <c r="BQ18" s="293"/>
      <c r="BR18" s="293"/>
      <c r="BS18" s="293"/>
      <c r="BT18" s="293"/>
      <c r="BU18" s="293"/>
      <c r="BV18" s="293"/>
      <c r="BW18" s="293"/>
      <c r="BX18" s="293"/>
      <c r="BY18" s="293"/>
      <c r="BZ18" s="293"/>
      <c r="CA18" s="293"/>
      <c r="CB18" s="293"/>
      <c r="CC18" s="293"/>
      <c r="CD18" s="293"/>
      <c r="CE18" s="293"/>
      <c r="CF18" s="293"/>
      <c r="CG18" s="293"/>
      <c r="CH18" s="293"/>
      <c r="CI18" s="293"/>
      <c r="CJ18" s="293"/>
      <c r="CK18" s="293"/>
      <c r="CL18" s="293"/>
      <c r="CM18" s="293"/>
      <c r="CN18" s="293"/>
      <c r="CO18" s="293"/>
      <c r="CP18" s="293"/>
      <c r="CQ18" s="293"/>
      <c r="CR18" s="293"/>
      <c r="CS18" s="293"/>
      <c r="CT18" s="293"/>
      <c r="CU18" s="293"/>
      <c r="CV18" s="293"/>
      <c r="CW18" s="293"/>
      <c r="CX18" s="293"/>
      <c r="CY18" s="293"/>
      <c r="CZ18" s="293"/>
      <c r="DA18" s="293"/>
      <c r="DB18" s="293"/>
      <c r="DC18" s="293"/>
      <c r="DD18" s="293"/>
      <c r="DE18" s="293"/>
      <c r="DF18" s="293"/>
      <c r="DG18" s="293"/>
      <c r="DH18" s="293"/>
      <c r="DI18" s="293"/>
      <c r="DJ18" s="293"/>
      <c r="DK18" s="293"/>
      <c r="DL18" s="293"/>
      <c r="DM18" s="293"/>
      <c r="DN18" s="293"/>
      <c r="DO18" s="293"/>
      <c r="DP18" s="293"/>
      <c r="DQ18" s="293"/>
      <c r="DR18" s="293"/>
      <c r="DS18" s="293"/>
      <c r="DT18" s="293"/>
      <c r="DU18" s="293"/>
      <c r="DV18" s="293"/>
      <c r="DW18" s="293"/>
      <c r="DX18" s="293"/>
      <c r="DY18" s="293"/>
      <c r="DZ18" s="293"/>
      <c r="EA18" s="293"/>
      <c r="EB18" s="293"/>
      <c r="EC18" s="293"/>
      <c r="ED18" s="293"/>
      <c r="EE18" s="293"/>
      <c r="EF18" s="293"/>
      <c r="EG18" s="293"/>
      <c r="EH18" s="293"/>
      <c r="EI18" s="293"/>
      <c r="EJ18" s="293"/>
      <c r="EK18" s="293"/>
      <c r="EL18" s="293"/>
      <c r="EM18" s="293"/>
      <c r="EN18" s="293"/>
      <c r="EO18" s="293"/>
      <c r="EP18" s="293"/>
      <c r="EQ18" s="293"/>
      <c r="ER18" s="293"/>
      <c r="ES18" s="293"/>
      <c r="ET18" s="293"/>
      <c r="EU18" s="293"/>
      <c r="EV18" s="293"/>
      <c r="EW18" s="293"/>
      <c r="EX18" s="293"/>
      <c r="EY18" s="293"/>
      <c r="EZ18" s="293"/>
      <c r="FA18" s="293"/>
      <c r="FB18" s="293"/>
      <c r="FC18" s="293"/>
      <c r="FD18" s="293"/>
      <c r="FE18" s="293"/>
      <c r="FF18" s="293"/>
      <c r="FG18" s="293"/>
      <c r="FH18" s="293"/>
      <c r="FI18" s="293"/>
      <c r="FJ18" s="293"/>
      <c r="FK18" s="293"/>
      <c r="FL18" s="293"/>
      <c r="FM18" s="293"/>
      <c r="FN18" s="293"/>
      <c r="FO18" s="293"/>
      <c r="FP18" s="293"/>
      <c r="FQ18" s="293"/>
      <c r="FR18" s="293"/>
      <c r="FS18" s="293"/>
      <c r="FT18" s="293"/>
      <c r="FU18" s="293"/>
      <c r="FV18" s="293"/>
      <c r="FW18" s="293"/>
      <c r="FX18" s="293"/>
      <c r="FY18" s="293"/>
      <c r="FZ18" s="293"/>
      <c r="GA18" s="293"/>
      <c r="GB18" s="293"/>
      <c r="GC18" s="293"/>
      <c r="GD18" s="293"/>
      <c r="GE18" s="293"/>
      <c r="GF18" s="293"/>
      <c r="GG18" s="293"/>
      <c r="GH18" s="293"/>
      <c r="GI18" s="293"/>
      <c r="GJ18" s="293"/>
      <c r="GK18" s="293"/>
      <c r="GL18" s="293"/>
      <c r="GM18" s="293"/>
      <c r="GN18" s="293"/>
      <c r="GO18" s="293"/>
      <c r="GP18" s="293"/>
      <c r="GQ18" s="293"/>
      <c r="GR18" s="293"/>
      <c r="GS18" s="293"/>
      <c r="GT18" s="293"/>
      <c r="GU18" s="293"/>
      <c r="GV18" s="293"/>
      <c r="GW18" s="293"/>
      <c r="GX18" s="293"/>
      <c r="GY18" s="293"/>
      <c r="GZ18" s="293"/>
    </row>
    <row r="19" spans="1:208" ht="30">
      <c r="A19" s="287">
        <v>4</v>
      </c>
      <c r="B19" s="288">
        <v>44586</v>
      </c>
      <c r="C19" s="289">
        <v>1036751</v>
      </c>
      <c r="D19" s="289" t="s">
        <v>4276</v>
      </c>
      <c r="E19" s="301" t="s">
        <v>4258</v>
      </c>
      <c r="F19" s="289" t="s">
        <v>4251</v>
      </c>
      <c r="G19" s="289">
        <v>3180</v>
      </c>
      <c r="H19" s="289">
        <v>98</v>
      </c>
      <c r="I19" s="289">
        <v>4502244647</v>
      </c>
      <c r="J19" s="289">
        <v>3025457</v>
      </c>
      <c r="K19" s="289">
        <v>4902197261</v>
      </c>
      <c r="L19" s="289" t="s">
        <v>4252</v>
      </c>
      <c r="M19" s="290">
        <v>52532.432999999997</v>
      </c>
      <c r="N19" s="289">
        <v>8035</v>
      </c>
      <c r="O19" s="291">
        <f t="shared" si="2"/>
        <v>422098099.15499997</v>
      </c>
      <c r="P19" s="292">
        <f t="shared" si="3"/>
        <v>7</v>
      </c>
      <c r="Q19" s="289"/>
      <c r="R19" s="289"/>
      <c r="S19" s="292"/>
      <c r="T19" s="292"/>
      <c r="U19" s="292"/>
      <c r="V19" s="292"/>
      <c r="W19" s="292"/>
      <c r="X19" s="292"/>
      <c r="Y19" s="292"/>
      <c r="Z19" s="293"/>
      <c r="AA19" s="293"/>
      <c r="AB19" s="293"/>
      <c r="AC19" s="293"/>
      <c r="AD19" s="293"/>
      <c r="AE19" s="293"/>
      <c r="AF19" s="293"/>
      <c r="AG19" s="293"/>
      <c r="AH19" s="293"/>
      <c r="AI19" s="293"/>
      <c r="AJ19" s="293"/>
      <c r="AK19" s="293"/>
      <c r="AL19" s="293"/>
      <c r="AM19" s="293"/>
      <c r="AN19" s="293"/>
      <c r="AO19" s="293"/>
      <c r="AP19" s="293"/>
      <c r="AQ19" s="293"/>
      <c r="AR19" s="293"/>
      <c r="AS19" s="293"/>
      <c r="AT19" s="293"/>
      <c r="AU19" s="293"/>
      <c r="AV19" s="293"/>
      <c r="AW19" s="293"/>
      <c r="AX19" s="293"/>
      <c r="AY19" s="293"/>
      <c r="AZ19" s="293"/>
      <c r="BA19" s="293"/>
      <c r="BB19" s="293"/>
      <c r="BC19" s="293"/>
      <c r="BD19" s="293"/>
      <c r="BE19" s="293"/>
      <c r="BF19" s="293"/>
      <c r="BG19" s="293"/>
      <c r="BH19" s="293"/>
      <c r="BI19" s="293"/>
      <c r="BJ19" s="293"/>
      <c r="BK19" s="293"/>
      <c r="BL19" s="293"/>
      <c r="BM19" s="293"/>
      <c r="BN19" s="293"/>
      <c r="BO19" s="293"/>
      <c r="BP19" s="293"/>
      <c r="BQ19" s="293"/>
      <c r="BR19" s="293"/>
      <c r="BS19" s="293"/>
      <c r="BT19" s="293"/>
      <c r="BU19" s="293"/>
      <c r="BV19" s="293"/>
      <c r="BW19" s="293"/>
      <c r="BX19" s="293"/>
      <c r="BY19" s="293"/>
      <c r="BZ19" s="293"/>
      <c r="CA19" s="293"/>
      <c r="CB19" s="293"/>
      <c r="CC19" s="293"/>
      <c r="CD19" s="293"/>
      <c r="CE19" s="293"/>
      <c r="CF19" s="293"/>
      <c r="CG19" s="293"/>
      <c r="CH19" s="293"/>
      <c r="CI19" s="293"/>
      <c r="CJ19" s="293"/>
      <c r="CK19" s="293"/>
      <c r="CL19" s="293"/>
      <c r="CM19" s="293"/>
      <c r="CN19" s="293"/>
      <c r="CO19" s="293"/>
      <c r="CP19" s="293"/>
      <c r="CQ19" s="293"/>
      <c r="CR19" s="293"/>
      <c r="CS19" s="293"/>
      <c r="CT19" s="293"/>
      <c r="CU19" s="293"/>
      <c r="CV19" s="293"/>
      <c r="CW19" s="293"/>
      <c r="CX19" s="293"/>
      <c r="CY19" s="293"/>
      <c r="CZ19" s="293"/>
      <c r="DA19" s="293"/>
      <c r="DB19" s="293"/>
      <c r="DC19" s="293"/>
      <c r="DD19" s="293"/>
      <c r="DE19" s="293"/>
      <c r="DF19" s="293"/>
      <c r="DG19" s="293"/>
      <c r="DH19" s="293"/>
      <c r="DI19" s="293"/>
      <c r="DJ19" s="293"/>
      <c r="DK19" s="293"/>
      <c r="DL19" s="293"/>
      <c r="DM19" s="293"/>
      <c r="DN19" s="293"/>
      <c r="DO19" s="293"/>
      <c r="DP19" s="293"/>
      <c r="DQ19" s="293"/>
      <c r="DR19" s="293"/>
      <c r="DS19" s="293"/>
      <c r="DT19" s="293"/>
      <c r="DU19" s="293"/>
      <c r="DV19" s="293"/>
      <c r="DW19" s="293"/>
      <c r="DX19" s="293"/>
      <c r="DY19" s="293"/>
      <c r="DZ19" s="293"/>
      <c r="EA19" s="293"/>
      <c r="EB19" s="293"/>
      <c r="EC19" s="293"/>
      <c r="ED19" s="293"/>
      <c r="EE19" s="293"/>
      <c r="EF19" s="293"/>
      <c r="EG19" s="293"/>
      <c r="EH19" s="293"/>
      <c r="EI19" s="293"/>
      <c r="EJ19" s="293"/>
      <c r="EK19" s="293"/>
      <c r="EL19" s="293"/>
      <c r="EM19" s="293"/>
      <c r="EN19" s="293"/>
      <c r="EO19" s="293"/>
      <c r="EP19" s="293"/>
      <c r="EQ19" s="293"/>
      <c r="ER19" s="293"/>
      <c r="ES19" s="293"/>
      <c r="ET19" s="293"/>
      <c r="EU19" s="293"/>
      <c r="EV19" s="293"/>
      <c r="EW19" s="293"/>
      <c r="EX19" s="293"/>
      <c r="EY19" s="293"/>
      <c r="EZ19" s="293"/>
      <c r="FA19" s="293"/>
      <c r="FB19" s="293"/>
      <c r="FC19" s="293"/>
      <c r="FD19" s="293"/>
      <c r="FE19" s="293"/>
      <c r="FF19" s="293"/>
      <c r="FG19" s="293"/>
      <c r="FH19" s="293"/>
      <c r="FI19" s="293"/>
      <c r="FJ19" s="293"/>
      <c r="FK19" s="293"/>
      <c r="FL19" s="293"/>
      <c r="FM19" s="293"/>
      <c r="FN19" s="293"/>
      <c r="FO19" s="293"/>
      <c r="FP19" s="293"/>
      <c r="FQ19" s="293"/>
      <c r="FR19" s="293"/>
      <c r="FS19" s="293"/>
      <c r="FT19" s="293"/>
      <c r="FU19" s="293"/>
      <c r="FV19" s="293"/>
      <c r="FW19" s="293"/>
      <c r="FX19" s="293"/>
      <c r="FY19" s="293"/>
      <c r="FZ19" s="293"/>
      <c r="GA19" s="293"/>
      <c r="GB19" s="293"/>
      <c r="GC19" s="293"/>
      <c r="GD19" s="293"/>
      <c r="GE19" s="293"/>
      <c r="GF19" s="293"/>
      <c r="GG19" s="293"/>
      <c r="GH19" s="293"/>
      <c r="GI19" s="293"/>
      <c r="GJ19" s="293"/>
      <c r="GK19" s="293"/>
      <c r="GL19" s="293"/>
      <c r="GM19" s="293"/>
      <c r="GN19" s="293"/>
      <c r="GO19" s="293"/>
      <c r="GP19" s="293"/>
      <c r="GQ19" s="293"/>
      <c r="GR19" s="293"/>
      <c r="GS19" s="293"/>
      <c r="GT19" s="293"/>
      <c r="GU19" s="293"/>
      <c r="GV19" s="293"/>
      <c r="GW19" s="293"/>
      <c r="GX19" s="293"/>
      <c r="GY19" s="293"/>
      <c r="GZ19" s="293"/>
    </row>
    <row r="20" spans="1:208" ht="30">
      <c r="A20" s="280">
        <v>5</v>
      </c>
      <c r="B20" s="281">
        <v>44589</v>
      </c>
      <c r="C20" s="282">
        <v>1109669</v>
      </c>
      <c r="D20" s="282" t="s">
        <v>4277</v>
      </c>
      <c r="E20" s="282" t="s">
        <v>4256</v>
      </c>
      <c r="F20" s="282" t="s">
        <v>4251</v>
      </c>
      <c r="G20" s="282">
        <v>3186</v>
      </c>
      <c r="H20" s="282">
        <v>28</v>
      </c>
      <c r="I20" s="282">
        <v>4502261091</v>
      </c>
      <c r="J20" s="282">
        <v>3025457</v>
      </c>
      <c r="K20" s="282">
        <v>4902201340</v>
      </c>
      <c r="L20" s="282" t="s">
        <v>4252</v>
      </c>
      <c r="M20" s="283">
        <v>13213</v>
      </c>
      <c r="N20" s="282">
        <v>6900</v>
      </c>
      <c r="O20" s="284">
        <f t="shared" si="2"/>
        <v>91169700</v>
      </c>
      <c r="P20" s="285">
        <f t="shared" si="3"/>
        <v>2</v>
      </c>
      <c r="Q20" s="282" t="s">
        <v>3455</v>
      </c>
      <c r="R20" s="282">
        <v>1040968</v>
      </c>
      <c r="S20" s="282">
        <v>5958400</v>
      </c>
      <c r="T20" s="285"/>
      <c r="U20" s="285"/>
      <c r="V20" s="285"/>
      <c r="W20" s="285"/>
      <c r="X20" s="285"/>
      <c r="Y20" s="285"/>
      <c r="Z20" s="286"/>
      <c r="AA20" s="286"/>
      <c r="AB20" s="286"/>
      <c r="AC20" s="286"/>
      <c r="AD20" s="286"/>
      <c r="AE20" s="286"/>
      <c r="AF20" s="286"/>
      <c r="AG20" s="286"/>
      <c r="AH20" s="286"/>
      <c r="AI20" s="286"/>
      <c r="AJ20" s="286"/>
      <c r="AK20" s="286"/>
      <c r="AL20" s="286"/>
      <c r="AM20" s="286"/>
      <c r="AN20" s="286"/>
      <c r="AO20" s="286"/>
      <c r="AP20" s="286"/>
      <c r="AQ20" s="286"/>
      <c r="AR20" s="286"/>
      <c r="AS20" s="286"/>
      <c r="AT20" s="286"/>
      <c r="AU20" s="286"/>
      <c r="AV20" s="286"/>
      <c r="AW20" s="286"/>
      <c r="AX20" s="286"/>
      <c r="AY20" s="286"/>
      <c r="AZ20" s="286"/>
      <c r="BA20" s="286"/>
      <c r="BB20" s="286"/>
      <c r="BC20" s="286"/>
      <c r="BD20" s="286"/>
      <c r="BE20" s="286"/>
      <c r="BF20" s="286"/>
      <c r="BG20" s="286"/>
      <c r="BH20" s="286"/>
      <c r="BI20" s="286"/>
      <c r="BJ20" s="286"/>
      <c r="BK20" s="286"/>
      <c r="BL20" s="286"/>
      <c r="BM20" s="286"/>
      <c r="BN20" s="286"/>
      <c r="BO20" s="286"/>
      <c r="BP20" s="286"/>
      <c r="BQ20" s="286"/>
      <c r="BR20" s="286"/>
      <c r="BS20" s="286"/>
      <c r="BT20" s="286"/>
      <c r="BU20" s="286"/>
      <c r="BV20" s="286"/>
      <c r="BW20" s="286"/>
      <c r="BX20" s="286"/>
      <c r="BY20" s="286"/>
      <c r="BZ20" s="286"/>
      <c r="CA20" s="286"/>
      <c r="CB20" s="286"/>
      <c r="CC20" s="286"/>
      <c r="CD20" s="286"/>
      <c r="CE20" s="286"/>
      <c r="CF20" s="286"/>
      <c r="CG20" s="286"/>
      <c r="CH20" s="286"/>
      <c r="CI20" s="286"/>
      <c r="CJ20" s="286"/>
      <c r="CK20" s="286"/>
      <c r="CL20" s="286"/>
      <c r="CM20" s="286"/>
      <c r="CN20" s="286"/>
      <c r="CO20" s="286"/>
      <c r="CP20" s="286"/>
      <c r="CQ20" s="286"/>
      <c r="CR20" s="286"/>
      <c r="CS20" s="286"/>
      <c r="CT20" s="286"/>
      <c r="CU20" s="286"/>
      <c r="CV20" s="286"/>
      <c r="CW20" s="286"/>
      <c r="CX20" s="286"/>
      <c r="CY20" s="286"/>
      <c r="CZ20" s="286"/>
      <c r="DA20" s="286"/>
      <c r="DB20" s="286"/>
      <c r="DC20" s="286"/>
      <c r="DD20" s="286"/>
      <c r="DE20" s="286"/>
      <c r="DF20" s="286"/>
      <c r="DG20" s="286"/>
      <c r="DH20" s="286"/>
      <c r="DI20" s="286"/>
      <c r="DJ20" s="286"/>
      <c r="DK20" s="286"/>
      <c r="DL20" s="286"/>
      <c r="DM20" s="286"/>
      <c r="DN20" s="286"/>
      <c r="DO20" s="286"/>
      <c r="DP20" s="286"/>
      <c r="DQ20" s="286"/>
      <c r="DR20" s="286"/>
      <c r="DS20" s="286"/>
      <c r="DT20" s="286"/>
      <c r="DU20" s="286"/>
      <c r="DV20" s="286"/>
      <c r="DW20" s="286"/>
      <c r="DX20" s="286"/>
      <c r="DY20" s="286"/>
      <c r="DZ20" s="286"/>
      <c r="EA20" s="286"/>
      <c r="EB20" s="286"/>
      <c r="EC20" s="286"/>
      <c r="ED20" s="286"/>
      <c r="EE20" s="286"/>
      <c r="EF20" s="286"/>
      <c r="EG20" s="286"/>
      <c r="EH20" s="286"/>
      <c r="EI20" s="286"/>
      <c r="EJ20" s="286"/>
      <c r="EK20" s="286"/>
      <c r="EL20" s="286"/>
      <c r="EM20" s="286"/>
      <c r="EN20" s="286"/>
      <c r="EO20" s="286"/>
      <c r="EP20" s="286"/>
      <c r="EQ20" s="286"/>
      <c r="ER20" s="286"/>
      <c r="ES20" s="286"/>
      <c r="ET20" s="286"/>
      <c r="EU20" s="286"/>
      <c r="EV20" s="286"/>
      <c r="EW20" s="286"/>
      <c r="EX20" s="286"/>
      <c r="EY20" s="286"/>
      <c r="EZ20" s="286"/>
      <c r="FA20" s="286"/>
      <c r="FB20" s="286"/>
      <c r="FC20" s="286"/>
      <c r="FD20" s="286"/>
      <c r="FE20" s="286"/>
      <c r="FF20" s="286"/>
      <c r="FG20" s="286"/>
      <c r="FH20" s="286"/>
      <c r="FI20" s="286"/>
      <c r="FJ20" s="286"/>
      <c r="FK20" s="286"/>
      <c r="FL20" s="286"/>
      <c r="FM20" s="286"/>
      <c r="FN20" s="286"/>
      <c r="FO20" s="286"/>
      <c r="FP20" s="286"/>
      <c r="FQ20" s="286"/>
      <c r="FR20" s="286"/>
      <c r="FS20" s="286"/>
      <c r="FT20" s="286"/>
      <c r="FU20" s="286"/>
      <c r="FV20" s="286"/>
      <c r="FW20" s="286"/>
      <c r="FX20" s="286"/>
      <c r="FY20" s="286"/>
      <c r="FZ20" s="286"/>
      <c r="GA20" s="286"/>
      <c r="GB20" s="286"/>
      <c r="GC20" s="286"/>
      <c r="GD20" s="286"/>
      <c r="GE20" s="286"/>
      <c r="GF20" s="286"/>
      <c r="GG20" s="286"/>
      <c r="GH20" s="286"/>
      <c r="GI20" s="286"/>
      <c r="GJ20" s="286"/>
      <c r="GK20" s="286"/>
      <c r="GL20" s="286"/>
      <c r="GM20" s="286"/>
      <c r="GN20" s="286"/>
      <c r="GO20" s="286"/>
      <c r="GP20" s="286"/>
      <c r="GQ20" s="286"/>
      <c r="GR20" s="286"/>
      <c r="GS20" s="286"/>
      <c r="GT20" s="286"/>
      <c r="GU20" s="286"/>
      <c r="GV20" s="286"/>
      <c r="GW20" s="286"/>
      <c r="GX20" s="286"/>
      <c r="GY20" s="286"/>
      <c r="GZ20" s="286"/>
    </row>
    <row r="21" spans="1:208" ht="30">
      <c r="A21" s="280">
        <v>5</v>
      </c>
      <c r="B21" s="281">
        <v>44589</v>
      </c>
      <c r="C21" s="282">
        <v>1076469</v>
      </c>
      <c r="D21" s="282" t="s">
        <v>4278</v>
      </c>
      <c r="E21" s="282" t="s">
        <v>4279</v>
      </c>
      <c r="F21" s="282" t="s">
        <v>4251</v>
      </c>
      <c r="G21" s="282">
        <v>3179</v>
      </c>
      <c r="H21" s="282">
        <v>56</v>
      </c>
      <c r="I21" s="282">
        <v>4502261092</v>
      </c>
      <c r="J21" s="282">
        <v>3025457</v>
      </c>
      <c r="K21" s="282">
        <v>4902201356</v>
      </c>
      <c r="L21" s="282" t="s">
        <v>4252</v>
      </c>
      <c r="M21" s="283">
        <v>26904</v>
      </c>
      <c r="N21" s="282">
        <v>7350</v>
      </c>
      <c r="O21" s="284">
        <f t="shared" si="2"/>
        <v>197744400</v>
      </c>
      <c r="P21" s="285">
        <f t="shared" si="3"/>
        <v>4</v>
      </c>
      <c r="Q21" s="282" t="s">
        <v>3455</v>
      </c>
      <c r="R21" s="282">
        <v>1040968</v>
      </c>
      <c r="S21" s="282">
        <v>6552892</v>
      </c>
      <c r="T21" s="285"/>
      <c r="U21" s="285"/>
      <c r="V21" s="285"/>
      <c r="W21" s="285"/>
      <c r="X21" s="285"/>
      <c r="Y21" s="285"/>
      <c r="Z21" s="286"/>
      <c r="AA21" s="286"/>
      <c r="AB21" s="286"/>
      <c r="AC21" s="286"/>
      <c r="AD21" s="286"/>
      <c r="AE21" s="286"/>
      <c r="AF21" s="286"/>
      <c r="AG21" s="286"/>
      <c r="AH21" s="286"/>
      <c r="AI21" s="286"/>
      <c r="AJ21" s="286"/>
      <c r="AK21" s="286"/>
      <c r="AL21" s="286"/>
      <c r="AM21" s="286"/>
      <c r="AN21" s="286"/>
      <c r="AO21" s="286"/>
      <c r="AP21" s="286"/>
      <c r="AQ21" s="286"/>
      <c r="AR21" s="286"/>
      <c r="AS21" s="286"/>
      <c r="AT21" s="286"/>
      <c r="AU21" s="286"/>
      <c r="AV21" s="286"/>
      <c r="AW21" s="286"/>
      <c r="AX21" s="286"/>
      <c r="AY21" s="286"/>
      <c r="AZ21" s="286"/>
      <c r="BA21" s="286"/>
      <c r="BB21" s="286"/>
      <c r="BC21" s="286"/>
      <c r="BD21" s="286"/>
      <c r="BE21" s="286"/>
      <c r="BF21" s="286"/>
      <c r="BG21" s="286"/>
      <c r="BH21" s="286"/>
      <c r="BI21" s="286"/>
      <c r="BJ21" s="286"/>
      <c r="BK21" s="286"/>
      <c r="BL21" s="286"/>
      <c r="BM21" s="286"/>
      <c r="BN21" s="286"/>
      <c r="BO21" s="286"/>
      <c r="BP21" s="286"/>
      <c r="BQ21" s="286"/>
      <c r="BR21" s="286"/>
      <c r="BS21" s="286"/>
      <c r="BT21" s="286"/>
      <c r="BU21" s="286"/>
      <c r="BV21" s="286"/>
      <c r="BW21" s="286"/>
      <c r="BX21" s="286"/>
      <c r="BY21" s="286"/>
      <c r="BZ21" s="286"/>
      <c r="CA21" s="286"/>
      <c r="CB21" s="286"/>
      <c r="CC21" s="286"/>
      <c r="CD21" s="286"/>
      <c r="CE21" s="286"/>
      <c r="CF21" s="286"/>
      <c r="CG21" s="286"/>
      <c r="CH21" s="286"/>
      <c r="CI21" s="286"/>
      <c r="CJ21" s="286"/>
      <c r="CK21" s="286"/>
      <c r="CL21" s="286"/>
      <c r="CM21" s="286"/>
      <c r="CN21" s="286"/>
      <c r="CO21" s="286"/>
      <c r="CP21" s="286"/>
      <c r="CQ21" s="286"/>
      <c r="CR21" s="286"/>
      <c r="CS21" s="286"/>
      <c r="CT21" s="286"/>
      <c r="CU21" s="286"/>
      <c r="CV21" s="286"/>
      <c r="CW21" s="286"/>
      <c r="CX21" s="286"/>
      <c r="CY21" s="286"/>
      <c r="CZ21" s="286"/>
      <c r="DA21" s="286"/>
      <c r="DB21" s="286"/>
      <c r="DC21" s="286"/>
      <c r="DD21" s="286"/>
      <c r="DE21" s="286"/>
      <c r="DF21" s="286"/>
      <c r="DG21" s="286"/>
      <c r="DH21" s="286"/>
      <c r="DI21" s="286"/>
      <c r="DJ21" s="286"/>
      <c r="DK21" s="286"/>
      <c r="DL21" s="286"/>
      <c r="DM21" s="286"/>
      <c r="DN21" s="286"/>
      <c r="DO21" s="286"/>
      <c r="DP21" s="286"/>
      <c r="DQ21" s="286"/>
      <c r="DR21" s="286"/>
      <c r="DS21" s="286"/>
      <c r="DT21" s="286"/>
      <c r="DU21" s="286"/>
      <c r="DV21" s="286"/>
      <c r="DW21" s="286"/>
      <c r="DX21" s="286"/>
      <c r="DY21" s="286"/>
      <c r="DZ21" s="286"/>
      <c r="EA21" s="286"/>
      <c r="EB21" s="286"/>
      <c r="EC21" s="286"/>
      <c r="ED21" s="286"/>
      <c r="EE21" s="286"/>
      <c r="EF21" s="286"/>
      <c r="EG21" s="286"/>
      <c r="EH21" s="286"/>
      <c r="EI21" s="286"/>
      <c r="EJ21" s="286"/>
      <c r="EK21" s="286"/>
      <c r="EL21" s="286"/>
      <c r="EM21" s="286"/>
      <c r="EN21" s="286"/>
      <c r="EO21" s="286"/>
      <c r="EP21" s="286"/>
      <c r="EQ21" s="286"/>
      <c r="ER21" s="286"/>
      <c r="ES21" s="286"/>
      <c r="ET21" s="286"/>
      <c r="EU21" s="286"/>
      <c r="EV21" s="286"/>
      <c r="EW21" s="286"/>
      <c r="EX21" s="286"/>
      <c r="EY21" s="286"/>
      <c r="EZ21" s="286"/>
      <c r="FA21" s="286"/>
      <c r="FB21" s="286"/>
      <c r="FC21" s="286"/>
      <c r="FD21" s="286"/>
      <c r="FE21" s="286"/>
      <c r="FF21" s="286"/>
      <c r="FG21" s="286"/>
      <c r="FH21" s="286"/>
      <c r="FI21" s="286"/>
      <c r="FJ21" s="286"/>
      <c r="FK21" s="286"/>
      <c r="FL21" s="286"/>
      <c r="FM21" s="286"/>
      <c r="FN21" s="286"/>
      <c r="FO21" s="286"/>
      <c r="FP21" s="286"/>
      <c r="FQ21" s="286"/>
      <c r="FR21" s="286"/>
      <c r="FS21" s="286"/>
      <c r="FT21" s="286"/>
      <c r="FU21" s="286"/>
      <c r="FV21" s="286"/>
      <c r="FW21" s="286"/>
      <c r="FX21" s="286"/>
      <c r="FY21" s="286"/>
      <c r="FZ21" s="286"/>
      <c r="GA21" s="286"/>
      <c r="GB21" s="286"/>
      <c r="GC21" s="286"/>
      <c r="GD21" s="286"/>
      <c r="GE21" s="286"/>
      <c r="GF21" s="286"/>
      <c r="GG21" s="286"/>
      <c r="GH21" s="286"/>
      <c r="GI21" s="286"/>
      <c r="GJ21" s="286"/>
      <c r="GK21" s="286"/>
      <c r="GL21" s="286"/>
      <c r="GM21" s="286"/>
      <c r="GN21" s="286"/>
      <c r="GO21" s="286"/>
      <c r="GP21" s="286"/>
      <c r="GQ21" s="286"/>
      <c r="GR21" s="286"/>
      <c r="GS21" s="286"/>
      <c r="GT21" s="286"/>
      <c r="GU21" s="286"/>
      <c r="GV21" s="286"/>
      <c r="GW21" s="286"/>
      <c r="GX21" s="286"/>
      <c r="GY21" s="286"/>
      <c r="GZ21" s="286"/>
    </row>
    <row r="22" spans="1:208" ht="30">
      <c r="A22" s="280">
        <v>5</v>
      </c>
      <c r="B22" s="281">
        <v>44590</v>
      </c>
      <c r="C22" s="282">
        <v>1106184</v>
      </c>
      <c r="D22" s="282" t="s">
        <v>4280</v>
      </c>
      <c r="E22" s="282" t="s">
        <v>4250</v>
      </c>
      <c r="F22" s="282" t="s">
        <v>4264</v>
      </c>
      <c r="G22" s="282">
        <v>3185</v>
      </c>
      <c r="H22" s="282">
        <v>70</v>
      </c>
      <c r="I22" s="282">
        <v>4502261094</v>
      </c>
      <c r="J22" s="282">
        <v>3025460</v>
      </c>
      <c r="K22" s="282">
        <v>4902201362</v>
      </c>
      <c r="L22" s="282" t="s">
        <v>4252</v>
      </c>
      <c r="M22" s="283">
        <v>34652</v>
      </c>
      <c r="N22" s="282">
        <v>6850</v>
      </c>
      <c r="O22" s="284">
        <f t="shared" si="2"/>
        <v>237366200</v>
      </c>
      <c r="P22" s="285">
        <f t="shared" si="3"/>
        <v>5</v>
      </c>
      <c r="Q22" s="282" t="s">
        <v>3455</v>
      </c>
      <c r="R22" s="282">
        <v>1040968</v>
      </c>
      <c r="S22" s="282">
        <v>15146400</v>
      </c>
      <c r="T22" s="285"/>
      <c r="U22" s="285"/>
      <c r="V22" s="285"/>
      <c r="W22" s="285"/>
      <c r="X22" s="285"/>
      <c r="Y22" s="285"/>
      <c r="Z22" s="286"/>
      <c r="AA22" s="286"/>
      <c r="AB22" s="286"/>
      <c r="AC22" s="286"/>
      <c r="AD22" s="286"/>
      <c r="AE22" s="286"/>
      <c r="AF22" s="286"/>
      <c r="AG22" s="286"/>
      <c r="AH22" s="286"/>
      <c r="AI22" s="286"/>
      <c r="AJ22" s="286"/>
      <c r="AK22" s="286"/>
      <c r="AL22" s="286"/>
      <c r="AM22" s="286"/>
      <c r="AN22" s="286"/>
      <c r="AO22" s="286"/>
      <c r="AP22" s="286"/>
      <c r="AQ22" s="286"/>
      <c r="AR22" s="286"/>
      <c r="AS22" s="286"/>
      <c r="AT22" s="286"/>
      <c r="AU22" s="286"/>
      <c r="AV22" s="286"/>
      <c r="AW22" s="286"/>
      <c r="AX22" s="286"/>
      <c r="AY22" s="286"/>
      <c r="AZ22" s="286"/>
      <c r="BA22" s="286"/>
      <c r="BB22" s="286"/>
      <c r="BC22" s="286"/>
      <c r="BD22" s="286"/>
      <c r="BE22" s="286"/>
      <c r="BF22" s="286"/>
      <c r="BG22" s="286"/>
      <c r="BH22" s="286"/>
      <c r="BI22" s="286"/>
      <c r="BJ22" s="286"/>
      <c r="BK22" s="286"/>
      <c r="BL22" s="286"/>
      <c r="BM22" s="286"/>
      <c r="BN22" s="286"/>
      <c r="BO22" s="286"/>
      <c r="BP22" s="286"/>
      <c r="BQ22" s="286"/>
      <c r="BR22" s="286"/>
      <c r="BS22" s="286"/>
      <c r="BT22" s="286"/>
      <c r="BU22" s="286"/>
      <c r="BV22" s="286"/>
      <c r="BW22" s="286"/>
      <c r="BX22" s="286"/>
      <c r="BY22" s="286"/>
      <c r="BZ22" s="286"/>
      <c r="CA22" s="286"/>
      <c r="CB22" s="286"/>
      <c r="CC22" s="286"/>
      <c r="CD22" s="286"/>
      <c r="CE22" s="286"/>
      <c r="CF22" s="286"/>
      <c r="CG22" s="286"/>
      <c r="CH22" s="286"/>
      <c r="CI22" s="286"/>
      <c r="CJ22" s="286"/>
      <c r="CK22" s="286"/>
      <c r="CL22" s="286"/>
      <c r="CM22" s="286"/>
      <c r="CN22" s="286"/>
      <c r="CO22" s="286"/>
      <c r="CP22" s="286"/>
      <c r="CQ22" s="286"/>
      <c r="CR22" s="286"/>
      <c r="CS22" s="286"/>
      <c r="CT22" s="286"/>
      <c r="CU22" s="286"/>
      <c r="CV22" s="286"/>
      <c r="CW22" s="286"/>
      <c r="CX22" s="286"/>
      <c r="CY22" s="286"/>
      <c r="CZ22" s="286"/>
      <c r="DA22" s="286"/>
      <c r="DB22" s="286"/>
      <c r="DC22" s="286"/>
      <c r="DD22" s="286"/>
      <c r="DE22" s="286"/>
      <c r="DF22" s="286"/>
      <c r="DG22" s="286"/>
      <c r="DH22" s="286"/>
      <c r="DI22" s="286"/>
      <c r="DJ22" s="286"/>
      <c r="DK22" s="286"/>
      <c r="DL22" s="286"/>
      <c r="DM22" s="286"/>
      <c r="DN22" s="286"/>
      <c r="DO22" s="286"/>
      <c r="DP22" s="286"/>
      <c r="DQ22" s="286"/>
      <c r="DR22" s="286"/>
      <c r="DS22" s="286"/>
      <c r="DT22" s="286"/>
      <c r="DU22" s="286"/>
      <c r="DV22" s="286"/>
      <c r="DW22" s="286"/>
      <c r="DX22" s="286"/>
      <c r="DY22" s="286"/>
      <c r="DZ22" s="286"/>
      <c r="EA22" s="286"/>
      <c r="EB22" s="286"/>
      <c r="EC22" s="286"/>
      <c r="ED22" s="286"/>
      <c r="EE22" s="286"/>
      <c r="EF22" s="286"/>
      <c r="EG22" s="286"/>
      <c r="EH22" s="286"/>
      <c r="EI22" s="286"/>
      <c r="EJ22" s="286"/>
      <c r="EK22" s="286"/>
      <c r="EL22" s="286"/>
      <c r="EM22" s="286"/>
      <c r="EN22" s="286"/>
      <c r="EO22" s="286"/>
      <c r="EP22" s="286"/>
      <c r="EQ22" s="286"/>
      <c r="ER22" s="286"/>
      <c r="ES22" s="286"/>
      <c r="ET22" s="286"/>
      <c r="EU22" s="286"/>
      <c r="EV22" s="286"/>
      <c r="EW22" s="286"/>
      <c r="EX22" s="286"/>
      <c r="EY22" s="286"/>
      <c r="EZ22" s="286"/>
      <c r="FA22" s="286"/>
      <c r="FB22" s="286"/>
      <c r="FC22" s="286"/>
      <c r="FD22" s="286"/>
      <c r="FE22" s="286"/>
      <c r="FF22" s="286"/>
      <c r="FG22" s="286"/>
      <c r="FH22" s="286"/>
      <c r="FI22" s="286"/>
      <c r="FJ22" s="286"/>
      <c r="FK22" s="286"/>
      <c r="FL22" s="286"/>
      <c r="FM22" s="286"/>
      <c r="FN22" s="286"/>
      <c r="FO22" s="286"/>
      <c r="FP22" s="286"/>
      <c r="FQ22" s="286"/>
      <c r="FR22" s="286"/>
      <c r="FS22" s="286"/>
      <c r="FT22" s="286"/>
      <c r="FU22" s="286"/>
      <c r="FV22" s="286"/>
      <c r="FW22" s="286"/>
      <c r="FX22" s="286"/>
      <c r="FY22" s="286"/>
      <c r="FZ22" s="286"/>
      <c r="GA22" s="286"/>
      <c r="GB22" s="286"/>
      <c r="GC22" s="286"/>
      <c r="GD22" s="286"/>
      <c r="GE22" s="286"/>
      <c r="GF22" s="286"/>
      <c r="GG22" s="286"/>
      <c r="GH22" s="286"/>
      <c r="GI22" s="286"/>
      <c r="GJ22" s="286"/>
      <c r="GK22" s="286"/>
      <c r="GL22" s="286"/>
      <c r="GM22" s="286"/>
      <c r="GN22" s="286"/>
      <c r="GO22" s="286"/>
      <c r="GP22" s="286"/>
      <c r="GQ22" s="286"/>
      <c r="GR22" s="286"/>
      <c r="GS22" s="286"/>
      <c r="GT22" s="286"/>
      <c r="GU22" s="286"/>
      <c r="GV22" s="286"/>
      <c r="GW22" s="286"/>
      <c r="GX22" s="286"/>
      <c r="GY22" s="286"/>
      <c r="GZ22" s="286"/>
    </row>
    <row r="23" spans="1:208" ht="30">
      <c r="A23" s="302">
        <v>6</v>
      </c>
      <c r="B23" s="303">
        <v>44598</v>
      </c>
      <c r="C23" s="304">
        <v>1106184</v>
      </c>
      <c r="D23" s="304" t="s">
        <v>4281</v>
      </c>
      <c r="E23" s="304" t="s">
        <v>4250</v>
      </c>
      <c r="F23" s="304" t="s">
        <v>4251</v>
      </c>
      <c r="G23" s="304">
        <v>3185</v>
      </c>
      <c r="H23" s="304">
        <v>70</v>
      </c>
      <c r="I23" s="304">
        <v>4502266786</v>
      </c>
      <c r="J23" s="304">
        <v>3025457</v>
      </c>
      <c r="K23" s="304">
        <v>4902205973</v>
      </c>
      <c r="L23" s="289" t="s">
        <v>4252</v>
      </c>
      <c r="M23" s="305">
        <v>33445</v>
      </c>
      <c r="N23" s="304">
        <v>6900</v>
      </c>
      <c r="O23" s="306">
        <f t="shared" si="2"/>
        <v>230770500</v>
      </c>
      <c r="P23" s="307">
        <f t="shared" si="3"/>
        <v>5</v>
      </c>
      <c r="Q23" s="289" t="s">
        <v>3720</v>
      </c>
      <c r="R23" s="289">
        <v>1040968</v>
      </c>
      <c r="S23" s="304">
        <v>15179000</v>
      </c>
      <c r="T23" s="307"/>
      <c r="U23" s="307"/>
      <c r="V23" s="307"/>
      <c r="W23" s="307"/>
      <c r="X23" s="307"/>
      <c r="Y23" s="307"/>
      <c r="Z23" s="308"/>
      <c r="AA23" s="308"/>
      <c r="AB23" s="308"/>
      <c r="AC23" s="308"/>
      <c r="AD23" s="308"/>
      <c r="AE23" s="308"/>
      <c r="AF23" s="308"/>
      <c r="AG23" s="308"/>
      <c r="AH23" s="308"/>
      <c r="AI23" s="308"/>
      <c r="AJ23" s="308"/>
      <c r="AK23" s="308"/>
      <c r="AL23" s="308"/>
      <c r="AM23" s="308"/>
      <c r="AN23" s="308"/>
      <c r="AO23" s="308"/>
      <c r="AP23" s="308"/>
      <c r="AQ23" s="308"/>
      <c r="AR23" s="308"/>
      <c r="AS23" s="308"/>
      <c r="AT23" s="308"/>
      <c r="AU23" s="308"/>
      <c r="AV23" s="308"/>
      <c r="AW23" s="308"/>
      <c r="AX23" s="308"/>
      <c r="AY23" s="308"/>
      <c r="AZ23" s="308"/>
      <c r="BA23" s="308"/>
      <c r="BB23" s="308"/>
      <c r="BC23" s="308"/>
      <c r="BD23" s="308"/>
      <c r="BE23" s="308"/>
      <c r="BF23" s="308"/>
      <c r="BG23" s="308"/>
      <c r="BH23" s="308"/>
      <c r="BI23" s="308"/>
      <c r="BJ23" s="308"/>
      <c r="BK23" s="308"/>
      <c r="BL23" s="308"/>
      <c r="BM23" s="308"/>
      <c r="BN23" s="308"/>
      <c r="BO23" s="308"/>
      <c r="BP23" s="308"/>
      <c r="BQ23" s="308"/>
      <c r="BR23" s="308"/>
      <c r="BS23" s="308"/>
      <c r="BT23" s="308"/>
      <c r="BU23" s="308"/>
      <c r="BV23" s="308"/>
      <c r="BW23" s="308"/>
      <c r="BX23" s="308"/>
      <c r="BY23" s="308"/>
      <c r="BZ23" s="308"/>
      <c r="CA23" s="308"/>
      <c r="CB23" s="308"/>
      <c r="CC23" s="308"/>
      <c r="CD23" s="308"/>
      <c r="CE23" s="308"/>
      <c r="CF23" s="308"/>
      <c r="CG23" s="308"/>
      <c r="CH23" s="308"/>
      <c r="CI23" s="308"/>
      <c r="CJ23" s="308"/>
      <c r="CK23" s="308"/>
      <c r="CL23" s="308"/>
      <c r="CM23" s="308"/>
      <c r="CN23" s="308"/>
      <c r="CO23" s="308"/>
      <c r="CP23" s="308"/>
      <c r="CQ23" s="308"/>
      <c r="CR23" s="308"/>
      <c r="CS23" s="308"/>
      <c r="CT23" s="308"/>
      <c r="CU23" s="308"/>
      <c r="CV23" s="308"/>
      <c r="CW23" s="308"/>
      <c r="CX23" s="308"/>
      <c r="CY23" s="308"/>
      <c r="CZ23" s="308"/>
      <c r="DA23" s="308"/>
      <c r="DB23" s="308"/>
      <c r="DC23" s="308"/>
      <c r="DD23" s="308"/>
      <c r="DE23" s="308"/>
      <c r="DF23" s="308"/>
      <c r="DG23" s="308"/>
      <c r="DH23" s="308"/>
      <c r="DI23" s="308"/>
      <c r="DJ23" s="308"/>
      <c r="DK23" s="308"/>
      <c r="DL23" s="308"/>
      <c r="DM23" s="308"/>
      <c r="DN23" s="308"/>
      <c r="DO23" s="308"/>
      <c r="DP23" s="308"/>
      <c r="DQ23" s="308"/>
      <c r="DR23" s="308"/>
      <c r="DS23" s="308"/>
      <c r="DT23" s="308"/>
      <c r="DU23" s="308"/>
      <c r="DV23" s="308"/>
      <c r="DW23" s="308"/>
      <c r="DX23" s="308"/>
      <c r="DY23" s="308"/>
      <c r="DZ23" s="308"/>
      <c r="EA23" s="308"/>
      <c r="EB23" s="308"/>
      <c r="EC23" s="308"/>
      <c r="ED23" s="308"/>
      <c r="EE23" s="308"/>
      <c r="EF23" s="308"/>
      <c r="EG23" s="308"/>
      <c r="EH23" s="308"/>
      <c r="EI23" s="308"/>
      <c r="EJ23" s="308"/>
      <c r="EK23" s="308"/>
      <c r="EL23" s="308"/>
      <c r="EM23" s="308"/>
      <c r="EN23" s="308"/>
      <c r="EO23" s="308"/>
      <c r="EP23" s="308"/>
      <c r="EQ23" s="308"/>
      <c r="ER23" s="308"/>
      <c r="ES23" s="308"/>
      <c r="ET23" s="308"/>
      <c r="EU23" s="308"/>
      <c r="EV23" s="308"/>
      <c r="EW23" s="308"/>
      <c r="EX23" s="308"/>
      <c r="EY23" s="308"/>
      <c r="EZ23" s="308"/>
      <c r="FA23" s="308"/>
      <c r="FB23" s="308"/>
      <c r="FC23" s="308"/>
      <c r="FD23" s="308"/>
      <c r="FE23" s="308"/>
      <c r="FF23" s="308"/>
      <c r="FG23" s="308"/>
      <c r="FH23" s="308"/>
      <c r="FI23" s="308"/>
      <c r="FJ23" s="308"/>
      <c r="FK23" s="308"/>
      <c r="FL23" s="308"/>
      <c r="FM23" s="308"/>
      <c r="FN23" s="308"/>
      <c r="FO23" s="308"/>
      <c r="FP23" s="308"/>
      <c r="FQ23" s="308"/>
      <c r="FR23" s="308"/>
      <c r="FS23" s="308"/>
      <c r="FT23" s="308"/>
      <c r="FU23" s="308"/>
      <c r="FV23" s="308"/>
      <c r="FW23" s="308"/>
      <c r="FX23" s="308"/>
      <c r="FY23" s="308"/>
      <c r="FZ23" s="308"/>
      <c r="GA23" s="308"/>
      <c r="GB23" s="308"/>
      <c r="GC23" s="308"/>
      <c r="GD23" s="308"/>
      <c r="GE23" s="308"/>
      <c r="GF23" s="308"/>
      <c r="GG23" s="308"/>
      <c r="GH23" s="308"/>
      <c r="GI23" s="308"/>
      <c r="GJ23" s="308"/>
      <c r="GK23" s="308"/>
      <c r="GL23" s="308"/>
      <c r="GM23" s="308"/>
      <c r="GN23" s="308"/>
      <c r="GO23" s="308"/>
      <c r="GP23" s="308"/>
      <c r="GQ23" s="308"/>
      <c r="GR23" s="308"/>
      <c r="GS23" s="308"/>
      <c r="GT23" s="308"/>
      <c r="GU23" s="308"/>
      <c r="GV23" s="308"/>
      <c r="GW23" s="308"/>
      <c r="GX23" s="308"/>
      <c r="GY23" s="308"/>
      <c r="GZ23" s="308"/>
    </row>
    <row r="24" spans="1:208" ht="30">
      <c r="A24" s="302">
        <v>6</v>
      </c>
      <c r="B24" s="300">
        <v>44598</v>
      </c>
      <c r="C24" s="304">
        <v>1106184</v>
      </c>
      <c r="D24" s="304" t="s">
        <v>4281</v>
      </c>
      <c r="E24" s="304" t="s">
        <v>4250</v>
      </c>
      <c r="F24" s="304" t="s">
        <v>4251</v>
      </c>
      <c r="G24" s="304">
        <v>3185</v>
      </c>
      <c r="H24" s="304">
        <v>14</v>
      </c>
      <c r="I24" s="304">
        <v>4502266786</v>
      </c>
      <c r="J24" s="304">
        <v>3025457</v>
      </c>
      <c r="K24" s="304">
        <v>4902207768</v>
      </c>
      <c r="L24" s="289" t="s">
        <v>4252</v>
      </c>
      <c r="M24" s="305">
        <v>6689</v>
      </c>
      <c r="N24" s="304">
        <v>6900</v>
      </c>
      <c r="O24" s="306">
        <f t="shared" si="2"/>
        <v>46154100</v>
      </c>
      <c r="P24" s="307">
        <f t="shared" si="3"/>
        <v>1</v>
      </c>
      <c r="Q24" s="289" t="s">
        <v>3720</v>
      </c>
      <c r="R24" s="289">
        <v>1040968</v>
      </c>
      <c r="S24" s="304">
        <v>3035800</v>
      </c>
      <c r="T24" s="304" t="s">
        <v>4282</v>
      </c>
      <c r="U24" s="307"/>
      <c r="V24" s="307"/>
      <c r="W24" s="307"/>
      <c r="X24" s="307"/>
      <c r="Y24" s="307"/>
      <c r="Z24" s="308"/>
      <c r="AA24" s="308"/>
      <c r="AB24" s="308"/>
      <c r="AC24" s="308"/>
      <c r="AD24" s="308"/>
      <c r="AE24" s="308"/>
      <c r="AF24" s="308"/>
      <c r="AG24" s="308"/>
      <c r="AH24" s="308"/>
      <c r="AI24" s="308"/>
      <c r="AJ24" s="308"/>
      <c r="AK24" s="308"/>
      <c r="AL24" s="308"/>
      <c r="AM24" s="308"/>
      <c r="AN24" s="308"/>
      <c r="AO24" s="308"/>
      <c r="AP24" s="308"/>
      <c r="AQ24" s="308"/>
      <c r="AR24" s="308"/>
      <c r="AS24" s="308"/>
      <c r="AT24" s="308"/>
      <c r="AU24" s="308"/>
      <c r="AV24" s="308"/>
      <c r="AW24" s="308"/>
      <c r="AX24" s="308"/>
      <c r="AY24" s="308"/>
      <c r="AZ24" s="308"/>
      <c r="BA24" s="308"/>
      <c r="BB24" s="308"/>
      <c r="BC24" s="308"/>
      <c r="BD24" s="308"/>
      <c r="BE24" s="308"/>
      <c r="BF24" s="308"/>
      <c r="BG24" s="308"/>
      <c r="BH24" s="308"/>
      <c r="BI24" s="308"/>
      <c r="BJ24" s="308"/>
      <c r="BK24" s="308"/>
      <c r="BL24" s="308"/>
      <c r="BM24" s="308"/>
      <c r="BN24" s="308"/>
      <c r="BO24" s="308"/>
      <c r="BP24" s="308"/>
      <c r="BQ24" s="308"/>
      <c r="BR24" s="308"/>
      <c r="BS24" s="308"/>
      <c r="BT24" s="308"/>
      <c r="BU24" s="308"/>
      <c r="BV24" s="308"/>
      <c r="BW24" s="308"/>
      <c r="BX24" s="308"/>
      <c r="BY24" s="308"/>
      <c r="BZ24" s="308"/>
      <c r="CA24" s="308"/>
      <c r="CB24" s="308"/>
      <c r="CC24" s="308"/>
      <c r="CD24" s="308"/>
      <c r="CE24" s="308"/>
      <c r="CF24" s="308"/>
      <c r="CG24" s="308"/>
      <c r="CH24" s="308"/>
      <c r="CI24" s="308"/>
      <c r="CJ24" s="308"/>
      <c r="CK24" s="308"/>
      <c r="CL24" s="308"/>
      <c r="CM24" s="308"/>
      <c r="CN24" s="308"/>
      <c r="CO24" s="308"/>
      <c r="CP24" s="308"/>
      <c r="CQ24" s="308"/>
      <c r="CR24" s="308"/>
      <c r="CS24" s="308"/>
      <c r="CT24" s="308"/>
      <c r="CU24" s="308"/>
      <c r="CV24" s="308"/>
      <c r="CW24" s="308"/>
      <c r="CX24" s="308"/>
      <c r="CY24" s="308"/>
      <c r="CZ24" s="308"/>
      <c r="DA24" s="308"/>
      <c r="DB24" s="308"/>
      <c r="DC24" s="308"/>
      <c r="DD24" s="308"/>
      <c r="DE24" s="308"/>
      <c r="DF24" s="308"/>
      <c r="DG24" s="308"/>
      <c r="DH24" s="308"/>
      <c r="DI24" s="308"/>
      <c r="DJ24" s="308"/>
      <c r="DK24" s="308"/>
      <c r="DL24" s="308"/>
      <c r="DM24" s="308"/>
      <c r="DN24" s="308"/>
      <c r="DO24" s="308"/>
      <c r="DP24" s="308"/>
      <c r="DQ24" s="308"/>
      <c r="DR24" s="308"/>
      <c r="DS24" s="308"/>
      <c r="DT24" s="308"/>
      <c r="DU24" s="308"/>
      <c r="DV24" s="308"/>
      <c r="DW24" s="308"/>
      <c r="DX24" s="308"/>
      <c r="DY24" s="308"/>
      <c r="DZ24" s="308"/>
      <c r="EA24" s="308"/>
      <c r="EB24" s="308"/>
      <c r="EC24" s="308"/>
      <c r="ED24" s="308"/>
      <c r="EE24" s="308"/>
      <c r="EF24" s="308"/>
      <c r="EG24" s="308"/>
      <c r="EH24" s="308"/>
      <c r="EI24" s="308"/>
      <c r="EJ24" s="308"/>
      <c r="EK24" s="308"/>
      <c r="EL24" s="308"/>
      <c r="EM24" s="308"/>
      <c r="EN24" s="308"/>
      <c r="EO24" s="308"/>
      <c r="EP24" s="308"/>
      <c r="EQ24" s="308"/>
      <c r="ER24" s="308"/>
      <c r="ES24" s="308"/>
      <c r="ET24" s="308"/>
      <c r="EU24" s="308"/>
      <c r="EV24" s="308"/>
      <c r="EW24" s="308"/>
      <c r="EX24" s="308"/>
      <c r="EY24" s="308"/>
      <c r="EZ24" s="308"/>
      <c r="FA24" s="308"/>
      <c r="FB24" s="308"/>
      <c r="FC24" s="308"/>
      <c r="FD24" s="308"/>
      <c r="FE24" s="308"/>
      <c r="FF24" s="308"/>
      <c r="FG24" s="308"/>
      <c r="FH24" s="308"/>
      <c r="FI24" s="308"/>
      <c r="FJ24" s="308"/>
      <c r="FK24" s="308"/>
      <c r="FL24" s="308"/>
      <c r="FM24" s="308"/>
      <c r="FN24" s="308"/>
      <c r="FO24" s="308"/>
      <c r="FP24" s="308"/>
      <c r="FQ24" s="308"/>
      <c r="FR24" s="308"/>
      <c r="FS24" s="308"/>
      <c r="FT24" s="308"/>
      <c r="FU24" s="308"/>
      <c r="FV24" s="308"/>
      <c r="FW24" s="308"/>
      <c r="FX24" s="308"/>
      <c r="FY24" s="308"/>
      <c r="FZ24" s="308"/>
      <c r="GA24" s="308"/>
      <c r="GB24" s="308"/>
      <c r="GC24" s="308"/>
      <c r="GD24" s="308"/>
      <c r="GE24" s="308"/>
      <c r="GF24" s="308"/>
      <c r="GG24" s="308"/>
      <c r="GH24" s="308"/>
      <c r="GI24" s="308"/>
      <c r="GJ24" s="308"/>
      <c r="GK24" s="308"/>
      <c r="GL24" s="308"/>
      <c r="GM24" s="308"/>
      <c r="GN24" s="308"/>
      <c r="GO24" s="308"/>
      <c r="GP24" s="308"/>
      <c r="GQ24" s="308"/>
      <c r="GR24" s="308"/>
      <c r="GS24" s="308"/>
      <c r="GT24" s="308"/>
      <c r="GU24" s="308"/>
      <c r="GV24" s="308"/>
      <c r="GW24" s="308"/>
      <c r="GX24" s="308"/>
      <c r="GY24" s="308"/>
      <c r="GZ24" s="308"/>
    </row>
    <row r="25" spans="1:208" ht="30">
      <c r="A25" s="302">
        <v>6</v>
      </c>
      <c r="B25" s="303">
        <v>44600</v>
      </c>
      <c r="C25" s="304">
        <v>1109669</v>
      </c>
      <c r="D25" s="304" t="s">
        <v>4283</v>
      </c>
      <c r="E25" s="304" t="s">
        <v>4256</v>
      </c>
      <c r="F25" s="304" t="s">
        <v>4251</v>
      </c>
      <c r="G25" s="304">
        <v>3186</v>
      </c>
      <c r="H25" s="304">
        <v>56</v>
      </c>
      <c r="I25" s="304">
        <v>4502268726</v>
      </c>
      <c r="J25" s="304">
        <v>3025457</v>
      </c>
      <c r="K25" s="304">
        <v>4902205974</v>
      </c>
      <c r="L25" s="289" t="s">
        <v>4252</v>
      </c>
      <c r="M25" s="309">
        <v>27226</v>
      </c>
      <c r="N25" s="304">
        <v>6950</v>
      </c>
      <c r="O25" s="306">
        <f t="shared" si="2"/>
        <v>189220700</v>
      </c>
      <c r="P25" s="307">
        <f t="shared" si="3"/>
        <v>4</v>
      </c>
      <c r="Q25" s="289" t="s">
        <v>3720</v>
      </c>
      <c r="R25" s="289">
        <v>1040968</v>
      </c>
      <c r="S25" s="304">
        <v>11916800</v>
      </c>
      <c r="T25" s="307"/>
      <c r="U25" s="307"/>
      <c r="V25" s="307"/>
      <c r="W25" s="307"/>
      <c r="X25" s="307"/>
      <c r="Y25" s="307"/>
      <c r="Z25" s="308"/>
      <c r="AA25" s="308"/>
      <c r="AB25" s="308"/>
      <c r="AC25" s="308"/>
      <c r="AD25" s="308"/>
      <c r="AE25" s="308"/>
      <c r="AF25" s="308"/>
      <c r="AG25" s="308"/>
      <c r="AH25" s="308"/>
      <c r="AI25" s="308"/>
      <c r="AJ25" s="308"/>
      <c r="AK25" s="308"/>
      <c r="AL25" s="308"/>
      <c r="AM25" s="308"/>
      <c r="AN25" s="308"/>
      <c r="AO25" s="308"/>
      <c r="AP25" s="308"/>
      <c r="AQ25" s="308"/>
      <c r="AR25" s="308"/>
      <c r="AS25" s="308"/>
      <c r="AT25" s="308"/>
      <c r="AU25" s="308"/>
      <c r="AV25" s="308"/>
      <c r="AW25" s="308"/>
      <c r="AX25" s="308"/>
      <c r="AY25" s="308"/>
      <c r="AZ25" s="308"/>
      <c r="BA25" s="308"/>
      <c r="BB25" s="308"/>
      <c r="BC25" s="308"/>
      <c r="BD25" s="308"/>
      <c r="BE25" s="308"/>
      <c r="BF25" s="308"/>
      <c r="BG25" s="308"/>
      <c r="BH25" s="308"/>
      <c r="BI25" s="308"/>
      <c r="BJ25" s="308"/>
      <c r="BK25" s="308"/>
      <c r="BL25" s="308"/>
      <c r="BM25" s="308"/>
      <c r="BN25" s="308"/>
      <c r="BO25" s="308"/>
      <c r="BP25" s="308"/>
      <c r="BQ25" s="308"/>
      <c r="BR25" s="308"/>
      <c r="BS25" s="308"/>
      <c r="BT25" s="308"/>
      <c r="BU25" s="308"/>
      <c r="BV25" s="308"/>
      <c r="BW25" s="308"/>
      <c r="BX25" s="308"/>
      <c r="BY25" s="308"/>
      <c r="BZ25" s="308"/>
      <c r="CA25" s="308"/>
      <c r="CB25" s="308"/>
      <c r="CC25" s="308"/>
      <c r="CD25" s="308"/>
      <c r="CE25" s="308"/>
      <c r="CF25" s="308"/>
      <c r="CG25" s="308"/>
      <c r="CH25" s="308"/>
      <c r="CI25" s="308"/>
      <c r="CJ25" s="308"/>
      <c r="CK25" s="308"/>
      <c r="CL25" s="308"/>
      <c r="CM25" s="308"/>
      <c r="CN25" s="308"/>
      <c r="CO25" s="308"/>
      <c r="CP25" s="308"/>
      <c r="CQ25" s="308"/>
      <c r="CR25" s="308"/>
      <c r="CS25" s="308"/>
      <c r="CT25" s="308"/>
      <c r="CU25" s="308"/>
      <c r="CV25" s="308"/>
      <c r="CW25" s="308"/>
      <c r="CX25" s="308"/>
      <c r="CY25" s="308"/>
      <c r="CZ25" s="308"/>
      <c r="DA25" s="308"/>
      <c r="DB25" s="308"/>
      <c r="DC25" s="308"/>
      <c r="DD25" s="308"/>
      <c r="DE25" s="308"/>
      <c r="DF25" s="308"/>
      <c r="DG25" s="308"/>
      <c r="DH25" s="308"/>
      <c r="DI25" s="308"/>
      <c r="DJ25" s="308"/>
      <c r="DK25" s="308"/>
      <c r="DL25" s="308"/>
      <c r="DM25" s="308"/>
      <c r="DN25" s="308"/>
      <c r="DO25" s="308"/>
      <c r="DP25" s="308"/>
      <c r="DQ25" s="308"/>
      <c r="DR25" s="308"/>
      <c r="DS25" s="308"/>
      <c r="DT25" s="308"/>
      <c r="DU25" s="308"/>
      <c r="DV25" s="308"/>
      <c r="DW25" s="308"/>
      <c r="DX25" s="308"/>
      <c r="DY25" s="308"/>
      <c r="DZ25" s="308"/>
      <c r="EA25" s="308"/>
      <c r="EB25" s="308"/>
      <c r="EC25" s="308"/>
      <c r="ED25" s="308"/>
      <c r="EE25" s="308"/>
      <c r="EF25" s="308"/>
      <c r="EG25" s="308"/>
      <c r="EH25" s="308"/>
      <c r="EI25" s="308"/>
      <c r="EJ25" s="308"/>
      <c r="EK25" s="308"/>
      <c r="EL25" s="308"/>
      <c r="EM25" s="308"/>
      <c r="EN25" s="308"/>
      <c r="EO25" s="308"/>
      <c r="EP25" s="308"/>
      <c r="EQ25" s="308"/>
      <c r="ER25" s="308"/>
      <c r="ES25" s="308"/>
      <c r="ET25" s="308"/>
      <c r="EU25" s="308"/>
      <c r="EV25" s="308"/>
      <c r="EW25" s="308"/>
      <c r="EX25" s="308"/>
      <c r="EY25" s="308"/>
      <c r="EZ25" s="308"/>
      <c r="FA25" s="308"/>
      <c r="FB25" s="308"/>
      <c r="FC25" s="308"/>
      <c r="FD25" s="308"/>
      <c r="FE25" s="308"/>
      <c r="FF25" s="308"/>
      <c r="FG25" s="308"/>
      <c r="FH25" s="308"/>
      <c r="FI25" s="308"/>
      <c r="FJ25" s="308"/>
      <c r="FK25" s="308"/>
      <c r="FL25" s="308"/>
      <c r="FM25" s="308"/>
      <c r="FN25" s="308"/>
      <c r="FO25" s="308"/>
      <c r="FP25" s="308"/>
      <c r="FQ25" s="308"/>
      <c r="FR25" s="308"/>
      <c r="FS25" s="308"/>
      <c r="FT25" s="308"/>
      <c r="FU25" s="308"/>
      <c r="FV25" s="308"/>
      <c r="FW25" s="308"/>
      <c r="FX25" s="308"/>
      <c r="FY25" s="308"/>
      <c r="FZ25" s="308"/>
      <c r="GA25" s="308"/>
      <c r="GB25" s="308"/>
      <c r="GC25" s="308"/>
      <c r="GD25" s="308"/>
      <c r="GE25" s="308"/>
      <c r="GF25" s="308"/>
      <c r="GG25" s="308"/>
      <c r="GH25" s="308"/>
      <c r="GI25" s="308"/>
      <c r="GJ25" s="308"/>
      <c r="GK25" s="308"/>
      <c r="GL25" s="308"/>
      <c r="GM25" s="308"/>
      <c r="GN25" s="308"/>
      <c r="GO25" s="308"/>
      <c r="GP25" s="308"/>
      <c r="GQ25" s="308"/>
      <c r="GR25" s="308"/>
      <c r="GS25" s="308"/>
      <c r="GT25" s="308"/>
      <c r="GU25" s="308"/>
      <c r="GV25" s="308"/>
      <c r="GW25" s="308"/>
      <c r="GX25" s="308"/>
      <c r="GY25" s="308"/>
      <c r="GZ25" s="308"/>
    </row>
    <row r="26" spans="1:208" ht="30">
      <c r="A26" s="280">
        <v>7</v>
      </c>
      <c r="B26" s="281">
        <v>44604</v>
      </c>
      <c r="C26" s="282">
        <v>1106184</v>
      </c>
      <c r="D26" s="282" t="s">
        <v>4284</v>
      </c>
      <c r="E26" s="282" t="s">
        <v>4250</v>
      </c>
      <c r="F26" s="310" t="s">
        <v>4264</v>
      </c>
      <c r="G26" s="282">
        <v>3185</v>
      </c>
      <c r="H26" s="282">
        <v>56</v>
      </c>
      <c r="I26" s="282">
        <v>4502271568</v>
      </c>
      <c r="J26" s="282">
        <v>3025460</v>
      </c>
      <c r="K26" s="282">
        <v>4902209970</v>
      </c>
      <c r="L26" s="282" t="s">
        <v>4252</v>
      </c>
      <c r="M26" s="283">
        <v>29750</v>
      </c>
      <c r="N26" s="282">
        <v>7000</v>
      </c>
      <c r="O26" s="284">
        <f t="shared" si="2"/>
        <v>208250000</v>
      </c>
      <c r="P26" s="285">
        <f t="shared" si="3"/>
        <v>4</v>
      </c>
      <c r="Q26" s="282" t="s">
        <v>3455</v>
      </c>
      <c r="R26" s="282">
        <v>1040968</v>
      </c>
      <c r="S26" s="282">
        <v>12531200</v>
      </c>
      <c r="T26" s="285"/>
      <c r="U26" s="285"/>
      <c r="V26" s="285"/>
      <c r="W26" s="285"/>
      <c r="X26" s="285"/>
      <c r="Y26" s="285"/>
      <c r="Z26" s="286"/>
      <c r="AA26" s="286"/>
      <c r="AB26" s="286"/>
      <c r="AC26" s="286"/>
      <c r="AD26" s="286"/>
      <c r="AE26" s="286"/>
      <c r="AF26" s="286"/>
      <c r="AG26" s="286"/>
      <c r="AH26" s="286"/>
      <c r="AI26" s="286"/>
      <c r="AJ26" s="286"/>
      <c r="AK26" s="286"/>
      <c r="AL26" s="286"/>
      <c r="AM26" s="286"/>
      <c r="AN26" s="286"/>
      <c r="AO26" s="286"/>
      <c r="AP26" s="286"/>
      <c r="AQ26" s="286"/>
      <c r="AR26" s="286"/>
      <c r="AS26" s="286"/>
      <c r="AT26" s="286"/>
      <c r="AU26" s="286"/>
      <c r="AV26" s="286"/>
      <c r="AW26" s="286"/>
      <c r="AX26" s="286"/>
      <c r="AY26" s="286"/>
      <c r="AZ26" s="286"/>
      <c r="BA26" s="286"/>
      <c r="BB26" s="286"/>
      <c r="BC26" s="286"/>
      <c r="BD26" s="286"/>
      <c r="BE26" s="286"/>
      <c r="BF26" s="286"/>
      <c r="BG26" s="286"/>
      <c r="BH26" s="286"/>
      <c r="BI26" s="286"/>
      <c r="BJ26" s="286"/>
      <c r="BK26" s="286"/>
      <c r="BL26" s="286"/>
      <c r="BM26" s="286"/>
      <c r="BN26" s="286"/>
      <c r="BO26" s="286"/>
      <c r="BP26" s="286"/>
      <c r="BQ26" s="286"/>
      <c r="BR26" s="286"/>
      <c r="BS26" s="286"/>
      <c r="BT26" s="286"/>
      <c r="BU26" s="286"/>
      <c r="BV26" s="286"/>
      <c r="BW26" s="286"/>
      <c r="BX26" s="286"/>
      <c r="BY26" s="286"/>
      <c r="BZ26" s="286"/>
      <c r="CA26" s="286"/>
      <c r="CB26" s="286"/>
      <c r="CC26" s="286"/>
      <c r="CD26" s="286"/>
      <c r="CE26" s="286"/>
      <c r="CF26" s="286"/>
      <c r="CG26" s="286"/>
      <c r="CH26" s="286"/>
      <c r="CI26" s="286"/>
      <c r="CJ26" s="286"/>
      <c r="CK26" s="286"/>
      <c r="CL26" s="286"/>
      <c r="CM26" s="286"/>
      <c r="CN26" s="286"/>
      <c r="CO26" s="286"/>
      <c r="CP26" s="286"/>
      <c r="CQ26" s="286"/>
      <c r="CR26" s="286"/>
      <c r="CS26" s="286"/>
      <c r="CT26" s="286"/>
      <c r="CU26" s="286"/>
      <c r="CV26" s="286"/>
      <c r="CW26" s="286"/>
      <c r="CX26" s="286"/>
      <c r="CY26" s="286"/>
      <c r="CZ26" s="286"/>
      <c r="DA26" s="286"/>
      <c r="DB26" s="286"/>
      <c r="DC26" s="286"/>
      <c r="DD26" s="286"/>
      <c r="DE26" s="286"/>
      <c r="DF26" s="286"/>
      <c r="DG26" s="286"/>
      <c r="DH26" s="286"/>
      <c r="DI26" s="286"/>
      <c r="DJ26" s="286"/>
      <c r="DK26" s="286"/>
      <c r="DL26" s="286"/>
      <c r="DM26" s="286"/>
      <c r="DN26" s="286"/>
      <c r="DO26" s="286"/>
      <c r="DP26" s="286"/>
      <c r="DQ26" s="286"/>
      <c r="DR26" s="286"/>
      <c r="DS26" s="286"/>
      <c r="DT26" s="286"/>
      <c r="DU26" s="286"/>
      <c r="DV26" s="286"/>
      <c r="DW26" s="286"/>
      <c r="DX26" s="286"/>
      <c r="DY26" s="286"/>
      <c r="DZ26" s="286"/>
      <c r="EA26" s="286"/>
      <c r="EB26" s="286"/>
      <c r="EC26" s="286"/>
      <c r="ED26" s="286"/>
      <c r="EE26" s="286"/>
      <c r="EF26" s="286"/>
      <c r="EG26" s="286"/>
      <c r="EH26" s="286"/>
      <c r="EI26" s="286"/>
      <c r="EJ26" s="286"/>
      <c r="EK26" s="286"/>
      <c r="EL26" s="286"/>
      <c r="EM26" s="286"/>
      <c r="EN26" s="286"/>
      <c r="EO26" s="286"/>
      <c r="EP26" s="286"/>
      <c r="EQ26" s="286"/>
      <c r="ER26" s="286"/>
      <c r="ES26" s="286"/>
      <c r="ET26" s="286"/>
      <c r="EU26" s="286"/>
      <c r="EV26" s="286"/>
      <c r="EW26" s="286"/>
      <c r="EX26" s="286"/>
      <c r="EY26" s="286"/>
      <c r="EZ26" s="286"/>
      <c r="FA26" s="286"/>
      <c r="FB26" s="286"/>
      <c r="FC26" s="286"/>
      <c r="FD26" s="286"/>
      <c r="FE26" s="286"/>
      <c r="FF26" s="286"/>
      <c r="FG26" s="286"/>
      <c r="FH26" s="286"/>
      <c r="FI26" s="286"/>
      <c r="FJ26" s="286"/>
      <c r="FK26" s="286"/>
      <c r="FL26" s="286"/>
      <c r="FM26" s="286"/>
      <c r="FN26" s="286"/>
      <c r="FO26" s="286"/>
      <c r="FP26" s="286"/>
      <c r="FQ26" s="286"/>
      <c r="FR26" s="286"/>
      <c r="FS26" s="286"/>
      <c r="FT26" s="286"/>
      <c r="FU26" s="286"/>
      <c r="FV26" s="286"/>
      <c r="FW26" s="286"/>
      <c r="FX26" s="286"/>
      <c r="FY26" s="286"/>
      <c r="FZ26" s="286"/>
      <c r="GA26" s="286"/>
      <c r="GB26" s="286"/>
      <c r="GC26" s="286"/>
      <c r="GD26" s="286"/>
      <c r="GE26" s="286"/>
      <c r="GF26" s="286"/>
      <c r="GG26" s="286"/>
      <c r="GH26" s="286"/>
      <c r="GI26" s="286"/>
      <c r="GJ26" s="286"/>
      <c r="GK26" s="286"/>
      <c r="GL26" s="286"/>
      <c r="GM26" s="286"/>
      <c r="GN26" s="286"/>
      <c r="GO26" s="286"/>
      <c r="GP26" s="286"/>
      <c r="GQ26" s="286"/>
      <c r="GR26" s="286"/>
      <c r="GS26" s="286"/>
      <c r="GT26" s="286"/>
      <c r="GU26" s="286"/>
      <c r="GV26" s="286"/>
      <c r="GW26" s="286"/>
      <c r="GX26" s="286"/>
      <c r="GY26" s="286"/>
      <c r="GZ26" s="286"/>
    </row>
    <row r="27" spans="1:208" ht="30">
      <c r="A27" s="280">
        <v>7</v>
      </c>
      <c r="B27" s="281">
        <v>44607</v>
      </c>
      <c r="C27" s="282">
        <v>1106184</v>
      </c>
      <c r="D27" s="282" t="s">
        <v>4285</v>
      </c>
      <c r="E27" s="282" t="s">
        <v>4250</v>
      </c>
      <c r="F27" s="310" t="s">
        <v>4264</v>
      </c>
      <c r="G27" s="282">
        <v>3185</v>
      </c>
      <c r="H27" s="282">
        <v>28</v>
      </c>
      <c r="I27" s="282">
        <v>4502271568</v>
      </c>
      <c r="J27" s="282">
        <v>3025460</v>
      </c>
      <c r="K27" s="282">
        <v>4902209972</v>
      </c>
      <c r="L27" s="282" t="s">
        <v>4252</v>
      </c>
      <c r="M27" s="283">
        <v>13161</v>
      </c>
      <c r="N27" s="282">
        <v>7000</v>
      </c>
      <c r="O27" s="284">
        <f t="shared" si="2"/>
        <v>92127000</v>
      </c>
      <c r="P27" s="285">
        <f t="shared" si="3"/>
        <v>2</v>
      </c>
      <c r="Q27" s="282" t="s">
        <v>3455</v>
      </c>
      <c r="R27" s="282">
        <v>1040968</v>
      </c>
      <c r="S27" s="282">
        <v>6265600</v>
      </c>
      <c r="T27" s="285"/>
      <c r="U27" s="285"/>
      <c r="V27" s="285"/>
      <c r="W27" s="285"/>
      <c r="X27" s="285"/>
      <c r="Y27" s="285"/>
      <c r="Z27" s="286"/>
      <c r="AA27" s="286"/>
      <c r="AB27" s="286"/>
      <c r="AC27" s="286"/>
      <c r="AD27" s="286"/>
      <c r="AE27" s="286"/>
      <c r="AF27" s="286"/>
      <c r="AG27" s="286"/>
      <c r="AH27" s="286"/>
      <c r="AI27" s="286"/>
      <c r="AJ27" s="286"/>
      <c r="AK27" s="286"/>
      <c r="AL27" s="286"/>
      <c r="AM27" s="286"/>
      <c r="AN27" s="286"/>
      <c r="AO27" s="286"/>
      <c r="AP27" s="286"/>
      <c r="AQ27" s="286"/>
      <c r="AR27" s="286"/>
      <c r="AS27" s="286"/>
      <c r="AT27" s="286"/>
      <c r="AU27" s="286"/>
      <c r="AV27" s="286"/>
      <c r="AW27" s="286"/>
      <c r="AX27" s="286"/>
      <c r="AY27" s="286"/>
      <c r="AZ27" s="286"/>
      <c r="BA27" s="286"/>
      <c r="BB27" s="286"/>
      <c r="BC27" s="286"/>
      <c r="BD27" s="286"/>
      <c r="BE27" s="286"/>
      <c r="BF27" s="286"/>
      <c r="BG27" s="286"/>
      <c r="BH27" s="286"/>
      <c r="BI27" s="286"/>
      <c r="BJ27" s="286"/>
      <c r="BK27" s="286"/>
      <c r="BL27" s="286"/>
      <c r="BM27" s="286"/>
      <c r="BN27" s="286"/>
      <c r="BO27" s="286"/>
      <c r="BP27" s="286"/>
      <c r="BQ27" s="286"/>
      <c r="BR27" s="286"/>
      <c r="BS27" s="286"/>
      <c r="BT27" s="286"/>
      <c r="BU27" s="286"/>
      <c r="BV27" s="286"/>
      <c r="BW27" s="286"/>
      <c r="BX27" s="286"/>
      <c r="BY27" s="286"/>
      <c r="BZ27" s="286"/>
      <c r="CA27" s="286"/>
      <c r="CB27" s="286"/>
      <c r="CC27" s="286"/>
      <c r="CD27" s="286"/>
      <c r="CE27" s="286"/>
      <c r="CF27" s="286"/>
      <c r="CG27" s="286"/>
      <c r="CH27" s="286"/>
      <c r="CI27" s="286"/>
      <c r="CJ27" s="286"/>
      <c r="CK27" s="286"/>
      <c r="CL27" s="286"/>
      <c r="CM27" s="286"/>
      <c r="CN27" s="286"/>
      <c r="CO27" s="286"/>
      <c r="CP27" s="286"/>
      <c r="CQ27" s="286"/>
      <c r="CR27" s="286"/>
      <c r="CS27" s="286"/>
      <c r="CT27" s="286"/>
      <c r="CU27" s="286"/>
      <c r="CV27" s="286"/>
      <c r="CW27" s="286"/>
      <c r="CX27" s="286"/>
      <c r="CY27" s="286"/>
      <c r="CZ27" s="286"/>
      <c r="DA27" s="286"/>
      <c r="DB27" s="286"/>
      <c r="DC27" s="286"/>
      <c r="DD27" s="286"/>
      <c r="DE27" s="286"/>
      <c r="DF27" s="286"/>
      <c r="DG27" s="286"/>
      <c r="DH27" s="286"/>
      <c r="DI27" s="286"/>
      <c r="DJ27" s="286"/>
      <c r="DK27" s="286"/>
      <c r="DL27" s="286"/>
      <c r="DM27" s="286"/>
      <c r="DN27" s="286"/>
      <c r="DO27" s="286"/>
      <c r="DP27" s="286"/>
      <c r="DQ27" s="286"/>
      <c r="DR27" s="286"/>
      <c r="DS27" s="286"/>
      <c r="DT27" s="286"/>
      <c r="DU27" s="286"/>
      <c r="DV27" s="286"/>
      <c r="DW27" s="286"/>
      <c r="DX27" s="286"/>
      <c r="DY27" s="286"/>
      <c r="DZ27" s="286"/>
      <c r="EA27" s="286"/>
      <c r="EB27" s="286"/>
      <c r="EC27" s="286"/>
      <c r="ED27" s="286"/>
      <c r="EE27" s="286"/>
      <c r="EF27" s="286"/>
      <c r="EG27" s="286"/>
      <c r="EH27" s="286"/>
      <c r="EI27" s="286"/>
      <c r="EJ27" s="286"/>
      <c r="EK27" s="286"/>
      <c r="EL27" s="286"/>
      <c r="EM27" s="286"/>
      <c r="EN27" s="286"/>
      <c r="EO27" s="286"/>
      <c r="EP27" s="286"/>
      <c r="EQ27" s="286"/>
      <c r="ER27" s="286"/>
      <c r="ES27" s="286"/>
      <c r="ET27" s="286"/>
      <c r="EU27" s="286"/>
      <c r="EV27" s="286"/>
      <c r="EW27" s="286"/>
      <c r="EX27" s="286"/>
      <c r="EY27" s="286"/>
      <c r="EZ27" s="286"/>
      <c r="FA27" s="286"/>
      <c r="FB27" s="286"/>
      <c r="FC27" s="286"/>
      <c r="FD27" s="286"/>
      <c r="FE27" s="286"/>
      <c r="FF27" s="286"/>
      <c r="FG27" s="286"/>
      <c r="FH27" s="286"/>
      <c r="FI27" s="286"/>
      <c r="FJ27" s="286"/>
      <c r="FK27" s="286"/>
      <c r="FL27" s="286"/>
      <c r="FM27" s="286"/>
      <c r="FN27" s="286"/>
      <c r="FO27" s="286"/>
      <c r="FP27" s="286"/>
      <c r="FQ27" s="286"/>
      <c r="FR27" s="286"/>
      <c r="FS27" s="286"/>
      <c r="FT27" s="286"/>
      <c r="FU27" s="286"/>
      <c r="FV27" s="286"/>
      <c r="FW27" s="286"/>
      <c r="FX27" s="286"/>
      <c r="FY27" s="286"/>
      <c r="FZ27" s="286"/>
      <c r="GA27" s="286"/>
      <c r="GB27" s="286"/>
      <c r="GC27" s="286"/>
      <c r="GD27" s="286"/>
      <c r="GE27" s="286"/>
      <c r="GF27" s="286"/>
      <c r="GG27" s="286"/>
      <c r="GH27" s="286"/>
      <c r="GI27" s="286"/>
      <c r="GJ27" s="286"/>
      <c r="GK27" s="286"/>
      <c r="GL27" s="286"/>
      <c r="GM27" s="286"/>
      <c r="GN27" s="286"/>
      <c r="GO27" s="286"/>
      <c r="GP27" s="286"/>
      <c r="GQ27" s="286"/>
      <c r="GR27" s="286"/>
      <c r="GS27" s="286"/>
      <c r="GT27" s="286"/>
      <c r="GU27" s="286"/>
      <c r="GV27" s="286"/>
      <c r="GW27" s="286"/>
      <c r="GX27" s="286"/>
      <c r="GY27" s="286"/>
      <c r="GZ27" s="286"/>
    </row>
    <row r="28" spans="1:208" ht="30">
      <c r="A28" s="302">
        <v>9</v>
      </c>
      <c r="B28" s="303">
        <v>44616</v>
      </c>
      <c r="C28" s="304">
        <v>1109027</v>
      </c>
      <c r="D28" s="304" t="s">
        <v>4286</v>
      </c>
      <c r="E28" s="304" t="s">
        <v>4287</v>
      </c>
      <c r="F28" s="304" t="s">
        <v>4275</v>
      </c>
      <c r="G28" s="304">
        <v>3193</v>
      </c>
      <c r="H28" s="304">
        <v>42</v>
      </c>
      <c r="I28" s="304">
        <v>4502278939</v>
      </c>
      <c r="J28" s="304">
        <v>3025459</v>
      </c>
      <c r="K28" s="304">
        <v>4902219010</v>
      </c>
      <c r="L28" s="289" t="s">
        <v>4252</v>
      </c>
      <c r="M28" s="309">
        <v>19362</v>
      </c>
      <c r="N28" s="304">
        <v>7500</v>
      </c>
      <c r="O28" s="306">
        <f t="shared" si="2"/>
        <v>145215000</v>
      </c>
      <c r="P28" s="307">
        <f t="shared" si="3"/>
        <v>3</v>
      </c>
      <c r="Q28" s="304" t="s">
        <v>3455</v>
      </c>
      <c r="R28" s="304">
        <v>1040968</v>
      </c>
      <c r="S28" s="304">
        <v>5542500</v>
      </c>
      <c r="T28" s="304"/>
      <c r="U28" s="307"/>
      <c r="V28" s="307"/>
      <c r="W28" s="307"/>
      <c r="X28" s="307"/>
      <c r="Y28" s="307"/>
      <c r="Z28" s="308"/>
      <c r="AA28" s="308"/>
      <c r="AB28" s="308"/>
      <c r="AC28" s="308"/>
      <c r="AD28" s="308"/>
      <c r="AE28" s="308"/>
      <c r="AF28" s="308"/>
      <c r="AG28" s="308"/>
      <c r="AH28" s="308"/>
      <c r="AI28" s="308"/>
      <c r="AJ28" s="308"/>
      <c r="AK28" s="308"/>
      <c r="AL28" s="308"/>
      <c r="AM28" s="308"/>
      <c r="AN28" s="308"/>
      <c r="AO28" s="308"/>
      <c r="AP28" s="308"/>
      <c r="AQ28" s="308"/>
      <c r="AR28" s="308"/>
      <c r="AS28" s="308"/>
      <c r="AT28" s="308"/>
      <c r="AU28" s="308"/>
      <c r="AV28" s="308"/>
      <c r="AW28" s="308"/>
      <c r="AX28" s="308"/>
      <c r="AY28" s="308"/>
      <c r="AZ28" s="308"/>
      <c r="BA28" s="308"/>
      <c r="BB28" s="308"/>
      <c r="BC28" s="308"/>
      <c r="BD28" s="308"/>
      <c r="BE28" s="308"/>
      <c r="BF28" s="308"/>
      <c r="BG28" s="308"/>
      <c r="BH28" s="308"/>
      <c r="BI28" s="308"/>
      <c r="BJ28" s="308"/>
      <c r="BK28" s="308"/>
      <c r="BL28" s="308"/>
      <c r="BM28" s="308"/>
      <c r="BN28" s="308"/>
      <c r="BO28" s="308"/>
      <c r="BP28" s="308"/>
      <c r="BQ28" s="308"/>
      <c r="BR28" s="308"/>
      <c r="BS28" s="308"/>
      <c r="BT28" s="308"/>
      <c r="BU28" s="308"/>
      <c r="BV28" s="308"/>
      <c r="BW28" s="308"/>
      <c r="BX28" s="308"/>
      <c r="BY28" s="308"/>
      <c r="BZ28" s="308"/>
      <c r="CA28" s="308"/>
      <c r="CB28" s="308"/>
      <c r="CC28" s="308"/>
      <c r="CD28" s="308"/>
      <c r="CE28" s="308"/>
      <c r="CF28" s="308"/>
      <c r="CG28" s="308"/>
      <c r="CH28" s="308"/>
      <c r="CI28" s="308"/>
      <c r="CJ28" s="308"/>
      <c r="CK28" s="308"/>
      <c r="CL28" s="308"/>
      <c r="CM28" s="308"/>
      <c r="CN28" s="308"/>
      <c r="CO28" s="308"/>
      <c r="CP28" s="308"/>
      <c r="CQ28" s="308"/>
      <c r="CR28" s="308"/>
      <c r="CS28" s="308"/>
      <c r="CT28" s="308"/>
      <c r="CU28" s="308"/>
      <c r="CV28" s="308"/>
      <c r="CW28" s="308"/>
      <c r="CX28" s="308"/>
      <c r="CY28" s="308"/>
      <c r="CZ28" s="308"/>
      <c r="DA28" s="308"/>
      <c r="DB28" s="308"/>
      <c r="DC28" s="308"/>
      <c r="DD28" s="308"/>
      <c r="DE28" s="308"/>
      <c r="DF28" s="308"/>
      <c r="DG28" s="308"/>
      <c r="DH28" s="308"/>
      <c r="DI28" s="308"/>
      <c r="DJ28" s="308"/>
      <c r="DK28" s="308"/>
      <c r="DL28" s="308"/>
      <c r="DM28" s="308"/>
      <c r="DN28" s="308"/>
      <c r="DO28" s="308"/>
      <c r="DP28" s="308"/>
      <c r="DQ28" s="308"/>
      <c r="DR28" s="308"/>
      <c r="DS28" s="308"/>
      <c r="DT28" s="308"/>
      <c r="DU28" s="308"/>
      <c r="DV28" s="308"/>
      <c r="DW28" s="308"/>
      <c r="DX28" s="308"/>
      <c r="DY28" s="308"/>
      <c r="DZ28" s="308"/>
      <c r="EA28" s="308"/>
      <c r="EB28" s="308"/>
      <c r="EC28" s="308"/>
      <c r="ED28" s="308"/>
      <c r="EE28" s="308"/>
      <c r="EF28" s="308"/>
      <c r="EG28" s="308"/>
      <c r="EH28" s="308"/>
      <c r="EI28" s="308"/>
      <c r="EJ28" s="308"/>
      <c r="EK28" s="308"/>
      <c r="EL28" s="308"/>
      <c r="EM28" s="308"/>
      <c r="EN28" s="308"/>
      <c r="EO28" s="308"/>
      <c r="EP28" s="308"/>
      <c r="EQ28" s="308"/>
      <c r="ER28" s="308"/>
      <c r="ES28" s="308"/>
      <c r="ET28" s="308"/>
      <c r="EU28" s="308"/>
      <c r="EV28" s="308"/>
      <c r="EW28" s="308"/>
      <c r="EX28" s="308"/>
      <c r="EY28" s="308"/>
      <c r="EZ28" s="308"/>
      <c r="FA28" s="308"/>
      <c r="FB28" s="308"/>
      <c r="FC28" s="308"/>
      <c r="FD28" s="308"/>
      <c r="FE28" s="308"/>
      <c r="FF28" s="308"/>
      <c r="FG28" s="308"/>
      <c r="FH28" s="308"/>
      <c r="FI28" s="308"/>
      <c r="FJ28" s="308"/>
      <c r="FK28" s="308"/>
      <c r="FL28" s="308"/>
      <c r="FM28" s="308"/>
      <c r="FN28" s="308"/>
      <c r="FO28" s="308"/>
      <c r="FP28" s="308"/>
      <c r="FQ28" s="308"/>
      <c r="FR28" s="308"/>
      <c r="FS28" s="308"/>
      <c r="FT28" s="308"/>
      <c r="FU28" s="308"/>
      <c r="FV28" s="308"/>
      <c r="FW28" s="308"/>
      <c r="FX28" s="308"/>
      <c r="FY28" s="308"/>
      <c r="FZ28" s="308"/>
      <c r="GA28" s="308"/>
      <c r="GB28" s="308"/>
      <c r="GC28" s="308"/>
      <c r="GD28" s="308"/>
      <c r="GE28" s="308"/>
      <c r="GF28" s="308"/>
      <c r="GG28" s="308"/>
      <c r="GH28" s="308"/>
      <c r="GI28" s="308"/>
      <c r="GJ28" s="308"/>
      <c r="GK28" s="308"/>
      <c r="GL28" s="308"/>
      <c r="GM28" s="308"/>
      <c r="GN28" s="308"/>
      <c r="GO28" s="308"/>
      <c r="GP28" s="308"/>
      <c r="GQ28" s="308"/>
      <c r="GR28" s="308"/>
      <c r="GS28" s="308"/>
      <c r="GT28" s="308"/>
      <c r="GU28" s="308"/>
      <c r="GV28" s="308"/>
      <c r="GW28" s="308"/>
      <c r="GX28" s="308"/>
      <c r="GY28" s="308"/>
      <c r="GZ28" s="308"/>
    </row>
    <row r="29" spans="1:208" ht="30">
      <c r="A29" s="302">
        <v>9</v>
      </c>
      <c r="B29" s="303">
        <v>44618</v>
      </c>
      <c r="C29" s="304">
        <v>1084015</v>
      </c>
      <c r="D29" s="304" t="s">
        <v>4288</v>
      </c>
      <c r="E29" s="304" t="s">
        <v>4289</v>
      </c>
      <c r="F29" s="304" t="s">
        <v>4264</v>
      </c>
      <c r="G29" s="304">
        <v>3148</v>
      </c>
      <c r="H29" s="304">
        <v>42</v>
      </c>
      <c r="I29" s="304">
        <v>4502280834</v>
      </c>
      <c r="J29" s="304">
        <v>3025460</v>
      </c>
      <c r="K29" s="304">
        <v>4902219295</v>
      </c>
      <c r="L29" s="289" t="s">
        <v>4252</v>
      </c>
      <c r="M29" s="309">
        <v>18149</v>
      </c>
      <c r="N29" s="304">
        <v>7350</v>
      </c>
      <c r="O29" s="306">
        <f t="shared" si="2"/>
        <v>133395150</v>
      </c>
      <c r="P29" s="307">
        <f t="shared" si="3"/>
        <v>3</v>
      </c>
      <c r="Q29" s="304" t="s">
        <v>3455</v>
      </c>
      <c r="R29" s="304">
        <v>1040968</v>
      </c>
      <c r="S29" s="311">
        <v>4871700</v>
      </c>
      <c r="T29" s="307"/>
      <c r="U29" s="307"/>
      <c r="V29" s="307"/>
      <c r="W29" s="307"/>
      <c r="X29" s="307"/>
      <c r="Y29" s="307"/>
      <c r="Z29" s="308"/>
      <c r="AA29" s="308"/>
      <c r="AB29" s="308"/>
      <c r="AC29" s="308"/>
      <c r="AD29" s="308"/>
      <c r="AE29" s="308"/>
      <c r="AF29" s="308"/>
      <c r="AG29" s="308"/>
      <c r="AH29" s="308"/>
      <c r="AI29" s="308"/>
      <c r="AJ29" s="308"/>
      <c r="AK29" s="308"/>
      <c r="AL29" s="308"/>
      <c r="AM29" s="308"/>
      <c r="AN29" s="308"/>
      <c r="AO29" s="308"/>
      <c r="AP29" s="308"/>
      <c r="AQ29" s="308"/>
      <c r="AR29" s="308"/>
      <c r="AS29" s="308"/>
      <c r="AT29" s="308"/>
      <c r="AU29" s="308"/>
      <c r="AV29" s="308"/>
      <c r="AW29" s="308"/>
      <c r="AX29" s="308"/>
      <c r="AY29" s="308"/>
      <c r="AZ29" s="308"/>
      <c r="BA29" s="308"/>
      <c r="BB29" s="308"/>
      <c r="BC29" s="308"/>
      <c r="BD29" s="308"/>
      <c r="BE29" s="308"/>
      <c r="BF29" s="308"/>
      <c r="BG29" s="308"/>
      <c r="BH29" s="308"/>
      <c r="BI29" s="308"/>
      <c r="BJ29" s="308"/>
      <c r="BK29" s="308"/>
      <c r="BL29" s="308"/>
      <c r="BM29" s="308"/>
      <c r="BN29" s="308"/>
      <c r="BO29" s="308"/>
      <c r="BP29" s="308"/>
      <c r="BQ29" s="308"/>
      <c r="BR29" s="308"/>
      <c r="BS29" s="308"/>
      <c r="BT29" s="308"/>
      <c r="BU29" s="308"/>
      <c r="BV29" s="308"/>
      <c r="BW29" s="308"/>
      <c r="BX29" s="308"/>
      <c r="BY29" s="308"/>
      <c r="BZ29" s="308"/>
      <c r="CA29" s="308"/>
      <c r="CB29" s="308"/>
      <c r="CC29" s="308"/>
      <c r="CD29" s="308"/>
      <c r="CE29" s="308"/>
      <c r="CF29" s="308"/>
      <c r="CG29" s="308"/>
      <c r="CH29" s="308"/>
      <c r="CI29" s="308"/>
      <c r="CJ29" s="308"/>
      <c r="CK29" s="308"/>
      <c r="CL29" s="308"/>
      <c r="CM29" s="308"/>
      <c r="CN29" s="308"/>
      <c r="CO29" s="308"/>
      <c r="CP29" s="308"/>
      <c r="CQ29" s="308"/>
      <c r="CR29" s="308"/>
      <c r="CS29" s="308"/>
      <c r="CT29" s="308"/>
      <c r="CU29" s="308"/>
      <c r="CV29" s="308"/>
      <c r="CW29" s="308"/>
      <c r="CX29" s="308"/>
      <c r="CY29" s="308"/>
      <c r="CZ29" s="308"/>
      <c r="DA29" s="308"/>
      <c r="DB29" s="308"/>
      <c r="DC29" s="308"/>
      <c r="DD29" s="308"/>
      <c r="DE29" s="308"/>
      <c r="DF29" s="308"/>
      <c r="DG29" s="308"/>
      <c r="DH29" s="308"/>
      <c r="DI29" s="308"/>
      <c r="DJ29" s="308"/>
      <c r="DK29" s="308"/>
      <c r="DL29" s="308"/>
      <c r="DM29" s="308"/>
      <c r="DN29" s="308"/>
      <c r="DO29" s="308"/>
      <c r="DP29" s="308"/>
      <c r="DQ29" s="308"/>
      <c r="DR29" s="308"/>
      <c r="DS29" s="308"/>
      <c r="DT29" s="308"/>
      <c r="DU29" s="308"/>
      <c r="DV29" s="308"/>
      <c r="DW29" s="308"/>
      <c r="DX29" s="308"/>
      <c r="DY29" s="308"/>
      <c r="DZ29" s="308"/>
      <c r="EA29" s="308"/>
      <c r="EB29" s="308"/>
      <c r="EC29" s="308"/>
      <c r="ED29" s="308"/>
      <c r="EE29" s="308"/>
      <c r="EF29" s="308"/>
      <c r="EG29" s="308"/>
      <c r="EH29" s="308"/>
      <c r="EI29" s="308"/>
      <c r="EJ29" s="308"/>
      <c r="EK29" s="308"/>
      <c r="EL29" s="308"/>
      <c r="EM29" s="308"/>
      <c r="EN29" s="308"/>
      <c r="EO29" s="308"/>
      <c r="EP29" s="308"/>
      <c r="EQ29" s="308"/>
      <c r="ER29" s="308"/>
      <c r="ES29" s="308"/>
      <c r="ET29" s="308"/>
      <c r="EU29" s="308"/>
      <c r="EV29" s="308"/>
      <c r="EW29" s="308"/>
      <c r="EX29" s="308"/>
      <c r="EY29" s="308"/>
      <c r="EZ29" s="308"/>
      <c r="FA29" s="308"/>
      <c r="FB29" s="308"/>
      <c r="FC29" s="308"/>
      <c r="FD29" s="308"/>
      <c r="FE29" s="308"/>
      <c r="FF29" s="308"/>
      <c r="FG29" s="308"/>
      <c r="FH29" s="308"/>
      <c r="FI29" s="308"/>
      <c r="FJ29" s="308"/>
      <c r="FK29" s="308"/>
      <c r="FL29" s="308"/>
      <c r="FM29" s="308"/>
      <c r="FN29" s="308"/>
      <c r="FO29" s="308"/>
      <c r="FP29" s="308"/>
      <c r="FQ29" s="308"/>
      <c r="FR29" s="308"/>
      <c r="FS29" s="308"/>
      <c r="FT29" s="308"/>
      <c r="FU29" s="308"/>
      <c r="FV29" s="308"/>
      <c r="FW29" s="308"/>
      <c r="FX29" s="308"/>
      <c r="FY29" s="308"/>
      <c r="FZ29" s="308"/>
      <c r="GA29" s="308"/>
      <c r="GB29" s="308"/>
      <c r="GC29" s="308"/>
      <c r="GD29" s="308"/>
      <c r="GE29" s="308"/>
      <c r="GF29" s="308"/>
      <c r="GG29" s="308"/>
      <c r="GH29" s="308"/>
      <c r="GI29" s="308"/>
      <c r="GJ29" s="308"/>
      <c r="GK29" s="308"/>
      <c r="GL29" s="308"/>
      <c r="GM29" s="308"/>
      <c r="GN29" s="308"/>
      <c r="GO29" s="308"/>
      <c r="GP29" s="308"/>
      <c r="GQ29" s="308"/>
      <c r="GR29" s="308"/>
      <c r="GS29" s="308"/>
      <c r="GT29" s="308"/>
      <c r="GU29" s="308"/>
      <c r="GV29" s="308"/>
      <c r="GW29" s="308"/>
      <c r="GX29" s="308"/>
      <c r="GY29" s="308"/>
      <c r="GZ29" s="308"/>
    </row>
    <row r="30" spans="1:208" ht="30">
      <c r="A30" s="302">
        <v>9</v>
      </c>
      <c r="B30" s="303">
        <v>44619</v>
      </c>
      <c r="C30" s="304">
        <v>1076469</v>
      </c>
      <c r="D30" s="304" t="s">
        <v>4290</v>
      </c>
      <c r="E30" s="304" t="s">
        <v>4279</v>
      </c>
      <c r="F30" s="304" t="s">
        <v>4275</v>
      </c>
      <c r="G30" s="304">
        <v>3179</v>
      </c>
      <c r="H30" s="304">
        <v>56</v>
      </c>
      <c r="I30" s="304">
        <v>4502280836</v>
      </c>
      <c r="J30" s="304">
        <v>3025459</v>
      </c>
      <c r="K30" s="304">
        <v>4902219298</v>
      </c>
      <c r="L30" s="289" t="s">
        <v>4252</v>
      </c>
      <c r="M30" s="309">
        <v>26717</v>
      </c>
      <c r="N30" s="304">
        <v>7500</v>
      </c>
      <c r="O30" s="306">
        <f t="shared" si="2"/>
        <v>200377500</v>
      </c>
      <c r="P30" s="307">
        <f t="shared" si="3"/>
        <v>4</v>
      </c>
      <c r="Q30" s="304" t="s">
        <v>3455</v>
      </c>
      <c r="R30" s="304">
        <v>1040968</v>
      </c>
      <c r="S30" s="311">
        <v>6552892</v>
      </c>
      <c r="T30" s="307"/>
      <c r="U30" s="307"/>
      <c r="V30" s="307"/>
      <c r="W30" s="307"/>
      <c r="X30" s="307"/>
      <c r="Y30" s="307"/>
      <c r="Z30" s="308"/>
      <c r="AA30" s="308"/>
      <c r="AB30" s="308"/>
      <c r="AC30" s="308"/>
      <c r="AD30" s="308"/>
      <c r="AE30" s="308"/>
      <c r="AF30" s="308"/>
      <c r="AG30" s="308"/>
      <c r="AH30" s="308"/>
      <c r="AI30" s="308"/>
      <c r="AJ30" s="308"/>
      <c r="AK30" s="308"/>
      <c r="AL30" s="308"/>
      <c r="AM30" s="308"/>
      <c r="AN30" s="308"/>
      <c r="AO30" s="308"/>
      <c r="AP30" s="308"/>
      <c r="AQ30" s="308"/>
      <c r="AR30" s="308"/>
      <c r="AS30" s="308"/>
      <c r="AT30" s="308"/>
      <c r="AU30" s="308"/>
      <c r="AV30" s="308"/>
      <c r="AW30" s="308"/>
      <c r="AX30" s="308"/>
      <c r="AY30" s="308"/>
      <c r="AZ30" s="308"/>
      <c r="BA30" s="308"/>
      <c r="BB30" s="308"/>
      <c r="BC30" s="308"/>
      <c r="BD30" s="308"/>
      <c r="BE30" s="308"/>
      <c r="BF30" s="308"/>
      <c r="BG30" s="308"/>
      <c r="BH30" s="308"/>
      <c r="BI30" s="308"/>
      <c r="BJ30" s="308"/>
      <c r="BK30" s="308"/>
      <c r="BL30" s="308"/>
      <c r="BM30" s="308"/>
      <c r="BN30" s="308"/>
      <c r="BO30" s="308"/>
      <c r="BP30" s="308"/>
      <c r="BQ30" s="308"/>
      <c r="BR30" s="308"/>
      <c r="BS30" s="308"/>
      <c r="BT30" s="308"/>
      <c r="BU30" s="308"/>
      <c r="BV30" s="308"/>
      <c r="BW30" s="308"/>
      <c r="BX30" s="308"/>
      <c r="BY30" s="308"/>
      <c r="BZ30" s="308"/>
      <c r="CA30" s="308"/>
      <c r="CB30" s="308"/>
      <c r="CC30" s="308"/>
      <c r="CD30" s="308"/>
      <c r="CE30" s="308"/>
      <c r="CF30" s="308"/>
      <c r="CG30" s="308"/>
      <c r="CH30" s="308"/>
      <c r="CI30" s="308"/>
      <c r="CJ30" s="308"/>
      <c r="CK30" s="308"/>
      <c r="CL30" s="308"/>
      <c r="CM30" s="308"/>
      <c r="CN30" s="308"/>
      <c r="CO30" s="308"/>
      <c r="CP30" s="308"/>
      <c r="CQ30" s="308"/>
      <c r="CR30" s="308"/>
      <c r="CS30" s="308"/>
      <c r="CT30" s="308"/>
      <c r="CU30" s="308"/>
      <c r="CV30" s="308"/>
      <c r="CW30" s="308"/>
      <c r="CX30" s="308"/>
      <c r="CY30" s="308"/>
      <c r="CZ30" s="308"/>
      <c r="DA30" s="308"/>
      <c r="DB30" s="308"/>
      <c r="DC30" s="308"/>
      <c r="DD30" s="308"/>
      <c r="DE30" s="308"/>
      <c r="DF30" s="308"/>
      <c r="DG30" s="308"/>
      <c r="DH30" s="308"/>
      <c r="DI30" s="308"/>
      <c r="DJ30" s="308"/>
      <c r="DK30" s="308"/>
      <c r="DL30" s="308"/>
      <c r="DM30" s="308"/>
      <c r="DN30" s="308"/>
      <c r="DO30" s="308"/>
      <c r="DP30" s="308"/>
      <c r="DQ30" s="308"/>
      <c r="DR30" s="308"/>
      <c r="DS30" s="308"/>
      <c r="DT30" s="308"/>
      <c r="DU30" s="308"/>
      <c r="DV30" s="308"/>
      <c r="DW30" s="308"/>
      <c r="DX30" s="308"/>
      <c r="DY30" s="308"/>
      <c r="DZ30" s="308"/>
      <c r="EA30" s="308"/>
      <c r="EB30" s="308"/>
      <c r="EC30" s="308"/>
      <c r="ED30" s="308"/>
      <c r="EE30" s="308"/>
      <c r="EF30" s="308"/>
      <c r="EG30" s="308"/>
      <c r="EH30" s="308"/>
      <c r="EI30" s="308"/>
      <c r="EJ30" s="308"/>
      <c r="EK30" s="308"/>
      <c r="EL30" s="308"/>
      <c r="EM30" s="308"/>
      <c r="EN30" s="308"/>
      <c r="EO30" s="308"/>
      <c r="EP30" s="308"/>
      <c r="EQ30" s="308"/>
      <c r="ER30" s="308"/>
      <c r="ES30" s="308"/>
      <c r="ET30" s="308"/>
      <c r="EU30" s="308"/>
      <c r="EV30" s="308"/>
      <c r="EW30" s="308"/>
      <c r="EX30" s="308"/>
      <c r="EY30" s="308"/>
      <c r="EZ30" s="308"/>
      <c r="FA30" s="308"/>
      <c r="FB30" s="308"/>
      <c r="FC30" s="308"/>
      <c r="FD30" s="308"/>
      <c r="FE30" s="308"/>
      <c r="FF30" s="308"/>
      <c r="FG30" s="308"/>
      <c r="FH30" s="308"/>
      <c r="FI30" s="308"/>
      <c r="FJ30" s="308"/>
      <c r="FK30" s="308"/>
      <c r="FL30" s="308"/>
      <c r="FM30" s="308"/>
      <c r="FN30" s="308"/>
      <c r="FO30" s="308"/>
      <c r="FP30" s="308"/>
      <c r="FQ30" s="308"/>
      <c r="FR30" s="308"/>
      <c r="FS30" s="308"/>
      <c r="FT30" s="308"/>
      <c r="FU30" s="308"/>
      <c r="FV30" s="308"/>
      <c r="FW30" s="308"/>
      <c r="FX30" s="308"/>
      <c r="FY30" s="308"/>
      <c r="FZ30" s="308"/>
      <c r="GA30" s="308"/>
      <c r="GB30" s="308"/>
      <c r="GC30" s="308"/>
      <c r="GD30" s="308"/>
      <c r="GE30" s="308"/>
      <c r="GF30" s="308"/>
      <c r="GG30" s="308"/>
      <c r="GH30" s="308"/>
      <c r="GI30" s="308"/>
      <c r="GJ30" s="308"/>
      <c r="GK30" s="308"/>
      <c r="GL30" s="308"/>
      <c r="GM30" s="308"/>
      <c r="GN30" s="308"/>
      <c r="GO30" s="308"/>
      <c r="GP30" s="308"/>
      <c r="GQ30" s="308"/>
      <c r="GR30" s="308"/>
      <c r="GS30" s="308"/>
      <c r="GT30" s="308"/>
      <c r="GU30" s="308"/>
      <c r="GV30" s="308"/>
      <c r="GW30" s="308"/>
      <c r="GX30" s="308"/>
      <c r="GY30" s="308"/>
      <c r="GZ30" s="308"/>
    </row>
    <row r="31" spans="1:208" ht="30">
      <c r="A31" s="302">
        <v>9</v>
      </c>
      <c r="B31" s="303">
        <v>44620</v>
      </c>
      <c r="C31" s="304">
        <v>1053331</v>
      </c>
      <c r="D31" s="304" t="s">
        <v>4291</v>
      </c>
      <c r="E31" s="304" t="s">
        <v>4263</v>
      </c>
      <c r="F31" s="304" t="s">
        <v>4264</v>
      </c>
      <c r="G31" s="304">
        <v>3178</v>
      </c>
      <c r="H31" s="304">
        <v>28</v>
      </c>
      <c r="I31" s="304">
        <v>4502281173</v>
      </c>
      <c r="J31" s="304">
        <v>3025460</v>
      </c>
      <c r="K31" s="304">
        <v>4902221357</v>
      </c>
      <c r="L31" s="289" t="s">
        <v>4252</v>
      </c>
      <c r="M31" s="305">
        <v>13138</v>
      </c>
      <c r="N31" s="304">
        <v>7500</v>
      </c>
      <c r="O31" s="306">
        <f t="shared" si="2"/>
        <v>98535000</v>
      </c>
      <c r="P31" s="304">
        <v>2</v>
      </c>
      <c r="Q31" s="304" t="s">
        <v>3455</v>
      </c>
      <c r="R31" s="304">
        <v>1040968</v>
      </c>
      <c r="S31" s="304">
        <f t="shared" ref="S31:S32" si="5">1857700*P31</f>
        <v>3715400</v>
      </c>
      <c r="T31" s="307"/>
      <c r="U31" s="307"/>
      <c r="V31" s="307"/>
      <c r="W31" s="307"/>
      <c r="X31" s="307"/>
      <c r="Y31" s="307"/>
      <c r="Z31" s="308"/>
      <c r="AA31" s="308"/>
      <c r="AB31" s="308"/>
      <c r="AC31" s="308"/>
      <c r="AD31" s="308"/>
      <c r="AE31" s="308"/>
      <c r="AF31" s="308"/>
      <c r="AG31" s="308"/>
      <c r="AH31" s="308"/>
      <c r="AI31" s="308"/>
      <c r="AJ31" s="308"/>
      <c r="AK31" s="308"/>
      <c r="AL31" s="308"/>
      <c r="AM31" s="308"/>
      <c r="AN31" s="308"/>
      <c r="AO31" s="308"/>
      <c r="AP31" s="308"/>
      <c r="AQ31" s="308"/>
      <c r="AR31" s="308"/>
      <c r="AS31" s="308"/>
      <c r="AT31" s="308"/>
      <c r="AU31" s="308"/>
      <c r="AV31" s="308"/>
      <c r="AW31" s="308"/>
      <c r="AX31" s="308"/>
      <c r="AY31" s="308"/>
      <c r="AZ31" s="308"/>
      <c r="BA31" s="308"/>
      <c r="BB31" s="308"/>
      <c r="BC31" s="308"/>
      <c r="BD31" s="308"/>
      <c r="BE31" s="308"/>
      <c r="BF31" s="308"/>
      <c r="BG31" s="308"/>
      <c r="BH31" s="308"/>
      <c r="BI31" s="308"/>
      <c r="BJ31" s="308"/>
      <c r="BK31" s="308"/>
      <c r="BL31" s="308"/>
      <c r="BM31" s="308"/>
      <c r="BN31" s="308"/>
      <c r="BO31" s="308"/>
      <c r="BP31" s="308"/>
      <c r="BQ31" s="308"/>
      <c r="BR31" s="308"/>
      <c r="BS31" s="308"/>
      <c r="BT31" s="308"/>
      <c r="BU31" s="308"/>
      <c r="BV31" s="308"/>
      <c r="BW31" s="308"/>
      <c r="BX31" s="308"/>
      <c r="BY31" s="308"/>
      <c r="BZ31" s="308"/>
      <c r="CA31" s="308"/>
      <c r="CB31" s="308"/>
      <c r="CC31" s="308"/>
      <c r="CD31" s="308"/>
      <c r="CE31" s="308"/>
      <c r="CF31" s="308"/>
      <c r="CG31" s="308"/>
      <c r="CH31" s="308"/>
      <c r="CI31" s="308"/>
      <c r="CJ31" s="308"/>
      <c r="CK31" s="308"/>
      <c r="CL31" s="308"/>
      <c r="CM31" s="308"/>
      <c r="CN31" s="308"/>
      <c r="CO31" s="308"/>
      <c r="CP31" s="308"/>
      <c r="CQ31" s="308"/>
      <c r="CR31" s="308"/>
      <c r="CS31" s="308"/>
      <c r="CT31" s="308"/>
      <c r="CU31" s="308"/>
      <c r="CV31" s="308"/>
      <c r="CW31" s="308"/>
      <c r="CX31" s="308"/>
      <c r="CY31" s="308"/>
      <c r="CZ31" s="308"/>
      <c r="DA31" s="308"/>
      <c r="DB31" s="308"/>
      <c r="DC31" s="308"/>
      <c r="DD31" s="308"/>
      <c r="DE31" s="308"/>
      <c r="DF31" s="308"/>
      <c r="DG31" s="308"/>
      <c r="DH31" s="308"/>
      <c r="DI31" s="308"/>
      <c r="DJ31" s="308"/>
      <c r="DK31" s="308"/>
      <c r="DL31" s="308"/>
      <c r="DM31" s="308"/>
      <c r="DN31" s="308"/>
      <c r="DO31" s="308"/>
      <c r="DP31" s="308"/>
      <c r="DQ31" s="308"/>
      <c r="DR31" s="308"/>
      <c r="DS31" s="308"/>
      <c r="DT31" s="308"/>
      <c r="DU31" s="308"/>
      <c r="DV31" s="308"/>
      <c r="DW31" s="308"/>
      <c r="DX31" s="308"/>
      <c r="DY31" s="308"/>
      <c r="DZ31" s="308"/>
      <c r="EA31" s="308"/>
      <c r="EB31" s="308"/>
      <c r="EC31" s="308"/>
      <c r="ED31" s="308"/>
      <c r="EE31" s="308"/>
      <c r="EF31" s="308"/>
      <c r="EG31" s="308"/>
      <c r="EH31" s="308"/>
      <c r="EI31" s="308"/>
      <c r="EJ31" s="308"/>
      <c r="EK31" s="308"/>
      <c r="EL31" s="308"/>
      <c r="EM31" s="308"/>
      <c r="EN31" s="308"/>
      <c r="EO31" s="308"/>
      <c r="EP31" s="308"/>
      <c r="EQ31" s="308"/>
      <c r="ER31" s="308"/>
      <c r="ES31" s="308"/>
      <c r="ET31" s="308"/>
      <c r="EU31" s="308"/>
      <c r="EV31" s="308"/>
      <c r="EW31" s="308"/>
      <c r="EX31" s="308"/>
      <c r="EY31" s="308"/>
      <c r="EZ31" s="308"/>
      <c r="FA31" s="308"/>
      <c r="FB31" s="308"/>
      <c r="FC31" s="308"/>
      <c r="FD31" s="308"/>
      <c r="FE31" s="308"/>
      <c r="FF31" s="308"/>
      <c r="FG31" s="308"/>
      <c r="FH31" s="308"/>
      <c r="FI31" s="308"/>
      <c r="FJ31" s="308"/>
      <c r="FK31" s="308"/>
      <c r="FL31" s="308"/>
      <c r="FM31" s="308"/>
      <c r="FN31" s="308"/>
      <c r="FO31" s="308"/>
      <c r="FP31" s="308"/>
      <c r="FQ31" s="308"/>
      <c r="FR31" s="308"/>
      <c r="FS31" s="308"/>
      <c r="FT31" s="308"/>
      <c r="FU31" s="308"/>
      <c r="FV31" s="308"/>
      <c r="FW31" s="308"/>
      <c r="FX31" s="308"/>
      <c r="FY31" s="308"/>
      <c r="FZ31" s="308"/>
      <c r="GA31" s="308"/>
      <c r="GB31" s="308"/>
      <c r="GC31" s="308"/>
      <c r="GD31" s="308"/>
      <c r="GE31" s="308"/>
      <c r="GF31" s="308"/>
      <c r="GG31" s="308"/>
      <c r="GH31" s="308"/>
      <c r="GI31" s="308"/>
      <c r="GJ31" s="308"/>
      <c r="GK31" s="308"/>
      <c r="GL31" s="308"/>
      <c r="GM31" s="308"/>
      <c r="GN31" s="308"/>
      <c r="GO31" s="308"/>
      <c r="GP31" s="308"/>
      <c r="GQ31" s="308"/>
      <c r="GR31" s="308"/>
      <c r="GS31" s="308"/>
      <c r="GT31" s="308"/>
      <c r="GU31" s="308"/>
      <c r="GV31" s="308"/>
      <c r="GW31" s="308"/>
      <c r="GX31" s="308"/>
      <c r="GY31" s="308"/>
      <c r="GZ31" s="308"/>
    </row>
    <row r="32" spans="1:208" ht="30">
      <c r="A32" s="302">
        <v>9</v>
      </c>
      <c r="B32" s="303">
        <v>44620</v>
      </c>
      <c r="C32" s="304">
        <v>1053331</v>
      </c>
      <c r="D32" s="304" t="s">
        <v>4291</v>
      </c>
      <c r="E32" s="304" t="s">
        <v>4263</v>
      </c>
      <c r="F32" s="304" t="s">
        <v>4264</v>
      </c>
      <c r="G32" s="304">
        <v>3178</v>
      </c>
      <c r="H32" s="304">
        <f>84-H31</f>
        <v>56</v>
      </c>
      <c r="I32" s="304">
        <v>4502281173</v>
      </c>
      <c r="J32" s="304">
        <v>3025460</v>
      </c>
      <c r="K32" s="304">
        <v>4902219302</v>
      </c>
      <c r="L32" s="289" t="s">
        <v>4252</v>
      </c>
      <c r="M32" s="305">
        <v>26276</v>
      </c>
      <c r="N32" s="304">
        <v>7500</v>
      </c>
      <c r="O32" s="306">
        <f t="shared" si="2"/>
        <v>197070000</v>
      </c>
      <c r="P32" s="304">
        <v>1</v>
      </c>
      <c r="Q32" s="304" t="s">
        <v>3455</v>
      </c>
      <c r="R32" s="304">
        <v>1040968</v>
      </c>
      <c r="S32" s="304">
        <f t="shared" si="5"/>
        <v>1857700</v>
      </c>
      <c r="T32" s="307"/>
      <c r="U32" s="307"/>
      <c r="V32" s="307"/>
      <c r="W32" s="307"/>
      <c r="X32" s="307"/>
      <c r="Y32" s="307"/>
      <c r="Z32" s="308"/>
      <c r="AA32" s="308"/>
      <c r="AB32" s="308"/>
      <c r="AC32" s="308"/>
      <c r="AD32" s="308"/>
      <c r="AE32" s="308"/>
      <c r="AF32" s="308"/>
      <c r="AG32" s="308"/>
      <c r="AH32" s="308"/>
      <c r="AI32" s="308"/>
      <c r="AJ32" s="308"/>
      <c r="AK32" s="308"/>
      <c r="AL32" s="308"/>
      <c r="AM32" s="308"/>
      <c r="AN32" s="308"/>
      <c r="AO32" s="308"/>
      <c r="AP32" s="308"/>
      <c r="AQ32" s="308"/>
      <c r="AR32" s="308"/>
      <c r="AS32" s="308"/>
      <c r="AT32" s="308"/>
      <c r="AU32" s="308"/>
      <c r="AV32" s="308"/>
      <c r="AW32" s="308"/>
      <c r="AX32" s="308"/>
      <c r="AY32" s="308"/>
      <c r="AZ32" s="308"/>
      <c r="BA32" s="308"/>
      <c r="BB32" s="308"/>
      <c r="BC32" s="308"/>
      <c r="BD32" s="308"/>
      <c r="BE32" s="308"/>
      <c r="BF32" s="308"/>
      <c r="BG32" s="308"/>
      <c r="BH32" s="308"/>
      <c r="BI32" s="308"/>
      <c r="BJ32" s="308"/>
      <c r="BK32" s="308"/>
      <c r="BL32" s="308"/>
      <c r="BM32" s="308"/>
      <c r="BN32" s="308"/>
      <c r="BO32" s="308"/>
      <c r="BP32" s="308"/>
      <c r="BQ32" s="308"/>
      <c r="BR32" s="308"/>
      <c r="BS32" s="308"/>
      <c r="BT32" s="308"/>
      <c r="BU32" s="308"/>
      <c r="BV32" s="308"/>
      <c r="BW32" s="308"/>
      <c r="BX32" s="308"/>
      <c r="BY32" s="308"/>
      <c r="BZ32" s="308"/>
      <c r="CA32" s="308"/>
      <c r="CB32" s="308"/>
      <c r="CC32" s="308"/>
      <c r="CD32" s="308"/>
      <c r="CE32" s="308"/>
      <c r="CF32" s="308"/>
      <c r="CG32" s="308"/>
      <c r="CH32" s="308"/>
      <c r="CI32" s="308"/>
      <c r="CJ32" s="308"/>
      <c r="CK32" s="308"/>
      <c r="CL32" s="308"/>
      <c r="CM32" s="308"/>
      <c r="CN32" s="308"/>
      <c r="CO32" s="308"/>
      <c r="CP32" s="308"/>
      <c r="CQ32" s="308"/>
      <c r="CR32" s="308"/>
      <c r="CS32" s="308"/>
      <c r="CT32" s="308"/>
      <c r="CU32" s="308"/>
      <c r="CV32" s="308"/>
      <c r="CW32" s="308"/>
      <c r="CX32" s="308"/>
      <c r="CY32" s="308"/>
      <c r="CZ32" s="308"/>
      <c r="DA32" s="308"/>
      <c r="DB32" s="308"/>
      <c r="DC32" s="308"/>
      <c r="DD32" s="308"/>
      <c r="DE32" s="308"/>
      <c r="DF32" s="308"/>
      <c r="DG32" s="308"/>
      <c r="DH32" s="308"/>
      <c r="DI32" s="308"/>
      <c r="DJ32" s="308"/>
      <c r="DK32" s="308"/>
      <c r="DL32" s="308"/>
      <c r="DM32" s="308"/>
      <c r="DN32" s="308"/>
      <c r="DO32" s="308"/>
      <c r="DP32" s="308"/>
      <c r="DQ32" s="308"/>
      <c r="DR32" s="308"/>
      <c r="DS32" s="308"/>
      <c r="DT32" s="308"/>
      <c r="DU32" s="308"/>
      <c r="DV32" s="308"/>
      <c r="DW32" s="308"/>
      <c r="DX32" s="308"/>
      <c r="DY32" s="308"/>
      <c r="DZ32" s="308"/>
      <c r="EA32" s="308"/>
      <c r="EB32" s="308"/>
      <c r="EC32" s="308"/>
      <c r="ED32" s="308"/>
      <c r="EE32" s="308"/>
      <c r="EF32" s="308"/>
      <c r="EG32" s="308"/>
      <c r="EH32" s="308"/>
      <c r="EI32" s="308"/>
      <c r="EJ32" s="308"/>
      <c r="EK32" s="308"/>
      <c r="EL32" s="308"/>
      <c r="EM32" s="308"/>
      <c r="EN32" s="308"/>
      <c r="EO32" s="308"/>
      <c r="EP32" s="308"/>
      <c r="EQ32" s="308"/>
      <c r="ER32" s="308"/>
      <c r="ES32" s="308"/>
      <c r="ET32" s="308"/>
      <c r="EU32" s="308"/>
      <c r="EV32" s="308"/>
      <c r="EW32" s="308"/>
      <c r="EX32" s="308"/>
      <c r="EY32" s="308"/>
      <c r="EZ32" s="308"/>
      <c r="FA32" s="308"/>
      <c r="FB32" s="308"/>
      <c r="FC32" s="308"/>
      <c r="FD32" s="308"/>
      <c r="FE32" s="308"/>
      <c r="FF32" s="308"/>
      <c r="FG32" s="308"/>
      <c r="FH32" s="308"/>
      <c r="FI32" s="308"/>
      <c r="FJ32" s="308"/>
      <c r="FK32" s="308"/>
      <c r="FL32" s="308"/>
      <c r="FM32" s="308"/>
      <c r="FN32" s="308"/>
      <c r="FO32" s="308"/>
      <c r="FP32" s="308"/>
      <c r="FQ32" s="308"/>
      <c r="FR32" s="308"/>
      <c r="FS32" s="308"/>
      <c r="FT32" s="308"/>
      <c r="FU32" s="308"/>
      <c r="FV32" s="308"/>
      <c r="FW32" s="308"/>
      <c r="FX32" s="308"/>
      <c r="FY32" s="308"/>
      <c r="FZ32" s="308"/>
      <c r="GA32" s="308"/>
      <c r="GB32" s="308"/>
      <c r="GC32" s="308"/>
      <c r="GD32" s="308"/>
      <c r="GE32" s="308"/>
      <c r="GF32" s="308"/>
      <c r="GG32" s="308"/>
      <c r="GH32" s="308"/>
      <c r="GI32" s="308"/>
      <c r="GJ32" s="308"/>
      <c r="GK32" s="308"/>
      <c r="GL32" s="308"/>
      <c r="GM32" s="308"/>
      <c r="GN32" s="308"/>
      <c r="GO32" s="308"/>
      <c r="GP32" s="308"/>
      <c r="GQ32" s="308"/>
      <c r="GR32" s="308"/>
      <c r="GS32" s="308"/>
      <c r="GT32" s="308"/>
      <c r="GU32" s="308"/>
      <c r="GV32" s="308"/>
      <c r="GW32" s="308"/>
      <c r="GX32" s="308"/>
      <c r="GY32" s="308"/>
      <c r="GZ32" s="308"/>
    </row>
    <row r="33" spans="1:208" ht="15">
      <c r="A33" s="302">
        <v>9</v>
      </c>
      <c r="B33" s="303"/>
      <c r="C33" s="304"/>
      <c r="D33" s="307"/>
      <c r="E33" s="304"/>
      <c r="F33" s="304"/>
      <c r="G33" s="304"/>
      <c r="H33" s="304"/>
      <c r="I33" s="307"/>
      <c r="J33" s="304"/>
      <c r="K33" s="307"/>
      <c r="L33" s="307"/>
      <c r="M33" s="305"/>
      <c r="N33" s="304"/>
      <c r="O33" s="306"/>
      <c r="P33" s="304" t="s">
        <v>4265</v>
      </c>
      <c r="Q33" s="304" t="s">
        <v>4266</v>
      </c>
      <c r="R33" s="304">
        <v>1004892</v>
      </c>
      <c r="S33" s="304">
        <v>4500000</v>
      </c>
      <c r="T33" s="307"/>
      <c r="U33" s="307"/>
      <c r="V33" s="307"/>
      <c r="W33" s="307"/>
      <c r="X33" s="307"/>
      <c r="Y33" s="307"/>
      <c r="Z33" s="308"/>
      <c r="AA33" s="308"/>
      <c r="AB33" s="308"/>
      <c r="AC33" s="308"/>
      <c r="AD33" s="308"/>
      <c r="AE33" s="308"/>
      <c r="AF33" s="308"/>
      <c r="AG33" s="308"/>
      <c r="AH33" s="308"/>
      <c r="AI33" s="308"/>
      <c r="AJ33" s="308"/>
      <c r="AK33" s="308"/>
      <c r="AL33" s="308"/>
      <c r="AM33" s="308"/>
      <c r="AN33" s="308"/>
      <c r="AO33" s="308"/>
      <c r="AP33" s="308"/>
      <c r="AQ33" s="308"/>
      <c r="AR33" s="308"/>
      <c r="AS33" s="308"/>
      <c r="AT33" s="308"/>
      <c r="AU33" s="308"/>
      <c r="AV33" s="308"/>
      <c r="AW33" s="308"/>
      <c r="AX33" s="308"/>
      <c r="AY33" s="308"/>
      <c r="AZ33" s="308"/>
      <c r="BA33" s="308"/>
      <c r="BB33" s="308"/>
      <c r="BC33" s="308"/>
      <c r="BD33" s="308"/>
      <c r="BE33" s="308"/>
      <c r="BF33" s="308"/>
      <c r="BG33" s="308"/>
      <c r="BH33" s="308"/>
      <c r="BI33" s="308"/>
      <c r="BJ33" s="308"/>
      <c r="BK33" s="308"/>
      <c r="BL33" s="308"/>
      <c r="BM33" s="308"/>
      <c r="BN33" s="308"/>
      <c r="BO33" s="308"/>
      <c r="BP33" s="308"/>
      <c r="BQ33" s="308"/>
      <c r="BR33" s="308"/>
      <c r="BS33" s="308"/>
      <c r="BT33" s="308"/>
      <c r="BU33" s="308"/>
      <c r="BV33" s="308"/>
      <c r="BW33" s="308"/>
      <c r="BX33" s="308"/>
      <c r="BY33" s="308"/>
      <c r="BZ33" s="308"/>
      <c r="CA33" s="308"/>
      <c r="CB33" s="308"/>
      <c r="CC33" s="308"/>
      <c r="CD33" s="308"/>
      <c r="CE33" s="308"/>
      <c r="CF33" s="308"/>
      <c r="CG33" s="308"/>
      <c r="CH33" s="308"/>
      <c r="CI33" s="308"/>
      <c r="CJ33" s="308"/>
      <c r="CK33" s="308"/>
      <c r="CL33" s="308"/>
      <c r="CM33" s="308"/>
      <c r="CN33" s="308"/>
      <c r="CO33" s="308"/>
      <c r="CP33" s="308"/>
      <c r="CQ33" s="308"/>
      <c r="CR33" s="308"/>
      <c r="CS33" s="308"/>
      <c r="CT33" s="308"/>
      <c r="CU33" s="308"/>
      <c r="CV33" s="308"/>
      <c r="CW33" s="308"/>
      <c r="CX33" s="308"/>
      <c r="CY33" s="308"/>
      <c r="CZ33" s="308"/>
      <c r="DA33" s="308"/>
      <c r="DB33" s="308"/>
      <c r="DC33" s="308"/>
      <c r="DD33" s="308"/>
      <c r="DE33" s="308"/>
      <c r="DF33" s="308"/>
      <c r="DG33" s="308"/>
      <c r="DH33" s="308"/>
      <c r="DI33" s="308"/>
      <c r="DJ33" s="308"/>
      <c r="DK33" s="308"/>
      <c r="DL33" s="308"/>
      <c r="DM33" s="308"/>
      <c r="DN33" s="308"/>
      <c r="DO33" s="308"/>
      <c r="DP33" s="308"/>
      <c r="DQ33" s="308"/>
      <c r="DR33" s="308"/>
      <c r="DS33" s="308"/>
      <c r="DT33" s="308"/>
      <c r="DU33" s="308"/>
      <c r="DV33" s="308"/>
      <c r="DW33" s="308"/>
      <c r="DX33" s="308"/>
      <c r="DY33" s="308"/>
      <c r="DZ33" s="308"/>
      <c r="EA33" s="308"/>
      <c r="EB33" s="308"/>
      <c r="EC33" s="308"/>
      <c r="ED33" s="308"/>
      <c r="EE33" s="308"/>
      <c r="EF33" s="308"/>
      <c r="EG33" s="308"/>
      <c r="EH33" s="308"/>
      <c r="EI33" s="308"/>
      <c r="EJ33" s="308"/>
      <c r="EK33" s="308"/>
      <c r="EL33" s="308"/>
      <c r="EM33" s="308"/>
      <c r="EN33" s="308"/>
      <c r="EO33" s="308"/>
      <c r="EP33" s="308"/>
      <c r="EQ33" s="308"/>
      <c r="ER33" s="308"/>
      <c r="ES33" s="308"/>
      <c r="ET33" s="308"/>
      <c r="EU33" s="308"/>
      <c r="EV33" s="308"/>
      <c r="EW33" s="308"/>
      <c r="EX33" s="308"/>
      <c r="EY33" s="308"/>
      <c r="EZ33" s="308"/>
      <c r="FA33" s="308"/>
      <c r="FB33" s="308"/>
      <c r="FC33" s="308"/>
      <c r="FD33" s="308"/>
      <c r="FE33" s="308"/>
      <c r="FF33" s="308"/>
      <c r="FG33" s="308"/>
      <c r="FH33" s="308"/>
      <c r="FI33" s="308"/>
      <c r="FJ33" s="308"/>
      <c r="FK33" s="308"/>
      <c r="FL33" s="308"/>
      <c r="FM33" s="308"/>
      <c r="FN33" s="308"/>
      <c r="FO33" s="308"/>
      <c r="FP33" s="308"/>
      <c r="FQ33" s="308"/>
      <c r="FR33" s="308"/>
      <c r="FS33" s="308"/>
      <c r="FT33" s="308"/>
      <c r="FU33" s="308"/>
      <c r="FV33" s="308"/>
      <c r="FW33" s="308"/>
      <c r="FX33" s="308"/>
      <c r="FY33" s="308"/>
      <c r="FZ33" s="308"/>
      <c r="GA33" s="308"/>
      <c r="GB33" s="308"/>
      <c r="GC33" s="308"/>
      <c r="GD33" s="308"/>
      <c r="GE33" s="308"/>
      <c r="GF33" s="308"/>
      <c r="GG33" s="308"/>
      <c r="GH33" s="308"/>
      <c r="GI33" s="308"/>
      <c r="GJ33" s="308"/>
      <c r="GK33" s="308"/>
      <c r="GL33" s="308"/>
      <c r="GM33" s="308"/>
      <c r="GN33" s="308"/>
      <c r="GO33" s="308"/>
      <c r="GP33" s="308"/>
      <c r="GQ33" s="308"/>
      <c r="GR33" s="308"/>
      <c r="GS33" s="308"/>
      <c r="GT33" s="308"/>
      <c r="GU33" s="308"/>
      <c r="GV33" s="308"/>
      <c r="GW33" s="308"/>
      <c r="GX33" s="308"/>
      <c r="GY33" s="308"/>
      <c r="GZ33" s="308"/>
    </row>
    <row r="34" spans="1:208" ht="30">
      <c r="A34" s="302">
        <v>9</v>
      </c>
      <c r="B34" s="303">
        <v>44621</v>
      </c>
      <c r="C34" s="304">
        <v>1093247</v>
      </c>
      <c r="D34" s="304" t="s">
        <v>4292</v>
      </c>
      <c r="E34" s="304" t="s">
        <v>4270</v>
      </c>
      <c r="F34" s="289" t="s">
        <v>4275</v>
      </c>
      <c r="G34" s="304">
        <v>3190</v>
      </c>
      <c r="H34" s="304">
        <v>42</v>
      </c>
      <c r="I34" s="304">
        <v>4502282425</v>
      </c>
      <c r="J34" s="289">
        <v>3025459</v>
      </c>
      <c r="K34" s="304">
        <v>4902219305</v>
      </c>
      <c r="L34" s="289" t="s">
        <v>4252</v>
      </c>
      <c r="M34" s="309">
        <v>20125</v>
      </c>
      <c r="N34" s="304">
        <v>7500</v>
      </c>
      <c r="O34" s="306">
        <f t="shared" ref="O34:O42" si="6">M34*N34</f>
        <v>150937500</v>
      </c>
      <c r="P34" s="307">
        <f t="shared" ref="P34:P38" si="7">H34/14</f>
        <v>3</v>
      </c>
      <c r="Q34" s="304" t="s">
        <v>3455</v>
      </c>
      <c r="R34" s="304">
        <v>1040968</v>
      </c>
      <c r="S34" s="311">
        <v>5381700</v>
      </c>
      <c r="T34" s="307"/>
      <c r="U34" s="307"/>
      <c r="V34" s="307"/>
      <c r="W34" s="307"/>
      <c r="X34" s="307"/>
      <c r="Y34" s="307"/>
      <c r="Z34" s="308"/>
      <c r="AA34" s="308"/>
      <c r="AB34" s="308"/>
      <c r="AC34" s="308"/>
      <c r="AD34" s="308"/>
      <c r="AE34" s="308"/>
      <c r="AF34" s="308"/>
      <c r="AG34" s="308"/>
      <c r="AH34" s="308"/>
      <c r="AI34" s="308"/>
      <c r="AJ34" s="308"/>
      <c r="AK34" s="308"/>
      <c r="AL34" s="308"/>
      <c r="AM34" s="308"/>
      <c r="AN34" s="308"/>
      <c r="AO34" s="308"/>
      <c r="AP34" s="308"/>
      <c r="AQ34" s="308"/>
      <c r="AR34" s="308"/>
      <c r="AS34" s="308"/>
      <c r="AT34" s="308"/>
      <c r="AU34" s="308"/>
      <c r="AV34" s="308"/>
      <c r="AW34" s="308"/>
      <c r="AX34" s="308"/>
      <c r="AY34" s="308"/>
      <c r="AZ34" s="308"/>
      <c r="BA34" s="308"/>
      <c r="BB34" s="308"/>
      <c r="BC34" s="308"/>
      <c r="BD34" s="308"/>
      <c r="BE34" s="308"/>
      <c r="BF34" s="308"/>
      <c r="BG34" s="308"/>
      <c r="BH34" s="308"/>
      <c r="BI34" s="308"/>
      <c r="BJ34" s="308"/>
      <c r="BK34" s="308"/>
      <c r="BL34" s="308"/>
      <c r="BM34" s="308"/>
      <c r="BN34" s="308"/>
      <c r="BO34" s="308"/>
      <c r="BP34" s="308"/>
      <c r="BQ34" s="308"/>
      <c r="BR34" s="308"/>
      <c r="BS34" s="308"/>
      <c r="BT34" s="308"/>
      <c r="BU34" s="308"/>
      <c r="BV34" s="308"/>
      <c r="BW34" s="308"/>
      <c r="BX34" s="308"/>
      <c r="BY34" s="308"/>
      <c r="BZ34" s="308"/>
      <c r="CA34" s="308"/>
      <c r="CB34" s="308"/>
      <c r="CC34" s="308"/>
      <c r="CD34" s="308"/>
      <c r="CE34" s="308"/>
      <c r="CF34" s="308"/>
      <c r="CG34" s="308"/>
      <c r="CH34" s="308"/>
      <c r="CI34" s="308"/>
      <c r="CJ34" s="308"/>
      <c r="CK34" s="308"/>
      <c r="CL34" s="308"/>
      <c r="CM34" s="308"/>
      <c r="CN34" s="308"/>
      <c r="CO34" s="308"/>
      <c r="CP34" s="308"/>
      <c r="CQ34" s="308"/>
      <c r="CR34" s="308"/>
      <c r="CS34" s="308"/>
      <c r="CT34" s="308"/>
      <c r="CU34" s="308"/>
      <c r="CV34" s="308"/>
      <c r="CW34" s="308"/>
      <c r="CX34" s="308"/>
      <c r="CY34" s="308"/>
      <c r="CZ34" s="308"/>
      <c r="DA34" s="308"/>
      <c r="DB34" s="308"/>
      <c r="DC34" s="308"/>
      <c r="DD34" s="308"/>
      <c r="DE34" s="308"/>
      <c r="DF34" s="308"/>
      <c r="DG34" s="308"/>
      <c r="DH34" s="308"/>
      <c r="DI34" s="308"/>
      <c r="DJ34" s="308"/>
      <c r="DK34" s="308"/>
      <c r="DL34" s="308"/>
      <c r="DM34" s="308"/>
      <c r="DN34" s="308"/>
      <c r="DO34" s="308"/>
      <c r="DP34" s="308"/>
      <c r="DQ34" s="308"/>
      <c r="DR34" s="308"/>
      <c r="DS34" s="308"/>
      <c r="DT34" s="308"/>
      <c r="DU34" s="308"/>
      <c r="DV34" s="308"/>
      <c r="DW34" s="308"/>
      <c r="DX34" s="308"/>
      <c r="DY34" s="308"/>
      <c r="DZ34" s="308"/>
      <c r="EA34" s="308"/>
      <c r="EB34" s="308"/>
      <c r="EC34" s="308"/>
      <c r="ED34" s="308"/>
      <c r="EE34" s="308"/>
      <c r="EF34" s="308"/>
      <c r="EG34" s="308"/>
      <c r="EH34" s="308"/>
      <c r="EI34" s="308"/>
      <c r="EJ34" s="308"/>
      <c r="EK34" s="308"/>
      <c r="EL34" s="308"/>
      <c r="EM34" s="308"/>
      <c r="EN34" s="308"/>
      <c r="EO34" s="308"/>
      <c r="EP34" s="308"/>
      <c r="EQ34" s="308"/>
      <c r="ER34" s="308"/>
      <c r="ES34" s="308"/>
      <c r="ET34" s="308"/>
      <c r="EU34" s="308"/>
      <c r="EV34" s="308"/>
      <c r="EW34" s="308"/>
      <c r="EX34" s="308"/>
      <c r="EY34" s="308"/>
      <c r="EZ34" s="308"/>
      <c r="FA34" s="308"/>
      <c r="FB34" s="308"/>
      <c r="FC34" s="308"/>
      <c r="FD34" s="308"/>
      <c r="FE34" s="308"/>
      <c r="FF34" s="308"/>
      <c r="FG34" s="308"/>
      <c r="FH34" s="308"/>
      <c r="FI34" s="308"/>
      <c r="FJ34" s="308"/>
      <c r="FK34" s="308"/>
      <c r="FL34" s="308"/>
      <c r="FM34" s="308"/>
      <c r="FN34" s="308"/>
      <c r="FO34" s="308"/>
      <c r="FP34" s="308"/>
      <c r="FQ34" s="308"/>
      <c r="FR34" s="308"/>
      <c r="FS34" s="308"/>
      <c r="FT34" s="308"/>
      <c r="FU34" s="308"/>
      <c r="FV34" s="308"/>
      <c r="FW34" s="308"/>
      <c r="FX34" s="308"/>
      <c r="FY34" s="308"/>
      <c r="FZ34" s="308"/>
      <c r="GA34" s="308"/>
      <c r="GB34" s="308"/>
      <c r="GC34" s="308"/>
      <c r="GD34" s="308"/>
      <c r="GE34" s="308"/>
      <c r="GF34" s="308"/>
      <c r="GG34" s="308"/>
      <c r="GH34" s="308"/>
      <c r="GI34" s="308"/>
      <c r="GJ34" s="308"/>
      <c r="GK34" s="308"/>
      <c r="GL34" s="308"/>
      <c r="GM34" s="308"/>
      <c r="GN34" s="308"/>
      <c r="GO34" s="308"/>
      <c r="GP34" s="308"/>
      <c r="GQ34" s="308"/>
      <c r="GR34" s="308"/>
      <c r="GS34" s="308"/>
      <c r="GT34" s="308"/>
      <c r="GU34" s="308"/>
      <c r="GV34" s="308"/>
      <c r="GW34" s="308"/>
      <c r="GX34" s="308"/>
      <c r="GY34" s="308"/>
      <c r="GZ34" s="308"/>
    </row>
    <row r="35" spans="1:208" ht="15">
      <c r="A35" s="302">
        <v>9</v>
      </c>
      <c r="B35" s="303">
        <v>44621</v>
      </c>
      <c r="C35" s="304">
        <v>1080244</v>
      </c>
      <c r="D35" s="304" t="s">
        <v>4293</v>
      </c>
      <c r="E35" s="304" t="s">
        <v>4294</v>
      </c>
      <c r="F35" s="304" t="s">
        <v>4264</v>
      </c>
      <c r="G35" s="304">
        <v>3146</v>
      </c>
      <c r="H35" s="304">
        <v>14</v>
      </c>
      <c r="I35" s="304">
        <v>4502282429</v>
      </c>
      <c r="J35" s="304">
        <v>3025460</v>
      </c>
      <c r="K35" s="304">
        <v>4902219307</v>
      </c>
      <c r="L35" s="289" t="s">
        <v>4252</v>
      </c>
      <c r="M35" s="309">
        <v>6892</v>
      </c>
      <c r="N35" s="304">
        <v>7350</v>
      </c>
      <c r="O35" s="306">
        <f t="shared" si="6"/>
        <v>50656200</v>
      </c>
      <c r="P35" s="307">
        <f t="shared" si="7"/>
        <v>1</v>
      </c>
      <c r="Q35" s="304" t="s">
        <v>3455</v>
      </c>
      <c r="R35" s="304">
        <v>1040968</v>
      </c>
      <c r="S35" s="311">
        <v>1771100</v>
      </c>
      <c r="T35" s="307"/>
      <c r="U35" s="307"/>
      <c r="V35" s="307"/>
      <c r="W35" s="307"/>
      <c r="X35" s="307"/>
      <c r="Y35" s="307"/>
      <c r="Z35" s="308"/>
      <c r="AA35" s="308"/>
      <c r="AB35" s="308"/>
      <c r="AC35" s="308"/>
      <c r="AD35" s="308"/>
      <c r="AE35" s="308"/>
      <c r="AF35" s="308"/>
      <c r="AG35" s="308"/>
      <c r="AH35" s="308"/>
      <c r="AI35" s="308"/>
      <c r="AJ35" s="308"/>
      <c r="AK35" s="308"/>
      <c r="AL35" s="308"/>
      <c r="AM35" s="308"/>
      <c r="AN35" s="308"/>
      <c r="AO35" s="308"/>
      <c r="AP35" s="308"/>
      <c r="AQ35" s="308"/>
      <c r="AR35" s="308"/>
      <c r="AS35" s="308"/>
      <c r="AT35" s="308"/>
      <c r="AU35" s="308"/>
      <c r="AV35" s="308"/>
      <c r="AW35" s="308"/>
      <c r="AX35" s="308"/>
      <c r="AY35" s="308"/>
      <c r="AZ35" s="308"/>
      <c r="BA35" s="308"/>
      <c r="BB35" s="308"/>
      <c r="BC35" s="308"/>
      <c r="BD35" s="308"/>
      <c r="BE35" s="308"/>
      <c r="BF35" s="308"/>
      <c r="BG35" s="308"/>
      <c r="BH35" s="308"/>
      <c r="BI35" s="308"/>
      <c r="BJ35" s="308"/>
      <c r="BK35" s="308"/>
      <c r="BL35" s="308"/>
      <c r="BM35" s="308"/>
      <c r="BN35" s="308"/>
      <c r="BO35" s="308"/>
      <c r="BP35" s="308"/>
      <c r="BQ35" s="308"/>
      <c r="BR35" s="308"/>
      <c r="BS35" s="308"/>
      <c r="BT35" s="308"/>
      <c r="BU35" s="308"/>
      <c r="BV35" s="308"/>
      <c r="BW35" s="308"/>
      <c r="BX35" s="308"/>
      <c r="BY35" s="308"/>
      <c r="BZ35" s="308"/>
      <c r="CA35" s="308"/>
      <c r="CB35" s="308"/>
      <c r="CC35" s="308"/>
      <c r="CD35" s="308"/>
      <c r="CE35" s="308"/>
      <c r="CF35" s="308"/>
      <c r="CG35" s="308"/>
      <c r="CH35" s="308"/>
      <c r="CI35" s="308"/>
      <c r="CJ35" s="308"/>
      <c r="CK35" s="308"/>
      <c r="CL35" s="308"/>
      <c r="CM35" s="308"/>
      <c r="CN35" s="308"/>
      <c r="CO35" s="308"/>
      <c r="CP35" s="308"/>
      <c r="CQ35" s="308"/>
      <c r="CR35" s="308"/>
      <c r="CS35" s="308"/>
      <c r="CT35" s="308"/>
      <c r="CU35" s="308"/>
      <c r="CV35" s="308"/>
      <c r="CW35" s="308"/>
      <c r="CX35" s="308"/>
      <c r="CY35" s="308"/>
      <c r="CZ35" s="308"/>
      <c r="DA35" s="308"/>
      <c r="DB35" s="308"/>
      <c r="DC35" s="308"/>
      <c r="DD35" s="308"/>
      <c r="DE35" s="308"/>
      <c r="DF35" s="308"/>
      <c r="DG35" s="308"/>
      <c r="DH35" s="308"/>
      <c r="DI35" s="308"/>
      <c r="DJ35" s="308"/>
      <c r="DK35" s="308"/>
      <c r="DL35" s="308"/>
      <c r="DM35" s="308"/>
      <c r="DN35" s="308"/>
      <c r="DO35" s="308"/>
      <c r="DP35" s="308"/>
      <c r="DQ35" s="308"/>
      <c r="DR35" s="308"/>
      <c r="DS35" s="308"/>
      <c r="DT35" s="308"/>
      <c r="DU35" s="308"/>
      <c r="DV35" s="308"/>
      <c r="DW35" s="308"/>
      <c r="DX35" s="308"/>
      <c r="DY35" s="308"/>
      <c r="DZ35" s="308"/>
      <c r="EA35" s="308"/>
      <c r="EB35" s="308"/>
      <c r="EC35" s="308"/>
      <c r="ED35" s="308"/>
      <c r="EE35" s="308"/>
      <c r="EF35" s="308"/>
      <c r="EG35" s="308"/>
      <c r="EH35" s="308"/>
      <c r="EI35" s="308"/>
      <c r="EJ35" s="308"/>
      <c r="EK35" s="308"/>
      <c r="EL35" s="308"/>
      <c r="EM35" s="308"/>
      <c r="EN35" s="308"/>
      <c r="EO35" s="308"/>
      <c r="EP35" s="308"/>
      <c r="EQ35" s="308"/>
      <c r="ER35" s="308"/>
      <c r="ES35" s="308"/>
      <c r="ET35" s="308"/>
      <c r="EU35" s="308"/>
      <c r="EV35" s="308"/>
      <c r="EW35" s="308"/>
      <c r="EX35" s="308"/>
      <c r="EY35" s="308"/>
      <c r="EZ35" s="308"/>
      <c r="FA35" s="308"/>
      <c r="FB35" s="308"/>
      <c r="FC35" s="308"/>
      <c r="FD35" s="308"/>
      <c r="FE35" s="308"/>
      <c r="FF35" s="308"/>
      <c r="FG35" s="308"/>
      <c r="FH35" s="308"/>
      <c r="FI35" s="308"/>
      <c r="FJ35" s="308"/>
      <c r="FK35" s="308"/>
      <c r="FL35" s="308"/>
      <c r="FM35" s="308"/>
      <c r="FN35" s="308"/>
      <c r="FO35" s="308"/>
      <c r="FP35" s="308"/>
      <c r="FQ35" s="308"/>
      <c r="FR35" s="308"/>
      <c r="FS35" s="308"/>
      <c r="FT35" s="308"/>
      <c r="FU35" s="308"/>
      <c r="FV35" s="308"/>
      <c r="FW35" s="308"/>
      <c r="FX35" s="308"/>
      <c r="FY35" s="308"/>
      <c r="FZ35" s="308"/>
      <c r="GA35" s="308"/>
      <c r="GB35" s="308"/>
      <c r="GC35" s="308"/>
      <c r="GD35" s="308"/>
      <c r="GE35" s="308"/>
      <c r="GF35" s="308"/>
      <c r="GG35" s="308"/>
      <c r="GH35" s="308"/>
      <c r="GI35" s="308"/>
      <c r="GJ35" s="308"/>
      <c r="GK35" s="308"/>
      <c r="GL35" s="308"/>
      <c r="GM35" s="308"/>
      <c r="GN35" s="308"/>
      <c r="GO35" s="308"/>
      <c r="GP35" s="308"/>
      <c r="GQ35" s="308"/>
      <c r="GR35" s="308"/>
      <c r="GS35" s="308"/>
      <c r="GT35" s="308"/>
      <c r="GU35" s="308"/>
      <c r="GV35" s="308"/>
      <c r="GW35" s="308"/>
      <c r="GX35" s="308"/>
      <c r="GY35" s="308"/>
      <c r="GZ35" s="308"/>
    </row>
    <row r="36" spans="1:208" ht="30">
      <c r="A36" s="280">
        <v>10</v>
      </c>
      <c r="B36" s="281">
        <v>44623</v>
      </c>
      <c r="C36" s="282">
        <v>1076469</v>
      </c>
      <c r="D36" s="282" t="s">
        <v>4295</v>
      </c>
      <c r="E36" s="282" t="s">
        <v>4279</v>
      </c>
      <c r="F36" s="282" t="s">
        <v>4251</v>
      </c>
      <c r="G36" s="282">
        <v>3179</v>
      </c>
      <c r="H36" s="282">
        <v>56</v>
      </c>
      <c r="I36" s="282">
        <v>4502284054</v>
      </c>
      <c r="J36" s="282">
        <v>3025457</v>
      </c>
      <c r="K36" s="282">
        <v>4902223393</v>
      </c>
      <c r="L36" s="282" t="s">
        <v>4252</v>
      </c>
      <c r="M36" s="283">
        <v>26834</v>
      </c>
      <c r="N36" s="282">
        <v>7500</v>
      </c>
      <c r="O36" s="284">
        <f t="shared" si="6"/>
        <v>201255000</v>
      </c>
      <c r="P36" s="285">
        <f t="shared" si="7"/>
        <v>4</v>
      </c>
      <c r="Q36" s="282" t="s">
        <v>3455</v>
      </c>
      <c r="R36" s="282">
        <v>1040968</v>
      </c>
      <c r="S36" s="282">
        <f>1638223*4</f>
        <v>6552892</v>
      </c>
      <c r="T36" s="285"/>
      <c r="U36" s="285"/>
      <c r="V36" s="285"/>
      <c r="W36" s="285"/>
      <c r="X36" s="285"/>
      <c r="Y36" s="285"/>
      <c r="Z36" s="286"/>
      <c r="AA36" s="286"/>
      <c r="AB36" s="286"/>
      <c r="AC36" s="286"/>
      <c r="AD36" s="286"/>
      <c r="AE36" s="286"/>
      <c r="AF36" s="286"/>
      <c r="AG36" s="286"/>
      <c r="AH36" s="286"/>
      <c r="AI36" s="286"/>
      <c r="AJ36" s="286"/>
      <c r="AK36" s="286"/>
      <c r="AL36" s="286"/>
      <c r="AM36" s="286"/>
      <c r="AN36" s="286"/>
      <c r="AO36" s="286"/>
      <c r="AP36" s="286"/>
      <c r="AQ36" s="286"/>
      <c r="AR36" s="286"/>
      <c r="AS36" s="286"/>
      <c r="AT36" s="286"/>
      <c r="AU36" s="286"/>
      <c r="AV36" s="286"/>
      <c r="AW36" s="286"/>
      <c r="AX36" s="286"/>
      <c r="AY36" s="286"/>
      <c r="AZ36" s="286"/>
      <c r="BA36" s="286"/>
      <c r="BB36" s="286"/>
      <c r="BC36" s="286"/>
      <c r="BD36" s="286"/>
      <c r="BE36" s="286"/>
      <c r="BF36" s="286"/>
      <c r="BG36" s="286"/>
      <c r="BH36" s="286"/>
      <c r="BI36" s="286"/>
      <c r="BJ36" s="286"/>
      <c r="BK36" s="286"/>
      <c r="BL36" s="286"/>
      <c r="BM36" s="286"/>
      <c r="BN36" s="286"/>
      <c r="BO36" s="286"/>
      <c r="BP36" s="286"/>
      <c r="BQ36" s="286"/>
      <c r="BR36" s="286"/>
      <c r="BS36" s="286"/>
      <c r="BT36" s="286"/>
      <c r="BU36" s="286"/>
      <c r="BV36" s="286"/>
      <c r="BW36" s="286"/>
      <c r="BX36" s="286"/>
      <c r="BY36" s="286"/>
      <c r="BZ36" s="286"/>
      <c r="CA36" s="286"/>
      <c r="CB36" s="286"/>
      <c r="CC36" s="286"/>
      <c r="CD36" s="286"/>
      <c r="CE36" s="286"/>
      <c r="CF36" s="286"/>
      <c r="CG36" s="286"/>
      <c r="CH36" s="286"/>
      <c r="CI36" s="286"/>
      <c r="CJ36" s="286"/>
      <c r="CK36" s="286"/>
      <c r="CL36" s="286"/>
      <c r="CM36" s="286"/>
      <c r="CN36" s="286"/>
      <c r="CO36" s="286"/>
      <c r="CP36" s="286"/>
      <c r="CQ36" s="286"/>
      <c r="CR36" s="286"/>
      <c r="CS36" s="286"/>
      <c r="CT36" s="286"/>
      <c r="CU36" s="286"/>
      <c r="CV36" s="286"/>
      <c r="CW36" s="286"/>
      <c r="CX36" s="286"/>
      <c r="CY36" s="286"/>
      <c r="CZ36" s="286"/>
      <c r="DA36" s="286"/>
      <c r="DB36" s="286"/>
      <c r="DC36" s="286"/>
      <c r="DD36" s="286"/>
      <c r="DE36" s="286"/>
      <c r="DF36" s="286"/>
      <c r="DG36" s="286"/>
      <c r="DH36" s="286"/>
      <c r="DI36" s="286"/>
      <c r="DJ36" s="286"/>
      <c r="DK36" s="286"/>
      <c r="DL36" s="286"/>
      <c r="DM36" s="286"/>
      <c r="DN36" s="286"/>
      <c r="DO36" s="286"/>
      <c r="DP36" s="286"/>
      <c r="DQ36" s="286"/>
      <c r="DR36" s="286"/>
      <c r="DS36" s="286"/>
      <c r="DT36" s="286"/>
      <c r="DU36" s="286"/>
      <c r="DV36" s="286"/>
      <c r="DW36" s="286"/>
      <c r="DX36" s="286"/>
      <c r="DY36" s="286"/>
      <c r="DZ36" s="286"/>
      <c r="EA36" s="286"/>
      <c r="EB36" s="286"/>
      <c r="EC36" s="286"/>
      <c r="ED36" s="286"/>
      <c r="EE36" s="286"/>
      <c r="EF36" s="286"/>
      <c r="EG36" s="286"/>
      <c r="EH36" s="286"/>
      <c r="EI36" s="286"/>
      <c r="EJ36" s="286"/>
      <c r="EK36" s="286"/>
      <c r="EL36" s="286"/>
      <c r="EM36" s="286"/>
      <c r="EN36" s="286"/>
      <c r="EO36" s="286"/>
      <c r="EP36" s="286"/>
      <c r="EQ36" s="286"/>
      <c r="ER36" s="286"/>
      <c r="ES36" s="286"/>
      <c r="ET36" s="286"/>
      <c r="EU36" s="286"/>
      <c r="EV36" s="286"/>
      <c r="EW36" s="286"/>
      <c r="EX36" s="286"/>
      <c r="EY36" s="286"/>
      <c r="EZ36" s="286"/>
      <c r="FA36" s="286"/>
      <c r="FB36" s="286"/>
      <c r="FC36" s="286"/>
      <c r="FD36" s="286"/>
      <c r="FE36" s="286"/>
      <c r="FF36" s="286"/>
      <c r="FG36" s="286"/>
      <c r="FH36" s="286"/>
      <c r="FI36" s="286"/>
      <c r="FJ36" s="286"/>
      <c r="FK36" s="286"/>
      <c r="FL36" s="286"/>
      <c r="FM36" s="286"/>
      <c r="FN36" s="286"/>
      <c r="FO36" s="286"/>
      <c r="FP36" s="286"/>
      <c r="FQ36" s="286"/>
      <c r="FR36" s="286"/>
      <c r="FS36" s="286"/>
      <c r="FT36" s="286"/>
      <c r="FU36" s="286"/>
      <c r="FV36" s="286"/>
      <c r="FW36" s="286"/>
      <c r="FX36" s="286"/>
      <c r="FY36" s="286"/>
      <c r="FZ36" s="286"/>
      <c r="GA36" s="286"/>
      <c r="GB36" s="286"/>
      <c r="GC36" s="286"/>
      <c r="GD36" s="286"/>
      <c r="GE36" s="286"/>
      <c r="GF36" s="286"/>
      <c r="GG36" s="286"/>
      <c r="GH36" s="286"/>
      <c r="GI36" s="286"/>
      <c r="GJ36" s="286"/>
      <c r="GK36" s="286"/>
      <c r="GL36" s="286"/>
      <c r="GM36" s="286"/>
      <c r="GN36" s="286"/>
      <c r="GO36" s="286"/>
      <c r="GP36" s="286"/>
      <c r="GQ36" s="286"/>
      <c r="GR36" s="286"/>
      <c r="GS36" s="286"/>
      <c r="GT36" s="286"/>
      <c r="GU36" s="286"/>
      <c r="GV36" s="286"/>
      <c r="GW36" s="286"/>
      <c r="GX36" s="286"/>
      <c r="GY36" s="286"/>
      <c r="GZ36" s="286"/>
    </row>
    <row r="37" spans="1:208" ht="30">
      <c r="A37" s="280">
        <v>10</v>
      </c>
      <c r="B37" s="281">
        <v>44624</v>
      </c>
      <c r="C37" s="282">
        <v>1109027</v>
      </c>
      <c r="D37" s="282" t="s">
        <v>4296</v>
      </c>
      <c r="E37" s="282" t="s">
        <v>4287</v>
      </c>
      <c r="F37" s="282" t="s">
        <v>4251</v>
      </c>
      <c r="G37" s="282">
        <v>3193</v>
      </c>
      <c r="H37" s="282">
        <v>28</v>
      </c>
      <c r="I37" s="282">
        <v>4502284056</v>
      </c>
      <c r="J37" s="282">
        <v>3025457</v>
      </c>
      <c r="K37" s="282">
        <v>4902223857</v>
      </c>
      <c r="L37" s="282" t="s">
        <v>4252</v>
      </c>
      <c r="M37" s="283">
        <v>13046</v>
      </c>
      <c r="N37" s="282">
        <v>7500</v>
      </c>
      <c r="O37" s="284">
        <f t="shared" si="6"/>
        <v>97845000</v>
      </c>
      <c r="P37" s="285">
        <f t="shared" si="7"/>
        <v>2</v>
      </c>
      <c r="Q37" s="282" t="s">
        <v>3455</v>
      </c>
      <c r="R37" s="282">
        <v>1040968</v>
      </c>
      <c r="S37" s="312">
        <v>3449200</v>
      </c>
      <c r="T37" s="285"/>
      <c r="U37" s="285"/>
      <c r="V37" s="285"/>
      <c r="W37" s="285"/>
      <c r="X37" s="285"/>
      <c r="Y37" s="285"/>
      <c r="Z37" s="286"/>
      <c r="AA37" s="286"/>
      <c r="AB37" s="286"/>
      <c r="AC37" s="286"/>
      <c r="AD37" s="286"/>
      <c r="AE37" s="286"/>
      <c r="AF37" s="286"/>
      <c r="AG37" s="286"/>
      <c r="AH37" s="286"/>
      <c r="AI37" s="286"/>
      <c r="AJ37" s="286"/>
      <c r="AK37" s="286"/>
      <c r="AL37" s="286"/>
      <c r="AM37" s="286"/>
      <c r="AN37" s="286"/>
      <c r="AO37" s="286"/>
      <c r="AP37" s="286"/>
      <c r="AQ37" s="286"/>
      <c r="AR37" s="286"/>
      <c r="AS37" s="286"/>
      <c r="AT37" s="286"/>
      <c r="AU37" s="286"/>
      <c r="AV37" s="286"/>
      <c r="AW37" s="286"/>
      <c r="AX37" s="286"/>
      <c r="AY37" s="286"/>
      <c r="AZ37" s="286"/>
      <c r="BA37" s="286"/>
      <c r="BB37" s="286"/>
      <c r="BC37" s="286"/>
      <c r="BD37" s="286"/>
      <c r="BE37" s="286"/>
      <c r="BF37" s="286"/>
      <c r="BG37" s="286"/>
      <c r="BH37" s="286"/>
      <c r="BI37" s="286"/>
      <c r="BJ37" s="286"/>
      <c r="BK37" s="286"/>
      <c r="BL37" s="286"/>
      <c r="BM37" s="286"/>
      <c r="BN37" s="286"/>
      <c r="BO37" s="286"/>
      <c r="BP37" s="286"/>
      <c r="BQ37" s="286"/>
      <c r="BR37" s="286"/>
      <c r="BS37" s="286"/>
      <c r="BT37" s="286"/>
      <c r="BU37" s="286"/>
      <c r="BV37" s="286"/>
      <c r="BW37" s="286"/>
      <c r="BX37" s="286"/>
      <c r="BY37" s="286"/>
      <c r="BZ37" s="286"/>
      <c r="CA37" s="286"/>
      <c r="CB37" s="286"/>
      <c r="CC37" s="286"/>
      <c r="CD37" s="286"/>
      <c r="CE37" s="286"/>
      <c r="CF37" s="286"/>
      <c r="CG37" s="286"/>
      <c r="CH37" s="286"/>
      <c r="CI37" s="286"/>
      <c r="CJ37" s="286"/>
      <c r="CK37" s="286"/>
      <c r="CL37" s="286"/>
      <c r="CM37" s="286"/>
      <c r="CN37" s="286"/>
      <c r="CO37" s="286"/>
      <c r="CP37" s="286"/>
      <c r="CQ37" s="286"/>
      <c r="CR37" s="286"/>
      <c r="CS37" s="286"/>
      <c r="CT37" s="286"/>
      <c r="CU37" s="286"/>
      <c r="CV37" s="286"/>
      <c r="CW37" s="286"/>
      <c r="CX37" s="286"/>
      <c r="CY37" s="286"/>
      <c r="CZ37" s="286"/>
      <c r="DA37" s="286"/>
      <c r="DB37" s="286"/>
      <c r="DC37" s="286"/>
      <c r="DD37" s="286"/>
      <c r="DE37" s="286"/>
      <c r="DF37" s="286"/>
      <c r="DG37" s="286"/>
      <c r="DH37" s="286"/>
      <c r="DI37" s="286"/>
      <c r="DJ37" s="286"/>
      <c r="DK37" s="286"/>
      <c r="DL37" s="286"/>
      <c r="DM37" s="286"/>
      <c r="DN37" s="286"/>
      <c r="DO37" s="286"/>
      <c r="DP37" s="286"/>
      <c r="DQ37" s="286"/>
      <c r="DR37" s="286"/>
      <c r="DS37" s="286"/>
      <c r="DT37" s="286"/>
      <c r="DU37" s="286"/>
      <c r="DV37" s="286"/>
      <c r="DW37" s="286"/>
      <c r="DX37" s="286"/>
      <c r="DY37" s="286"/>
      <c r="DZ37" s="286"/>
      <c r="EA37" s="286"/>
      <c r="EB37" s="286"/>
      <c r="EC37" s="286"/>
      <c r="ED37" s="286"/>
      <c r="EE37" s="286"/>
      <c r="EF37" s="286"/>
      <c r="EG37" s="286"/>
      <c r="EH37" s="286"/>
      <c r="EI37" s="286"/>
      <c r="EJ37" s="286"/>
      <c r="EK37" s="286"/>
      <c r="EL37" s="286"/>
      <c r="EM37" s="286"/>
      <c r="EN37" s="286"/>
      <c r="EO37" s="286"/>
      <c r="EP37" s="286"/>
      <c r="EQ37" s="286"/>
      <c r="ER37" s="286"/>
      <c r="ES37" s="286"/>
      <c r="ET37" s="286"/>
      <c r="EU37" s="286"/>
      <c r="EV37" s="286"/>
      <c r="EW37" s="286"/>
      <c r="EX37" s="286"/>
      <c r="EY37" s="286"/>
      <c r="EZ37" s="286"/>
      <c r="FA37" s="286"/>
      <c r="FB37" s="286"/>
      <c r="FC37" s="286"/>
      <c r="FD37" s="286"/>
      <c r="FE37" s="286"/>
      <c r="FF37" s="286"/>
      <c r="FG37" s="286"/>
      <c r="FH37" s="286"/>
      <c r="FI37" s="286"/>
      <c r="FJ37" s="286"/>
      <c r="FK37" s="286"/>
      <c r="FL37" s="286"/>
      <c r="FM37" s="286"/>
      <c r="FN37" s="286"/>
      <c r="FO37" s="286"/>
      <c r="FP37" s="286"/>
      <c r="FQ37" s="286"/>
      <c r="FR37" s="286"/>
      <c r="FS37" s="286"/>
      <c r="FT37" s="286"/>
      <c r="FU37" s="286"/>
      <c r="FV37" s="286"/>
      <c r="FW37" s="286"/>
      <c r="FX37" s="286"/>
      <c r="FY37" s="286"/>
      <c r="FZ37" s="286"/>
      <c r="GA37" s="286"/>
      <c r="GB37" s="286"/>
      <c r="GC37" s="286"/>
      <c r="GD37" s="286"/>
      <c r="GE37" s="286"/>
      <c r="GF37" s="286"/>
      <c r="GG37" s="286"/>
      <c r="GH37" s="286"/>
      <c r="GI37" s="286"/>
      <c r="GJ37" s="286"/>
      <c r="GK37" s="286"/>
      <c r="GL37" s="286"/>
      <c r="GM37" s="286"/>
      <c r="GN37" s="286"/>
      <c r="GO37" s="286"/>
      <c r="GP37" s="286"/>
      <c r="GQ37" s="286"/>
      <c r="GR37" s="286"/>
      <c r="GS37" s="286"/>
      <c r="GT37" s="286"/>
      <c r="GU37" s="286"/>
      <c r="GV37" s="286"/>
      <c r="GW37" s="286"/>
      <c r="GX37" s="286"/>
      <c r="GY37" s="286"/>
      <c r="GZ37" s="286"/>
    </row>
    <row r="38" spans="1:208" ht="30">
      <c r="A38" s="280">
        <v>10</v>
      </c>
      <c r="B38" s="281">
        <v>44627</v>
      </c>
      <c r="C38" s="282">
        <v>1053331</v>
      </c>
      <c r="D38" s="282" t="s">
        <v>4297</v>
      </c>
      <c r="E38" s="282" t="s">
        <v>4263</v>
      </c>
      <c r="F38" s="282" t="s">
        <v>4251</v>
      </c>
      <c r="G38" s="282">
        <v>3178</v>
      </c>
      <c r="H38" s="282">
        <v>42</v>
      </c>
      <c r="I38" s="282">
        <v>4502286035</v>
      </c>
      <c r="J38" s="282">
        <v>3025457</v>
      </c>
      <c r="K38" s="282">
        <v>4902223860</v>
      </c>
      <c r="L38" s="282" t="s">
        <v>4252</v>
      </c>
      <c r="M38" s="296">
        <v>19176.5</v>
      </c>
      <c r="N38" s="282">
        <v>7500</v>
      </c>
      <c r="O38" s="284">
        <f t="shared" si="6"/>
        <v>143823750</v>
      </c>
      <c r="P38" s="285">
        <f t="shared" si="7"/>
        <v>3</v>
      </c>
      <c r="Q38" s="282" t="s">
        <v>3455</v>
      </c>
      <c r="R38" s="282">
        <v>1040968</v>
      </c>
      <c r="S38" s="282">
        <f>1793900*3</f>
        <v>5381700</v>
      </c>
      <c r="T38" s="282"/>
      <c r="U38" s="285"/>
      <c r="V38" s="285"/>
      <c r="W38" s="285"/>
      <c r="X38" s="285"/>
      <c r="Y38" s="285"/>
      <c r="Z38" s="286"/>
      <c r="AA38" s="286"/>
      <c r="AB38" s="286"/>
      <c r="AC38" s="286"/>
      <c r="AD38" s="286"/>
      <c r="AE38" s="286"/>
      <c r="AF38" s="286"/>
      <c r="AG38" s="286"/>
      <c r="AH38" s="286"/>
      <c r="AI38" s="286"/>
      <c r="AJ38" s="286"/>
      <c r="AK38" s="286"/>
      <c r="AL38" s="286"/>
      <c r="AM38" s="286"/>
      <c r="AN38" s="286"/>
      <c r="AO38" s="286"/>
      <c r="AP38" s="286"/>
      <c r="AQ38" s="286"/>
      <c r="AR38" s="286"/>
      <c r="AS38" s="286"/>
      <c r="AT38" s="286"/>
      <c r="AU38" s="286"/>
      <c r="AV38" s="286"/>
      <c r="AW38" s="286"/>
      <c r="AX38" s="286"/>
      <c r="AY38" s="286"/>
      <c r="AZ38" s="286"/>
      <c r="BA38" s="286"/>
      <c r="BB38" s="286"/>
      <c r="BC38" s="286"/>
      <c r="BD38" s="286"/>
      <c r="BE38" s="286"/>
      <c r="BF38" s="286"/>
      <c r="BG38" s="286"/>
      <c r="BH38" s="286"/>
      <c r="BI38" s="286"/>
      <c r="BJ38" s="286"/>
      <c r="BK38" s="286"/>
      <c r="BL38" s="286"/>
      <c r="BM38" s="286"/>
      <c r="BN38" s="286"/>
      <c r="BO38" s="286"/>
      <c r="BP38" s="286"/>
      <c r="BQ38" s="286"/>
      <c r="BR38" s="286"/>
      <c r="BS38" s="286"/>
      <c r="BT38" s="286"/>
      <c r="BU38" s="286"/>
      <c r="BV38" s="286"/>
      <c r="BW38" s="286"/>
      <c r="BX38" s="286"/>
      <c r="BY38" s="286"/>
      <c r="BZ38" s="286"/>
      <c r="CA38" s="286"/>
      <c r="CB38" s="286"/>
      <c r="CC38" s="286"/>
      <c r="CD38" s="286"/>
      <c r="CE38" s="286"/>
      <c r="CF38" s="286"/>
      <c r="CG38" s="286"/>
      <c r="CH38" s="286"/>
      <c r="CI38" s="286"/>
      <c r="CJ38" s="286"/>
      <c r="CK38" s="286"/>
      <c r="CL38" s="286"/>
      <c r="CM38" s="286"/>
      <c r="CN38" s="286"/>
      <c r="CO38" s="286"/>
      <c r="CP38" s="286"/>
      <c r="CQ38" s="286"/>
      <c r="CR38" s="286"/>
      <c r="CS38" s="286"/>
      <c r="CT38" s="286"/>
      <c r="CU38" s="286"/>
      <c r="CV38" s="286"/>
      <c r="CW38" s="286"/>
      <c r="CX38" s="286"/>
      <c r="CY38" s="286"/>
      <c r="CZ38" s="286"/>
      <c r="DA38" s="286"/>
      <c r="DB38" s="286"/>
      <c r="DC38" s="286"/>
      <c r="DD38" s="286"/>
      <c r="DE38" s="286"/>
      <c r="DF38" s="286"/>
      <c r="DG38" s="286"/>
      <c r="DH38" s="286"/>
      <c r="DI38" s="286"/>
      <c r="DJ38" s="286"/>
      <c r="DK38" s="286"/>
      <c r="DL38" s="286"/>
      <c r="DM38" s="286"/>
      <c r="DN38" s="286"/>
      <c r="DO38" s="286"/>
      <c r="DP38" s="286"/>
      <c r="DQ38" s="286"/>
      <c r="DR38" s="286"/>
      <c r="DS38" s="286"/>
      <c r="DT38" s="286"/>
      <c r="DU38" s="286"/>
      <c r="DV38" s="286"/>
      <c r="DW38" s="286"/>
      <c r="DX38" s="286"/>
      <c r="DY38" s="286"/>
      <c r="DZ38" s="286"/>
      <c r="EA38" s="286"/>
      <c r="EB38" s="286"/>
      <c r="EC38" s="286"/>
      <c r="ED38" s="286"/>
      <c r="EE38" s="286"/>
      <c r="EF38" s="286"/>
      <c r="EG38" s="286"/>
      <c r="EH38" s="286"/>
      <c r="EI38" s="286"/>
      <c r="EJ38" s="286"/>
      <c r="EK38" s="286"/>
      <c r="EL38" s="286"/>
      <c r="EM38" s="286"/>
      <c r="EN38" s="286"/>
      <c r="EO38" s="286"/>
      <c r="EP38" s="286"/>
      <c r="EQ38" s="286"/>
      <c r="ER38" s="286"/>
      <c r="ES38" s="286"/>
      <c r="ET38" s="286"/>
      <c r="EU38" s="286"/>
      <c r="EV38" s="286"/>
      <c r="EW38" s="286"/>
      <c r="EX38" s="286"/>
      <c r="EY38" s="286"/>
      <c r="EZ38" s="286"/>
      <c r="FA38" s="286"/>
      <c r="FB38" s="286"/>
      <c r="FC38" s="286"/>
      <c r="FD38" s="286"/>
      <c r="FE38" s="286"/>
      <c r="FF38" s="286"/>
      <c r="FG38" s="286"/>
      <c r="FH38" s="286"/>
      <c r="FI38" s="286"/>
      <c r="FJ38" s="286"/>
      <c r="FK38" s="286"/>
      <c r="FL38" s="286"/>
      <c r="FM38" s="286"/>
      <c r="FN38" s="286"/>
      <c r="FO38" s="286"/>
      <c r="FP38" s="286"/>
      <c r="FQ38" s="286"/>
      <c r="FR38" s="286"/>
      <c r="FS38" s="286"/>
      <c r="FT38" s="286"/>
      <c r="FU38" s="286"/>
      <c r="FV38" s="286"/>
      <c r="FW38" s="286"/>
      <c r="FX38" s="286"/>
      <c r="FY38" s="286"/>
      <c r="FZ38" s="286"/>
      <c r="GA38" s="286"/>
      <c r="GB38" s="286"/>
      <c r="GC38" s="286"/>
      <c r="GD38" s="286"/>
      <c r="GE38" s="286"/>
      <c r="GF38" s="286"/>
      <c r="GG38" s="286"/>
      <c r="GH38" s="286"/>
      <c r="GI38" s="286"/>
      <c r="GJ38" s="286"/>
      <c r="GK38" s="286"/>
      <c r="GL38" s="286"/>
      <c r="GM38" s="286"/>
      <c r="GN38" s="286"/>
      <c r="GO38" s="286"/>
      <c r="GP38" s="286"/>
      <c r="GQ38" s="286"/>
      <c r="GR38" s="286"/>
      <c r="GS38" s="286"/>
      <c r="GT38" s="286"/>
      <c r="GU38" s="286"/>
      <c r="GV38" s="286"/>
      <c r="GW38" s="286"/>
      <c r="GX38" s="286"/>
      <c r="GY38" s="286"/>
      <c r="GZ38" s="286"/>
    </row>
    <row r="39" spans="1:208" ht="30">
      <c r="A39" s="280">
        <v>10</v>
      </c>
      <c r="B39" s="281">
        <v>44627</v>
      </c>
      <c r="C39" s="282">
        <v>1053331</v>
      </c>
      <c r="D39" s="282" t="s">
        <v>4298</v>
      </c>
      <c r="E39" s="313" t="s">
        <v>4263</v>
      </c>
      <c r="F39" s="282" t="s">
        <v>4275</v>
      </c>
      <c r="G39" s="282">
        <v>3178</v>
      </c>
      <c r="H39" s="282">
        <v>42</v>
      </c>
      <c r="I39" s="282">
        <v>4502286035</v>
      </c>
      <c r="J39" s="282">
        <v>3025459</v>
      </c>
      <c r="K39" s="282">
        <v>4902223863</v>
      </c>
      <c r="L39" s="282" t="s">
        <v>4252</v>
      </c>
      <c r="M39" s="296">
        <v>19176.5</v>
      </c>
      <c r="N39" s="282">
        <v>7500</v>
      </c>
      <c r="O39" s="284">
        <f t="shared" si="6"/>
        <v>143823750</v>
      </c>
      <c r="P39" s="282" t="s">
        <v>4265</v>
      </c>
      <c r="Q39" s="282" t="s">
        <v>4266</v>
      </c>
      <c r="R39" s="282">
        <v>1004892</v>
      </c>
      <c r="S39" s="282">
        <v>4200000</v>
      </c>
      <c r="T39" s="285"/>
      <c r="U39" s="285"/>
      <c r="V39" s="285"/>
      <c r="W39" s="285"/>
      <c r="X39" s="285"/>
      <c r="Y39" s="285"/>
      <c r="Z39" s="286"/>
      <c r="AA39" s="286"/>
      <c r="AB39" s="286"/>
      <c r="AC39" s="286"/>
      <c r="AD39" s="286"/>
      <c r="AE39" s="286"/>
      <c r="AF39" s="286"/>
      <c r="AG39" s="286"/>
      <c r="AH39" s="286"/>
      <c r="AI39" s="286"/>
      <c r="AJ39" s="286"/>
      <c r="AK39" s="286"/>
      <c r="AL39" s="286"/>
      <c r="AM39" s="286"/>
      <c r="AN39" s="286"/>
      <c r="AO39" s="286"/>
      <c r="AP39" s="286"/>
      <c r="AQ39" s="286"/>
      <c r="AR39" s="286"/>
      <c r="AS39" s="286"/>
      <c r="AT39" s="286"/>
      <c r="AU39" s="286"/>
      <c r="AV39" s="286"/>
      <c r="AW39" s="286"/>
      <c r="AX39" s="286"/>
      <c r="AY39" s="286"/>
      <c r="AZ39" s="286"/>
      <c r="BA39" s="286"/>
      <c r="BB39" s="286"/>
      <c r="BC39" s="286"/>
      <c r="BD39" s="286"/>
      <c r="BE39" s="286"/>
      <c r="BF39" s="286"/>
      <c r="BG39" s="286"/>
      <c r="BH39" s="286"/>
      <c r="BI39" s="286"/>
      <c r="BJ39" s="286"/>
      <c r="BK39" s="286"/>
      <c r="BL39" s="286"/>
      <c r="BM39" s="286"/>
      <c r="BN39" s="286"/>
      <c r="BO39" s="286"/>
      <c r="BP39" s="286"/>
      <c r="BQ39" s="286"/>
      <c r="BR39" s="286"/>
      <c r="BS39" s="286"/>
      <c r="BT39" s="286"/>
      <c r="BU39" s="286"/>
      <c r="BV39" s="286"/>
      <c r="BW39" s="286"/>
      <c r="BX39" s="286"/>
      <c r="BY39" s="286"/>
      <c r="BZ39" s="286"/>
      <c r="CA39" s="286"/>
      <c r="CB39" s="286"/>
      <c r="CC39" s="286"/>
      <c r="CD39" s="286"/>
      <c r="CE39" s="286"/>
      <c r="CF39" s="286"/>
      <c r="CG39" s="286"/>
      <c r="CH39" s="286"/>
      <c r="CI39" s="286"/>
      <c r="CJ39" s="286"/>
      <c r="CK39" s="286"/>
      <c r="CL39" s="286"/>
      <c r="CM39" s="286"/>
      <c r="CN39" s="286"/>
      <c r="CO39" s="286"/>
      <c r="CP39" s="286"/>
      <c r="CQ39" s="286"/>
      <c r="CR39" s="286"/>
      <c r="CS39" s="286"/>
      <c r="CT39" s="286"/>
      <c r="CU39" s="286"/>
      <c r="CV39" s="286"/>
      <c r="CW39" s="286"/>
      <c r="CX39" s="286"/>
      <c r="CY39" s="286"/>
      <c r="CZ39" s="286"/>
      <c r="DA39" s="286"/>
      <c r="DB39" s="286"/>
      <c r="DC39" s="286"/>
      <c r="DD39" s="286"/>
      <c r="DE39" s="286"/>
      <c r="DF39" s="286"/>
      <c r="DG39" s="286"/>
      <c r="DH39" s="286"/>
      <c r="DI39" s="286"/>
      <c r="DJ39" s="286"/>
      <c r="DK39" s="286"/>
      <c r="DL39" s="286"/>
      <c r="DM39" s="286"/>
      <c r="DN39" s="286"/>
      <c r="DO39" s="286"/>
      <c r="DP39" s="286"/>
      <c r="DQ39" s="286"/>
      <c r="DR39" s="286"/>
      <c r="DS39" s="286"/>
      <c r="DT39" s="286"/>
      <c r="DU39" s="286"/>
      <c r="DV39" s="286"/>
      <c r="DW39" s="286"/>
      <c r="DX39" s="286"/>
      <c r="DY39" s="286"/>
      <c r="DZ39" s="286"/>
      <c r="EA39" s="286"/>
      <c r="EB39" s="286"/>
      <c r="EC39" s="286"/>
      <c r="ED39" s="286"/>
      <c r="EE39" s="286"/>
      <c r="EF39" s="286"/>
      <c r="EG39" s="286"/>
      <c r="EH39" s="286"/>
      <c r="EI39" s="286"/>
      <c r="EJ39" s="286"/>
      <c r="EK39" s="286"/>
      <c r="EL39" s="286"/>
      <c r="EM39" s="286"/>
      <c r="EN39" s="286"/>
      <c r="EO39" s="286"/>
      <c r="EP39" s="286"/>
      <c r="EQ39" s="286"/>
      <c r="ER39" s="286"/>
      <c r="ES39" s="286"/>
      <c r="ET39" s="286"/>
      <c r="EU39" s="286"/>
      <c r="EV39" s="286"/>
      <c r="EW39" s="286"/>
      <c r="EX39" s="286"/>
      <c r="EY39" s="286"/>
      <c r="EZ39" s="286"/>
      <c r="FA39" s="286"/>
      <c r="FB39" s="286"/>
      <c r="FC39" s="286"/>
      <c r="FD39" s="286"/>
      <c r="FE39" s="286"/>
      <c r="FF39" s="286"/>
      <c r="FG39" s="286"/>
      <c r="FH39" s="286"/>
      <c r="FI39" s="286"/>
      <c r="FJ39" s="286"/>
      <c r="FK39" s="286"/>
      <c r="FL39" s="286"/>
      <c r="FM39" s="286"/>
      <c r="FN39" s="286"/>
      <c r="FO39" s="286"/>
      <c r="FP39" s="286"/>
      <c r="FQ39" s="286"/>
      <c r="FR39" s="286"/>
      <c r="FS39" s="286"/>
      <c r="FT39" s="286"/>
      <c r="FU39" s="286"/>
      <c r="FV39" s="286"/>
      <c r="FW39" s="286"/>
      <c r="FX39" s="286"/>
      <c r="FY39" s="286"/>
      <c r="FZ39" s="286"/>
      <c r="GA39" s="286"/>
      <c r="GB39" s="286"/>
      <c r="GC39" s="286"/>
      <c r="GD39" s="286"/>
      <c r="GE39" s="286"/>
      <c r="GF39" s="286"/>
      <c r="GG39" s="286"/>
      <c r="GH39" s="286"/>
      <c r="GI39" s="286"/>
      <c r="GJ39" s="286"/>
      <c r="GK39" s="286"/>
      <c r="GL39" s="286"/>
      <c r="GM39" s="286"/>
      <c r="GN39" s="286"/>
      <c r="GO39" s="286"/>
      <c r="GP39" s="286"/>
      <c r="GQ39" s="286"/>
      <c r="GR39" s="286"/>
      <c r="GS39" s="286"/>
      <c r="GT39" s="286"/>
      <c r="GU39" s="286"/>
      <c r="GV39" s="286"/>
      <c r="GW39" s="286"/>
      <c r="GX39" s="286"/>
      <c r="GY39" s="286"/>
      <c r="GZ39" s="286"/>
    </row>
    <row r="40" spans="1:208" ht="30">
      <c r="A40" s="280">
        <v>10</v>
      </c>
      <c r="B40" s="281">
        <v>44628</v>
      </c>
      <c r="C40" s="282">
        <v>1106184</v>
      </c>
      <c r="D40" s="282" t="s">
        <v>4299</v>
      </c>
      <c r="E40" s="282" t="s">
        <v>4250</v>
      </c>
      <c r="F40" s="313" t="s">
        <v>4251</v>
      </c>
      <c r="G40" s="282">
        <v>3185</v>
      </c>
      <c r="H40" s="282">
        <v>98</v>
      </c>
      <c r="I40" s="282">
        <v>4502286057</v>
      </c>
      <c r="J40" s="282">
        <v>3025457</v>
      </c>
      <c r="K40" s="282">
        <v>4902223864</v>
      </c>
      <c r="L40" s="282" t="s">
        <v>4252</v>
      </c>
      <c r="M40" s="283">
        <v>46730</v>
      </c>
      <c r="N40" s="282">
        <v>7500</v>
      </c>
      <c r="O40" s="284">
        <f t="shared" si="6"/>
        <v>350475000</v>
      </c>
      <c r="P40" s="285">
        <f t="shared" ref="P40:P42" si="8">H40/14</f>
        <v>7</v>
      </c>
      <c r="Q40" s="282" t="s">
        <v>3455</v>
      </c>
      <c r="R40" s="282">
        <v>1040968</v>
      </c>
      <c r="S40" s="282">
        <f>3062400*7</f>
        <v>21436800</v>
      </c>
      <c r="T40" s="285"/>
      <c r="U40" s="285"/>
      <c r="V40" s="285"/>
      <c r="W40" s="285"/>
      <c r="X40" s="285"/>
      <c r="Y40" s="285"/>
      <c r="Z40" s="286"/>
      <c r="AA40" s="286"/>
      <c r="AB40" s="286"/>
      <c r="AC40" s="286"/>
      <c r="AD40" s="286"/>
      <c r="AE40" s="286"/>
      <c r="AF40" s="286"/>
      <c r="AG40" s="286"/>
      <c r="AH40" s="286"/>
      <c r="AI40" s="286"/>
      <c r="AJ40" s="286"/>
      <c r="AK40" s="286"/>
      <c r="AL40" s="286"/>
      <c r="AM40" s="286"/>
      <c r="AN40" s="286"/>
      <c r="AO40" s="286"/>
      <c r="AP40" s="286"/>
      <c r="AQ40" s="286"/>
      <c r="AR40" s="286"/>
      <c r="AS40" s="286"/>
      <c r="AT40" s="286"/>
      <c r="AU40" s="286"/>
      <c r="AV40" s="286"/>
      <c r="AW40" s="286"/>
      <c r="AX40" s="286"/>
      <c r="AY40" s="286"/>
      <c r="AZ40" s="286"/>
      <c r="BA40" s="286"/>
      <c r="BB40" s="286"/>
      <c r="BC40" s="286"/>
      <c r="BD40" s="286"/>
      <c r="BE40" s="286"/>
      <c r="BF40" s="286"/>
      <c r="BG40" s="286"/>
      <c r="BH40" s="286"/>
      <c r="BI40" s="286"/>
      <c r="BJ40" s="286"/>
      <c r="BK40" s="286"/>
      <c r="BL40" s="286"/>
      <c r="BM40" s="286"/>
      <c r="BN40" s="286"/>
      <c r="BO40" s="286"/>
      <c r="BP40" s="286"/>
      <c r="BQ40" s="286"/>
      <c r="BR40" s="286"/>
      <c r="BS40" s="286"/>
      <c r="BT40" s="286"/>
      <c r="BU40" s="286"/>
      <c r="BV40" s="286"/>
      <c r="BW40" s="286"/>
      <c r="BX40" s="286"/>
      <c r="BY40" s="286"/>
      <c r="BZ40" s="286"/>
      <c r="CA40" s="286"/>
      <c r="CB40" s="286"/>
      <c r="CC40" s="286"/>
      <c r="CD40" s="286"/>
      <c r="CE40" s="286"/>
      <c r="CF40" s="286"/>
      <c r="CG40" s="286"/>
      <c r="CH40" s="286"/>
      <c r="CI40" s="286"/>
      <c r="CJ40" s="286"/>
      <c r="CK40" s="286"/>
      <c r="CL40" s="286"/>
      <c r="CM40" s="286"/>
      <c r="CN40" s="286"/>
      <c r="CO40" s="286"/>
      <c r="CP40" s="286"/>
      <c r="CQ40" s="286"/>
      <c r="CR40" s="286"/>
      <c r="CS40" s="286"/>
      <c r="CT40" s="286"/>
      <c r="CU40" s="286"/>
      <c r="CV40" s="286"/>
      <c r="CW40" s="286"/>
      <c r="CX40" s="286"/>
      <c r="CY40" s="286"/>
      <c r="CZ40" s="286"/>
      <c r="DA40" s="286"/>
      <c r="DB40" s="286"/>
      <c r="DC40" s="286"/>
      <c r="DD40" s="286"/>
      <c r="DE40" s="286"/>
      <c r="DF40" s="286"/>
      <c r="DG40" s="286"/>
      <c r="DH40" s="286"/>
      <c r="DI40" s="286"/>
      <c r="DJ40" s="286"/>
      <c r="DK40" s="286"/>
      <c r="DL40" s="286"/>
      <c r="DM40" s="286"/>
      <c r="DN40" s="286"/>
      <c r="DO40" s="286"/>
      <c r="DP40" s="286"/>
      <c r="DQ40" s="286"/>
      <c r="DR40" s="286"/>
      <c r="DS40" s="286"/>
      <c r="DT40" s="286"/>
      <c r="DU40" s="286"/>
      <c r="DV40" s="286"/>
      <c r="DW40" s="286"/>
      <c r="DX40" s="286"/>
      <c r="DY40" s="286"/>
      <c r="DZ40" s="286"/>
      <c r="EA40" s="286"/>
      <c r="EB40" s="286"/>
      <c r="EC40" s="286"/>
      <c r="ED40" s="286"/>
      <c r="EE40" s="286"/>
      <c r="EF40" s="286"/>
      <c r="EG40" s="286"/>
      <c r="EH40" s="286"/>
      <c r="EI40" s="286"/>
      <c r="EJ40" s="286"/>
      <c r="EK40" s="286"/>
      <c r="EL40" s="286"/>
      <c r="EM40" s="286"/>
      <c r="EN40" s="286"/>
      <c r="EO40" s="286"/>
      <c r="EP40" s="286"/>
      <c r="EQ40" s="286"/>
      <c r="ER40" s="286"/>
      <c r="ES40" s="286"/>
      <c r="ET40" s="286"/>
      <c r="EU40" s="286"/>
      <c r="EV40" s="286"/>
      <c r="EW40" s="286"/>
      <c r="EX40" s="286"/>
      <c r="EY40" s="286"/>
      <c r="EZ40" s="286"/>
      <c r="FA40" s="286"/>
      <c r="FB40" s="286"/>
      <c r="FC40" s="286"/>
      <c r="FD40" s="286"/>
      <c r="FE40" s="286"/>
      <c r="FF40" s="286"/>
      <c r="FG40" s="286"/>
      <c r="FH40" s="286"/>
      <c r="FI40" s="286"/>
      <c r="FJ40" s="286"/>
      <c r="FK40" s="286"/>
      <c r="FL40" s="286"/>
      <c r="FM40" s="286"/>
      <c r="FN40" s="286"/>
      <c r="FO40" s="286"/>
      <c r="FP40" s="286"/>
      <c r="FQ40" s="286"/>
      <c r="FR40" s="286"/>
      <c r="FS40" s="286"/>
      <c r="FT40" s="286"/>
      <c r="FU40" s="286"/>
      <c r="FV40" s="286"/>
      <c r="FW40" s="286"/>
      <c r="FX40" s="286"/>
      <c r="FY40" s="286"/>
      <c r="FZ40" s="286"/>
      <c r="GA40" s="286"/>
      <c r="GB40" s="286"/>
      <c r="GC40" s="286"/>
      <c r="GD40" s="286"/>
      <c r="GE40" s="286"/>
      <c r="GF40" s="286"/>
      <c r="GG40" s="286"/>
      <c r="GH40" s="286"/>
      <c r="GI40" s="286"/>
      <c r="GJ40" s="286"/>
      <c r="GK40" s="286"/>
      <c r="GL40" s="286"/>
      <c r="GM40" s="286"/>
      <c r="GN40" s="286"/>
      <c r="GO40" s="286"/>
      <c r="GP40" s="286"/>
      <c r="GQ40" s="286"/>
      <c r="GR40" s="286"/>
      <c r="GS40" s="286"/>
      <c r="GT40" s="286"/>
      <c r="GU40" s="286"/>
      <c r="GV40" s="286"/>
      <c r="GW40" s="286"/>
      <c r="GX40" s="286"/>
      <c r="GY40" s="286"/>
      <c r="GZ40" s="286"/>
    </row>
    <row r="41" spans="1:208" ht="30">
      <c r="A41" s="280">
        <v>10</v>
      </c>
      <c r="B41" s="281">
        <v>44628</v>
      </c>
      <c r="C41" s="282">
        <v>1093247</v>
      </c>
      <c r="D41" s="282" t="s">
        <v>4300</v>
      </c>
      <c r="E41" s="282" t="s">
        <v>4270</v>
      </c>
      <c r="F41" s="313" t="s">
        <v>4275</v>
      </c>
      <c r="G41" s="282">
        <v>3190</v>
      </c>
      <c r="H41" s="282">
        <v>42</v>
      </c>
      <c r="I41" s="282">
        <v>4502286066</v>
      </c>
      <c r="J41" s="282">
        <v>3025459</v>
      </c>
      <c r="K41" s="282">
        <v>4902223865</v>
      </c>
      <c r="L41" s="282" t="s">
        <v>4252</v>
      </c>
      <c r="M41" s="283">
        <v>19421</v>
      </c>
      <c r="N41" s="282">
        <v>7500</v>
      </c>
      <c r="O41" s="284">
        <f t="shared" si="6"/>
        <v>145657500</v>
      </c>
      <c r="P41" s="285">
        <f t="shared" si="8"/>
        <v>3</v>
      </c>
      <c r="Q41" s="282" t="s">
        <v>3455</v>
      </c>
      <c r="R41" s="282">
        <v>1040968</v>
      </c>
      <c r="S41" s="282">
        <f t="shared" ref="S41:S42" si="9">1793900*3</f>
        <v>5381700</v>
      </c>
      <c r="T41" s="285"/>
      <c r="U41" s="285"/>
      <c r="V41" s="285"/>
      <c r="W41" s="285"/>
      <c r="X41" s="285"/>
      <c r="Y41" s="285"/>
      <c r="Z41" s="286"/>
      <c r="AA41" s="286"/>
      <c r="AB41" s="286"/>
      <c r="AC41" s="286"/>
      <c r="AD41" s="286"/>
      <c r="AE41" s="286"/>
      <c r="AF41" s="286"/>
      <c r="AG41" s="286"/>
      <c r="AH41" s="286"/>
      <c r="AI41" s="286"/>
      <c r="AJ41" s="286"/>
      <c r="AK41" s="286"/>
      <c r="AL41" s="286"/>
      <c r="AM41" s="286"/>
      <c r="AN41" s="286"/>
      <c r="AO41" s="286"/>
      <c r="AP41" s="286"/>
      <c r="AQ41" s="286"/>
      <c r="AR41" s="286"/>
      <c r="AS41" s="286"/>
      <c r="AT41" s="286"/>
      <c r="AU41" s="286"/>
      <c r="AV41" s="286"/>
      <c r="AW41" s="286"/>
      <c r="AX41" s="286"/>
      <c r="AY41" s="286"/>
      <c r="AZ41" s="286"/>
      <c r="BA41" s="286"/>
      <c r="BB41" s="286"/>
      <c r="BC41" s="286"/>
      <c r="BD41" s="286"/>
      <c r="BE41" s="286"/>
      <c r="BF41" s="286"/>
      <c r="BG41" s="286"/>
      <c r="BH41" s="286"/>
      <c r="BI41" s="286"/>
      <c r="BJ41" s="286"/>
      <c r="BK41" s="286"/>
      <c r="BL41" s="286"/>
      <c r="BM41" s="286"/>
      <c r="BN41" s="286"/>
      <c r="BO41" s="286"/>
      <c r="BP41" s="286"/>
      <c r="BQ41" s="286"/>
      <c r="BR41" s="286"/>
      <c r="BS41" s="286"/>
      <c r="BT41" s="286"/>
      <c r="BU41" s="286"/>
      <c r="BV41" s="286"/>
      <c r="BW41" s="286"/>
      <c r="BX41" s="286"/>
      <c r="BY41" s="286"/>
      <c r="BZ41" s="286"/>
      <c r="CA41" s="286"/>
      <c r="CB41" s="286"/>
      <c r="CC41" s="286"/>
      <c r="CD41" s="286"/>
      <c r="CE41" s="286"/>
      <c r="CF41" s="286"/>
      <c r="CG41" s="286"/>
      <c r="CH41" s="286"/>
      <c r="CI41" s="286"/>
      <c r="CJ41" s="286"/>
      <c r="CK41" s="286"/>
      <c r="CL41" s="286"/>
      <c r="CM41" s="286"/>
      <c r="CN41" s="286"/>
      <c r="CO41" s="286"/>
      <c r="CP41" s="286"/>
      <c r="CQ41" s="286"/>
      <c r="CR41" s="286"/>
      <c r="CS41" s="286"/>
      <c r="CT41" s="286"/>
      <c r="CU41" s="286"/>
      <c r="CV41" s="286"/>
      <c r="CW41" s="286"/>
      <c r="CX41" s="286"/>
      <c r="CY41" s="286"/>
      <c r="CZ41" s="286"/>
      <c r="DA41" s="286"/>
      <c r="DB41" s="286"/>
      <c r="DC41" s="286"/>
      <c r="DD41" s="286"/>
      <c r="DE41" s="286"/>
      <c r="DF41" s="286"/>
      <c r="DG41" s="286"/>
      <c r="DH41" s="286"/>
      <c r="DI41" s="286"/>
      <c r="DJ41" s="286"/>
      <c r="DK41" s="286"/>
      <c r="DL41" s="286"/>
      <c r="DM41" s="286"/>
      <c r="DN41" s="286"/>
      <c r="DO41" s="286"/>
      <c r="DP41" s="286"/>
      <c r="DQ41" s="286"/>
      <c r="DR41" s="286"/>
      <c r="DS41" s="286"/>
      <c r="DT41" s="286"/>
      <c r="DU41" s="286"/>
      <c r="DV41" s="286"/>
      <c r="DW41" s="286"/>
      <c r="DX41" s="286"/>
      <c r="DY41" s="286"/>
      <c r="DZ41" s="286"/>
      <c r="EA41" s="286"/>
      <c r="EB41" s="286"/>
      <c r="EC41" s="286"/>
      <c r="ED41" s="286"/>
      <c r="EE41" s="286"/>
      <c r="EF41" s="286"/>
      <c r="EG41" s="286"/>
      <c r="EH41" s="286"/>
      <c r="EI41" s="286"/>
      <c r="EJ41" s="286"/>
      <c r="EK41" s="286"/>
      <c r="EL41" s="286"/>
      <c r="EM41" s="286"/>
      <c r="EN41" s="286"/>
      <c r="EO41" s="286"/>
      <c r="EP41" s="286"/>
      <c r="EQ41" s="286"/>
      <c r="ER41" s="286"/>
      <c r="ES41" s="286"/>
      <c r="ET41" s="286"/>
      <c r="EU41" s="286"/>
      <c r="EV41" s="286"/>
      <c r="EW41" s="286"/>
      <c r="EX41" s="286"/>
      <c r="EY41" s="286"/>
      <c r="EZ41" s="286"/>
      <c r="FA41" s="286"/>
      <c r="FB41" s="286"/>
      <c r="FC41" s="286"/>
      <c r="FD41" s="286"/>
      <c r="FE41" s="286"/>
      <c r="FF41" s="286"/>
      <c r="FG41" s="286"/>
      <c r="FH41" s="286"/>
      <c r="FI41" s="286"/>
      <c r="FJ41" s="286"/>
      <c r="FK41" s="286"/>
      <c r="FL41" s="286"/>
      <c r="FM41" s="286"/>
      <c r="FN41" s="286"/>
      <c r="FO41" s="286"/>
      <c r="FP41" s="286"/>
      <c r="FQ41" s="286"/>
      <c r="FR41" s="286"/>
      <c r="FS41" s="286"/>
      <c r="FT41" s="286"/>
      <c r="FU41" s="286"/>
      <c r="FV41" s="286"/>
      <c r="FW41" s="286"/>
      <c r="FX41" s="286"/>
      <c r="FY41" s="286"/>
      <c r="FZ41" s="286"/>
      <c r="GA41" s="286"/>
      <c r="GB41" s="286"/>
      <c r="GC41" s="286"/>
      <c r="GD41" s="286"/>
      <c r="GE41" s="286"/>
      <c r="GF41" s="286"/>
      <c r="GG41" s="286"/>
      <c r="GH41" s="286"/>
      <c r="GI41" s="286"/>
      <c r="GJ41" s="286"/>
      <c r="GK41" s="286"/>
      <c r="GL41" s="286"/>
      <c r="GM41" s="286"/>
      <c r="GN41" s="286"/>
      <c r="GO41" s="286"/>
      <c r="GP41" s="286"/>
      <c r="GQ41" s="286"/>
      <c r="GR41" s="286"/>
      <c r="GS41" s="286"/>
      <c r="GT41" s="286"/>
      <c r="GU41" s="286"/>
      <c r="GV41" s="286"/>
      <c r="GW41" s="286"/>
      <c r="GX41" s="286"/>
      <c r="GY41" s="286"/>
      <c r="GZ41" s="286"/>
    </row>
    <row r="42" spans="1:208" ht="30">
      <c r="A42" s="302">
        <v>11</v>
      </c>
      <c r="B42" s="303">
        <v>44631</v>
      </c>
      <c r="C42" s="304">
        <v>1053331</v>
      </c>
      <c r="D42" s="304" t="s">
        <v>4301</v>
      </c>
      <c r="E42" s="304" t="s">
        <v>4263</v>
      </c>
      <c r="F42" s="304" t="s">
        <v>4251</v>
      </c>
      <c r="G42" s="304">
        <v>3178</v>
      </c>
      <c r="H42" s="304">
        <v>84</v>
      </c>
      <c r="I42" s="304">
        <v>4502288486</v>
      </c>
      <c r="J42" s="304">
        <v>3025457</v>
      </c>
      <c r="K42" s="304">
        <v>4902227790</v>
      </c>
      <c r="L42" s="289" t="s">
        <v>4252</v>
      </c>
      <c r="M42" s="309">
        <v>40057</v>
      </c>
      <c r="N42" s="304">
        <v>7500</v>
      </c>
      <c r="O42" s="306">
        <f t="shared" si="6"/>
        <v>300427500</v>
      </c>
      <c r="P42" s="307">
        <f t="shared" si="8"/>
        <v>6</v>
      </c>
      <c r="Q42" s="304" t="s">
        <v>3455</v>
      </c>
      <c r="R42" s="304">
        <v>1040968</v>
      </c>
      <c r="S42" s="304">
        <f t="shared" si="9"/>
        <v>5381700</v>
      </c>
      <c r="T42" s="307"/>
      <c r="U42" s="307"/>
      <c r="V42" s="307"/>
      <c r="W42" s="307"/>
      <c r="X42" s="307"/>
      <c r="Y42" s="307"/>
      <c r="Z42" s="308"/>
      <c r="AA42" s="308"/>
      <c r="AB42" s="308"/>
      <c r="AC42" s="308"/>
      <c r="AD42" s="308"/>
      <c r="AE42" s="308"/>
      <c r="AF42" s="308"/>
      <c r="AG42" s="308"/>
      <c r="AH42" s="308"/>
      <c r="AI42" s="308"/>
      <c r="AJ42" s="308"/>
      <c r="AK42" s="308"/>
      <c r="AL42" s="308"/>
      <c r="AM42" s="308"/>
      <c r="AN42" s="308"/>
      <c r="AO42" s="308"/>
      <c r="AP42" s="308"/>
      <c r="AQ42" s="308"/>
      <c r="AR42" s="308"/>
      <c r="AS42" s="308"/>
      <c r="AT42" s="308"/>
      <c r="AU42" s="308"/>
      <c r="AV42" s="308"/>
      <c r="AW42" s="308"/>
      <c r="AX42" s="308"/>
      <c r="AY42" s="308"/>
      <c r="AZ42" s="308"/>
      <c r="BA42" s="308"/>
      <c r="BB42" s="308"/>
      <c r="BC42" s="308"/>
      <c r="BD42" s="308"/>
      <c r="BE42" s="308"/>
      <c r="BF42" s="308"/>
      <c r="BG42" s="308"/>
      <c r="BH42" s="308"/>
      <c r="BI42" s="308"/>
      <c r="BJ42" s="308"/>
      <c r="BK42" s="308"/>
      <c r="BL42" s="308"/>
      <c r="BM42" s="308"/>
      <c r="BN42" s="308"/>
      <c r="BO42" s="308"/>
      <c r="BP42" s="308"/>
      <c r="BQ42" s="308"/>
      <c r="BR42" s="308"/>
      <c r="BS42" s="308"/>
      <c r="BT42" s="308"/>
      <c r="BU42" s="308"/>
      <c r="BV42" s="308"/>
      <c r="BW42" s="308"/>
      <c r="BX42" s="308"/>
      <c r="BY42" s="308"/>
      <c r="BZ42" s="308"/>
      <c r="CA42" s="308"/>
      <c r="CB42" s="308"/>
      <c r="CC42" s="308"/>
      <c r="CD42" s="308"/>
      <c r="CE42" s="308"/>
      <c r="CF42" s="308"/>
      <c r="CG42" s="308"/>
      <c r="CH42" s="308"/>
      <c r="CI42" s="308"/>
      <c r="CJ42" s="308"/>
      <c r="CK42" s="308"/>
      <c r="CL42" s="308"/>
      <c r="CM42" s="308"/>
      <c r="CN42" s="308"/>
      <c r="CO42" s="308"/>
      <c r="CP42" s="308"/>
      <c r="CQ42" s="308"/>
      <c r="CR42" s="308"/>
      <c r="CS42" s="308"/>
      <c r="CT42" s="308"/>
      <c r="CU42" s="308"/>
      <c r="CV42" s="308"/>
      <c r="CW42" s="308"/>
      <c r="CX42" s="308"/>
      <c r="CY42" s="308"/>
      <c r="CZ42" s="308"/>
      <c r="DA42" s="308"/>
      <c r="DB42" s="308"/>
      <c r="DC42" s="308"/>
      <c r="DD42" s="308"/>
      <c r="DE42" s="308"/>
      <c r="DF42" s="308"/>
      <c r="DG42" s="308"/>
      <c r="DH42" s="308"/>
      <c r="DI42" s="308"/>
      <c r="DJ42" s="308"/>
      <c r="DK42" s="308"/>
      <c r="DL42" s="308"/>
      <c r="DM42" s="308"/>
      <c r="DN42" s="308"/>
      <c r="DO42" s="308"/>
      <c r="DP42" s="308"/>
      <c r="DQ42" s="308"/>
      <c r="DR42" s="308"/>
      <c r="DS42" s="308"/>
      <c r="DT42" s="308"/>
      <c r="DU42" s="308"/>
      <c r="DV42" s="308"/>
      <c r="DW42" s="308"/>
      <c r="DX42" s="308"/>
      <c r="DY42" s="308"/>
      <c r="DZ42" s="308"/>
      <c r="EA42" s="308"/>
      <c r="EB42" s="308"/>
      <c r="EC42" s="308"/>
      <c r="ED42" s="308"/>
      <c r="EE42" s="308"/>
      <c r="EF42" s="308"/>
      <c r="EG42" s="308"/>
      <c r="EH42" s="308"/>
      <c r="EI42" s="308"/>
      <c r="EJ42" s="308"/>
      <c r="EK42" s="308"/>
      <c r="EL42" s="308"/>
      <c r="EM42" s="308"/>
      <c r="EN42" s="308"/>
      <c r="EO42" s="308"/>
      <c r="EP42" s="308"/>
      <c r="EQ42" s="308"/>
      <c r="ER42" s="308"/>
      <c r="ES42" s="308"/>
      <c r="ET42" s="308"/>
      <c r="EU42" s="308"/>
      <c r="EV42" s="308"/>
      <c r="EW42" s="308"/>
      <c r="EX42" s="308"/>
      <c r="EY42" s="308"/>
      <c r="EZ42" s="308"/>
      <c r="FA42" s="308"/>
      <c r="FB42" s="308"/>
      <c r="FC42" s="308"/>
      <c r="FD42" s="308"/>
      <c r="FE42" s="308"/>
      <c r="FF42" s="308"/>
      <c r="FG42" s="308"/>
      <c r="FH42" s="308"/>
      <c r="FI42" s="308"/>
      <c r="FJ42" s="308"/>
      <c r="FK42" s="308"/>
      <c r="FL42" s="308"/>
      <c r="FM42" s="308"/>
      <c r="FN42" s="308"/>
      <c r="FO42" s="308"/>
      <c r="FP42" s="308"/>
      <c r="FQ42" s="308"/>
      <c r="FR42" s="308"/>
      <c r="FS42" s="308"/>
      <c r="FT42" s="308"/>
      <c r="FU42" s="308"/>
      <c r="FV42" s="308"/>
      <c r="FW42" s="308"/>
      <c r="FX42" s="308"/>
      <c r="FY42" s="308"/>
      <c r="FZ42" s="308"/>
      <c r="GA42" s="308"/>
      <c r="GB42" s="308"/>
      <c r="GC42" s="308"/>
      <c r="GD42" s="308"/>
      <c r="GE42" s="308"/>
      <c r="GF42" s="308"/>
      <c r="GG42" s="308"/>
      <c r="GH42" s="308"/>
      <c r="GI42" s="308"/>
      <c r="GJ42" s="308"/>
      <c r="GK42" s="308"/>
      <c r="GL42" s="308"/>
      <c r="GM42" s="308"/>
      <c r="GN42" s="308"/>
      <c r="GO42" s="308"/>
      <c r="GP42" s="308"/>
      <c r="GQ42" s="308"/>
      <c r="GR42" s="308"/>
      <c r="GS42" s="308"/>
      <c r="GT42" s="308"/>
      <c r="GU42" s="308"/>
      <c r="GV42" s="308"/>
      <c r="GW42" s="308"/>
      <c r="GX42" s="308"/>
      <c r="GY42" s="308"/>
      <c r="GZ42" s="308"/>
    </row>
    <row r="43" spans="1:208" ht="15">
      <c r="A43" s="302"/>
      <c r="B43" s="303"/>
      <c r="C43" s="304"/>
      <c r="D43" s="304"/>
      <c r="E43" s="304"/>
      <c r="F43" s="304"/>
      <c r="G43" s="304"/>
      <c r="H43" s="304"/>
      <c r="I43" s="307"/>
      <c r="J43" s="304"/>
      <c r="K43" s="304"/>
      <c r="L43" s="304"/>
      <c r="M43" s="305"/>
      <c r="N43" s="304"/>
      <c r="O43" s="306"/>
      <c r="P43" s="307"/>
      <c r="Q43" s="304" t="s">
        <v>4266</v>
      </c>
      <c r="R43" s="304">
        <v>1004892</v>
      </c>
      <c r="S43" s="304">
        <v>4200000</v>
      </c>
      <c r="T43" s="307"/>
      <c r="U43" s="307"/>
      <c r="V43" s="307"/>
      <c r="W43" s="307"/>
      <c r="X43" s="307"/>
      <c r="Y43" s="307"/>
      <c r="Z43" s="308"/>
      <c r="AA43" s="308"/>
      <c r="AB43" s="308"/>
      <c r="AC43" s="308"/>
      <c r="AD43" s="308"/>
      <c r="AE43" s="308"/>
      <c r="AF43" s="308"/>
      <c r="AG43" s="308"/>
      <c r="AH43" s="308"/>
      <c r="AI43" s="308"/>
      <c r="AJ43" s="308"/>
      <c r="AK43" s="308"/>
      <c r="AL43" s="308"/>
      <c r="AM43" s="308"/>
      <c r="AN43" s="308"/>
      <c r="AO43" s="308"/>
      <c r="AP43" s="308"/>
      <c r="AQ43" s="308"/>
      <c r="AR43" s="308"/>
      <c r="AS43" s="308"/>
      <c r="AT43" s="308"/>
      <c r="AU43" s="308"/>
      <c r="AV43" s="308"/>
      <c r="AW43" s="308"/>
      <c r="AX43" s="308"/>
      <c r="AY43" s="308"/>
      <c r="AZ43" s="308"/>
      <c r="BA43" s="308"/>
      <c r="BB43" s="308"/>
      <c r="BC43" s="308"/>
      <c r="BD43" s="308"/>
      <c r="BE43" s="308"/>
      <c r="BF43" s="308"/>
      <c r="BG43" s="308"/>
      <c r="BH43" s="308"/>
      <c r="BI43" s="308"/>
      <c r="BJ43" s="308"/>
      <c r="BK43" s="308"/>
      <c r="BL43" s="308"/>
      <c r="BM43" s="308"/>
      <c r="BN43" s="308"/>
      <c r="BO43" s="308"/>
      <c r="BP43" s="308"/>
      <c r="BQ43" s="308"/>
      <c r="BR43" s="308"/>
      <c r="BS43" s="308"/>
      <c r="BT43" s="308"/>
      <c r="BU43" s="308"/>
      <c r="BV43" s="308"/>
      <c r="BW43" s="308"/>
      <c r="BX43" s="308"/>
      <c r="BY43" s="308"/>
      <c r="BZ43" s="308"/>
      <c r="CA43" s="308"/>
      <c r="CB43" s="308"/>
      <c r="CC43" s="308"/>
      <c r="CD43" s="308"/>
      <c r="CE43" s="308"/>
      <c r="CF43" s="308"/>
      <c r="CG43" s="308"/>
      <c r="CH43" s="308"/>
      <c r="CI43" s="308"/>
      <c r="CJ43" s="308"/>
      <c r="CK43" s="308"/>
      <c r="CL43" s="308"/>
      <c r="CM43" s="308"/>
      <c r="CN43" s="308"/>
      <c r="CO43" s="308"/>
      <c r="CP43" s="308"/>
      <c r="CQ43" s="308"/>
      <c r="CR43" s="308"/>
      <c r="CS43" s="308"/>
      <c r="CT43" s="308"/>
      <c r="CU43" s="308"/>
      <c r="CV43" s="308"/>
      <c r="CW43" s="308"/>
      <c r="CX43" s="308"/>
      <c r="CY43" s="308"/>
      <c r="CZ43" s="308"/>
      <c r="DA43" s="308"/>
      <c r="DB43" s="308"/>
      <c r="DC43" s="308"/>
      <c r="DD43" s="308"/>
      <c r="DE43" s="308"/>
      <c r="DF43" s="308"/>
      <c r="DG43" s="308"/>
      <c r="DH43" s="308"/>
      <c r="DI43" s="308"/>
      <c r="DJ43" s="308"/>
      <c r="DK43" s="308"/>
      <c r="DL43" s="308"/>
      <c r="DM43" s="308"/>
      <c r="DN43" s="308"/>
      <c r="DO43" s="308"/>
      <c r="DP43" s="308"/>
      <c r="DQ43" s="308"/>
      <c r="DR43" s="308"/>
      <c r="DS43" s="308"/>
      <c r="DT43" s="308"/>
      <c r="DU43" s="308"/>
      <c r="DV43" s="308"/>
      <c r="DW43" s="308"/>
      <c r="DX43" s="308"/>
      <c r="DY43" s="308"/>
      <c r="DZ43" s="308"/>
      <c r="EA43" s="308"/>
      <c r="EB43" s="308"/>
      <c r="EC43" s="308"/>
      <c r="ED43" s="308"/>
      <c r="EE43" s="308"/>
      <c r="EF43" s="308"/>
      <c r="EG43" s="308"/>
      <c r="EH43" s="308"/>
      <c r="EI43" s="308"/>
      <c r="EJ43" s="308"/>
      <c r="EK43" s="308"/>
      <c r="EL43" s="308"/>
      <c r="EM43" s="308"/>
      <c r="EN43" s="308"/>
      <c r="EO43" s="308"/>
      <c r="EP43" s="308"/>
      <c r="EQ43" s="308"/>
      <c r="ER43" s="308"/>
      <c r="ES43" s="308"/>
      <c r="ET43" s="308"/>
      <c r="EU43" s="308"/>
      <c r="EV43" s="308"/>
      <c r="EW43" s="308"/>
      <c r="EX43" s="308"/>
      <c r="EY43" s="308"/>
      <c r="EZ43" s="308"/>
      <c r="FA43" s="308"/>
      <c r="FB43" s="308"/>
      <c r="FC43" s="308"/>
      <c r="FD43" s="308"/>
      <c r="FE43" s="308"/>
      <c r="FF43" s="308"/>
      <c r="FG43" s="308"/>
      <c r="FH43" s="308"/>
      <c r="FI43" s="308"/>
      <c r="FJ43" s="308"/>
      <c r="FK43" s="308"/>
      <c r="FL43" s="308"/>
      <c r="FM43" s="308"/>
      <c r="FN43" s="308"/>
      <c r="FO43" s="308"/>
      <c r="FP43" s="308"/>
      <c r="FQ43" s="308"/>
      <c r="FR43" s="308"/>
      <c r="FS43" s="308"/>
      <c r="FT43" s="308"/>
      <c r="FU43" s="308"/>
      <c r="FV43" s="308"/>
      <c r="FW43" s="308"/>
      <c r="FX43" s="308"/>
      <c r="FY43" s="308"/>
      <c r="FZ43" s="308"/>
      <c r="GA43" s="308"/>
      <c r="GB43" s="308"/>
      <c r="GC43" s="308"/>
      <c r="GD43" s="308"/>
      <c r="GE43" s="308"/>
      <c r="GF43" s="308"/>
      <c r="GG43" s="308"/>
      <c r="GH43" s="308"/>
      <c r="GI43" s="308"/>
      <c r="GJ43" s="308"/>
      <c r="GK43" s="308"/>
      <c r="GL43" s="308"/>
      <c r="GM43" s="308"/>
      <c r="GN43" s="308"/>
      <c r="GO43" s="308"/>
      <c r="GP43" s="308"/>
      <c r="GQ43" s="308"/>
      <c r="GR43" s="308"/>
      <c r="GS43" s="308"/>
      <c r="GT43" s="308"/>
      <c r="GU43" s="308"/>
      <c r="GV43" s="308"/>
      <c r="GW43" s="308"/>
      <c r="GX43" s="308"/>
      <c r="GY43" s="308"/>
      <c r="GZ43" s="308"/>
    </row>
    <row r="44" spans="1:208" ht="30">
      <c r="A44" s="302">
        <v>11</v>
      </c>
      <c r="B44" s="303">
        <v>44632</v>
      </c>
      <c r="C44" s="304">
        <v>1076469</v>
      </c>
      <c r="D44" s="304" t="s">
        <v>4302</v>
      </c>
      <c r="E44" s="304" t="s">
        <v>4279</v>
      </c>
      <c r="F44" s="304" t="s">
        <v>4251</v>
      </c>
      <c r="G44" s="304">
        <v>3179</v>
      </c>
      <c r="H44" s="304">
        <v>28</v>
      </c>
      <c r="I44" s="304">
        <v>4502288490</v>
      </c>
      <c r="J44" s="304">
        <v>3025457</v>
      </c>
      <c r="K44" s="304">
        <v>4902227793</v>
      </c>
      <c r="L44" s="289" t="s">
        <v>4252</v>
      </c>
      <c r="M44" s="309">
        <v>13924.5</v>
      </c>
      <c r="N44" s="304">
        <v>7550</v>
      </c>
      <c r="O44" s="306">
        <f t="shared" ref="O44:O48" si="10">M44*N44</f>
        <v>105129975</v>
      </c>
      <c r="P44" s="307">
        <f t="shared" ref="P44:P47" si="11">H44/14</f>
        <v>2</v>
      </c>
      <c r="Q44" s="304" t="s">
        <v>3455</v>
      </c>
      <c r="R44" s="304">
        <v>1040968</v>
      </c>
      <c r="S44" s="304">
        <v>3542200</v>
      </c>
      <c r="T44" s="307"/>
      <c r="U44" s="307"/>
      <c r="V44" s="307"/>
      <c r="W44" s="307"/>
      <c r="X44" s="307"/>
      <c r="Y44" s="307"/>
      <c r="Z44" s="308"/>
      <c r="AA44" s="308"/>
      <c r="AB44" s="308"/>
      <c r="AC44" s="308"/>
      <c r="AD44" s="308"/>
      <c r="AE44" s="308"/>
      <c r="AF44" s="308"/>
      <c r="AG44" s="308"/>
      <c r="AH44" s="308"/>
      <c r="AI44" s="308"/>
      <c r="AJ44" s="308"/>
      <c r="AK44" s="308"/>
      <c r="AL44" s="308"/>
      <c r="AM44" s="308"/>
      <c r="AN44" s="308"/>
      <c r="AO44" s="308"/>
      <c r="AP44" s="308"/>
      <c r="AQ44" s="308"/>
      <c r="AR44" s="308"/>
      <c r="AS44" s="308"/>
      <c r="AT44" s="308"/>
      <c r="AU44" s="308"/>
      <c r="AV44" s="308"/>
      <c r="AW44" s="308"/>
      <c r="AX44" s="308"/>
      <c r="AY44" s="308"/>
      <c r="AZ44" s="308"/>
      <c r="BA44" s="308"/>
      <c r="BB44" s="308"/>
      <c r="BC44" s="308"/>
      <c r="BD44" s="308"/>
      <c r="BE44" s="308"/>
      <c r="BF44" s="308"/>
      <c r="BG44" s="308"/>
      <c r="BH44" s="308"/>
      <c r="BI44" s="308"/>
      <c r="BJ44" s="308"/>
      <c r="BK44" s="308"/>
      <c r="BL44" s="308"/>
      <c r="BM44" s="308"/>
      <c r="BN44" s="308"/>
      <c r="BO44" s="308"/>
      <c r="BP44" s="308"/>
      <c r="BQ44" s="308"/>
      <c r="BR44" s="308"/>
      <c r="BS44" s="308"/>
      <c r="BT44" s="308"/>
      <c r="BU44" s="308"/>
      <c r="BV44" s="308"/>
      <c r="BW44" s="308"/>
      <c r="BX44" s="308"/>
      <c r="BY44" s="308"/>
      <c r="BZ44" s="308"/>
      <c r="CA44" s="308"/>
      <c r="CB44" s="308"/>
      <c r="CC44" s="308"/>
      <c r="CD44" s="308"/>
      <c r="CE44" s="308"/>
      <c r="CF44" s="308"/>
      <c r="CG44" s="308"/>
      <c r="CH44" s="308"/>
      <c r="CI44" s="308"/>
      <c r="CJ44" s="308"/>
      <c r="CK44" s="308"/>
      <c r="CL44" s="308"/>
      <c r="CM44" s="308"/>
      <c r="CN44" s="308"/>
      <c r="CO44" s="308"/>
      <c r="CP44" s="308"/>
      <c r="CQ44" s="308"/>
      <c r="CR44" s="308"/>
      <c r="CS44" s="308"/>
      <c r="CT44" s="308"/>
      <c r="CU44" s="308"/>
      <c r="CV44" s="308"/>
      <c r="CW44" s="308"/>
      <c r="CX44" s="308"/>
      <c r="CY44" s="308"/>
      <c r="CZ44" s="308"/>
      <c r="DA44" s="308"/>
      <c r="DB44" s="308"/>
      <c r="DC44" s="308"/>
      <c r="DD44" s="308"/>
      <c r="DE44" s="308"/>
      <c r="DF44" s="308"/>
      <c r="DG44" s="308"/>
      <c r="DH44" s="308"/>
      <c r="DI44" s="308"/>
      <c r="DJ44" s="308"/>
      <c r="DK44" s="308"/>
      <c r="DL44" s="308"/>
      <c r="DM44" s="308"/>
      <c r="DN44" s="308"/>
      <c r="DO44" s="308"/>
      <c r="DP44" s="308"/>
      <c r="DQ44" s="308"/>
      <c r="DR44" s="308"/>
      <c r="DS44" s="308"/>
      <c r="DT44" s="308"/>
      <c r="DU44" s="308"/>
      <c r="DV44" s="308"/>
      <c r="DW44" s="308"/>
      <c r="DX44" s="308"/>
      <c r="DY44" s="308"/>
      <c r="DZ44" s="308"/>
      <c r="EA44" s="308"/>
      <c r="EB44" s="308"/>
      <c r="EC44" s="308"/>
      <c r="ED44" s="308"/>
      <c r="EE44" s="308"/>
      <c r="EF44" s="308"/>
      <c r="EG44" s="308"/>
      <c r="EH44" s="308"/>
      <c r="EI44" s="308"/>
      <c r="EJ44" s="308"/>
      <c r="EK44" s="308"/>
      <c r="EL44" s="308"/>
      <c r="EM44" s="308"/>
      <c r="EN44" s="308"/>
      <c r="EO44" s="308"/>
      <c r="EP44" s="308"/>
      <c r="EQ44" s="308"/>
      <c r="ER44" s="308"/>
      <c r="ES44" s="308"/>
      <c r="ET44" s="308"/>
      <c r="EU44" s="308"/>
      <c r="EV44" s="308"/>
      <c r="EW44" s="308"/>
      <c r="EX44" s="308"/>
      <c r="EY44" s="308"/>
      <c r="EZ44" s="308"/>
      <c r="FA44" s="308"/>
      <c r="FB44" s="308"/>
      <c r="FC44" s="308"/>
      <c r="FD44" s="308"/>
      <c r="FE44" s="308"/>
      <c r="FF44" s="308"/>
      <c r="FG44" s="308"/>
      <c r="FH44" s="308"/>
      <c r="FI44" s="308"/>
      <c r="FJ44" s="308"/>
      <c r="FK44" s="308"/>
      <c r="FL44" s="308"/>
      <c r="FM44" s="308"/>
      <c r="FN44" s="308"/>
      <c r="FO44" s="308"/>
      <c r="FP44" s="308"/>
      <c r="FQ44" s="308"/>
      <c r="FR44" s="308"/>
      <c r="FS44" s="308"/>
      <c r="FT44" s="308"/>
      <c r="FU44" s="308"/>
      <c r="FV44" s="308"/>
      <c r="FW44" s="308"/>
      <c r="FX44" s="308"/>
      <c r="FY44" s="308"/>
      <c r="FZ44" s="308"/>
      <c r="GA44" s="308"/>
      <c r="GB44" s="308"/>
      <c r="GC44" s="308"/>
      <c r="GD44" s="308"/>
      <c r="GE44" s="308"/>
      <c r="GF44" s="308"/>
      <c r="GG44" s="308"/>
      <c r="GH44" s="308"/>
      <c r="GI44" s="308"/>
      <c r="GJ44" s="308"/>
      <c r="GK44" s="308"/>
      <c r="GL44" s="308"/>
      <c r="GM44" s="308"/>
      <c r="GN44" s="308"/>
      <c r="GO44" s="308"/>
      <c r="GP44" s="308"/>
      <c r="GQ44" s="308"/>
      <c r="GR44" s="308"/>
      <c r="GS44" s="308"/>
      <c r="GT44" s="308"/>
      <c r="GU44" s="308"/>
      <c r="GV44" s="308"/>
      <c r="GW44" s="308"/>
      <c r="GX44" s="308"/>
      <c r="GY44" s="308"/>
      <c r="GZ44" s="308"/>
    </row>
    <row r="45" spans="1:208" ht="30">
      <c r="A45" s="302">
        <v>11</v>
      </c>
      <c r="B45" s="303">
        <v>44632</v>
      </c>
      <c r="C45" s="304">
        <v>1076469</v>
      </c>
      <c r="D45" s="304" t="s">
        <v>4303</v>
      </c>
      <c r="E45" s="304" t="s">
        <v>4279</v>
      </c>
      <c r="F45" s="304" t="s">
        <v>4275</v>
      </c>
      <c r="G45" s="304">
        <v>3179</v>
      </c>
      <c r="H45" s="304">
        <v>28</v>
      </c>
      <c r="I45" s="304">
        <v>4502288490</v>
      </c>
      <c r="J45" s="304">
        <v>3025459</v>
      </c>
      <c r="K45" s="304">
        <v>4902227795</v>
      </c>
      <c r="L45" s="289" t="s">
        <v>4252</v>
      </c>
      <c r="M45" s="309">
        <v>13924.5</v>
      </c>
      <c r="N45" s="304">
        <v>7550</v>
      </c>
      <c r="O45" s="306">
        <f t="shared" si="10"/>
        <v>105129975</v>
      </c>
      <c r="P45" s="307">
        <f t="shared" si="11"/>
        <v>2</v>
      </c>
      <c r="Q45" s="304" t="s">
        <v>3455</v>
      </c>
      <c r="R45" s="304">
        <v>1040968</v>
      </c>
      <c r="S45" s="304">
        <v>3542200</v>
      </c>
      <c r="T45" s="307"/>
      <c r="U45" s="307"/>
      <c r="V45" s="307"/>
      <c r="W45" s="307"/>
      <c r="X45" s="307"/>
      <c r="Y45" s="307"/>
      <c r="Z45" s="308"/>
      <c r="AA45" s="308"/>
      <c r="AB45" s="308"/>
      <c r="AC45" s="308"/>
      <c r="AD45" s="308"/>
      <c r="AE45" s="308"/>
      <c r="AF45" s="308"/>
      <c r="AG45" s="308"/>
      <c r="AH45" s="308"/>
      <c r="AI45" s="308"/>
      <c r="AJ45" s="308"/>
      <c r="AK45" s="308"/>
      <c r="AL45" s="308"/>
      <c r="AM45" s="308"/>
      <c r="AN45" s="308"/>
      <c r="AO45" s="308"/>
      <c r="AP45" s="308"/>
      <c r="AQ45" s="308"/>
      <c r="AR45" s="308"/>
      <c r="AS45" s="308"/>
      <c r="AT45" s="308"/>
      <c r="AU45" s="308"/>
      <c r="AV45" s="308"/>
      <c r="AW45" s="308"/>
      <c r="AX45" s="308"/>
      <c r="AY45" s="308"/>
      <c r="AZ45" s="308"/>
      <c r="BA45" s="308"/>
      <c r="BB45" s="308"/>
      <c r="BC45" s="308"/>
      <c r="BD45" s="308"/>
      <c r="BE45" s="308"/>
      <c r="BF45" s="308"/>
      <c r="BG45" s="308"/>
      <c r="BH45" s="308"/>
      <c r="BI45" s="308"/>
      <c r="BJ45" s="308"/>
      <c r="BK45" s="308"/>
      <c r="BL45" s="308"/>
      <c r="BM45" s="308"/>
      <c r="BN45" s="308"/>
      <c r="BO45" s="308"/>
      <c r="BP45" s="308"/>
      <c r="BQ45" s="308"/>
      <c r="BR45" s="308"/>
      <c r="BS45" s="308"/>
      <c r="BT45" s="308"/>
      <c r="BU45" s="308"/>
      <c r="BV45" s="308"/>
      <c r="BW45" s="308"/>
      <c r="BX45" s="308"/>
      <c r="BY45" s="308"/>
      <c r="BZ45" s="308"/>
      <c r="CA45" s="308"/>
      <c r="CB45" s="308"/>
      <c r="CC45" s="308"/>
      <c r="CD45" s="308"/>
      <c r="CE45" s="308"/>
      <c r="CF45" s="308"/>
      <c r="CG45" s="308"/>
      <c r="CH45" s="308"/>
      <c r="CI45" s="308"/>
      <c r="CJ45" s="308"/>
      <c r="CK45" s="308"/>
      <c r="CL45" s="308"/>
      <c r="CM45" s="308"/>
      <c r="CN45" s="308"/>
      <c r="CO45" s="308"/>
      <c r="CP45" s="308"/>
      <c r="CQ45" s="308"/>
      <c r="CR45" s="308"/>
      <c r="CS45" s="308"/>
      <c r="CT45" s="308"/>
      <c r="CU45" s="308"/>
      <c r="CV45" s="308"/>
      <c r="CW45" s="308"/>
      <c r="CX45" s="308"/>
      <c r="CY45" s="308"/>
      <c r="CZ45" s="308"/>
      <c r="DA45" s="308"/>
      <c r="DB45" s="308"/>
      <c r="DC45" s="308"/>
      <c r="DD45" s="308"/>
      <c r="DE45" s="308"/>
      <c r="DF45" s="308"/>
      <c r="DG45" s="308"/>
      <c r="DH45" s="308"/>
      <c r="DI45" s="308"/>
      <c r="DJ45" s="308"/>
      <c r="DK45" s="308"/>
      <c r="DL45" s="308"/>
      <c r="DM45" s="308"/>
      <c r="DN45" s="308"/>
      <c r="DO45" s="308"/>
      <c r="DP45" s="308"/>
      <c r="DQ45" s="308"/>
      <c r="DR45" s="308"/>
      <c r="DS45" s="308"/>
      <c r="DT45" s="308"/>
      <c r="DU45" s="308"/>
      <c r="DV45" s="308"/>
      <c r="DW45" s="308"/>
      <c r="DX45" s="308"/>
      <c r="DY45" s="308"/>
      <c r="DZ45" s="308"/>
      <c r="EA45" s="308"/>
      <c r="EB45" s="308"/>
      <c r="EC45" s="308"/>
      <c r="ED45" s="308"/>
      <c r="EE45" s="308"/>
      <c r="EF45" s="308"/>
      <c r="EG45" s="308"/>
      <c r="EH45" s="308"/>
      <c r="EI45" s="308"/>
      <c r="EJ45" s="308"/>
      <c r="EK45" s="308"/>
      <c r="EL45" s="308"/>
      <c r="EM45" s="308"/>
      <c r="EN45" s="308"/>
      <c r="EO45" s="308"/>
      <c r="EP45" s="308"/>
      <c r="EQ45" s="308"/>
      <c r="ER45" s="308"/>
      <c r="ES45" s="308"/>
      <c r="ET45" s="308"/>
      <c r="EU45" s="308"/>
      <c r="EV45" s="308"/>
      <c r="EW45" s="308"/>
      <c r="EX45" s="308"/>
      <c r="EY45" s="308"/>
      <c r="EZ45" s="308"/>
      <c r="FA45" s="308"/>
      <c r="FB45" s="308"/>
      <c r="FC45" s="308"/>
      <c r="FD45" s="308"/>
      <c r="FE45" s="308"/>
      <c r="FF45" s="308"/>
      <c r="FG45" s="308"/>
      <c r="FH45" s="308"/>
      <c r="FI45" s="308"/>
      <c r="FJ45" s="308"/>
      <c r="FK45" s="308"/>
      <c r="FL45" s="308"/>
      <c r="FM45" s="308"/>
      <c r="FN45" s="308"/>
      <c r="FO45" s="308"/>
      <c r="FP45" s="308"/>
      <c r="FQ45" s="308"/>
      <c r="FR45" s="308"/>
      <c r="FS45" s="308"/>
      <c r="FT45" s="308"/>
      <c r="FU45" s="308"/>
      <c r="FV45" s="308"/>
      <c r="FW45" s="308"/>
      <c r="FX45" s="308"/>
      <c r="FY45" s="308"/>
      <c r="FZ45" s="308"/>
      <c r="GA45" s="308"/>
      <c r="GB45" s="308"/>
      <c r="GC45" s="308"/>
      <c r="GD45" s="308"/>
      <c r="GE45" s="308"/>
      <c r="GF45" s="308"/>
      <c r="GG45" s="308"/>
      <c r="GH45" s="308"/>
      <c r="GI45" s="308"/>
      <c r="GJ45" s="308"/>
      <c r="GK45" s="308"/>
      <c r="GL45" s="308"/>
      <c r="GM45" s="308"/>
      <c r="GN45" s="308"/>
      <c r="GO45" s="308"/>
      <c r="GP45" s="308"/>
      <c r="GQ45" s="308"/>
      <c r="GR45" s="308"/>
      <c r="GS45" s="308"/>
      <c r="GT45" s="308"/>
      <c r="GU45" s="308"/>
      <c r="GV45" s="308"/>
      <c r="GW45" s="308"/>
      <c r="GX45" s="308"/>
      <c r="GY45" s="308"/>
      <c r="GZ45" s="308"/>
    </row>
    <row r="46" spans="1:208" ht="30">
      <c r="A46" s="280">
        <v>12</v>
      </c>
      <c r="B46" s="281">
        <v>44640</v>
      </c>
      <c r="C46" s="282">
        <v>1106184</v>
      </c>
      <c r="D46" s="282" t="s">
        <v>4304</v>
      </c>
      <c r="E46" s="282" t="s">
        <v>4250</v>
      </c>
      <c r="F46" s="313" t="s">
        <v>4251</v>
      </c>
      <c r="G46" s="282">
        <v>3185</v>
      </c>
      <c r="H46" s="282">
        <v>42</v>
      </c>
      <c r="I46" s="282">
        <v>4502295597</v>
      </c>
      <c r="J46" s="282">
        <v>3025457</v>
      </c>
      <c r="K46" s="282">
        <v>4902233155</v>
      </c>
      <c r="L46" s="282" t="s">
        <v>4252</v>
      </c>
      <c r="M46" s="296">
        <v>20156.400000000001</v>
      </c>
      <c r="N46" s="282">
        <v>7500</v>
      </c>
      <c r="O46" s="284">
        <f t="shared" si="10"/>
        <v>151173000</v>
      </c>
      <c r="P46" s="285">
        <f t="shared" si="11"/>
        <v>3</v>
      </c>
      <c r="Q46" s="282" t="s">
        <v>3455</v>
      </c>
      <c r="R46" s="282">
        <v>1040968</v>
      </c>
      <c r="S46" s="282">
        <f t="shared" ref="S46:S47" si="12">3062400*P46</f>
        <v>9187200</v>
      </c>
      <c r="T46" s="285"/>
      <c r="U46" s="285"/>
      <c r="V46" s="285"/>
      <c r="W46" s="285"/>
      <c r="X46" s="285"/>
      <c r="Y46" s="285"/>
      <c r="Z46" s="286"/>
      <c r="AA46" s="286"/>
      <c r="AB46" s="286"/>
      <c r="AC46" s="286"/>
      <c r="AD46" s="286"/>
      <c r="AE46" s="286"/>
      <c r="AF46" s="286"/>
      <c r="AG46" s="286"/>
      <c r="AH46" s="286"/>
      <c r="AI46" s="286"/>
      <c r="AJ46" s="286"/>
      <c r="AK46" s="286"/>
      <c r="AL46" s="286"/>
      <c r="AM46" s="286"/>
      <c r="AN46" s="286"/>
      <c r="AO46" s="286"/>
      <c r="AP46" s="286"/>
      <c r="AQ46" s="286"/>
      <c r="AR46" s="286"/>
      <c r="AS46" s="286"/>
      <c r="AT46" s="286"/>
      <c r="AU46" s="286"/>
      <c r="AV46" s="286"/>
      <c r="AW46" s="286"/>
      <c r="AX46" s="286"/>
      <c r="AY46" s="286"/>
      <c r="AZ46" s="286"/>
      <c r="BA46" s="286"/>
      <c r="BB46" s="286"/>
      <c r="BC46" s="286"/>
      <c r="BD46" s="286"/>
      <c r="BE46" s="286"/>
      <c r="BF46" s="286"/>
      <c r="BG46" s="286"/>
      <c r="BH46" s="286"/>
      <c r="BI46" s="286"/>
      <c r="BJ46" s="286"/>
      <c r="BK46" s="286"/>
      <c r="BL46" s="286"/>
      <c r="BM46" s="286"/>
      <c r="BN46" s="286"/>
      <c r="BO46" s="286"/>
      <c r="BP46" s="286"/>
      <c r="BQ46" s="286"/>
      <c r="BR46" s="286"/>
      <c r="BS46" s="286"/>
      <c r="BT46" s="286"/>
      <c r="BU46" s="286"/>
      <c r="BV46" s="286"/>
      <c r="BW46" s="286"/>
      <c r="BX46" s="286"/>
      <c r="BY46" s="286"/>
      <c r="BZ46" s="286"/>
      <c r="CA46" s="286"/>
      <c r="CB46" s="286"/>
      <c r="CC46" s="286"/>
      <c r="CD46" s="286"/>
      <c r="CE46" s="286"/>
      <c r="CF46" s="286"/>
      <c r="CG46" s="286"/>
      <c r="CH46" s="286"/>
      <c r="CI46" s="286"/>
      <c r="CJ46" s="286"/>
      <c r="CK46" s="286"/>
      <c r="CL46" s="286"/>
      <c r="CM46" s="286"/>
      <c r="CN46" s="286"/>
      <c r="CO46" s="286"/>
      <c r="CP46" s="286"/>
      <c r="CQ46" s="286"/>
      <c r="CR46" s="286"/>
      <c r="CS46" s="286"/>
      <c r="CT46" s="286"/>
      <c r="CU46" s="286"/>
      <c r="CV46" s="286"/>
      <c r="CW46" s="286"/>
      <c r="CX46" s="286"/>
      <c r="CY46" s="286"/>
      <c r="CZ46" s="286"/>
      <c r="DA46" s="286"/>
      <c r="DB46" s="286"/>
      <c r="DC46" s="286"/>
      <c r="DD46" s="286"/>
      <c r="DE46" s="286"/>
      <c r="DF46" s="286"/>
      <c r="DG46" s="286"/>
      <c r="DH46" s="286"/>
      <c r="DI46" s="286"/>
      <c r="DJ46" s="286"/>
      <c r="DK46" s="286"/>
      <c r="DL46" s="286"/>
      <c r="DM46" s="286"/>
      <c r="DN46" s="286"/>
      <c r="DO46" s="286"/>
      <c r="DP46" s="286"/>
      <c r="DQ46" s="286"/>
      <c r="DR46" s="286"/>
      <c r="DS46" s="286"/>
      <c r="DT46" s="286"/>
      <c r="DU46" s="286"/>
      <c r="DV46" s="286"/>
      <c r="DW46" s="286"/>
      <c r="DX46" s="286"/>
      <c r="DY46" s="286"/>
      <c r="DZ46" s="286"/>
      <c r="EA46" s="286"/>
      <c r="EB46" s="286"/>
      <c r="EC46" s="286"/>
      <c r="ED46" s="286"/>
      <c r="EE46" s="286"/>
      <c r="EF46" s="286"/>
      <c r="EG46" s="286"/>
      <c r="EH46" s="286"/>
      <c r="EI46" s="286"/>
      <c r="EJ46" s="286"/>
      <c r="EK46" s="286"/>
      <c r="EL46" s="286"/>
      <c r="EM46" s="286"/>
      <c r="EN46" s="286"/>
      <c r="EO46" s="286"/>
      <c r="EP46" s="286"/>
      <c r="EQ46" s="286"/>
      <c r="ER46" s="286"/>
      <c r="ES46" s="286"/>
      <c r="ET46" s="286"/>
      <c r="EU46" s="286"/>
      <c r="EV46" s="286"/>
      <c r="EW46" s="286"/>
      <c r="EX46" s="286"/>
      <c r="EY46" s="286"/>
      <c r="EZ46" s="286"/>
      <c r="FA46" s="286"/>
      <c r="FB46" s="286"/>
      <c r="FC46" s="286"/>
      <c r="FD46" s="286"/>
      <c r="FE46" s="286"/>
      <c r="FF46" s="286"/>
      <c r="FG46" s="286"/>
      <c r="FH46" s="286"/>
      <c r="FI46" s="286"/>
      <c r="FJ46" s="286"/>
      <c r="FK46" s="286"/>
      <c r="FL46" s="286"/>
      <c r="FM46" s="286"/>
      <c r="FN46" s="286"/>
      <c r="FO46" s="286"/>
      <c r="FP46" s="286"/>
      <c r="FQ46" s="286"/>
      <c r="FR46" s="286"/>
      <c r="FS46" s="286"/>
      <c r="FT46" s="286"/>
      <c r="FU46" s="286"/>
      <c r="FV46" s="286"/>
      <c r="FW46" s="286"/>
      <c r="FX46" s="286"/>
      <c r="FY46" s="286"/>
      <c r="FZ46" s="286"/>
      <c r="GA46" s="286"/>
      <c r="GB46" s="286"/>
      <c r="GC46" s="286"/>
      <c r="GD46" s="286"/>
      <c r="GE46" s="286"/>
      <c r="GF46" s="286"/>
      <c r="GG46" s="286"/>
      <c r="GH46" s="286"/>
      <c r="GI46" s="286"/>
      <c r="GJ46" s="286"/>
      <c r="GK46" s="286"/>
      <c r="GL46" s="286"/>
      <c r="GM46" s="286"/>
      <c r="GN46" s="286"/>
      <c r="GO46" s="286"/>
      <c r="GP46" s="286"/>
      <c r="GQ46" s="286"/>
      <c r="GR46" s="286"/>
      <c r="GS46" s="286"/>
      <c r="GT46" s="286"/>
      <c r="GU46" s="286"/>
      <c r="GV46" s="286"/>
      <c r="GW46" s="286"/>
      <c r="GX46" s="286"/>
      <c r="GY46" s="286"/>
      <c r="GZ46" s="286"/>
    </row>
    <row r="47" spans="1:208" ht="30">
      <c r="A47" s="280">
        <v>12</v>
      </c>
      <c r="B47" s="281">
        <v>44640</v>
      </c>
      <c r="C47" s="282">
        <v>1106184</v>
      </c>
      <c r="D47" s="282" t="s">
        <v>4305</v>
      </c>
      <c r="E47" s="282" t="s">
        <v>4250</v>
      </c>
      <c r="F47" s="313" t="s">
        <v>4306</v>
      </c>
      <c r="G47" s="282">
        <v>3185</v>
      </c>
      <c r="H47" s="282">
        <v>28</v>
      </c>
      <c r="I47" s="282">
        <v>4502295597</v>
      </c>
      <c r="J47" s="282">
        <v>3025459</v>
      </c>
      <c r="K47" s="282">
        <v>4902232377</v>
      </c>
      <c r="L47" s="282" t="s">
        <v>4252</v>
      </c>
      <c r="M47" s="296">
        <v>13437.6</v>
      </c>
      <c r="N47" s="282">
        <v>7500</v>
      </c>
      <c r="O47" s="284">
        <f t="shared" si="10"/>
        <v>100782000</v>
      </c>
      <c r="P47" s="285">
        <f t="shared" si="11"/>
        <v>2</v>
      </c>
      <c r="Q47" s="282" t="s">
        <v>3455</v>
      </c>
      <c r="R47" s="282">
        <v>1040968</v>
      </c>
      <c r="S47" s="282">
        <f t="shared" si="12"/>
        <v>6124800</v>
      </c>
      <c r="T47" s="285"/>
      <c r="U47" s="285"/>
      <c r="V47" s="285"/>
      <c r="W47" s="285"/>
      <c r="X47" s="285"/>
      <c r="Y47" s="285"/>
      <c r="Z47" s="286"/>
      <c r="AA47" s="286"/>
      <c r="AB47" s="286"/>
      <c r="AC47" s="286"/>
      <c r="AD47" s="286"/>
      <c r="AE47" s="286"/>
      <c r="AF47" s="286"/>
      <c r="AG47" s="286"/>
      <c r="AH47" s="286"/>
      <c r="AI47" s="286"/>
      <c r="AJ47" s="286"/>
      <c r="AK47" s="286"/>
      <c r="AL47" s="286"/>
      <c r="AM47" s="286"/>
      <c r="AN47" s="286"/>
      <c r="AO47" s="286"/>
      <c r="AP47" s="286"/>
      <c r="AQ47" s="286"/>
      <c r="AR47" s="286"/>
      <c r="AS47" s="286"/>
      <c r="AT47" s="286"/>
      <c r="AU47" s="286"/>
      <c r="AV47" s="286"/>
      <c r="AW47" s="286"/>
      <c r="AX47" s="286"/>
      <c r="AY47" s="286"/>
      <c r="AZ47" s="286"/>
      <c r="BA47" s="286"/>
      <c r="BB47" s="286"/>
      <c r="BC47" s="286"/>
      <c r="BD47" s="286"/>
      <c r="BE47" s="286"/>
      <c r="BF47" s="286"/>
      <c r="BG47" s="286"/>
      <c r="BH47" s="286"/>
      <c r="BI47" s="286"/>
      <c r="BJ47" s="286"/>
      <c r="BK47" s="286"/>
      <c r="BL47" s="286"/>
      <c r="BM47" s="286"/>
      <c r="BN47" s="286"/>
      <c r="BO47" s="286"/>
      <c r="BP47" s="286"/>
      <c r="BQ47" s="286"/>
      <c r="BR47" s="286"/>
      <c r="BS47" s="286"/>
      <c r="BT47" s="286"/>
      <c r="BU47" s="286"/>
      <c r="BV47" s="286"/>
      <c r="BW47" s="286"/>
      <c r="BX47" s="286"/>
      <c r="BY47" s="286"/>
      <c r="BZ47" s="286"/>
      <c r="CA47" s="286"/>
      <c r="CB47" s="286"/>
      <c r="CC47" s="286"/>
      <c r="CD47" s="286"/>
      <c r="CE47" s="286"/>
      <c r="CF47" s="286"/>
      <c r="CG47" s="286"/>
      <c r="CH47" s="286"/>
      <c r="CI47" s="286"/>
      <c r="CJ47" s="286"/>
      <c r="CK47" s="286"/>
      <c r="CL47" s="286"/>
      <c r="CM47" s="286"/>
      <c r="CN47" s="286"/>
      <c r="CO47" s="286"/>
      <c r="CP47" s="286"/>
      <c r="CQ47" s="286"/>
      <c r="CR47" s="286"/>
      <c r="CS47" s="286"/>
      <c r="CT47" s="286"/>
      <c r="CU47" s="286"/>
      <c r="CV47" s="286"/>
      <c r="CW47" s="286"/>
      <c r="CX47" s="286"/>
      <c r="CY47" s="286"/>
      <c r="CZ47" s="286"/>
      <c r="DA47" s="286"/>
      <c r="DB47" s="286"/>
      <c r="DC47" s="286"/>
      <c r="DD47" s="286"/>
      <c r="DE47" s="286"/>
      <c r="DF47" s="286"/>
      <c r="DG47" s="286"/>
      <c r="DH47" s="286"/>
      <c r="DI47" s="286"/>
      <c r="DJ47" s="286"/>
      <c r="DK47" s="286"/>
      <c r="DL47" s="286"/>
      <c r="DM47" s="286"/>
      <c r="DN47" s="286"/>
      <c r="DO47" s="286"/>
      <c r="DP47" s="286"/>
      <c r="DQ47" s="286"/>
      <c r="DR47" s="286"/>
      <c r="DS47" s="286"/>
      <c r="DT47" s="286"/>
      <c r="DU47" s="286"/>
      <c r="DV47" s="286"/>
      <c r="DW47" s="286"/>
      <c r="DX47" s="286"/>
      <c r="DY47" s="286"/>
      <c r="DZ47" s="286"/>
      <c r="EA47" s="286"/>
      <c r="EB47" s="286"/>
      <c r="EC47" s="286"/>
      <c r="ED47" s="286"/>
      <c r="EE47" s="286"/>
      <c r="EF47" s="286"/>
      <c r="EG47" s="286"/>
      <c r="EH47" s="286"/>
      <c r="EI47" s="286"/>
      <c r="EJ47" s="286"/>
      <c r="EK47" s="286"/>
      <c r="EL47" s="286"/>
      <c r="EM47" s="286"/>
      <c r="EN47" s="286"/>
      <c r="EO47" s="286"/>
      <c r="EP47" s="286"/>
      <c r="EQ47" s="286"/>
      <c r="ER47" s="286"/>
      <c r="ES47" s="286"/>
      <c r="ET47" s="286"/>
      <c r="EU47" s="286"/>
      <c r="EV47" s="286"/>
      <c r="EW47" s="286"/>
      <c r="EX47" s="286"/>
      <c r="EY47" s="286"/>
      <c r="EZ47" s="286"/>
      <c r="FA47" s="286"/>
      <c r="FB47" s="286"/>
      <c r="FC47" s="286"/>
      <c r="FD47" s="286"/>
      <c r="FE47" s="286"/>
      <c r="FF47" s="286"/>
      <c r="FG47" s="286"/>
      <c r="FH47" s="286"/>
      <c r="FI47" s="286"/>
      <c r="FJ47" s="286"/>
      <c r="FK47" s="286"/>
      <c r="FL47" s="286"/>
      <c r="FM47" s="286"/>
      <c r="FN47" s="286"/>
      <c r="FO47" s="286"/>
      <c r="FP47" s="286"/>
      <c r="FQ47" s="286"/>
      <c r="FR47" s="286"/>
      <c r="FS47" s="286"/>
      <c r="FT47" s="286"/>
      <c r="FU47" s="286"/>
      <c r="FV47" s="286"/>
      <c r="FW47" s="286"/>
      <c r="FX47" s="286"/>
      <c r="FY47" s="286"/>
      <c r="FZ47" s="286"/>
      <c r="GA47" s="286"/>
      <c r="GB47" s="286"/>
      <c r="GC47" s="286"/>
      <c r="GD47" s="286"/>
      <c r="GE47" s="286"/>
      <c r="GF47" s="286"/>
      <c r="GG47" s="286"/>
      <c r="GH47" s="286"/>
      <c r="GI47" s="286"/>
      <c r="GJ47" s="286"/>
      <c r="GK47" s="286"/>
      <c r="GL47" s="286"/>
      <c r="GM47" s="286"/>
      <c r="GN47" s="286"/>
      <c r="GO47" s="286"/>
      <c r="GP47" s="286"/>
      <c r="GQ47" s="286"/>
      <c r="GR47" s="286"/>
      <c r="GS47" s="286"/>
      <c r="GT47" s="286"/>
      <c r="GU47" s="286"/>
      <c r="GV47" s="286"/>
      <c r="GW47" s="286"/>
      <c r="GX47" s="286"/>
      <c r="GY47" s="286"/>
      <c r="GZ47" s="286"/>
    </row>
    <row r="48" spans="1:208" ht="21" customHeight="1">
      <c r="A48" s="302">
        <v>13</v>
      </c>
      <c r="B48" s="303">
        <v>44644</v>
      </c>
      <c r="C48" s="304">
        <v>1053331</v>
      </c>
      <c r="D48" s="304" t="s">
        <v>4307</v>
      </c>
      <c r="E48" s="304" t="s">
        <v>4263</v>
      </c>
      <c r="F48" s="304" t="s">
        <v>4251</v>
      </c>
      <c r="G48" s="304">
        <v>3178</v>
      </c>
      <c r="H48" s="304">
        <v>84</v>
      </c>
      <c r="I48" s="304">
        <v>4502297490</v>
      </c>
      <c r="J48" s="304">
        <v>3025457</v>
      </c>
      <c r="K48" s="304">
        <v>4902236672</v>
      </c>
      <c r="L48" s="289" t="s">
        <v>4252</v>
      </c>
      <c r="M48" s="309">
        <v>39768</v>
      </c>
      <c r="N48" s="304">
        <v>7650</v>
      </c>
      <c r="O48" s="306">
        <f t="shared" si="10"/>
        <v>304225200</v>
      </c>
      <c r="P48" s="304">
        <v>3</v>
      </c>
      <c r="Q48" s="304" t="s">
        <v>3455</v>
      </c>
      <c r="R48" s="304">
        <v>1040968</v>
      </c>
      <c r="S48" s="304">
        <f>1857700*3</f>
        <v>5573100</v>
      </c>
      <c r="T48" s="304"/>
      <c r="U48" s="307"/>
      <c r="V48" s="307"/>
      <c r="W48" s="307"/>
      <c r="X48" s="307"/>
      <c r="Y48" s="307"/>
      <c r="Z48" s="308"/>
      <c r="AA48" s="308"/>
      <c r="AB48" s="308"/>
      <c r="AC48" s="308"/>
      <c r="AD48" s="308"/>
      <c r="AE48" s="308"/>
      <c r="AF48" s="308"/>
      <c r="AG48" s="308"/>
      <c r="AH48" s="308"/>
      <c r="AI48" s="308"/>
      <c r="AJ48" s="308"/>
      <c r="AK48" s="308"/>
      <c r="AL48" s="308"/>
      <c r="AM48" s="308"/>
      <c r="AN48" s="308"/>
      <c r="AO48" s="308"/>
      <c r="AP48" s="308"/>
      <c r="AQ48" s="308"/>
      <c r="AR48" s="308"/>
      <c r="AS48" s="308"/>
      <c r="AT48" s="308"/>
      <c r="AU48" s="308"/>
      <c r="AV48" s="308"/>
      <c r="AW48" s="308"/>
      <c r="AX48" s="308"/>
      <c r="AY48" s="308"/>
      <c r="AZ48" s="308"/>
      <c r="BA48" s="308"/>
      <c r="BB48" s="308"/>
      <c r="BC48" s="308"/>
      <c r="BD48" s="308"/>
      <c r="BE48" s="308"/>
      <c r="BF48" s="308"/>
      <c r="BG48" s="308"/>
      <c r="BH48" s="308"/>
      <c r="BI48" s="308"/>
      <c r="BJ48" s="308"/>
      <c r="BK48" s="308"/>
      <c r="BL48" s="308"/>
      <c r="BM48" s="308"/>
      <c r="BN48" s="308"/>
      <c r="BO48" s="308"/>
      <c r="BP48" s="308"/>
      <c r="BQ48" s="308"/>
      <c r="BR48" s="308"/>
      <c r="BS48" s="308"/>
      <c r="BT48" s="308"/>
      <c r="BU48" s="308"/>
      <c r="BV48" s="308"/>
      <c r="BW48" s="308"/>
      <c r="BX48" s="308"/>
      <c r="BY48" s="308"/>
      <c r="BZ48" s="308"/>
      <c r="CA48" s="308"/>
      <c r="CB48" s="308"/>
      <c r="CC48" s="308"/>
      <c r="CD48" s="308"/>
      <c r="CE48" s="308"/>
      <c r="CF48" s="308"/>
      <c r="CG48" s="308"/>
      <c r="CH48" s="308"/>
      <c r="CI48" s="308"/>
      <c r="CJ48" s="308"/>
      <c r="CK48" s="308"/>
      <c r="CL48" s="308"/>
      <c r="CM48" s="308"/>
      <c r="CN48" s="308"/>
      <c r="CO48" s="308"/>
      <c r="CP48" s="308"/>
      <c r="CQ48" s="308"/>
      <c r="CR48" s="308"/>
      <c r="CS48" s="308"/>
      <c r="CT48" s="308"/>
      <c r="CU48" s="308"/>
      <c r="CV48" s="308"/>
      <c r="CW48" s="308"/>
      <c r="CX48" s="308"/>
      <c r="CY48" s="308"/>
      <c r="CZ48" s="308"/>
      <c r="DA48" s="308"/>
      <c r="DB48" s="308"/>
      <c r="DC48" s="308"/>
      <c r="DD48" s="308"/>
      <c r="DE48" s="308"/>
      <c r="DF48" s="308"/>
      <c r="DG48" s="308"/>
      <c r="DH48" s="308"/>
      <c r="DI48" s="308"/>
      <c r="DJ48" s="308"/>
      <c r="DK48" s="308"/>
      <c r="DL48" s="308"/>
      <c r="DM48" s="308"/>
      <c r="DN48" s="308"/>
      <c r="DO48" s="308"/>
      <c r="DP48" s="308"/>
      <c r="DQ48" s="308"/>
      <c r="DR48" s="308"/>
      <c r="DS48" s="308"/>
      <c r="DT48" s="308"/>
      <c r="DU48" s="308"/>
      <c r="DV48" s="308"/>
      <c r="DW48" s="308"/>
      <c r="DX48" s="308"/>
      <c r="DY48" s="308"/>
      <c r="DZ48" s="308"/>
      <c r="EA48" s="308"/>
      <c r="EB48" s="308"/>
      <c r="EC48" s="308"/>
      <c r="ED48" s="308"/>
      <c r="EE48" s="308"/>
      <c r="EF48" s="308"/>
      <c r="EG48" s="308"/>
      <c r="EH48" s="308"/>
      <c r="EI48" s="308"/>
      <c r="EJ48" s="308"/>
      <c r="EK48" s="308"/>
      <c r="EL48" s="308"/>
      <c r="EM48" s="308"/>
      <c r="EN48" s="308"/>
      <c r="EO48" s="308"/>
      <c r="EP48" s="308"/>
      <c r="EQ48" s="308"/>
      <c r="ER48" s="308"/>
      <c r="ES48" s="308"/>
      <c r="ET48" s="308"/>
      <c r="EU48" s="308"/>
      <c r="EV48" s="308"/>
      <c r="EW48" s="308"/>
      <c r="EX48" s="308"/>
      <c r="EY48" s="308"/>
      <c r="EZ48" s="308"/>
      <c r="FA48" s="308"/>
      <c r="FB48" s="308"/>
      <c r="FC48" s="308"/>
      <c r="FD48" s="308"/>
      <c r="FE48" s="308"/>
      <c r="FF48" s="308"/>
      <c r="FG48" s="308"/>
      <c r="FH48" s="308"/>
      <c r="FI48" s="308"/>
      <c r="FJ48" s="308"/>
      <c r="FK48" s="308"/>
      <c r="FL48" s="308"/>
      <c r="FM48" s="308"/>
      <c r="FN48" s="308"/>
      <c r="FO48" s="308"/>
      <c r="FP48" s="308"/>
      <c r="FQ48" s="308"/>
      <c r="FR48" s="308"/>
      <c r="FS48" s="308"/>
      <c r="FT48" s="308"/>
      <c r="FU48" s="308"/>
      <c r="FV48" s="308"/>
      <c r="FW48" s="308"/>
      <c r="FX48" s="308"/>
      <c r="FY48" s="308"/>
      <c r="FZ48" s="308"/>
      <c r="GA48" s="308"/>
      <c r="GB48" s="308"/>
      <c r="GC48" s="308"/>
      <c r="GD48" s="308"/>
      <c r="GE48" s="308"/>
      <c r="GF48" s="308"/>
      <c r="GG48" s="308"/>
      <c r="GH48" s="308"/>
      <c r="GI48" s="308"/>
      <c r="GJ48" s="308"/>
      <c r="GK48" s="308"/>
      <c r="GL48" s="308"/>
      <c r="GM48" s="308"/>
      <c r="GN48" s="308"/>
      <c r="GO48" s="308"/>
      <c r="GP48" s="308"/>
      <c r="GQ48" s="308"/>
      <c r="GR48" s="308"/>
      <c r="GS48" s="308"/>
      <c r="GT48" s="308"/>
      <c r="GU48" s="308"/>
      <c r="GV48" s="308"/>
      <c r="GW48" s="308"/>
      <c r="GX48" s="308"/>
      <c r="GY48" s="308"/>
      <c r="GZ48" s="308"/>
    </row>
    <row r="49" spans="1:208" ht="15">
      <c r="A49" s="302"/>
      <c r="B49" s="303"/>
      <c r="C49" s="304"/>
      <c r="D49" s="307"/>
      <c r="E49" s="304"/>
      <c r="F49" s="304"/>
      <c r="G49" s="304"/>
      <c r="H49" s="304"/>
      <c r="I49" s="307"/>
      <c r="J49" s="304"/>
      <c r="K49" s="307"/>
      <c r="L49" s="307"/>
      <c r="M49" s="305"/>
      <c r="N49" s="304"/>
      <c r="O49" s="306"/>
      <c r="P49" s="304" t="s">
        <v>4265</v>
      </c>
      <c r="Q49" s="304" t="s">
        <v>4266</v>
      </c>
      <c r="R49" s="304">
        <v>1004892</v>
      </c>
      <c r="S49" s="314">
        <v>4500000</v>
      </c>
      <c r="T49" s="304"/>
      <c r="U49" s="307"/>
      <c r="V49" s="307"/>
      <c r="W49" s="307"/>
      <c r="X49" s="307"/>
      <c r="Y49" s="307"/>
      <c r="Z49" s="308"/>
      <c r="AA49" s="308"/>
      <c r="AB49" s="308"/>
      <c r="AC49" s="308"/>
      <c r="AD49" s="308"/>
      <c r="AE49" s="308"/>
      <c r="AF49" s="308"/>
      <c r="AG49" s="308"/>
      <c r="AH49" s="308"/>
      <c r="AI49" s="308"/>
      <c r="AJ49" s="308"/>
      <c r="AK49" s="308"/>
      <c r="AL49" s="308"/>
      <c r="AM49" s="308"/>
      <c r="AN49" s="308"/>
      <c r="AO49" s="308"/>
      <c r="AP49" s="308"/>
      <c r="AQ49" s="308"/>
      <c r="AR49" s="308"/>
      <c r="AS49" s="308"/>
      <c r="AT49" s="308"/>
      <c r="AU49" s="308"/>
      <c r="AV49" s="308"/>
      <c r="AW49" s="308"/>
      <c r="AX49" s="308"/>
      <c r="AY49" s="308"/>
      <c r="AZ49" s="308"/>
      <c r="BA49" s="308"/>
      <c r="BB49" s="308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08"/>
      <c r="BS49" s="308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08"/>
      <c r="CJ49" s="308"/>
      <c r="CK49" s="308"/>
      <c r="CL49" s="308"/>
      <c r="CM49" s="308"/>
      <c r="CN49" s="308"/>
      <c r="CO49" s="308"/>
      <c r="CP49" s="308"/>
      <c r="CQ49" s="308"/>
      <c r="CR49" s="308"/>
      <c r="CS49" s="308"/>
      <c r="CT49" s="308"/>
      <c r="CU49" s="308"/>
      <c r="CV49" s="308"/>
      <c r="CW49" s="308"/>
      <c r="CX49" s="308"/>
      <c r="CY49" s="308"/>
      <c r="CZ49" s="308"/>
      <c r="DA49" s="308"/>
      <c r="DB49" s="308"/>
      <c r="DC49" s="308"/>
      <c r="DD49" s="308"/>
      <c r="DE49" s="308"/>
      <c r="DF49" s="308"/>
      <c r="DG49" s="308"/>
      <c r="DH49" s="308"/>
      <c r="DI49" s="308"/>
      <c r="DJ49" s="308"/>
      <c r="DK49" s="308"/>
      <c r="DL49" s="308"/>
      <c r="DM49" s="308"/>
      <c r="DN49" s="308"/>
      <c r="DO49" s="308"/>
      <c r="DP49" s="308"/>
      <c r="DQ49" s="308"/>
      <c r="DR49" s="308"/>
      <c r="DS49" s="308"/>
      <c r="DT49" s="308"/>
      <c r="DU49" s="308"/>
      <c r="DV49" s="308"/>
      <c r="DW49" s="308"/>
      <c r="DX49" s="308"/>
      <c r="DY49" s="308"/>
      <c r="DZ49" s="308"/>
      <c r="EA49" s="308"/>
      <c r="EB49" s="308"/>
      <c r="EC49" s="308"/>
      <c r="ED49" s="308"/>
      <c r="EE49" s="308"/>
      <c r="EF49" s="308"/>
      <c r="EG49" s="308"/>
      <c r="EH49" s="308"/>
      <c r="EI49" s="308"/>
      <c r="EJ49" s="308"/>
      <c r="EK49" s="308"/>
      <c r="EL49" s="308"/>
      <c r="EM49" s="308"/>
      <c r="EN49" s="308"/>
      <c r="EO49" s="308"/>
      <c r="EP49" s="308"/>
      <c r="EQ49" s="308"/>
      <c r="ER49" s="308"/>
      <c r="ES49" s="308"/>
      <c r="ET49" s="308"/>
      <c r="EU49" s="308"/>
      <c r="EV49" s="308"/>
      <c r="EW49" s="308"/>
      <c r="EX49" s="308"/>
      <c r="EY49" s="308"/>
      <c r="EZ49" s="308"/>
      <c r="FA49" s="308"/>
      <c r="FB49" s="308"/>
      <c r="FC49" s="308"/>
      <c r="FD49" s="308"/>
      <c r="FE49" s="308"/>
      <c r="FF49" s="308"/>
      <c r="FG49" s="308"/>
      <c r="FH49" s="308"/>
      <c r="FI49" s="308"/>
      <c r="FJ49" s="308"/>
      <c r="FK49" s="308"/>
      <c r="FL49" s="308"/>
      <c r="FM49" s="308"/>
      <c r="FN49" s="308"/>
      <c r="FO49" s="308"/>
      <c r="FP49" s="308"/>
      <c r="FQ49" s="308"/>
      <c r="FR49" s="308"/>
      <c r="FS49" s="308"/>
      <c r="FT49" s="308"/>
      <c r="FU49" s="308"/>
      <c r="FV49" s="308"/>
      <c r="FW49" s="308"/>
      <c r="FX49" s="308"/>
      <c r="FY49" s="308"/>
      <c r="FZ49" s="308"/>
      <c r="GA49" s="308"/>
      <c r="GB49" s="308"/>
      <c r="GC49" s="308"/>
      <c r="GD49" s="308"/>
      <c r="GE49" s="308"/>
      <c r="GF49" s="308"/>
      <c r="GG49" s="308"/>
      <c r="GH49" s="308"/>
      <c r="GI49" s="308"/>
      <c r="GJ49" s="308"/>
      <c r="GK49" s="308"/>
      <c r="GL49" s="308"/>
      <c r="GM49" s="308"/>
      <c r="GN49" s="308"/>
      <c r="GO49" s="308"/>
      <c r="GP49" s="308"/>
      <c r="GQ49" s="308"/>
      <c r="GR49" s="308"/>
      <c r="GS49" s="308"/>
      <c r="GT49" s="308"/>
      <c r="GU49" s="308"/>
      <c r="GV49" s="308"/>
      <c r="GW49" s="308"/>
      <c r="GX49" s="308"/>
      <c r="GY49" s="308"/>
      <c r="GZ49" s="308"/>
    </row>
    <row r="50" spans="1:208" ht="30">
      <c r="A50" s="302">
        <v>13</v>
      </c>
      <c r="B50" s="303">
        <v>44649</v>
      </c>
      <c r="C50" s="304">
        <v>1073359</v>
      </c>
      <c r="D50" s="304" t="s">
        <v>4308</v>
      </c>
      <c r="E50" s="304" t="s">
        <v>4268</v>
      </c>
      <c r="F50" s="304" t="s">
        <v>4251</v>
      </c>
      <c r="G50" s="304">
        <v>3188</v>
      </c>
      <c r="H50" s="304">
        <v>56</v>
      </c>
      <c r="I50" s="304">
        <v>4502297493</v>
      </c>
      <c r="J50" s="304">
        <v>3025457</v>
      </c>
      <c r="K50" s="304">
        <v>4902236674</v>
      </c>
      <c r="L50" s="289" t="s">
        <v>4252</v>
      </c>
      <c r="M50" s="309">
        <v>25781</v>
      </c>
      <c r="N50" s="304">
        <v>7900</v>
      </c>
      <c r="O50" s="306">
        <f t="shared" ref="O50:O67" si="13">M50*N50</f>
        <v>203669900</v>
      </c>
      <c r="P50" s="307">
        <f t="shared" ref="P50:P52" si="14">H50/14</f>
        <v>4</v>
      </c>
      <c r="Q50" s="304" t="s">
        <v>3455</v>
      </c>
      <c r="R50" s="304">
        <v>1040968</v>
      </c>
      <c r="S50" s="304">
        <v>7084400</v>
      </c>
      <c r="T50" s="304"/>
      <c r="U50" s="307"/>
      <c r="V50" s="307"/>
      <c r="W50" s="307"/>
      <c r="X50" s="307"/>
      <c r="Y50" s="307"/>
      <c r="Z50" s="308"/>
      <c r="AA50" s="308"/>
      <c r="AB50" s="308"/>
      <c r="AC50" s="308"/>
      <c r="AD50" s="308"/>
      <c r="AE50" s="308"/>
      <c r="AF50" s="308"/>
      <c r="AG50" s="308"/>
      <c r="AH50" s="308"/>
      <c r="AI50" s="308"/>
      <c r="AJ50" s="308"/>
      <c r="AK50" s="308"/>
      <c r="AL50" s="308"/>
      <c r="AM50" s="308"/>
      <c r="AN50" s="308"/>
      <c r="AO50" s="308"/>
      <c r="AP50" s="308"/>
      <c r="AQ50" s="308"/>
      <c r="AR50" s="308"/>
      <c r="AS50" s="308"/>
      <c r="AT50" s="308"/>
      <c r="AU50" s="308"/>
      <c r="AV50" s="308"/>
      <c r="AW50" s="308"/>
      <c r="AX50" s="308"/>
      <c r="AY50" s="308"/>
      <c r="AZ50" s="308"/>
      <c r="BA50" s="308"/>
      <c r="BB50" s="308"/>
      <c r="BC50" s="308"/>
      <c r="BD50" s="308"/>
      <c r="BE50" s="308"/>
      <c r="BF50" s="308"/>
      <c r="BG50" s="308"/>
      <c r="BH50" s="308"/>
      <c r="BI50" s="308"/>
      <c r="BJ50" s="308"/>
      <c r="BK50" s="308"/>
      <c r="BL50" s="308"/>
      <c r="BM50" s="308"/>
      <c r="BN50" s="308"/>
      <c r="BO50" s="308"/>
      <c r="BP50" s="308"/>
      <c r="BQ50" s="308"/>
      <c r="BR50" s="308"/>
      <c r="BS50" s="308"/>
      <c r="BT50" s="308"/>
      <c r="BU50" s="308"/>
      <c r="BV50" s="308"/>
      <c r="BW50" s="308"/>
      <c r="BX50" s="308"/>
      <c r="BY50" s="308"/>
      <c r="BZ50" s="308"/>
      <c r="CA50" s="308"/>
      <c r="CB50" s="308"/>
      <c r="CC50" s="308"/>
      <c r="CD50" s="308"/>
      <c r="CE50" s="308"/>
      <c r="CF50" s="308"/>
      <c r="CG50" s="308"/>
      <c r="CH50" s="308"/>
      <c r="CI50" s="308"/>
      <c r="CJ50" s="308"/>
      <c r="CK50" s="308"/>
      <c r="CL50" s="308"/>
      <c r="CM50" s="308"/>
      <c r="CN50" s="308"/>
      <c r="CO50" s="308"/>
      <c r="CP50" s="308"/>
      <c r="CQ50" s="308"/>
      <c r="CR50" s="308"/>
      <c r="CS50" s="308"/>
      <c r="CT50" s="308"/>
      <c r="CU50" s="308"/>
      <c r="CV50" s="308"/>
      <c r="CW50" s="308"/>
      <c r="CX50" s="308"/>
      <c r="CY50" s="308"/>
      <c r="CZ50" s="308"/>
      <c r="DA50" s="308"/>
      <c r="DB50" s="308"/>
      <c r="DC50" s="308"/>
      <c r="DD50" s="308"/>
      <c r="DE50" s="308"/>
      <c r="DF50" s="308"/>
      <c r="DG50" s="308"/>
      <c r="DH50" s="308"/>
      <c r="DI50" s="308"/>
      <c r="DJ50" s="308"/>
      <c r="DK50" s="308"/>
      <c r="DL50" s="308"/>
      <c r="DM50" s="308"/>
      <c r="DN50" s="308"/>
      <c r="DO50" s="308"/>
      <c r="DP50" s="308"/>
      <c r="DQ50" s="308"/>
      <c r="DR50" s="308"/>
      <c r="DS50" s="308"/>
      <c r="DT50" s="308"/>
      <c r="DU50" s="308"/>
      <c r="DV50" s="308"/>
      <c r="DW50" s="308"/>
      <c r="DX50" s="308"/>
      <c r="DY50" s="308"/>
      <c r="DZ50" s="308"/>
      <c r="EA50" s="308"/>
      <c r="EB50" s="308"/>
      <c r="EC50" s="308"/>
      <c r="ED50" s="308"/>
      <c r="EE50" s="308"/>
      <c r="EF50" s="308"/>
      <c r="EG50" s="308"/>
      <c r="EH50" s="308"/>
      <c r="EI50" s="308"/>
      <c r="EJ50" s="308"/>
      <c r="EK50" s="308"/>
      <c r="EL50" s="308"/>
      <c r="EM50" s="308"/>
      <c r="EN50" s="308"/>
      <c r="EO50" s="308"/>
      <c r="EP50" s="308"/>
      <c r="EQ50" s="308"/>
      <c r="ER50" s="308"/>
      <c r="ES50" s="308"/>
      <c r="ET50" s="308"/>
      <c r="EU50" s="308"/>
      <c r="EV50" s="308"/>
      <c r="EW50" s="308"/>
      <c r="EX50" s="308"/>
      <c r="EY50" s="308"/>
      <c r="EZ50" s="308"/>
      <c r="FA50" s="308"/>
      <c r="FB50" s="308"/>
      <c r="FC50" s="308"/>
      <c r="FD50" s="308"/>
      <c r="FE50" s="308"/>
      <c r="FF50" s="308"/>
      <c r="FG50" s="308"/>
      <c r="FH50" s="308"/>
      <c r="FI50" s="308"/>
      <c r="FJ50" s="308"/>
      <c r="FK50" s="308"/>
      <c r="FL50" s="308"/>
      <c r="FM50" s="308"/>
      <c r="FN50" s="308"/>
      <c r="FO50" s="308"/>
      <c r="FP50" s="308"/>
      <c r="FQ50" s="308"/>
      <c r="FR50" s="308"/>
      <c r="FS50" s="308"/>
      <c r="FT50" s="308"/>
      <c r="FU50" s="308"/>
      <c r="FV50" s="308"/>
      <c r="FW50" s="308"/>
      <c r="FX50" s="308"/>
      <c r="FY50" s="308"/>
      <c r="FZ50" s="308"/>
      <c r="GA50" s="308"/>
      <c r="GB50" s="308"/>
      <c r="GC50" s="308"/>
      <c r="GD50" s="308"/>
      <c r="GE50" s="308"/>
      <c r="GF50" s="308"/>
      <c r="GG50" s="308"/>
      <c r="GH50" s="308"/>
      <c r="GI50" s="308"/>
      <c r="GJ50" s="308"/>
      <c r="GK50" s="308"/>
      <c r="GL50" s="308"/>
      <c r="GM50" s="308"/>
      <c r="GN50" s="308"/>
      <c r="GO50" s="308"/>
      <c r="GP50" s="308"/>
      <c r="GQ50" s="308"/>
      <c r="GR50" s="308"/>
      <c r="GS50" s="308"/>
      <c r="GT50" s="308"/>
      <c r="GU50" s="308"/>
      <c r="GV50" s="308"/>
      <c r="GW50" s="308"/>
      <c r="GX50" s="308"/>
      <c r="GY50" s="308"/>
      <c r="GZ50" s="308"/>
    </row>
    <row r="51" spans="1:208" ht="30">
      <c r="A51" s="280">
        <v>14</v>
      </c>
      <c r="B51" s="281">
        <v>44653</v>
      </c>
      <c r="C51" s="282">
        <v>1084015</v>
      </c>
      <c r="D51" s="282" t="s">
        <v>4309</v>
      </c>
      <c r="E51" s="282" t="s">
        <v>4289</v>
      </c>
      <c r="F51" s="282" t="s">
        <v>4275</v>
      </c>
      <c r="G51" s="282">
        <v>3148</v>
      </c>
      <c r="H51" s="282">
        <v>28</v>
      </c>
      <c r="I51" s="282">
        <v>4502303848</v>
      </c>
      <c r="J51" s="282">
        <v>3025459</v>
      </c>
      <c r="K51" s="282">
        <v>4902242368</v>
      </c>
      <c r="L51" s="282" t="s">
        <v>4252</v>
      </c>
      <c r="M51" s="283">
        <v>12352</v>
      </c>
      <c r="N51" s="282">
        <v>7750</v>
      </c>
      <c r="O51" s="284">
        <f t="shared" si="13"/>
        <v>95728000</v>
      </c>
      <c r="P51" s="285">
        <f t="shared" si="14"/>
        <v>2</v>
      </c>
      <c r="Q51" s="282" t="s">
        <v>3455</v>
      </c>
      <c r="R51" s="282">
        <v>1040968</v>
      </c>
      <c r="S51" s="285">
        <f>1623900*2</f>
        <v>3247800</v>
      </c>
      <c r="T51" s="285"/>
      <c r="U51" s="285"/>
      <c r="V51" s="285"/>
      <c r="W51" s="285"/>
      <c r="X51" s="285"/>
      <c r="Y51" s="285"/>
      <c r="Z51" s="286"/>
      <c r="AA51" s="286"/>
      <c r="AB51" s="286"/>
      <c r="AC51" s="286"/>
      <c r="AD51" s="286"/>
      <c r="AE51" s="286"/>
      <c r="AF51" s="286"/>
      <c r="AG51" s="286"/>
      <c r="AH51" s="286"/>
      <c r="AI51" s="286"/>
      <c r="AJ51" s="286"/>
      <c r="AK51" s="286"/>
      <c r="AL51" s="286"/>
      <c r="AM51" s="286"/>
      <c r="AN51" s="286"/>
      <c r="AO51" s="286"/>
      <c r="AP51" s="286"/>
      <c r="AQ51" s="286"/>
      <c r="AR51" s="286"/>
      <c r="AS51" s="286"/>
      <c r="AT51" s="286"/>
      <c r="AU51" s="286"/>
      <c r="AV51" s="286"/>
      <c r="AW51" s="286"/>
      <c r="AX51" s="286"/>
      <c r="AY51" s="286"/>
      <c r="AZ51" s="286"/>
      <c r="BA51" s="286"/>
      <c r="BB51" s="286"/>
      <c r="BC51" s="286"/>
      <c r="BD51" s="286"/>
      <c r="BE51" s="286"/>
      <c r="BF51" s="286"/>
      <c r="BG51" s="286"/>
      <c r="BH51" s="286"/>
      <c r="BI51" s="286"/>
      <c r="BJ51" s="286"/>
      <c r="BK51" s="286"/>
      <c r="BL51" s="286"/>
      <c r="BM51" s="286"/>
      <c r="BN51" s="286"/>
      <c r="BO51" s="286"/>
      <c r="BP51" s="286"/>
      <c r="BQ51" s="286"/>
      <c r="BR51" s="286"/>
      <c r="BS51" s="286"/>
      <c r="BT51" s="286"/>
      <c r="BU51" s="286"/>
      <c r="BV51" s="286"/>
      <c r="BW51" s="286"/>
      <c r="BX51" s="286"/>
      <c r="BY51" s="286"/>
      <c r="BZ51" s="286"/>
      <c r="CA51" s="286"/>
      <c r="CB51" s="286"/>
      <c r="CC51" s="286"/>
      <c r="CD51" s="286"/>
      <c r="CE51" s="286"/>
      <c r="CF51" s="286"/>
      <c r="CG51" s="286"/>
      <c r="CH51" s="286"/>
      <c r="CI51" s="286"/>
      <c r="CJ51" s="286"/>
      <c r="CK51" s="286"/>
      <c r="CL51" s="286"/>
      <c r="CM51" s="286"/>
      <c r="CN51" s="286"/>
      <c r="CO51" s="286"/>
      <c r="CP51" s="286"/>
      <c r="CQ51" s="286"/>
      <c r="CR51" s="286"/>
      <c r="CS51" s="286"/>
      <c r="CT51" s="286"/>
      <c r="CU51" s="286"/>
      <c r="CV51" s="286"/>
      <c r="CW51" s="286"/>
      <c r="CX51" s="286"/>
      <c r="CY51" s="286"/>
      <c r="CZ51" s="286"/>
      <c r="DA51" s="286"/>
      <c r="DB51" s="286"/>
      <c r="DC51" s="286"/>
      <c r="DD51" s="286"/>
      <c r="DE51" s="286"/>
      <c r="DF51" s="286"/>
      <c r="DG51" s="286"/>
      <c r="DH51" s="286"/>
      <c r="DI51" s="286"/>
      <c r="DJ51" s="286"/>
      <c r="DK51" s="286"/>
      <c r="DL51" s="286"/>
      <c r="DM51" s="286"/>
      <c r="DN51" s="286"/>
      <c r="DO51" s="286"/>
      <c r="DP51" s="286"/>
      <c r="DQ51" s="286"/>
      <c r="DR51" s="286"/>
      <c r="DS51" s="286"/>
      <c r="DT51" s="286"/>
      <c r="DU51" s="286"/>
      <c r="DV51" s="286"/>
      <c r="DW51" s="286"/>
      <c r="DX51" s="286"/>
      <c r="DY51" s="286"/>
      <c r="DZ51" s="286"/>
      <c r="EA51" s="286"/>
      <c r="EB51" s="286"/>
      <c r="EC51" s="286"/>
      <c r="ED51" s="286"/>
      <c r="EE51" s="286"/>
      <c r="EF51" s="286"/>
      <c r="EG51" s="286"/>
      <c r="EH51" s="286"/>
      <c r="EI51" s="286"/>
      <c r="EJ51" s="286"/>
      <c r="EK51" s="286"/>
      <c r="EL51" s="286"/>
      <c r="EM51" s="286"/>
      <c r="EN51" s="286"/>
      <c r="EO51" s="286"/>
      <c r="EP51" s="286"/>
      <c r="EQ51" s="286"/>
      <c r="ER51" s="286"/>
      <c r="ES51" s="286"/>
      <c r="ET51" s="286"/>
      <c r="EU51" s="286"/>
      <c r="EV51" s="286"/>
      <c r="EW51" s="286"/>
      <c r="EX51" s="286"/>
      <c r="EY51" s="286"/>
      <c r="EZ51" s="286"/>
      <c r="FA51" s="286"/>
      <c r="FB51" s="286"/>
      <c r="FC51" s="286"/>
      <c r="FD51" s="286"/>
      <c r="FE51" s="286"/>
      <c r="FF51" s="286"/>
      <c r="FG51" s="286"/>
      <c r="FH51" s="286"/>
      <c r="FI51" s="286"/>
      <c r="FJ51" s="286"/>
      <c r="FK51" s="286"/>
      <c r="FL51" s="286"/>
      <c r="FM51" s="286"/>
      <c r="FN51" s="286"/>
      <c r="FO51" s="286"/>
      <c r="FP51" s="286"/>
      <c r="FQ51" s="286"/>
      <c r="FR51" s="286"/>
      <c r="FS51" s="286"/>
      <c r="FT51" s="286"/>
      <c r="FU51" s="286"/>
      <c r="FV51" s="286"/>
      <c r="FW51" s="286"/>
      <c r="FX51" s="286"/>
      <c r="FY51" s="286"/>
      <c r="FZ51" s="286"/>
      <c r="GA51" s="286"/>
      <c r="GB51" s="286"/>
      <c r="GC51" s="286"/>
      <c r="GD51" s="286"/>
      <c r="GE51" s="286"/>
      <c r="GF51" s="286"/>
      <c r="GG51" s="286"/>
      <c r="GH51" s="286"/>
      <c r="GI51" s="286"/>
      <c r="GJ51" s="286"/>
      <c r="GK51" s="286"/>
      <c r="GL51" s="286"/>
      <c r="GM51" s="286"/>
      <c r="GN51" s="286"/>
      <c r="GO51" s="286"/>
      <c r="GP51" s="286"/>
      <c r="GQ51" s="286"/>
      <c r="GR51" s="286"/>
      <c r="GS51" s="286"/>
      <c r="GT51" s="286"/>
      <c r="GU51" s="286"/>
      <c r="GV51" s="286"/>
      <c r="GW51" s="286"/>
      <c r="GX51" s="286"/>
      <c r="GY51" s="286"/>
      <c r="GZ51" s="286"/>
    </row>
    <row r="52" spans="1:208" ht="30">
      <c r="A52" s="280">
        <v>14</v>
      </c>
      <c r="B52" s="281">
        <v>44653</v>
      </c>
      <c r="C52" s="282">
        <v>1073359</v>
      </c>
      <c r="D52" s="282" t="s">
        <v>4310</v>
      </c>
      <c r="E52" s="282" t="s">
        <v>4268</v>
      </c>
      <c r="F52" s="282" t="s">
        <v>4275</v>
      </c>
      <c r="G52" s="282">
        <v>3188</v>
      </c>
      <c r="H52" s="282">
        <v>28</v>
      </c>
      <c r="I52" s="282">
        <v>4502303850</v>
      </c>
      <c r="J52" s="282">
        <v>3025459</v>
      </c>
      <c r="K52" s="282">
        <v>4902242372</v>
      </c>
      <c r="L52" s="282" t="s">
        <v>4252</v>
      </c>
      <c r="M52" s="283">
        <v>13408</v>
      </c>
      <c r="N52" s="282">
        <v>7900</v>
      </c>
      <c r="O52" s="284">
        <f t="shared" si="13"/>
        <v>105923200</v>
      </c>
      <c r="P52" s="285">
        <f t="shared" si="14"/>
        <v>2</v>
      </c>
      <c r="Q52" s="282" t="s">
        <v>3455</v>
      </c>
      <c r="R52" s="282">
        <v>1040968</v>
      </c>
      <c r="S52" s="285">
        <f>1638223*2</f>
        <v>3276446</v>
      </c>
      <c r="T52" s="285"/>
      <c r="U52" s="285"/>
      <c r="V52" s="285"/>
      <c r="W52" s="285"/>
      <c r="X52" s="285"/>
      <c r="Y52" s="285"/>
      <c r="Z52" s="286"/>
      <c r="AA52" s="286"/>
      <c r="AB52" s="286"/>
      <c r="AC52" s="286"/>
      <c r="AD52" s="286"/>
      <c r="AE52" s="286"/>
      <c r="AF52" s="286"/>
      <c r="AG52" s="286"/>
      <c r="AH52" s="286"/>
      <c r="AI52" s="286"/>
      <c r="AJ52" s="286"/>
      <c r="AK52" s="286"/>
      <c r="AL52" s="286"/>
      <c r="AM52" s="286"/>
      <c r="AN52" s="286"/>
      <c r="AO52" s="286"/>
      <c r="AP52" s="286"/>
      <c r="AQ52" s="286"/>
      <c r="AR52" s="286"/>
      <c r="AS52" s="286"/>
      <c r="AT52" s="286"/>
      <c r="AU52" s="286"/>
      <c r="AV52" s="286"/>
      <c r="AW52" s="286"/>
      <c r="AX52" s="286"/>
      <c r="AY52" s="286"/>
      <c r="AZ52" s="286"/>
      <c r="BA52" s="286"/>
      <c r="BB52" s="286"/>
      <c r="BC52" s="286"/>
      <c r="BD52" s="286"/>
      <c r="BE52" s="286"/>
      <c r="BF52" s="286"/>
      <c r="BG52" s="286"/>
      <c r="BH52" s="286"/>
      <c r="BI52" s="286"/>
      <c r="BJ52" s="286"/>
      <c r="BK52" s="286"/>
      <c r="BL52" s="286"/>
      <c r="BM52" s="286"/>
      <c r="BN52" s="286"/>
      <c r="BO52" s="286"/>
      <c r="BP52" s="286"/>
      <c r="BQ52" s="286"/>
      <c r="BR52" s="286"/>
      <c r="BS52" s="286"/>
      <c r="BT52" s="286"/>
      <c r="BU52" s="286"/>
      <c r="BV52" s="286"/>
      <c r="BW52" s="286"/>
      <c r="BX52" s="286"/>
      <c r="BY52" s="286"/>
      <c r="BZ52" s="286"/>
      <c r="CA52" s="286"/>
      <c r="CB52" s="286"/>
      <c r="CC52" s="286"/>
      <c r="CD52" s="286"/>
      <c r="CE52" s="286"/>
      <c r="CF52" s="286"/>
      <c r="CG52" s="286"/>
      <c r="CH52" s="286"/>
      <c r="CI52" s="286"/>
      <c r="CJ52" s="286"/>
      <c r="CK52" s="286"/>
      <c r="CL52" s="286"/>
      <c r="CM52" s="286"/>
      <c r="CN52" s="286"/>
      <c r="CO52" s="286"/>
      <c r="CP52" s="286"/>
      <c r="CQ52" s="286"/>
      <c r="CR52" s="286"/>
      <c r="CS52" s="286"/>
      <c r="CT52" s="286"/>
      <c r="CU52" s="286"/>
      <c r="CV52" s="286"/>
      <c r="CW52" s="286"/>
      <c r="CX52" s="286"/>
      <c r="CY52" s="286"/>
      <c r="CZ52" s="286"/>
      <c r="DA52" s="286"/>
      <c r="DB52" s="286"/>
      <c r="DC52" s="286"/>
      <c r="DD52" s="286"/>
      <c r="DE52" s="286"/>
      <c r="DF52" s="286"/>
      <c r="DG52" s="286"/>
      <c r="DH52" s="286"/>
      <c r="DI52" s="286"/>
      <c r="DJ52" s="286"/>
      <c r="DK52" s="286"/>
      <c r="DL52" s="286"/>
      <c r="DM52" s="286"/>
      <c r="DN52" s="286"/>
      <c r="DO52" s="286"/>
      <c r="DP52" s="286"/>
      <c r="DQ52" s="286"/>
      <c r="DR52" s="286"/>
      <c r="DS52" s="286"/>
      <c r="DT52" s="286"/>
      <c r="DU52" s="286"/>
      <c r="DV52" s="286"/>
      <c r="DW52" s="286"/>
      <c r="DX52" s="286"/>
      <c r="DY52" s="286"/>
      <c r="DZ52" s="286"/>
      <c r="EA52" s="286"/>
      <c r="EB52" s="286"/>
      <c r="EC52" s="286"/>
      <c r="ED52" s="286"/>
      <c r="EE52" s="286"/>
      <c r="EF52" s="286"/>
      <c r="EG52" s="286"/>
      <c r="EH52" s="286"/>
      <c r="EI52" s="286"/>
      <c r="EJ52" s="286"/>
      <c r="EK52" s="286"/>
      <c r="EL52" s="286"/>
      <c r="EM52" s="286"/>
      <c r="EN52" s="286"/>
      <c r="EO52" s="286"/>
      <c r="EP52" s="286"/>
      <c r="EQ52" s="286"/>
      <c r="ER52" s="286"/>
      <c r="ES52" s="286"/>
      <c r="ET52" s="286"/>
      <c r="EU52" s="286"/>
      <c r="EV52" s="286"/>
      <c r="EW52" s="286"/>
      <c r="EX52" s="286"/>
      <c r="EY52" s="286"/>
      <c r="EZ52" s="286"/>
      <c r="FA52" s="286"/>
      <c r="FB52" s="286"/>
      <c r="FC52" s="286"/>
      <c r="FD52" s="286"/>
      <c r="FE52" s="286"/>
      <c r="FF52" s="286"/>
      <c r="FG52" s="286"/>
      <c r="FH52" s="286"/>
      <c r="FI52" s="286"/>
      <c r="FJ52" s="286"/>
      <c r="FK52" s="286"/>
      <c r="FL52" s="286"/>
      <c r="FM52" s="286"/>
      <c r="FN52" s="286"/>
      <c r="FO52" s="286"/>
      <c r="FP52" s="286"/>
      <c r="FQ52" s="286"/>
      <c r="FR52" s="286"/>
      <c r="FS52" s="286"/>
      <c r="FT52" s="286"/>
      <c r="FU52" s="286"/>
      <c r="FV52" s="286"/>
      <c r="FW52" s="286"/>
      <c r="FX52" s="286"/>
      <c r="FY52" s="286"/>
      <c r="FZ52" s="286"/>
      <c r="GA52" s="286"/>
      <c r="GB52" s="286"/>
      <c r="GC52" s="286"/>
      <c r="GD52" s="286"/>
      <c r="GE52" s="286"/>
      <c r="GF52" s="286"/>
      <c r="GG52" s="286"/>
      <c r="GH52" s="286"/>
      <c r="GI52" s="286"/>
      <c r="GJ52" s="286"/>
      <c r="GK52" s="286"/>
      <c r="GL52" s="286"/>
      <c r="GM52" s="286"/>
      <c r="GN52" s="286"/>
      <c r="GO52" s="286"/>
      <c r="GP52" s="286"/>
      <c r="GQ52" s="286"/>
      <c r="GR52" s="286"/>
      <c r="GS52" s="286"/>
      <c r="GT52" s="286"/>
      <c r="GU52" s="286"/>
      <c r="GV52" s="286"/>
      <c r="GW52" s="286"/>
      <c r="GX52" s="286"/>
      <c r="GY52" s="286"/>
      <c r="GZ52" s="286"/>
    </row>
    <row r="53" spans="1:208" ht="30">
      <c r="A53" s="280">
        <v>14</v>
      </c>
      <c r="B53" s="281">
        <v>44654</v>
      </c>
      <c r="C53" s="282">
        <v>1053331</v>
      </c>
      <c r="D53" s="282" t="s">
        <v>4311</v>
      </c>
      <c r="E53" s="282" t="s">
        <v>4263</v>
      </c>
      <c r="F53" s="282" t="s">
        <v>4275</v>
      </c>
      <c r="G53" s="282">
        <v>3178</v>
      </c>
      <c r="H53" s="282">
        <v>42</v>
      </c>
      <c r="I53" s="282">
        <v>4502303851</v>
      </c>
      <c r="J53" s="282">
        <v>3025459</v>
      </c>
      <c r="K53" s="282">
        <v>4902242374</v>
      </c>
      <c r="L53" s="282" t="s">
        <v>4252</v>
      </c>
      <c r="M53" s="283">
        <v>20295</v>
      </c>
      <c r="N53" s="282">
        <v>7750</v>
      </c>
      <c r="O53" s="284">
        <f t="shared" si="13"/>
        <v>157286250</v>
      </c>
      <c r="P53" s="282" t="s">
        <v>4265</v>
      </c>
      <c r="Q53" s="282" t="s">
        <v>4266</v>
      </c>
      <c r="R53" s="282">
        <v>1004892</v>
      </c>
      <c r="S53" s="282">
        <v>4792500</v>
      </c>
      <c r="T53" s="285"/>
      <c r="U53" s="285"/>
      <c r="V53" s="285"/>
      <c r="W53" s="285"/>
      <c r="X53" s="285"/>
      <c r="Y53" s="285"/>
      <c r="Z53" s="286"/>
      <c r="AA53" s="286"/>
      <c r="AB53" s="286"/>
      <c r="AC53" s="286"/>
      <c r="AD53" s="286"/>
      <c r="AE53" s="286"/>
      <c r="AF53" s="286"/>
      <c r="AG53" s="286"/>
      <c r="AH53" s="286"/>
      <c r="AI53" s="286"/>
      <c r="AJ53" s="286"/>
      <c r="AK53" s="286"/>
      <c r="AL53" s="286"/>
      <c r="AM53" s="286"/>
      <c r="AN53" s="286"/>
      <c r="AO53" s="286"/>
      <c r="AP53" s="286"/>
      <c r="AQ53" s="286"/>
      <c r="AR53" s="286"/>
      <c r="AS53" s="286"/>
      <c r="AT53" s="286"/>
      <c r="AU53" s="286"/>
      <c r="AV53" s="286"/>
      <c r="AW53" s="286"/>
      <c r="AX53" s="286"/>
      <c r="AY53" s="286"/>
      <c r="AZ53" s="286"/>
      <c r="BA53" s="286"/>
      <c r="BB53" s="286"/>
      <c r="BC53" s="286"/>
      <c r="BD53" s="286"/>
      <c r="BE53" s="286"/>
      <c r="BF53" s="286"/>
      <c r="BG53" s="286"/>
      <c r="BH53" s="286"/>
      <c r="BI53" s="286"/>
      <c r="BJ53" s="286"/>
      <c r="BK53" s="286"/>
      <c r="BL53" s="286"/>
      <c r="BM53" s="286"/>
      <c r="BN53" s="286"/>
      <c r="BO53" s="286"/>
      <c r="BP53" s="286"/>
      <c r="BQ53" s="286"/>
      <c r="BR53" s="286"/>
      <c r="BS53" s="286"/>
      <c r="BT53" s="286"/>
      <c r="BU53" s="286"/>
      <c r="BV53" s="286"/>
      <c r="BW53" s="286"/>
      <c r="BX53" s="286"/>
      <c r="BY53" s="286"/>
      <c r="BZ53" s="286"/>
      <c r="CA53" s="286"/>
      <c r="CB53" s="286"/>
      <c r="CC53" s="286"/>
      <c r="CD53" s="286"/>
      <c r="CE53" s="286"/>
      <c r="CF53" s="286"/>
      <c r="CG53" s="286"/>
      <c r="CH53" s="286"/>
      <c r="CI53" s="286"/>
      <c r="CJ53" s="286"/>
      <c r="CK53" s="286"/>
      <c r="CL53" s="286"/>
      <c r="CM53" s="286"/>
      <c r="CN53" s="286"/>
      <c r="CO53" s="286"/>
      <c r="CP53" s="286"/>
      <c r="CQ53" s="286"/>
      <c r="CR53" s="286"/>
      <c r="CS53" s="286"/>
      <c r="CT53" s="286"/>
      <c r="CU53" s="286"/>
      <c r="CV53" s="286"/>
      <c r="CW53" s="286"/>
      <c r="CX53" s="286"/>
      <c r="CY53" s="286"/>
      <c r="CZ53" s="286"/>
      <c r="DA53" s="286"/>
      <c r="DB53" s="286"/>
      <c r="DC53" s="286"/>
      <c r="DD53" s="286"/>
      <c r="DE53" s="286"/>
      <c r="DF53" s="286"/>
      <c r="DG53" s="286"/>
      <c r="DH53" s="286"/>
      <c r="DI53" s="286"/>
      <c r="DJ53" s="286"/>
      <c r="DK53" s="286"/>
      <c r="DL53" s="286"/>
      <c r="DM53" s="286"/>
      <c r="DN53" s="286"/>
      <c r="DO53" s="286"/>
      <c r="DP53" s="286"/>
      <c r="DQ53" s="286"/>
      <c r="DR53" s="286"/>
      <c r="DS53" s="286"/>
      <c r="DT53" s="286"/>
      <c r="DU53" s="286"/>
      <c r="DV53" s="286"/>
      <c r="DW53" s="286"/>
      <c r="DX53" s="286"/>
      <c r="DY53" s="286"/>
      <c r="DZ53" s="286"/>
      <c r="EA53" s="286"/>
      <c r="EB53" s="286"/>
      <c r="EC53" s="286"/>
      <c r="ED53" s="286"/>
      <c r="EE53" s="286"/>
      <c r="EF53" s="286"/>
      <c r="EG53" s="286"/>
      <c r="EH53" s="286"/>
      <c r="EI53" s="286"/>
      <c r="EJ53" s="286"/>
      <c r="EK53" s="286"/>
      <c r="EL53" s="286"/>
      <c r="EM53" s="286"/>
      <c r="EN53" s="286"/>
      <c r="EO53" s="286"/>
      <c r="EP53" s="286"/>
      <c r="EQ53" s="286"/>
      <c r="ER53" s="286"/>
      <c r="ES53" s="286"/>
      <c r="ET53" s="286"/>
      <c r="EU53" s="286"/>
      <c r="EV53" s="286"/>
      <c r="EW53" s="286"/>
      <c r="EX53" s="286"/>
      <c r="EY53" s="286"/>
      <c r="EZ53" s="286"/>
      <c r="FA53" s="286"/>
      <c r="FB53" s="286"/>
      <c r="FC53" s="286"/>
      <c r="FD53" s="286"/>
      <c r="FE53" s="286"/>
      <c r="FF53" s="286"/>
      <c r="FG53" s="286"/>
      <c r="FH53" s="286"/>
      <c r="FI53" s="286"/>
      <c r="FJ53" s="286"/>
      <c r="FK53" s="286"/>
      <c r="FL53" s="286"/>
      <c r="FM53" s="286"/>
      <c r="FN53" s="286"/>
      <c r="FO53" s="286"/>
      <c r="FP53" s="286"/>
      <c r="FQ53" s="286"/>
      <c r="FR53" s="286"/>
      <c r="FS53" s="286"/>
      <c r="FT53" s="286"/>
      <c r="FU53" s="286"/>
      <c r="FV53" s="286"/>
      <c r="FW53" s="286"/>
      <c r="FX53" s="286"/>
      <c r="FY53" s="286"/>
      <c r="FZ53" s="286"/>
      <c r="GA53" s="286"/>
      <c r="GB53" s="286"/>
      <c r="GC53" s="286"/>
      <c r="GD53" s="286"/>
      <c r="GE53" s="286"/>
      <c r="GF53" s="286"/>
      <c r="GG53" s="286"/>
      <c r="GH53" s="286"/>
      <c r="GI53" s="286"/>
      <c r="GJ53" s="286"/>
      <c r="GK53" s="286"/>
      <c r="GL53" s="286"/>
      <c r="GM53" s="286"/>
      <c r="GN53" s="286"/>
      <c r="GO53" s="286"/>
      <c r="GP53" s="286"/>
      <c r="GQ53" s="286"/>
      <c r="GR53" s="286"/>
      <c r="GS53" s="286"/>
      <c r="GT53" s="286"/>
      <c r="GU53" s="286"/>
      <c r="GV53" s="286"/>
      <c r="GW53" s="286"/>
      <c r="GX53" s="286"/>
      <c r="GY53" s="286"/>
      <c r="GZ53" s="286"/>
    </row>
    <row r="54" spans="1:208" ht="30">
      <c r="A54" s="280">
        <v>14</v>
      </c>
      <c r="B54" s="281">
        <v>44655</v>
      </c>
      <c r="C54" s="282">
        <v>1106184</v>
      </c>
      <c r="D54" s="282" t="s">
        <v>4312</v>
      </c>
      <c r="E54" s="282" t="s">
        <v>4250</v>
      </c>
      <c r="F54" s="282" t="s">
        <v>4264</v>
      </c>
      <c r="G54" s="282">
        <v>3185</v>
      </c>
      <c r="H54" s="282">
        <v>84</v>
      </c>
      <c r="I54" s="282">
        <v>4502304848</v>
      </c>
      <c r="J54" s="282">
        <v>3025460</v>
      </c>
      <c r="K54" s="282">
        <v>4902242377</v>
      </c>
      <c r="L54" s="282" t="s">
        <v>4252</v>
      </c>
      <c r="M54" s="283">
        <v>40468</v>
      </c>
      <c r="N54" s="282">
        <v>7600</v>
      </c>
      <c r="O54" s="284">
        <f t="shared" si="13"/>
        <v>307556800</v>
      </c>
      <c r="P54" s="285">
        <f t="shared" ref="P54:P62" si="15">H54/14</f>
        <v>6</v>
      </c>
      <c r="Q54" s="282" t="s">
        <v>3455</v>
      </c>
      <c r="R54" s="282">
        <v>1040968</v>
      </c>
      <c r="S54" s="285">
        <f>3062400*2</f>
        <v>6124800</v>
      </c>
      <c r="T54" s="285"/>
      <c r="U54" s="285"/>
      <c r="V54" s="285"/>
      <c r="W54" s="285"/>
      <c r="X54" s="285"/>
      <c r="Y54" s="285"/>
      <c r="Z54" s="286"/>
      <c r="AA54" s="286"/>
      <c r="AB54" s="286"/>
      <c r="AC54" s="286"/>
      <c r="AD54" s="286"/>
      <c r="AE54" s="286"/>
      <c r="AF54" s="286"/>
      <c r="AG54" s="286"/>
      <c r="AH54" s="286"/>
      <c r="AI54" s="286"/>
      <c r="AJ54" s="286"/>
      <c r="AK54" s="286"/>
      <c r="AL54" s="286"/>
      <c r="AM54" s="286"/>
      <c r="AN54" s="286"/>
      <c r="AO54" s="286"/>
      <c r="AP54" s="286"/>
      <c r="AQ54" s="286"/>
      <c r="AR54" s="286"/>
      <c r="AS54" s="286"/>
      <c r="AT54" s="286"/>
      <c r="AU54" s="286"/>
      <c r="AV54" s="286"/>
      <c r="AW54" s="286"/>
      <c r="AX54" s="286"/>
      <c r="AY54" s="286"/>
      <c r="AZ54" s="286"/>
      <c r="BA54" s="286"/>
      <c r="BB54" s="286"/>
      <c r="BC54" s="286"/>
      <c r="BD54" s="286"/>
      <c r="BE54" s="286"/>
      <c r="BF54" s="286"/>
      <c r="BG54" s="286"/>
      <c r="BH54" s="286"/>
      <c r="BI54" s="286"/>
      <c r="BJ54" s="286"/>
      <c r="BK54" s="286"/>
      <c r="BL54" s="286"/>
      <c r="BM54" s="286"/>
      <c r="BN54" s="286"/>
      <c r="BO54" s="286"/>
      <c r="BP54" s="286"/>
      <c r="BQ54" s="286"/>
      <c r="BR54" s="286"/>
      <c r="BS54" s="286"/>
      <c r="BT54" s="286"/>
      <c r="BU54" s="286"/>
      <c r="BV54" s="286"/>
      <c r="BW54" s="286"/>
      <c r="BX54" s="286"/>
      <c r="BY54" s="286"/>
      <c r="BZ54" s="286"/>
      <c r="CA54" s="286"/>
      <c r="CB54" s="286"/>
      <c r="CC54" s="286"/>
      <c r="CD54" s="286"/>
      <c r="CE54" s="286"/>
      <c r="CF54" s="286"/>
      <c r="CG54" s="286"/>
      <c r="CH54" s="286"/>
      <c r="CI54" s="286"/>
      <c r="CJ54" s="286"/>
      <c r="CK54" s="286"/>
      <c r="CL54" s="286"/>
      <c r="CM54" s="286"/>
      <c r="CN54" s="286"/>
      <c r="CO54" s="286"/>
      <c r="CP54" s="286"/>
      <c r="CQ54" s="286"/>
      <c r="CR54" s="286"/>
      <c r="CS54" s="286"/>
      <c r="CT54" s="286"/>
      <c r="CU54" s="286"/>
      <c r="CV54" s="286"/>
      <c r="CW54" s="286"/>
      <c r="CX54" s="286"/>
      <c r="CY54" s="286"/>
      <c r="CZ54" s="286"/>
      <c r="DA54" s="286"/>
      <c r="DB54" s="286"/>
      <c r="DC54" s="286"/>
      <c r="DD54" s="286"/>
      <c r="DE54" s="286"/>
      <c r="DF54" s="286"/>
      <c r="DG54" s="286"/>
      <c r="DH54" s="286"/>
      <c r="DI54" s="286"/>
      <c r="DJ54" s="286"/>
      <c r="DK54" s="286"/>
      <c r="DL54" s="286"/>
      <c r="DM54" s="286"/>
      <c r="DN54" s="286"/>
      <c r="DO54" s="286"/>
      <c r="DP54" s="286"/>
      <c r="DQ54" s="286"/>
      <c r="DR54" s="286"/>
      <c r="DS54" s="286"/>
      <c r="DT54" s="286"/>
      <c r="DU54" s="286"/>
      <c r="DV54" s="286"/>
      <c r="DW54" s="286"/>
      <c r="DX54" s="286"/>
      <c r="DY54" s="286"/>
      <c r="DZ54" s="286"/>
      <c r="EA54" s="286"/>
      <c r="EB54" s="286"/>
      <c r="EC54" s="286"/>
      <c r="ED54" s="286"/>
      <c r="EE54" s="286"/>
      <c r="EF54" s="286"/>
      <c r="EG54" s="286"/>
      <c r="EH54" s="286"/>
      <c r="EI54" s="286"/>
      <c r="EJ54" s="286"/>
      <c r="EK54" s="286"/>
      <c r="EL54" s="286"/>
      <c r="EM54" s="286"/>
      <c r="EN54" s="286"/>
      <c r="EO54" s="286"/>
      <c r="EP54" s="286"/>
      <c r="EQ54" s="286"/>
      <c r="ER54" s="286"/>
      <c r="ES54" s="286"/>
      <c r="ET54" s="286"/>
      <c r="EU54" s="286"/>
      <c r="EV54" s="286"/>
      <c r="EW54" s="286"/>
      <c r="EX54" s="286"/>
      <c r="EY54" s="286"/>
      <c r="EZ54" s="286"/>
      <c r="FA54" s="286"/>
      <c r="FB54" s="286"/>
      <c r="FC54" s="286"/>
      <c r="FD54" s="286"/>
      <c r="FE54" s="286"/>
      <c r="FF54" s="286"/>
      <c r="FG54" s="286"/>
      <c r="FH54" s="286"/>
      <c r="FI54" s="286"/>
      <c r="FJ54" s="286"/>
      <c r="FK54" s="286"/>
      <c r="FL54" s="286"/>
      <c r="FM54" s="286"/>
      <c r="FN54" s="286"/>
      <c r="FO54" s="286"/>
      <c r="FP54" s="286"/>
      <c r="FQ54" s="286"/>
      <c r="FR54" s="286"/>
      <c r="FS54" s="286"/>
      <c r="FT54" s="286"/>
      <c r="FU54" s="286"/>
      <c r="FV54" s="286"/>
      <c r="FW54" s="286"/>
      <c r="FX54" s="286"/>
      <c r="FY54" s="286"/>
      <c r="FZ54" s="286"/>
      <c r="GA54" s="286"/>
      <c r="GB54" s="286"/>
      <c r="GC54" s="286"/>
      <c r="GD54" s="286"/>
      <c r="GE54" s="286"/>
      <c r="GF54" s="286"/>
      <c r="GG54" s="286"/>
      <c r="GH54" s="286"/>
      <c r="GI54" s="286"/>
      <c r="GJ54" s="286"/>
      <c r="GK54" s="286"/>
      <c r="GL54" s="286"/>
      <c r="GM54" s="286"/>
      <c r="GN54" s="286"/>
      <c r="GO54" s="286"/>
      <c r="GP54" s="286"/>
      <c r="GQ54" s="286"/>
      <c r="GR54" s="286"/>
      <c r="GS54" s="286"/>
      <c r="GT54" s="286"/>
      <c r="GU54" s="286"/>
      <c r="GV54" s="286"/>
      <c r="GW54" s="286"/>
      <c r="GX54" s="286"/>
      <c r="GY54" s="286"/>
      <c r="GZ54" s="286"/>
    </row>
    <row r="55" spans="1:208" ht="30">
      <c r="A55" s="280">
        <v>14</v>
      </c>
      <c r="B55" s="281">
        <v>44655</v>
      </c>
      <c r="C55" s="282">
        <v>1073359</v>
      </c>
      <c r="D55" s="282" t="s">
        <v>4313</v>
      </c>
      <c r="E55" s="282" t="s">
        <v>4268</v>
      </c>
      <c r="F55" s="282" t="s">
        <v>4264</v>
      </c>
      <c r="G55" s="282">
        <v>3188</v>
      </c>
      <c r="H55" s="282">
        <v>28</v>
      </c>
      <c r="I55" s="282">
        <v>4502304851</v>
      </c>
      <c r="J55" s="282">
        <v>3025460</v>
      </c>
      <c r="K55" s="282">
        <v>4902242379</v>
      </c>
      <c r="L55" s="282" t="s">
        <v>4252</v>
      </c>
      <c r="M55" s="283">
        <v>14008</v>
      </c>
      <c r="N55" s="282">
        <v>7900</v>
      </c>
      <c r="O55" s="284">
        <f t="shared" si="13"/>
        <v>110663200</v>
      </c>
      <c r="P55" s="285">
        <f t="shared" si="15"/>
        <v>2</v>
      </c>
      <c r="Q55" s="282" t="s">
        <v>3455</v>
      </c>
      <c r="R55" s="282">
        <v>1040968</v>
      </c>
      <c r="S55" s="285">
        <f>1638226*2</f>
        <v>3276452</v>
      </c>
      <c r="T55" s="285"/>
      <c r="U55" s="285"/>
      <c r="V55" s="285"/>
      <c r="W55" s="285"/>
      <c r="X55" s="285"/>
      <c r="Y55" s="285"/>
      <c r="Z55" s="286"/>
      <c r="AA55" s="286"/>
      <c r="AB55" s="286"/>
      <c r="AC55" s="286"/>
      <c r="AD55" s="286"/>
      <c r="AE55" s="286"/>
      <c r="AF55" s="286"/>
      <c r="AG55" s="286"/>
      <c r="AH55" s="286"/>
      <c r="AI55" s="286"/>
      <c r="AJ55" s="286"/>
      <c r="AK55" s="286"/>
      <c r="AL55" s="286"/>
      <c r="AM55" s="286"/>
      <c r="AN55" s="286"/>
      <c r="AO55" s="286"/>
      <c r="AP55" s="286"/>
      <c r="AQ55" s="286"/>
      <c r="AR55" s="286"/>
      <c r="AS55" s="286"/>
      <c r="AT55" s="286"/>
      <c r="AU55" s="286"/>
      <c r="AV55" s="286"/>
      <c r="AW55" s="286"/>
      <c r="AX55" s="286"/>
      <c r="AY55" s="286"/>
      <c r="AZ55" s="286"/>
      <c r="BA55" s="286"/>
      <c r="BB55" s="286"/>
      <c r="BC55" s="286"/>
      <c r="BD55" s="286"/>
      <c r="BE55" s="286"/>
      <c r="BF55" s="286"/>
      <c r="BG55" s="286"/>
      <c r="BH55" s="286"/>
      <c r="BI55" s="286"/>
      <c r="BJ55" s="286"/>
      <c r="BK55" s="286"/>
      <c r="BL55" s="286"/>
      <c r="BM55" s="286"/>
      <c r="BN55" s="286"/>
      <c r="BO55" s="286"/>
      <c r="BP55" s="286"/>
      <c r="BQ55" s="286"/>
      <c r="BR55" s="286"/>
      <c r="BS55" s="286"/>
      <c r="BT55" s="286"/>
      <c r="BU55" s="286"/>
      <c r="BV55" s="286"/>
      <c r="BW55" s="286"/>
      <c r="BX55" s="286"/>
      <c r="BY55" s="286"/>
      <c r="BZ55" s="286"/>
      <c r="CA55" s="286"/>
      <c r="CB55" s="286"/>
      <c r="CC55" s="286"/>
      <c r="CD55" s="286"/>
      <c r="CE55" s="286"/>
      <c r="CF55" s="286"/>
      <c r="CG55" s="286"/>
      <c r="CH55" s="286"/>
      <c r="CI55" s="286"/>
      <c r="CJ55" s="286"/>
      <c r="CK55" s="286"/>
      <c r="CL55" s="286"/>
      <c r="CM55" s="286"/>
      <c r="CN55" s="286"/>
      <c r="CO55" s="286"/>
      <c r="CP55" s="286"/>
      <c r="CQ55" s="286"/>
      <c r="CR55" s="286"/>
      <c r="CS55" s="286"/>
      <c r="CT55" s="286"/>
      <c r="CU55" s="286"/>
      <c r="CV55" s="286"/>
      <c r="CW55" s="286"/>
      <c r="CX55" s="286"/>
      <c r="CY55" s="286"/>
      <c r="CZ55" s="286"/>
      <c r="DA55" s="286"/>
      <c r="DB55" s="286"/>
      <c r="DC55" s="286"/>
      <c r="DD55" s="286"/>
      <c r="DE55" s="286"/>
      <c r="DF55" s="286"/>
      <c r="DG55" s="286"/>
      <c r="DH55" s="286"/>
      <c r="DI55" s="286"/>
      <c r="DJ55" s="286"/>
      <c r="DK55" s="286"/>
      <c r="DL55" s="286"/>
      <c r="DM55" s="286"/>
      <c r="DN55" s="286"/>
      <c r="DO55" s="286"/>
      <c r="DP55" s="286"/>
      <c r="DQ55" s="286"/>
      <c r="DR55" s="286"/>
      <c r="DS55" s="286"/>
      <c r="DT55" s="286"/>
      <c r="DU55" s="286"/>
      <c r="DV55" s="286"/>
      <c r="DW55" s="286"/>
      <c r="DX55" s="286"/>
      <c r="DY55" s="286"/>
      <c r="DZ55" s="286"/>
      <c r="EA55" s="286"/>
      <c r="EB55" s="286"/>
      <c r="EC55" s="286"/>
      <c r="ED55" s="286"/>
      <c r="EE55" s="286"/>
      <c r="EF55" s="286"/>
      <c r="EG55" s="286"/>
      <c r="EH55" s="286"/>
      <c r="EI55" s="286"/>
      <c r="EJ55" s="286"/>
      <c r="EK55" s="286"/>
      <c r="EL55" s="286"/>
      <c r="EM55" s="286"/>
      <c r="EN55" s="286"/>
      <c r="EO55" s="286"/>
      <c r="EP55" s="286"/>
      <c r="EQ55" s="286"/>
      <c r="ER55" s="286"/>
      <c r="ES55" s="286"/>
      <c r="ET55" s="286"/>
      <c r="EU55" s="286"/>
      <c r="EV55" s="286"/>
      <c r="EW55" s="286"/>
      <c r="EX55" s="286"/>
      <c r="EY55" s="286"/>
      <c r="EZ55" s="286"/>
      <c r="FA55" s="286"/>
      <c r="FB55" s="286"/>
      <c r="FC55" s="286"/>
      <c r="FD55" s="286"/>
      <c r="FE55" s="286"/>
      <c r="FF55" s="286"/>
      <c r="FG55" s="286"/>
      <c r="FH55" s="286"/>
      <c r="FI55" s="286"/>
      <c r="FJ55" s="286"/>
      <c r="FK55" s="286"/>
      <c r="FL55" s="286"/>
      <c r="FM55" s="286"/>
      <c r="FN55" s="286"/>
      <c r="FO55" s="286"/>
      <c r="FP55" s="286"/>
      <c r="FQ55" s="286"/>
      <c r="FR55" s="286"/>
      <c r="FS55" s="286"/>
      <c r="FT55" s="286"/>
      <c r="FU55" s="286"/>
      <c r="FV55" s="286"/>
      <c r="FW55" s="286"/>
      <c r="FX55" s="286"/>
      <c r="FY55" s="286"/>
      <c r="FZ55" s="286"/>
      <c r="GA55" s="286"/>
      <c r="GB55" s="286"/>
      <c r="GC55" s="286"/>
      <c r="GD55" s="286"/>
      <c r="GE55" s="286"/>
      <c r="GF55" s="286"/>
      <c r="GG55" s="286"/>
      <c r="GH55" s="286"/>
      <c r="GI55" s="286"/>
      <c r="GJ55" s="286"/>
      <c r="GK55" s="286"/>
      <c r="GL55" s="286"/>
      <c r="GM55" s="286"/>
      <c r="GN55" s="286"/>
      <c r="GO55" s="286"/>
      <c r="GP55" s="286"/>
      <c r="GQ55" s="286"/>
      <c r="GR55" s="286"/>
      <c r="GS55" s="286"/>
      <c r="GT55" s="286"/>
      <c r="GU55" s="286"/>
      <c r="GV55" s="286"/>
      <c r="GW55" s="286"/>
      <c r="GX55" s="286"/>
      <c r="GY55" s="286"/>
      <c r="GZ55" s="286"/>
    </row>
    <row r="56" spans="1:208" ht="30">
      <c r="A56" s="280">
        <v>14</v>
      </c>
      <c r="B56" s="315">
        <v>44655</v>
      </c>
      <c r="C56" s="280">
        <v>1053331</v>
      </c>
      <c r="D56" s="280" t="s">
        <v>4314</v>
      </c>
      <c r="E56" s="280" t="s">
        <v>4263</v>
      </c>
      <c r="F56" s="280" t="s">
        <v>4275</v>
      </c>
      <c r="G56" s="280">
        <v>3178</v>
      </c>
      <c r="H56" s="280">
        <v>28</v>
      </c>
      <c r="I56" s="280">
        <v>4502304857</v>
      </c>
      <c r="J56" s="280">
        <v>3025459</v>
      </c>
      <c r="K56" s="280">
        <v>4902242381</v>
      </c>
      <c r="L56" s="280" t="s">
        <v>4252</v>
      </c>
      <c r="M56" s="316">
        <v>13167.333333333334</v>
      </c>
      <c r="N56" s="280">
        <v>7750</v>
      </c>
      <c r="O56" s="317">
        <f t="shared" si="13"/>
        <v>102046833.33333334</v>
      </c>
      <c r="P56" s="295">
        <f t="shared" si="15"/>
        <v>2</v>
      </c>
      <c r="Q56" s="280" t="s">
        <v>3455</v>
      </c>
      <c r="R56" s="280">
        <v>1040968</v>
      </c>
      <c r="S56" s="295">
        <f t="shared" ref="S56:S57" si="16">1793900*P56</f>
        <v>3587800</v>
      </c>
      <c r="T56" s="295"/>
      <c r="U56" s="295"/>
      <c r="V56" s="295"/>
      <c r="W56" s="295"/>
      <c r="X56" s="295"/>
      <c r="Y56" s="295"/>
      <c r="Z56" s="318"/>
      <c r="AA56" s="318"/>
      <c r="AB56" s="318"/>
      <c r="AC56" s="318"/>
      <c r="AD56" s="318"/>
      <c r="AE56" s="318"/>
      <c r="AF56" s="318"/>
      <c r="AG56" s="318"/>
      <c r="AH56" s="318"/>
      <c r="AI56" s="318"/>
      <c r="AJ56" s="318"/>
      <c r="AK56" s="318"/>
      <c r="AL56" s="318"/>
      <c r="AM56" s="318"/>
      <c r="AN56" s="318"/>
      <c r="AO56" s="318"/>
      <c r="AP56" s="318"/>
      <c r="AQ56" s="318"/>
      <c r="AR56" s="318"/>
      <c r="AS56" s="318"/>
      <c r="AT56" s="318"/>
      <c r="AU56" s="318"/>
      <c r="AV56" s="318"/>
      <c r="AW56" s="318"/>
      <c r="AX56" s="318"/>
      <c r="AY56" s="318"/>
      <c r="AZ56" s="318"/>
      <c r="BA56" s="318"/>
      <c r="BB56" s="318"/>
      <c r="BC56" s="318"/>
      <c r="BD56" s="318"/>
      <c r="BE56" s="318"/>
      <c r="BF56" s="318"/>
      <c r="BG56" s="318"/>
      <c r="BH56" s="318"/>
      <c r="BI56" s="318"/>
      <c r="BJ56" s="318"/>
      <c r="BK56" s="318"/>
      <c r="BL56" s="318"/>
      <c r="BM56" s="318"/>
      <c r="BN56" s="318"/>
      <c r="BO56" s="318"/>
      <c r="BP56" s="318"/>
      <c r="BQ56" s="318"/>
      <c r="BR56" s="318"/>
      <c r="BS56" s="318"/>
      <c r="BT56" s="318"/>
      <c r="BU56" s="318"/>
      <c r="BV56" s="318"/>
      <c r="BW56" s="318"/>
      <c r="BX56" s="318"/>
      <c r="BY56" s="318"/>
      <c r="BZ56" s="318"/>
      <c r="CA56" s="318"/>
      <c r="CB56" s="318"/>
      <c r="CC56" s="318"/>
      <c r="CD56" s="318"/>
      <c r="CE56" s="318"/>
      <c r="CF56" s="318"/>
      <c r="CG56" s="318"/>
      <c r="CH56" s="318"/>
      <c r="CI56" s="318"/>
      <c r="CJ56" s="318"/>
      <c r="CK56" s="318"/>
      <c r="CL56" s="318"/>
      <c r="CM56" s="318"/>
      <c r="CN56" s="318"/>
      <c r="CO56" s="318"/>
      <c r="CP56" s="318"/>
      <c r="CQ56" s="318"/>
      <c r="CR56" s="318"/>
      <c r="CS56" s="318"/>
      <c r="CT56" s="318"/>
      <c r="CU56" s="318"/>
      <c r="CV56" s="318"/>
      <c r="CW56" s="318"/>
      <c r="CX56" s="318"/>
      <c r="CY56" s="318"/>
      <c r="CZ56" s="318"/>
      <c r="DA56" s="318"/>
      <c r="DB56" s="318"/>
      <c r="DC56" s="318"/>
      <c r="DD56" s="318"/>
      <c r="DE56" s="318"/>
      <c r="DF56" s="318"/>
      <c r="DG56" s="318"/>
      <c r="DH56" s="318"/>
      <c r="DI56" s="318"/>
      <c r="DJ56" s="318"/>
      <c r="DK56" s="318"/>
      <c r="DL56" s="318"/>
      <c r="DM56" s="318"/>
      <c r="DN56" s="318"/>
      <c r="DO56" s="318"/>
      <c r="DP56" s="318"/>
      <c r="DQ56" s="318"/>
      <c r="DR56" s="318"/>
      <c r="DS56" s="318"/>
      <c r="DT56" s="318"/>
      <c r="DU56" s="318"/>
      <c r="DV56" s="318"/>
      <c r="DW56" s="318"/>
      <c r="DX56" s="318"/>
      <c r="DY56" s="318"/>
      <c r="DZ56" s="318"/>
      <c r="EA56" s="318"/>
      <c r="EB56" s="318"/>
      <c r="EC56" s="318"/>
      <c r="ED56" s="318"/>
      <c r="EE56" s="318"/>
      <c r="EF56" s="318"/>
      <c r="EG56" s="318"/>
      <c r="EH56" s="318"/>
      <c r="EI56" s="318"/>
      <c r="EJ56" s="318"/>
      <c r="EK56" s="318"/>
      <c r="EL56" s="318"/>
      <c r="EM56" s="318"/>
      <c r="EN56" s="318"/>
      <c r="EO56" s="318"/>
      <c r="EP56" s="318"/>
      <c r="EQ56" s="318"/>
      <c r="ER56" s="318"/>
      <c r="ES56" s="318"/>
      <c r="ET56" s="318"/>
      <c r="EU56" s="318"/>
      <c r="EV56" s="318"/>
      <c r="EW56" s="318"/>
      <c r="EX56" s="318"/>
      <c r="EY56" s="318"/>
      <c r="EZ56" s="318"/>
      <c r="FA56" s="318"/>
      <c r="FB56" s="318"/>
      <c r="FC56" s="318"/>
      <c r="FD56" s="318"/>
      <c r="FE56" s="318"/>
      <c r="FF56" s="318"/>
      <c r="FG56" s="318"/>
      <c r="FH56" s="318"/>
      <c r="FI56" s="318"/>
      <c r="FJ56" s="318"/>
      <c r="FK56" s="318"/>
      <c r="FL56" s="318"/>
      <c r="FM56" s="318"/>
      <c r="FN56" s="318"/>
      <c r="FO56" s="318"/>
      <c r="FP56" s="318"/>
      <c r="FQ56" s="318"/>
      <c r="FR56" s="318"/>
      <c r="FS56" s="318"/>
      <c r="FT56" s="318"/>
      <c r="FU56" s="318"/>
      <c r="FV56" s="318"/>
      <c r="FW56" s="318"/>
      <c r="FX56" s="318"/>
      <c r="FY56" s="318"/>
      <c r="FZ56" s="318"/>
      <c r="GA56" s="318"/>
      <c r="GB56" s="318"/>
      <c r="GC56" s="318"/>
      <c r="GD56" s="318"/>
      <c r="GE56" s="318"/>
      <c r="GF56" s="318"/>
      <c r="GG56" s="318"/>
      <c r="GH56" s="318"/>
      <c r="GI56" s="318"/>
      <c r="GJ56" s="318"/>
      <c r="GK56" s="318"/>
      <c r="GL56" s="318"/>
      <c r="GM56" s="318"/>
      <c r="GN56" s="318"/>
      <c r="GO56" s="318"/>
      <c r="GP56" s="318"/>
      <c r="GQ56" s="318"/>
      <c r="GR56" s="318"/>
      <c r="GS56" s="318"/>
      <c r="GT56" s="318"/>
      <c r="GU56" s="318"/>
      <c r="GV56" s="318"/>
      <c r="GW56" s="318"/>
      <c r="GX56" s="318"/>
      <c r="GY56" s="318"/>
      <c r="GZ56" s="318"/>
    </row>
    <row r="57" spans="1:208" ht="60">
      <c r="A57" s="280">
        <v>14</v>
      </c>
      <c r="B57" s="281">
        <v>44656</v>
      </c>
      <c r="C57" s="282">
        <v>1053331</v>
      </c>
      <c r="D57" s="282" t="s">
        <v>4314</v>
      </c>
      <c r="E57" s="282" t="s">
        <v>4263</v>
      </c>
      <c r="F57" s="282" t="s">
        <v>4275</v>
      </c>
      <c r="G57" s="282">
        <v>3178</v>
      </c>
      <c r="H57" s="282">
        <v>14</v>
      </c>
      <c r="I57" s="282">
        <v>4502304857</v>
      </c>
      <c r="J57" s="282">
        <v>3025459</v>
      </c>
      <c r="K57" s="282">
        <v>4902244515</v>
      </c>
      <c r="L57" s="282" t="s">
        <v>4252</v>
      </c>
      <c r="M57" s="296">
        <v>6583.666666666667</v>
      </c>
      <c r="N57" s="282">
        <v>7750</v>
      </c>
      <c r="O57" s="284">
        <f t="shared" si="13"/>
        <v>51023416.666666672</v>
      </c>
      <c r="P57" s="285">
        <f t="shared" si="15"/>
        <v>1</v>
      </c>
      <c r="Q57" s="282" t="s">
        <v>3455</v>
      </c>
      <c r="R57" s="282">
        <v>1040968</v>
      </c>
      <c r="S57" s="285">
        <f t="shared" si="16"/>
        <v>1793900</v>
      </c>
      <c r="T57" s="282" t="s">
        <v>4315</v>
      </c>
      <c r="U57" s="285"/>
      <c r="V57" s="285"/>
      <c r="W57" s="285"/>
      <c r="X57" s="285"/>
      <c r="Y57" s="285"/>
      <c r="Z57" s="286"/>
      <c r="AA57" s="286"/>
      <c r="AB57" s="286"/>
      <c r="AC57" s="286"/>
      <c r="AD57" s="286"/>
      <c r="AE57" s="286"/>
      <c r="AF57" s="286"/>
      <c r="AG57" s="286"/>
      <c r="AH57" s="286"/>
      <c r="AI57" s="286"/>
      <c r="AJ57" s="286"/>
      <c r="AK57" s="286"/>
      <c r="AL57" s="286"/>
      <c r="AM57" s="286"/>
      <c r="AN57" s="286"/>
      <c r="AO57" s="286"/>
      <c r="AP57" s="286"/>
      <c r="AQ57" s="286"/>
      <c r="AR57" s="286"/>
      <c r="AS57" s="286"/>
      <c r="AT57" s="286"/>
      <c r="AU57" s="286"/>
      <c r="AV57" s="286"/>
      <c r="AW57" s="286"/>
      <c r="AX57" s="286"/>
      <c r="AY57" s="286"/>
      <c r="AZ57" s="286"/>
      <c r="BA57" s="286"/>
      <c r="BB57" s="286"/>
      <c r="BC57" s="286"/>
      <c r="BD57" s="286"/>
      <c r="BE57" s="286"/>
      <c r="BF57" s="286"/>
      <c r="BG57" s="286"/>
      <c r="BH57" s="286"/>
      <c r="BI57" s="286"/>
      <c r="BJ57" s="286"/>
      <c r="BK57" s="286"/>
      <c r="BL57" s="286"/>
      <c r="BM57" s="286"/>
      <c r="BN57" s="286"/>
      <c r="BO57" s="286"/>
      <c r="BP57" s="286"/>
      <c r="BQ57" s="286"/>
      <c r="BR57" s="286"/>
      <c r="BS57" s="286"/>
      <c r="BT57" s="286"/>
      <c r="BU57" s="286"/>
      <c r="BV57" s="286"/>
      <c r="BW57" s="286"/>
      <c r="BX57" s="286"/>
      <c r="BY57" s="286"/>
      <c r="BZ57" s="286"/>
      <c r="CA57" s="286"/>
      <c r="CB57" s="286"/>
      <c r="CC57" s="286"/>
      <c r="CD57" s="286"/>
      <c r="CE57" s="286"/>
      <c r="CF57" s="286"/>
      <c r="CG57" s="286"/>
      <c r="CH57" s="286"/>
      <c r="CI57" s="286"/>
      <c r="CJ57" s="286"/>
      <c r="CK57" s="286"/>
      <c r="CL57" s="286"/>
      <c r="CM57" s="286"/>
      <c r="CN57" s="286"/>
      <c r="CO57" s="286"/>
      <c r="CP57" s="286"/>
      <c r="CQ57" s="286"/>
      <c r="CR57" s="286"/>
      <c r="CS57" s="286"/>
      <c r="CT57" s="286"/>
      <c r="CU57" s="286"/>
      <c r="CV57" s="286"/>
      <c r="CW57" s="286"/>
      <c r="CX57" s="286"/>
      <c r="CY57" s="286"/>
      <c r="CZ57" s="286"/>
      <c r="DA57" s="286"/>
      <c r="DB57" s="286"/>
      <c r="DC57" s="286"/>
      <c r="DD57" s="286"/>
      <c r="DE57" s="286"/>
      <c r="DF57" s="286"/>
      <c r="DG57" s="286"/>
      <c r="DH57" s="286"/>
      <c r="DI57" s="286"/>
      <c r="DJ57" s="286"/>
      <c r="DK57" s="286"/>
      <c r="DL57" s="286"/>
      <c r="DM57" s="286"/>
      <c r="DN57" s="286"/>
      <c r="DO57" s="286"/>
      <c r="DP57" s="286"/>
      <c r="DQ57" s="286"/>
      <c r="DR57" s="286"/>
      <c r="DS57" s="286"/>
      <c r="DT57" s="286"/>
      <c r="DU57" s="286"/>
      <c r="DV57" s="286"/>
      <c r="DW57" s="286"/>
      <c r="DX57" s="286"/>
      <c r="DY57" s="286"/>
      <c r="DZ57" s="286"/>
      <c r="EA57" s="286"/>
      <c r="EB57" s="286"/>
      <c r="EC57" s="286"/>
      <c r="ED57" s="286"/>
      <c r="EE57" s="286"/>
      <c r="EF57" s="286"/>
      <c r="EG57" s="286"/>
      <c r="EH57" s="286"/>
      <c r="EI57" s="286"/>
      <c r="EJ57" s="286"/>
      <c r="EK57" s="286"/>
      <c r="EL57" s="286"/>
      <c r="EM57" s="286"/>
      <c r="EN57" s="286"/>
      <c r="EO57" s="286"/>
      <c r="EP57" s="286"/>
      <c r="EQ57" s="286"/>
      <c r="ER57" s="286"/>
      <c r="ES57" s="286"/>
      <c r="ET57" s="286"/>
      <c r="EU57" s="286"/>
      <c r="EV57" s="286"/>
      <c r="EW57" s="286"/>
      <c r="EX57" s="286"/>
      <c r="EY57" s="286"/>
      <c r="EZ57" s="286"/>
      <c r="FA57" s="286"/>
      <c r="FB57" s="286"/>
      <c r="FC57" s="286"/>
      <c r="FD57" s="286"/>
      <c r="FE57" s="286"/>
      <c r="FF57" s="286"/>
      <c r="FG57" s="286"/>
      <c r="FH57" s="286"/>
      <c r="FI57" s="286"/>
      <c r="FJ57" s="286"/>
      <c r="FK57" s="286"/>
      <c r="FL57" s="286"/>
      <c r="FM57" s="286"/>
      <c r="FN57" s="286"/>
      <c r="FO57" s="286"/>
      <c r="FP57" s="286"/>
      <c r="FQ57" s="286"/>
      <c r="FR57" s="286"/>
      <c r="FS57" s="286"/>
      <c r="FT57" s="286"/>
      <c r="FU57" s="286"/>
      <c r="FV57" s="286"/>
      <c r="FW57" s="286"/>
      <c r="FX57" s="286"/>
      <c r="FY57" s="286"/>
      <c r="FZ57" s="286"/>
      <c r="GA57" s="286"/>
      <c r="GB57" s="286"/>
      <c r="GC57" s="286"/>
      <c r="GD57" s="286"/>
      <c r="GE57" s="286"/>
      <c r="GF57" s="286"/>
      <c r="GG57" s="286"/>
      <c r="GH57" s="286"/>
      <c r="GI57" s="286"/>
      <c r="GJ57" s="286"/>
      <c r="GK57" s="286"/>
      <c r="GL57" s="286"/>
      <c r="GM57" s="286"/>
      <c r="GN57" s="286"/>
      <c r="GO57" s="286"/>
      <c r="GP57" s="286"/>
      <c r="GQ57" s="286"/>
      <c r="GR57" s="286"/>
      <c r="GS57" s="286"/>
      <c r="GT57" s="286"/>
      <c r="GU57" s="286"/>
      <c r="GV57" s="286"/>
      <c r="GW57" s="286"/>
      <c r="GX57" s="286"/>
      <c r="GY57" s="286"/>
      <c r="GZ57" s="286"/>
    </row>
    <row r="58" spans="1:208" ht="30">
      <c r="A58" s="280">
        <v>14</v>
      </c>
      <c r="B58" s="281">
        <v>44656</v>
      </c>
      <c r="C58" s="282">
        <v>1109669</v>
      </c>
      <c r="D58" s="282" t="s">
        <v>4316</v>
      </c>
      <c r="E58" s="282" t="s">
        <v>4256</v>
      </c>
      <c r="F58" s="282" t="s">
        <v>4251</v>
      </c>
      <c r="G58" s="282">
        <v>3186</v>
      </c>
      <c r="H58" s="282">
        <v>56</v>
      </c>
      <c r="I58" s="282">
        <v>4502304858</v>
      </c>
      <c r="J58" s="282">
        <v>3025457</v>
      </c>
      <c r="K58" s="282">
        <v>4902242385</v>
      </c>
      <c r="L58" s="282" t="s">
        <v>4252</v>
      </c>
      <c r="M58" s="283">
        <v>26308</v>
      </c>
      <c r="N58" s="282">
        <v>7650</v>
      </c>
      <c r="O58" s="284">
        <f t="shared" si="13"/>
        <v>201256200</v>
      </c>
      <c r="P58" s="285">
        <f t="shared" si="15"/>
        <v>4</v>
      </c>
      <c r="Q58" s="282" t="s">
        <v>3455</v>
      </c>
      <c r="R58" s="282">
        <v>1040968</v>
      </c>
      <c r="S58" s="285">
        <f>2979200*4</f>
        <v>11916800</v>
      </c>
      <c r="T58" s="285"/>
      <c r="U58" s="285"/>
      <c r="V58" s="285"/>
      <c r="W58" s="285"/>
      <c r="X58" s="285"/>
      <c r="Y58" s="285"/>
      <c r="Z58" s="286"/>
      <c r="AA58" s="286"/>
      <c r="AB58" s="286"/>
      <c r="AC58" s="286"/>
      <c r="AD58" s="286"/>
      <c r="AE58" s="286"/>
      <c r="AF58" s="286"/>
      <c r="AG58" s="286"/>
      <c r="AH58" s="286"/>
      <c r="AI58" s="286"/>
      <c r="AJ58" s="286"/>
      <c r="AK58" s="286"/>
      <c r="AL58" s="286"/>
      <c r="AM58" s="286"/>
      <c r="AN58" s="286"/>
      <c r="AO58" s="286"/>
      <c r="AP58" s="286"/>
      <c r="AQ58" s="286"/>
      <c r="AR58" s="286"/>
      <c r="AS58" s="286"/>
      <c r="AT58" s="286"/>
      <c r="AU58" s="286"/>
      <c r="AV58" s="286"/>
      <c r="AW58" s="286"/>
      <c r="AX58" s="286"/>
      <c r="AY58" s="286"/>
      <c r="AZ58" s="286"/>
      <c r="BA58" s="286"/>
      <c r="BB58" s="286"/>
      <c r="BC58" s="286"/>
      <c r="BD58" s="286"/>
      <c r="BE58" s="286"/>
      <c r="BF58" s="286"/>
      <c r="BG58" s="286"/>
      <c r="BH58" s="286"/>
      <c r="BI58" s="286"/>
      <c r="BJ58" s="286"/>
      <c r="BK58" s="286"/>
      <c r="BL58" s="286"/>
      <c r="BM58" s="286"/>
      <c r="BN58" s="286"/>
      <c r="BO58" s="286"/>
      <c r="BP58" s="286"/>
      <c r="BQ58" s="286"/>
      <c r="BR58" s="286"/>
      <c r="BS58" s="286"/>
      <c r="BT58" s="286"/>
      <c r="BU58" s="286"/>
      <c r="BV58" s="286"/>
      <c r="BW58" s="286"/>
      <c r="BX58" s="286"/>
      <c r="BY58" s="286"/>
      <c r="BZ58" s="286"/>
      <c r="CA58" s="286"/>
      <c r="CB58" s="286"/>
      <c r="CC58" s="286"/>
      <c r="CD58" s="286"/>
      <c r="CE58" s="286"/>
      <c r="CF58" s="286"/>
      <c r="CG58" s="286"/>
      <c r="CH58" s="286"/>
      <c r="CI58" s="286"/>
      <c r="CJ58" s="286"/>
      <c r="CK58" s="286"/>
      <c r="CL58" s="286"/>
      <c r="CM58" s="286"/>
      <c r="CN58" s="286"/>
      <c r="CO58" s="286"/>
      <c r="CP58" s="286"/>
      <c r="CQ58" s="286"/>
      <c r="CR58" s="286"/>
      <c r="CS58" s="286"/>
      <c r="CT58" s="286"/>
      <c r="CU58" s="286"/>
      <c r="CV58" s="286"/>
      <c r="CW58" s="286"/>
      <c r="CX58" s="286"/>
      <c r="CY58" s="286"/>
      <c r="CZ58" s="286"/>
      <c r="DA58" s="286"/>
      <c r="DB58" s="286"/>
      <c r="DC58" s="286"/>
      <c r="DD58" s="286"/>
      <c r="DE58" s="286"/>
      <c r="DF58" s="286"/>
      <c r="DG58" s="286"/>
      <c r="DH58" s="286"/>
      <c r="DI58" s="286"/>
      <c r="DJ58" s="286"/>
      <c r="DK58" s="286"/>
      <c r="DL58" s="286"/>
      <c r="DM58" s="286"/>
      <c r="DN58" s="286"/>
      <c r="DO58" s="286"/>
      <c r="DP58" s="286"/>
      <c r="DQ58" s="286"/>
      <c r="DR58" s="286"/>
      <c r="DS58" s="286"/>
      <c r="DT58" s="286"/>
      <c r="DU58" s="286"/>
      <c r="DV58" s="286"/>
      <c r="DW58" s="286"/>
      <c r="DX58" s="286"/>
      <c r="DY58" s="286"/>
      <c r="DZ58" s="286"/>
      <c r="EA58" s="286"/>
      <c r="EB58" s="286"/>
      <c r="EC58" s="286"/>
      <c r="ED58" s="286"/>
      <c r="EE58" s="286"/>
      <c r="EF58" s="286"/>
      <c r="EG58" s="286"/>
      <c r="EH58" s="286"/>
      <c r="EI58" s="286"/>
      <c r="EJ58" s="286"/>
      <c r="EK58" s="286"/>
      <c r="EL58" s="286"/>
      <c r="EM58" s="286"/>
      <c r="EN58" s="286"/>
      <c r="EO58" s="286"/>
      <c r="EP58" s="286"/>
      <c r="EQ58" s="286"/>
      <c r="ER58" s="286"/>
      <c r="ES58" s="286"/>
      <c r="ET58" s="286"/>
      <c r="EU58" s="286"/>
      <c r="EV58" s="286"/>
      <c r="EW58" s="286"/>
      <c r="EX58" s="286"/>
      <c r="EY58" s="286"/>
      <c r="EZ58" s="286"/>
      <c r="FA58" s="286"/>
      <c r="FB58" s="286"/>
      <c r="FC58" s="286"/>
      <c r="FD58" s="286"/>
      <c r="FE58" s="286"/>
      <c r="FF58" s="286"/>
      <c r="FG58" s="286"/>
      <c r="FH58" s="286"/>
      <c r="FI58" s="286"/>
      <c r="FJ58" s="286"/>
      <c r="FK58" s="286"/>
      <c r="FL58" s="286"/>
      <c r="FM58" s="286"/>
      <c r="FN58" s="286"/>
      <c r="FO58" s="286"/>
      <c r="FP58" s="286"/>
      <c r="FQ58" s="286"/>
      <c r="FR58" s="286"/>
      <c r="FS58" s="286"/>
      <c r="FT58" s="286"/>
      <c r="FU58" s="286"/>
      <c r="FV58" s="286"/>
      <c r="FW58" s="286"/>
      <c r="FX58" s="286"/>
      <c r="FY58" s="286"/>
      <c r="FZ58" s="286"/>
      <c r="GA58" s="286"/>
      <c r="GB58" s="286"/>
      <c r="GC58" s="286"/>
      <c r="GD58" s="286"/>
      <c r="GE58" s="286"/>
      <c r="GF58" s="286"/>
      <c r="GG58" s="286"/>
      <c r="GH58" s="286"/>
      <c r="GI58" s="286"/>
      <c r="GJ58" s="286"/>
      <c r="GK58" s="286"/>
      <c r="GL58" s="286"/>
      <c r="GM58" s="286"/>
      <c r="GN58" s="286"/>
      <c r="GO58" s="286"/>
      <c r="GP58" s="286"/>
      <c r="GQ58" s="286"/>
      <c r="GR58" s="286"/>
      <c r="GS58" s="286"/>
      <c r="GT58" s="286"/>
      <c r="GU58" s="286"/>
      <c r="GV58" s="286"/>
      <c r="GW58" s="286"/>
      <c r="GX58" s="286"/>
      <c r="GY58" s="286"/>
      <c r="GZ58" s="286"/>
    </row>
    <row r="59" spans="1:208" ht="30">
      <c r="A59" s="280">
        <v>14</v>
      </c>
      <c r="B59" s="281">
        <v>44656</v>
      </c>
      <c r="C59" s="282">
        <v>1093247</v>
      </c>
      <c r="D59" s="282" t="s">
        <v>4317</v>
      </c>
      <c r="E59" s="282" t="s">
        <v>4270</v>
      </c>
      <c r="F59" s="282" t="s">
        <v>4275</v>
      </c>
      <c r="G59" s="282">
        <v>3190</v>
      </c>
      <c r="H59" s="282">
        <v>42</v>
      </c>
      <c r="I59" s="282">
        <v>4502304860</v>
      </c>
      <c r="J59" s="282">
        <v>3025459</v>
      </c>
      <c r="K59" s="282">
        <v>4902242388</v>
      </c>
      <c r="L59" s="282" t="s">
        <v>4252</v>
      </c>
      <c r="M59" s="283">
        <v>20227</v>
      </c>
      <c r="N59" s="282">
        <v>7900</v>
      </c>
      <c r="O59" s="284">
        <f t="shared" si="13"/>
        <v>159793300</v>
      </c>
      <c r="P59" s="285">
        <f t="shared" si="15"/>
        <v>3</v>
      </c>
      <c r="Q59" s="282" t="s">
        <v>3455</v>
      </c>
      <c r="R59" s="282">
        <v>1040968</v>
      </c>
      <c r="S59" s="285">
        <f>1793900*3</f>
        <v>5381700</v>
      </c>
      <c r="T59" s="285"/>
      <c r="U59" s="285"/>
      <c r="V59" s="285"/>
      <c r="W59" s="285"/>
      <c r="X59" s="285"/>
      <c r="Y59" s="285"/>
      <c r="Z59" s="286"/>
      <c r="AA59" s="286"/>
      <c r="AB59" s="286"/>
      <c r="AC59" s="286"/>
      <c r="AD59" s="286"/>
      <c r="AE59" s="286"/>
      <c r="AF59" s="286"/>
      <c r="AG59" s="286"/>
      <c r="AH59" s="286"/>
      <c r="AI59" s="286"/>
      <c r="AJ59" s="286"/>
      <c r="AK59" s="286"/>
      <c r="AL59" s="286"/>
      <c r="AM59" s="286"/>
      <c r="AN59" s="286"/>
      <c r="AO59" s="286"/>
      <c r="AP59" s="286"/>
      <c r="AQ59" s="286"/>
      <c r="AR59" s="286"/>
      <c r="AS59" s="286"/>
      <c r="AT59" s="286"/>
      <c r="AU59" s="286"/>
      <c r="AV59" s="286"/>
      <c r="AW59" s="286"/>
      <c r="AX59" s="286"/>
      <c r="AY59" s="286"/>
      <c r="AZ59" s="286"/>
      <c r="BA59" s="286"/>
      <c r="BB59" s="286"/>
      <c r="BC59" s="286"/>
      <c r="BD59" s="286"/>
      <c r="BE59" s="286"/>
      <c r="BF59" s="286"/>
      <c r="BG59" s="286"/>
      <c r="BH59" s="286"/>
      <c r="BI59" s="286"/>
      <c r="BJ59" s="286"/>
      <c r="BK59" s="286"/>
      <c r="BL59" s="286"/>
      <c r="BM59" s="286"/>
      <c r="BN59" s="286"/>
      <c r="BO59" s="286"/>
      <c r="BP59" s="286"/>
      <c r="BQ59" s="286"/>
      <c r="BR59" s="286"/>
      <c r="BS59" s="286"/>
      <c r="BT59" s="286"/>
      <c r="BU59" s="286"/>
      <c r="BV59" s="286"/>
      <c r="BW59" s="286"/>
      <c r="BX59" s="286"/>
      <c r="BY59" s="286"/>
      <c r="BZ59" s="286"/>
      <c r="CA59" s="286"/>
      <c r="CB59" s="286"/>
      <c r="CC59" s="286"/>
      <c r="CD59" s="286"/>
      <c r="CE59" s="286"/>
      <c r="CF59" s="286"/>
      <c r="CG59" s="286"/>
      <c r="CH59" s="286"/>
      <c r="CI59" s="286"/>
      <c r="CJ59" s="286"/>
      <c r="CK59" s="286"/>
      <c r="CL59" s="286"/>
      <c r="CM59" s="286"/>
      <c r="CN59" s="286"/>
      <c r="CO59" s="286"/>
      <c r="CP59" s="286"/>
      <c r="CQ59" s="286"/>
      <c r="CR59" s="286"/>
      <c r="CS59" s="286"/>
      <c r="CT59" s="286"/>
      <c r="CU59" s="286"/>
      <c r="CV59" s="286"/>
      <c r="CW59" s="286"/>
      <c r="CX59" s="286"/>
      <c r="CY59" s="286"/>
      <c r="CZ59" s="286"/>
      <c r="DA59" s="286"/>
      <c r="DB59" s="286"/>
      <c r="DC59" s="286"/>
      <c r="DD59" s="286"/>
      <c r="DE59" s="286"/>
      <c r="DF59" s="286"/>
      <c r="DG59" s="286"/>
      <c r="DH59" s="286"/>
      <c r="DI59" s="286"/>
      <c r="DJ59" s="286"/>
      <c r="DK59" s="286"/>
      <c r="DL59" s="286"/>
      <c r="DM59" s="286"/>
      <c r="DN59" s="286"/>
      <c r="DO59" s="286"/>
      <c r="DP59" s="286"/>
      <c r="DQ59" s="286"/>
      <c r="DR59" s="286"/>
      <c r="DS59" s="286"/>
      <c r="DT59" s="286"/>
      <c r="DU59" s="286"/>
      <c r="DV59" s="286"/>
      <c r="DW59" s="286"/>
      <c r="DX59" s="286"/>
      <c r="DY59" s="286"/>
      <c r="DZ59" s="286"/>
      <c r="EA59" s="286"/>
      <c r="EB59" s="286"/>
      <c r="EC59" s="286"/>
      <c r="ED59" s="286"/>
      <c r="EE59" s="286"/>
      <c r="EF59" s="286"/>
      <c r="EG59" s="286"/>
      <c r="EH59" s="286"/>
      <c r="EI59" s="286"/>
      <c r="EJ59" s="286"/>
      <c r="EK59" s="286"/>
      <c r="EL59" s="286"/>
      <c r="EM59" s="286"/>
      <c r="EN59" s="286"/>
      <c r="EO59" s="286"/>
      <c r="EP59" s="286"/>
      <c r="EQ59" s="286"/>
      <c r="ER59" s="286"/>
      <c r="ES59" s="286"/>
      <c r="ET59" s="286"/>
      <c r="EU59" s="286"/>
      <c r="EV59" s="286"/>
      <c r="EW59" s="286"/>
      <c r="EX59" s="286"/>
      <c r="EY59" s="286"/>
      <c r="EZ59" s="286"/>
      <c r="FA59" s="286"/>
      <c r="FB59" s="286"/>
      <c r="FC59" s="286"/>
      <c r="FD59" s="286"/>
      <c r="FE59" s="286"/>
      <c r="FF59" s="286"/>
      <c r="FG59" s="286"/>
      <c r="FH59" s="286"/>
      <c r="FI59" s="286"/>
      <c r="FJ59" s="286"/>
      <c r="FK59" s="286"/>
      <c r="FL59" s="286"/>
      <c r="FM59" s="286"/>
      <c r="FN59" s="286"/>
      <c r="FO59" s="286"/>
      <c r="FP59" s="286"/>
      <c r="FQ59" s="286"/>
      <c r="FR59" s="286"/>
      <c r="FS59" s="286"/>
      <c r="FT59" s="286"/>
      <c r="FU59" s="286"/>
      <c r="FV59" s="286"/>
      <c r="FW59" s="286"/>
      <c r="FX59" s="286"/>
      <c r="FY59" s="286"/>
      <c r="FZ59" s="286"/>
      <c r="GA59" s="286"/>
      <c r="GB59" s="286"/>
      <c r="GC59" s="286"/>
      <c r="GD59" s="286"/>
      <c r="GE59" s="286"/>
      <c r="GF59" s="286"/>
      <c r="GG59" s="286"/>
      <c r="GH59" s="286"/>
      <c r="GI59" s="286"/>
      <c r="GJ59" s="286"/>
      <c r="GK59" s="286"/>
      <c r="GL59" s="286"/>
      <c r="GM59" s="286"/>
      <c r="GN59" s="286"/>
      <c r="GO59" s="286"/>
      <c r="GP59" s="286"/>
      <c r="GQ59" s="286"/>
      <c r="GR59" s="286"/>
      <c r="GS59" s="286"/>
      <c r="GT59" s="286"/>
      <c r="GU59" s="286"/>
      <c r="GV59" s="286"/>
      <c r="GW59" s="286"/>
      <c r="GX59" s="286"/>
      <c r="GY59" s="286"/>
      <c r="GZ59" s="286"/>
    </row>
    <row r="60" spans="1:208" ht="45">
      <c r="A60" s="280">
        <v>14</v>
      </c>
      <c r="B60" s="281">
        <v>44656</v>
      </c>
      <c r="C60" s="282">
        <v>1003085</v>
      </c>
      <c r="D60" s="282" t="s">
        <v>4318</v>
      </c>
      <c r="E60" s="282" t="s">
        <v>4319</v>
      </c>
      <c r="F60" s="282" t="s">
        <v>4264</v>
      </c>
      <c r="G60" s="282" t="s">
        <v>4320</v>
      </c>
      <c r="H60" s="282">
        <v>28</v>
      </c>
      <c r="I60" s="282">
        <v>4502304752</v>
      </c>
      <c r="J60" s="282">
        <v>3025460</v>
      </c>
      <c r="K60" s="282" t="s">
        <v>4320</v>
      </c>
      <c r="L60" s="282" t="s">
        <v>4320</v>
      </c>
      <c r="M60" s="283">
        <v>13588</v>
      </c>
      <c r="N60" s="282">
        <v>7800</v>
      </c>
      <c r="O60" s="284">
        <f t="shared" si="13"/>
        <v>105986400</v>
      </c>
      <c r="P60" s="285">
        <f t="shared" si="15"/>
        <v>2</v>
      </c>
      <c r="Q60" s="282" t="s">
        <v>3455</v>
      </c>
      <c r="R60" s="282">
        <v>1040968</v>
      </c>
      <c r="S60" s="282">
        <v>3587800</v>
      </c>
      <c r="T60" s="282" t="s">
        <v>4321</v>
      </c>
      <c r="U60" s="285"/>
      <c r="V60" s="285"/>
      <c r="W60" s="285"/>
      <c r="X60" s="285"/>
      <c r="Y60" s="285"/>
      <c r="Z60" s="286"/>
      <c r="AA60" s="286"/>
      <c r="AB60" s="286"/>
      <c r="AC60" s="286"/>
      <c r="AD60" s="286"/>
      <c r="AE60" s="286"/>
      <c r="AF60" s="286"/>
      <c r="AG60" s="286"/>
      <c r="AH60" s="286"/>
      <c r="AI60" s="286"/>
      <c r="AJ60" s="286"/>
      <c r="AK60" s="286"/>
      <c r="AL60" s="286"/>
      <c r="AM60" s="286"/>
      <c r="AN60" s="286"/>
      <c r="AO60" s="286"/>
      <c r="AP60" s="286"/>
      <c r="AQ60" s="286"/>
      <c r="AR60" s="286"/>
      <c r="AS60" s="286"/>
      <c r="AT60" s="286"/>
      <c r="AU60" s="286"/>
      <c r="AV60" s="286"/>
      <c r="AW60" s="286"/>
      <c r="AX60" s="286"/>
      <c r="AY60" s="286"/>
      <c r="AZ60" s="286"/>
      <c r="BA60" s="286"/>
      <c r="BB60" s="286"/>
      <c r="BC60" s="286"/>
      <c r="BD60" s="286"/>
      <c r="BE60" s="286"/>
      <c r="BF60" s="286"/>
      <c r="BG60" s="286"/>
      <c r="BH60" s="286"/>
      <c r="BI60" s="286"/>
      <c r="BJ60" s="286"/>
      <c r="BK60" s="286"/>
      <c r="BL60" s="286"/>
      <c r="BM60" s="286"/>
      <c r="BN60" s="286"/>
      <c r="BO60" s="286"/>
      <c r="BP60" s="286"/>
      <c r="BQ60" s="286"/>
      <c r="BR60" s="286"/>
      <c r="BS60" s="286"/>
      <c r="BT60" s="286"/>
      <c r="BU60" s="286"/>
      <c r="BV60" s="286"/>
      <c r="BW60" s="286"/>
      <c r="BX60" s="286"/>
      <c r="BY60" s="286"/>
      <c r="BZ60" s="286"/>
      <c r="CA60" s="286"/>
      <c r="CB60" s="286"/>
      <c r="CC60" s="286"/>
      <c r="CD60" s="286"/>
      <c r="CE60" s="286"/>
      <c r="CF60" s="286"/>
      <c r="CG60" s="286"/>
      <c r="CH60" s="286"/>
      <c r="CI60" s="286"/>
      <c r="CJ60" s="286"/>
      <c r="CK60" s="286"/>
      <c r="CL60" s="286"/>
      <c r="CM60" s="286"/>
      <c r="CN60" s="286"/>
      <c r="CO60" s="286"/>
      <c r="CP60" s="286"/>
      <c r="CQ60" s="286"/>
      <c r="CR60" s="286"/>
      <c r="CS60" s="286"/>
      <c r="CT60" s="286"/>
      <c r="CU60" s="286"/>
      <c r="CV60" s="286"/>
      <c r="CW60" s="286"/>
      <c r="CX60" s="286"/>
      <c r="CY60" s="286"/>
      <c r="CZ60" s="286"/>
      <c r="DA60" s="286"/>
      <c r="DB60" s="286"/>
      <c r="DC60" s="286"/>
      <c r="DD60" s="286"/>
      <c r="DE60" s="286"/>
      <c r="DF60" s="286"/>
      <c r="DG60" s="286"/>
      <c r="DH60" s="286"/>
      <c r="DI60" s="286"/>
      <c r="DJ60" s="286"/>
      <c r="DK60" s="286"/>
      <c r="DL60" s="286"/>
      <c r="DM60" s="286"/>
      <c r="DN60" s="286"/>
      <c r="DO60" s="286"/>
      <c r="DP60" s="286"/>
      <c r="DQ60" s="286"/>
      <c r="DR60" s="286"/>
      <c r="DS60" s="286"/>
      <c r="DT60" s="286"/>
      <c r="DU60" s="286"/>
      <c r="DV60" s="286"/>
      <c r="DW60" s="286"/>
      <c r="DX60" s="286"/>
      <c r="DY60" s="286"/>
      <c r="DZ60" s="286"/>
      <c r="EA60" s="286"/>
      <c r="EB60" s="286"/>
      <c r="EC60" s="286"/>
      <c r="ED60" s="286"/>
      <c r="EE60" s="286"/>
      <c r="EF60" s="286"/>
      <c r="EG60" s="286"/>
      <c r="EH60" s="286"/>
      <c r="EI60" s="286"/>
      <c r="EJ60" s="286"/>
      <c r="EK60" s="286"/>
      <c r="EL60" s="286"/>
      <c r="EM60" s="286"/>
      <c r="EN60" s="286"/>
      <c r="EO60" s="286"/>
      <c r="EP60" s="286"/>
      <c r="EQ60" s="286"/>
      <c r="ER60" s="286"/>
      <c r="ES60" s="286"/>
      <c r="ET60" s="286"/>
      <c r="EU60" s="286"/>
      <c r="EV60" s="286"/>
      <c r="EW60" s="286"/>
      <c r="EX60" s="286"/>
      <c r="EY60" s="286"/>
      <c r="EZ60" s="286"/>
      <c r="FA60" s="286"/>
      <c r="FB60" s="286"/>
      <c r="FC60" s="286"/>
      <c r="FD60" s="286"/>
      <c r="FE60" s="286"/>
      <c r="FF60" s="286"/>
      <c r="FG60" s="286"/>
      <c r="FH60" s="286"/>
      <c r="FI60" s="286"/>
      <c r="FJ60" s="286"/>
      <c r="FK60" s="286"/>
      <c r="FL60" s="286"/>
      <c r="FM60" s="286"/>
      <c r="FN60" s="286"/>
      <c r="FO60" s="286"/>
      <c r="FP60" s="286"/>
      <c r="FQ60" s="286"/>
      <c r="FR60" s="286"/>
      <c r="FS60" s="286"/>
      <c r="FT60" s="286"/>
      <c r="FU60" s="286"/>
      <c r="FV60" s="286"/>
      <c r="FW60" s="286"/>
      <c r="FX60" s="286"/>
      <c r="FY60" s="286"/>
      <c r="FZ60" s="286"/>
      <c r="GA60" s="286"/>
      <c r="GB60" s="286"/>
      <c r="GC60" s="286"/>
      <c r="GD60" s="286"/>
      <c r="GE60" s="286"/>
      <c r="GF60" s="286"/>
      <c r="GG60" s="286"/>
      <c r="GH60" s="286"/>
      <c r="GI60" s="286"/>
      <c r="GJ60" s="286"/>
      <c r="GK60" s="286"/>
      <c r="GL60" s="286"/>
      <c r="GM60" s="286"/>
      <c r="GN60" s="286"/>
      <c r="GO60" s="286"/>
      <c r="GP60" s="286"/>
      <c r="GQ60" s="286"/>
      <c r="GR60" s="286"/>
      <c r="GS60" s="286"/>
      <c r="GT60" s="286"/>
      <c r="GU60" s="286"/>
      <c r="GV60" s="286"/>
      <c r="GW60" s="286"/>
      <c r="GX60" s="286"/>
      <c r="GY60" s="286"/>
      <c r="GZ60" s="286"/>
    </row>
    <row r="61" spans="1:208" ht="30">
      <c r="A61" s="302">
        <v>15</v>
      </c>
      <c r="B61" s="303">
        <v>44663</v>
      </c>
      <c r="C61" s="304">
        <v>1106184</v>
      </c>
      <c r="D61" s="304" t="s">
        <v>4322</v>
      </c>
      <c r="E61" s="304" t="s">
        <v>4250</v>
      </c>
      <c r="F61" s="304" t="s">
        <v>4275</v>
      </c>
      <c r="G61" s="304">
        <v>3185</v>
      </c>
      <c r="H61" s="304">
        <v>42</v>
      </c>
      <c r="I61" s="304">
        <v>4502311143</v>
      </c>
      <c r="J61" s="304">
        <v>3025459</v>
      </c>
      <c r="K61" s="304">
        <v>4902246344</v>
      </c>
      <c r="L61" s="304" t="s">
        <v>4252</v>
      </c>
      <c r="M61" s="309">
        <v>20487.5</v>
      </c>
      <c r="N61" s="304">
        <v>7650</v>
      </c>
      <c r="O61" s="306">
        <f t="shared" si="13"/>
        <v>156729375</v>
      </c>
      <c r="P61" s="307">
        <f t="shared" si="15"/>
        <v>3</v>
      </c>
      <c r="Q61" s="304" t="s">
        <v>3455</v>
      </c>
      <c r="R61" s="304">
        <v>1040968</v>
      </c>
      <c r="S61" s="311">
        <f>2979200*3</f>
        <v>8937600</v>
      </c>
      <c r="T61" s="307"/>
      <c r="U61" s="307"/>
      <c r="V61" s="307"/>
      <c r="W61" s="307"/>
      <c r="X61" s="307"/>
      <c r="Y61" s="307"/>
      <c r="Z61" s="308"/>
      <c r="AA61" s="308"/>
      <c r="AB61" s="308"/>
      <c r="AC61" s="308"/>
      <c r="AD61" s="308"/>
      <c r="AE61" s="308"/>
      <c r="AF61" s="308"/>
      <c r="AG61" s="308"/>
      <c r="AH61" s="308"/>
      <c r="AI61" s="308"/>
      <c r="AJ61" s="308"/>
      <c r="AK61" s="308"/>
      <c r="AL61" s="308"/>
      <c r="AM61" s="308"/>
      <c r="AN61" s="308"/>
      <c r="AO61" s="308"/>
      <c r="AP61" s="308"/>
      <c r="AQ61" s="308"/>
      <c r="AR61" s="308"/>
      <c r="AS61" s="308"/>
      <c r="AT61" s="308"/>
      <c r="AU61" s="308"/>
      <c r="AV61" s="308"/>
      <c r="AW61" s="308"/>
      <c r="AX61" s="308"/>
      <c r="AY61" s="308"/>
      <c r="AZ61" s="308"/>
      <c r="BA61" s="308"/>
      <c r="BB61" s="308"/>
      <c r="BC61" s="308"/>
      <c r="BD61" s="308"/>
      <c r="BE61" s="308"/>
      <c r="BF61" s="308"/>
      <c r="BG61" s="308"/>
      <c r="BH61" s="308"/>
      <c r="BI61" s="308"/>
      <c r="BJ61" s="308"/>
      <c r="BK61" s="308"/>
      <c r="BL61" s="308"/>
      <c r="BM61" s="308"/>
      <c r="BN61" s="308"/>
      <c r="BO61" s="308"/>
      <c r="BP61" s="308"/>
      <c r="BQ61" s="308"/>
      <c r="BR61" s="308"/>
      <c r="BS61" s="308"/>
      <c r="BT61" s="308"/>
      <c r="BU61" s="308"/>
      <c r="BV61" s="308"/>
      <c r="BW61" s="308"/>
      <c r="BX61" s="308"/>
      <c r="BY61" s="308"/>
      <c r="BZ61" s="308"/>
      <c r="CA61" s="308"/>
      <c r="CB61" s="308"/>
      <c r="CC61" s="308"/>
      <c r="CD61" s="308"/>
      <c r="CE61" s="308"/>
      <c r="CF61" s="308"/>
      <c r="CG61" s="308"/>
      <c r="CH61" s="308"/>
      <c r="CI61" s="308"/>
      <c r="CJ61" s="308"/>
      <c r="CK61" s="308"/>
      <c r="CL61" s="308"/>
      <c r="CM61" s="308"/>
      <c r="CN61" s="308"/>
      <c r="CO61" s="308"/>
      <c r="CP61" s="308"/>
      <c r="CQ61" s="308"/>
      <c r="CR61" s="308"/>
      <c r="CS61" s="308"/>
      <c r="CT61" s="308"/>
      <c r="CU61" s="308"/>
      <c r="CV61" s="308"/>
      <c r="CW61" s="308"/>
      <c r="CX61" s="308"/>
      <c r="CY61" s="308"/>
      <c r="CZ61" s="308"/>
      <c r="DA61" s="308"/>
      <c r="DB61" s="308"/>
      <c r="DC61" s="308"/>
      <c r="DD61" s="308"/>
      <c r="DE61" s="308"/>
      <c r="DF61" s="308"/>
      <c r="DG61" s="308"/>
      <c r="DH61" s="308"/>
      <c r="DI61" s="308"/>
      <c r="DJ61" s="308"/>
      <c r="DK61" s="308"/>
      <c r="DL61" s="308"/>
      <c r="DM61" s="308"/>
      <c r="DN61" s="308"/>
      <c r="DO61" s="308"/>
      <c r="DP61" s="308"/>
      <c r="DQ61" s="308"/>
      <c r="DR61" s="308"/>
      <c r="DS61" s="308"/>
      <c r="DT61" s="308"/>
      <c r="DU61" s="308"/>
      <c r="DV61" s="308"/>
      <c r="DW61" s="308"/>
      <c r="DX61" s="308"/>
      <c r="DY61" s="308"/>
      <c r="DZ61" s="308"/>
      <c r="EA61" s="308"/>
      <c r="EB61" s="308"/>
      <c r="EC61" s="308"/>
      <c r="ED61" s="308"/>
      <c r="EE61" s="308"/>
      <c r="EF61" s="308"/>
      <c r="EG61" s="308"/>
      <c r="EH61" s="308"/>
      <c r="EI61" s="308"/>
      <c r="EJ61" s="308"/>
      <c r="EK61" s="308"/>
      <c r="EL61" s="308"/>
      <c r="EM61" s="308"/>
      <c r="EN61" s="308"/>
      <c r="EO61" s="308"/>
      <c r="EP61" s="308"/>
      <c r="EQ61" s="308"/>
      <c r="ER61" s="308"/>
      <c r="ES61" s="308"/>
      <c r="ET61" s="308"/>
      <c r="EU61" s="308"/>
      <c r="EV61" s="308"/>
      <c r="EW61" s="308"/>
      <c r="EX61" s="308"/>
      <c r="EY61" s="308"/>
      <c r="EZ61" s="308"/>
      <c r="FA61" s="308"/>
      <c r="FB61" s="308"/>
      <c r="FC61" s="308"/>
      <c r="FD61" s="308"/>
      <c r="FE61" s="308"/>
      <c r="FF61" s="308"/>
      <c r="FG61" s="308"/>
      <c r="FH61" s="308"/>
      <c r="FI61" s="308"/>
      <c r="FJ61" s="308"/>
      <c r="FK61" s="308"/>
      <c r="FL61" s="308"/>
      <c r="FM61" s="308"/>
      <c r="FN61" s="308"/>
      <c r="FO61" s="308"/>
      <c r="FP61" s="308"/>
      <c r="FQ61" s="308"/>
      <c r="FR61" s="308"/>
      <c r="FS61" s="308"/>
      <c r="FT61" s="308"/>
      <c r="FU61" s="308"/>
      <c r="FV61" s="308"/>
      <c r="FW61" s="308"/>
      <c r="FX61" s="308"/>
      <c r="FY61" s="308"/>
      <c r="FZ61" s="308"/>
      <c r="GA61" s="308"/>
      <c r="GB61" s="308"/>
      <c r="GC61" s="308"/>
      <c r="GD61" s="308"/>
      <c r="GE61" s="308"/>
      <c r="GF61" s="308"/>
      <c r="GG61" s="308"/>
      <c r="GH61" s="308"/>
      <c r="GI61" s="308"/>
      <c r="GJ61" s="308"/>
      <c r="GK61" s="308"/>
      <c r="GL61" s="308"/>
      <c r="GM61" s="308"/>
      <c r="GN61" s="308"/>
      <c r="GO61" s="308"/>
      <c r="GP61" s="308"/>
      <c r="GQ61" s="308"/>
      <c r="GR61" s="308"/>
      <c r="GS61" s="308"/>
      <c r="GT61" s="308"/>
      <c r="GU61" s="308"/>
      <c r="GV61" s="308"/>
      <c r="GW61" s="308"/>
      <c r="GX61" s="308"/>
      <c r="GY61" s="308"/>
      <c r="GZ61" s="308"/>
    </row>
    <row r="62" spans="1:208" ht="30">
      <c r="A62" s="302">
        <v>15</v>
      </c>
      <c r="B62" s="303">
        <v>44664</v>
      </c>
      <c r="C62" s="304">
        <v>1106184</v>
      </c>
      <c r="D62" s="304" t="s">
        <v>4323</v>
      </c>
      <c r="E62" s="304" t="s">
        <v>4250</v>
      </c>
      <c r="F62" s="304" t="s">
        <v>4264</v>
      </c>
      <c r="G62" s="304">
        <v>3185</v>
      </c>
      <c r="H62" s="304">
        <v>42</v>
      </c>
      <c r="I62" s="304">
        <v>4502311143</v>
      </c>
      <c r="J62" s="304">
        <v>3025460</v>
      </c>
      <c r="K62" s="304">
        <v>4902246355</v>
      </c>
      <c r="L62" s="304" t="s">
        <v>4252</v>
      </c>
      <c r="M62" s="309">
        <v>20487.5</v>
      </c>
      <c r="N62" s="304">
        <v>7650</v>
      </c>
      <c r="O62" s="306">
        <f t="shared" si="13"/>
        <v>156729375</v>
      </c>
      <c r="P62" s="307">
        <f t="shared" si="15"/>
        <v>3</v>
      </c>
      <c r="Q62" s="304" t="s">
        <v>3455</v>
      </c>
      <c r="R62" s="304">
        <v>1040968</v>
      </c>
      <c r="S62" s="307">
        <f>3062400*3</f>
        <v>9187200</v>
      </c>
      <c r="T62" s="307"/>
      <c r="U62" s="307"/>
      <c r="V62" s="307"/>
      <c r="W62" s="307"/>
      <c r="X62" s="307"/>
      <c r="Y62" s="307"/>
      <c r="Z62" s="308"/>
      <c r="AA62" s="308"/>
      <c r="AB62" s="308"/>
      <c r="AC62" s="308"/>
      <c r="AD62" s="308"/>
      <c r="AE62" s="308"/>
      <c r="AF62" s="308"/>
      <c r="AG62" s="308"/>
      <c r="AH62" s="308"/>
      <c r="AI62" s="308"/>
      <c r="AJ62" s="308"/>
      <c r="AK62" s="308"/>
      <c r="AL62" s="308"/>
      <c r="AM62" s="308"/>
      <c r="AN62" s="308"/>
      <c r="AO62" s="308"/>
      <c r="AP62" s="308"/>
      <c r="AQ62" s="308"/>
      <c r="AR62" s="308"/>
      <c r="AS62" s="308"/>
      <c r="AT62" s="308"/>
      <c r="AU62" s="308"/>
      <c r="AV62" s="308"/>
      <c r="AW62" s="308"/>
      <c r="AX62" s="308"/>
      <c r="AY62" s="308"/>
      <c r="AZ62" s="308"/>
      <c r="BA62" s="308"/>
      <c r="BB62" s="308"/>
      <c r="BC62" s="308"/>
      <c r="BD62" s="308"/>
      <c r="BE62" s="308"/>
      <c r="BF62" s="308"/>
      <c r="BG62" s="308"/>
      <c r="BH62" s="308"/>
      <c r="BI62" s="308"/>
      <c r="BJ62" s="308"/>
      <c r="BK62" s="308"/>
      <c r="BL62" s="308"/>
      <c r="BM62" s="308"/>
      <c r="BN62" s="308"/>
      <c r="BO62" s="308"/>
      <c r="BP62" s="308"/>
      <c r="BQ62" s="308"/>
      <c r="BR62" s="308"/>
      <c r="BS62" s="308"/>
      <c r="BT62" s="308"/>
      <c r="BU62" s="308"/>
      <c r="BV62" s="308"/>
      <c r="BW62" s="308"/>
      <c r="BX62" s="308"/>
      <c r="BY62" s="308"/>
      <c r="BZ62" s="308"/>
      <c r="CA62" s="308"/>
      <c r="CB62" s="308"/>
      <c r="CC62" s="308"/>
      <c r="CD62" s="308"/>
      <c r="CE62" s="308"/>
      <c r="CF62" s="308"/>
      <c r="CG62" s="308"/>
      <c r="CH62" s="308"/>
      <c r="CI62" s="308"/>
      <c r="CJ62" s="308"/>
      <c r="CK62" s="308"/>
      <c r="CL62" s="308"/>
      <c r="CM62" s="308"/>
      <c r="CN62" s="308"/>
      <c r="CO62" s="308"/>
      <c r="CP62" s="308"/>
      <c r="CQ62" s="308"/>
      <c r="CR62" s="308"/>
      <c r="CS62" s="308"/>
      <c r="CT62" s="308"/>
      <c r="CU62" s="308"/>
      <c r="CV62" s="308"/>
      <c r="CW62" s="308"/>
      <c r="CX62" s="308"/>
      <c r="CY62" s="308"/>
      <c r="CZ62" s="308"/>
      <c r="DA62" s="308"/>
      <c r="DB62" s="308"/>
      <c r="DC62" s="308"/>
      <c r="DD62" s="308"/>
      <c r="DE62" s="308"/>
      <c r="DF62" s="308"/>
      <c r="DG62" s="308"/>
      <c r="DH62" s="308"/>
      <c r="DI62" s="308"/>
      <c r="DJ62" s="308"/>
      <c r="DK62" s="308"/>
      <c r="DL62" s="308"/>
      <c r="DM62" s="308"/>
      <c r="DN62" s="308"/>
      <c r="DO62" s="308"/>
      <c r="DP62" s="308"/>
      <c r="DQ62" s="308"/>
      <c r="DR62" s="308"/>
      <c r="DS62" s="308"/>
      <c r="DT62" s="308"/>
      <c r="DU62" s="308"/>
      <c r="DV62" s="308"/>
      <c r="DW62" s="308"/>
      <c r="DX62" s="308"/>
      <c r="DY62" s="308"/>
      <c r="DZ62" s="308"/>
      <c r="EA62" s="308"/>
      <c r="EB62" s="308"/>
      <c r="EC62" s="308"/>
      <c r="ED62" s="308"/>
      <c r="EE62" s="308"/>
      <c r="EF62" s="308"/>
      <c r="EG62" s="308"/>
      <c r="EH62" s="308"/>
      <c r="EI62" s="308"/>
      <c r="EJ62" s="308"/>
      <c r="EK62" s="308"/>
      <c r="EL62" s="308"/>
      <c r="EM62" s="308"/>
      <c r="EN62" s="308"/>
      <c r="EO62" s="308"/>
      <c r="EP62" s="308"/>
      <c r="EQ62" s="308"/>
      <c r="ER62" s="308"/>
      <c r="ES62" s="308"/>
      <c r="ET62" s="308"/>
      <c r="EU62" s="308"/>
      <c r="EV62" s="308"/>
      <c r="EW62" s="308"/>
      <c r="EX62" s="308"/>
      <c r="EY62" s="308"/>
      <c r="EZ62" s="308"/>
      <c r="FA62" s="308"/>
      <c r="FB62" s="308"/>
      <c r="FC62" s="308"/>
      <c r="FD62" s="308"/>
      <c r="FE62" s="308"/>
      <c r="FF62" s="308"/>
      <c r="FG62" s="308"/>
      <c r="FH62" s="308"/>
      <c r="FI62" s="308"/>
      <c r="FJ62" s="308"/>
      <c r="FK62" s="308"/>
      <c r="FL62" s="308"/>
      <c r="FM62" s="308"/>
      <c r="FN62" s="308"/>
      <c r="FO62" s="308"/>
      <c r="FP62" s="308"/>
      <c r="FQ62" s="308"/>
      <c r="FR62" s="308"/>
      <c r="FS62" s="308"/>
      <c r="FT62" s="308"/>
      <c r="FU62" s="308"/>
      <c r="FV62" s="308"/>
      <c r="FW62" s="308"/>
      <c r="FX62" s="308"/>
      <c r="FY62" s="308"/>
      <c r="FZ62" s="308"/>
      <c r="GA62" s="308"/>
      <c r="GB62" s="308"/>
      <c r="GC62" s="308"/>
      <c r="GD62" s="308"/>
      <c r="GE62" s="308"/>
      <c r="GF62" s="308"/>
      <c r="GG62" s="308"/>
      <c r="GH62" s="308"/>
      <c r="GI62" s="308"/>
      <c r="GJ62" s="308"/>
      <c r="GK62" s="308"/>
      <c r="GL62" s="308"/>
      <c r="GM62" s="308"/>
      <c r="GN62" s="308"/>
      <c r="GO62" s="308"/>
      <c r="GP62" s="308"/>
      <c r="GQ62" s="308"/>
      <c r="GR62" s="308"/>
      <c r="GS62" s="308"/>
      <c r="GT62" s="308"/>
      <c r="GU62" s="308"/>
      <c r="GV62" s="308"/>
      <c r="GW62" s="308"/>
      <c r="GX62" s="308"/>
      <c r="GY62" s="308"/>
      <c r="GZ62" s="308"/>
    </row>
    <row r="63" spans="1:208" ht="30">
      <c r="A63" s="302">
        <v>15</v>
      </c>
      <c r="B63" s="303">
        <v>44659</v>
      </c>
      <c r="C63" s="304">
        <v>1096573</v>
      </c>
      <c r="D63" s="304" t="s">
        <v>4324</v>
      </c>
      <c r="E63" s="304" t="s">
        <v>4325</v>
      </c>
      <c r="F63" s="304" t="s">
        <v>4251</v>
      </c>
      <c r="G63" s="304">
        <v>3196</v>
      </c>
      <c r="H63" s="304">
        <v>15</v>
      </c>
      <c r="I63" s="304">
        <v>4502308278</v>
      </c>
      <c r="J63" s="304">
        <v>3025457</v>
      </c>
      <c r="K63" s="304">
        <v>4902246814</v>
      </c>
      <c r="L63" s="304" t="s">
        <v>4252</v>
      </c>
      <c r="M63" s="309">
        <v>6772</v>
      </c>
      <c r="N63" s="304">
        <v>7950</v>
      </c>
      <c r="O63" s="306">
        <f t="shared" si="13"/>
        <v>53837400</v>
      </c>
      <c r="P63" s="304">
        <v>1</v>
      </c>
      <c r="Q63" s="304" t="s">
        <v>3455</v>
      </c>
      <c r="R63" s="304">
        <v>1040968</v>
      </c>
      <c r="S63" s="304">
        <v>1245600</v>
      </c>
      <c r="T63" s="307"/>
      <c r="U63" s="307"/>
      <c r="V63" s="307"/>
      <c r="W63" s="307"/>
      <c r="X63" s="307"/>
      <c r="Y63" s="307"/>
      <c r="Z63" s="308"/>
      <c r="AA63" s="308"/>
      <c r="AB63" s="308"/>
      <c r="AC63" s="308"/>
      <c r="AD63" s="308"/>
      <c r="AE63" s="308"/>
      <c r="AF63" s="308"/>
      <c r="AG63" s="308"/>
      <c r="AH63" s="308"/>
      <c r="AI63" s="308"/>
      <c r="AJ63" s="308"/>
      <c r="AK63" s="308"/>
      <c r="AL63" s="308"/>
      <c r="AM63" s="308"/>
      <c r="AN63" s="308"/>
      <c r="AO63" s="308"/>
      <c r="AP63" s="308"/>
      <c r="AQ63" s="308"/>
      <c r="AR63" s="308"/>
      <c r="AS63" s="308"/>
      <c r="AT63" s="308"/>
      <c r="AU63" s="308"/>
      <c r="AV63" s="308"/>
      <c r="AW63" s="308"/>
      <c r="AX63" s="308"/>
      <c r="AY63" s="308"/>
      <c r="AZ63" s="308"/>
      <c r="BA63" s="308"/>
      <c r="BB63" s="308"/>
      <c r="BC63" s="308"/>
      <c r="BD63" s="308"/>
      <c r="BE63" s="308"/>
      <c r="BF63" s="308"/>
      <c r="BG63" s="308"/>
      <c r="BH63" s="308"/>
      <c r="BI63" s="308"/>
      <c r="BJ63" s="308"/>
      <c r="BK63" s="308"/>
      <c r="BL63" s="308"/>
      <c r="BM63" s="308"/>
      <c r="BN63" s="308"/>
      <c r="BO63" s="308"/>
      <c r="BP63" s="308"/>
      <c r="BQ63" s="308"/>
      <c r="BR63" s="308"/>
      <c r="BS63" s="308"/>
      <c r="BT63" s="308"/>
      <c r="BU63" s="308"/>
      <c r="BV63" s="308"/>
      <c r="BW63" s="308"/>
      <c r="BX63" s="308"/>
      <c r="BY63" s="308"/>
      <c r="BZ63" s="308"/>
      <c r="CA63" s="308"/>
      <c r="CB63" s="308"/>
      <c r="CC63" s="308"/>
      <c r="CD63" s="308"/>
      <c r="CE63" s="308"/>
      <c r="CF63" s="308"/>
      <c r="CG63" s="308"/>
      <c r="CH63" s="308"/>
      <c r="CI63" s="308"/>
      <c r="CJ63" s="308"/>
      <c r="CK63" s="308"/>
      <c r="CL63" s="308"/>
      <c r="CM63" s="308"/>
      <c r="CN63" s="308"/>
      <c r="CO63" s="308"/>
      <c r="CP63" s="308"/>
      <c r="CQ63" s="308"/>
      <c r="CR63" s="308"/>
      <c r="CS63" s="308"/>
      <c r="CT63" s="308"/>
      <c r="CU63" s="308"/>
      <c r="CV63" s="308"/>
      <c r="CW63" s="308"/>
      <c r="CX63" s="308"/>
      <c r="CY63" s="308"/>
      <c r="CZ63" s="308"/>
      <c r="DA63" s="308"/>
      <c r="DB63" s="308"/>
      <c r="DC63" s="308"/>
      <c r="DD63" s="308"/>
      <c r="DE63" s="308"/>
      <c r="DF63" s="308"/>
      <c r="DG63" s="308"/>
      <c r="DH63" s="308"/>
      <c r="DI63" s="308"/>
      <c r="DJ63" s="308"/>
      <c r="DK63" s="308"/>
      <c r="DL63" s="308"/>
      <c r="DM63" s="308"/>
      <c r="DN63" s="308"/>
      <c r="DO63" s="308"/>
      <c r="DP63" s="308"/>
      <c r="DQ63" s="308"/>
      <c r="DR63" s="308"/>
      <c r="DS63" s="308"/>
      <c r="DT63" s="308"/>
      <c r="DU63" s="308"/>
      <c r="DV63" s="308"/>
      <c r="DW63" s="308"/>
      <c r="DX63" s="308"/>
      <c r="DY63" s="308"/>
      <c r="DZ63" s="308"/>
      <c r="EA63" s="308"/>
      <c r="EB63" s="308"/>
      <c r="EC63" s="308"/>
      <c r="ED63" s="308"/>
      <c r="EE63" s="308"/>
      <c r="EF63" s="308"/>
      <c r="EG63" s="308"/>
      <c r="EH63" s="308"/>
      <c r="EI63" s="308"/>
      <c r="EJ63" s="308"/>
      <c r="EK63" s="308"/>
      <c r="EL63" s="308"/>
      <c r="EM63" s="308"/>
      <c r="EN63" s="308"/>
      <c r="EO63" s="308"/>
      <c r="EP63" s="308"/>
      <c r="EQ63" s="308"/>
      <c r="ER63" s="308"/>
      <c r="ES63" s="308"/>
      <c r="ET63" s="308"/>
      <c r="EU63" s="308"/>
      <c r="EV63" s="308"/>
      <c r="EW63" s="308"/>
      <c r="EX63" s="308"/>
      <c r="EY63" s="308"/>
      <c r="EZ63" s="308"/>
      <c r="FA63" s="308"/>
      <c r="FB63" s="308"/>
      <c r="FC63" s="308"/>
      <c r="FD63" s="308"/>
      <c r="FE63" s="308"/>
      <c r="FF63" s="308"/>
      <c r="FG63" s="308"/>
      <c r="FH63" s="308"/>
      <c r="FI63" s="308"/>
      <c r="FJ63" s="308"/>
      <c r="FK63" s="308"/>
      <c r="FL63" s="308"/>
      <c r="FM63" s="308"/>
      <c r="FN63" s="308"/>
      <c r="FO63" s="308"/>
      <c r="FP63" s="308"/>
      <c r="FQ63" s="308"/>
      <c r="FR63" s="308"/>
      <c r="FS63" s="308"/>
      <c r="FT63" s="308"/>
      <c r="FU63" s="308"/>
      <c r="FV63" s="308"/>
      <c r="FW63" s="308"/>
      <c r="FX63" s="308"/>
      <c r="FY63" s="308"/>
      <c r="FZ63" s="308"/>
      <c r="GA63" s="308"/>
      <c r="GB63" s="308"/>
      <c r="GC63" s="308"/>
      <c r="GD63" s="308"/>
      <c r="GE63" s="308"/>
      <c r="GF63" s="308"/>
      <c r="GG63" s="308"/>
      <c r="GH63" s="308"/>
      <c r="GI63" s="308"/>
      <c r="GJ63" s="308"/>
      <c r="GK63" s="308"/>
      <c r="GL63" s="308"/>
      <c r="GM63" s="308"/>
      <c r="GN63" s="308"/>
      <c r="GO63" s="308"/>
      <c r="GP63" s="308"/>
      <c r="GQ63" s="308"/>
      <c r="GR63" s="308"/>
      <c r="GS63" s="308"/>
      <c r="GT63" s="308"/>
      <c r="GU63" s="308"/>
      <c r="GV63" s="308"/>
      <c r="GW63" s="308"/>
      <c r="GX63" s="308"/>
      <c r="GY63" s="308"/>
      <c r="GZ63" s="308"/>
    </row>
    <row r="64" spans="1:208" ht="30">
      <c r="A64" s="280">
        <v>16</v>
      </c>
      <c r="B64" s="281">
        <v>44669</v>
      </c>
      <c r="C64" s="282">
        <v>1106184</v>
      </c>
      <c r="D64" s="282" t="s">
        <v>4326</v>
      </c>
      <c r="E64" s="282" t="s">
        <v>4250</v>
      </c>
      <c r="F64" s="282" t="s">
        <v>4251</v>
      </c>
      <c r="G64" s="282">
        <v>3185</v>
      </c>
      <c r="H64" s="282">
        <v>56</v>
      </c>
      <c r="I64" s="282">
        <v>4502311847</v>
      </c>
      <c r="J64" s="282">
        <v>3025457</v>
      </c>
      <c r="K64" s="282">
        <v>4902250637</v>
      </c>
      <c r="L64" s="282" t="s">
        <v>4252</v>
      </c>
      <c r="M64" s="283">
        <v>27903</v>
      </c>
      <c r="N64" s="282">
        <v>7900</v>
      </c>
      <c r="O64" s="284">
        <f t="shared" si="13"/>
        <v>220433700</v>
      </c>
      <c r="P64" s="285">
        <f t="shared" ref="P64:P67" si="17">H64/14</f>
        <v>4</v>
      </c>
      <c r="Q64" s="282" t="s">
        <v>3455</v>
      </c>
      <c r="R64" s="282">
        <v>1040968</v>
      </c>
      <c r="S64" s="282">
        <v>11930400</v>
      </c>
      <c r="T64" s="282"/>
      <c r="U64" s="285"/>
      <c r="V64" s="285"/>
      <c r="W64" s="285"/>
      <c r="X64" s="285"/>
      <c r="Y64" s="285"/>
      <c r="Z64" s="286"/>
      <c r="AA64" s="286"/>
      <c r="AB64" s="286"/>
      <c r="AC64" s="286"/>
      <c r="AD64" s="286"/>
      <c r="AE64" s="286"/>
      <c r="AF64" s="286"/>
      <c r="AG64" s="286"/>
      <c r="AH64" s="286"/>
      <c r="AI64" s="286"/>
      <c r="AJ64" s="286"/>
      <c r="AK64" s="286"/>
      <c r="AL64" s="286"/>
      <c r="AM64" s="286"/>
      <c r="AN64" s="286"/>
      <c r="AO64" s="286"/>
      <c r="AP64" s="286"/>
      <c r="AQ64" s="286"/>
      <c r="AR64" s="286"/>
      <c r="AS64" s="286"/>
      <c r="AT64" s="286"/>
      <c r="AU64" s="286"/>
      <c r="AV64" s="286"/>
      <c r="AW64" s="286"/>
      <c r="AX64" s="286"/>
      <c r="AY64" s="286"/>
      <c r="AZ64" s="286"/>
      <c r="BA64" s="286"/>
      <c r="BB64" s="286"/>
      <c r="BC64" s="286"/>
      <c r="BD64" s="286"/>
      <c r="BE64" s="286"/>
      <c r="BF64" s="286"/>
      <c r="BG64" s="286"/>
      <c r="BH64" s="286"/>
      <c r="BI64" s="286"/>
      <c r="BJ64" s="286"/>
      <c r="BK64" s="286"/>
      <c r="BL64" s="286"/>
      <c r="BM64" s="286"/>
      <c r="BN64" s="286"/>
      <c r="BO64" s="286"/>
      <c r="BP64" s="286"/>
      <c r="BQ64" s="286"/>
      <c r="BR64" s="286"/>
      <c r="BS64" s="286"/>
      <c r="BT64" s="286"/>
      <c r="BU64" s="286"/>
      <c r="BV64" s="286"/>
      <c r="BW64" s="286"/>
      <c r="BX64" s="286"/>
      <c r="BY64" s="286"/>
      <c r="BZ64" s="286"/>
      <c r="CA64" s="286"/>
      <c r="CB64" s="286"/>
      <c r="CC64" s="286"/>
      <c r="CD64" s="286"/>
      <c r="CE64" s="286"/>
      <c r="CF64" s="286"/>
      <c r="CG64" s="286"/>
      <c r="CH64" s="286"/>
      <c r="CI64" s="286"/>
      <c r="CJ64" s="286"/>
      <c r="CK64" s="286"/>
      <c r="CL64" s="286"/>
      <c r="CM64" s="286"/>
      <c r="CN64" s="286"/>
      <c r="CO64" s="286"/>
      <c r="CP64" s="286"/>
      <c r="CQ64" s="286"/>
      <c r="CR64" s="286"/>
      <c r="CS64" s="286"/>
      <c r="CT64" s="286"/>
      <c r="CU64" s="286"/>
      <c r="CV64" s="286"/>
      <c r="CW64" s="286"/>
      <c r="CX64" s="286"/>
      <c r="CY64" s="286"/>
      <c r="CZ64" s="286"/>
      <c r="DA64" s="286"/>
      <c r="DB64" s="286"/>
      <c r="DC64" s="286"/>
      <c r="DD64" s="286"/>
      <c r="DE64" s="286"/>
      <c r="DF64" s="286"/>
      <c r="DG64" s="286"/>
      <c r="DH64" s="286"/>
      <c r="DI64" s="286"/>
      <c r="DJ64" s="286"/>
      <c r="DK64" s="286"/>
      <c r="DL64" s="286"/>
      <c r="DM64" s="286"/>
      <c r="DN64" s="286"/>
      <c r="DO64" s="286"/>
      <c r="DP64" s="286"/>
      <c r="DQ64" s="286"/>
      <c r="DR64" s="286"/>
      <c r="DS64" s="286"/>
      <c r="DT64" s="286"/>
      <c r="DU64" s="286"/>
      <c r="DV64" s="286"/>
      <c r="DW64" s="286"/>
      <c r="DX64" s="286"/>
      <c r="DY64" s="286"/>
      <c r="DZ64" s="286"/>
      <c r="EA64" s="286"/>
      <c r="EB64" s="286"/>
      <c r="EC64" s="286"/>
      <c r="ED64" s="286"/>
      <c r="EE64" s="286"/>
      <c r="EF64" s="286"/>
      <c r="EG64" s="286"/>
      <c r="EH64" s="286"/>
      <c r="EI64" s="286"/>
      <c r="EJ64" s="286"/>
      <c r="EK64" s="286"/>
      <c r="EL64" s="286"/>
      <c r="EM64" s="286"/>
      <c r="EN64" s="286"/>
      <c r="EO64" s="286"/>
      <c r="EP64" s="286"/>
      <c r="EQ64" s="286"/>
      <c r="ER64" s="286"/>
      <c r="ES64" s="286"/>
      <c r="ET64" s="286"/>
      <c r="EU64" s="286"/>
      <c r="EV64" s="286"/>
      <c r="EW64" s="286"/>
      <c r="EX64" s="286"/>
      <c r="EY64" s="286"/>
      <c r="EZ64" s="286"/>
      <c r="FA64" s="286"/>
      <c r="FB64" s="286"/>
      <c r="FC64" s="286"/>
      <c r="FD64" s="286"/>
      <c r="FE64" s="286"/>
      <c r="FF64" s="286"/>
      <c r="FG64" s="286"/>
      <c r="FH64" s="286"/>
      <c r="FI64" s="286"/>
      <c r="FJ64" s="286"/>
      <c r="FK64" s="286"/>
      <c r="FL64" s="286"/>
      <c r="FM64" s="286"/>
      <c r="FN64" s="286"/>
      <c r="FO64" s="286"/>
      <c r="FP64" s="286"/>
      <c r="FQ64" s="286"/>
      <c r="FR64" s="286"/>
      <c r="FS64" s="286"/>
      <c r="FT64" s="286"/>
      <c r="FU64" s="286"/>
      <c r="FV64" s="286"/>
      <c r="FW64" s="286"/>
      <c r="FX64" s="286"/>
      <c r="FY64" s="286"/>
      <c r="FZ64" s="286"/>
      <c r="GA64" s="286"/>
      <c r="GB64" s="286"/>
      <c r="GC64" s="286"/>
      <c r="GD64" s="286"/>
      <c r="GE64" s="286"/>
      <c r="GF64" s="286"/>
      <c r="GG64" s="286"/>
      <c r="GH64" s="286"/>
      <c r="GI64" s="286"/>
      <c r="GJ64" s="286"/>
      <c r="GK64" s="286"/>
      <c r="GL64" s="286"/>
      <c r="GM64" s="286"/>
      <c r="GN64" s="286"/>
      <c r="GO64" s="286"/>
      <c r="GP64" s="286"/>
      <c r="GQ64" s="286"/>
      <c r="GR64" s="286"/>
      <c r="GS64" s="286"/>
      <c r="GT64" s="286"/>
      <c r="GU64" s="286"/>
      <c r="GV64" s="286"/>
      <c r="GW64" s="286"/>
      <c r="GX64" s="286"/>
      <c r="GY64" s="286"/>
      <c r="GZ64" s="286"/>
    </row>
    <row r="65" spans="1:208" ht="22.5" customHeight="1">
      <c r="A65" s="302">
        <v>17</v>
      </c>
      <c r="B65" s="303">
        <v>44672</v>
      </c>
      <c r="C65" s="304">
        <v>1057331</v>
      </c>
      <c r="D65" s="304" t="s">
        <v>4327</v>
      </c>
      <c r="E65" s="304" t="s">
        <v>4328</v>
      </c>
      <c r="F65" s="304" t="s">
        <v>4264</v>
      </c>
      <c r="G65" s="304">
        <v>3151</v>
      </c>
      <c r="H65" s="304">
        <v>42</v>
      </c>
      <c r="I65" s="304">
        <v>4502315179</v>
      </c>
      <c r="J65" s="304">
        <v>3025460</v>
      </c>
      <c r="K65" s="304">
        <v>4902253388</v>
      </c>
      <c r="L65" s="304" t="s">
        <v>4252</v>
      </c>
      <c r="M65" s="309">
        <v>19987</v>
      </c>
      <c r="N65" s="304">
        <v>7900</v>
      </c>
      <c r="O65" s="306">
        <f t="shared" si="13"/>
        <v>157897300</v>
      </c>
      <c r="P65" s="307">
        <f t="shared" si="17"/>
        <v>3</v>
      </c>
      <c r="Q65" s="304" t="s">
        <v>3429</v>
      </c>
      <c r="R65" s="304">
        <v>1070641</v>
      </c>
      <c r="S65" s="306">
        <f>1152250*3</f>
        <v>3456750</v>
      </c>
      <c r="T65" s="307"/>
      <c r="U65" s="307"/>
      <c r="V65" s="307"/>
      <c r="W65" s="307"/>
      <c r="X65" s="307"/>
      <c r="Y65" s="307"/>
      <c r="Z65" s="308"/>
      <c r="AA65" s="308"/>
      <c r="AB65" s="308"/>
      <c r="AC65" s="308"/>
      <c r="AD65" s="308"/>
      <c r="AE65" s="308"/>
      <c r="AF65" s="308"/>
      <c r="AG65" s="308"/>
      <c r="AH65" s="308"/>
      <c r="AI65" s="308"/>
      <c r="AJ65" s="308"/>
      <c r="AK65" s="308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8"/>
      <c r="AW65" s="308"/>
      <c r="AX65" s="308"/>
      <c r="AY65" s="308"/>
      <c r="AZ65" s="308"/>
      <c r="BA65" s="308"/>
      <c r="BB65" s="308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08"/>
      <c r="BS65" s="308"/>
      <c r="BT65" s="308"/>
      <c r="BU65" s="308"/>
      <c r="BV65" s="308"/>
      <c r="BW65" s="308"/>
      <c r="BX65" s="308"/>
      <c r="BY65" s="308"/>
      <c r="BZ65" s="308"/>
      <c r="CA65" s="308"/>
      <c r="CB65" s="308"/>
      <c r="CC65" s="308"/>
      <c r="CD65" s="308"/>
      <c r="CE65" s="308"/>
      <c r="CF65" s="308"/>
      <c r="CG65" s="308"/>
      <c r="CH65" s="308"/>
      <c r="CI65" s="308"/>
      <c r="CJ65" s="308"/>
      <c r="CK65" s="308"/>
      <c r="CL65" s="308"/>
      <c r="CM65" s="308"/>
      <c r="CN65" s="308"/>
      <c r="CO65" s="308"/>
      <c r="CP65" s="308"/>
      <c r="CQ65" s="308"/>
      <c r="CR65" s="308"/>
      <c r="CS65" s="308"/>
      <c r="CT65" s="308"/>
      <c r="CU65" s="308"/>
      <c r="CV65" s="308"/>
      <c r="CW65" s="308"/>
      <c r="CX65" s="308"/>
      <c r="CY65" s="308"/>
      <c r="CZ65" s="308"/>
      <c r="DA65" s="308"/>
      <c r="DB65" s="308"/>
      <c r="DC65" s="308"/>
      <c r="DD65" s="308"/>
      <c r="DE65" s="308"/>
      <c r="DF65" s="308"/>
      <c r="DG65" s="308"/>
      <c r="DH65" s="308"/>
      <c r="DI65" s="308"/>
      <c r="DJ65" s="308"/>
      <c r="DK65" s="308"/>
      <c r="DL65" s="308"/>
      <c r="DM65" s="308"/>
      <c r="DN65" s="308"/>
      <c r="DO65" s="308"/>
      <c r="DP65" s="308"/>
      <c r="DQ65" s="308"/>
      <c r="DR65" s="308"/>
      <c r="DS65" s="308"/>
      <c r="DT65" s="308"/>
      <c r="DU65" s="308"/>
      <c r="DV65" s="308"/>
      <c r="DW65" s="308"/>
      <c r="DX65" s="308"/>
      <c r="DY65" s="308"/>
      <c r="DZ65" s="308"/>
      <c r="EA65" s="308"/>
      <c r="EB65" s="308"/>
      <c r="EC65" s="308"/>
      <c r="ED65" s="308"/>
      <c r="EE65" s="308"/>
      <c r="EF65" s="308"/>
      <c r="EG65" s="308"/>
      <c r="EH65" s="308"/>
      <c r="EI65" s="308"/>
      <c r="EJ65" s="308"/>
      <c r="EK65" s="308"/>
      <c r="EL65" s="308"/>
      <c r="EM65" s="308"/>
      <c r="EN65" s="308"/>
      <c r="EO65" s="308"/>
      <c r="EP65" s="308"/>
      <c r="EQ65" s="308"/>
      <c r="ER65" s="308"/>
      <c r="ES65" s="308"/>
      <c r="ET65" s="308"/>
      <c r="EU65" s="308"/>
      <c r="EV65" s="308"/>
      <c r="EW65" s="308"/>
      <c r="EX65" s="308"/>
      <c r="EY65" s="308"/>
      <c r="EZ65" s="308"/>
      <c r="FA65" s="308"/>
      <c r="FB65" s="308"/>
      <c r="FC65" s="308"/>
      <c r="FD65" s="308"/>
      <c r="FE65" s="308"/>
      <c r="FF65" s="308"/>
      <c r="FG65" s="308"/>
      <c r="FH65" s="308"/>
      <c r="FI65" s="308"/>
      <c r="FJ65" s="308"/>
      <c r="FK65" s="308"/>
      <c r="FL65" s="308"/>
      <c r="FM65" s="308"/>
      <c r="FN65" s="308"/>
      <c r="FO65" s="308"/>
      <c r="FP65" s="308"/>
      <c r="FQ65" s="308"/>
      <c r="FR65" s="308"/>
      <c r="FS65" s="308"/>
      <c r="FT65" s="308"/>
      <c r="FU65" s="308"/>
      <c r="FV65" s="308"/>
      <c r="FW65" s="308"/>
      <c r="FX65" s="308"/>
      <c r="FY65" s="308"/>
      <c r="FZ65" s="308"/>
      <c r="GA65" s="308"/>
      <c r="GB65" s="308"/>
      <c r="GC65" s="308"/>
      <c r="GD65" s="308"/>
      <c r="GE65" s="308"/>
      <c r="GF65" s="308"/>
      <c r="GG65" s="308"/>
      <c r="GH65" s="308"/>
      <c r="GI65" s="308"/>
      <c r="GJ65" s="308"/>
      <c r="GK65" s="308"/>
      <c r="GL65" s="308"/>
      <c r="GM65" s="308"/>
      <c r="GN65" s="308"/>
      <c r="GO65" s="308"/>
      <c r="GP65" s="308"/>
      <c r="GQ65" s="308"/>
      <c r="GR65" s="308"/>
      <c r="GS65" s="308"/>
      <c r="GT65" s="308"/>
      <c r="GU65" s="308"/>
      <c r="GV65" s="308"/>
      <c r="GW65" s="308"/>
      <c r="GX65" s="308"/>
      <c r="GY65" s="308"/>
      <c r="GZ65" s="308"/>
    </row>
    <row r="66" spans="1:208" ht="22.5" customHeight="1">
      <c r="A66" s="302">
        <v>17</v>
      </c>
      <c r="B66" s="303">
        <v>44672</v>
      </c>
      <c r="C66" s="304">
        <v>1102323</v>
      </c>
      <c r="D66" s="304" t="s">
        <v>4329</v>
      </c>
      <c r="E66" s="304" t="s">
        <v>4330</v>
      </c>
      <c r="F66" s="304" t="s">
        <v>4264</v>
      </c>
      <c r="G66" s="304">
        <v>3199</v>
      </c>
      <c r="H66" s="304">
        <v>28</v>
      </c>
      <c r="I66" s="304">
        <v>4502315202</v>
      </c>
      <c r="J66" s="304">
        <v>3025460</v>
      </c>
      <c r="K66" s="304">
        <v>4902253391</v>
      </c>
      <c r="L66" s="304" t="s">
        <v>4252</v>
      </c>
      <c r="M66" s="309">
        <v>13636</v>
      </c>
      <c r="N66" s="304">
        <v>8000</v>
      </c>
      <c r="O66" s="306">
        <f t="shared" si="13"/>
        <v>109088000</v>
      </c>
      <c r="P66" s="307">
        <f t="shared" si="17"/>
        <v>2</v>
      </c>
      <c r="Q66" s="314" t="s">
        <v>3455</v>
      </c>
      <c r="R66" s="304">
        <v>1040968</v>
      </c>
      <c r="S66" s="319">
        <v>5965200</v>
      </c>
      <c r="T66" s="307"/>
      <c r="U66" s="307"/>
      <c r="V66" s="307"/>
      <c r="W66" s="307"/>
      <c r="X66" s="307"/>
      <c r="Y66" s="307"/>
      <c r="Z66" s="308"/>
      <c r="AA66" s="308"/>
      <c r="AB66" s="308"/>
      <c r="AC66" s="308"/>
      <c r="AD66" s="308"/>
      <c r="AE66" s="308"/>
      <c r="AF66" s="308"/>
      <c r="AG66" s="308"/>
      <c r="AH66" s="308"/>
      <c r="AI66" s="308"/>
      <c r="AJ66" s="308"/>
      <c r="AK66" s="308"/>
      <c r="AL66" s="308"/>
      <c r="AM66" s="308"/>
      <c r="AN66" s="308"/>
      <c r="AO66" s="308"/>
      <c r="AP66" s="308"/>
      <c r="AQ66" s="308"/>
      <c r="AR66" s="308"/>
      <c r="AS66" s="308"/>
      <c r="AT66" s="308"/>
      <c r="AU66" s="308"/>
      <c r="AV66" s="308"/>
      <c r="AW66" s="308"/>
      <c r="AX66" s="308"/>
      <c r="AY66" s="308"/>
      <c r="AZ66" s="308"/>
      <c r="BA66" s="308"/>
      <c r="BB66" s="308"/>
      <c r="BC66" s="308"/>
      <c r="BD66" s="308"/>
      <c r="BE66" s="308"/>
      <c r="BF66" s="308"/>
      <c r="BG66" s="308"/>
      <c r="BH66" s="308"/>
      <c r="BI66" s="308"/>
      <c r="BJ66" s="308"/>
      <c r="BK66" s="308"/>
      <c r="BL66" s="308"/>
      <c r="BM66" s="308"/>
      <c r="BN66" s="308"/>
      <c r="BO66" s="308"/>
      <c r="BP66" s="308"/>
      <c r="BQ66" s="308"/>
      <c r="BR66" s="308"/>
      <c r="BS66" s="308"/>
      <c r="BT66" s="308"/>
      <c r="BU66" s="308"/>
      <c r="BV66" s="308"/>
      <c r="BW66" s="308"/>
      <c r="BX66" s="308"/>
      <c r="BY66" s="308"/>
      <c r="BZ66" s="308"/>
      <c r="CA66" s="308"/>
      <c r="CB66" s="308"/>
      <c r="CC66" s="308"/>
      <c r="CD66" s="308"/>
      <c r="CE66" s="308"/>
      <c r="CF66" s="308"/>
      <c r="CG66" s="308"/>
      <c r="CH66" s="308"/>
      <c r="CI66" s="308"/>
      <c r="CJ66" s="308"/>
      <c r="CK66" s="308"/>
      <c r="CL66" s="308"/>
      <c r="CM66" s="308"/>
      <c r="CN66" s="308"/>
      <c r="CO66" s="308"/>
      <c r="CP66" s="308"/>
      <c r="CQ66" s="308"/>
      <c r="CR66" s="308"/>
      <c r="CS66" s="308"/>
      <c r="CT66" s="308"/>
      <c r="CU66" s="308"/>
      <c r="CV66" s="308"/>
      <c r="CW66" s="308"/>
      <c r="CX66" s="308"/>
      <c r="CY66" s="308"/>
      <c r="CZ66" s="308"/>
      <c r="DA66" s="308"/>
      <c r="DB66" s="308"/>
      <c r="DC66" s="308"/>
      <c r="DD66" s="308"/>
      <c r="DE66" s="308"/>
      <c r="DF66" s="308"/>
      <c r="DG66" s="308"/>
      <c r="DH66" s="308"/>
      <c r="DI66" s="308"/>
      <c r="DJ66" s="308"/>
      <c r="DK66" s="308"/>
      <c r="DL66" s="308"/>
      <c r="DM66" s="308"/>
      <c r="DN66" s="308"/>
      <c r="DO66" s="308"/>
      <c r="DP66" s="308"/>
      <c r="DQ66" s="308"/>
      <c r="DR66" s="308"/>
      <c r="DS66" s="308"/>
      <c r="DT66" s="308"/>
      <c r="DU66" s="308"/>
      <c r="DV66" s="308"/>
      <c r="DW66" s="308"/>
      <c r="DX66" s="308"/>
      <c r="DY66" s="308"/>
      <c r="DZ66" s="308"/>
      <c r="EA66" s="308"/>
      <c r="EB66" s="308"/>
      <c r="EC66" s="308"/>
      <c r="ED66" s="308"/>
      <c r="EE66" s="308"/>
      <c r="EF66" s="308"/>
      <c r="EG66" s="308"/>
      <c r="EH66" s="308"/>
      <c r="EI66" s="308"/>
      <c r="EJ66" s="308"/>
      <c r="EK66" s="308"/>
      <c r="EL66" s="308"/>
      <c r="EM66" s="308"/>
      <c r="EN66" s="308"/>
      <c r="EO66" s="308"/>
      <c r="EP66" s="308"/>
      <c r="EQ66" s="308"/>
      <c r="ER66" s="308"/>
      <c r="ES66" s="308"/>
      <c r="ET66" s="308"/>
      <c r="EU66" s="308"/>
      <c r="EV66" s="308"/>
      <c r="EW66" s="308"/>
      <c r="EX66" s="308"/>
      <c r="EY66" s="308"/>
      <c r="EZ66" s="308"/>
      <c r="FA66" s="308"/>
      <c r="FB66" s="308"/>
      <c r="FC66" s="308"/>
      <c r="FD66" s="308"/>
      <c r="FE66" s="308"/>
      <c r="FF66" s="308"/>
      <c r="FG66" s="308"/>
      <c r="FH66" s="308"/>
      <c r="FI66" s="308"/>
      <c r="FJ66" s="308"/>
      <c r="FK66" s="308"/>
      <c r="FL66" s="308"/>
      <c r="FM66" s="308"/>
      <c r="FN66" s="308"/>
      <c r="FO66" s="308"/>
      <c r="FP66" s="308"/>
      <c r="FQ66" s="308"/>
      <c r="FR66" s="308"/>
      <c r="FS66" s="308"/>
      <c r="FT66" s="308"/>
      <c r="FU66" s="308"/>
      <c r="FV66" s="308"/>
      <c r="FW66" s="308"/>
      <c r="FX66" s="308"/>
      <c r="FY66" s="308"/>
      <c r="FZ66" s="308"/>
      <c r="GA66" s="308"/>
      <c r="GB66" s="308"/>
      <c r="GC66" s="308"/>
      <c r="GD66" s="308"/>
      <c r="GE66" s="308"/>
      <c r="GF66" s="308"/>
      <c r="GG66" s="308"/>
      <c r="GH66" s="308"/>
      <c r="GI66" s="308"/>
      <c r="GJ66" s="308"/>
      <c r="GK66" s="308"/>
      <c r="GL66" s="308"/>
      <c r="GM66" s="308"/>
      <c r="GN66" s="308"/>
      <c r="GO66" s="308"/>
      <c r="GP66" s="308"/>
      <c r="GQ66" s="308"/>
      <c r="GR66" s="308"/>
      <c r="GS66" s="308"/>
      <c r="GT66" s="308"/>
      <c r="GU66" s="308"/>
      <c r="GV66" s="308"/>
      <c r="GW66" s="308"/>
      <c r="GX66" s="308"/>
      <c r="GY66" s="308"/>
      <c r="GZ66" s="308"/>
    </row>
    <row r="67" spans="1:208" ht="38.25" customHeight="1">
      <c r="A67" s="302">
        <v>17</v>
      </c>
      <c r="B67" s="303">
        <v>44673</v>
      </c>
      <c r="C67" s="304">
        <v>1106184</v>
      </c>
      <c r="D67" s="304" t="s">
        <v>4331</v>
      </c>
      <c r="E67" s="304" t="s">
        <v>4250</v>
      </c>
      <c r="F67" s="304" t="s">
        <v>4251</v>
      </c>
      <c r="G67" s="304">
        <v>3185</v>
      </c>
      <c r="H67" s="304">
        <v>98</v>
      </c>
      <c r="I67" s="304">
        <v>4502316355</v>
      </c>
      <c r="J67" s="304">
        <v>3025457</v>
      </c>
      <c r="K67" s="304">
        <v>4902253727</v>
      </c>
      <c r="L67" s="304" t="s">
        <v>4252</v>
      </c>
      <c r="M67" s="309">
        <v>47071</v>
      </c>
      <c r="N67" s="304">
        <v>8050</v>
      </c>
      <c r="O67" s="306">
        <f t="shared" si="13"/>
        <v>378921550</v>
      </c>
      <c r="P67" s="307">
        <f t="shared" si="17"/>
        <v>7</v>
      </c>
      <c r="Q67" s="314" t="s">
        <v>3455</v>
      </c>
      <c r="R67" s="304">
        <v>1040968</v>
      </c>
      <c r="S67" s="319">
        <v>21622400</v>
      </c>
      <c r="T67" s="307"/>
      <c r="U67" s="307"/>
      <c r="V67" s="307"/>
      <c r="W67" s="307"/>
      <c r="X67" s="307"/>
      <c r="Y67" s="307"/>
      <c r="Z67" s="308"/>
      <c r="AA67" s="308"/>
      <c r="AB67" s="308"/>
      <c r="AC67" s="308"/>
      <c r="AD67" s="308"/>
      <c r="AE67" s="308"/>
      <c r="AF67" s="308"/>
      <c r="AG67" s="308"/>
      <c r="AH67" s="308"/>
      <c r="AI67" s="308"/>
      <c r="AJ67" s="308"/>
      <c r="AK67" s="308"/>
      <c r="AL67" s="308"/>
      <c r="AM67" s="308"/>
      <c r="AN67" s="308"/>
      <c r="AO67" s="308"/>
      <c r="AP67" s="308"/>
      <c r="AQ67" s="308"/>
      <c r="AR67" s="308"/>
      <c r="AS67" s="308"/>
      <c r="AT67" s="308"/>
      <c r="AU67" s="308"/>
      <c r="AV67" s="308"/>
      <c r="AW67" s="308"/>
      <c r="AX67" s="308"/>
      <c r="AY67" s="308"/>
      <c r="AZ67" s="308"/>
      <c r="BA67" s="308"/>
      <c r="BB67" s="308"/>
      <c r="BC67" s="308"/>
      <c r="BD67" s="308"/>
      <c r="BE67" s="308"/>
      <c r="BF67" s="308"/>
      <c r="BG67" s="308"/>
      <c r="BH67" s="308"/>
      <c r="BI67" s="308"/>
      <c r="BJ67" s="308"/>
      <c r="BK67" s="308"/>
      <c r="BL67" s="308"/>
      <c r="BM67" s="308"/>
      <c r="BN67" s="308"/>
      <c r="BO67" s="308"/>
      <c r="BP67" s="308"/>
      <c r="BQ67" s="308"/>
      <c r="BR67" s="308"/>
      <c r="BS67" s="308"/>
      <c r="BT67" s="308"/>
      <c r="BU67" s="308"/>
      <c r="BV67" s="308"/>
      <c r="BW67" s="308"/>
      <c r="BX67" s="308"/>
      <c r="BY67" s="308"/>
      <c r="BZ67" s="308"/>
      <c r="CA67" s="308"/>
      <c r="CB67" s="308"/>
      <c r="CC67" s="308"/>
      <c r="CD67" s="308"/>
      <c r="CE67" s="308"/>
      <c r="CF67" s="308"/>
      <c r="CG67" s="308"/>
      <c r="CH67" s="308"/>
      <c r="CI67" s="308"/>
      <c r="CJ67" s="308"/>
      <c r="CK67" s="308"/>
      <c r="CL67" s="308"/>
      <c r="CM67" s="308"/>
      <c r="CN67" s="308"/>
      <c r="CO67" s="308"/>
      <c r="CP67" s="308"/>
      <c r="CQ67" s="308"/>
      <c r="CR67" s="308"/>
      <c r="CS67" s="308"/>
      <c r="CT67" s="308"/>
      <c r="CU67" s="308"/>
      <c r="CV67" s="308"/>
      <c r="CW67" s="308"/>
      <c r="CX67" s="308"/>
      <c r="CY67" s="308"/>
      <c r="CZ67" s="308"/>
      <c r="DA67" s="308"/>
      <c r="DB67" s="308"/>
      <c r="DC67" s="308"/>
      <c r="DD67" s="308"/>
      <c r="DE67" s="308"/>
      <c r="DF67" s="308"/>
      <c r="DG67" s="308"/>
      <c r="DH67" s="308"/>
      <c r="DI67" s="308"/>
      <c r="DJ67" s="308"/>
      <c r="DK67" s="308"/>
      <c r="DL67" s="308"/>
      <c r="DM67" s="308"/>
      <c r="DN67" s="308"/>
      <c r="DO67" s="308"/>
      <c r="DP67" s="308"/>
      <c r="DQ67" s="308"/>
      <c r="DR67" s="308"/>
      <c r="DS67" s="308"/>
      <c r="DT67" s="308"/>
      <c r="DU67" s="308"/>
      <c r="DV67" s="308"/>
      <c r="DW67" s="308"/>
      <c r="DX67" s="308"/>
      <c r="DY67" s="308"/>
      <c r="DZ67" s="308"/>
      <c r="EA67" s="308"/>
      <c r="EB67" s="308"/>
      <c r="EC67" s="308"/>
      <c r="ED67" s="308"/>
      <c r="EE67" s="308"/>
      <c r="EF67" s="308"/>
      <c r="EG67" s="308"/>
      <c r="EH67" s="308"/>
      <c r="EI67" s="308"/>
      <c r="EJ67" s="308"/>
      <c r="EK67" s="308"/>
      <c r="EL67" s="308"/>
      <c r="EM67" s="308"/>
      <c r="EN67" s="308"/>
      <c r="EO67" s="308"/>
      <c r="EP67" s="308"/>
      <c r="EQ67" s="308"/>
      <c r="ER67" s="308"/>
      <c r="ES67" s="308"/>
      <c r="ET67" s="308"/>
      <c r="EU67" s="308"/>
      <c r="EV67" s="308"/>
      <c r="EW67" s="308"/>
      <c r="EX67" s="308"/>
      <c r="EY67" s="308"/>
      <c r="EZ67" s="308"/>
      <c r="FA67" s="308"/>
      <c r="FB67" s="308"/>
      <c r="FC67" s="308"/>
      <c r="FD67" s="308"/>
      <c r="FE67" s="308"/>
      <c r="FF67" s="308"/>
      <c r="FG67" s="308"/>
      <c r="FH67" s="308"/>
      <c r="FI67" s="308"/>
      <c r="FJ67" s="308"/>
      <c r="FK67" s="308"/>
      <c r="FL67" s="308"/>
      <c r="FM67" s="308"/>
      <c r="FN67" s="308"/>
      <c r="FO67" s="308"/>
      <c r="FP67" s="308"/>
      <c r="FQ67" s="308"/>
      <c r="FR67" s="308"/>
      <c r="FS67" s="308"/>
      <c r="FT67" s="308"/>
      <c r="FU67" s="308"/>
      <c r="FV67" s="308"/>
      <c r="FW67" s="308"/>
      <c r="FX67" s="308"/>
      <c r="FY67" s="308"/>
      <c r="FZ67" s="308"/>
      <c r="GA67" s="308"/>
      <c r="GB67" s="308"/>
      <c r="GC67" s="308"/>
      <c r="GD67" s="308"/>
      <c r="GE67" s="308"/>
      <c r="GF67" s="308"/>
      <c r="GG67" s="308"/>
      <c r="GH67" s="308"/>
      <c r="GI67" s="308"/>
      <c r="GJ67" s="308"/>
      <c r="GK67" s="308"/>
      <c r="GL67" s="308"/>
      <c r="GM67" s="308"/>
      <c r="GN67" s="308"/>
      <c r="GO67" s="308"/>
      <c r="GP67" s="308"/>
      <c r="GQ67" s="308"/>
      <c r="GR67" s="308"/>
      <c r="GS67" s="308"/>
      <c r="GT67" s="308"/>
      <c r="GU67" s="308"/>
      <c r="GV67" s="308"/>
      <c r="GW67" s="308"/>
      <c r="GX67" s="308"/>
      <c r="GY67" s="308"/>
      <c r="GZ67" s="308"/>
    </row>
    <row r="68" spans="1:208" ht="78.75" customHeight="1">
      <c r="A68" s="302">
        <v>17</v>
      </c>
      <c r="B68" s="303">
        <v>44675</v>
      </c>
      <c r="C68" s="304">
        <v>1042306</v>
      </c>
      <c r="D68" s="304" t="s">
        <v>4332</v>
      </c>
      <c r="E68" s="304" t="s">
        <v>4333</v>
      </c>
      <c r="F68" s="304" t="s">
        <v>4264</v>
      </c>
      <c r="G68" s="304">
        <v>3175</v>
      </c>
      <c r="H68" s="304">
        <v>62</v>
      </c>
      <c r="I68" s="304">
        <v>4502316285</v>
      </c>
      <c r="J68" s="304">
        <v>3025460</v>
      </c>
      <c r="K68" s="304">
        <v>4902255589</v>
      </c>
      <c r="L68" s="304" t="s">
        <v>4252</v>
      </c>
      <c r="M68" s="309" t="s">
        <v>4334</v>
      </c>
      <c r="N68" s="304" t="s">
        <v>4335</v>
      </c>
      <c r="O68" s="320" t="s">
        <v>4336</v>
      </c>
      <c r="P68" s="304">
        <v>4</v>
      </c>
      <c r="Q68" s="304" t="s">
        <v>3429</v>
      </c>
      <c r="R68" s="304">
        <v>1070641</v>
      </c>
      <c r="S68" s="319">
        <v>3726000</v>
      </c>
      <c r="T68" s="307"/>
      <c r="U68" s="307"/>
      <c r="V68" s="307"/>
      <c r="W68" s="307"/>
      <c r="X68" s="307"/>
      <c r="Y68" s="307"/>
      <c r="Z68" s="308"/>
      <c r="AA68" s="308"/>
      <c r="AB68" s="308"/>
      <c r="AC68" s="308"/>
      <c r="AD68" s="308"/>
      <c r="AE68" s="308"/>
      <c r="AF68" s="308"/>
      <c r="AG68" s="308"/>
      <c r="AH68" s="308"/>
      <c r="AI68" s="308"/>
      <c r="AJ68" s="308"/>
      <c r="AK68" s="308"/>
      <c r="AL68" s="308"/>
      <c r="AM68" s="308"/>
      <c r="AN68" s="308"/>
      <c r="AO68" s="308"/>
      <c r="AP68" s="308"/>
      <c r="AQ68" s="308"/>
      <c r="AR68" s="308"/>
      <c r="AS68" s="308"/>
      <c r="AT68" s="308"/>
      <c r="AU68" s="308"/>
      <c r="AV68" s="308"/>
      <c r="AW68" s="308"/>
      <c r="AX68" s="308"/>
      <c r="AY68" s="308"/>
      <c r="AZ68" s="308"/>
      <c r="BA68" s="308"/>
      <c r="BB68" s="308"/>
      <c r="BC68" s="308"/>
      <c r="BD68" s="308"/>
      <c r="BE68" s="308"/>
      <c r="BF68" s="308"/>
      <c r="BG68" s="308"/>
      <c r="BH68" s="308"/>
      <c r="BI68" s="308"/>
      <c r="BJ68" s="308"/>
      <c r="BK68" s="308"/>
      <c r="BL68" s="308"/>
      <c r="BM68" s="308"/>
      <c r="BN68" s="308"/>
      <c r="BO68" s="308"/>
      <c r="BP68" s="308"/>
      <c r="BQ68" s="308"/>
      <c r="BR68" s="308"/>
      <c r="BS68" s="308"/>
      <c r="BT68" s="308"/>
      <c r="BU68" s="308"/>
      <c r="BV68" s="308"/>
      <c r="BW68" s="308"/>
      <c r="BX68" s="308"/>
      <c r="BY68" s="308"/>
      <c r="BZ68" s="308"/>
      <c r="CA68" s="308"/>
      <c r="CB68" s="308"/>
      <c r="CC68" s="308"/>
      <c r="CD68" s="308"/>
      <c r="CE68" s="308"/>
      <c r="CF68" s="308"/>
      <c r="CG68" s="308"/>
      <c r="CH68" s="308"/>
      <c r="CI68" s="308"/>
      <c r="CJ68" s="308"/>
      <c r="CK68" s="308"/>
      <c r="CL68" s="308"/>
      <c r="CM68" s="308"/>
      <c r="CN68" s="308"/>
      <c r="CO68" s="308"/>
      <c r="CP68" s="308"/>
      <c r="CQ68" s="308"/>
      <c r="CR68" s="308"/>
      <c r="CS68" s="308"/>
      <c r="CT68" s="308"/>
      <c r="CU68" s="308"/>
      <c r="CV68" s="308"/>
      <c r="CW68" s="308"/>
      <c r="CX68" s="308"/>
      <c r="CY68" s="308"/>
      <c r="CZ68" s="308"/>
      <c r="DA68" s="308"/>
      <c r="DB68" s="308"/>
      <c r="DC68" s="308"/>
      <c r="DD68" s="308"/>
      <c r="DE68" s="308"/>
      <c r="DF68" s="308"/>
      <c r="DG68" s="308"/>
      <c r="DH68" s="308"/>
      <c r="DI68" s="308"/>
      <c r="DJ68" s="308"/>
      <c r="DK68" s="308"/>
      <c r="DL68" s="308"/>
      <c r="DM68" s="308"/>
      <c r="DN68" s="308"/>
      <c r="DO68" s="308"/>
      <c r="DP68" s="308"/>
      <c r="DQ68" s="308"/>
      <c r="DR68" s="308"/>
      <c r="DS68" s="308"/>
      <c r="DT68" s="308"/>
      <c r="DU68" s="308"/>
      <c r="DV68" s="308"/>
      <c r="DW68" s="308"/>
      <c r="DX68" s="308"/>
      <c r="DY68" s="308"/>
      <c r="DZ68" s="308"/>
      <c r="EA68" s="308"/>
      <c r="EB68" s="308"/>
      <c r="EC68" s="308"/>
      <c r="ED68" s="308"/>
      <c r="EE68" s="308"/>
      <c r="EF68" s="308"/>
      <c r="EG68" s="308"/>
      <c r="EH68" s="308"/>
      <c r="EI68" s="308"/>
      <c r="EJ68" s="308"/>
      <c r="EK68" s="308"/>
      <c r="EL68" s="308"/>
      <c r="EM68" s="308"/>
      <c r="EN68" s="308"/>
      <c r="EO68" s="308"/>
      <c r="EP68" s="308"/>
      <c r="EQ68" s="308"/>
      <c r="ER68" s="308"/>
      <c r="ES68" s="308"/>
      <c r="ET68" s="308"/>
      <c r="EU68" s="308"/>
      <c r="EV68" s="308"/>
      <c r="EW68" s="308"/>
      <c r="EX68" s="308"/>
      <c r="EY68" s="308"/>
      <c r="EZ68" s="308"/>
      <c r="FA68" s="308"/>
      <c r="FB68" s="308"/>
      <c r="FC68" s="308"/>
      <c r="FD68" s="308"/>
      <c r="FE68" s="308"/>
      <c r="FF68" s="308"/>
      <c r="FG68" s="308"/>
      <c r="FH68" s="308"/>
      <c r="FI68" s="308"/>
      <c r="FJ68" s="308"/>
      <c r="FK68" s="308"/>
      <c r="FL68" s="308"/>
      <c r="FM68" s="308"/>
      <c r="FN68" s="308"/>
      <c r="FO68" s="308"/>
      <c r="FP68" s="308"/>
      <c r="FQ68" s="308"/>
      <c r="FR68" s="308"/>
      <c r="FS68" s="308"/>
      <c r="FT68" s="308"/>
      <c r="FU68" s="308"/>
      <c r="FV68" s="308"/>
      <c r="FW68" s="308"/>
      <c r="FX68" s="308"/>
      <c r="FY68" s="308"/>
      <c r="FZ68" s="308"/>
      <c r="GA68" s="308"/>
      <c r="GB68" s="308"/>
      <c r="GC68" s="308"/>
      <c r="GD68" s="308"/>
      <c r="GE68" s="308"/>
      <c r="GF68" s="308"/>
      <c r="GG68" s="308"/>
      <c r="GH68" s="308"/>
      <c r="GI68" s="308"/>
      <c r="GJ68" s="308"/>
      <c r="GK68" s="308"/>
      <c r="GL68" s="308"/>
      <c r="GM68" s="308"/>
      <c r="GN68" s="308"/>
      <c r="GO68" s="308"/>
      <c r="GP68" s="308"/>
      <c r="GQ68" s="308"/>
      <c r="GR68" s="308"/>
      <c r="GS68" s="308"/>
      <c r="GT68" s="308"/>
      <c r="GU68" s="308"/>
      <c r="GV68" s="308"/>
      <c r="GW68" s="308"/>
      <c r="GX68" s="308"/>
      <c r="GY68" s="308"/>
      <c r="GZ68" s="308"/>
    </row>
    <row r="69" spans="1:208" ht="32.25" customHeight="1">
      <c r="A69" s="302">
        <v>17</v>
      </c>
      <c r="B69" s="303">
        <v>44675</v>
      </c>
      <c r="C69" s="304">
        <v>1071279</v>
      </c>
      <c r="D69" s="304" t="s">
        <v>4337</v>
      </c>
      <c r="E69" s="304" t="s">
        <v>4338</v>
      </c>
      <c r="F69" s="304" t="s">
        <v>4264</v>
      </c>
      <c r="G69" s="304">
        <v>3153</v>
      </c>
      <c r="H69" s="304">
        <v>28</v>
      </c>
      <c r="I69" s="304">
        <v>4502316359</v>
      </c>
      <c r="J69" s="304">
        <v>3025460</v>
      </c>
      <c r="K69" s="304">
        <v>4902253729</v>
      </c>
      <c r="L69" s="304" t="s">
        <v>4252</v>
      </c>
      <c r="M69" s="309">
        <v>14228</v>
      </c>
      <c r="N69" s="304">
        <v>8600</v>
      </c>
      <c r="O69" s="306">
        <f t="shared" ref="O69:O104" si="18">M69*N69</f>
        <v>122360800</v>
      </c>
      <c r="P69" s="307">
        <f t="shared" ref="P69:P79" si="19">H69/14</f>
        <v>2</v>
      </c>
      <c r="Q69" s="314" t="s">
        <v>3429</v>
      </c>
      <c r="R69" s="304">
        <v>1070641</v>
      </c>
      <c r="S69" s="319">
        <v>1019200</v>
      </c>
      <c r="T69" s="307"/>
      <c r="U69" s="307"/>
      <c r="V69" s="307"/>
      <c r="W69" s="307"/>
      <c r="X69" s="307"/>
      <c r="Y69" s="307"/>
      <c r="Z69" s="308"/>
      <c r="AA69" s="308"/>
      <c r="AB69" s="308"/>
      <c r="AC69" s="308"/>
      <c r="AD69" s="308"/>
      <c r="AE69" s="308"/>
      <c r="AF69" s="308"/>
      <c r="AG69" s="308"/>
      <c r="AH69" s="308"/>
      <c r="AI69" s="308"/>
      <c r="AJ69" s="308"/>
      <c r="AK69" s="308"/>
      <c r="AL69" s="308"/>
      <c r="AM69" s="308"/>
      <c r="AN69" s="308"/>
      <c r="AO69" s="308"/>
      <c r="AP69" s="308"/>
      <c r="AQ69" s="308"/>
      <c r="AR69" s="308"/>
      <c r="AS69" s="308"/>
      <c r="AT69" s="308"/>
      <c r="AU69" s="308"/>
      <c r="AV69" s="308"/>
      <c r="AW69" s="308"/>
      <c r="AX69" s="308"/>
      <c r="AY69" s="308"/>
      <c r="AZ69" s="308"/>
      <c r="BA69" s="308"/>
      <c r="BB69" s="308"/>
      <c r="BC69" s="308"/>
      <c r="BD69" s="308"/>
      <c r="BE69" s="308"/>
      <c r="BF69" s="308"/>
      <c r="BG69" s="308"/>
      <c r="BH69" s="308"/>
      <c r="BI69" s="308"/>
      <c r="BJ69" s="308"/>
      <c r="BK69" s="308"/>
      <c r="BL69" s="308"/>
      <c r="BM69" s="308"/>
      <c r="BN69" s="308"/>
      <c r="BO69" s="308"/>
      <c r="BP69" s="308"/>
      <c r="BQ69" s="308"/>
      <c r="BR69" s="308"/>
      <c r="BS69" s="308"/>
      <c r="BT69" s="308"/>
      <c r="BU69" s="308"/>
      <c r="BV69" s="308"/>
      <c r="BW69" s="308"/>
      <c r="BX69" s="308"/>
      <c r="BY69" s="308"/>
      <c r="BZ69" s="308"/>
      <c r="CA69" s="308"/>
      <c r="CB69" s="308"/>
      <c r="CC69" s="308"/>
      <c r="CD69" s="308"/>
      <c r="CE69" s="308"/>
      <c r="CF69" s="308"/>
      <c r="CG69" s="308"/>
      <c r="CH69" s="308"/>
      <c r="CI69" s="308"/>
      <c r="CJ69" s="308"/>
      <c r="CK69" s="308"/>
      <c r="CL69" s="308"/>
      <c r="CM69" s="308"/>
      <c r="CN69" s="308"/>
      <c r="CO69" s="308"/>
      <c r="CP69" s="308"/>
      <c r="CQ69" s="308"/>
      <c r="CR69" s="308"/>
      <c r="CS69" s="308"/>
      <c r="CT69" s="308"/>
      <c r="CU69" s="308"/>
      <c r="CV69" s="308"/>
      <c r="CW69" s="308"/>
      <c r="CX69" s="308"/>
      <c r="CY69" s="308"/>
      <c r="CZ69" s="308"/>
      <c r="DA69" s="308"/>
      <c r="DB69" s="308"/>
      <c r="DC69" s="308"/>
      <c r="DD69" s="308"/>
      <c r="DE69" s="308"/>
      <c r="DF69" s="308"/>
      <c r="DG69" s="308"/>
      <c r="DH69" s="308"/>
      <c r="DI69" s="308"/>
      <c r="DJ69" s="308"/>
      <c r="DK69" s="308"/>
      <c r="DL69" s="308"/>
      <c r="DM69" s="308"/>
      <c r="DN69" s="308"/>
      <c r="DO69" s="308"/>
      <c r="DP69" s="308"/>
      <c r="DQ69" s="308"/>
      <c r="DR69" s="308"/>
      <c r="DS69" s="308"/>
      <c r="DT69" s="308"/>
      <c r="DU69" s="308"/>
      <c r="DV69" s="308"/>
      <c r="DW69" s="308"/>
      <c r="DX69" s="308"/>
      <c r="DY69" s="308"/>
      <c r="DZ69" s="308"/>
      <c r="EA69" s="308"/>
      <c r="EB69" s="308"/>
      <c r="EC69" s="308"/>
      <c r="ED69" s="308"/>
      <c r="EE69" s="308"/>
      <c r="EF69" s="308"/>
      <c r="EG69" s="308"/>
      <c r="EH69" s="308"/>
      <c r="EI69" s="308"/>
      <c r="EJ69" s="308"/>
      <c r="EK69" s="308"/>
      <c r="EL69" s="308"/>
      <c r="EM69" s="308"/>
      <c r="EN69" s="308"/>
      <c r="EO69" s="308"/>
      <c r="EP69" s="308"/>
      <c r="EQ69" s="308"/>
      <c r="ER69" s="308"/>
      <c r="ES69" s="308"/>
      <c r="ET69" s="308"/>
      <c r="EU69" s="308"/>
      <c r="EV69" s="308"/>
      <c r="EW69" s="308"/>
      <c r="EX69" s="308"/>
      <c r="EY69" s="308"/>
      <c r="EZ69" s="308"/>
      <c r="FA69" s="308"/>
      <c r="FB69" s="308"/>
      <c r="FC69" s="308"/>
      <c r="FD69" s="308"/>
      <c r="FE69" s="308"/>
      <c r="FF69" s="308"/>
      <c r="FG69" s="308"/>
      <c r="FH69" s="308"/>
      <c r="FI69" s="308"/>
      <c r="FJ69" s="308"/>
      <c r="FK69" s="308"/>
      <c r="FL69" s="308"/>
      <c r="FM69" s="308"/>
      <c r="FN69" s="308"/>
      <c r="FO69" s="308"/>
      <c r="FP69" s="308"/>
      <c r="FQ69" s="308"/>
      <c r="FR69" s="308"/>
      <c r="FS69" s="308"/>
      <c r="FT69" s="308"/>
      <c r="FU69" s="308"/>
      <c r="FV69" s="308"/>
      <c r="FW69" s="308"/>
      <c r="FX69" s="308"/>
      <c r="FY69" s="308"/>
      <c r="FZ69" s="308"/>
      <c r="GA69" s="308"/>
      <c r="GB69" s="308"/>
      <c r="GC69" s="308"/>
      <c r="GD69" s="308"/>
      <c r="GE69" s="308"/>
      <c r="GF69" s="308"/>
      <c r="GG69" s="308"/>
      <c r="GH69" s="308"/>
      <c r="GI69" s="308"/>
      <c r="GJ69" s="308"/>
      <c r="GK69" s="308"/>
      <c r="GL69" s="308"/>
      <c r="GM69" s="308"/>
      <c r="GN69" s="308"/>
      <c r="GO69" s="308"/>
      <c r="GP69" s="308"/>
      <c r="GQ69" s="308"/>
      <c r="GR69" s="308"/>
      <c r="GS69" s="308"/>
      <c r="GT69" s="308"/>
      <c r="GU69" s="308"/>
      <c r="GV69" s="308"/>
      <c r="GW69" s="308"/>
      <c r="GX69" s="308"/>
      <c r="GY69" s="308"/>
      <c r="GZ69" s="308"/>
    </row>
    <row r="70" spans="1:208" ht="50.25" customHeight="1">
      <c r="A70" s="302">
        <v>17</v>
      </c>
      <c r="B70" s="303">
        <v>44675</v>
      </c>
      <c r="C70" s="304">
        <v>1077839</v>
      </c>
      <c r="D70" s="304" t="s">
        <v>4339</v>
      </c>
      <c r="E70" s="304" t="s">
        <v>4340</v>
      </c>
      <c r="F70" s="304" t="s">
        <v>4264</v>
      </c>
      <c r="G70" s="304">
        <v>3154</v>
      </c>
      <c r="H70" s="304">
        <v>56</v>
      </c>
      <c r="I70" s="304">
        <v>4502316360</v>
      </c>
      <c r="J70" s="304">
        <v>3025460</v>
      </c>
      <c r="K70" s="304">
        <v>4902253730</v>
      </c>
      <c r="L70" s="304" t="s">
        <v>4252</v>
      </c>
      <c r="M70" s="309">
        <v>31030</v>
      </c>
      <c r="N70" s="304">
        <v>8600</v>
      </c>
      <c r="O70" s="306">
        <f t="shared" si="18"/>
        <v>266858000</v>
      </c>
      <c r="P70" s="307">
        <f t="shared" si="19"/>
        <v>4</v>
      </c>
      <c r="Q70" s="314" t="s">
        <v>3429</v>
      </c>
      <c r="R70" s="304">
        <v>1070641</v>
      </c>
      <c r="S70" s="319">
        <v>2040000</v>
      </c>
      <c r="T70" s="307"/>
      <c r="U70" s="307"/>
      <c r="V70" s="307"/>
      <c r="W70" s="307"/>
      <c r="X70" s="307"/>
      <c r="Y70" s="307"/>
      <c r="Z70" s="308"/>
      <c r="AA70" s="308"/>
      <c r="AB70" s="308"/>
      <c r="AC70" s="308"/>
      <c r="AD70" s="308"/>
      <c r="AE70" s="308"/>
      <c r="AF70" s="308"/>
      <c r="AG70" s="308"/>
      <c r="AH70" s="308"/>
      <c r="AI70" s="308"/>
      <c r="AJ70" s="308"/>
      <c r="AK70" s="308"/>
      <c r="AL70" s="308"/>
      <c r="AM70" s="308"/>
      <c r="AN70" s="308"/>
      <c r="AO70" s="308"/>
      <c r="AP70" s="308"/>
      <c r="AQ70" s="308"/>
      <c r="AR70" s="308"/>
      <c r="AS70" s="308"/>
      <c r="AT70" s="308"/>
      <c r="AU70" s="308"/>
      <c r="AV70" s="308"/>
      <c r="AW70" s="308"/>
      <c r="AX70" s="308"/>
      <c r="AY70" s="308"/>
      <c r="AZ70" s="308"/>
      <c r="BA70" s="308"/>
      <c r="BB70" s="308"/>
      <c r="BC70" s="308"/>
      <c r="BD70" s="308"/>
      <c r="BE70" s="308"/>
      <c r="BF70" s="308"/>
      <c r="BG70" s="308"/>
      <c r="BH70" s="308"/>
      <c r="BI70" s="308"/>
      <c r="BJ70" s="308"/>
      <c r="BK70" s="308"/>
      <c r="BL70" s="308"/>
      <c r="BM70" s="308"/>
      <c r="BN70" s="308"/>
      <c r="BO70" s="308"/>
      <c r="BP70" s="308"/>
      <c r="BQ70" s="308"/>
      <c r="BR70" s="308"/>
      <c r="BS70" s="308"/>
      <c r="BT70" s="308"/>
      <c r="BU70" s="308"/>
      <c r="BV70" s="308"/>
      <c r="BW70" s="308"/>
      <c r="BX70" s="308"/>
      <c r="BY70" s="308"/>
      <c r="BZ70" s="308"/>
      <c r="CA70" s="308"/>
      <c r="CB70" s="308"/>
      <c r="CC70" s="308"/>
      <c r="CD70" s="308"/>
      <c r="CE70" s="308"/>
      <c r="CF70" s="308"/>
      <c r="CG70" s="308"/>
      <c r="CH70" s="308"/>
      <c r="CI70" s="308"/>
      <c r="CJ70" s="308"/>
      <c r="CK70" s="308"/>
      <c r="CL70" s="308"/>
      <c r="CM70" s="308"/>
      <c r="CN70" s="308"/>
      <c r="CO70" s="308"/>
      <c r="CP70" s="308"/>
      <c r="CQ70" s="308"/>
      <c r="CR70" s="308"/>
      <c r="CS70" s="308"/>
      <c r="CT70" s="308"/>
      <c r="CU70" s="308"/>
      <c r="CV70" s="308"/>
      <c r="CW70" s="308"/>
      <c r="CX70" s="308"/>
      <c r="CY70" s="308"/>
      <c r="CZ70" s="308"/>
      <c r="DA70" s="308"/>
      <c r="DB70" s="308"/>
      <c r="DC70" s="308"/>
      <c r="DD70" s="308"/>
      <c r="DE70" s="308"/>
      <c r="DF70" s="308"/>
      <c r="DG70" s="308"/>
      <c r="DH70" s="308"/>
      <c r="DI70" s="308"/>
      <c r="DJ70" s="308"/>
      <c r="DK70" s="308"/>
      <c r="DL70" s="308"/>
      <c r="DM70" s="308"/>
      <c r="DN70" s="308"/>
      <c r="DO70" s="308"/>
      <c r="DP70" s="308"/>
      <c r="DQ70" s="308"/>
      <c r="DR70" s="308"/>
      <c r="DS70" s="308"/>
      <c r="DT70" s="308"/>
      <c r="DU70" s="308"/>
      <c r="DV70" s="308"/>
      <c r="DW70" s="308"/>
      <c r="DX70" s="308"/>
      <c r="DY70" s="308"/>
      <c r="DZ70" s="308"/>
      <c r="EA70" s="308"/>
      <c r="EB70" s="308"/>
      <c r="EC70" s="308"/>
      <c r="ED70" s="308"/>
      <c r="EE70" s="308"/>
      <c r="EF70" s="308"/>
      <c r="EG70" s="308"/>
      <c r="EH70" s="308"/>
      <c r="EI70" s="308"/>
      <c r="EJ70" s="308"/>
      <c r="EK70" s="308"/>
      <c r="EL70" s="308"/>
      <c r="EM70" s="308"/>
      <c r="EN70" s="308"/>
      <c r="EO70" s="308"/>
      <c r="EP70" s="308"/>
      <c r="EQ70" s="308"/>
      <c r="ER70" s="308"/>
      <c r="ES70" s="308"/>
      <c r="ET70" s="308"/>
      <c r="EU70" s="308"/>
      <c r="EV70" s="308"/>
      <c r="EW70" s="308"/>
      <c r="EX70" s="308"/>
      <c r="EY70" s="308"/>
      <c r="EZ70" s="308"/>
      <c r="FA70" s="308"/>
      <c r="FB70" s="308"/>
      <c r="FC70" s="308"/>
      <c r="FD70" s="308"/>
      <c r="FE70" s="308"/>
      <c r="FF70" s="308"/>
      <c r="FG70" s="308"/>
      <c r="FH70" s="308"/>
      <c r="FI70" s="308"/>
      <c r="FJ70" s="308"/>
      <c r="FK70" s="308"/>
      <c r="FL70" s="308"/>
      <c r="FM70" s="308"/>
      <c r="FN70" s="308"/>
      <c r="FO70" s="308"/>
      <c r="FP70" s="308"/>
      <c r="FQ70" s="308"/>
      <c r="FR70" s="308"/>
      <c r="FS70" s="308"/>
      <c r="FT70" s="308"/>
      <c r="FU70" s="308"/>
      <c r="FV70" s="308"/>
      <c r="FW70" s="308"/>
      <c r="FX70" s="308"/>
      <c r="FY70" s="308"/>
      <c r="FZ70" s="308"/>
      <c r="GA70" s="308"/>
      <c r="GB70" s="308"/>
      <c r="GC70" s="308"/>
      <c r="GD70" s="308"/>
      <c r="GE70" s="308"/>
      <c r="GF70" s="308"/>
      <c r="GG70" s="308"/>
      <c r="GH70" s="308"/>
      <c r="GI70" s="308"/>
      <c r="GJ70" s="308"/>
      <c r="GK70" s="308"/>
      <c r="GL70" s="308"/>
      <c r="GM70" s="308"/>
      <c r="GN70" s="308"/>
      <c r="GO70" s="308"/>
      <c r="GP70" s="308"/>
      <c r="GQ70" s="308"/>
      <c r="GR70" s="308"/>
      <c r="GS70" s="308"/>
      <c r="GT70" s="308"/>
      <c r="GU70" s="308"/>
      <c r="GV70" s="308"/>
      <c r="GW70" s="308"/>
      <c r="GX70" s="308"/>
      <c r="GY70" s="308"/>
      <c r="GZ70" s="308"/>
    </row>
    <row r="71" spans="1:208" ht="33.75" customHeight="1">
      <c r="A71" s="302">
        <v>17</v>
      </c>
      <c r="B71" s="303">
        <v>44676</v>
      </c>
      <c r="C71" s="304">
        <v>1058904</v>
      </c>
      <c r="D71" s="304" t="s">
        <v>4341</v>
      </c>
      <c r="E71" s="304" t="s">
        <v>4342</v>
      </c>
      <c r="F71" s="304" t="s">
        <v>4264</v>
      </c>
      <c r="G71" s="304">
        <v>3174</v>
      </c>
      <c r="H71" s="304">
        <v>56</v>
      </c>
      <c r="I71" s="304">
        <v>4502316794</v>
      </c>
      <c r="J71" s="304">
        <v>3025460</v>
      </c>
      <c r="K71" s="304">
        <v>4902253731</v>
      </c>
      <c r="L71" s="304" t="s">
        <v>4252</v>
      </c>
      <c r="M71" s="309">
        <v>26955</v>
      </c>
      <c r="N71" s="304">
        <v>8000</v>
      </c>
      <c r="O71" s="306">
        <f t="shared" si="18"/>
        <v>215640000</v>
      </c>
      <c r="P71" s="307">
        <f t="shared" si="19"/>
        <v>4</v>
      </c>
      <c r="Q71" s="314" t="s">
        <v>3429</v>
      </c>
      <c r="R71" s="304">
        <v>1070641</v>
      </c>
      <c r="S71" s="319">
        <v>1507200</v>
      </c>
      <c r="T71" s="307"/>
      <c r="U71" s="307"/>
      <c r="V71" s="307"/>
      <c r="W71" s="307"/>
      <c r="X71" s="307"/>
      <c r="Y71" s="307"/>
      <c r="Z71" s="308"/>
      <c r="AA71" s="308"/>
      <c r="AB71" s="308"/>
      <c r="AC71" s="308"/>
      <c r="AD71" s="308"/>
      <c r="AE71" s="308"/>
      <c r="AF71" s="308"/>
      <c r="AG71" s="308"/>
      <c r="AH71" s="308"/>
      <c r="AI71" s="308"/>
      <c r="AJ71" s="308"/>
      <c r="AK71" s="308"/>
      <c r="AL71" s="308"/>
      <c r="AM71" s="308"/>
      <c r="AN71" s="308"/>
      <c r="AO71" s="308"/>
      <c r="AP71" s="308"/>
      <c r="AQ71" s="308"/>
      <c r="AR71" s="308"/>
      <c r="AS71" s="308"/>
      <c r="AT71" s="308"/>
      <c r="AU71" s="308"/>
      <c r="AV71" s="308"/>
      <c r="AW71" s="308"/>
      <c r="AX71" s="308"/>
      <c r="AY71" s="308"/>
      <c r="AZ71" s="308"/>
      <c r="BA71" s="308"/>
      <c r="BB71" s="308"/>
      <c r="BC71" s="308"/>
      <c r="BD71" s="308"/>
      <c r="BE71" s="308"/>
      <c r="BF71" s="308"/>
      <c r="BG71" s="308"/>
      <c r="BH71" s="308"/>
      <c r="BI71" s="308"/>
      <c r="BJ71" s="308"/>
      <c r="BK71" s="308"/>
      <c r="BL71" s="308"/>
      <c r="BM71" s="308"/>
      <c r="BN71" s="308"/>
      <c r="BO71" s="308"/>
      <c r="BP71" s="308"/>
      <c r="BQ71" s="308"/>
      <c r="BR71" s="308"/>
      <c r="BS71" s="308"/>
      <c r="BT71" s="308"/>
      <c r="BU71" s="308"/>
      <c r="BV71" s="308"/>
      <c r="BW71" s="308"/>
      <c r="BX71" s="308"/>
      <c r="BY71" s="308"/>
      <c r="BZ71" s="308"/>
      <c r="CA71" s="308"/>
      <c r="CB71" s="308"/>
      <c r="CC71" s="308"/>
      <c r="CD71" s="308"/>
      <c r="CE71" s="308"/>
      <c r="CF71" s="308"/>
      <c r="CG71" s="308"/>
      <c r="CH71" s="308"/>
      <c r="CI71" s="308"/>
      <c r="CJ71" s="308"/>
      <c r="CK71" s="308"/>
      <c r="CL71" s="308"/>
      <c r="CM71" s="308"/>
      <c r="CN71" s="308"/>
      <c r="CO71" s="308"/>
      <c r="CP71" s="308"/>
      <c r="CQ71" s="308"/>
      <c r="CR71" s="308"/>
      <c r="CS71" s="308"/>
      <c r="CT71" s="308"/>
      <c r="CU71" s="308"/>
      <c r="CV71" s="308"/>
      <c r="CW71" s="308"/>
      <c r="CX71" s="308"/>
      <c r="CY71" s="308"/>
      <c r="CZ71" s="308"/>
      <c r="DA71" s="308"/>
      <c r="DB71" s="308"/>
      <c r="DC71" s="308"/>
      <c r="DD71" s="308"/>
      <c r="DE71" s="308"/>
      <c r="DF71" s="308"/>
      <c r="DG71" s="308"/>
      <c r="DH71" s="308"/>
      <c r="DI71" s="308"/>
      <c r="DJ71" s="308"/>
      <c r="DK71" s="308"/>
      <c r="DL71" s="308"/>
      <c r="DM71" s="308"/>
      <c r="DN71" s="308"/>
      <c r="DO71" s="308"/>
      <c r="DP71" s="308"/>
      <c r="DQ71" s="308"/>
      <c r="DR71" s="308"/>
      <c r="DS71" s="308"/>
      <c r="DT71" s="308"/>
      <c r="DU71" s="308"/>
      <c r="DV71" s="308"/>
      <c r="DW71" s="308"/>
      <c r="DX71" s="308"/>
      <c r="DY71" s="308"/>
      <c r="DZ71" s="308"/>
      <c r="EA71" s="308"/>
      <c r="EB71" s="308"/>
      <c r="EC71" s="308"/>
      <c r="ED71" s="308"/>
      <c r="EE71" s="308"/>
      <c r="EF71" s="308"/>
      <c r="EG71" s="308"/>
      <c r="EH71" s="308"/>
      <c r="EI71" s="308"/>
      <c r="EJ71" s="308"/>
      <c r="EK71" s="308"/>
      <c r="EL71" s="308"/>
      <c r="EM71" s="308"/>
      <c r="EN71" s="308"/>
      <c r="EO71" s="308"/>
      <c r="EP71" s="308"/>
      <c r="EQ71" s="308"/>
      <c r="ER71" s="308"/>
      <c r="ES71" s="308"/>
      <c r="ET71" s="308"/>
      <c r="EU71" s="308"/>
      <c r="EV71" s="308"/>
      <c r="EW71" s="308"/>
      <c r="EX71" s="308"/>
      <c r="EY71" s="308"/>
      <c r="EZ71" s="308"/>
      <c r="FA71" s="308"/>
      <c r="FB71" s="308"/>
      <c r="FC71" s="308"/>
      <c r="FD71" s="308"/>
      <c r="FE71" s="308"/>
      <c r="FF71" s="308"/>
      <c r="FG71" s="308"/>
      <c r="FH71" s="308"/>
      <c r="FI71" s="308"/>
      <c r="FJ71" s="308"/>
      <c r="FK71" s="308"/>
      <c r="FL71" s="308"/>
      <c r="FM71" s="308"/>
      <c r="FN71" s="308"/>
      <c r="FO71" s="308"/>
      <c r="FP71" s="308"/>
      <c r="FQ71" s="308"/>
      <c r="FR71" s="308"/>
      <c r="FS71" s="308"/>
      <c r="FT71" s="308"/>
      <c r="FU71" s="308"/>
      <c r="FV71" s="308"/>
      <c r="FW71" s="308"/>
      <c r="FX71" s="308"/>
      <c r="FY71" s="308"/>
      <c r="FZ71" s="308"/>
      <c r="GA71" s="308"/>
      <c r="GB71" s="308"/>
      <c r="GC71" s="308"/>
      <c r="GD71" s="308"/>
      <c r="GE71" s="308"/>
      <c r="GF71" s="308"/>
      <c r="GG71" s="308"/>
      <c r="GH71" s="308"/>
      <c r="GI71" s="308"/>
      <c r="GJ71" s="308"/>
      <c r="GK71" s="308"/>
      <c r="GL71" s="308"/>
      <c r="GM71" s="308"/>
      <c r="GN71" s="308"/>
      <c r="GO71" s="308"/>
      <c r="GP71" s="308"/>
      <c r="GQ71" s="308"/>
      <c r="GR71" s="308"/>
      <c r="GS71" s="308"/>
      <c r="GT71" s="308"/>
      <c r="GU71" s="308"/>
      <c r="GV71" s="308"/>
      <c r="GW71" s="308"/>
      <c r="GX71" s="308"/>
      <c r="GY71" s="308"/>
      <c r="GZ71" s="308"/>
    </row>
    <row r="72" spans="1:208" ht="33.75" customHeight="1">
      <c r="A72" s="302">
        <v>17</v>
      </c>
      <c r="B72" s="303">
        <v>44676</v>
      </c>
      <c r="C72" s="304">
        <v>1003100</v>
      </c>
      <c r="D72" s="304" t="s">
        <v>4343</v>
      </c>
      <c r="E72" s="304" t="s">
        <v>4344</v>
      </c>
      <c r="F72" s="304" t="s">
        <v>4275</v>
      </c>
      <c r="G72" s="304">
        <v>3152</v>
      </c>
      <c r="H72" s="304">
        <v>42</v>
      </c>
      <c r="I72" s="304">
        <v>4502316797</v>
      </c>
      <c r="J72" s="304">
        <v>3025459</v>
      </c>
      <c r="K72" s="304">
        <v>4902253735</v>
      </c>
      <c r="L72" s="304" t="s">
        <v>4252</v>
      </c>
      <c r="M72" s="309">
        <v>19884</v>
      </c>
      <c r="N72" s="304">
        <v>8500</v>
      </c>
      <c r="O72" s="306">
        <f t="shared" si="18"/>
        <v>169014000</v>
      </c>
      <c r="P72" s="307">
        <f t="shared" si="19"/>
        <v>3</v>
      </c>
      <c r="Q72" s="314" t="s">
        <v>3429</v>
      </c>
      <c r="R72" s="304">
        <v>1070641</v>
      </c>
      <c r="S72" s="319">
        <v>2760000</v>
      </c>
      <c r="T72" s="307"/>
      <c r="U72" s="307"/>
      <c r="V72" s="307"/>
      <c r="W72" s="307"/>
      <c r="X72" s="307"/>
      <c r="Y72" s="307"/>
      <c r="Z72" s="308"/>
      <c r="AA72" s="308"/>
      <c r="AB72" s="308"/>
      <c r="AC72" s="308"/>
      <c r="AD72" s="308"/>
      <c r="AE72" s="308"/>
      <c r="AF72" s="308"/>
      <c r="AG72" s="308"/>
      <c r="AH72" s="308"/>
      <c r="AI72" s="308"/>
      <c r="AJ72" s="308"/>
      <c r="AK72" s="308"/>
      <c r="AL72" s="308"/>
      <c r="AM72" s="308"/>
      <c r="AN72" s="308"/>
      <c r="AO72" s="308"/>
      <c r="AP72" s="308"/>
      <c r="AQ72" s="308"/>
      <c r="AR72" s="308"/>
      <c r="AS72" s="308"/>
      <c r="AT72" s="308"/>
      <c r="AU72" s="308"/>
      <c r="AV72" s="308"/>
      <c r="AW72" s="308"/>
      <c r="AX72" s="308"/>
      <c r="AY72" s="308"/>
      <c r="AZ72" s="308"/>
      <c r="BA72" s="308"/>
      <c r="BB72" s="308"/>
      <c r="BC72" s="308"/>
      <c r="BD72" s="308"/>
      <c r="BE72" s="308"/>
      <c r="BF72" s="308"/>
      <c r="BG72" s="308"/>
      <c r="BH72" s="308"/>
      <c r="BI72" s="308"/>
      <c r="BJ72" s="308"/>
      <c r="BK72" s="308"/>
      <c r="BL72" s="308"/>
      <c r="BM72" s="308"/>
      <c r="BN72" s="308"/>
      <c r="BO72" s="308"/>
      <c r="BP72" s="308"/>
      <c r="BQ72" s="308"/>
      <c r="BR72" s="308"/>
      <c r="BS72" s="308"/>
      <c r="BT72" s="308"/>
      <c r="BU72" s="308"/>
      <c r="BV72" s="308"/>
      <c r="BW72" s="308"/>
      <c r="BX72" s="308"/>
      <c r="BY72" s="308"/>
      <c r="BZ72" s="308"/>
      <c r="CA72" s="308"/>
      <c r="CB72" s="308"/>
      <c r="CC72" s="308"/>
      <c r="CD72" s="308"/>
      <c r="CE72" s="308"/>
      <c r="CF72" s="308"/>
      <c r="CG72" s="308"/>
      <c r="CH72" s="308"/>
      <c r="CI72" s="308"/>
      <c r="CJ72" s="308"/>
      <c r="CK72" s="308"/>
      <c r="CL72" s="308"/>
      <c r="CM72" s="308"/>
      <c r="CN72" s="308"/>
      <c r="CO72" s="308"/>
      <c r="CP72" s="308"/>
      <c r="CQ72" s="308"/>
      <c r="CR72" s="308"/>
      <c r="CS72" s="308"/>
      <c r="CT72" s="308"/>
      <c r="CU72" s="308"/>
      <c r="CV72" s="308"/>
      <c r="CW72" s="308"/>
      <c r="CX72" s="308"/>
      <c r="CY72" s="308"/>
      <c r="CZ72" s="308"/>
      <c r="DA72" s="308"/>
      <c r="DB72" s="308"/>
      <c r="DC72" s="308"/>
      <c r="DD72" s="308"/>
      <c r="DE72" s="308"/>
      <c r="DF72" s="308"/>
      <c r="DG72" s="308"/>
      <c r="DH72" s="308"/>
      <c r="DI72" s="308"/>
      <c r="DJ72" s="308"/>
      <c r="DK72" s="308"/>
      <c r="DL72" s="308"/>
      <c r="DM72" s="308"/>
      <c r="DN72" s="308"/>
      <c r="DO72" s="308"/>
      <c r="DP72" s="308"/>
      <c r="DQ72" s="308"/>
      <c r="DR72" s="308"/>
      <c r="DS72" s="308"/>
      <c r="DT72" s="308"/>
      <c r="DU72" s="308"/>
      <c r="DV72" s="308"/>
      <c r="DW72" s="308"/>
      <c r="DX72" s="308"/>
      <c r="DY72" s="308"/>
      <c r="DZ72" s="308"/>
      <c r="EA72" s="308"/>
      <c r="EB72" s="308"/>
      <c r="EC72" s="308"/>
      <c r="ED72" s="308"/>
      <c r="EE72" s="308"/>
      <c r="EF72" s="308"/>
      <c r="EG72" s="308"/>
      <c r="EH72" s="308"/>
      <c r="EI72" s="308"/>
      <c r="EJ72" s="308"/>
      <c r="EK72" s="308"/>
      <c r="EL72" s="308"/>
      <c r="EM72" s="308"/>
      <c r="EN72" s="308"/>
      <c r="EO72" s="308"/>
      <c r="EP72" s="308"/>
      <c r="EQ72" s="308"/>
      <c r="ER72" s="308"/>
      <c r="ES72" s="308"/>
      <c r="ET72" s="308"/>
      <c r="EU72" s="308"/>
      <c r="EV72" s="308"/>
      <c r="EW72" s="308"/>
      <c r="EX72" s="308"/>
      <c r="EY72" s="308"/>
      <c r="EZ72" s="308"/>
      <c r="FA72" s="308"/>
      <c r="FB72" s="308"/>
      <c r="FC72" s="308"/>
      <c r="FD72" s="308"/>
      <c r="FE72" s="308"/>
      <c r="FF72" s="308"/>
      <c r="FG72" s="308"/>
      <c r="FH72" s="308"/>
      <c r="FI72" s="308"/>
      <c r="FJ72" s="308"/>
      <c r="FK72" s="308"/>
      <c r="FL72" s="308"/>
      <c r="FM72" s="308"/>
      <c r="FN72" s="308"/>
      <c r="FO72" s="308"/>
      <c r="FP72" s="308"/>
      <c r="FQ72" s="308"/>
      <c r="FR72" s="308"/>
      <c r="FS72" s="308"/>
      <c r="FT72" s="308"/>
      <c r="FU72" s="308"/>
      <c r="FV72" s="308"/>
      <c r="FW72" s="308"/>
      <c r="FX72" s="308"/>
      <c r="FY72" s="308"/>
      <c r="FZ72" s="308"/>
      <c r="GA72" s="308"/>
      <c r="GB72" s="308"/>
      <c r="GC72" s="308"/>
      <c r="GD72" s="308"/>
      <c r="GE72" s="308"/>
      <c r="GF72" s="308"/>
      <c r="GG72" s="308"/>
      <c r="GH72" s="308"/>
      <c r="GI72" s="308"/>
      <c r="GJ72" s="308"/>
      <c r="GK72" s="308"/>
      <c r="GL72" s="308"/>
      <c r="GM72" s="308"/>
      <c r="GN72" s="308"/>
      <c r="GO72" s="308"/>
      <c r="GP72" s="308"/>
      <c r="GQ72" s="308"/>
      <c r="GR72" s="308"/>
      <c r="GS72" s="308"/>
      <c r="GT72" s="308"/>
      <c r="GU72" s="308"/>
      <c r="GV72" s="308"/>
      <c r="GW72" s="308"/>
      <c r="GX72" s="308"/>
      <c r="GY72" s="308"/>
      <c r="GZ72" s="308"/>
    </row>
    <row r="73" spans="1:208" ht="37.5" customHeight="1">
      <c r="A73" s="302">
        <v>17</v>
      </c>
      <c r="B73" s="303">
        <v>44677</v>
      </c>
      <c r="C73" s="304">
        <v>1096824</v>
      </c>
      <c r="D73" s="304" t="s">
        <v>4345</v>
      </c>
      <c r="E73" s="304" t="s">
        <v>4254</v>
      </c>
      <c r="F73" s="304" t="s">
        <v>4275</v>
      </c>
      <c r="G73" s="304">
        <v>3187</v>
      </c>
      <c r="H73" s="304">
        <v>56</v>
      </c>
      <c r="I73" s="304">
        <v>4502318484</v>
      </c>
      <c r="J73" s="304">
        <v>3025459</v>
      </c>
      <c r="K73" s="304">
        <v>4902253737</v>
      </c>
      <c r="L73" s="304" t="s">
        <v>4252</v>
      </c>
      <c r="M73" s="309">
        <v>28792</v>
      </c>
      <c r="N73" s="304">
        <v>8000</v>
      </c>
      <c r="O73" s="306">
        <f t="shared" si="18"/>
        <v>230336000</v>
      </c>
      <c r="P73" s="307">
        <f t="shared" si="19"/>
        <v>4</v>
      </c>
      <c r="Q73" s="314" t="s">
        <v>3455</v>
      </c>
      <c r="R73" s="304">
        <v>1040968</v>
      </c>
      <c r="S73" s="319">
        <v>11916800</v>
      </c>
      <c r="T73" s="307"/>
      <c r="U73" s="307"/>
      <c r="V73" s="307"/>
      <c r="W73" s="307"/>
      <c r="X73" s="307"/>
      <c r="Y73" s="307"/>
      <c r="Z73" s="308"/>
      <c r="AA73" s="308"/>
      <c r="AB73" s="308"/>
      <c r="AC73" s="308"/>
      <c r="AD73" s="308"/>
      <c r="AE73" s="308"/>
      <c r="AF73" s="308"/>
      <c r="AG73" s="308"/>
      <c r="AH73" s="308"/>
      <c r="AI73" s="308"/>
      <c r="AJ73" s="308"/>
      <c r="AK73" s="308"/>
      <c r="AL73" s="308"/>
      <c r="AM73" s="308"/>
      <c r="AN73" s="308"/>
      <c r="AO73" s="308"/>
      <c r="AP73" s="308"/>
      <c r="AQ73" s="308"/>
      <c r="AR73" s="308"/>
      <c r="AS73" s="308"/>
      <c r="AT73" s="308"/>
      <c r="AU73" s="308"/>
      <c r="AV73" s="308"/>
      <c r="AW73" s="308"/>
      <c r="AX73" s="308"/>
      <c r="AY73" s="308"/>
      <c r="AZ73" s="308"/>
      <c r="BA73" s="308"/>
      <c r="BB73" s="308"/>
      <c r="BC73" s="308"/>
      <c r="BD73" s="308"/>
      <c r="BE73" s="308"/>
      <c r="BF73" s="308"/>
      <c r="BG73" s="308"/>
      <c r="BH73" s="308"/>
      <c r="BI73" s="308"/>
      <c r="BJ73" s="308"/>
      <c r="BK73" s="308"/>
      <c r="BL73" s="308"/>
      <c r="BM73" s="308"/>
      <c r="BN73" s="308"/>
      <c r="BO73" s="308"/>
      <c r="BP73" s="308"/>
      <c r="BQ73" s="308"/>
      <c r="BR73" s="308"/>
      <c r="BS73" s="308"/>
      <c r="BT73" s="308"/>
      <c r="BU73" s="308"/>
      <c r="BV73" s="308"/>
      <c r="BW73" s="308"/>
      <c r="BX73" s="308"/>
      <c r="BY73" s="308"/>
      <c r="BZ73" s="308"/>
      <c r="CA73" s="308"/>
      <c r="CB73" s="308"/>
      <c r="CC73" s="308"/>
      <c r="CD73" s="308"/>
      <c r="CE73" s="308"/>
      <c r="CF73" s="308"/>
      <c r="CG73" s="308"/>
      <c r="CH73" s="308"/>
      <c r="CI73" s="308"/>
      <c r="CJ73" s="308"/>
      <c r="CK73" s="308"/>
      <c r="CL73" s="308"/>
      <c r="CM73" s="308"/>
      <c r="CN73" s="308"/>
      <c r="CO73" s="308"/>
      <c r="CP73" s="308"/>
      <c r="CQ73" s="308"/>
      <c r="CR73" s="308"/>
      <c r="CS73" s="308"/>
      <c r="CT73" s="308"/>
      <c r="CU73" s="308"/>
      <c r="CV73" s="308"/>
      <c r="CW73" s="308"/>
      <c r="CX73" s="308"/>
      <c r="CY73" s="308"/>
      <c r="CZ73" s="308"/>
      <c r="DA73" s="308"/>
      <c r="DB73" s="308"/>
      <c r="DC73" s="308"/>
      <c r="DD73" s="308"/>
      <c r="DE73" s="308"/>
      <c r="DF73" s="308"/>
      <c r="DG73" s="308"/>
      <c r="DH73" s="308"/>
      <c r="DI73" s="308"/>
      <c r="DJ73" s="308"/>
      <c r="DK73" s="308"/>
      <c r="DL73" s="308"/>
      <c r="DM73" s="308"/>
      <c r="DN73" s="308"/>
      <c r="DO73" s="308"/>
      <c r="DP73" s="308"/>
      <c r="DQ73" s="308"/>
      <c r="DR73" s="308"/>
      <c r="DS73" s="308"/>
      <c r="DT73" s="308"/>
      <c r="DU73" s="308"/>
      <c r="DV73" s="308"/>
      <c r="DW73" s="308"/>
      <c r="DX73" s="308"/>
      <c r="DY73" s="308"/>
      <c r="DZ73" s="308"/>
      <c r="EA73" s="308"/>
      <c r="EB73" s="308"/>
      <c r="EC73" s="308"/>
      <c r="ED73" s="308"/>
      <c r="EE73" s="308"/>
      <c r="EF73" s="308"/>
      <c r="EG73" s="308"/>
      <c r="EH73" s="308"/>
      <c r="EI73" s="308"/>
      <c r="EJ73" s="308"/>
      <c r="EK73" s="308"/>
      <c r="EL73" s="308"/>
      <c r="EM73" s="308"/>
      <c r="EN73" s="308"/>
      <c r="EO73" s="308"/>
      <c r="EP73" s="308"/>
      <c r="EQ73" s="308"/>
      <c r="ER73" s="308"/>
      <c r="ES73" s="308"/>
      <c r="ET73" s="308"/>
      <c r="EU73" s="308"/>
      <c r="EV73" s="308"/>
      <c r="EW73" s="308"/>
      <c r="EX73" s="308"/>
      <c r="EY73" s="308"/>
      <c r="EZ73" s="308"/>
      <c r="FA73" s="308"/>
      <c r="FB73" s="308"/>
      <c r="FC73" s="308"/>
      <c r="FD73" s="308"/>
      <c r="FE73" s="308"/>
      <c r="FF73" s="308"/>
      <c r="FG73" s="308"/>
      <c r="FH73" s="308"/>
      <c r="FI73" s="308"/>
      <c r="FJ73" s="308"/>
      <c r="FK73" s="308"/>
      <c r="FL73" s="308"/>
      <c r="FM73" s="308"/>
      <c r="FN73" s="308"/>
      <c r="FO73" s="308"/>
      <c r="FP73" s="308"/>
      <c r="FQ73" s="308"/>
      <c r="FR73" s="308"/>
      <c r="FS73" s="308"/>
      <c r="FT73" s="308"/>
      <c r="FU73" s="308"/>
      <c r="FV73" s="308"/>
      <c r="FW73" s="308"/>
      <c r="FX73" s="308"/>
      <c r="FY73" s="308"/>
      <c r="FZ73" s="308"/>
      <c r="GA73" s="308"/>
      <c r="GB73" s="308"/>
      <c r="GC73" s="308"/>
      <c r="GD73" s="308"/>
      <c r="GE73" s="308"/>
      <c r="GF73" s="308"/>
      <c r="GG73" s="308"/>
      <c r="GH73" s="308"/>
      <c r="GI73" s="308"/>
      <c r="GJ73" s="308"/>
      <c r="GK73" s="308"/>
      <c r="GL73" s="308"/>
      <c r="GM73" s="308"/>
      <c r="GN73" s="308"/>
      <c r="GO73" s="308"/>
      <c r="GP73" s="308"/>
      <c r="GQ73" s="308"/>
      <c r="GR73" s="308"/>
      <c r="GS73" s="308"/>
      <c r="GT73" s="308"/>
      <c r="GU73" s="308"/>
      <c r="GV73" s="308"/>
      <c r="GW73" s="308"/>
      <c r="GX73" s="308"/>
      <c r="GY73" s="308"/>
      <c r="GZ73" s="308"/>
    </row>
    <row r="74" spans="1:208" ht="30">
      <c r="A74" s="280">
        <v>18</v>
      </c>
      <c r="B74" s="281">
        <v>44682</v>
      </c>
      <c r="C74" s="282">
        <v>1096573</v>
      </c>
      <c r="D74" s="282" t="s">
        <v>4346</v>
      </c>
      <c r="E74" s="282" t="s">
        <v>4325</v>
      </c>
      <c r="F74" s="282" t="s">
        <v>4251</v>
      </c>
      <c r="G74" s="282">
        <v>3196</v>
      </c>
      <c r="H74" s="282">
        <v>14</v>
      </c>
      <c r="I74" s="282">
        <v>4502322057</v>
      </c>
      <c r="J74" s="282">
        <v>3025457</v>
      </c>
      <c r="K74" s="282">
        <v>4902258584</v>
      </c>
      <c r="L74" s="282" t="s">
        <v>4252</v>
      </c>
      <c r="M74" s="283">
        <v>6624</v>
      </c>
      <c r="N74" s="282">
        <v>8700</v>
      </c>
      <c r="O74" s="284">
        <f t="shared" si="18"/>
        <v>57628800</v>
      </c>
      <c r="P74" s="285">
        <f t="shared" si="19"/>
        <v>1</v>
      </c>
      <c r="Q74" s="321" t="s">
        <v>3455</v>
      </c>
      <c r="R74" s="282">
        <v>1040968</v>
      </c>
      <c r="S74" s="322">
        <v>1245600</v>
      </c>
      <c r="T74" s="285"/>
      <c r="U74" s="285"/>
      <c r="V74" s="285"/>
      <c r="W74" s="285"/>
      <c r="X74" s="285"/>
      <c r="Y74" s="285"/>
      <c r="Z74" s="286"/>
      <c r="AA74" s="286"/>
      <c r="AB74" s="286"/>
      <c r="AC74" s="286"/>
      <c r="AD74" s="286"/>
      <c r="AE74" s="286"/>
      <c r="AF74" s="286"/>
      <c r="AG74" s="286"/>
      <c r="AH74" s="286"/>
      <c r="AI74" s="286"/>
      <c r="AJ74" s="286"/>
      <c r="AK74" s="286"/>
      <c r="AL74" s="286"/>
      <c r="AM74" s="286"/>
      <c r="AN74" s="286"/>
      <c r="AO74" s="286"/>
      <c r="AP74" s="286"/>
      <c r="AQ74" s="286"/>
      <c r="AR74" s="286"/>
      <c r="AS74" s="286"/>
      <c r="AT74" s="286"/>
      <c r="AU74" s="286"/>
      <c r="AV74" s="286"/>
      <c r="AW74" s="286"/>
      <c r="AX74" s="286"/>
      <c r="AY74" s="286"/>
      <c r="AZ74" s="286"/>
      <c r="BA74" s="286"/>
      <c r="BB74" s="286"/>
      <c r="BC74" s="286"/>
      <c r="BD74" s="286"/>
      <c r="BE74" s="286"/>
      <c r="BF74" s="286"/>
      <c r="BG74" s="286"/>
      <c r="BH74" s="286"/>
      <c r="BI74" s="286"/>
      <c r="BJ74" s="286"/>
      <c r="BK74" s="286"/>
      <c r="BL74" s="286"/>
      <c r="BM74" s="286"/>
      <c r="BN74" s="286"/>
      <c r="BO74" s="286"/>
      <c r="BP74" s="286"/>
      <c r="BQ74" s="286"/>
      <c r="BR74" s="286"/>
      <c r="BS74" s="286"/>
      <c r="BT74" s="286"/>
      <c r="BU74" s="286"/>
      <c r="BV74" s="286"/>
      <c r="BW74" s="286"/>
      <c r="BX74" s="286"/>
      <c r="BY74" s="286"/>
      <c r="BZ74" s="286"/>
      <c r="CA74" s="286"/>
      <c r="CB74" s="286"/>
      <c r="CC74" s="286"/>
      <c r="CD74" s="286"/>
      <c r="CE74" s="286"/>
      <c r="CF74" s="286"/>
      <c r="CG74" s="286"/>
      <c r="CH74" s="286"/>
      <c r="CI74" s="286"/>
      <c r="CJ74" s="286"/>
      <c r="CK74" s="286"/>
      <c r="CL74" s="286"/>
      <c r="CM74" s="286"/>
      <c r="CN74" s="286"/>
      <c r="CO74" s="286"/>
      <c r="CP74" s="286"/>
      <c r="CQ74" s="286"/>
      <c r="CR74" s="286"/>
      <c r="CS74" s="286"/>
      <c r="CT74" s="286"/>
      <c r="CU74" s="286"/>
      <c r="CV74" s="286"/>
      <c r="CW74" s="286"/>
      <c r="CX74" s="286"/>
      <c r="CY74" s="286"/>
      <c r="CZ74" s="286"/>
      <c r="DA74" s="286"/>
      <c r="DB74" s="286"/>
      <c r="DC74" s="286"/>
      <c r="DD74" s="286"/>
      <c r="DE74" s="286"/>
      <c r="DF74" s="286"/>
      <c r="DG74" s="286"/>
      <c r="DH74" s="286"/>
      <c r="DI74" s="286"/>
      <c r="DJ74" s="286"/>
      <c r="DK74" s="286"/>
      <c r="DL74" s="286"/>
      <c r="DM74" s="286"/>
      <c r="DN74" s="286"/>
      <c r="DO74" s="286"/>
      <c r="DP74" s="286"/>
      <c r="DQ74" s="286"/>
      <c r="DR74" s="286"/>
      <c r="DS74" s="286"/>
      <c r="DT74" s="286"/>
      <c r="DU74" s="286"/>
      <c r="DV74" s="286"/>
      <c r="DW74" s="286"/>
      <c r="DX74" s="286"/>
      <c r="DY74" s="286"/>
      <c r="DZ74" s="286"/>
      <c r="EA74" s="286"/>
      <c r="EB74" s="286"/>
      <c r="EC74" s="286"/>
      <c r="ED74" s="286"/>
      <c r="EE74" s="286"/>
      <c r="EF74" s="286"/>
      <c r="EG74" s="286"/>
      <c r="EH74" s="286"/>
      <c r="EI74" s="286"/>
      <c r="EJ74" s="286"/>
      <c r="EK74" s="286"/>
      <c r="EL74" s="286"/>
      <c r="EM74" s="286"/>
      <c r="EN74" s="286"/>
      <c r="EO74" s="286"/>
      <c r="EP74" s="286"/>
      <c r="EQ74" s="286"/>
      <c r="ER74" s="286"/>
      <c r="ES74" s="286"/>
      <c r="ET74" s="286"/>
      <c r="EU74" s="286"/>
      <c r="EV74" s="286"/>
      <c r="EW74" s="286"/>
      <c r="EX74" s="286"/>
      <c r="EY74" s="286"/>
      <c r="EZ74" s="286"/>
      <c r="FA74" s="286"/>
      <c r="FB74" s="286"/>
      <c r="FC74" s="286"/>
      <c r="FD74" s="286"/>
      <c r="FE74" s="286"/>
      <c r="FF74" s="286"/>
      <c r="FG74" s="286"/>
      <c r="FH74" s="286"/>
      <c r="FI74" s="286"/>
      <c r="FJ74" s="286"/>
      <c r="FK74" s="286"/>
      <c r="FL74" s="286"/>
      <c r="FM74" s="286"/>
      <c r="FN74" s="286"/>
      <c r="FO74" s="286"/>
      <c r="FP74" s="286"/>
      <c r="FQ74" s="286"/>
      <c r="FR74" s="286"/>
      <c r="FS74" s="286"/>
      <c r="FT74" s="286"/>
      <c r="FU74" s="286"/>
      <c r="FV74" s="286"/>
      <c r="FW74" s="286"/>
      <c r="FX74" s="286"/>
      <c r="FY74" s="286"/>
      <c r="FZ74" s="286"/>
      <c r="GA74" s="286"/>
      <c r="GB74" s="286"/>
      <c r="GC74" s="286"/>
      <c r="GD74" s="286"/>
      <c r="GE74" s="286"/>
      <c r="GF74" s="286"/>
      <c r="GG74" s="286"/>
      <c r="GH74" s="286"/>
      <c r="GI74" s="286"/>
      <c r="GJ74" s="286"/>
      <c r="GK74" s="286"/>
      <c r="GL74" s="286"/>
      <c r="GM74" s="286"/>
      <c r="GN74" s="286"/>
      <c r="GO74" s="286"/>
      <c r="GP74" s="286"/>
      <c r="GQ74" s="286"/>
      <c r="GR74" s="286"/>
      <c r="GS74" s="286"/>
      <c r="GT74" s="286"/>
      <c r="GU74" s="286"/>
      <c r="GV74" s="286"/>
      <c r="GW74" s="286"/>
      <c r="GX74" s="286"/>
      <c r="GY74" s="286"/>
      <c r="GZ74" s="286"/>
    </row>
    <row r="75" spans="1:208" ht="30">
      <c r="A75" s="280">
        <v>18</v>
      </c>
      <c r="B75" s="281">
        <v>44683</v>
      </c>
      <c r="C75" s="282">
        <v>1106184</v>
      </c>
      <c r="D75" s="282" t="s">
        <v>4347</v>
      </c>
      <c r="E75" s="282" t="s">
        <v>4250</v>
      </c>
      <c r="F75" s="282" t="s">
        <v>4251</v>
      </c>
      <c r="G75" s="282">
        <v>3185</v>
      </c>
      <c r="H75" s="282">
        <v>70</v>
      </c>
      <c r="I75" s="282">
        <v>4502322676</v>
      </c>
      <c r="J75" s="282">
        <v>3025457</v>
      </c>
      <c r="K75" s="282">
        <v>4902258587</v>
      </c>
      <c r="L75" s="282" t="s">
        <v>4252</v>
      </c>
      <c r="M75" s="296">
        <v>37020.833333333328</v>
      </c>
      <c r="N75" s="282">
        <v>8400</v>
      </c>
      <c r="O75" s="284">
        <f t="shared" si="18"/>
        <v>310974999.99999994</v>
      </c>
      <c r="P75" s="285">
        <f t="shared" si="19"/>
        <v>5</v>
      </c>
      <c r="Q75" s="321" t="s">
        <v>3455</v>
      </c>
      <c r="R75" s="282">
        <v>1040968</v>
      </c>
      <c r="S75" s="322">
        <v>13863120</v>
      </c>
      <c r="T75" s="285"/>
      <c r="U75" s="285"/>
      <c r="V75" s="285"/>
      <c r="W75" s="285"/>
      <c r="X75" s="285"/>
      <c r="Y75" s="285"/>
      <c r="Z75" s="286"/>
      <c r="AA75" s="286"/>
      <c r="AB75" s="286"/>
      <c r="AC75" s="286"/>
      <c r="AD75" s="286"/>
      <c r="AE75" s="286"/>
      <c r="AF75" s="286"/>
      <c r="AG75" s="286"/>
      <c r="AH75" s="286"/>
      <c r="AI75" s="286"/>
      <c r="AJ75" s="286"/>
      <c r="AK75" s="286"/>
      <c r="AL75" s="286"/>
      <c r="AM75" s="286"/>
      <c r="AN75" s="286"/>
      <c r="AO75" s="286"/>
      <c r="AP75" s="286"/>
      <c r="AQ75" s="286"/>
      <c r="AR75" s="286"/>
      <c r="AS75" s="286"/>
      <c r="AT75" s="286"/>
      <c r="AU75" s="286"/>
      <c r="AV75" s="286"/>
      <c r="AW75" s="286"/>
      <c r="AX75" s="286"/>
      <c r="AY75" s="286"/>
      <c r="AZ75" s="286"/>
      <c r="BA75" s="286"/>
      <c r="BB75" s="286"/>
      <c r="BC75" s="286"/>
      <c r="BD75" s="286"/>
      <c r="BE75" s="286"/>
      <c r="BF75" s="286"/>
      <c r="BG75" s="286"/>
      <c r="BH75" s="286"/>
      <c r="BI75" s="286"/>
      <c r="BJ75" s="286"/>
      <c r="BK75" s="286"/>
      <c r="BL75" s="286"/>
      <c r="BM75" s="286"/>
      <c r="BN75" s="286"/>
      <c r="BO75" s="286"/>
      <c r="BP75" s="286"/>
      <c r="BQ75" s="286"/>
      <c r="BR75" s="286"/>
      <c r="BS75" s="286"/>
      <c r="BT75" s="286"/>
      <c r="BU75" s="286"/>
      <c r="BV75" s="286"/>
      <c r="BW75" s="286"/>
      <c r="BX75" s="286"/>
      <c r="BY75" s="286"/>
      <c r="BZ75" s="286"/>
      <c r="CA75" s="286"/>
      <c r="CB75" s="286"/>
      <c r="CC75" s="286"/>
      <c r="CD75" s="286"/>
      <c r="CE75" s="286"/>
      <c r="CF75" s="286"/>
      <c r="CG75" s="286"/>
      <c r="CH75" s="286"/>
      <c r="CI75" s="286"/>
      <c r="CJ75" s="286"/>
      <c r="CK75" s="286"/>
      <c r="CL75" s="286"/>
      <c r="CM75" s="286"/>
      <c r="CN75" s="286"/>
      <c r="CO75" s="286"/>
      <c r="CP75" s="286"/>
      <c r="CQ75" s="286"/>
      <c r="CR75" s="286"/>
      <c r="CS75" s="286"/>
      <c r="CT75" s="286"/>
      <c r="CU75" s="286"/>
      <c r="CV75" s="286"/>
      <c r="CW75" s="286"/>
      <c r="CX75" s="286"/>
      <c r="CY75" s="286"/>
      <c r="CZ75" s="286"/>
      <c r="DA75" s="286"/>
      <c r="DB75" s="286"/>
      <c r="DC75" s="286"/>
      <c r="DD75" s="286"/>
      <c r="DE75" s="286"/>
      <c r="DF75" s="286"/>
      <c r="DG75" s="286"/>
      <c r="DH75" s="286"/>
      <c r="DI75" s="286"/>
      <c r="DJ75" s="286"/>
      <c r="DK75" s="286"/>
      <c r="DL75" s="286"/>
      <c r="DM75" s="286"/>
      <c r="DN75" s="286"/>
      <c r="DO75" s="286"/>
      <c r="DP75" s="286"/>
      <c r="DQ75" s="286"/>
      <c r="DR75" s="286"/>
      <c r="DS75" s="286"/>
      <c r="DT75" s="286"/>
      <c r="DU75" s="286"/>
      <c r="DV75" s="286"/>
      <c r="DW75" s="286"/>
      <c r="DX75" s="286"/>
      <c r="DY75" s="286"/>
      <c r="DZ75" s="286"/>
      <c r="EA75" s="286"/>
      <c r="EB75" s="286"/>
      <c r="EC75" s="286"/>
      <c r="ED75" s="286"/>
      <c r="EE75" s="286"/>
      <c r="EF75" s="286"/>
      <c r="EG75" s="286"/>
      <c r="EH75" s="286"/>
      <c r="EI75" s="286"/>
      <c r="EJ75" s="286"/>
      <c r="EK75" s="286"/>
      <c r="EL75" s="286"/>
      <c r="EM75" s="286"/>
      <c r="EN75" s="286"/>
      <c r="EO75" s="286"/>
      <c r="EP75" s="286"/>
      <c r="EQ75" s="286"/>
      <c r="ER75" s="286"/>
      <c r="ES75" s="286"/>
      <c r="ET75" s="286"/>
      <c r="EU75" s="286"/>
      <c r="EV75" s="286"/>
      <c r="EW75" s="286"/>
      <c r="EX75" s="286"/>
      <c r="EY75" s="286"/>
      <c r="EZ75" s="286"/>
      <c r="FA75" s="286"/>
      <c r="FB75" s="286"/>
      <c r="FC75" s="286"/>
      <c r="FD75" s="286"/>
      <c r="FE75" s="286"/>
      <c r="FF75" s="286"/>
      <c r="FG75" s="286"/>
      <c r="FH75" s="286"/>
      <c r="FI75" s="286"/>
      <c r="FJ75" s="286"/>
      <c r="FK75" s="286"/>
      <c r="FL75" s="286"/>
      <c r="FM75" s="286"/>
      <c r="FN75" s="286"/>
      <c r="FO75" s="286"/>
      <c r="FP75" s="286"/>
      <c r="FQ75" s="286"/>
      <c r="FR75" s="286"/>
      <c r="FS75" s="286"/>
      <c r="FT75" s="286"/>
      <c r="FU75" s="286"/>
      <c r="FV75" s="286"/>
      <c r="FW75" s="286"/>
      <c r="FX75" s="286"/>
      <c r="FY75" s="286"/>
      <c r="FZ75" s="286"/>
      <c r="GA75" s="286"/>
      <c r="GB75" s="286"/>
      <c r="GC75" s="286"/>
      <c r="GD75" s="286"/>
      <c r="GE75" s="286"/>
      <c r="GF75" s="286"/>
      <c r="GG75" s="286"/>
      <c r="GH75" s="286"/>
      <c r="GI75" s="286"/>
      <c r="GJ75" s="286"/>
      <c r="GK75" s="286"/>
      <c r="GL75" s="286"/>
      <c r="GM75" s="286"/>
      <c r="GN75" s="286"/>
      <c r="GO75" s="286"/>
      <c r="GP75" s="286"/>
      <c r="GQ75" s="286"/>
      <c r="GR75" s="286"/>
      <c r="GS75" s="286"/>
      <c r="GT75" s="286"/>
      <c r="GU75" s="286"/>
      <c r="GV75" s="286"/>
      <c r="GW75" s="286"/>
      <c r="GX75" s="286"/>
      <c r="GY75" s="286"/>
      <c r="GZ75" s="286"/>
    </row>
    <row r="76" spans="1:208" ht="30">
      <c r="A76" s="280">
        <v>18</v>
      </c>
      <c r="B76" s="315">
        <v>44684</v>
      </c>
      <c r="C76" s="280">
        <v>1106184</v>
      </c>
      <c r="D76" s="280" t="s">
        <v>4347</v>
      </c>
      <c r="E76" s="280" t="s">
        <v>4250</v>
      </c>
      <c r="F76" s="280" t="s">
        <v>4251</v>
      </c>
      <c r="G76" s="280">
        <v>3185</v>
      </c>
      <c r="H76" s="280">
        <v>14</v>
      </c>
      <c r="I76" s="280">
        <v>4502322676</v>
      </c>
      <c r="J76" s="280">
        <v>3025457</v>
      </c>
      <c r="K76" s="280">
        <v>4902261101</v>
      </c>
      <c r="L76" s="280" t="s">
        <v>4252</v>
      </c>
      <c r="M76" s="316">
        <v>7404.1666666666661</v>
      </c>
      <c r="N76" s="280">
        <v>8400</v>
      </c>
      <c r="O76" s="317">
        <f t="shared" si="18"/>
        <v>62194999.999999993</v>
      </c>
      <c r="P76" s="295">
        <f t="shared" si="19"/>
        <v>1</v>
      </c>
      <c r="Q76" s="323" t="s">
        <v>3455</v>
      </c>
      <c r="R76" s="280">
        <v>1040968</v>
      </c>
      <c r="S76" s="324">
        <v>3042980</v>
      </c>
      <c r="T76" s="295"/>
      <c r="U76" s="295"/>
      <c r="V76" s="295"/>
      <c r="W76" s="295"/>
      <c r="X76" s="295"/>
      <c r="Y76" s="295"/>
      <c r="Z76" s="318"/>
      <c r="AA76" s="318"/>
      <c r="AB76" s="318"/>
      <c r="AC76" s="318"/>
      <c r="AD76" s="318"/>
      <c r="AE76" s="318"/>
      <c r="AF76" s="318"/>
      <c r="AG76" s="318"/>
      <c r="AH76" s="318"/>
      <c r="AI76" s="318"/>
      <c r="AJ76" s="318"/>
      <c r="AK76" s="318"/>
      <c r="AL76" s="318"/>
      <c r="AM76" s="318"/>
      <c r="AN76" s="318"/>
      <c r="AO76" s="318"/>
      <c r="AP76" s="318"/>
      <c r="AQ76" s="318"/>
      <c r="AR76" s="318"/>
      <c r="AS76" s="318"/>
      <c r="AT76" s="318"/>
      <c r="AU76" s="318"/>
      <c r="AV76" s="318"/>
      <c r="AW76" s="318"/>
      <c r="AX76" s="318"/>
      <c r="AY76" s="318"/>
      <c r="AZ76" s="318"/>
      <c r="BA76" s="318"/>
      <c r="BB76" s="318"/>
      <c r="BC76" s="318"/>
      <c r="BD76" s="318"/>
      <c r="BE76" s="318"/>
      <c r="BF76" s="318"/>
      <c r="BG76" s="318"/>
      <c r="BH76" s="318"/>
      <c r="BI76" s="318"/>
      <c r="BJ76" s="318"/>
      <c r="BK76" s="318"/>
      <c r="BL76" s="318"/>
      <c r="BM76" s="318"/>
      <c r="BN76" s="318"/>
      <c r="BO76" s="318"/>
      <c r="BP76" s="318"/>
      <c r="BQ76" s="318"/>
      <c r="BR76" s="318"/>
      <c r="BS76" s="318"/>
      <c r="BT76" s="318"/>
      <c r="BU76" s="318"/>
      <c r="BV76" s="318"/>
      <c r="BW76" s="318"/>
      <c r="BX76" s="318"/>
      <c r="BY76" s="318"/>
      <c r="BZ76" s="318"/>
      <c r="CA76" s="318"/>
      <c r="CB76" s="318"/>
      <c r="CC76" s="318"/>
      <c r="CD76" s="318"/>
      <c r="CE76" s="318"/>
      <c r="CF76" s="318"/>
      <c r="CG76" s="318"/>
      <c r="CH76" s="318"/>
      <c r="CI76" s="318"/>
      <c r="CJ76" s="318"/>
      <c r="CK76" s="318"/>
      <c r="CL76" s="318"/>
      <c r="CM76" s="318"/>
      <c r="CN76" s="318"/>
      <c r="CO76" s="318"/>
      <c r="CP76" s="318"/>
      <c r="CQ76" s="318"/>
      <c r="CR76" s="318"/>
      <c r="CS76" s="318"/>
      <c r="CT76" s="318"/>
      <c r="CU76" s="318"/>
      <c r="CV76" s="318"/>
      <c r="CW76" s="318"/>
      <c r="CX76" s="318"/>
      <c r="CY76" s="318"/>
      <c r="CZ76" s="318"/>
      <c r="DA76" s="318"/>
      <c r="DB76" s="318"/>
      <c r="DC76" s="318"/>
      <c r="DD76" s="318"/>
      <c r="DE76" s="318"/>
      <c r="DF76" s="318"/>
      <c r="DG76" s="318"/>
      <c r="DH76" s="318"/>
      <c r="DI76" s="318"/>
      <c r="DJ76" s="318"/>
      <c r="DK76" s="318"/>
      <c r="DL76" s="318"/>
      <c r="DM76" s="318"/>
      <c r="DN76" s="318"/>
      <c r="DO76" s="318"/>
      <c r="DP76" s="318"/>
      <c r="DQ76" s="318"/>
      <c r="DR76" s="318"/>
      <c r="DS76" s="318"/>
      <c r="DT76" s="318"/>
      <c r="DU76" s="318"/>
      <c r="DV76" s="318"/>
      <c r="DW76" s="318"/>
      <c r="DX76" s="318"/>
      <c r="DY76" s="318"/>
      <c r="DZ76" s="318"/>
      <c r="EA76" s="318"/>
      <c r="EB76" s="318"/>
      <c r="EC76" s="318"/>
      <c r="ED76" s="318"/>
      <c r="EE76" s="318"/>
      <c r="EF76" s="318"/>
      <c r="EG76" s="318"/>
      <c r="EH76" s="318"/>
      <c r="EI76" s="318"/>
      <c r="EJ76" s="318"/>
      <c r="EK76" s="318"/>
      <c r="EL76" s="318"/>
      <c r="EM76" s="318"/>
      <c r="EN76" s="318"/>
      <c r="EO76" s="318"/>
      <c r="EP76" s="318"/>
      <c r="EQ76" s="318"/>
      <c r="ER76" s="318"/>
      <c r="ES76" s="318"/>
      <c r="ET76" s="318"/>
      <c r="EU76" s="318"/>
      <c r="EV76" s="318"/>
      <c r="EW76" s="318"/>
      <c r="EX76" s="318"/>
      <c r="EY76" s="318"/>
      <c r="EZ76" s="318"/>
      <c r="FA76" s="318"/>
      <c r="FB76" s="318"/>
      <c r="FC76" s="318"/>
      <c r="FD76" s="318"/>
      <c r="FE76" s="318"/>
      <c r="FF76" s="318"/>
      <c r="FG76" s="318"/>
      <c r="FH76" s="318"/>
      <c r="FI76" s="318"/>
      <c r="FJ76" s="318"/>
      <c r="FK76" s="318"/>
      <c r="FL76" s="318"/>
      <c r="FM76" s="318"/>
      <c r="FN76" s="318"/>
      <c r="FO76" s="318"/>
      <c r="FP76" s="318"/>
      <c r="FQ76" s="318"/>
      <c r="FR76" s="318"/>
      <c r="FS76" s="318"/>
      <c r="FT76" s="318"/>
      <c r="FU76" s="318"/>
      <c r="FV76" s="318"/>
      <c r="FW76" s="318"/>
      <c r="FX76" s="318"/>
      <c r="FY76" s="318"/>
      <c r="FZ76" s="318"/>
      <c r="GA76" s="318"/>
      <c r="GB76" s="318"/>
      <c r="GC76" s="318"/>
      <c r="GD76" s="318"/>
      <c r="GE76" s="318"/>
      <c r="GF76" s="318"/>
      <c r="GG76" s="318"/>
      <c r="GH76" s="318"/>
      <c r="GI76" s="318"/>
      <c r="GJ76" s="318"/>
      <c r="GK76" s="318"/>
      <c r="GL76" s="318"/>
      <c r="GM76" s="318"/>
      <c r="GN76" s="318"/>
      <c r="GO76" s="318"/>
      <c r="GP76" s="318"/>
      <c r="GQ76" s="318"/>
      <c r="GR76" s="318"/>
      <c r="GS76" s="318"/>
      <c r="GT76" s="318"/>
      <c r="GU76" s="318"/>
      <c r="GV76" s="318"/>
      <c r="GW76" s="318"/>
      <c r="GX76" s="318"/>
      <c r="GY76" s="318"/>
      <c r="GZ76" s="318"/>
    </row>
    <row r="77" spans="1:208" ht="30">
      <c r="A77" s="282">
        <v>18</v>
      </c>
      <c r="B77" s="281">
        <v>44683</v>
      </c>
      <c r="C77" s="282">
        <v>1110293</v>
      </c>
      <c r="D77" s="282" t="s">
        <v>4348</v>
      </c>
      <c r="E77" s="282" t="s">
        <v>4349</v>
      </c>
      <c r="F77" s="282" t="s">
        <v>4275</v>
      </c>
      <c r="G77" s="282">
        <v>3155</v>
      </c>
      <c r="H77" s="282">
        <v>28</v>
      </c>
      <c r="I77" s="282">
        <v>4502322064</v>
      </c>
      <c r="J77" s="282">
        <v>3025459</v>
      </c>
      <c r="K77" s="282">
        <v>4902260416</v>
      </c>
      <c r="L77" s="282" t="s">
        <v>4252</v>
      </c>
      <c r="M77" s="283">
        <v>13506</v>
      </c>
      <c r="N77" s="282">
        <v>8700</v>
      </c>
      <c r="O77" s="284">
        <f t="shared" si="18"/>
        <v>117502200</v>
      </c>
      <c r="P77" s="285">
        <f t="shared" si="19"/>
        <v>2</v>
      </c>
      <c r="Q77" s="321" t="s">
        <v>3429</v>
      </c>
      <c r="R77" s="282">
        <v>1070641</v>
      </c>
      <c r="S77" s="325">
        <f>920000*2</f>
        <v>1840000</v>
      </c>
      <c r="T77" s="285"/>
      <c r="U77" s="285"/>
      <c r="V77" s="285"/>
      <c r="W77" s="285"/>
      <c r="X77" s="285"/>
      <c r="Y77" s="285"/>
      <c r="Z77" s="286"/>
      <c r="AA77" s="286"/>
      <c r="AB77" s="286"/>
      <c r="AC77" s="286"/>
      <c r="AD77" s="286"/>
      <c r="AE77" s="286"/>
      <c r="AF77" s="286"/>
      <c r="AG77" s="286"/>
      <c r="AH77" s="286"/>
      <c r="AI77" s="286"/>
      <c r="AJ77" s="286"/>
      <c r="AK77" s="286"/>
      <c r="AL77" s="286"/>
      <c r="AM77" s="286"/>
      <c r="AN77" s="286"/>
      <c r="AO77" s="286"/>
      <c r="AP77" s="286"/>
      <c r="AQ77" s="286"/>
      <c r="AR77" s="286"/>
      <c r="AS77" s="286"/>
      <c r="AT77" s="286"/>
      <c r="AU77" s="286"/>
      <c r="AV77" s="286"/>
      <c r="AW77" s="286"/>
      <c r="AX77" s="286"/>
      <c r="AY77" s="286"/>
      <c r="AZ77" s="286"/>
      <c r="BA77" s="286"/>
      <c r="BB77" s="286"/>
      <c r="BC77" s="286"/>
      <c r="BD77" s="286"/>
      <c r="BE77" s="286"/>
      <c r="BF77" s="286"/>
      <c r="BG77" s="286"/>
      <c r="BH77" s="286"/>
      <c r="BI77" s="286"/>
      <c r="BJ77" s="286"/>
      <c r="BK77" s="286"/>
      <c r="BL77" s="286"/>
      <c r="BM77" s="286"/>
      <c r="BN77" s="286"/>
      <c r="BO77" s="286"/>
      <c r="BP77" s="286"/>
      <c r="BQ77" s="286"/>
      <c r="BR77" s="286"/>
      <c r="BS77" s="286"/>
      <c r="BT77" s="286"/>
      <c r="BU77" s="286"/>
      <c r="BV77" s="286"/>
      <c r="BW77" s="286"/>
      <c r="BX77" s="286"/>
      <c r="BY77" s="286"/>
      <c r="BZ77" s="286"/>
      <c r="CA77" s="286"/>
      <c r="CB77" s="286"/>
      <c r="CC77" s="286"/>
      <c r="CD77" s="286"/>
      <c r="CE77" s="286"/>
      <c r="CF77" s="286"/>
      <c r="CG77" s="286"/>
      <c r="CH77" s="286"/>
      <c r="CI77" s="286"/>
      <c r="CJ77" s="286"/>
      <c r="CK77" s="286"/>
      <c r="CL77" s="286"/>
      <c r="CM77" s="286"/>
      <c r="CN77" s="286"/>
      <c r="CO77" s="286"/>
      <c r="CP77" s="286"/>
      <c r="CQ77" s="286"/>
      <c r="CR77" s="286"/>
      <c r="CS77" s="286"/>
      <c r="CT77" s="286"/>
      <c r="CU77" s="286"/>
      <c r="CV77" s="286"/>
      <c r="CW77" s="286"/>
      <c r="CX77" s="286"/>
      <c r="CY77" s="286"/>
      <c r="CZ77" s="286"/>
      <c r="DA77" s="286"/>
      <c r="DB77" s="286"/>
      <c r="DC77" s="286"/>
      <c r="DD77" s="286"/>
      <c r="DE77" s="286"/>
      <c r="DF77" s="286"/>
      <c r="DG77" s="286"/>
      <c r="DH77" s="286"/>
      <c r="DI77" s="286"/>
      <c r="DJ77" s="286"/>
      <c r="DK77" s="286"/>
      <c r="DL77" s="286"/>
      <c r="DM77" s="286"/>
      <c r="DN77" s="286"/>
      <c r="DO77" s="286"/>
      <c r="DP77" s="286"/>
      <c r="DQ77" s="286"/>
      <c r="DR77" s="286"/>
      <c r="DS77" s="286"/>
      <c r="DT77" s="286"/>
      <c r="DU77" s="286"/>
      <c r="DV77" s="286"/>
      <c r="DW77" s="286"/>
      <c r="DX77" s="286"/>
      <c r="DY77" s="286"/>
      <c r="DZ77" s="286"/>
      <c r="EA77" s="286"/>
      <c r="EB77" s="286"/>
      <c r="EC77" s="286"/>
      <c r="ED77" s="286"/>
      <c r="EE77" s="286"/>
      <c r="EF77" s="286"/>
      <c r="EG77" s="286"/>
      <c r="EH77" s="286"/>
      <c r="EI77" s="286"/>
      <c r="EJ77" s="286"/>
      <c r="EK77" s="286"/>
      <c r="EL77" s="286"/>
      <c r="EM77" s="286"/>
      <c r="EN77" s="286"/>
      <c r="EO77" s="286"/>
      <c r="EP77" s="286"/>
      <c r="EQ77" s="286"/>
      <c r="ER77" s="286"/>
      <c r="ES77" s="286"/>
      <c r="ET77" s="286"/>
      <c r="EU77" s="286"/>
      <c r="EV77" s="286"/>
      <c r="EW77" s="286"/>
      <c r="EX77" s="286"/>
      <c r="EY77" s="286"/>
      <c r="EZ77" s="286"/>
      <c r="FA77" s="286"/>
      <c r="FB77" s="286"/>
      <c r="FC77" s="286"/>
      <c r="FD77" s="286"/>
      <c r="FE77" s="286"/>
      <c r="FF77" s="286"/>
      <c r="FG77" s="286"/>
      <c r="FH77" s="286"/>
      <c r="FI77" s="286"/>
      <c r="FJ77" s="286"/>
      <c r="FK77" s="286"/>
      <c r="FL77" s="286"/>
      <c r="FM77" s="286"/>
      <c r="FN77" s="286"/>
      <c r="FO77" s="286"/>
      <c r="FP77" s="286"/>
      <c r="FQ77" s="286"/>
      <c r="FR77" s="286"/>
      <c r="FS77" s="286"/>
      <c r="FT77" s="286"/>
      <c r="FU77" s="286"/>
      <c r="FV77" s="286"/>
      <c r="FW77" s="286"/>
      <c r="FX77" s="286"/>
      <c r="FY77" s="286"/>
      <c r="FZ77" s="286"/>
      <c r="GA77" s="286"/>
      <c r="GB77" s="286"/>
      <c r="GC77" s="286"/>
      <c r="GD77" s="286"/>
      <c r="GE77" s="286"/>
      <c r="GF77" s="286"/>
      <c r="GG77" s="286"/>
      <c r="GH77" s="286"/>
      <c r="GI77" s="286"/>
      <c r="GJ77" s="286"/>
      <c r="GK77" s="286"/>
      <c r="GL77" s="286"/>
      <c r="GM77" s="286"/>
      <c r="GN77" s="286"/>
      <c r="GO77" s="286"/>
      <c r="GP77" s="286"/>
      <c r="GQ77" s="286"/>
      <c r="GR77" s="286"/>
      <c r="GS77" s="286"/>
      <c r="GT77" s="286"/>
      <c r="GU77" s="286"/>
      <c r="GV77" s="286"/>
      <c r="GW77" s="286"/>
      <c r="GX77" s="286"/>
      <c r="GY77" s="286"/>
      <c r="GZ77" s="286"/>
    </row>
    <row r="78" spans="1:208" ht="30">
      <c r="A78" s="280">
        <v>18</v>
      </c>
      <c r="B78" s="281">
        <v>44684</v>
      </c>
      <c r="C78" s="282">
        <v>1109669</v>
      </c>
      <c r="D78" s="282" t="s">
        <v>4350</v>
      </c>
      <c r="E78" s="282" t="s">
        <v>4256</v>
      </c>
      <c r="F78" s="282" t="s">
        <v>4251</v>
      </c>
      <c r="G78" s="282">
        <v>3186</v>
      </c>
      <c r="H78" s="282">
        <v>29</v>
      </c>
      <c r="I78" s="282">
        <v>4502323181</v>
      </c>
      <c r="J78" s="282">
        <v>3025457</v>
      </c>
      <c r="K78" s="282">
        <v>4902258592</v>
      </c>
      <c r="L78" s="282" t="s">
        <v>4252</v>
      </c>
      <c r="M78" s="283">
        <v>14313</v>
      </c>
      <c r="N78" s="282">
        <v>8200</v>
      </c>
      <c r="O78" s="284">
        <f t="shared" si="18"/>
        <v>117366600</v>
      </c>
      <c r="P78" s="326">
        <f t="shared" si="19"/>
        <v>2.0714285714285716</v>
      </c>
      <c r="Q78" s="321" t="s">
        <v>3455</v>
      </c>
      <c r="R78" s="282">
        <v>1040968</v>
      </c>
      <c r="S78" s="325">
        <f>2979200*2</f>
        <v>5958400</v>
      </c>
      <c r="T78" s="285"/>
      <c r="U78" s="285"/>
      <c r="V78" s="285"/>
      <c r="W78" s="285"/>
      <c r="X78" s="285"/>
      <c r="Y78" s="285"/>
      <c r="Z78" s="286"/>
      <c r="AA78" s="286"/>
      <c r="AB78" s="286"/>
      <c r="AC78" s="286"/>
      <c r="AD78" s="286"/>
      <c r="AE78" s="286"/>
      <c r="AF78" s="286"/>
      <c r="AG78" s="286"/>
      <c r="AH78" s="286"/>
      <c r="AI78" s="286"/>
      <c r="AJ78" s="286"/>
      <c r="AK78" s="286"/>
      <c r="AL78" s="286"/>
      <c r="AM78" s="286"/>
      <c r="AN78" s="286"/>
      <c r="AO78" s="286"/>
      <c r="AP78" s="286"/>
      <c r="AQ78" s="286"/>
      <c r="AR78" s="286"/>
      <c r="AS78" s="286"/>
      <c r="AT78" s="286"/>
      <c r="AU78" s="286"/>
      <c r="AV78" s="286"/>
      <c r="AW78" s="286"/>
      <c r="AX78" s="286"/>
      <c r="AY78" s="286"/>
      <c r="AZ78" s="286"/>
      <c r="BA78" s="286"/>
      <c r="BB78" s="286"/>
      <c r="BC78" s="286"/>
      <c r="BD78" s="286"/>
      <c r="BE78" s="286"/>
      <c r="BF78" s="286"/>
      <c r="BG78" s="286"/>
      <c r="BH78" s="286"/>
      <c r="BI78" s="286"/>
      <c r="BJ78" s="286"/>
      <c r="BK78" s="286"/>
      <c r="BL78" s="286"/>
      <c r="BM78" s="286"/>
      <c r="BN78" s="286"/>
      <c r="BO78" s="286"/>
      <c r="BP78" s="286"/>
      <c r="BQ78" s="286"/>
      <c r="BR78" s="286"/>
      <c r="BS78" s="286"/>
      <c r="BT78" s="286"/>
      <c r="BU78" s="286"/>
      <c r="BV78" s="286"/>
      <c r="BW78" s="286"/>
      <c r="BX78" s="286"/>
      <c r="BY78" s="286"/>
      <c r="BZ78" s="286"/>
      <c r="CA78" s="286"/>
      <c r="CB78" s="286"/>
      <c r="CC78" s="286"/>
      <c r="CD78" s="286"/>
      <c r="CE78" s="286"/>
      <c r="CF78" s="286"/>
      <c r="CG78" s="286"/>
      <c r="CH78" s="286"/>
      <c r="CI78" s="286"/>
      <c r="CJ78" s="286"/>
      <c r="CK78" s="286"/>
      <c r="CL78" s="286"/>
      <c r="CM78" s="286"/>
      <c r="CN78" s="286"/>
      <c r="CO78" s="286"/>
      <c r="CP78" s="286"/>
      <c r="CQ78" s="286"/>
      <c r="CR78" s="286"/>
      <c r="CS78" s="286"/>
      <c r="CT78" s="286"/>
      <c r="CU78" s="286"/>
      <c r="CV78" s="286"/>
      <c r="CW78" s="286"/>
      <c r="CX78" s="286"/>
      <c r="CY78" s="286"/>
      <c r="CZ78" s="286"/>
      <c r="DA78" s="286"/>
      <c r="DB78" s="286"/>
      <c r="DC78" s="286"/>
      <c r="DD78" s="286"/>
      <c r="DE78" s="286"/>
      <c r="DF78" s="286"/>
      <c r="DG78" s="286"/>
      <c r="DH78" s="286"/>
      <c r="DI78" s="286"/>
      <c r="DJ78" s="286"/>
      <c r="DK78" s="286"/>
      <c r="DL78" s="286"/>
      <c r="DM78" s="286"/>
      <c r="DN78" s="286"/>
      <c r="DO78" s="286"/>
      <c r="DP78" s="286"/>
      <c r="DQ78" s="286"/>
      <c r="DR78" s="286"/>
      <c r="DS78" s="286"/>
      <c r="DT78" s="286"/>
      <c r="DU78" s="286"/>
      <c r="DV78" s="286"/>
      <c r="DW78" s="286"/>
      <c r="DX78" s="286"/>
      <c r="DY78" s="286"/>
      <c r="DZ78" s="286"/>
      <c r="EA78" s="286"/>
      <c r="EB78" s="286"/>
      <c r="EC78" s="286"/>
      <c r="ED78" s="286"/>
      <c r="EE78" s="286"/>
      <c r="EF78" s="286"/>
      <c r="EG78" s="286"/>
      <c r="EH78" s="286"/>
      <c r="EI78" s="286"/>
      <c r="EJ78" s="286"/>
      <c r="EK78" s="286"/>
      <c r="EL78" s="286"/>
      <c r="EM78" s="286"/>
      <c r="EN78" s="286"/>
      <c r="EO78" s="286"/>
      <c r="EP78" s="286"/>
      <c r="EQ78" s="286"/>
      <c r="ER78" s="286"/>
      <c r="ES78" s="286"/>
      <c r="ET78" s="286"/>
      <c r="EU78" s="286"/>
      <c r="EV78" s="286"/>
      <c r="EW78" s="286"/>
      <c r="EX78" s="286"/>
      <c r="EY78" s="286"/>
      <c r="EZ78" s="286"/>
      <c r="FA78" s="286"/>
      <c r="FB78" s="286"/>
      <c r="FC78" s="286"/>
      <c r="FD78" s="286"/>
      <c r="FE78" s="286"/>
      <c r="FF78" s="286"/>
      <c r="FG78" s="286"/>
      <c r="FH78" s="286"/>
      <c r="FI78" s="286"/>
      <c r="FJ78" s="286"/>
      <c r="FK78" s="286"/>
      <c r="FL78" s="286"/>
      <c r="FM78" s="286"/>
      <c r="FN78" s="286"/>
      <c r="FO78" s="286"/>
      <c r="FP78" s="286"/>
      <c r="FQ78" s="286"/>
      <c r="FR78" s="286"/>
      <c r="FS78" s="286"/>
      <c r="FT78" s="286"/>
      <c r="FU78" s="286"/>
      <c r="FV78" s="286"/>
      <c r="FW78" s="286"/>
      <c r="FX78" s="286"/>
      <c r="FY78" s="286"/>
      <c r="FZ78" s="286"/>
      <c r="GA78" s="286"/>
      <c r="GB78" s="286"/>
      <c r="GC78" s="286"/>
      <c r="GD78" s="286"/>
      <c r="GE78" s="286"/>
      <c r="GF78" s="286"/>
      <c r="GG78" s="286"/>
      <c r="GH78" s="286"/>
      <c r="GI78" s="286"/>
      <c r="GJ78" s="286"/>
      <c r="GK78" s="286"/>
      <c r="GL78" s="286"/>
      <c r="GM78" s="286"/>
      <c r="GN78" s="286"/>
      <c r="GO78" s="286"/>
      <c r="GP78" s="286"/>
      <c r="GQ78" s="286"/>
      <c r="GR78" s="286"/>
      <c r="GS78" s="286"/>
      <c r="GT78" s="286"/>
      <c r="GU78" s="286"/>
      <c r="GV78" s="286"/>
      <c r="GW78" s="286"/>
      <c r="GX78" s="286"/>
      <c r="GY78" s="286"/>
      <c r="GZ78" s="286"/>
    </row>
    <row r="79" spans="1:208" ht="30">
      <c r="A79" s="280">
        <v>18</v>
      </c>
      <c r="B79" s="281">
        <v>44685</v>
      </c>
      <c r="C79" s="282">
        <v>1114249</v>
      </c>
      <c r="D79" s="282" t="s">
        <v>4351</v>
      </c>
      <c r="E79" s="282" t="s">
        <v>4352</v>
      </c>
      <c r="F79" s="282" t="s">
        <v>4264</v>
      </c>
      <c r="G79" s="282">
        <v>3158</v>
      </c>
      <c r="H79" s="282">
        <v>28</v>
      </c>
      <c r="I79" s="282">
        <v>4502323184</v>
      </c>
      <c r="J79" s="282">
        <v>3025460</v>
      </c>
      <c r="K79" s="282">
        <v>4902262486</v>
      </c>
      <c r="L79" s="282" t="s">
        <v>4252</v>
      </c>
      <c r="M79" s="283">
        <v>15326</v>
      </c>
      <c r="N79" s="282">
        <v>7900</v>
      </c>
      <c r="O79" s="284">
        <f t="shared" si="18"/>
        <v>121075400</v>
      </c>
      <c r="P79" s="285">
        <f t="shared" si="19"/>
        <v>2</v>
      </c>
      <c r="Q79" s="321" t="s">
        <v>3455</v>
      </c>
      <c r="R79" s="282">
        <v>1040968</v>
      </c>
      <c r="S79" s="325">
        <f>3200980*2</f>
        <v>6401960</v>
      </c>
      <c r="T79" s="285"/>
      <c r="U79" s="285"/>
      <c r="V79" s="285"/>
      <c r="W79" s="285"/>
      <c r="X79" s="285"/>
      <c r="Y79" s="285"/>
      <c r="Z79" s="286"/>
      <c r="AA79" s="286"/>
      <c r="AB79" s="286"/>
      <c r="AC79" s="286"/>
      <c r="AD79" s="286"/>
      <c r="AE79" s="286"/>
      <c r="AF79" s="286"/>
      <c r="AG79" s="286"/>
      <c r="AH79" s="286"/>
      <c r="AI79" s="286"/>
      <c r="AJ79" s="286"/>
      <c r="AK79" s="286"/>
      <c r="AL79" s="286"/>
      <c r="AM79" s="286"/>
      <c r="AN79" s="286"/>
      <c r="AO79" s="286"/>
      <c r="AP79" s="286"/>
      <c r="AQ79" s="286"/>
      <c r="AR79" s="286"/>
      <c r="AS79" s="286"/>
      <c r="AT79" s="286"/>
      <c r="AU79" s="286"/>
      <c r="AV79" s="286"/>
      <c r="AW79" s="286"/>
      <c r="AX79" s="286"/>
      <c r="AY79" s="286"/>
      <c r="AZ79" s="286"/>
      <c r="BA79" s="286"/>
      <c r="BB79" s="286"/>
      <c r="BC79" s="286"/>
      <c r="BD79" s="286"/>
      <c r="BE79" s="286"/>
      <c r="BF79" s="286"/>
      <c r="BG79" s="286"/>
      <c r="BH79" s="286"/>
      <c r="BI79" s="286"/>
      <c r="BJ79" s="286"/>
      <c r="BK79" s="286"/>
      <c r="BL79" s="286"/>
      <c r="BM79" s="286"/>
      <c r="BN79" s="286"/>
      <c r="BO79" s="286"/>
      <c r="BP79" s="286"/>
      <c r="BQ79" s="286"/>
      <c r="BR79" s="286"/>
      <c r="BS79" s="286"/>
      <c r="BT79" s="286"/>
      <c r="BU79" s="286"/>
      <c r="BV79" s="286"/>
      <c r="BW79" s="286"/>
      <c r="BX79" s="286"/>
      <c r="BY79" s="286"/>
      <c r="BZ79" s="286"/>
      <c r="CA79" s="286"/>
      <c r="CB79" s="286"/>
      <c r="CC79" s="286"/>
      <c r="CD79" s="286"/>
      <c r="CE79" s="286"/>
      <c r="CF79" s="286"/>
      <c r="CG79" s="286"/>
      <c r="CH79" s="286"/>
      <c r="CI79" s="286"/>
      <c r="CJ79" s="286"/>
      <c r="CK79" s="286"/>
      <c r="CL79" s="286"/>
      <c r="CM79" s="286"/>
      <c r="CN79" s="286"/>
      <c r="CO79" s="286"/>
      <c r="CP79" s="286"/>
      <c r="CQ79" s="286"/>
      <c r="CR79" s="286"/>
      <c r="CS79" s="286"/>
      <c r="CT79" s="286"/>
      <c r="CU79" s="286"/>
      <c r="CV79" s="286"/>
      <c r="CW79" s="286"/>
      <c r="CX79" s="286"/>
      <c r="CY79" s="286"/>
      <c r="CZ79" s="286"/>
      <c r="DA79" s="286"/>
      <c r="DB79" s="286"/>
      <c r="DC79" s="286"/>
      <c r="DD79" s="286"/>
      <c r="DE79" s="286"/>
      <c r="DF79" s="286"/>
      <c r="DG79" s="286"/>
      <c r="DH79" s="286"/>
      <c r="DI79" s="286"/>
      <c r="DJ79" s="286"/>
      <c r="DK79" s="286"/>
      <c r="DL79" s="286"/>
      <c r="DM79" s="286"/>
      <c r="DN79" s="286"/>
      <c r="DO79" s="286"/>
      <c r="DP79" s="286"/>
      <c r="DQ79" s="286"/>
      <c r="DR79" s="286"/>
      <c r="DS79" s="286"/>
      <c r="DT79" s="286"/>
      <c r="DU79" s="286"/>
      <c r="DV79" s="286"/>
      <c r="DW79" s="286"/>
      <c r="DX79" s="286"/>
      <c r="DY79" s="286"/>
      <c r="DZ79" s="286"/>
      <c r="EA79" s="286"/>
      <c r="EB79" s="286"/>
      <c r="EC79" s="286"/>
      <c r="ED79" s="286"/>
      <c r="EE79" s="286"/>
      <c r="EF79" s="286"/>
      <c r="EG79" s="286"/>
      <c r="EH79" s="286"/>
      <c r="EI79" s="286"/>
      <c r="EJ79" s="286"/>
      <c r="EK79" s="286"/>
      <c r="EL79" s="286"/>
      <c r="EM79" s="286"/>
      <c r="EN79" s="286"/>
      <c r="EO79" s="286"/>
      <c r="EP79" s="286"/>
      <c r="EQ79" s="286"/>
      <c r="ER79" s="286"/>
      <c r="ES79" s="286"/>
      <c r="ET79" s="286"/>
      <c r="EU79" s="286"/>
      <c r="EV79" s="286"/>
      <c r="EW79" s="286"/>
      <c r="EX79" s="286"/>
      <c r="EY79" s="286"/>
      <c r="EZ79" s="286"/>
      <c r="FA79" s="286"/>
      <c r="FB79" s="286"/>
      <c r="FC79" s="286"/>
      <c r="FD79" s="286"/>
      <c r="FE79" s="286"/>
      <c r="FF79" s="286"/>
      <c r="FG79" s="286"/>
      <c r="FH79" s="286"/>
      <c r="FI79" s="286"/>
      <c r="FJ79" s="286"/>
      <c r="FK79" s="286"/>
      <c r="FL79" s="286"/>
      <c r="FM79" s="286"/>
      <c r="FN79" s="286"/>
      <c r="FO79" s="286"/>
      <c r="FP79" s="286"/>
      <c r="FQ79" s="286"/>
      <c r="FR79" s="286"/>
      <c r="FS79" s="286"/>
      <c r="FT79" s="286"/>
      <c r="FU79" s="286"/>
      <c r="FV79" s="286"/>
      <c r="FW79" s="286"/>
      <c r="FX79" s="286"/>
      <c r="FY79" s="286"/>
      <c r="FZ79" s="286"/>
      <c r="GA79" s="286"/>
      <c r="GB79" s="286"/>
      <c r="GC79" s="286"/>
      <c r="GD79" s="286"/>
      <c r="GE79" s="286"/>
      <c r="GF79" s="286"/>
      <c r="GG79" s="286"/>
      <c r="GH79" s="286"/>
      <c r="GI79" s="286"/>
      <c r="GJ79" s="286"/>
      <c r="GK79" s="286"/>
      <c r="GL79" s="286"/>
      <c r="GM79" s="286"/>
      <c r="GN79" s="286"/>
      <c r="GO79" s="286"/>
      <c r="GP79" s="286"/>
      <c r="GQ79" s="286"/>
      <c r="GR79" s="286"/>
      <c r="GS79" s="286"/>
      <c r="GT79" s="286"/>
      <c r="GU79" s="286"/>
      <c r="GV79" s="286"/>
      <c r="GW79" s="286"/>
      <c r="GX79" s="286"/>
      <c r="GY79" s="286"/>
      <c r="GZ79" s="286"/>
    </row>
    <row r="80" spans="1:208" ht="30">
      <c r="A80" s="302">
        <v>19</v>
      </c>
      <c r="B80" s="303">
        <v>44690</v>
      </c>
      <c r="C80" s="304">
        <v>1040014</v>
      </c>
      <c r="D80" s="304" t="s">
        <v>4353</v>
      </c>
      <c r="E80" s="304" t="s">
        <v>4354</v>
      </c>
      <c r="F80" s="304" t="s">
        <v>4275</v>
      </c>
      <c r="G80" s="304" t="s">
        <v>4320</v>
      </c>
      <c r="H80" s="304">
        <v>43</v>
      </c>
      <c r="I80" s="304">
        <v>4502326625</v>
      </c>
      <c r="J80" s="304">
        <v>3025459</v>
      </c>
      <c r="K80" s="304" t="s">
        <v>4320</v>
      </c>
      <c r="L80" s="304" t="s">
        <v>4320</v>
      </c>
      <c r="M80" s="309">
        <v>22956</v>
      </c>
      <c r="N80" s="327">
        <v>8656</v>
      </c>
      <c r="O80" s="306">
        <f t="shared" si="18"/>
        <v>198707136</v>
      </c>
      <c r="P80" s="304">
        <v>3</v>
      </c>
      <c r="Q80" s="314" t="s">
        <v>3455</v>
      </c>
      <c r="R80" s="304">
        <v>1040968</v>
      </c>
      <c r="S80" s="320">
        <v>10052400</v>
      </c>
      <c r="T80" s="307"/>
      <c r="U80" s="307"/>
      <c r="V80" s="307"/>
      <c r="W80" s="307"/>
      <c r="X80" s="307"/>
      <c r="Y80" s="307"/>
      <c r="Z80" s="308"/>
      <c r="AA80" s="308"/>
      <c r="AB80" s="308"/>
      <c r="AC80" s="308"/>
      <c r="AD80" s="308"/>
      <c r="AE80" s="308"/>
      <c r="AF80" s="308"/>
      <c r="AG80" s="308"/>
      <c r="AH80" s="308"/>
      <c r="AI80" s="308"/>
      <c r="AJ80" s="308"/>
      <c r="AK80" s="308"/>
      <c r="AL80" s="308"/>
      <c r="AM80" s="308"/>
      <c r="AN80" s="308"/>
      <c r="AO80" s="308"/>
      <c r="AP80" s="308"/>
      <c r="AQ80" s="308"/>
      <c r="AR80" s="308"/>
      <c r="AS80" s="308"/>
      <c r="AT80" s="308"/>
      <c r="AU80" s="308"/>
      <c r="AV80" s="308"/>
      <c r="AW80" s="308"/>
      <c r="AX80" s="308"/>
      <c r="AY80" s="308"/>
      <c r="AZ80" s="308"/>
      <c r="BA80" s="308"/>
      <c r="BB80" s="308"/>
      <c r="BC80" s="308"/>
      <c r="BD80" s="308"/>
      <c r="BE80" s="308"/>
      <c r="BF80" s="308"/>
      <c r="BG80" s="308"/>
      <c r="BH80" s="308"/>
      <c r="BI80" s="308"/>
      <c r="BJ80" s="308"/>
      <c r="BK80" s="308"/>
      <c r="BL80" s="308"/>
      <c r="BM80" s="308"/>
      <c r="BN80" s="308"/>
      <c r="BO80" s="308"/>
      <c r="BP80" s="308"/>
      <c r="BQ80" s="308"/>
      <c r="BR80" s="308"/>
      <c r="BS80" s="308"/>
      <c r="BT80" s="308"/>
      <c r="BU80" s="308"/>
      <c r="BV80" s="308"/>
      <c r="BW80" s="308"/>
      <c r="BX80" s="308"/>
      <c r="BY80" s="308"/>
      <c r="BZ80" s="308"/>
      <c r="CA80" s="308"/>
      <c r="CB80" s="308"/>
      <c r="CC80" s="308"/>
      <c r="CD80" s="308"/>
      <c r="CE80" s="308"/>
      <c r="CF80" s="308"/>
      <c r="CG80" s="308"/>
      <c r="CH80" s="308"/>
      <c r="CI80" s="308"/>
      <c r="CJ80" s="308"/>
      <c r="CK80" s="308"/>
      <c r="CL80" s="308"/>
      <c r="CM80" s="308"/>
      <c r="CN80" s="308"/>
      <c r="CO80" s="308"/>
      <c r="CP80" s="308"/>
      <c r="CQ80" s="308"/>
      <c r="CR80" s="308"/>
      <c r="CS80" s="308"/>
      <c r="CT80" s="308"/>
      <c r="CU80" s="308"/>
      <c r="CV80" s="308"/>
      <c r="CW80" s="308"/>
      <c r="CX80" s="308"/>
      <c r="CY80" s="308"/>
      <c r="CZ80" s="308"/>
      <c r="DA80" s="308"/>
      <c r="DB80" s="308"/>
      <c r="DC80" s="308"/>
      <c r="DD80" s="308"/>
      <c r="DE80" s="308"/>
      <c r="DF80" s="308"/>
      <c r="DG80" s="308"/>
      <c r="DH80" s="308"/>
      <c r="DI80" s="308"/>
      <c r="DJ80" s="308"/>
      <c r="DK80" s="308"/>
      <c r="DL80" s="308"/>
      <c r="DM80" s="308"/>
      <c r="DN80" s="308"/>
      <c r="DO80" s="308"/>
      <c r="DP80" s="308"/>
      <c r="DQ80" s="308"/>
      <c r="DR80" s="308"/>
      <c r="DS80" s="308"/>
      <c r="DT80" s="308"/>
      <c r="DU80" s="308"/>
      <c r="DV80" s="308"/>
      <c r="DW80" s="308"/>
      <c r="DX80" s="308"/>
      <c r="DY80" s="308"/>
      <c r="DZ80" s="308"/>
      <c r="EA80" s="308"/>
      <c r="EB80" s="308"/>
      <c r="EC80" s="308"/>
      <c r="ED80" s="308"/>
      <c r="EE80" s="308"/>
      <c r="EF80" s="308"/>
      <c r="EG80" s="308"/>
      <c r="EH80" s="308"/>
      <c r="EI80" s="308"/>
      <c r="EJ80" s="308"/>
      <c r="EK80" s="308"/>
      <c r="EL80" s="308"/>
      <c r="EM80" s="308"/>
      <c r="EN80" s="308"/>
      <c r="EO80" s="308"/>
      <c r="EP80" s="308"/>
      <c r="EQ80" s="308"/>
      <c r="ER80" s="308"/>
      <c r="ES80" s="308"/>
      <c r="ET80" s="308"/>
      <c r="EU80" s="308"/>
      <c r="EV80" s="308"/>
      <c r="EW80" s="308"/>
      <c r="EX80" s="308"/>
      <c r="EY80" s="308"/>
      <c r="EZ80" s="308"/>
      <c r="FA80" s="308"/>
      <c r="FB80" s="308"/>
      <c r="FC80" s="308"/>
      <c r="FD80" s="308"/>
      <c r="FE80" s="308"/>
      <c r="FF80" s="308"/>
      <c r="FG80" s="308"/>
      <c r="FH80" s="308"/>
      <c r="FI80" s="308"/>
      <c r="FJ80" s="308"/>
      <c r="FK80" s="308"/>
      <c r="FL80" s="308"/>
      <c r="FM80" s="308"/>
      <c r="FN80" s="308"/>
      <c r="FO80" s="308"/>
      <c r="FP80" s="308"/>
      <c r="FQ80" s="308"/>
      <c r="FR80" s="308"/>
      <c r="FS80" s="308"/>
      <c r="FT80" s="308"/>
      <c r="FU80" s="308"/>
      <c r="FV80" s="308"/>
      <c r="FW80" s="308"/>
      <c r="FX80" s="308"/>
      <c r="FY80" s="308"/>
      <c r="FZ80" s="308"/>
      <c r="GA80" s="308"/>
      <c r="GB80" s="308"/>
      <c r="GC80" s="308"/>
      <c r="GD80" s="308"/>
      <c r="GE80" s="308"/>
      <c r="GF80" s="308"/>
      <c r="GG80" s="308"/>
      <c r="GH80" s="308"/>
      <c r="GI80" s="308"/>
      <c r="GJ80" s="308"/>
      <c r="GK80" s="308"/>
      <c r="GL80" s="308"/>
      <c r="GM80" s="308"/>
      <c r="GN80" s="308"/>
      <c r="GO80" s="308"/>
      <c r="GP80" s="308"/>
      <c r="GQ80" s="308"/>
      <c r="GR80" s="308"/>
      <c r="GS80" s="308"/>
      <c r="GT80" s="308"/>
      <c r="GU80" s="308"/>
      <c r="GV80" s="308"/>
      <c r="GW80" s="308"/>
      <c r="GX80" s="308"/>
      <c r="GY80" s="308"/>
      <c r="GZ80" s="308"/>
    </row>
    <row r="81" spans="1:208" ht="30">
      <c r="A81" s="280">
        <v>20</v>
      </c>
      <c r="B81" s="281">
        <v>44698</v>
      </c>
      <c r="C81" s="282">
        <v>1116275</v>
      </c>
      <c r="D81" s="282" t="s">
        <v>4355</v>
      </c>
      <c r="E81" s="282" t="s">
        <v>4356</v>
      </c>
      <c r="F81" s="282" t="s">
        <v>4251</v>
      </c>
      <c r="G81" s="282" t="s">
        <v>4320</v>
      </c>
      <c r="H81" s="282">
        <v>140</v>
      </c>
      <c r="I81" s="282">
        <v>4502332698</v>
      </c>
      <c r="J81" s="282">
        <v>3025457</v>
      </c>
      <c r="K81" s="282" t="s">
        <v>4320</v>
      </c>
      <c r="L81" s="282" t="s">
        <v>4320</v>
      </c>
      <c r="M81" s="283">
        <v>58262</v>
      </c>
      <c r="N81" s="282">
        <v>9100</v>
      </c>
      <c r="O81" s="284">
        <f t="shared" si="18"/>
        <v>530184200</v>
      </c>
      <c r="P81" s="285">
        <f t="shared" ref="P81:P93" si="20">H81/14</f>
        <v>10</v>
      </c>
      <c r="Q81" s="321" t="s">
        <v>3429</v>
      </c>
      <c r="R81" s="282">
        <v>1070641</v>
      </c>
      <c r="S81" s="322">
        <v>7872000</v>
      </c>
      <c r="T81" s="282" t="s">
        <v>4357</v>
      </c>
      <c r="U81" s="285"/>
      <c r="V81" s="285"/>
      <c r="W81" s="285"/>
      <c r="X81" s="285"/>
      <c r="Y81" s="285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  <c r="BM81" s="286"/>
      <c r="BN81" s="286"/>
      <c r="BO81" s="286"/>
      <c r="BP81" s="286"/>
      <c r="BQ81" s="286"/>
      <c r="BR81" s="286"/>
      <c r="BS81" s="286"/>
      <c r="BT81" s="286"/>
      <c r="BU81" s="286"/>
      <c r="BV81" s="286"/>
      <c r="BW81" s="286"/>
      <c r="BX81" s="286"/>
      <c r="BY81" s="286"/>
      <c r="BZ81" s="286"/>
      <c r="CA81" s="286"/>
      <c r="CB81" s="286"/>
      <c r="CC81" s="286"/>
      <c r="CD81" s="286"/>
      <c r="CE81" s="286"/>
      <c r="CF81" s="286"/>
      <c r="CG81" s="286"/>
      <c r="CH81" s="286"/>
      <c r="CI81" s="286"/>
      <c r="CJ81" s="286"/>
      <c r="CK81" s="286"/>
      <c r="CL81" s="286"/>
      <c r="CM81" s="286"/>
      <c r="CN81" s="286"/>
      <c r="CO81" s="286"/>
      <c r="CP81" s="286"/>
      <c r="CQ81" s="286"/>
      <c r="CR81" s="286"/>
      <c r="CS81" s="286"/>
      <c r="CT81" s="286"/>
      <c r="CU81" s="286"/>
      <c r="CV81" s="286"/>
      <c r="CW81" s="286"/>
      <c r="CX81" s="286"/>
      <c r="CY81" s="286"/>
      <c r="CZ81" s="286"/>
      <c r="DA81" s="286"/>
      <c r="DB81" s="286"/>
      <c r="DC81" s="286"/>
      <c r="DD81" s="286"/>
      <c r="DE81" s="286"/>
      <c r="DF81" s="286"/>
      <c r="DG81" s="286"/>
      <c r="DH81" s="286"/>
      <c r="DI81" s="286"/>
      <c r="DJ81" s="286"/>
      <c r="DK81" s="286"/>
      <c r="DL81" s="286"/>
      <c r="DM81" s="286"/>
      <c r="DN81" s="286"/>
      <c r="DO81" s="286"/>
      <c r="DP81" s="286"/>
      <c r="DQ81" s="286"/>
      <c r="DR81" s="286"/>
      <c r="DS81" s="286"/>
      <c r="DT81" s="286"/>
      <c r="DU81" s="286"/>
      <c r="DV81" s="286"/>
      <c r="DW81" s="286"/>
      <c r="DX81" s="286"/>
      <c r="DY81" s="286"/>
      <c r="DZ81" s="286"/>
      <c r="EA81" s="286"/>
      <c r="EB81" s="286"/>
      <c r="EC81" s="286"/>
      <c r="ED81" s="286"/>
      <c r="EE81" s="286"/>
      <c r="EF81" s="286"/>
      <c r="EG81" s="286"/>
      <c r="EH81" s="286"/>
      <c r="EI81" s="286"/>
      <c r="EJ81" s="286"/>
      <c r="EK81" s="286"/>
      <c r="EL81" s="286"/>
      <c r="EM81" s="286"/>
      <c r="EN81" s="286"/>
      <c r="EO81" s="286"/>
      <c r="EP81" s="286"/>
      <c r="EQ81" s="286"/>
      <c r="ER81" s="286"/>
      <c r="ES81" s="286"/>
      <c r="ET81" s="286"/>
      <c r="EU81" s="286"/>
      <c r="EV81" s="286"/>
      <c r="EW81" s="286"/>
      <c r="EX81" s="286"/>
      <c r="EY81" s="286"/>
      <c r="EZ81" s="286"/>
      <c r="FA81" s="286"/>
      <c r="FB81" s="286"/>
      <c r="FC81" s="286"/>
      <c r="FD81" s="286"/>
      <c r="FE81" s="286"/>
      <c r="FF81" s="286"/>
      <c r="FG81" s="286"/>
      <c r="FH81" s="286"/>
      <c r="FI81" s="286"/>
      <c r="FJ81" s="286"/>
      <c r="FK81" s="286"/>
      <c r="FL81" s="286"/>
      <c r="FM81" s="286"/>
      <c r="FN81" s="286"/>
      <c r="FO81" s="286"/>
      <c r="FP81" s="286"/>
      <c r="FQ81" s="286"/>
      <c r="FR81" s="286"/>
      <c r="FS81" s="286"/>
      <c r="FT81" s="286"/>
      <c r="FU81" s="286"/>
      <c r="FV81" s="286"/>
      <c r="FW81" s="286"/>
      <c r="FX81" s="286"/>
      <c r="FY81" s="286"/>
      <c r="FZ81" s="286"/>
      <c r="GA81" s="286"/>
      <c r="GB81" s="286"/>
      <c r="GC81" s="286"/>
      <c r="GD81" s="286"/>
      <c r="GE81" s="286"/>
      <c r="GF81" s="286"/>
      <c r="GG81" s="286"/>
      <c r="GH81" s="286"/>
      <c r="GI81" s="286"/>
      <c r="GJ81" s="286"/>
      <c r="GK81" s="286"/>
      <c r="GL81" s="286"/>
      <c r="GM81" s="286"/>
      <c r="GN81" s="286"/>
      <c r="GO81" s="286"/>
      <c r="GP81" s="286"/>
      <c r="GQ81" s="286"/>
      <c r="GR81" s="286"/>
      <c r="GS81" s="286"/>
      <c r="GT81" s="286"/>
      <c r="GU81" s="286"/>
      <c r="GV81" s="286"/>
      <c r="GW81" s="286"/>
      <c r="GX81" s="286"/>
      <c r="GY81" s="286"/>
      <c r="GZ81" s="286"/>
    </row>
    <row r="82" spans="1:208" ht="15">
      <c r="A82" s="302">
        <v>21</v>
      </c>
      <c r="B82" s="328">
        <v>44703</v>
      </c>
      <c r="C82" s="329">
        <v>1075952</v>
      </c>
      <c r="D82" s="304" t="s">
        <v>4358</v>
      </c>
      <c r="E82" s="329" t="s">
        <v>4359</v>
      </c>
      <c r="F82" s="329" t="s">
        <v>4275</v>
      </c>
      <c r="G82" s="329">
        <v>3182</v>
      </c>
      <c r="H82" s="329">
        <v>42</v>
      </c>
      <c r="I82" s="304">
        <v>4502337037</v>
      </c>
      <c r="J82" s="329">
        <v>3025459</v>
      </c>
      <c r="K82" s="304">
        <v>4902272546</v>
      </c>
      <c r="L82" s="304" t="s">
        <v>4252</v>
      </c>
      <c r="M82" s="309">
        <v>19797</v>
      </c>
      <c r="N82" s="329">
        <v>9000</v>
      </c>
      <c r="O82" s="306">
        <f t="shared" si="18"/>
        <v>178173000</v>
      </c>
      <c r="P82" s="307">
        <f t="shared" si="20"/>
        <v>3</v>
      </c>
      <c r="Q82" s="314" t="s">
        <v>3455</v>
      </c>
      <c r="R82" s="304">
        <v>1040968</v>
      </c>
      <c r="S82" s="304">
        <v>5378400</v>
      </c>
      <c r="T82" s="304"/>
      <c r="U82" s="307"/>
      <c r="V82" s="307"/>
      <c r="W82" s="307"/>
      <c r="X82" s="330"/>
      <c r="Y82" s="307"/>
      <c r="Z82" s="308"/>
      <c r="AA82" s="308"/>
      <c r="AB82" s="308"/>
      <c r="AC82" s="308"/>
      <c r="AD82" s="308"/>
      <c r="AE82" s="308"/>
      <c r="AF82" s="308"/>
      <c r="AG82" s="308"/>
      <c r="AH82" s="308"/>
      <c r="AI82" s="308"/>
      <c r="AJ82" s="308"/>
      <c r="AK82" s="308"/>
      <c r="AL82" s="308"/>
      <c r="AM82" s="308"/>
      <c r="AN82" s="308"/>
      <c r="AO82" s="308"/>
      <c r="AP82" s="308"/>
      <c r="AQ82" s="308"/>
      <c r="AR82" s="308"/>
      <c r="AS82" s="308"/>
      <c r="AT82" s="308"/>
      <c r="AU82" s="308"/>
      <c r="AV82" s="308"/>
      <c r="AW82" s="308"/>
      <c r="AX82" s="308"/>
      <c r="AY82" s="308"/>
      <c r="AZ82" s="308"/>
      <c r="BA82" s="308"/>
      <c r="BB82" s="308"/>
      <c r="BC82" s="308"/>
      <c r="BD82" s="308"/>
      <c r="BE82" s="308"/>
      <c r="BF82" s="308"/>
      <c r="BG82" s="308"/>
      <c r="BH82" s="308"/>
      <c r="BI82" s="308"/>
      <c r="BJ82" s="308"/>
      <c r="BK82" s="308"/>
      <c r="BL82" s="308"/>
      <c r="BM82" s="308"/>
      <c r="BN82" s="308"/>
      <c r="BO82" s="308"/>
      <c r="BP82" s="308"/>
      <c r="BQ82" s="308"/>
      <c r="BR82" s="308"/>
      <c r="BS82" s="308"/>
      <c r="BT82" s="308"/>
      <c r="BU82" s="308"/>
      <c r="BV82" s="308"/>
      <c r="BW82" s="308"/>
      <c r="BX82" s="308"/>
      <c r="BY82" s="308"/>
      <c r="BZ82" s="308"/>
      <c r="CA82" s="308"/>
      <c r="CB82" s="308"/>
      <c r="CC82" s="308"/>
      <c r="CD82" s="308"/>
      <c r="CE82" s="308"/>
      <c r="CF82" s="308"/>
      <c r="CG82" s="308"/>
      <c r="CH82" s="308"/>
      <c r="CI82" s="308"/>
      <c r="CJ82" s="308"/>
      <c r="CK82" s="308"/>
      <c r="CL82" s="308"/>
      <c r="CM82" s="308"/>
      <c r="CN82" s="308"/>
      <c r="CO82" s="308"/>
      <c r="CP82" s="308"/>
      <c r="CQ82" s="308"/>
      <c r="CR82" s="308"/>
      <c r="CS82" s="308"/>
      <c r="CT82" s="308"/>
      <c r="CU82" s="308"/>
      <c r="CV82" s="308"/>
      <c r="CW82" s="308"/>
      <c r="CX82" s="308"/>
      <c r="CY82" s="308"/>
      <c r="CZ82" s="308"/>
      <c r="DA82" s="308"/>
      <c r="DB82" s="308"/>
      <c r="DC82" s="308"/>
      <c r="DD82" s="308"/>
      <c r="DE82" s="308"/>
      <c r="DF82" s="308"/>
      <c r="DG82" s="308"/>
      <c r="DH82" s="308"/>
      <c r="DI82" s="308"/>
      <c r="DJ82" s="308"/>
      <c r="DK82" s="308"/>
      <c r="DL82" s="308"/>
      <c r="DM82" s="308"/>
      <c r="DN82" s="308"/>
      <c r="DO82" s="308"/>
      <c r="DP82" s="308"/>
      <c r="DQ82" s="308"/>
      <c r="DR82" s="308"/>
      <c r="DS82" s="308"/>
      <c r="DT82" s="308"/>
      <c r="DU82" s="308"/>
      <c r="DV82" s="308"/>
      <c r="DW82" s="308"/>
      <c r="DX82" s="308"/>
      <c r="DY82" s="308"/>
      <c r="DZ82" s="308"/>
      <c r="EA82" s="308"/>
      <c r="EB82" s="308"/>
      <c r="EC82" s="308"/>
      <c r="ED82" s="308"/>
      <c r="EE82" s="308"/>
      <c r="EF82" s="308"/>
      <c r="EG82" s="308"/>
      <c r="EH82" s="308"/>
      <c r="EI82" s="308"/>
      <c r="EJ82" s="308"/>
      <c r="EK82" s="308"/>
      <c r="EL82" s="308"/>
      <c r="EM82" s="308"/>
      <c r="EN82" s="308"/>
      <c r="EO82" s="308"/>
      <c r="EP82" s="308"/>
      <c r="EQ82" s="308"/>
      <c r="ER82" s="308"/>
      <c r="ES82" s="308"/>
      <c r="ET82" s="308"/>
      <c r="EU82" s="308"/>
      <c r="EV82" s="308"/>
      <c r="EW82" s="308"/>
      <c r="EX82" s="308"/>
      <c r="EY82" s="308"/>
      <c r="EZ82" s="308"/>
      <c r="FA82" s="308"/>
      <c r="FB82" s="308"/>
      <c r="FC82" s="308"/>
      <c r="FD82" s="308"/>
      <c r="FE82" s="308"/>
      <c r="FF82" s="308"/>
      <c r="FG82" s="308"/>
      <c r="FH82" s="308"/>
      <c r="FI82" s="308"/>
      <c r="FJ82" s="308"/>
      <c r="FK82" s="308"/>
      <c r="FL82" s="308"/>
      <c r="FM82" s="308"/>
      <c r="FN82" s="308"/>
      <c r="FO82" s="308"/>
      <c r="FP82" s="308"/>
      <c r="FQ82" s="308"/>
      <c r="FR82" s="308"/>
      <c r="FS82" s="308"/>
      <c r="FT82" s="308"/>
      <c r="FU82" s="308"/>
      <c r="FV82" s="308"/>
      <c r="FW82" s="308"/>
      <c r="FX82" s="308"/>
      <c r="FY82" s="308"/>
      <c r="FZ82" s="308"/>
      <c r="GA82" s="308"/>
      <c r="GB82" s="308"/>
      <c r="GC82" s="308"/>
      <c r="GD82" s="308"/>
      <c r="GE82" s="308"/>
      <c r="GF82" s="308"/>
      <c r="GG82" s="308"/>
      <c r="GH82" s="308"/>
      <c r="GI82" s="308"/>
      <c r="GJ82" s="308"/>
      <c r="GK82" s="308"/>
      <c r="GL82" s="308"/>
      <c r="GM82" s="308"/>
      <c r="GN82" s="308"/>
      <c r="GO82" s="308"/>
      <c r="GP82" s="308"/>
      <c r="GQ82" s="308"/>
      <c r="GR82" s="308"/>
      <c r="GS82" s="308"/>
      <c r="GT82" s="308"/>
      <c r="GU82" s="308"/>
      <c r="GV82" s="308"/>
      <c r="GW82" s="308"/>
      <c r="GX82" s="308"/>
      <c r="GY82" s="308"/>
      <c r="GZ82" s="308"/>
    </row>
    <row r="83" spans="1:208" ht="30">
      <c r="A83" s="302">
        <v>21</v>
      </c>
      <c r="B83" s="328">
        <v>44704</v>
      </c>
      <c r="C83" s="329">
        <v>1110297</v>
      </c>
      <c r="D83" s="304" t="s">
        <v>4360</v>
      </c>
      <c r="E83" s="329" t="s">
        <v>4361</v>
      </c>
      <c r="F83" s="329" t="s">
        <v>4275</v>
      </c>
      <c r="G83" s="329" t="s">
        <v>4362</v>
      </c>
      <c r="H83" s="329">
        <v>56</v>
      </c>
      <c r="I83" s="304">
        <v>4502336155</v>
      </c>
      <c r="J83" s="329">
        <v>3025459</v>
      </c>
      <c r="K83" s="304" t="s">
        <v>4320</v>
      </c>
      <c r="L83" s="304" t="s">
        <v>4320</v>
      </c>
      <c r="M83" s="309">
        <v>27696</v>
      </c>
      <c r="N83" s="329">
        <v>9000</v>
      </c>
      <c r="O83" s="306">
        <f t="shared" si="18"/>
        <v>249264000</v>
      </c>
      <c r="P83" s="307">
        <f t="shared" si="20"/>
        <v>4</v>
      </c>
      <c r="Q83" s="331" t="s">
        <v>3429</v>
      </c>
      <c r="R83" s="304">
        <v>1070641</v>
      </c>
      <c r="S83" s="304">
        <v>3680000</v>
      </c>
      <c r="T83" s="304" t="s">
        <v>4363</v>
      </c>
      <c r="U83" s="307"/>
      <c r="V83" s="307"/>
      <c r="W83" s="307"/>
      <c r="X83" s="330"/>
      <c r="Y83" s="307"/>
      <c r="Z83" s="308"/>
      <c r="AA83" s="308"/>
      <c r="AB83" s="308"/>
      <c r="AC83" s="308"/>
      <c r="AD83" s="308"/>
      <c r="AE83" s="308"/>
      <c r="AF83" s="308"/>
      <c r="AG83" s="308"/>
      <c r="AH83" s="308"/>
      <c r="AI83" s="308"/>
      <c r="AJ83" s="308"/>
      <c r="AK83" s="308"/>
      <c r="AL83" s="308"/>
      <c r="AM83" s="308"/>
      <c r="AN83" s="308"/>
      <c r="AO83" s="308"/>
      <c r="AP83" s="308"/>
      <c r="AQ83" s="308"/>
      <c r="AR83" s="308"/>
      <c r="AS83" s="308"/>
      <c r="AT83" s="308"/>
      <c r="AU83" s="308"/>
      <c r="AV83" s="308"/>
      <c r="AW83" s="308"/>
      <c r="AX83" s="308"/>
      <c r="AY83" s="308"/>
      <c r="AZ83" s="308"/>
      <c r="BA83" s="308"/>
      <c r="BB83" s="308"/>
      <c r="BC83" s="308"/>
      <c r="BD83" s="308"/>
      <c r="BE83" s="308"/>
      <c r="BF83" s="308"/>
      <c r="BG83" s="308"/>
      <c r="BH83" s="308"/>
      <c r="BI83" s="308"/>
      <c r="BJ83" s="308"/>
      <c r="BK83" s="308"/>
      <c r="BL83" s="308"/>
      <c r="BM83" s="308"/>
      <c r="BN83" s="308"/>
      <c r="BO83" s="308"/>
      <c r="BP83" s="308"/>
      <c r="BQ83" s="308"/>
      <c r="BR83" s="308"/>
      <c r="BS83" s="308"/>
      <c r="BT83" s="308"/>
      <c r="BU83" s="308"/>
      <c r="BV83" s="308"/>
      <c r="BW83" s="308"/>
      <c r="BX83" s="308"/>
      <c r="BY83" s="308"/>
      <c r="BZ83" s="308"/>
      <c r="CA83" s="308"/>
      <c r="CB83" s="308"/>
      <c r="CC83" s="308"/>
      <c r="CD83" s="308"/>
      <c r="CE83" s="308"/>
      <c r="CF83" s="308"/>
      <c r="CG83" s="308"/>
      <c r="CH83" s="308"/>
      <c r="CI83" s="308"/>
      <c r="CJ83" s="308"/>
      <c r="CK83" s="308"/>
      <c r="CL83" s="308"/>
      <c r="CM83" s="308"/>
      <c r="CN83" s="308"/>
      <c r="CO83" s="308"/>
      <c r="CP83" s="308"/>
      <c r="CQ83" s="308"/>
      <c r="CR83" s="308"/>
      <c r="CS83" s="308"/>
      <c r="CT83" s="308"/>
      <c r="CU83" s="308"/>
      <c r="CV83" s="308"/>
      <c r="CW83" s="308"/>
      <c r="CX83" s="308"/>
      <c r="CY83" s="308"/>
      <c r="CZ83" s="308"/>
      <c r="DA83" s="308"/>
      <c r="DB83" s="308"/>
      <c r="DC83" s="308"/>
      <c r="DD83" s="308"/>
      <c r="DE83" s="308"/>
      <c r="DF83" s="308"/>
      <c r="DG83" s="308"/>
      <c r="DH83" s="308"/>
      <c r="DI83" s="308"/>
      <c r="DJ83" s="308"/>
      <c r="DK83" s="308"/>
      <c r="DL83" s="308"/>
      <c r="DM83" s="308"/>
      <c r="DN83" s="308"/>
      <c r="DO83" s="308"/>
      <c r="DP83" s="308"/>
      <c r="DQ83" s="308"/>
      <c r="DR83" s="308"/>
      <c r="DS83" s="308"/>
      <c r="DT83" s="308"/>
      <c r="DU83" s="308"/>
      <c r="DV83" s="308"/>
      <c r="DW83" s="308"/>
      <c r="DX83" s="308"/>
      <c r="DY83" s="308"/>
      <c r="DZ83" s="308"/>
      <c r="EA83" s="308"/>
      <c r="EB83" s="308"/>
      <c r="EC83" s="308"/>
      <c r="ED83" s="308"/>
      <c r="EE83" s="308"/>
      <c r="EF83" s="308"/>
      <c r="EG83" s="308"/>
      <c r="EH83" s="308"/>
      <c r="EI83" s="308"/>
      <c r="EJ83" s="308"/>
      <c r="EK83" s="308"/>
      <c r="EL83" s="308"/>
      <c r="EM83" s="308"/>
      <c r="EN83" s="308"/>
      <c r="EO83" s="308"/>
      <c r="EP83" s="308"/>
      <c r="EQ83" s="308"/>
      <c r="ER83" s="308"/>
      <c r="ES83" s="308"/>
      <c r="ET83" s="308"/>
      <c r="EU83" s="308"/>
      <c r="EV83" s="308"/>
      <c r="EW83" s="308"/>
      <c r="EX83" s="308"/>
      <c r="EY83" s="308"/>
      <c r="EZ83" s="308"/>
      <c r="FA83" s="308"/>
      <c r="FB83" s="308"/>
      <c r="FC83" s="308"/>
      <c r="FD83" s="308"/>
      <c r="FE83" s="308"/>
      <c r="FF83" s="308"/>
      <c r="FG83" s="308"/>
      <c r="FH83" s="308"/>
      <c r="FI83" s="308"/>
      <c r="FJ83" s="308"/>
      <c r="FK83" s="308"/>
      <c r="FL83" s="308"/>
      <c r="FM83" s="308"/>
      <c r="FN83" s="308"/>
      <c r="FO83" s="308"/>
      <c r="FP83" s="308"/>
      <c r="FQ83" s="308"/>
      <c r="FR83" s="308"/>
      <c r="FS83" s="308"/>
      <c r="FT83" s="308"/>
      <c r="FU83" s="308"/>
      <c r="FV83" s="308"/>
      <c r="FW83" s="308"/>
      <c r="FX83" s="308"/>
      <c r="FY83" s="308"/>
      <c r="FZ83" s="308"/>
      <c r="GA83" s="308"/>
      <c r="GB83" s="308"/>
      <c r="GC83" s="308"/>
      <c r="GD83" s="308"/>
      <c r="GE83" s="308"/>
      <c r="GF83" s="308"/>
      <c r="GG83" s="308"/>
      <c r="GH83" s="308"/>
      <c r="GI83" s="308"/>
      <c r="GJ83" s="308"/>
      <c r="GK83" s="308"/>
      <c r="GL83" s="308"/>
      <c r="GM83" s="308"/>
      <c r="GN83" s="308"/>
      <c r="GO83" s="308"/>
      <c r="GP83" s="308"/>
      <c r="GQ83" s="308"/>
      <c r="GR83" s="308"/>
      <c r="GS83" s="308"/>
      <c r="GT83" s="308"/>
      <c r="GU83" s="308"/>
      <c r="GV83" s="308"/>
      <c r="GW83" s="308"/>
      <c r="GX83" s="308"/>
      <c r="GY83" s="308"/>
      <c r="GZ83" s="308"/>
    </row>
    <row r="84" spans="1:208" ht="15">
      <c r="A84" s="302">
        <v>21</v>
      </c>
      <c r="B84" s="328">
        <v>44705</v>
      </c>
      <c r="C84" s="329">
        <v>1075952</v>
      </c>
      <c r="D84" s="304" t="s">
        <v>4364</v>
      </c>
      <c r="E84" s="329" t="s">
        <v>4359</v>
      </c>
      <c r="F84" s="329" t="s">
        <v>4251</v>
      </c>
      <c r="G84" s="329">
        <v>3182</v>
      </c>
      <c r="H84" s="329">
        <v>42</v>
      </c>
      <c r="I84" s="304">
        <v>4502338189</v>
      </c>
      <c r="J84" s="329">
        <v>3025457</v>
      </c>
      <c r="K84" s="304">
        <v>4902272550</v>
      </c>
      <c r="L84" s="304" t="s">
        <v>4252</v>
      </c>
      <c r="M84" s="309">
        <v>20680</v>
      </c>
      <c r="N84" s="329">
        <v>9000</v>
      </c>
      <c r="O84" s="306">
        <f t="shared" si="18"/>
        <v>186120000</v>
      </c>
      <c r="P84" s="307">
        <f t="shared" si="20"/>
        <v>3</v>
      </c>
      <c r="Q84" s="314" t="s">
        <v>3455</v>
      </c>
      <c r="R84" s="304">
        <v>1040968</v>
      </c>
      <c r="S84" s="304">
        <v>5378400</v>
      </c>
      <c r="T84" s="307"/>
      <c r="U84" s="307"/>
      <c r="V84" s="307"/>
      <c r="W84" s="307"/>
      <c r="X84" s="330"/>
      <c r="Y84" s="307"/>
      <c r="Z84" s="308"/>
      <c r="AA84" s="308"/>
      <c r="AB84" s="308"/>
      <c r="AC84" s="308"/>
      <c r="AD84" s="308"/>
      <c r="AE84" s="308"/>
      <c r="AF84" s="308"/>
      <c r="AG84" s="308"/>
      <c r="AH84" s="308"/>
      <c r="AI84" s="308"/>
      <c r="AJ84" s="308"/>
      <c r="AK84" s="308"/>
      <c r="AL84" s="308"/>
      <c r="AM84" s="308"/>
      <c r="AN84" s="308"/>
      <c r="AO84" s="308"/>
      <c r="AP84" s="308"/>
      <c r="AQ84" s="308"/>
      <c r="AR84" s="308"/>
      <c r="AS84" s="308"/>
      <c r="AT84" s="308"/>
      <c r="AU84" s="308"/>
      <c r="AV84" s="308"/>
      <c r="AW84" s="308"/>
      <c r="AX84" s="308"/>
      <c r="AY84" s="308"/>
      <c r="AZ84" s="308"/>
      <c r="BA84" s="308"/>
      <c r="BB84" s="308"/>
      <c r="BC84" s="308"/>
      <c r="BD84" s="308"/>
      <c r="BE84" s="308"/>
      <c r="BF84" s="308"/>
      <c r="BG84" s="308"/>
      <c r="BH84" s="308"/>
      <c r="BI84" s="308"/>
      <c r="BJ84" s="308"/>
      <c r="BK84" s="308"/>
      <c r="BL84" s="308"/>
      <c r="BM84" s="308"/>
      <c r="BN84" s="308"/>
      <c r="BO84" s="308"/>
      <c r="BP84" s="308"/>
      <c r="BQ84" s="308"/>
      <c r="BR84" s="308"/>
      <c r="BS84" s="308"/>
      <c r="BT84" s="308"/>
      <c r="BU84" s="308"/>
      <c r="BV84" s="308"/>
      <c r="BW84" s="308"/>
      <c r="BX84" s="308"/>
      <c r="BY84" s="308"/>
      <c r="BZ84" s="308"/>
      <c r="CA84" s="308"/>
      <c r="CB84" s="308"/>
      <c r="CC84" s="308"/>
      <c r="CD84" s="308"/>
      <c r="CE84" s="308"/>
      <c r="CF84" s="308"/>
      <c r="CG84" s="308"/>
      <c r="CH84" s="308"/>
      <c r="CI84" s="308"/>
      <c r="CJ84" s="308"/>
      <c r="CK84" s="308"/>
      <c r="CL84" s="308"/>
      <c r="CM84" s="308"/>
      <c r="CN84" s="308"/>
      <c r="CO84" s="308"/>
      <c r="CP84" s="308"/>
      <c r="CQ84" s="308"/>
      <c r="CR84" s="308"/>
      <c r="CS84" s="308"/>
      <c r="CT84" s="308"/>
      <c r="CU84" s="308"/>
      <c r="CV84" s="308"/>
      <c r="CW84" s="308"/>
      <c r="CX84" s="308"/>
      <c r="CY84" s="308"/>
      <c r="CZ84" s="308"/>
      <c r="DA84" s="308"/>
      <c r="DB84" s="308"/>
      <c r="DC84" s="308"/>
      <c r="DD84" s="308"/>
      <c r="DE84" s="308"/>
      <c r="DF84" s="308"/>
      <c r="DG84" s="308"/>
      <c r="DH84" s="308"/>
      <c r="DI84" s="308"/>
      <c r="DJ84" s="308"/>
      <c r="DK84" s="308"/>
      <c r="DL84" s="308"/>
      <c r="DM84" s="308"/>
      <c r="DN84" s="308"/>
      <c r="DO84" s="308"/>
      <c r="DP84" s="308"/>
      <c r="DQ84" s="308"/>
      <c r="DR84" s="308"/>
      <c r="DS84" s="308"/>
      <c r="DT84" s="308"/>
      <c r="DU84" s="308"/>
      <c r="DV84" s="308"/>
      <c r="DW84" s="308"/>
      <c r="DX84" s="308"/>
      <c r="DY84" s="308"/>
      <c r="DZ84" s="308"/>
      <c r="EA84" s="308"/>
      <c r="EB84" s="308"/>
      <c r="EC84" s="308"/>
      <c r="ED84" s="308"/>
      <c r="EE84" s="308"/>
      <c r="EF84" s="308"/>
      <c r="EG84" s="308"/>
      <c r="EH84" s="308"/>
      <c r="EI84" s="308"/>
      <c r="EJ84" s="308"/>
      <c r="EK84" s="308"/>
      <c r="EL84" s="308"/>
      <c r="EM84" s="308"/>
      <c r="EN84" s="308"/>
      <c r="EO84" s="308"/>
      <c r="EP84" s="308"/>
      <c r="EQ84" s="308"/>
      <c r="ER84" s="308"/>
      <c r="ES84" s="308"/>
      <c r="ET84" s="308"/>
      <c r="EU84" s="308"/>
      <c r="EV84" s="308"/>
      <c r="EW84" s="308"/>
      <c r="EX84" s="308"/>
      <c r="EY84" s="308"/>
      <c r="EZ84" s="308"/>
      <c r="FA84" s="308"/>
      <c r="FB84" s="308"/>
      <c r="FC84" s="308"/>
      <c r="FD84" s="308"/>
      <c r="FE84" s="308"/>
      <c r="FF84" s="308"/>
      <c r="FG84" s="308"/>
      <c r="FH84" s="308"/>
      <c r="FI84" s="308"/>
      <c r="FJ84" s="308"/>
      <c r="FK84" s="308"/>
      <c r="FL84" s="308"/>
      <c r="FM84" s="308"/>
      <c r="FN84" s="308"/>
      <c r="FO84" s="308"/>
      <c r="FP84" s="308"/>
      <c r="FQ84" s="308"/>
      <c r="FR84" s="308"/>
      <c r="FS84" s="308"/>
      <c r="FT84" s="308"/>
      <c r="FU84" s="308"/>
      <c r="FV84" s="308"/>
      <c r="FW84" s="308"/>
      <c r="FX84" s="308"/>
      <c r="FY84" s="308"/>
      <c r="FZ84" s="308"/>
      <c r="GA84" s="308"/>
      <c r="GB84" s="308"/>
      <c r="GC84" s="308"/>
      <c r="GD84" s="308"/>
      <c r="GE84" s="308"/>
      <c r="GF84" s="308"/>
      <c r="GG84" s="308"/>
      <c r="GH84" s="308"/>
      <c r="GI84" s="308"/>
      <c r="GJ84" s="308"/>
      <c r="GK84" s="308"/>
      <c r="GL84" s="308"/>
      <c r="GM84" s="308"/>
      <c r="GN84" s="308"/>
      <c r="GO84" s="308"/>
      <c r="GP84" s="308"/>
      <c r="GQ84" s="308"/>
      <c r="GR84" s="308"/>
      <c r="GS84" s="308"/>
      <c r="GT84" s="308"/>
      <c r="GU84" s="308"/>
      <c r="GV84" s="308"/>
      <c r="GW84" s="308"/>
      <c r="GX84" s="308"/>
      <c r="GY84" s="308"/>
      <c r="GZ84" s="308"/>
    </row>
    <row r="85" spans="1:208" ht="15">
      <c r="A85" s="280">
        <v>22</v>
      </c>
      <c r="B85" s="332">
        <v>44708</v>
      </c>
      <c r="C85" s="333">
        <v>1057331</v>
      </c>
      <c r="D85" s="282" t="s">
        <v>4365</v>
      </c>
      <c r="E85" s="333" t="s">
        <v>4328</v>
      </c>
      <c r="F85" s="333" t="s">
        <v>4251</v>
      </c>
      <c r="G85" s="333">
        <v>3151</v>
      </c>
      <c r="H85" s="333">
        <v>28</v>
      </c>
      <c r="I85" s="282">
        <v>4502341244</v>
      </c>
      <c r="J85" s="333">
        <v>3025457</v>
      </c>
      <c r="K85" s="282">
        <v>4902277238</v>
      </c>
      <c r="L85" s="282" t="s">
        <v>4252</v>
      </c>
      <c r="M85" s="283">
        <v>13020</v>
      </c>
      <c r="N85" s="333">
        <v>8650</v>
      </c>
      <c r="O85" s="284">
        <f t="shared" si="18"/>
        <v>112623000</v>
      </c>
      <c r="P85" s="285">
        <f t="shared" si="20"/>
        <v>2</v>
      </c>
      <c r="Q85" s="282" t="s">
        <v>3429</v>
      </c>
      <c r="R85" s="282">
        <v>1070641</v>
      </c>
      <c r="S85" s="282">
        <v>2304500</v>
      </c>
      <c r="T85" s="285"/>
      <c r="U85" s="285"/>
      <c r="V85" s="285"/>
      <c r="W85" s="285"/>
      <c r="X85" s="334"/>
      <c r="Y85" s="285"/>
      <c r="Z85" s="335"/>
      <c r="AA85" s="335"/>
      <c r="AB85" s="335"/>
      <c r="AC85" s="335"/>
      <c r="AD85" s="335"/>
      <c r="AE85" s="335"/>
      <c r="AF85" s="335"/>
      <c r="AG85" s="335"/>
      <c r="AH85" s="335"/>
      <c r="AI85" s="335"/>
      <c r="AJ85" s="335"/>
      <c r="AK85" s="335"/>
      <c r="AL85" s="335"/>
      <c r="AM85" s="335"/>
      <c r="AN85" s="335"/>
      <c r="AO85" s="335"/>
      <c r="AP85" s="335"/>
      <c r="AQ85" s="335"/>
      <c r="AR85" s="335"/>
      <c r="AS85" s="335"/>
      <c r="AT85" s="335"/>
      <c r="AU85" s="335"/>
      <c r="AV85" s="335"/>
      <c r="AW85" s="335"/>
      <c r="AX85" s="335"/>
      <c r="AY85" s="335"/>
      <c r="AZ85" s="335"/>
      <c r="BA85" s="335"/>
      <c r="BB85" s="335"/>
      <c r="BC85" s="335"/>
      <c r="BD85" s="335"/>
      <c r="BE85" s="335"/>
      <c r="BF85" s="335"/>
      <c r="BG85" s="335"/>
      <c r="BH85" s="335"/>
      <c r="BI85" s="335"/>
      <c r="BJ85" s="335"/>
      <c r="BK85" s="335"/>
      <c r="BL85" s="335"/>
      <c r="BM85" s="335"/>
      <c r="BN85" s="335"/>
      <c r="BO85" s="335"/>
      <c r="BP85" s="335"/>
      <c r="BQ85" s="335"/>
      <c r="BR85" s="335"/>
      <c r="BS85" s="335"/>
      <c r="BT85" s="335"/>
      <c r="BU85" s="335"/>
      <c r="BV85" s="335"/>
      <c r="BW85" s="335"/>
      <c r="BX85" s="335"/>
      <c r="BY85" s="335"/>
      <c r="BZ85" s="335"/>
      <c r="CA85" s="335"/>
      <c r="CB85" s="335"/>
      <c r="CC85" s="335"/>
      <c r="CD85" s="335"/>
      <c r="CE85" s="335"/>
      <c r="CF85" s="335"/>
      <c r="CG85" s="335"/>
      <c r="CH85" s="335"/>
      <c r="CI85" s="335"/>
      <c r="CJ85" s="335"/>
      <c r="CK85" s="335"/>
      <c r="CL85" s="335"/>
      <c r="CM85" s="335"/>
      <c r="CN85" s="335"/>
      <c r="CO85" s="335"/>
      <c r="CP85" s="335"/>
      <c r="CQ85" s="335"/>
      <c r="CR85" s="335"/>
      <c r="CS85" s="335"/>
      <c r="CT85" s="335"/>
      <c r="CU85" s="335"/>
      <c r="CV85" s="335"/>
      <c r="CW85" s="335"/>
      <c r="CX85" s="335"/>
      <c r="CY85" s="335"/>
      <c r="CZ85" s="335"/>
      <c r="DA85" s="335"/>
      <c r="DB85" s="335"/>
      <c r="DC85" s="335"/>
      <c r="DD85" s="335"/>
      <c r="DE85" s="335"/>
      <c r="DF85" s="335"/>
      <c r="DG85" s="335"/>
      <c r="DH85" s="335"/>
      <c r="DI85" s="335"/>
      <c r="DJ85" s="335"/>
      <c r="DK85" s="335"/>
      <c r="DL85" s="335"/>
      <c r="DM85" s="335"/>
      <c r="DN85" s="335"/>
      <c r="DO85" s="335"/>
      <c r="DP85" s="335"/>
      <c r="DQ85" s="335"/>
      <c r="DR85" s="335"/>
      <c r="DS85" s="335"/>
      <c r="DT85" s="335"/>
      <c r="DU85" s="335"/>
      <c r="DV85" s="335"/>
      <c r="DW85" s="335"/>
      <c r="DX85" s="335"/>
      <c r="DY85" s="335"/>
      <c r="DZ85" s="335"/>
      <c r="EA85" s="335"/>
      <c r="EB85" s="335"/>
      <c r="EC85" s="335"/>
      <c r="ED85" s="335"/>
      <c r="EE85" s="335"/>
      <c r="EF85" s="335"/>
      <c r="EG85" s="335"/>
      <c r="EH85" s="335"/>
      <c r="EI85" s="335"/>
      <c r="EJ85" s="335"/>
      <c r="EK85" s="335"/>
      <c r="EL85" s="335"/>
      <c r="EM85" s="335"/>
      <c r="EN85" s="335"/>
      <c r="EO85" s="335"/>
      <c r="EP85" s="335"/>
      <c r="EQ85" s="335"/>
      <c r="ER85" s="335"/>
      <c r="ES85" s="335"/>
      <c r="ET85" s="335"/>
      <c r="EU85" s="335"/>
      <c r="EV85" s="335"/>
      <c r="EW85" s="335"/>
      <c r="EX85" s="335"/>
      <c r="EY85" s="335"/>
      <c r="EZ85" s="335"/>
      <c r="FA85" s="335"/>
      <c r="FB85" s="335"/>
      <c r="FC85" s="335"/>
      <c r="FD85" s="335"/>
      <c r="FE85" s="335"/>
      <c r="FF85" s="335"/>
      <c r="FG85" s="335"/>
      <c r="FH85" s="335"/>
      <c r="FI85" s="335"/>
      <c r="FJ85" s="335"/>
      <c r="FK85" s="335"/>
      <c r="FL85" s="335"/>
      <c r="FM85" s="335"/>
      <c r="FN85" s="335"/>
      <c r="FO85" s="335"/>
      <c r="FP85" s="335"/>
      <c r="FQ85" s="335"/>
      <c r="FR85" s="335"/>
      <c r="FS85" s="335"/>
      <c r="FT85" s="335"/>
      <c r="FU85" s="335"/>
      <c r="FV85" s="335"/>
      <c r="FW85" s="335"/>
      <c r="FX85" s="335"/>
      <c r="FY85" s="335"/>
      <c r="FZ85" s="335"/>
      <c r="GA85" s="335"/>
      <c r="GB85" s="335"/>
      <c r="GC85" s="335"/>
      <c r="GD85" s="335"/>
      <c r="GE85" s="335"/>
      <c r="GF85" s="335"/>
      <c r="GG85" s="335"/>
      <c r="GH85" s="335"/>
      <c r="GI85" s="335"/>
      <c r="GJ85" s="335"/>
      <c r="GK85" s="335"/>
      <c r="GL85" s="335"/>
      <c r="GM85" s="335"/>
      <c r="GN85" s="335"/>
      <c r="GO85" s="335"/>
      <c r="GP85" s="335"/>
      <c r="GQ85" s="335"/>
      <c r="GR85" s="335"/>
      <c r="GS85" s="335"/>
      <c r="GT85" s="335"/>
      <c r="GU85" s="335"/>
      <c r="GV85" s="335"/>
      <c r="GW85" s="335"/>
      <c r="GX85" s="335"/>
      <c r="GY85" s="335"/>
      <c r="GZ85" s="335"/>
    </row>
    <row r="86" spans="1:208" ht="15">
      <c r="A86" s="302">
        <v>23</v>
      </c>
      <c r="B86" s="328">
        <v>44714</v>
      </c>
      <c r="C86" s="329">
        <v>1053331</v>
      </c>
      <c r="D86" s="304" t="s">
        <v>4366</v>
      </c>
      <c r="E86" s="329" t="s">
        <v>4263</v>
      </c>
      <c r="F86" s="329" t="s">
        <v>4264</v>
      </c>
      <c r="G86" s="329">
        <v>3178</v>
      </c>
      <c r="H86" s="329">
        <v>84</v>
      </c>
      <c r="I86" s="304">
        <v>4502344469</v>
      </c>
      <c r="J86" s="329">
        <v>3025460</v>
      </c>
      <c r="K86" s="304">
        <v>4902280190</v>
      </c>
      <c r="L86" s="304" t="s">
        <v>4252</v>
      </c>
      <c r="M86" s="309">
        <v>40573</v>
      </c>
      <c r="N86" s="329">
        <v>9050</v>
      </c>
      <c r="O86" s="306">
        <f t="shared" si="18"/>
        <v>367185650</v>
      </c>
      <c r="P86" s="307">
        <f t="shared" si="20"/>
        <v>6</v>
      </c>
      <c r="Q86" s="314" t="s">
        <v>3455</v>
      </c>
      <c r="R86" s="304">
        <v>1040968</v>
      </c>
      <c r="S86" s="304">
        <v>10954800</v>
      </c>
      <c r="T86" s="307"/>
      <c r="U86" s="307"/>
      <c r="V86" s="307"/>
      <c r="W86" s="307"/>
      <c r="X86" s="330"/>
      <c r="Y86" s="307"/>
      <c r="Z86" s="336"/>
      <c r="AA86" s="336"/>
      <c r="AB86" s="336"/>
      <c r="AC86" s="336"/>
      <c r="AD86" s="336"/>
      <c r="AE86" s="336"/>
      <c r="AF86" s="336"/>
      <c r="AG86" s="336"/>
      <c r="AH86" s="336"/>
      <c r="AI86" s="336"/>
      <c r="AJ86" s="336"/>
      <c r="AK86" s="336"/>
      <c r="AL86" s="336"/>
      <c r="AM86" s="336"/>
      <c r="AN86" s="336"/>
      <c r="AO86" s="336"/>
      <c r="AP86" s="336"/>
      <c r="AQ86" s="336"/>
      <c r="AR86" s="336"/>
      <c r="AS86" s="336"/>
      <c r="AT86" s="336"/>
      <c r="AU86" s="336"/>
      <c r="AV86" s="336"/>
      <c r="AW86" s="336"/>
      <c r="AX86" s="336"/>
      <c r="AY86" s="336"/>
      <c r="AZ86" s="336"/>
      <c r="BA86" s="336"/>
      <c r="BB86" s="336"/>
      <c r="BC86" s="336"/>
      <c r="BD86" s="336"/>
      <c r="BE86" s="336"/>
      <c r="BF86" s="336"/>
      <c r="BG86" s="336"/>
      <c r="BH86" s="336"/>
      <c r="BI86" s="336"/>
      <c r="BJ86" s="336"/>
      <c r="BK86" s="336"/>
      <c r="BL86" s="336"/>
      <c r="BM86" s="336"/>
      <c r="BN86" s="336"/>
      <c r="BO86" s="336"/>
      <c r="BP86" s="336"/>
      <c r="BQ86" s="336"/>
      <c r="BR86" s="336"/>
      <c r="BS86" s="336"/>
      <c r="BT86" s="336"/>
      <c r="BU86" s="336"/>
      <c r="BV86" s="336"/>
      <c r="BW86" s="336"/>
      <c r="BX86" s="336"/>
      <c r="BY86" s="336"/>
      <c r="BZ86" s="336"/>
      <c r="CA86" s="336"/>
      <c r="CB86" s="336"/>
      <c r="CC86" s="336"/>
      <c r="CD86" s="336"/>
      <c r="CE86" s="336"/>
      <c r="CF86" s="336"/>
      <c r="CG86" s="336"/>
      <c r="CH86" s="336"/>
      <c r="CI86" s="336"/>
      <c r="CJ86" s="336"/>
      <c r="CK86" s="336"/>
      <c r="CL86" s="336"/>
      <c r="CM86" s="336"/>
      <c r="CN86" s="336"/>
      <c r="CO86" s="336"/>
      <c r="CP86" s="336"/>
      <c r="CQ86" s="336"/>
      <c r="CR86" s="336"/>
      <c r="CS86" s="336"/>
      <c r="CT86" s="336"/>
      <c r="CU86" s="336"/>
      <c r="CV86" s="336"/>
      <c r="CW86" s="336"/>
      <c r="CX86" s="336"/>
      <c r="CY86" s="336"/>
      <c r="CZ86" s="336"/>
      <c r="DA86" s="336"/>
      <c r="DB86" s="336"/>
      <c r="DC86" s="336"/>
      <c r="DD86" s="336"/>
      <c r="DE86" s="336"/>
      <c r="DF86" s="336"/>
      <c r="DG86" s="336"/>
      <c r="DH86" s="336"/>
      <c r="DI86" s="336"/>
      <c r="DJ86" s="336"/>
      <c r="DK86" s="336"/>
      <c r="DL86" s="336"/>
      <c r="DM86" s="336"/>
      <c r="DN86" s="336"/>
      <c r="DO86" s="336"/>
      <c r="DP86" s="336"/>
      <c r="DQ86" s="336"/>
      <c r="DR86" s="336"/>
      <c r="DS86" s="336"/>
      <c r="DT86" s="336"/>
      <c r="DU86" s="336"/>
      <c r="DV86" s="336"/>
      <c r="DW86" s="336"/>
      <c r="DX86" s="336"/>
      <c r="DY86" s="336"/>
      <c r="DZ86" s="336"/>
      <c r="EA86" s="336"/>
      <c r="EB86" s="336"/>
      <c r="EC86" s="336"/>
      <c r="ED86" s="336"/>
      <c r="EE86" s="336"/>
      <c r="EF86" s="336"/>
      <c r="EG86" s="336"/>
      <c r="EH86" s="336"/>
      <c r="EI86" s="336"/>
      <c r="EJ86" s="336"/>
      <c r="EK86" s="336"/>
      <c r="EL86" s="336"/>
      <c r="EM86" s="336"/>
      <c r="EN86" s="336"/>
      <c r="EO86" s="336"/>
      <c r="EP86" s="336"/>
      <c r="EQ86" s="336"/>
      <c r="ER86" s="336"/>
      <c r="ES86" s="336"/>
      <c r="ET86" s="336"/>
      <c r="EU86" s="336"/>
      <c r="EV86" s="336"/>
      <c r="EW86" s="336"/>
      <c r="EX86" s="336"/>
      <c r="EY86" s="336"/>
      <c r="EZ86" s="336"/>
      <c r="FA86" s="336"/>
      <c r="FB86" s="336"/>
      <c r="FC86" s="336"/>
      <c r="FD86" s="336"/>
      <c r="FE86" s="336"/>
      <c r="FF86" s="336"/>
      <c r="FG86" s="336"/>
      <c r="FH86" s="336"/>
      <c r="FI86" s="336"/>
      <c r="FJ86" s="336"/>
      <c r="FK86" s="336"/>
      <c r="FL86" s="336"/>
      <c r="FM86" s="336"/>
      <c r="FN86" s="336"/>
      <c r="FO86" s="336"/>
      <c r="FP86" s="336"/>
      <c r="FQ86" s="336"/>
      <c r="FR86" s="336"/>
      <c r="FS86" s="336"/>
      <c r="FT86" s="336"/>
      <c r="FU86" s="336"/>
      <c r="FV86" s="336"/>
      <c r="FW86" s="336"/>
      <c r="FX86" s="336"/>
      <c r="FY86" s="336"/>
      <c r="FZ86" s="336"/>
      <c r="GA86" s="336"/>
      <c r="GB86" s="336"/>
      <c r="GC86" s="336"/>
      <c r="GD86" s="336"/>
      <c r="GE86" s="336"/>
      <c r="GF86" s="336"/>
      <c r="GG86" s="336"/>
      <c r="GH86" s="336"/>
      <c r="GI86" s="336"/>
      <c r="GJ86" s="336"/>
      <c r="GK86" s="336"/>
      <c r="GL86" s="336"/>
      <c r="GM86" s="336"/>
      <c r="GN86" s="336"/>
      <c r="GO86" s="336"/>
      <c r="GP86" s="336"/>
      <c r="GQ86" s="336"/>
      <c r="GR86" s="336"/>
      <c r="GS86" s="336"/>
      <c r="GT86" s="336"/>
      <c r="GU86" s="336"/>
      <c r="GV86" s="336"/>
      <c r="GW86" s="336"/>
      <c r="GX86" s="336"/>
      <c r="GY86" s="336"/>
      <c r="GZ86" s="336"/>
    </row>
    <row r="87" spans="1:208" ht="15">
      <c r="A87" s="302">
        <v>23</v>
      </c>
      <c r="B87" s="328">
        <v>44715</v>
      </c>
      <c r="C87" s="329">
        <v>1093247</v>
      </c>
      <c r="D87" s="304" t="s">
        <v>4367</v>
      </c>
      <c r="E87" s="329" t="s">
        <v>4270</v>
      </c>
      <c r="F87" s="329" t="s">
        <v>4275</v>
      </c>
      <c r="G87" s="329">
        <v>3190</v>
      </c>
      <c r="H87" s="329">
        <v>56</v>
      </c>
      <c r="I87" s="304">
        <v>4502347132</v>
      </c>
      <c r="J87" s="329">
        <v>3025459</v>
      </c>
      <c r="K87" s="304">
        <v>4902280920</v>
      </c>
      <c r="L87" s="304" t="s">
        <v>4252</v>
      </c>
      <c r="M87" s="309">
        <v>26782</v>
      </c>
      <c r="N87" s="329">
        <v>9100</v>
      </c>
      <c r="O87" s="306">
        <f t="shared" si="18"/>
        <v>243716200</v>
      </c>
      <c r="P87" s="307">
        <f t="shared" si="20"/>
        <v>4</v>
      </c>
      <c r="Q87" s="304" t="s">
        <v>3455</v>
      </c>
      <c r="R87" s="304">
        <v>1040968</v>
      </c>
      <c r="S87" s="307">
        <f>1793900*4</f>
        <v>7175600</v>
      </c>
      <c r="T87" s="307"/>
      <c r="U87" s="307"/>
      <c r="V87" s="307"/>
      <c r="W87" s="307"/>
      <c r="X87" s="307"/>
      <c r="Y87" s="307"/>
      <c r="Z87" s="336"/>
      <c r="AA87" s="336"/>
      <c r="AB87" s="336"/>
      <c r="AC87" s="336"/>
      <c r="AD87" s="336"/>
      <c r="AE87" s="336"/>
      <c r="AF87" s="336"/>
      <c r="AG87" s="336"/>
      <c r="AH87" s="336"/>
      <c r="AI87" s="336"/>
      <c r="AJ87" s="336"/>
      <c r="AK87" s="336"/>
      <c r="AL87" s="336"/>
      <c r="AM87" s="336"/>
      <c r="AN87" s="336"/>
      <c r="AO87" s="336"/>
      <c r="AP87" s="336"/>
      <c r="AQ87" s="336"/>
      <c r="AR87" s="336"/>
      <c r="AS87" s="336"/>
      <c r="AT87" s="336"/>
      <c r="AU87" s="336"/>
      <c r="AV87" s="336"/>
      <c r="AW87" s="336"/>
      <c r="AX87" s="336"/>
      <c r="AY87" s="336"/>
      <c r="AZ87" s="336"/>
      <c r="BA87" s="336"/>
      <c r="BB87" s="336"/>
      <c r="BC87" s="336"/>
      <c r="BD87" s="336"/>
      <c r="BE87" s="336"/>
      <c r="BF87" s="336"/>
      <c r="BG87" s="336"/>
      <c r="BH87" s="336"/>
      <c r="BI87" s="336"/>
      <c r="BJ87" s="336"/>
      <c r="BK87" s="336"/>
      <c r="BL87" s="336"/>
      <c r="BM87" s="336"/>
      <c r="BN87" s="336"/>
      <c r="BO87" s="336"/>
      <c r="BP87" s="336"/>
      <c r="BQ87" s="336"/>
      <c r="BR87" s="336"/>
      <c r="BS87" s="336"/>
      <c r="BT87" s="336"/>
      <c r="BU87" s="336"/>
      <c r="BV87" s="336"/>
      <c r="BW87" s="336"/>
      <c r="BX87" s="336"/>
      <c r="BY87" s="336"/>
      <c r="BZ87" s="336"/>
      <c r="CA87" s="336"/>
      <c r="CB87" s="336"/>
      <c r="CC87" s="336"/>
      <c r="CD87" s="336"/>
      <c r="CE87" s="336"/>
      <c r="CF87" s="336"/>
      <c r="CG87" s="336"/>
      <c r="CH87" s="336"/>
      <c r="CI87" s="336"/>
      <c r="CJ87" s="336"/>
      <c r="CK87" s="336"/>
      <c r="CL87" s="336"/>
      <c r="CM87" s="336"/>
      <c r="CN87" s="336"/>
      <c r="CO87" s="336"/>
      <c r="CP87" s="336"/>
      <c r="CQ87" s="336"/>
      <c r="CR87" s="336"/>
      <c r="CS87" s="336"/>
      <c r="CT87" s="336"/>
      <c r="CU87" s="336"/>
      <c r="CV87" s="336"/>
      <c r="CW87" s="336"/>
      <c r="CX87" s="336"/>
      <c r="CY87" s="336"/>
      <c r="CZ87" s="336"/>
      <c r="DA87" s="336"/>
      <c r="DB87" s="336"/>
      <c r="DC87" s="336"/>
      <c r="DD87" s="336"/>
      <c r="DE87" s="336"/>
      <c r="DF87" s="336"/>
      <c r="DG87" s="336"/>
      <c r="DH87" s="336"/>
      <c r="DI87" s="336"/>
      <c r="DJ87" s="336"/>
      <c r="DK87" s="336"/>
      <c r="DL87" s="336"/>
      <c r="DM87" s="336"/>
      <c r="DN87" s="336"/>
      <c r="DO87" s="336"/>
      <c r="DP87" s="336"/>
      <c r="DQ87" s="336"/>
      <c r="DR87" s="336"/>
      <c r="DS87" s="336"/>
      <c r="DT87" s="336"/>
      <c r="DU87" s="336"/>
      <c r="DV87" s="336"/>
      <c r="DW87" s="336"/>
      <c r="DX87" s="336"/>
      <c r="DY87" s="336"/>
      <c r="DZ87" s="336"/>
      <c r="EA87" s="336"/>
      <c r="EB87" s="336"/>
      <c r="EC87" s="336"/>
      <c r="ED87" s="336"/>
      <c r="EE87" s="336"/>
      <c r="EF87" s="336"/>
      <c r="EG87" s="336"/>
      <c r="EH87" s="336"/>
      <c r="EI87" s="336"/>
      <c r="EJ87" s="336"/>
      <c r="EK87" s="336"/>
      <c r="EL87" s="336"/>
      <c r="EM87" s="336"/>
      <c r="EN87" s="336"/>
      <c r="EO87" s="336"/>
      <c r="EP87" s="336"/>
      <c r="EQ87" s="336"/>
      <c r="ER87" s="336"/>
      <c r="ES87" s="336"/>
      <c r="ET87" s="336"/>
      <c r="EU87" s="336"/>
      <c r="EV87" s="336"/>
      <c r="EW87" s="336"/>
      <c r="EX87" s="336"/>
      <c r="EY87" s="336"/>
      <c r="EZ87" s="336"/>
      <c r="FA87" s="336"/>
      <c r="FB87" s="336"/>
      <c r="FC87" s="336"/>
      <c r="FD87" s="336"/>
      <c r="FE87" s="336"/>
      <c r="FF87" s="336"/>
      <c r="FG87" s="336"/>
      <c r="FH87" s="336"/>
      <c r="FI87" s="336"/>
      <c r="FJ87" s="336"/>
      <c r="FK87" s="336"/>
      <c r="FL87" s="336"/>
      <c r="FM87" s="336"/>
      <c r="FN87" s="336"/>
      <c r="FO87" s="336"/>
      <c r="FP87" s="336"/>
      <c r="FQ87" s="336"/>
      <c r="FR87" s="336"/>
      <c r="FS87" s="336"/>
      <c r="FT87" s="336"/>
      <c r="FU87" s="336"/>
      <c r="FV87" s="336"/>
      <c r="FW87" s="336"/>
      <c r="FX87" s="336"/>
      <c r="FY87" s="336"/>
      <c r="FZ87" s="336"/>
      <c r="GA87" s="336"/>
      <c r="GB87" s="336"/>
      <c r="GC87" s="336"/>
      <c r="GD87" s="336"/>
      <c r="GE87" s="336"/>
      <c r="GF87" s="336"/>
      <c r="GG87" s="336"/>
      <c r="GH87" s="336"/>
      <c r="GI87" s="336"/>
      <c r="GJ87" s="336"/>
      <c r="GK87" s="336"/>
      <c r="GL87" s="336"/>
      <c r="GM87" s="336"/>
      <c r="GN87" s="336"/>
      <c r="GO87" s="336"/>
      <c r="GP87" s="336"/>
      <c r="GQ87" s="336"/>
      <c r="GR87" s="336"/>
      <c r="GS87" s="336"/>
      <c r="GT87" s="336"/>
      <c r="GU87" s="336"/>
      <c r="GV87" s="336"/>
      <c r="GW87" s="336"/>
      <c r="GX87" s="336"/>
      <c r="GY87" s="336"/>
      <c r="GZ87" s="336"/>
    </row>
    <row r="88" spans="1:208" ht="15">
      <c r="A88" s="302">
        <v>23</v>
      </c>
      <c r="B88" s="328">
        <v>44716</v>
      </c>
      <c r="C88" s="329">
        <v>1003100</v>
      </c>
      <c r="D88" s="337" t="s">
        <v>4368</v>
      </c>
      <c r="E88" s="329" t="s">
        <v>4344</v>
      </c>
      <c r="F88" s="329" t="s">
        <v>4251</v>
      </c>
      <c r="G88" s="329">
        <v>3152</v>
      </c>
      <c r="H88" s="329">
        <v>42</v>
      </c>
      <c r="I88" s="329">
        <v>4502347134</v>
      </c>
      <c r="J88" s="329">
        <v>3025457</v>
      </c>
      <c r="K88" s="329">
        <v>4902280923</v>
      </c>
      <c r="L88" s="304" t="s">
        <v>4252</v>
      </c>
      <c r="M88" s="338">
        <v>20664</v>
      </c>
      <c r="N88" s="329">
        <v>9000</v>
      </c>
      <c r="O88" s="306">
        <f t="shared" si="18"/>
        <v>185976000</v>
      </c>
      <c r="P88" s="307">
        <f t="shared" si="20"/>
        <v>3</v>
      </c>
      <c r="Q88" s="329" t="s">
        <v>3429</v>
      </c>
      <c r="R88" s="329">
        <v>1070641</v>
      </c>
      <c r="S88" s="339">
        <f>920000*3</f>
        <v>2760000</v>
      </c>
      <c r="T88" s="339"/>
      <c r="U88" s="339"/>
      <c r="V88" s="339"/>
      <c r="W88" s="339"/>
      <c r="X88" s="339"/>
      <c r="Y88" s="339"/>
      <c r="Z88" s="340"/>
      <c r="AA88" s="340"/>
      <c r="AB88" s="340"/>
      <c r="AC88" s="340"/>
      <c r="AD88" s="340"/>
      <c r="AE88" s="340"/>
      <c r="AF88" s="340"/>
      <c r="AG88" s="340"/>
      <c r="AH88" s="340"/>
      <c r="AI88" s="340"/>
      <c r="AJ88" s="340"/>
      <c r="AK88" s="340"/>
      <c r="AL88" s="340"/>
      <c r="AM88" s="340"/>
      <c r="AN88" s="340"/>
      <c r="AO88" s="340"/>
      <c r="AP88" s="340"/>
      <c r="AQ88" s="340"/>
      <c r="AR88" s="340"/>
      <c r="AS88" s="340"/>
      <c r="AT88" s="340"/>
      <c r="AU88" s="340"/>
      <c r="AV88" s="340"/>
      <c r="AW88" s="340"/>
      <c r="AX88" s="340"/>
      <c r="AY88" s="340"/>
      <c r="AZ88" s="340"/>
      <c r="BA88" s="340"/>
      <c r="BB88" s="340"/>
      <c r="BC88" s="340"/>
      <c r="BD88" s="340"/>
      <c r="BE88" s="340"/>
      <c r="BF88" s="340"/>
      <c r="BG88" s="340"/>
      <c r="BH88" s="340"/>
      <c r="BI88" s="340"/>
      <c r="BJ88" s="340"/>
      <c r="BK88" s="340"/>
      <c r="BL88" s="340"/>
      <c r="BM88" s="340"/>
      <c r="BN88" s="340"/>
      <c r="BO88" s="340"/>
      <c r="BP88" s="340"/>
      <c r="BQ88" s="340"/>
      <c r="BR88" s="340"/>
      <c r="BS88" s="340"/>
      <c r="BT88" s="340"/>
      <c r="BU88" s="340"/>
      <c r="BV88" s="340"/>
      <c r="BW88" s="340"/>
      <c r="BX88" s="340"/>
      <c r="BY88" s="340"/>
      <c r="BZ88" s="340"/>
      <c r="CA88" s="340"/>
      <c r="CB88" s="340"/>
      <c r="CC88" s="340"/>
      <c r="CD88" s="340"/>
      <c r="CE88" s="340"/>
      <c r="CF88" s="340"/>
      <c r="CG88" s="340"/>
      <c r="CH88" s="340"/>
      <c r="CI88" s="340"/>
      <c r="CJ88" s="340"/>
      <c r="CK88" s="340"/>
      <c r="CL88" s="340"/>
      <c r="CM88" s="340"/>
      <c r="CN88" s="340"/>
      <c r="CO88" s="340"/>
      <c r="CP88" s="340"/>
      <c r="CQ88" s="340"/>
      <c r="CR88" s="340"/>
      <c r="CS88" s="340"/>
      <c r="CT88" s="340"/>
      <c r="CU88" s="340"/>
      <c r="CV88" s="340"/>
      <c r="CW88" s="340"/>
      <c r="CX88" s="340"/>
      <c r="CY88" s="340"/>
      <c r="CZ88" s="340"/>
      <c r="DA88" s="340"/>
      <c r="DB88" s="340"/>
      <c r="DC88" s="340"/>
      <c r="DD88" s="340"/>
      <c r="DE88" s="340"/>
      <c r="DF88" s="340"/>
      <c r="DG88" s="340"/>
      <c r="DH88" s="340"/>
      <c r="DI88" s="340"/>
      <c r="DJ88" s="340"/>
      <c r="DK88" s="340"/>
      <c r="DL88" s="340"/>
      <c r="DM88" s="340"/>
      <c r="DN88" s="340"/>
      <c r="DO88" s="340"/>
      <c r="DP88" s="340"/>
      <c r="DQ88" s="340"/>
      <c r="DR88" s="340"/>
      <c r="DS88" s="340"/>
      <c r="DT88" s="340"/>
      <c r="DU88" s="340"/>
      <c r="DV88" s="340"/>
      <c r="DW88" s="340"/>
      <c r="DX88" s="340"/>
      <c r="DY88" s="340"/>
      <c r="DZ88" s="340"/>
      <c r="EA88" s="340"/>
      <c r="EB88" s="340"/>
      <c r="EC88" s="340"/>
      <c r="ED88" s="340"/>
      <c r="EE88" s="340"/>
      <c r="EF88" s="340"/>
      <c r="EG88" s="340"/>
      <c r="EH88" s="340"/>
      <c r="EI88" s="340"/>
      <c r="EJ88" s="340"/>
      <c r="EK88" s="340"/>
      <c r="EL88" s="340"/>
      <c r="EM88" s="340"/>
      <c r="EN88" s="340"/>
      <c r="EO88" s="340"/>
      <c r="EP88" s="340"/>
      <c r="EQ88" s="340"/>
      <c r="ER88" s="340"/>
      <c r="ES88" s="340"/>
      <c r="ET88" s="340"/>
      <c r="EU88" s="340"/>
      <c r="EV88" s="340"/>
      <c r="EW88" s="340"/>
      <c r="EX88" s="340"/>
      <c r="EY88" s="340"/>
      <c r="EZ88" s="340"/>
      <c r="FA88" s="340"/>
      <c r="FB88" s="340"/>
      <c r="FC88" s="340"/>
      <c r="FD88" s="340"/>
      <c r="FE88" s="340"/>
      <c r="FF88" s="340"/>
      <c r="FG88" s="340"/>
      <c r="FH88" s="340"/>
      <c r="FI88" s="340"/>
      <c r="FJ88" s="340"/>
      <c r="FK88" s="340"/>
      <c r="FL88" s="340"/>
      <c r="FM88" s="340"/>
      <c r="FN88" s="340"/>
      <c r="FO88" s="340"/>
      <c r="FP88" s="340"/>
      <c r="FQ88" s="340"/>
      <c r="FR88" s="340"/>
      <c r="FS88" s="340"/>
      <c r="FT88" s="340"/>
      <c r="FU88" s="340"/>
      <c r="FV88" s="340"/>
      <c r="FW88" s="340"/>
      <c r="FX88" s="340"/>
      <c r="FY88" s="340"/>
      <c r="FZ88" s="340"/>
      <c r="GA88" s="340"/>
      <c r="GB88" s="340"/>
      <c r="GC88" s="340"/>
      <c r="GD88" s="340"/>
      <c r="GE88" s="340"/>
      <c r="GF88" s="340"/>
      <c r="GG88" s="340"/>
      <c r="GH88" s="340"/>
      <c r="GI88" s="340"/>
      <c r="GJ88" s="340"/>
      <c r="GK88" s="340"/>
      <c r="GL88" s="340"/>
      <c r="GM88" s="340"/>
      <c r="GN88" s="340"/>
      <c r="GO88" s="340"/>
      <c r="GP88" s="340"/>
      <c r="GQ88" s="340"/>
      <c r="GR88" s="340"/>
      <c r="GS88" s="340"/>
      <c r="GT88" s="340"/>
      <c r="GU88" s="340"/>
      <c r="GV88" s="340"/>
      <c r="GW88" s="340"/>
      <c r="GX88" s="340"/>
      <c r="GY88" s="340"/>
      <c r="GZ88" s="340"/>
    </row>
    <row r="89" spans="1:208" ht="15">
      <c r="A89" s="302">
        <v>23</v>
      </c>
      <c r="B89" s="328">
        <v>44716</v>
      </c>
      <c r="C89" s="329">
        <v>1076469</v>
      </c>
      <c r="D89" s="304" t="s">
        <v>4369</v>
      </c>
      <c r="E89" s="329" t="s">
        <v>4279</v>
      </c>
      <c r="F89" s="329" t="s">
        <v>4251</v>
      </c>
      <c r="G89" s="329">
        <v>3179</v>
      </c>
      <c r="H89" s="329">
        <v>42</v>
      </c>
      <c r="I89" s="337">
        <v>4502347135</v>
      </c>
      <c r="J89" s="329">
        <v>3025457</v>
      </c>
      <c r="K89" s="337">
        <v>4902280924</v>
      </c>
      <c r="L89" s="304" t="s">
        <v>4252</v>
      </c>
      <c r="M89" s="309">
        <v>20427</v>
      </c>
      <c r="N89" s="329">
        <v>9100</v>
      </c>
      <c r="O89" s="306">
        <f t="shared" si="18"/>
        <v>185885700</v>
      </c>
      <c r="P89" s="307">
        <f t="shared" si="20"/>
        <v>3</v>
      </c>
      <c r="Q89" s="304" t="s">
        <v>3455</v>
      </c>
      <c r="R89" s="304">
        <v>1040968</v>
      </c>
      <c r="S89" s="307">
        <f>1771100*3</f>
        <v>5313300</v>
      </c>
      <c r="T89" s="307"/>
      <c r="U89" s="307"/>
      <c r="V89" s="307"/>
      <c r="W89" s="307"/>
      <c r="X89" s="307"/>
      <c r="Y89" s="307"/>
      <c r="Z89" s="336"/>
      <c r="AA89" s="336"/>
      <c r="AB89" s="336"/>
      <c r="AC89" s="336"/>
      <c r="AD89" s="336"/>
      <c r="AE89" s="336"/>
      <c r="AF89" s="336"/>
      <c r="AG89" s="336"/>
      <c r="AH89" s="336"/>
      <c r="AI89" s="336"/>
      <c r="AJ89" s="336"/>
      <c r="AK89" s="336"/>
      <c r="AL89" s="336"/>
      <c r="AM89" s="336"/>
      <c r="AN89" s="336"/>
      <c r="AO89" s="336"/>
      <c r="AP89" s="336"/>
      <c r="AQ89" s="336"/>
      <c r="AR89" s="336"/>
      <c r="AS89" s="336"/>
      <c r="AT89" s="336"/>
      <c r="AU89" s="336"/>
      <c r="AV89" s="336"/>
      <c r="AW89" s="336"/>
      <c r="AX89" s="336"/>
      <c r="AY89" s="336"/>
      <c r="AZ89" s="336"/>
      <c r="BA89" s="336"/>
      <c r="BB89" s="336"/>
      <c r="BC89" s="336"/>
      <c r="BD89" s="336"/>
      <c r="BE89" s="336"/>
      <c r="BF89" s="336"/>
      <c r="BG89" s="336"/>
      <c r="BH89" s="336"/>
      <c r="BI89" s="336"/>
      <c r="BJ89" s="336"/>
      <c r="BK89" s="336"/>
      <c r="BL89" s="336"/>
      <c r="BM89" s="336"/>
      <c r="BN89" s="336"/>
      <c r="BO89" s="336"/>
      <c r="BP89" s="336"/>
      <c r="BQ89" s="336"/>
      <c r="BR89" s="336"/>
      <c r="BS89" s="336"/>
      <c r="BT89" s="336"/>
      <c r="BU89" s="336"/>
      <c r="BV89" s="336"/>
      <c r="BW89" s="336"/>
      <c r="BX89" s="336"/>
      <c r="BY89" s="336"/>
      <c r="BZ89" s="336"/>
      <c r="CA89" s="336"/>
      <c r="CB89" s="336"/>
      <c r="CC89" s="336"/>
      <c r="CD89" s="336"/>
      <c r="CE89" s="336"/>
      <c r="CF89" s="336"/>
      <c r="CG89" s="336"/>
      <c r="CH89" s="336"/>
      <c r="CI89" s="336"/>
      <c r="CJ89" s="336"/>
      <c r="CK89" s="336"/>
      <c r="CL89" s="336"/>
      <c r="CM89" s="336"/>
      <c r="CN89" s="336"/>
      <c r="CO89" s="336"/>
      <c r="CP89" s="336"/>
      <c r="CQ89" s="336"/>
      <c r="CR89" s="336"/>
      <c r="CS89" s="336"/>
      <c r="CT89" s="336"/>
      <c r="CU89" s="336"/>
      <c r="CV89" s="336"/>
      <c r="CW89" s="336"/>
      <c r="CX89" s="336"/>
      <c r="CY89" s="336"/>
      <c r="CZ89" s="336"/>
      <c r="DA89" s="336"/>
      <c r="DB89" s="336"/>
      <c r="DC89" s="336"/>
      <c r="DD89" s="336"/>
      <c r="DE89" s="336"/>
      <c r="DF89" s="336"/>
      <c r="DG89" s="336"/>
      <c r="DH89" s="336"/>
      <c r="DI89" s="336"/>
      <c r="DJ89" s="336"/>
      <c r="DK89" s="336"/>
      <c r="DL89" s="336"/>
      <c r="DM89" s="336"/>
      <c r="DN89" s="336"/>
      <c r="DO89" s="336"/>
      <c r="DP89" s="336"/>
      <c r="DQ89" s="336"/>
      <c r="DR89" s="336"/>
      <c r="DS89" s="336"/>
      <c r="DT89" s="336"/>
      <c r="DU89" s="336"/>
      <c r="DV89" s="336"/>
      <c r="DW89" s="336"/>
      <c r="DX89" s="336"/>
      <c r="DY89" s="336"/>
      <c r="DZ89" s="336"/>
      <c r="EA89" s="336"/>
      <c r="EB89" s="336"/>
      <c r="EC89" s="336"/>
      <c r="ED89" s="336"/>
      <c r="EE89" s="336"/>
      <c r="EF89" s="336"/>
      <c r="EG89" s="336"/>
      <c r="EH89" s="336"/>
      <c r="EI89" s="336"/>
      <c r="EJ89" s="336"/>
      <c r="EK89" s="336"/>
      <c r="EL89" s="336"/>
      <c r="EM89" s="336"/>
      <c r="EN89" s="336"/>
      <c r="EO89" s="336"/>
      <c r="EP89" s="336"/>
      <c r="EQ89" s="336"/>
      <c r="ER89" s="336"/>
      <c r="ES89" s="336"/>
      <c r="ET89" s="336"/>
      <c r="EU89" s="336"/>
      <c r="EV89" s="336"/>
      <c r="EW89" s="336"/>
      <c r="EX89" s="336"/>
      <c r="EY89" s="336"/>
      <c r="EZ89" s="336"/>
      <c r="FA89" s="336"/>
      <c r="FB89" s="336"/>
      <c r="FC89" s="336"/>
      <c r="FD89" s="336"/>
      <c r="FE89" s="336"/>
      <c r="FF89" s="336"/>
      <c r="FG89" s="336"/>
      <c r="FH89" s="336"/>
      <c r="FI89" s="336"/>
      <c r="FJ89" s="336"/>
      <c r="FK89" s="336"/>
      <c r="FL89" s="336"/>
      <c r="FM89" s="336"/>
      <c r="FN89" s="336"/>
      <c r="FO89" s="336"/>
      <c r="FP89" s="336"/>
      <c r="FQ89" s="336"/>
      <c r="FR89" s="336"/>
      <c r="FS89" s="336"/>
      <c r="FT89" s="336"/>
      <c r="FU89" s="336"/>
      <c r="FV89" s="336"/>
      <c r="FW89" s="336"/>
      <c r="FX89" s="336"/>
      <c r="FY89" s="336"/>
      <c r="FZ89" s="336"/>
      <c r="GA89" s="336"/>
      <c r="GB89" s="336"/>
      <c r="GC89" s="336"/>
      <c r="GD89" s="336"/>
      <c r="GE89" s="336"/>
      <c r="GF89" s="336"/>
      <c r="GG89" s="336"/>
      <c r="GH89" s="336"/>
      <c r="GI89" s="336"/>
      <c r="GJ89" s="336"/>
      <c r="GK89" s="336"/>
      <c r="GL89" s="336"/>
      <c r="GM89" s="336"/>
      <c r="GN89" s="336"/>
      <c r="GO89" s="336"/>
      <c r="GP89" s="336"/>
      <c r="GQ89" s="336"/>
      <c r="GR89" s="336"/>
      <c r="GS89" s="336"/>
      <c r="GT89" s="336"/>
      <c r="GU89" s="336"/>
      <c r="GV89" s="336"/>
      <c r="GW89" s="336"/>
      <c r="GX89" s="336"/>
      <c r="GY89" s="336"/>
      <c r="GZ89" s="336"/>
    </row>
    <row r="90" spans="1:208" ht="15">
      <c r="A90" s="302">
        <v>23</v>
      </c>
      <c r="B90" s="328">
        <v>44719</v>
      </c>
      <c r="C90" s="329">
        <v>1109027</v>
      </c>
      <c r="D90" s="304" t="s">
        <v>4370</v>
      </c>
      <c r="E90" s="329" t="s">
        <v>4287</v>
      </c>
      <c r="F90" s="329" t="s">
        <v>4275</v>
      </c>
      <c r="G90" s="329">
        <v>3193</v>
      </c>
      <c r="H90" s="329">
        <v>42</v>
      </c>
      <c r="I90" s="337">
        <v>4502347137</v>
      </c>
      <c r="J90" s="329">
        <v>3025459</v>
      </c>
      <c r="K90" s="337">
        <v>4902280925</v>
      </c>
      <c r="L90" s="304" t="s">
        <v>4252</v>
      </c>
      <c r="M90" s="309">
        <v>20960</v>
      </c>
      <c r="N90" s="329">
        <v>9100</v>
      </c>
      <c r="O90" s="306">
        <f t="shared" si="18"/>
        <v>190736000</v>
      </c>
      <c r="P90" s="307">
        <f t="shared" si="20"/>
        <v>3</v>
      </c>
      <c r="Q90" s="311" t="s">
        <v>3455</v>
      </c>
      <c r="R90" s="311">
        <v>1040968</v>
      </c>
      <c r="S90" s="304">
        <v>5359500</v>
      </c>
      <c r="T90" s="307"/>
      <c r="U90" s="307"/>
      <c r="V90" s="307"/>
      <c r="W90" s="307"/>
      <c r="X90" s="307"/>
      <c r="Y90" s="307"/>
      <c r="Z90" s="336"/>
      <c r="AA90" s="336"/>
      <c r="AB90" s="336"/>
      <c r="AC90" s="336"/>
      <c r="AD90" s="336"/>
      <c r="AE90" s="336"/>
      <c r="AF90" s="336"/>
      <c r="AG90" s="336"/>
      <c r="AH90" s="336"/>
      <c r="AI90" s="336"/>
      <c r="AJ90" s="336"/>
      <c r="AK90" s="336"/>
      <c r="AL90" s="336"/>
      <c r="AM90" s="336"/>
      <c r="AN90" s="336"/>
      <c r="AO90" s="336"/>
      <c r="AP90" s="336"/>
      <c r="AQ90" s="336"/>
      <c r="AR90" s="336"/>
      <c r="AS90" s="336"/>
      <c r="AT90" s="336"/>
      <c r="AU90" s="336"/>
      <c r="AV90" s="336"/>
      <c r="AW90" s="336"/>
      <c r="AX90" s="336"/>
      <c r="AY90" s="336"/>
      <c r="AZ90" s="336"/>
      <c r="BA90" s="336"/>
      <c r="BB90" s="336"/>
      <c r="BC90" s="336"/>
      <c r="BD90" s="336"/>
      <c r="BE90" s="336"/>
      <c r="BF90" s="336"/>
      <c r="BG90" s="336"/>
      <c r="BH90" s="336"/>
      <c r="BI90" s="336"/>
      <c r="BJ90" s="336"/>
      <c r="BK90" s="336"/>
      <c r="BL90" s="336"/>
      <c r="BM90" s="336"/>
      <c r="BN90" s="336"/>
      <c r="BO90" s="336"/>
      <c r="BP90" s="336"/>
      <c r="BQ90" s="336"/>
      <c r="BR90" s="336"/>
      <c r="BS90" s="336"/>
      <c r="BT90" s="336"/>
      <c r="BU90" s="336"/>
      <c r="BV90" s="336"/>
      <c r="BW90" s="336"/>
      <c r="BX90" s="336"/>
      <c r="BY90" s="336"/>
      <c r="BZ90" s="336"/>
      <c r="CA90" s="336"/>
      <c r="CB90" s="336"/>
      <c r="CC90" s="336"/>
      <c r="CD90" s="336"/>
      <c r="CE90" s="336"/>
      <c r="CF90" s="336"/>
      <c r="CG90" s="336"/>
      <c r="CH90" s="336"/>
      <c r="CI90" s="336"/>
      <c r="CJ90" s="336"/>
      <c r="CK90" s="336"/>
      <c r="CL90" s="336"/>
      <c r="CM90" s="336"/>
      <c r="CN90" s="336"/>
      <c r="CO90" s="336"/>
      <c r="CP90" s="336"/>
      <c r="CQ90" s="336"/>
      <c r="CR90" s="336"/>
      <c r="CS90" s="336"/>
      <c r="CT90" s="336"/>
      <c r="CU90" s="336"/>
      <c r="CV90" s="336"/>
      <c r="CW90" s="336"/>
      <c r="CX90" s="336"/>
      <c r="CY90" s="336"/>
      <c r="CZ90" s="336"/>
      <c r="DA90" s="336"/>
      <c r="DB90" s="336"/>
      <c r="DC90" s="336"/>
      <c r="DD90" s="336"/>
      <c r="DE90" s="336"/>
      <c r="DF90" s="336"/>
      <c r="DG90" s="336"/>
      <c r="DH90" s="336"/>
      <c r="DI90" s="336"/>
      <c r="DJ90" s="336"/>
      <c r="DK90" s="336"/>
      <c r="DL90" s="336"/>
      <c r="DM90" s="336"/>
      <c r="DN90" s="336"/>
      <c r="DO90" s="336"/>
      <c r="DP90" s="336"/>
      <c r="DQ90" s="336"/>
      <c r="DR90" s="336"/>
      <c r="DS90" s="336"/>
      <c r="DT90" s="336"/>
      <c r="DU90" s="336"/>
      <c r="DV90" s="336"/>
      <c r="DW90" s="336"/>
      <c r="DX90" s="336"/>
      <c r="DY90" s="336"/>
      <c r="DZ90" s="336"/>
      <c r="EA90" s="336"/>
      <c r="EB90" s="336"/>
      <c r="EC90" s="336"/>
      <c r="ED90" s="336"/>
      <c r="EE90" s="336"/>
      <c r="EF90" s="336"/>
      <c r="EG90" s="336"/>
      <c r="EH90" s="336"/>
      <c r="EI90" s="336"/>
      <c r="EJ90" s="336"/>
      <c r="EK90" s="336"/>
      <c r="EL90" s="336"/>
      <c r="EM90" s="336"/>
      <c r="EN90" s="336"/>
      <c r="EO90" s="336"/>
      <c r="EP90" s="336"/>
      <c r="EQ90" s="336"/>
      <c r="ER90" s="336"/>
      <c r="ES90" s="336"/>
      <c r="ET90" s="336"/>
      <c r="EU90" s="336"/>
      <c r="EV90" s="336"/>
      <c r="EW90" s="336"/>
      <c r="EX90" s="336"/>
      <c r="EY90" s="336"/>
      <c r="EZ90" s="336"/>
      <c r="FA90" s="336"/>
      <c r="FB90" s="336"/>
      <c r="FC90" s="336"/>
      <c r="FD90" s="336"/>
      <c r="FE90" s="336"/>
      <c r="FF90" s="336"/>
      <c r="FG90" s="336"/>
      <c r="FH90" s="336"/>
      <c r="FI90" s="336"/>
      <c r="FJ90" s="336"/>
      <c r="FK90" s="336"/>
      <c r="FL90" s="336"/>
      <c r="FM90" s="336"/>
      <c r="FN90" s="336"/>
      <c r="FO90" s="336"/>
      <c r="FP90" s="336"/>
      <c r="FQ90" s="336"/>
      <c r="FR90" s="336"/>
      <c r="FS90" s="336"/>
      <c r="FT90" s="336"/>
      <c r="FU90" s="336"/>
      <c r="FV90" s="336"/>
      <c r="FW90" s="336"/>
      <c r="FX90" s="336"/>
      <c r="FY90" s="336"/>
      <c r="FZ90" s="336"/>
      <c r="GA90" s="336"/>
      <c r="GB90" s="336"/>
      <c r="GC90" s="336"/>
      <c r="GD90" s="336"/>
      <c r="GE90" s="336"/>
      <c r="GF90" s="336"/>
      <c r="GG90" s="336"/>
      <c r="GH90" s="336"/>
      <c r="GI90" s="336"/>
      <c r="GJ90" s="336"/>
      <c r="GK90" s="336"/>
      <c r="GL90" s="336"/>
      <c r="GM90" s="336"/>
      <c r="GN90" s="336"/>
      <c r="GO90" s="336"/>
      <c r="GP90" s="336"/>
      <c r="GQ90" s="336"/>
      <c r="GR90" s="336"/>
      <c r="GS90" s="336"/>
      <c r="GT90" s="336"/>
      <c r="GU90" s="336"/>
      <c r="GV90" s="336"/>
      <c r="GW90" s="336"/>
      <c r="GX90" s="336"/>
      <c r="GY90" s="336"/>
      <c r="GZ90" s="336"/>
    </row>
    <row r="91" spans="1:208" ht="15">
      <c r="A91" s="341">
        <v>24</v>
      </c>
      <c r="B91" s="332">
        <v>44721</v>
      </c>
      <c r="C91" s="333">
        <v>1076469</v>
      </c>
      <c r="D91" s="282" t="s">
        <v>4371</v>
      </c>
      <c r="E91" s="333" t="s">
        <v>4279</v>
      </c>
      <c r="F91" s="333" t="s">
        <v>4251</v>
      </c>
      <c r="G91" s="333">
        <v>3179</v>
      </c>
      <c r="H91" s="333">
        <v>42</v>
      </c>
      <c r="I91" s="342">
        <v>4502349043</v>
      </c>
      <c r="J91" s="333">
        <v>3025457</v>
      </c>
      <c r="K91" s="342">
        <v>4902284894</v>
      </c>
      <c r="L91" s="282" t="s">
        <v>4252</v>
      </c>
      <c r="M91" s="283">
        <v>21799</v>
      </c>
      <c r="N91" s="343">
        <v>8950</v>
      </c>
      <c r="O91" s="284">
        <f t="shared" si="18"/>
        <v>195101050</v>
      </c>
      <c r="P91" s="285">
        <f t="shared" si="20"/>
        <v>3</v>
      </c>
      <c r="Q91" s="321" t="s">
        <v>3455</v>
      </c>
      <c r="R91" s="282">
        <v>1040968</v>
      </c>
      <c r="S91" s="312">
        <v>4914669</v>
      </c>
      <c r="T91" s="285"/>
      <c r="U91" s="285"/>
      <c r="V91" s="285"/>
      <c r="W91" s="285"/>
      <c r="X91" s="285"/>
      <c r="Y91" s="285"/>
      <c r="Z91" s="335"/>
      <c r="AA91" s="335"/>
      <c r="AB91" s="335"/>
      <c r="AC91" s="335"/>
      <c r="AD91" s="335"/>
      <c r="AE91" s="335"/>
      <c r="AF91" s="335"/>
      <c r="AG91" s="335"/>
      <c r="AH91" s="335"/>
      <c r="AI91" s="335"/>
      <c r="AJ91" s="335"/>
      <c r="AK91" s="335"/>
      <c r="AL91" s="335"/>
      <c r="AM91" s="335"/>
      <c r="AN91" s="335"/>
      <c r="AO91" s="335"/>
      <c r="AP91" s="335"/>
      <c r="AQ91" s="335"/>
      <c r="AR91" s="335"/>
      <c r="AS91" s="335"/>
      <c r="AT91" s="335"/>
      <c r="AU91" s="335"/>
      <c r="AV91" s="335"/>
      <c r="AW91" s="335"/>
      <c r="AX91" s="335"/>
      <c r="AY91" s="335"/>
      <c r="AZ91" s="335"/>
      <c r="BA91" s="335"/>
      <c r="BB91" s="335"/>
      <c r="BC91" s="335"/>
      <c r="BD91" s="335"/>
      <c r="BE91" s="335"/>
      <c r="BF91" s="335"/>
      <c r="BG91" s="335"/>
      <c r="BH91" s="335"/>
      <c r="BI91" s="335"/>
      <c r="BJ91" s="335"/>
      <c r="BK91" s="335"/>
      <c r="BL91" s="335"/>
      <c r="BM91" s="335"/>
      <c r="BN91" s="335"/>
      <c r="BO91" s="335"/>
      <c r="BP91" s="335"/>
      <c r="BQ91" s="335"/>
      <c r="BR91" s="335"/>
      <c r="BS91" s="335"/>
      <c r="BT91" s="335"/>
      <c r="BU91" s="335"/>
      <c r="BV91" s="335"/>
      <c r="BW91" s="335"/>
      <c r="BX91" s="335"/>
      <c r="BY91" s="335"/>
      <c r="BZ91" s="335"/>
      <c r="CA91" s="335"/>
      <c r="CB91" s="335"/>
      <c r="CC91" s="335"/>
      <c r="CD91" s="335"/>
      <c r="CE91" s="335"/>
      <c r="CF91" s="335"/>
      <c r="CG91" s="335"/>
      <c r="CH91" s="335"/>
      <c r="CI91" s="335"/>
      <c r="CJ91" s="335"/>
      <c r="CK91" s="335"/>
      <c r="CL91" s="335"/>
      <c r="CM91" s="335"/>
      <c r="CN91" s="335"/>
      <c r="CO91" s="335"/>
      <c r="CP91" s="335"/>
      <c r="CQ91" s="335"/>
      <c r="CR91" s="335"/>
      <c r="CS91" s="335"/>
      <c r="CT91" s="335"/>
      <c r="CU91" s="335"/>
      <c r="CV91" s="335"/>
      <c r="CW91" s="335"/>
      <c r="CX91" s="335"/>
      <c r="CY91" s="335"/>
      <c r="CZ91" s="335"/>
      <c r="DA91" s="335"/>
      <c r="DB91" s="335"/>
      <c r="DC91" s="335"/>
      <c r="DD91" s="335"/>
      <c r="DE91" s="335"/>
      <c r="DF91" s="335"/>
      <c r="DG91" s="335"/>
      <c r="DH91" s="335"/>
      <c r="DI91" s="335"/>
      <c r="DJ91" s="335"/>
      <c r="DK91" s="335"/>
      <c r="DL91" s="335"/>
      <c r="DM91" s="335"/>
      <c r="DN91" s="335"/>
      <c r="DO91" s="335"/>
      <c r="DP91" s="335"/>
      <c r="DQ91" s="335"/>
      <c r="DR91" s="335"/>
      <c r="DS91" s="335"/>
      <c r="DT91" s="335"/>
      <c r="DU91" s="335"/>
      <c r="DV91" s="335"/>
      <c r="DW91" s="335"/>
      <c r="DX91" s="335"/>
      <c r="DY91" s="335"/>
      <c r="DZ91" s="335"/>
      <c r="EA91" s="335"/>
      <c r="EB91" s="335"/>
      <c r="EC91" s="335"/>
      <c r="ED91" s="335"/>
      <c r="EE91" s="335"/>
      <c r="EF91" s="335"/>
      <c r="EG91" s="335"/>
      <c r="EH91" s="335"/>
      <c r="EI91" s="335"/>
      <c r="EJ91" s="335"/>
      <c r="EK91" s="335"/>
      <c r="EL91" s="335"/>
      <c r="EM91" s="335"/>
      <c r="EN91" s="335"/>
      <c r="EO91" s="335"/>
      <c r="EP91" s="335"/>
      <c r="EQ91" s="335"/>
      <c r="ER91" s="335"/>
      <c r="ES91" s="335"/>
      <c r="ET91" s="335"/>
      <c r="EU91" s="335"/>
      <c r="EV91" s="335"/>
      <c r="EW91" s="335"/>
      <c r="EX91" s="335"/>
      <c r="EY91" s="335"/>
      <c r="EZ91" s="335"/>
      <c r="FA91" s="335"/>
      <c r="FB91" s="335"/>
      <c r="FC91" s="335"/>
      <c r="FD91" s="335"/>
      <c r="FE91" s="335"/>
      <c r="FF91" s="335"/>
      <c r="FG91" s="335"/>
      <c r="FH91" s="335"/>
      <c r="FI91" s="335"/>
      <c r="FJ91" s="335"/>
      <c r="FK91" s="335"/>
      <c r="FL91" s="335"/>
      <c r="FM91" s="335"/>
      <c r="FN91" s="335"/>
      <c r="FO91" s="335"/>
      <c r="FP91" s="335"/>
      <c r="FQ91" s="335"/>
      <c r="FR91" s="335"/>
      <c r="FS91" s="335"/>
      <c r="FT91" s="335"/>
      <c r="FU91" s="335"/>
      <c r="FV91" s="335"/>
      <c r="FW91" s="335"/>
      <c r="FX91" s="335"/>
      <c r="FY91" s="335"/>
      <c r="FZ91" s="335"/>
      <c r="GA91" s="335"/>
      <c r="GB91" s="335"/>
      <c r="GC91" s="335"/>
      <c r="GD91" s="335"/>
      <c r="GE91" s="335"/>
      <c r="GF91" s="335"/>
      <c r="GG91" s="335"/>
      <c r="GH91" s="335"/>
      <c r="GI91" s="335"/>
      <c r="GJ91" s="335"/>
      <c r="GK91" s="335"/>
      <c r="GL91" s="335"/>
      <c r="GM91" s="335"/>
      <c r="GN91" s="335"/>
      <c r="GO91" s="335"/>
      <c r="GP91" s="335"/>
      <c r="GQ91" s="335"/>
      <c r="GR91" s="335"/>
      <c r="GS91" s="335"/>
      <c r="GT91" s="335"/>
      <c r="GU91" s="335"/>
      <c r="GV91" s="335"/>
      <c r="GW91" s="335"/>
      <c r="GX91" s="335"/>
      <c r="GY91" s="335"/>
      <c r="GZ91" s="335"/>
    </row>
    <row r="92" spans="1:208" ht="15">
      <c r="A92" s="341">
        <v>24</v>
      </c>
      <c r="B92" s="332">
        <v>44722</v>
      </c>
      <c r="C92" s="333">
        <v>1084015</v>
      </c>
      <c r="D92" s="282" t="s">
        <v>4372</v>
      </c>
      <c r="E92" s="333" t="s">
        <v>4289</v>
      </c>
      <c r="F92" s="333" t="s">
        <v>4251</v>
      </c>
      <c r="G92" s="333">
        <v>3148</v>
      </c>
      <c r="H92" s="333">
        <v>42</v>
      </c>
      <c r="I92" s="342">
        <v>4502349082</v>
      </c>
      <c r="J92" s="333">
        <v>3025457</v>
      </c>
      <c r="K92" s="282">
        <v>4902285301</v>
      </c>
      <c r="L92" s="282" t="s">
        <v>4252</v>
      </c>
      <c r="M92" s="283">
        <v>18927</v>
      </c>
      <c r="N92" s="344">
        <v>8900</v>
      </c>
      <c r="O92" s="284">
        <f t="shared" si="18"/>
        <v>168450300</v>
      </c>
      <c r="P92" s="285">
        <f t="shared" si="20"/>
        <v>3</v>
      </c>
      <c r="Q92" s="321" t="s">
        <v>3455</v>
      </c>
      <c r="R92" s="282">
        <v>1040968</v>
      </c>
      <c r="S92" s="285">
        <v>4871700</v>
      </c>
      <c r="T92" s="285"/>
      <c r="U92" s="285"/>
      <c r="V92" s="285"/>
      <c r="W92" s="285"/>
      <c r="X92" s="285"/>
      <c r="Y92" s="285"/>
      <c r="Z92" s="335"/>
      <c r="AA92" s="335"/>
      <c r="AB92" s="335"/>
      <c r="AC92" s="335"/>
      <c r="AD92" s="335"/>
      <c r="AE92" s="335"/>
      <c r="AF92" s="335"/>
      <c r="AG92" s="335"/>
      <c r="AH92" s="335"/>
      <c r="AI92" s="335"/>
      <c r="AJ92" s="335"/>
      <c r="AK92" s="335"/>
      <c r="AL92" s="335"/>
      <c r="AM92" s="335"/>
      <c r="AN92" s="335"/>
      <c r="AO92" s="335"/>
      <c r="AP92" s="335"/>
      <c r="AQ92" s="335"/>
      <c r="AR92" s="335"/>
      <c r="AS92" s="335"/>
      <c r="AT92" s="335"/>
      <c r="AU92" s="335"/>
      <c r="AV92" s="335"/>
      <c r="AW92" s="335"/>
      <c r="AX92" s="335"/>
      <c r="AY92" s="335"/>
      <c r="AZ92" s="335"/>
      <c r="BA92" s="335"/>
      <c r="BB92" s="335"/>
      <c r="BC92" s="335"/>
      <c r="BD92" s="335"/>
      <c r="BE92" s="335"/>
      <c r="BF92" s="335"/>
      <c r="BG92" s="335"/>
      <c r="BH92" s="335"/>
      <c r="BI92" s="335"/>
      <c r="BJ92" s="335"/>
      <c r="BK92" s="335"/>
      <c r="BL92" s="335"/>
      <c r="BM92" s="335"/>
      <c r="BN92" s="335"/>
      <c r="BO92" s="335"/>
      <c r="BP92" s="335"/>
      <c r="BQ92" s="335"/>
      <c r="BR92" s="335"/>
      <c r="BS92" s="335"/>
      <c r="BT92" s="335"/>
      <c r="BU92" s="335"/>
      <c r="BV92" s="335"/>
      <c r="BW92" s="335"/>
      <c r="BX92" s="335"/>
      <c r="BY92" s="335"/>
      <c r="BZ92" s="335"/>
      <c r="CA92" s="335"/>
      <c r="CB92" s="335"/>
      <c r="CC92" s="335"/>
      <c r="CD92" s="335"/>
      <c r="CE92" s="335"/>
      <c r="CF92" s="335"/>
      <c r="CG92" s="335"/>
      <c r="CH92" s="335"/>
      <c r="CI92" s="335"/>
      <c r="CJ92" s="335"/>
      <c r="CK92" s="335"/>
      <c r="CL92" s="335"/>
      <c r="CM92" s="335"/>
      <c r="CN92" s="335"/>
      <c r="CO92" s="335"/>
      <c r="CP92" s="335"/>
      <c r="CQ92" s="335"/>
      <c r="CR92" s="335"/>
      <c r="CS92" s="335"/>
      <c r="CT92" s="335"/>
      <c r="CU92" s="335"/>
      <c r="CV92" s="335"/>
      <c r="CW92" s="335"/>
      <c r="CX92" s="335"/>
      <c r="CY92" s="335"/>
      <c r="CZ92" s="335"/>
      <c r="DA92" s="335"/>
      <c r="DB92" s="335"/>
      <c r="DC92" s="335"/>
      <c r="DD92" s="335"/>
      <c r="DE92" s="335"/>
      <c r="DF92" s="335"/>
      <c r="DG92" s="335"/>
      <c r="DH92" s="335"/>
      <c r="DI92" s="335"/>
      <c r="DJ92" s="335"/>
      <c r="DK92" s="335"/>
      <c r="DL92" s="335"/>
      <c r="DM92" s="335"/>
      <c r="DN92" s="335"/>
      <c r="DO92" s="335"/>
      <c r="DP92" s="335"/>
      <c r="DQ92" s="335"/>
      <c r="DR92" s="335"/>
      <c r="DS92" s="335"/>
      <c r="DT92" s="335"/>
      <c r="DU92" s="335"/>
      <c r="DV92" s="335"/>
      <c r="DW92" s="335"/>
      <c r="DX92" s="335"/>
      <c r="DY92" s="335"/>
      <c r="DZ92" s="335"/>
      <c r="EA92" s="335"/>
      <c r="EB92" s="335"/>
      <c r="EC92" s="335"/>
      <c r="ED92" s="335"/>
      <c r="EE92" s="335"/>
      <c r="EF92" s="335"/>
      <c r="EG92" s="335"/>
      <c r="EH92" s="335"/>
      <c r="EI92" s="335"/>
      <c r="EJ92" s="335"/>
      <c r="EK92" s="335"/>
      <c r="EL92" s="335"/>
      <c r="EM92" s="335"/>
      <c r="EN92" s="335"/>
      <c r="EO92" s="335"/>
      <c r="EP92" s="335"/>
      <c r="EQ92" s="335"/>
      <c r="ER92" s="335"/>
      <c r="ES92" s="335"/>
      <c r="ET92" s="335"/>
      <c r="EU92" s="335"/>
      <c r="EV92" s="335"/>
      <c r="EW92" s="335"/>
      <c r="EX92" s="335"/>
      <c r="EY92" s="335"/>
      <c r="EZ92" s="335"/>
      <c r="FA92" s="335"/>
      <c r="FB92" s="335"/>
      <c r="FC92" s="335"/>
      <c r="FD92" s="335"/>
      <c r="FE92" s="335"/>
      <c r="FF92" s="335"/>
      <c r="FG92" s="335"/>
      <c r="FH92" s="335"/>
      <c r="FI92" s="335"/>
      <c r="FJ92" s="335"/>
      <c r="FK92" s="335"/>
      <c r="FL92" s="335"/>
      <c r="FM92" s="335"/>
      <c r="FN92" s="335"/>
      <c r="FO92" s="335"/>
      <c r="FP92" s="335"/>
      <c r="FQ92" s="335"/>
      <c r="FR92" s="335"/>
      <c r="FS92" s="335"/>
      <c r="FT92" s="335"/>
      <c r="FU92" s="335"/>
      <c r="FV92" s="335"/>
      <c r="FW92" s="335"/>
      <c r="FX92" s="335"/>
      <c r="FY92" s="335"/>
      <c r="FZ92" s="335"/>
      <c r="GA92" s="335"/>
      <c r="GB92" s="335"/>
      <c r="GC92" s="335"/>
      <c r="GD92" s="335"/>
      <c r="GE92" s="335"/>
      <c r="GF92" s="335"/>
      <c r="GG92" s="335"/>
      <c r="GH92" s="335"/>
      <c r="GI92" s="335"/>
      <c r="GJ92" s="335"/>
      <c r="GK92" s="335"/>
      <c r="GL92" s="335"/>
      <c r="GM92" s="335"/>
      <c r="GN92" s="335"/>
      <c r="GO92" s="335"/>
      <c r="GP92" s="335"/>
      <c r="GQ92" s="335"/>
      <c r="GR92" s="335"/>
      <c r="GS92" s="335"/>
      <c r="GT92" s="335"/>
      <c r="GU92" s="335"/>
      <c r="GV92" s="335"/>
      <c r="GW92" s="335"/>
      <c r="GX92" s="335"/>
      <c r="GY92" s="335"/>
      <c r="GZ92" s="335"/>
    </row>
    <row r="93" spans="1:208" ht="15">
      <c r="A93" s="341">
        <v>24</v>
      </c>
      <c r="B93" s="332">
        <v>44724</v>
      </c>
      <c r="C93" s="333">
        <v>1003100</v>
      </c>
      <c r="D93" s="282" t="s">
        <v>4373</v>
      </c>
      <c r="E93" s="333" t="s">
        <v>4344</v>
      </c>
      <c r="F93" s="333" t="s">
        <v>4275</v>
      </c>
      <c r="G93" s="333">
        <v>3152</v>
      </c>
      <c r="H93" s="333">
        <v>56</v>
      </c>
      <c r="I93" s="282">
        <v>4502350563</v>
      </c>
      <c r="J93" s="333">
        <v>3025459</v>
      </c>
      <c r="K93" s="282">
        <v>4902285321</v>
      </c>
      <c r="L93" s="282" t="s">
        <v>4252</v>
      </c>
      <c r="M93" s="283">
        <v>27298</v>
      </c>
      <c r="N93" s="344">
        <v>8900</v>
      </c>
      <c r="O93" s="284">
        <f t="shared" si="18"/>
        <v>242952200</v>
      </c>
      <c r="P93" s="285">
        <f t="shared" si="20"/>
        <v>4</v>
      </c>
      <c r="Q93" s="321" t="s">
        <v>3429</v>
      </c>
      <c r="R93" s="333">
        <v>1070641</v>
      </c>
      <c r="S93" s="285">
        <v>3680000</v>
      </c>
      <c r="T93" s="285"/>
      <c r="U93" s="285"/>
      <c r="V93" s="285"/>
      <c r="W93" s="285"/>
      <c r="X93" s="285"/>
      <c r="Y93" s="285"/>
      <c r="Z93" s="335"/>
      <c r="AA93" s="335"/>
      <c r="AB93" s="335"/>
      <c r="AC93" s="335"/>
      <c r="AD93" s="335"/>
      <c r="AE93" s="335"/>
      <c r="AF93" s="335"/>
      <c r="AG93" s="335"/>
      <c r="AH93" s="335"/>
      <c r="AI93" s="335"/>
      <c r="AJ93" s="335"/>
      <c r="AK93" s="335"/>
      <c r="AL93" s="335"/>
      <c r="AM93" s="335"/>
      <c r="AN93" s="335"/>
      <c r="AO93" s="335"/>
      <c r="AP93" s="335"/>
      <c r="AQ93" s="335"/>
      <c r="AR93" s="335"/>
      <c r="AS93" s="335"/>
      <c r="AT93" s="335"/>
      <c r="AU93" s="335"/>
      <c r="AV93" s="335"/>
      <c r="AW93" s="335"/>
      <c r="AX93" s="335"/>
      <c r="AY93" s="335"/>
      <c r="AZ93" s="335"/>
      <c r="BA93" s="335"/>
      <c r="BB93" s="335"/>
      <c r="BC93" s="335"/>
      <c r="BD93" s="335"/>
      <c r="BE93" s="335"/>
      <c r="BF93" s="335"/>
      <c r="BG93" s="335"/>
      <c r="BH93" s="335"/>
      <c r="BI93" s="335"/>
      <c r="BJ93" s="335"/>
      <c r="BK93" s="335"/>
      <c r="BL93" s="335"/>
      <c r="BM93" s="335"/>
      <c r="BN93" s="335"/>
      <c r="BO93" s="335"/>
      <c r="BP93" s="335"/>
      <c r="BQ93" s="335"/>
      <c r="BR93" s="335"/>
      <c r="BS93" s="335"/>
      <c r="BT93" s="335"/>
      <c r="BU93" s="335"/>
      <c r="BV93" s="335"/>
      <c r="BW93" s="335"/>
      <c r="BX93" s="335"/>
      <c r="BY93" s="335"/>
      <c r="BZ93" s="335"/>
      <c r="CA93" s="335"/>
      <c r="CB93" s="335"/>
      <c r="CC93" s="335"/>
      <c r="CD93" s="335"/>
      <c r="CE93" s="335"/>
      <c r="CF93" s="335"/>
      <c r="CG93" s="335"/>
      <c r="CH93" s="335"/>
      <c r="CI93" s="335"/>
      <c r="CJ93" s="335"/>
      <c r="CK93" s="335"/>
      <c r="CL93" s="335"/>
      <c r="CM93" s="335"/>
      <c r="CN93" s="335"/>
      <c r="CO93" s="335"/>
      <c r="CP93" s="335"/>
      <c r="CQ93" s="335"/>
      <c r="CR93" s="335"/>
      <c r="CS93" s="335"/>
      <c r="CT93" s="335"/>
      <c r="CU93" s="335"/>
      <c r="CV93" s="335"/>
      <c r="CW93" s="335"/>
      <c r="CX93" s="335"/>
      <c r="CY93" s="335"/>
      <c r="CZ93" s="335"/>
      <c r="DA93" s="335"/>
      <c r="DB93" s="335"/>
      <c r="DC93" s="335"/>
      <c r="DD93" s="335"/>
      <c r="DE93" s="335"/>
      <c r="DF93" s="335"/>
      <c r="DG93" s="335"/>
      <c r="DH93" s="335"/>
      <c r="DI93" s="335"/>
      <c r="DJ93" s="335"/>
      <c r="DK93" s="335"/>
      <c r="DL93" s="335"/>
      <c r="DM93" s="335"/>
      <c r="DN93" s="335"/>
      <c r="DO93" s="335"/>
      <c r="DP93" s="335"/>
      <c r="DQ93" s="335"/>
      <c r="DR93" s="335"/>
      <c r="DS93" s="335"/>
      <c r="DT93" s="335"/>
      <c r="DU93" s="335"/>
      <c r="DV93" s="335"/>
      <c r="DW93" s="335"/>
      <c r="DX93" s="335"/>
      <c r="DY93" s="335"/>
      <c r="DZ93" s="335"/>
      <c r="EA93" s="335"/>
      <c r="EB93" s="335"/>
      <c r="EC93" s="335"/>
      <c r="ED93" s="335"/>
      <c r="EE93" s="335"/>
      <c r="EF93" s="335"/>
      <c r="EG93" s="335"/>
      <c r="EH93" s="335"/>
      <c r="EI93" s="335"/>
      <c r="EJ93" s="335"/>
      <c r="EK93" s="335"/>
      <c r="EL93" s="335"/>
      <c r="EM93" s="335"/>
      <c r="EN93" s="335"/>
      <c r="EO93" s="335"/>
      <c r="EP93" s="335"/>
      <c r="EQ93" s="335"/>
      <c r="ER93" s="335"/>
      <c r="ES93" s="335"/>
      <c r="ET93" s="335"/>
      <c r="EU93" s="335"/>
      <c r="EV93" s="335"/>
      <c r="EW93" s="335"/>
      <c r="EX93" s="335"/>
      <c r="EY93" s="335"/>
      <c r="EZ93" s="335"/>
      <c r="FA93" s="335"/>
      <c r="FB93" s="335"/>
      <c r="FC93" s="335"/>
      <c r="FD93" s="335"/>
      <c r="FE93" s="335"/>
      <c r="FF93" s="335"/>
      <c r="FG93" s="335"/>
      <c r="FH93" s="335"/>
      <c r="FI93" s="335"/>
      <c r="FJ93" s="335"/>
      <c r="FK93" s="335"/>
      <c r="FL93" s="335"/>
      <c r="FM93" s="335"/>
      <c r="FN93" s="335"/>
      <c r="FO93" s="335"/>
      <c r="FP93" s="335"/>
      <c r="FQ93" s="335"/>
      <c r="FR93" s="335"/>
      <c r="FS93" s="335"/>
      <c r="FT93" s="335"/>
      <c r="FU93" s="335"/>
      <c r="FV93" s="335"/>
      <c r="FW93" s="335"/>
      <c r="FX93" s="335"/>
      <c r="FY93" s="335"/>
      <c r="FZ93" s="335"/>
      <c r="GA93" s="335"/>
      <c r="GB93" s="335"/>
      <c r="GC93" s="335"/>
      <c r="GD93" s="335"/>
      <c r="GE93" s="335"/>
      <c r="GF93" s="335"/>
      <c r="GG93" s="335"/>
      <c r="GH93" s="335"/>
      <c r="GI93" s="335"/>
      <c r="GJ93" s="335"/>
      <c r="GK93" s="335"/>
      <c r="GL93" s="335"/>
      <c r="GM93" s="335"/>
      <c r="GN93" s="335"/>
      <c r="GO93" s="335"/>
      <c r="GP93" s="335"/>
      <c r="GQ93" s="335"/>
      <c r="GR93" s="335"/>
      <c r="GS93" s="335"/>
      <c r="GT93" s="335"/>
      <c r="GU93" s="335"/>
      <c r="GV93" s="335"/>
      <c r="GW93" s="335"/>
      <c r="GX93" s="335"/>
      <c r="GY93" s="335"/>
      <c r="GZ93" s="335"/>
    </row>
    <row r="94" spans="1:208" ht="15">
      <c r="A94" s="341">
        <v>24</v>
      </c>
      <c r="B94" s="332">
        <v>44725</v>
      </c>
      <c r="C94" s="333">
        <v>1053331</v>
      </c>
      <c r="D94" s="282" t="s">
        <v>4374</v>
      </c>
      <c r="E94" s="333" t="s">
        <v>4263</v>
      </c>
      <c r="F94" s="333" t="s">
        <v>4251</v>
      </c>
      <c r="G94" s="333">
        <v>3178</v>
      </c>
      <c r="H94" s="333">
        <v>42</v>
      </c>
      <c r="I94" s="282">
        <v>4502351717</v>
      </c>
      <c r="J94" s="333">
        <v>3025457</v>
      </c>
      <c r="K94" s="282">
        <v>4902285329</v>
      </c>
      <c r="L94" s="282" t="s">
        <v>4252</v>
      </c>
      <c r="M94" s="283">
        <v>20159</v>
      </c>
      <c r="N94" s="344">
        <v>8950</v>
      </c>
      <c r="O94" s="284">
        <f t="shared" si="18"/>
        <v>180423050</v>
      </c>
      <c r="P94" s="282" t="s">
        <v>4265</v>
      </c>
      <c r="Q94" s="321" t="s">
        <v>4266</v>
      </c>
      <c r="R94" s="282">
        <v>1004892</v>
      </c>
      <c r="S94" s="312">
        <v>4792500</v>
      </c>
      <c r="T94" s="285"/>
      <c r="U94" s="285"/>
      <c r="V94" s="285"/>
      <c r="W94" s="285"/>
      <c r="X94" s="285"/>
      <c r="Y94" s="285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  <c r="BM94" s="286"/>
      <c r="BN94" s="286"/>
      <c r="BO94" s="286"/>
      <c r="BP94" s="286"/>
      <c r="BQ94" s="286"/>
      <c r="BR94" s="286"/>
      <c r="BS94" s="286"/>
      <c r="BT94" s="286"/>
      <c r="BU94" s="286"/>
      <c r="BV94" s="286"/>
      <c r="BW94" s="286"/>
      <c r="BX94" s="286"/>
      <c r="BY94" s="286"/>
      <c r="BZ94" s="286"/>
      <c r="CA94" s="286"/>
      <c r="CB94" s="286"/>
      <c r="CC94" s="286"/>
      <c r="CD94" s="286"/>
      <c r="CE94" s="286"/>
      <c r="CF94" s="286"/>
      <c r="CG94" s="286"/>
      <c r="CH94" s="286"/>
      <c r="CI94" s="286"/>
      <c r="CJ94" s="286"/>
      <c r="CK94" s="286"/>
      <c r="CL94" s="286"/>
      <c r="CM94" s="286"/>
      <c r="CN94" s="286"/>
      <c r="CO94" s="286"/>
      <c r="CP94" s="286"/>
      <c r="CQ94" s="286"/>
      <c r="CR94" s="286"/>
      <c r="CS94" s="286"/>
      <c r="CT94" s="286"/>
      <c r="CU94" s="286"/>
      <c r="CV94" s="286"/>
      <c r="CW94" s="286"/>
      <c r="CX94" s="286"/>
      <c r="CY94" s="286"/>
      <c r="CZ94" s="286"/>
      <c r="DA94" s="286"/>
      <c r="DB94" s="286"/>
      <c r="DC94" s="286"/>
      <c r="DD94" s="286"/>
      <c r="DE94" s="286"/>
      <c r="DF94" s="286"/>
      <c r="DG94" s="286"/>
      <c r="DH94" s="286"/>
      <c r="DI94" s="286"/>
      <c r="DJ94" s="286"/>
      <c r="DK94" s="286"/>
      <c r="DL94" s="286"/>
      <c r="DM94" s="286"/>
      <c r="DN94" s="286"/>
      <c r="DO94" s="286"/>
      <c r="DP94" s="286"/>
      <c r="DQ94" s="286"/>
      <c r="DR94" s="286"/>
      <c r="DS94" s="286"/>
      <c r="DT94" s="286"/>
      <c r="DU94" s="286"/>
      <c r="DV94" s="286"/>
      <c r="DW94" s="286"/>
      <c r="DX94" s="286"/>
      <c r="DY94" s="286"/>
      <c r="DZ94" s="286"/>
      <c r="EA94" s="286"/>
      <c r="EB94" s="286"/>
      <c r="EC94" s="286"/>
      <c r="ED94" s="286"/>
      <c r="EE94" s="286"/>
      <c r="EF94" s="286"/>
      <c r="EG94" s="286"/>
      <c r="EH94" s="286"/>
      <c r="EI94" s="286"/>
      <c r="EJ94" s="286"/>
      <c r="EK94" s="286"/>
      <c r="EL94" s="286"/>
      <c r="EM94" s="286"/>
      <c r="EN94" s="286"/>
      <c r="EO94" s="286"/>
      <c r="EP94" s="286"/>
      <c r="EQ94" s="286"/>
      <c r="ER94" s="286"/>
      <c r="ES94" s="286"/>
      <c r="ET94" s="286"/>
      <c r="EU94" s="286"/>
      <c r="EV94" s="286"/>
      <c r="EW94" s="286"/>
      <c r="EX94" s="286"/>
      <c r="EY94" s="286"/>
      <c r="EZ94" s="286"/>
      <c r="FA94" s="286"/>
      <c r="FB94" s="286"/>
      <c r="FC94" s="286"/>
      <c r="FD94" s="286"/>
      <c r="FE94" s="286"/>
      <c r="FF94" s="286"/>
      <c r="FG94" s="286"/>
      <c r="FH94" s="286"/>
      <c r="FI94" s="286"/>
      <c r="FJ94" s="286"/>
      <c r="FK94" s="286"/>
      <c r="FL94" s="286"/>
      <c r="FM94" s="286"/>
      <c r="FN94" s="286"/>
      <c r="FO94" s="286"/>
      <c r="FP94" s="286"/>
      <c r="FQ94" s="286"/>
      <c r="FR94" s="286"/>
      <c r="FS94" s="286"/>
      <c r="FT94" s="286"/>
      <c r="FU94" s="286"/>
      <c r="FV94" s="286"/>
      <c r="FW94" s="286"/>
      <c r="FX94" s="286"/>
      <c r="FY94" s="286"/>
      <c r="FZ94" s="286"/>
      <c r="GA94" s="286"/>
      <c r="GB94" s="286"/>
      <c r="GC94" s="286"/>
      <c r="GD94" s="286"/>
      <c r="GE94" s="286"/>
      <c r="GF94" s="286"/>
      <c r="GG94" s="286"/>
      <c r="GH94" s="286"/>
      <c r="GI94" s="286"/>
      <c r="GJ94" s="286"/>
      <c r="GK94" s="286"/>
      <c r="GL94" s="286"/>
      <c r="GM94" s="286"/>
      <c r="GN94" s="286"/>
      <c r="GO94" s="286"/>
      <c r="GP94" s="286"/>
      <c r="GQ94" s="286"/>
      <c r="GR94" s="286"/>
      <c r="GS94" s="286"/>
      <c r="GT94" s="286"/>
      <c r="GU94" s="286"/>
      <c r="GV94" s="286"/>
      <c r="GW94" s="286"/>
      <c r="GX94" s="286"/>
      <c r="GY94" s="286"/>
      <c r="GZ94" s="286"/>
    </row>
    <row r="95" spans="1:208" ht="15">
      <c r="A95" s="341">
        <v>24</v>
      </c>
      <c r="B95" s="332">
        <v>44726</v>
      </c>
      <c r="C95" s="333">
        <v>1093247</v>
      </c>
      <c r="D95" s="282" t="s">
        <v>4375</v>
      </c>
      <c r="E95" s="342" t="s">
        <v>4270</v>
      </c>
      <c r="F95" s="333" t="s">
        <v>4251</v>
      </c>
      <c r="G95" s="333">
        <v>3190</v>
      </c>
      <c r="H95" s="333">
        <v>14</v>
      </c>
      <c r="I95" s="282">
        <v>4502352711</v>
      </c>
      <c r="J95" s="333">
        <v>3025457</v>
      </c>
      <c r="K95" s="282">
        <v>4902285335</v>
      </c>
      <c r="L95" s="282" t="s">
        <v>4252</v>
      </c>
      <c r="M95" s="283">
        <v>6830</v>
      </c>
      <c r="N95" s="344">
        <v>8950</v>
      </c>
      <c r="O95" s="284">
        <f t="shared" si="18"/>
        <v>61128500</v>
      </c>
      <c r="P95" s="285">
        <f t="shared" ref="P95:P99" si="21">H95/14</f>
        <v>1</v>
      </c>
      <c r="Q95" s="321" t="s">
        <v>3455</v>
      </c>
      <c r="R95" s="282">
        <v>1040968</v>
      </c>
      <c r="S95" s="312">
        <v>1793900</v>
      </c>
      <c r="T95" s="285"/>
      <c r="U95" s="285"/>
      <c r="V95" s="285"/>
      <c r="W95" s="285"/>
      <c r="X95" s="285"/>
      <c r="Y95" s="285"/>
      <c r="Z95" s="286"/>
      <c r="AA95" s="286"/>
      <c r="AB95" s="286"/>
      <c r="AC95" s="286"/>
      <c r="AD95" s="286"/>
      <c r="AE95" s="345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  <c r="BM95" s="286"/>
      <c r="BN95" s="286"/>
      <c r="BO95" s="286"/>
      <c r="BP95" s="286"/>
      <c r="BQ95" s="286"/>
      <c r="BR95" s="286"/>
      <c r="BS95" s="286"/>
      <c r="BT95" s="286"/>
      <c r="BU95" s="286"/>
      <c r="BV95" s="286"/>
      <c r="BW95" s="286"/>
      <c r="BX95" s="286"/>
      <c r="BY95" s="286"/>
      <c r="BZ95" s="286"/>
      <c r="CA95" s="286"/>
      <c r="CB95" s="286"/>
      <c r="CC95" s="286"/>
      <c r="CD95" s="286"/>
      <c r="CE95" s="286"/>
      <c r="CF95" s="286"/>
      <c r="CG95" s="286"/>
      <c r="CH95" s="286"/>
      <c r="CI95" s="286"/>
      <c r="CJ95" s="286"/>
      <c r="CK95" s="286"/>
      <c r="CL95" s="286"/>
      <c r="CM95" s="286"/>
      <c r="CN95" s="286"/>
      <c r="CO95" s="286"/>
      <c r="CP95" s="286"/>
      <c r="CQ95" s="286"/>
      <c r="CR95" s="286"/>
      <c r="CS95" s="286"/>
      <c r="CT95" s="286"/>
      <c r="CU95" s="286"/>
      <c r="CV95" s="286"/>
      <c r="CW95" s="286"/>
      <c r="CX95" s="286"/>
      <c r="CY95" s="286"/>
      <c r="CZ95" s="286"/>
      <c r="DA95" s="286"/>
      <c r="DB95" s="286"/>
      <c r="DC95" s="286"/>
      <c r="DD95" s="286"/>
      <c r="DE95" s="286"/>
      <c r="DF95" s="286"/>
      <c r="DG95" s="286"/>
      <c r="DH95" s="286"/>
      <c r="DI95" s="286"/>
      <c r="DJ95" s="286"/>
      <c r="DK95" s="286"/>
      <c r="DL95" s="286"/>
      <c r="DM95" s="286"/>
      <c r="DN95" s="286"/>
      <c r="DO95" s="286"/>
      <c r="DP95" s="286"/>
      <c r="DQ95" s="286"/>
      <c r="DR95" s="286"/>
      <c r="DS95" s="286"/>
      <c r="DT95" s="286"/>
      <c r="DU95" s="286"/>
      <c r="DV95" s="286"/>
      <c r="DW95" s="286"/>
      <c r="DX95" s="286"/>
      <c r="DY95" s="286"/>
      <c r="DZ95" s="286"/>
      <c r="EA95" s="286"/>
      <c r="EB95" s="286"/>
      <c r="EC95" s="286"/>
      <c r="ED95" s="286"/>
      <c r="EE95" s="286"/>
      <c r="EF95" s="286"/>
      <c r="EG95" s="286"/>
      <c r="EH95" s="286"/>
      <c r="EI95" s="286"/>
      <c r="EJ95" s="286"/>
      <c r="EK95" s="286"/>
      <c r="EL95" s="286"/>
      <c r="EM95" s="286"/>
      <c r="EN95" s="286"/>
      <c r="EO95" s="286"/>
      <c r="EP95" s="286"/>
      <c r="EQ95" s="286"/>
      <c r="ER95" s="286"/>
      <c r="ES95" s="286"/>
      <c r="ET95" s="286"/>
      <c r="EU95" s="286"/>
      <c r="EV95" s="286"/>
      <c r="EW95" s="286"/>
      <c r="EX95" s="286"/>
      <c r="EY95" s="286"/>
      <c r="EZ95" s="286"/>
      <c r="FA95" s="286"/>
      <c r="FB95" s="286"/>
      <c r="FC95" s="286"/>
      <c r="FD95" s="286"/>
      <c r="FE95" s="286"/>
      <c r="FF95" s="286"/>
      <c r="FG95" s="286"/>
      <c r="FH95" s="286"/>
      <c r="FI95" s="286"/>
      <c r="FJ95" s="286"/>
      <c r="FK95" s="286"/>
      <c r="FL95" s="286"/>
      <c r="FM95" s="286"/>
      <c r="FN95" s="286"/>
      <c r="FO95" s="286"/>
      <c r="FP95" s="286"/>
      <c r="FQ95" s="286"/>
      <c r="FR95" s="286"/>
      <c r="FS95" s="286"/>
      <c r="FT95" s="286"/>
      <c r="FU95" s="286"/>
      <c r="FV95" s="286"/>
      <c r="FW95" s="286"/>
      <c r="FX95" s="286"/>
      <c r="FY95" s="286"/>
      <c r="FZ95" s="286"/>
      <c r="GA95" s="286"/>
      <c r="GB95" s="286"/>
      <c r="GC95" s="286"/>
      <c r="GD95" s="286"/>
      <c r="GE95" s="286"/>
      <c r="GF95" s="286"/>
      <c r="GG95" s="286"/>
      <c r="GH95" s="286"/>
      <c r="GI95" s="286"/>
      <c r="GJ95" s="286"/>
      <c r="GK95" s="286"/>
      <c r="GL95" s="286"/>
      <c r="GM95" s="286"/>
      <c r="GN95" s="286"/>
      <c r="GO95" s="286"/>
      <c r="GP95" s="286"/>
      <c r="GQ95" s="286"/>
      <c r="GR95" s="286"/>
      <c r="GS95" s="286"/>
      <c r="GT95" s="286"/>
      <c r="GU95" s="286"/>
      <c r="GV95" s="286"/>
      <c r="GW95" s="286"/>
      <c r="GX95" s="286"/>
      <c r="GY95" s="286"/>
      <c r="GZ95" s="286"/>
    </row>
    <row r="96" spans="1:208" ht="12.75" customHeight="1">
      <c r="A96" s="341">
        <v>24</v>
      </c>
      <c r="B96" s="332">
        <v>44726</v>
      </c>
      <c r="C96" s="333">
        <v>1053331</v>
      </c>
      <c r="D96" s="282" t="s">
        <v>4376</v>
      </c>
      <c r="E96" s="333" t="s">
        <v>4263</v>
      </c>
      <c r="F96" s="333" t="s">
        <v>4275</v>
      </c>
      <c r="G96" s="333">
        <v>3178</v>
      </c>
      <c r="H96" s="333">
        <v>42</v>
      </c>
      <c r="I96" s="282">
        <v>4502352717</v>
      </c>
      <c r="J96" s="333">
        <v>3025459</v>
      </c>
      <c r="K96" s="282">
        <v>4902285337</v>
      </c>
      <c r="L96" s="282" t="s">
        <v>4252</v>
      </c>
      <c r="M96" s="283">
        <v>20159</v>
      </c>
      <c r="N96" s="344">
        <v>8950</v>
      </c>
      <c r="O96" s="284">
        <f t="shared" si="18"/>
        <v>180423050</v>
      </c>
      <c r="P96" s="285">
        <f t="shared" si="21"/>
        <v>3</v>
      </c>
      <c r="Q96" s="321" t="s">
        <v>3455</v>
      </c>
      <c r="R96" s="282">
        <v>1040968</v>
      </c>
      <c r="S96" s="285">
        <v>5328300</v>
      </c>
      <c r="T96" s="285"/>
      <c r="U96" s="285"/>
      <c r="V96" s="285"/>
      <c r="W96" s="285"/>
      <c r="X96" s="285"/>
      <c r="Y96" s="285"/>
      <c r="Z96" s="335"/>
      <c r="AA96" s="335"/>
      <c r="AB96" s="335"/>
      <c r="AC96" s="335"/>
      <c r="AD96" s="335"/>
      <c r="AE96" s="346"/>
      <c r="AF96" s="335"/>
      <c r="AG96" s="335"/>
      <c r="AH96" s="335"/>
      <c r="AI96" s="335"/>
      <c r="AJ96" s="335"/>
      <c r="AK96" s="335"/>
      <c r="AL96" s="335"/>
      <c r="AM96" s="335"/>
      <c r="AN96" s="335"/>
      <c r="AO96" s="335"/>
      <c r="AP96" s="335"/>
      <c r="AQ96" s="335"/>
      <c r="AR96" s="335"/>
      <c r="AS96" s="335"/>
      <c r="AT96" s="335"/>
      <c r="AU96" s="335"/>
      <c r="AV96" s="335"/>
      <c r="AW96" s="335"/>
      <c r="AX96" s="335"/>
      <c r="AY96" s="335"/>
      <c r="AZ96" s="335"/>
      <c r="BA96" s="335"/>
      <c r="BB96" s="335"/>
      <c r="BC96" s="335"/>
      <c r="BD96" s="335"/>
      <c r="BE96" s="335"/>
      <c r="BF96" s="335"/>
      <c r="BG96" s="335"/>
      <c r="BH96" s="335"/>
      <c r="BI96" s="335"/>
      <c r="BJ96" s="335"/>
      <c r="BK96" s="335"/>
      <c r="BL96" s="335"/>
      <c r="BM96" s="335"/>
      <c r="BN96" s="335"/>
      <c r="BO96" s="335"/>
      <c r="BP96" s="335"/>
      <c r="BQ96" s="335"/>
      <c r="BR96" s="335"/>
      <c r="BS96" s="335"/>
      <c r="BT96" s="335"/>
      <c r="BU96" s="335"/>
      <c r="BV96" s="335"/>
      <c r="BW96" s="335"/>
      <c r="BX96" s="335"/>
      <c r="BY96" s="335"/>
      <c r="BZ96" s="335"/>
      <c r="CA96" s="335"/>
      <c r="CB96" s="335"/>
      <c r="CC96" s="335"/>
      <c r="CD96" s="335"/>
      <c r="CE96" s="335"/>
      <c r="CF96" s="335"/>
      <c r="CG96" s="335"/>
      <c r="CH96" s="335"/>
      <c r="CI96" s="335"/>
      <c r="CJ96" s="335"/>
      <c r="CK96" s="335"/>
      <c r="CL96" s="335"/>
      <c r="CM96" s="335"/>
      <c r="CN96" s="335"/>
      <c r="CO96" s="335"/>
      <c r="CP96" s="335"/>
      <c r="CQ96" s="335"/>
      <c r="CR96" s="335"/>
      <c r="CS96" s="335"/>
      <c r="CT96" s="335"/>
      <c r="CU96" s="335"/>
      <c r="CV96" s="335"/>
      <c r="CW96" s="335"/>
      <c r="CX96" s="335"/>
      <c r="CY96" s="335"/>
      <c r="CZ96" s="335"/>
      <c r="DA96" s="335"/>
      <c r="DB96" s="335"/>
      <c r="DC96" s="335"/>
      <c r="DD96" s="335"/>
      <c r="DE96" s="335"/>
      <c r="DF96" s="335"/>
      <c r="DG96" s="335"/>
      <c r="DH96" s="335"/>
      <c r="DI96" s="335"/>
      <c r="DJ96" s="335"/>
      <c r="DK96" s="335"/>
      <c r="DL96" s="335"/>
      <c r="DM96" s="335"/>
      <c r="DN96" s="335"/>
      <c r="DO96" s="335"/>
      <c r="DP96" s="335"/>
      <c r="DQ96" s="335"/>
      <c r="DR96" s="335"/>
      <c r="DS96" s="335"/>
      <c r="DT96" s="335"/>
      <c r="DU96" s="335"/>
      <c r="DV96" s="335"/>
      <c r="DW96" s="335"/>
      <c r="DX96" s="335"/>
      <c r="DY96" s="335"/>
      <c r="DZ96" s="335"/>
      <c r="EA96" s="335"/>
      <c r="EB96" s="335"/>
      <c r="EC96" s="335"/>
      <c r="ED96" s="335"/>
      <c r="EE96" s="335"/>
      <c r="EF96" s="335"/>
      <c r="EG96" s="335"/>
      <c r="EH96" s="335"/>
      <c r="EI96" s="335"/>
      <c r="EJ96" s="335"/>
      <c r="EK96" s="335"/>
      <c r="EL96" s="335"/>
      <c r="EM96" s="335"/>
      <c r="EN96" s="335"/>
      <c r="EO96" s="335"/>
      <c r="EP96" s="335"/>
      <c r="EQ96" s="335"/>
      <c r="ER96" s="335"/>
      <c r="ES96" s="335"/>
      <c r="ET96" s="335"/>
      <c r="EU96" s="335"/>
      <c r="EV96" s="335"/>
      <c r="EW96" s="335"/>
      <c r="EX96" s="335"/>
      <c r="EY96" s="335"/>
      <c r="EZ96" s="335"/>
      <c r="FA96" s="335"/>
      <c r="FB96" s="335"/>
      <c r="FC96" s="335"/>
      <c r="FD96" s="335"/>
      <c r="FE96" s="335"/>
      <c r="FF96" s="335"/>
      <c r="FG96" s="335"/>
      <c r="FH96" s="335"/>
      <c r="FI96" s="335"/>
      <c r="FJ96" s="335"/>
      <c r="FK96" s="335"/>
      <c r="FL96" s="335"/>
      <c r="FM96" s="335"/>
      <c r="FN96" s="335"/>
      <c r="FO96" s="335"/>
      <c r="FP96" s="335"/>
      <c r="FQ96" s="335"/>
      <c r="FR96" s="335"/>
      <c r="FS96" s="335"/>
      <c r="FT96" s="335"/>
      <c r="FU96" s="335"/>
      <c r="FV96" s="335"/>
      <c r="FW96" s="335"/>
      <c r="FX96" s="335"/>
      <c r="FY96" s="335"/>
      <c r="FZ96" s="335"/>
      <c r="GA96" s="335"/>
      <c r="GB96" s="335"/>
      <c r="GC96" s="335"/>
      <c r="GD96" s="335"/>
      <c r="GE96" s="335"/>
      <c r="GF96" s="335"/>
      <c r="GG96" s="335"/>
      <c r="GH96" s="335"/>
      <c r="GI96" s="335"/>
      <c r="GJ96" s="335"/>
      <c r="GK96" s="335"/>
      <c r="GL96" s="335"/>
      <c r="GM96" s="335"/>
      <c r="GN96" s="335"/>
      <c r="GO96" s="335"/>
      <c r="GP96" s="335"/>
      <c r="GQ96" s="335"/>
      <c r="GR96" s="335"/>
      <c r="GS96" s="335"/>
      <c r="GT96" s="335"/>
      <c r="GU96" s="335"/>
      <c r="GV96" s="335"/>
      <c r="GW96" s="335"/>
      <c r="GX96" s="335"/>
      <c r="GY96" s="335"/>
      <c r="GZ96" s="335"/>
    </row>
    <row r="97" spans="1:208" ht="18.75" customHeight="1">
      <c r="A97" s="341">
        <v>24</v>
      </c>
      <c r="B97" s="332">
        <v>44726</v>
      </c>
      <c r="C97" s="333">
        <v>1093247</v>
      </c>
      <c r="D97" s="282" t="s">
        <v>4377</v>
      </c>
      <c r="E97" s="342" t="s">
        <v>4270</v>
      </c>
      <c r="F97" s="333" t="s">
        <v>4275</v>
      </c>
      <c r="G97" s="333">
        <v>3190</v>
      </c>
      <c r="H97" s="333">
        <v>28</v>
      </c>
      <c r="I97" s="282">
        <v>4502352729</v>
      </c>
      <c r="J97" s="333">
        <v>3025459</v>
      </c>
      <c r="K97" s="282">
        <v>4902285340</v>
      </c>
      <c r="L97" s="282" t="s">
        <v>4252</v>
      </c>
      <c r="M97" s="283">
        <v>13660</v>
      </c>
      <c r="N97" s="344">
        <v>8950</v>
      </c>
      <c r="O97" s="284">
        <f t="shared" si="18"/>
        <v>122257000</v>
      </c>
      <c r="P97" s="285">
        <f t="shared" si="21"/>
        <v>2</v>
      </c>
      <c r="Q97" s="321" t="s">
        <v>3455</v>
      </c>
      <c r="R97" s="282">
        <v>1040968</v>
      </c>
      <c r="S97" s="285">
        <v>3587800</v>
      </c>
      <c r="T97" s="285"/>
      <c r="U97" s="285"/>
      <c r="V97" s="285"/>
      <c r="W97" s="285"/>
      <c r="X97" s="285"/>
      <c r="Y97" s="285"/>
      <c r="Z97" s="335"/>
      <c r="AA97" s="335"/>
      <c r="AB97" s="335"/>
      <c r="AC97" s="335"/>
      <c r="AD97" s="335"/>
      <c r="AE97" s="346"/>
      <c r="AF97" s="335"/>
      <c r="AG97" s="335"/>
      <c r="AH97" s="335"/>
      <c r="AI97" s="335"/>
      <c r="AJ97" s="335"/>
      <c r="AK97" s="335"/>
      <c r="AL97" s="335"/>
      <c r="AM97" s="335"/>
      <c r="AN97" s="335"/>
      <c r="AO97" s="335"/>
      <c r="AP97" s="335"/>
      <c r="AQ97" s="335"/>
      <c r="AR97" s="335"/>
      <c r="AS97" s="335"/>
      <c r="AT97" s="335"/>
      <c r="AU97" s="335"/>
      <c r="AV97" s="335"/>
      <c r="AW97" s="335"/>
      <c r="AX97" s="335"/>
      <c r="AY97" s="335"/>
      <c r="AZ97" s="335"/>
      <c r="BA97" s="335"/>
      <c r="BB97" s="335"/>
      <c r="BC97" s="335"/>
      <c r="BD97" s="335"/>
      <c r="BE97" s="335"/>
      <c r="BF97" s="335"/>
      <c r="BG97" s="335"/>
      <c r="BH97" s="335"/>
      <c r="BI97" s="335"/>
      <c r="BJ97" s="335"/>
      <c r="BK97" s="335"/>
      <c r="BL97" s="335"/>
      <c r="BM97" s="335"/>
      <c r="BN97" s="335"/>
      <c r="BO97" s="335"/>
      <c r="BP97" s="335"/>
      <c r="BQ97" s="335"/>
      <c r="BR97" s="335"/>
      <c r="BS97" s="335"/>
      <c r="BT97" s="335"/>
      <c r="BU97" s="335"/>
      <c r="BV97" s="335"/>
      <c r="BW97" s="335"/>
      <c r="BX97" s="335"/>
      <c r="BY97" s="335"/>
      <c r="BZ97" s="335"/>
      <c r="CA97" s="335"/>
      <c r="CB97" s="335"/>
      <c r="CC97" s="335"/>
      <c r="CD97" s="335"/>
      <c r="CE97" s="335"/>
      <c r="CF97" s="335"/>
      <c r="CG97" s="335"/>
      <c r="CH97" s="335"/>
      <c r="CI97" s="335"/>
      <c r="CJ97" s="335"/>
      <c r="CK97" s="335"/>
      <c r="CL97" s="335"/>
      <c r="CM97" s="335"/>
      <c r="CN97" s="335"/>
      <c r="CO97" s="335"/>
      <c r="CP97" s="335"/>
      <c r="CQ97" s="335"/>
      <c r="CR97" s="335"/>
      <c r="CS97" s="335"/>
      <c r="CT97" s="335"/>
      <c r="CU97" s="335"/>
      <c r="CV97" s="335"/>
      <c r="CW97" s="335"/>
      <c r="CX97" s="335"/>
      <c r="CY97" s="335"/>
      <c r="CZ97" s="335"/>
      <c r="DA97" s="335"/>
      <c r="DB97" s="335"/>
      <c r="DC97" s="335"/>
      <c r="DD97" s="335"/>
      <c r="DE97" s="335"/>
      <c r="DF97" s="335"/>
      <c r="DG97" s="335"/>
      <c r="DH97" s="335"/>
      <c r="DI97" s="335"/>
      <c r="DJ97" s="335"/>
      <c r="DK97" s="335"/>
      <c r="DL97" s="335"/>
      <c r="DM97" s="335"/>
      <c r="DN97" s="335"/>
      <c r="DO97" s="335"/>
      <c r="DP97" s="335"/>
      <c r="DQ97" s="335"/>
      <c r="DR97" s="335"/>
      <c r="DS97" s="335"/>
      <c r="DT97" s="335"/>
      <c r="DU97" s="335"/>
      <c r="DV97" s="335"/>
      <c r="DW97" s="335"/>
      <c r="DX97" s="335"/>
      <c r="DY97" s="335"/>
      <c r="DZ97" s="335"/>
      <c r="EA97" s="335"/>
      <c r="EB97" s="335"/>
      <c r="EC97" s="335"/>
      <c r="ED97" s="335"/>
      <c r="EE97" s="335"/>
      <c r="EF97" s="335"/>
      <c r="EG97" s="335"/>
      <c r="EH97" s="335"/>
      <c r="EI97" s="335"/>
      <c r="EJ97" s="335"/>
      <c r="EK97" s="335"/>
      <c r="EL97" s="335"/>
      <c r="EM97" s="335"/>
      <c r="EN97" s="335"/>
      <c r="EO97" s="335"/>
      <c r="EP97" s="335"/>
      <c r="EQ97" s="335"/>
      <c r="ER97" s="335"/>
      <c r="ES97" s="335"/>
      <c r="ET97" s="335"/>
      <c r="EU97" s="335"/>
      <c r="EV97" s="335"/>
      <c r="EW97" s="335"/>
      <c r="EX97" s="335"/>
      <c r="EY97" s="335"/>
      <c r="EZ97" s="335"/>
      <c r="FA97" s="335"/>
      <c r="FB97" s="335"/>
      <c r="FC97" s="335"/>
      <c r="FD97" s="335"/>
      <c r="FE97" s="335"/>
      <c r="FF97" s="335"/>
      <c r="FG97" s="335"/>
      <c r="FH97" s="335"/>
      <c r="FI97" s="335"/>
      <c r="FJ97" s="335"/>
      <c r="FK97" s="335"/>
      <c r="FL97" s="335"/>
      <c r="FM97" s="335"/>
      <c r="FN97" s="335"/>
      <c r="FO97" s="335"/>
      <c r="FP97" s="335"/>
      <c r="FQ97" s="335"/>
      <c r="FR97" s="335"/>
      <c r="FS97" s="335"/>
      <c r="FT97" s="335"/>
      <c r="FU97" s="335"/>
      <c r="FV97" s="335"/>
      <c r="FW97" s="335"/>
      <c r="FX97" s="335"/>
      <c r="FY97" s="335"/>
      <c r="FZ97" s="335"/>
      <c r="GA97" s="335"/>
      <c r="GB97" s="335"/>
      <c r="GC97" s="335"/>
      <c r="GD97" s="335"/>
      <c r="GE97" s="335"/>
      <c r="GF97" s="335"/>
      <c r="GG97" s="335"/>
      <c r="GH97" s="335"/>
      <c r="GI97" s="335"/>
      <c r="GJ97" s="335"/>
      <c r="GK97" s="335"/>
      <c r="GL97" s="335"/>
      <c r="GM97" s="335"/>
      <c r="GN97" s="335"/>
      <c r="GO97" s="335"/>
      <c r="GP97" s="335"/>
      <c r="GQ97" s="335"/>
      <c r="GR97" s="335"/>
      <c r="GS97" s="335"/>
      <c r="GT97" s="335"/>
      <c r="GU97" s="335"/>
      <c r="GV97" s="335"/>
      <c r="GW97" s="335"/>
      <c r="GX97" s="335"/>
      <c r="GY97" s="335"/>
      <c r="GZ97" s="335"/>
    </row>
    <row r="98" spans="1:208" ht="18" customHeight="1">
      <c r="A98" s="302">
        <v>25</v>
      </c>
      <c r="B98" s="328">
        <v>44731</v>
      </c>
      <c r="C98" s="329">
        <v>1110293</v>
      </c>
      <c r="D98" s="304" t="s">
        <v>4378</v>
      </c>
      <c r="E98" s="329" t="s">
        <v>4349</v>
      </c>
      <c r="F98" s="329" t="s">
        <v>4275</v>
      </c>
      <c r="G98" s="329">
        <v>3155</v>
      </c>
      <c r="H98" s="329">
        <v>56</v>
      </c>
      <c r="I98" s="304">
        <v>4502355764</v>
      </c>
      <c r="J98" s="329">
        <v>3025459</v>
      </c>
      <c r="K98" s="304">
        <v>4902289898</v>
      </c>
      <c r="L98" s="304" t="s">
        <v>4252</v>
      </c>
      <c r="M98" s="309">
        <v>26042</v>
      </c>
      <c r="N98" s="329">
        <v>8900</v>
      </c>
      <c r="O98" s="306">
        <f t="shared" si="18"/>
        <v>231773800</v>
      </c>
      <c r="P98" s="307">
        <f t="shared" si="21"/>
        <v>4</v>
      </c>
      <c r="Q98" s="304" t="s">
        <v>3429</v>
      </c>
      <c r="R98" s="304">
        <v>1070641</v>
      </c>
      <c r="S98" s="304">
        <v>3680000</v>
      </c>
      <c r="T98" s="307"/>
      <c r="U98" s="307"/>
      <c r="V98" s="307"/>
      <c r="W98" s="307"/>
      <c r="X98" s="307"/>
      <c r="Y98" s="307"/>
      <c r="Z98" s="307"/>
      <c r="AA98" s="307"/>
      <c r="AB98" s="307"/>
      <c r="AC98" s="307"/>
      <c r="AD98" s="307"/>
      <c r="AE98" s="307"/>
      <c r="AF98" s="307"/>
      <c r="AG98" s="307"/>
      <c r="AH98" s="307"/>
      <c r="AI98" s="307"/>
      <c r="AJ98" s="307"/>
      <c r="AK98" s="307"/>
      <c r="AL98" s="307"/>
      <c r="AM98" s="307"/>
      <c r="AN98" s="307"/>
      <c r="AO98" s="307"/>
      <c r="AP98" s="307"/>
      <c r="AQ98" s="307"/>
      <c r="AR98" s="307"/>
      <c r="AS98" s="307"/>
      <c r="AT98" s="307"/>
      <c r="AU98" s="307"/>
      <c r="AV98" s="307"/>
      <c r="AW98" s="307"/>
      <c r="AX98" s="307"/>
      <c r="AY98" s="307"/>
      <c r="AZ98" s="307"/>
      <c r="BA98" s="307"/>
      <c r="BB98" s="307"/>
      <c r="BC98" s="307"/>
      <c r="BD98" s="307"/>
      <c r="BE98" s="307"/>
      <c r="BF98" s="307"/>
      <c r="BG98" s="307"/>
      <c r="BH98" s="307"/>
      <c r="BI98" s="307"/>
      <c r="BJ98" s="307"/>
      <c r="BK98" s="307"/>
      <c r="BL98" s="307"/>
      <c r="BM98" s="307"/>
      <c r="BN98" s="307"/>
      <c r="BO98" s="307"/>
      <c r="BP98" s="307"/>
      <c r="BQ98" s="307"/>
      <c r="BR98" s="307"/>
      <c r="BS98" s="307"/>
      <c r="BT98" s="307"/>
      <c r="BU98" s="307"/>
      <c r="BV98" s="307"/>
      <c r="BW98" s="307"/>
      <c r="BX98" s="307"/>
      <c r="BY98" s="307"/>
      <c r="BZ98" s="307"/>
      <c r="CA98" s="307"/>
      <c r="CB98" s="307"/>
      <c r="CC98" s="307"/>
      <c r="CD98" s="307"/>
      <c r="CE98" s="307"/>
      <c r="CF98" s="307"/>
      <c r="CG98" s="307"/>
      <c r="CH98" s="307"/>
      <c r="CI98" s="307"/>
      <c r="CJ98" s="307"/>
      <c r="CK98" s="307"/>
      <c r="CL98" s="307"/>
      <c r="CM98" s="307"/>
      <c r="CN98" s="307"/>
      <c r="CO98" s="307"/>
      <c r="CP98" s="307"/>
      <c r="CQ98" s="307"/>
      <c r="CR98" s="307"/>
      <c r="CS98" s="307"/>
      <c r="CT98" s="307"/>
      <c r="CU98" s="307"/>
      <c r="CV98" s="307"/>
      <c r="CW98" s="307"/>
      <c r="CX98" s="307"/>
      <c r="CY98" s="307"/>
      <c r="CZ98" s="307"/>
      <c r="DA98" s="307"/>
      <c r="DB98" s="307"/>
      <c r="DC98" s="307"/>
      <c r="DD98" s="307"/>
      <c r="DE98" s="307"/>
      <c r="DF98" s="307"/>
      <c r="DG98" s="307"/>
      <c r="DH98" s="307"/>
      <c r="DI98" s="307"/>
      <c r="DJ98" s="307"/>
      <c r="DK98" s="307"/>
      <c r="DL98" s="307"/>
      <c r="DM98" s="307"/>
      <c r="DN98" s="307"/>
      <c r="DO98" s="307"/>
      <c r="DP98" s="307"/>
      <c r="DQ98" s="307"/>
      <c r="DR98" s="307"/>
      <c r="DS98" s="307"/>
      <c r="DT98" s="307"/>
      <c r="DU98" s="307"/>
      <c r="DV98" s="307"/>
      <c r="DW98" s="307"/>
      <c r="DX98" s="307"/>
      <c r="DY98" s="307"/>
      <c r="DZ98" s="307"/>
      <c r="EA98" s="307"/>
      <c r="EB98" s="307"/>
      <c r="EC98" s="307"/>
      <c r="ED98" s="307"/>
      <c r="EE98" s="307"/>
      <c r="EF98" s="307"/>
      <c r="EG98" s="307"/>
      <c r="EH98" s="307"/>
      <c r="EI98" s="307"/>
      <c r="EJ98" s="307"/>
      <c r="EK98" s="307"/>
      <c r="EL98" s="307"/>
      <c r="EM98" s="307"/>
      <c r="EN98" s="307"/>
      <c r="EO98" s="307"/>
      <c r="EP98" s="307"/>
      <c r="EQ98" s="307"/>
      <c r="ER98" s="307"/>
      <c r="ES98" s="307"/>
      <c r="ET98" s="307"/>
      <c r="EU98" s="307"/>
      <c r="EV98" s="307"/>
      <c r="EW98" s="307"/>
      <c r="EX98" s="307"/>
      <c r="EY98" s="307"/>
      <c r="EZ98" s="307"/>
      <c r="FA98" s="307"/>
      <c r="FB98" s="307"/>
      <c r="FC98" s="307"/>
      <c r="FD98" s="307"/>
      <c r="FE98" s="307"/>
      <c r="FF98" s="307"/>
      <c r="FG98" s="307"/>
      <c r="FH98" s="307"/>
      <c r="FI98" s="307"/>
      <c r="FJ98" s="307"/>
      <c r="FK98" s="307"/>
      <c r="FL98" s="307"/>
      <c r="FM98" s="307"/>
      <c r="FN98" s="307"/>
      <c r="FO98" s="307"/>
      <c r="FP98" s="307"/>
      <c r="FQ98" s="307"/>
      <c r="FR98" s="307"/>
      <c r="FS98" s="307"/>
      <c r="FT98" s="307"/>
      <c r="FU98" s="307"/>
      <c r="FV98" s="307"/>
      <c r="FW98" s="307"/>
      <c r="FX98" s="307"/>
      <c r="FY98" s="307"/>
      <c r="FZ98" s="307"/>
      <c r="GA98" s="307"/>
      <c r="GB98" s="307"/>
      <c r="GC98" s="307"/>
      <c r="GD98" s="307"/>
      <c r="GE98" s="307"/>
      <c r="GF98" s="307"/>
      <c r="GG98" s="307"/>
      <c r="GH98" s="307"/>
      <c r="GI98" s="307"/>
      <c r="GJ98" s="307"/>
      <c r="GK98" s="307"/>
      <c r="GL98" s="307"/>
      <c r="GM98" s="307"/>
      <c r="GN98" s="307"/>
      <c r="GO98" s="307"/>
      <c r="GP98" s="307"/>
      <c r="GQ98" s="307"/>
      <c r="GR98" s="307"/>
      <c r="GS98" s="307"/>
      <c r="GT98" s="307"/>
      <c r="GU98" s="307"/>
      <c r="GV98" s="307"/>
      <c r="GW98" s="307"/>
      <c r="GX98" s="307"/>
      <c r="GY98" s="307"/>
      <c r="GZ98" s="307"/>
    </row>
    <row r="99" spans="1:208" ht="15">
      <c r="A99" s="302">
        <v>25</v>
      </c>
      <c r="B99" s="328">
        <v>44732</v>
      </c>
      <c r="C99" s="329">
        <v>1053331</v>
      </c>
      <c r="D99" s="304" t="s">
        <v>4379</v>
      </c>
      <c r="E99" s="329" t="s">
        <v>4263</v>
      </c>
      <c r="F99" s="329" t="s">
        <v>4275</v>
      </c>
      <c r="G99" s="329">
        <v>3178</v>
      </c>
      <c r="H99" s="329">
        <v>42</v>
      </c>
      <c r="I99" s="304">
        <v>4502355778</v>
      </c>
      <c r="J99" s="329">
        <v>3025459</v>
      </c>
      <c r="K99" s="304">
        <v>4902289899</v>
      </c>
      <c r="L99" s="304" t="s">
        <v>4252</v>
      </c>
      <c r="M99" s="309">
        <v>19312</v>
      </c>
      <c r="N99" s="329">
        <v>8900</v>
      </c>
      <c r="O99" s="306">
        <f t="shared" si="18"/>
        <v>171876800</v>
      </c>
      <c r="P99" s="307">
        <f t="shared" si="21"/>
        <v>3</v>
      </c>
      <c r="Q99" s="304" t="s">
        <v>3455</v>
      </c>
      <c r="R99" s="304">
        <v>1040968</v>
      </c>
      <c r="S99" s="304">
        <v>5381700</v>
      </c>
      <c r="T99" s="307"/>
      <c r="U99" s="307"/>
      <c r="V99" s="307"/>
      <c r="W99" s="307"/>
      <c r="X99" s="307"/>
      <c r="Y99" s="307"/>
      <c r="Z99" s="307"/>
      <c r="AA99" s="307"/>
      <c r="AB99" s="307"/>
      <c r="AC99" s="307"/>
      <c r="AD99" s="307"/>
      <c r="AE99" s="307"/>
      <c r="AF99" s="307"/>
      <c r="AG99" s="307"/>
      <c r="AH99" s="307"/>
      <c r="AI99" s="307"/>
      <c r="AJ99" s="307"/>
      <c r="AK99" s="307"/>
      <c r="AL99" s="307"/>
      <c r="AM99" s="307"/>
      <c r="AN99" s="307"/>
      <c r="AO99" s="307"/>
      <c r="AP99" s="307"/>
      <c r="AQ99" s="307"/>
      <c r="AR99" s="307"/>
      <c r="AS99" s="307"/>
      <c r="AT99" s="307"/>
      <c r="AU99" s="307"/>
      <c r="AV99" s="307"/>
      <c r="AW99" s="307"/>
      <c r="AX99" s="307"/>
      <c r="AY99" s="307"/>
      <c r="AZ99" s="307"/>
      <c r="BA99" s="307"/>
      <c r="BB99" s="307"/>
      <c r="BC99" s="307"/>
      <c r="BD99" s="307"/>
      <c r="BE99" s="307"/>
      <c r="BF99" s="307"/>
      <c r="BG99" s="307"/>
      <c r="BH99" s="307"/>
      <c r="BI99" s="307"/>
      <c r="BJ99" s="307"/>
      <c r="BK99" s="307"/>
      <c r="BL99" s="307"/>
      <c r="BM99" s="307"/>
      <c r="BN99" s="307"/>
      <c r="BO99" s="307"/>
      <c r="BP99" s="307"/>
      <c r="BQ99" s="307"/>
      <c r="BR99" s="307"/>
      <c r="BS99" s="307"/>
      <c r="BT99" s="307"/>
      <c r="BU99" s="307"/>
      <c r="BV99" s="307"/>
      <c r="BW99" s="307"/>
      <c r="BX99" s="307"/>
      <c r="BY99" s="307"/>
      <c r="BZ99" s="307"/>
      <c r="CA99" s="307"/>
      <c r="CB99" s="307"/>
      <c r="CC99" s="307"/>
      <c r="CD99" s="307"/>
      <c r="CE99" s="307"/>
      <c r="CF99" s="307"/>
      <c r="CG99" s="307"/>
      <c r="CH99" s="307"/>
      <c r="CI99" s="307"/>
      <c r="CJ99" s="307"/>
      <c r="CK99" s="307"/>
      <c r="CL99" s="307"/>
      <c r="CM99" s="307"/>
      <c r="CN99" s="307"/>
      <c r="CO99" s="307"/>
      <c r="CP99" s="307"/>
      <c r="CQ99" s="307"/>
      <c r="CR99" s="307"/>
      <c r="CS99" s="307"/>
      <c r="CT99" s="307"/>
      <c r="CU99" s="307"/>
      <c r="CV99" s="307"/>
      <c r="CW99" s="307"/>
      <c r="CX99" s="307"/>
      <c r="CY99" s="307"/>
      <c r="CZ99" s="307"/>
      <c r="DA99" s="307"/>
      <c r="DB99" s="307"/>
      <c r="DC99" s="307"/>
      <c r="DD99" s="307"/>
      <c r="DE99" s="307"/>
      <c r="DF99" s="307"/>
      <c r="DG99" s="307"/>
      <c r="DH99" s="307"/>
      <c r="DI99" s="307"/>
      <c r="DJ99" s="307"/>
      <c r="DK99" s="307"/>
      <c r="DL99" s="307"/>
      <c r="DM99" s="307"/>
      <c r="DN99" s="307"/>
      <c r="DO99" s="307"/>
      <c r="DP99" s="307"/>
      <c r="DQ99" s="307"/>
      <c r="DR99" s="307"/>
      <c r="DS99" s="307"/>
      <c r="DT99" s="307"/>
      <c r="DU99" s="307"/>
      <c r="DV99" s="307"/>
      <c r="DW99" s="307"/>
      <c r="DX99" s="307"/>
      <c r="DY99" s="307"/>
      <c r="DZ99" s="307"/>
      <c r="EA99" s="307"/>
      <c r="EB99" s="307"/>
      <c r="EC99" s="307"/>
      <c r="ED99" s="307"/>
      <c r="EE99" s="307"/>
      <c r="EF99" s="307"/>
      <c r="EG99" s="307"/>
      <c r="EH99" s="307"/>
      <c r="EI99" s="307"/>
      <c r="EJ99" s="307"/>
      <c r="EK99" s="307"/>
      <c r="EL99" s="307"/>
      <c r="EM99" s="307"/>
      <c r="EN99" s="307"/>
      <c r="EO99" s="307"/>
      <c r="EP99" s="307"/>
      <c r="EQ99" s="307"/>
      <c r="ER99" s="307"/>
      <c r="ES99" s="307"/>
      <c r="ET99" s="307"/>
      <c r="EU99" s="307"/>
      <c r="EV99" s="307"/>
      <c r="EW99" s="307"/>
      <c r="EX99" s="307"/>
      <c r="EY99" s="307"/>
      <c r="EZ99" s="307"/>
      <c r="FA99" s="307"/>
      <c r="FB99" s="307"/>
      <c r="FC99" s="307"/>
      <c r="FD99" s="307"/>
      <c r="FE99" s="307"/>
      <c r="FF99" s="307"/>
      <c r="FG99" s="307"/>
      <c r="FH99" s="307"/>
      <c r="FI99" s="307"/>
      <c r="FJ99" s="307"/>
      <c r="FK99" s="307"/>
      <c r="FL99" s="307"/>
      <c r="FM99" s="307"/>
      <c r="FN99" s="307"/>
      <c r="FO99" s="307"/>
      <c r="FP99" s="307"/>
      <c r="FQ99" s="307"/>
      <c r="FR99" s="307"/>
      <c r="FS99" s="307"/>
      <c r="FT99" s="307"/>
      <c r="FU99" s="307"/>
      <c r="FV99" s="307"/>
      <c r="FW99" s="307"/>
      <c r="FX99" s="307"/>
      <c r="FY99" s="307"/>
      <c r="FZ99" s="307"/>
      <c r="GA99" s="307"/>
      <c r="GB99" s="307"/>
      <c r="GC99" s="307"/>
      <c r="GD99" s="307"/>
      <c r="GE99" s="307"/>
      <c r="GF99" s="307"/>
      <c r="GG99" s="307"/>
      <c r="GH99" s="307"/>
      <c r="GI99" s="307"/>
      <c r="GJ99" s="307"/>
      <c r="GK99" s="307"/>
      <c r="GL99" s="307"/>
      <c r="GM99" s="307"/>
      <c r="GN99" s="307"/>
      <c r="GO99" s="307"/>
      <c r="GP99" s="307"/>
      <c r="GQ99" s="307"/>
      <c r="GR99" s="307"/>
      <c r="GS99" s="307"/>
      <c r="GT99" s="307"/>
      <c r="GU99" s="307"/>
      <c r="GV99" s="307"/>
      <c r="GW99" s="307"/>
      <c r="GX99" s="307"/>
      <c r="GY99" s="307"/>
      <c r="GZ99" s="307"/>
    </row>
    <row r="100" spans="1:208" ht="15">
      <c r="A100" s="302">
        <v>25</v>
      </c>
      <c r="B100" s="328">
        <v>44733</v>
      </c>
      <c r="C100" s="329">
        <v>1053331</v>
      </c>
      <c r="D100" s="304" t="s">
        <v>4380</v>
      </c>
      <c r="E100" s="329" t="s">
        <v>4263</v>
      </c>
      <c r="F100" s="329" t="s">
        <v>4275</v>
      </c>
      <c r="G100" s="329">
        <v>3178</v>
      </c>
      <c r="H100" s="329">
        <v>42</v>
      </c>
      <c r="I100" s="304">
        <v>4502355792</v>
      </c>
      <c r="J100" s="329">
        <v>3025459</v>
      </c>
      <c r="K100" s="304">
        <v>4902289902</v>
      </c>
      <c r="L100" s="304" t="s">
        <v>4252</v>
      </c>
      <c r="M100" s="309">
        <v>20023</v>
      </c>
      <c r="N100" s="329">
        <v>8900</v>
      </c>
      <c r="O100" s="306">
        <f t="shared" si="18"/>
        <v>178204700</v>
      </c>
      <c r="P100" s="304" t="s">
        <v>4265</v>
      </c>
      <c r="Q100" s="304" t="s">
        <v>4266</v>
      </c>
      <c r="R100" s="304">
        <v>1004892</v>
      </c>
      <c r="S100" s="304">
        <v>4792500</v>
      </c>
      <c r="T100" s="307"/>
      <c r="U100" s="307"/>
      <c r="V100" s="307"/>
      <c r="W100" s="307"/>
      <c r="X100" s="307"/>
      <c r="Y100" s="307"/>
      <c r="Z100" s="307"/>
      <c r="AA100" s="307"/>
      <c r="AB100" s="307"/>
      <c r="AC100" s="307"/>
      <c r="AD100" s="307"/>
      <c r="AE100" s="307"/>
      <c r="AF100" s="307"/>
      <c r="AG100" s="307"/>
      <c r="AH100" s="307"/>
      <c r="AI100" s="307"/>
      <c r="AJ100" s="307"/>
      <c r="AK100" s="307"/>
      <c r="AL100" s="307"/>
      <c r="AM100" s="307"/>
      <c r="AN100" s="307"/>
      <c r="AO100" s="307"/>
      <c r="AP100" s="307"/>
      <c r="AQ100" s="307"/>
      <c r="AR100" s="307"/>
      <c r="AS100" s="307"/>
      <c r="AT100" s="307"/>
      <c r="AU100" s="307"/>
      <c r="AV100" s="307"/>
      <c r="AW100" s="307"/>
      <c r="AX100" s="307"/>
      <c r="AY100" s="307"/>
      <c r="AZ100" s="307"/>
      <c r="BA100" s="307"/>
      <c r="BB100" s="307"/>
      <c r="BC100" s="307"/>
      <c r="BD100" s="307"/>
      <c r="BE100" s="307"/>
      <c r="BF100" s="307"/>
      <c r="BG100" s="307"/>
      <c r="BH100" s="307"/>
      <c r="BI100" s="307"/>
      <c r="BJ100" s="307"/>
      <c r="BK100" s="307"/>
      <c r="BL100" s="307"/>
      <c r="BM100" s="307"/>
      <c r="BN100" s="307"/>
      <c r="BO100" s="307"/>
      <c r="BP100" s="307"/>
      <c r="BQ100" s="307"/>
      <c r="BR100" s="307"/>
      <c r="BS100" s="307"/>
      <c r="BT100" s="307"/>
      <c r="BU100" s="307"/>
      <c r="BV100" s="307"/>
      <c r="BW100" s="307"/>
      <c r="BX100" s="307"/>
      <c r="BY100" s="307"/>
      <c r="BZ100" s="307"/>
      <c r="CA100" s="307"/>
      <c r="CB100" s="307"/>
      <c r="CC100" s="307"/>
      <c r="CD100" s="307"/>
      <c r="CE100" s="307"/>
      <c r="CF100" s="307"/>
      <c r="CG100" s="307"/>
      <c r="CH100" s="307"/>
      <c r="CI100" s="307"/>
      <c r="CJ100" s="307"/>
      <c r="CK100" s="307"/>
      <c r="CL100" s="307"/>
      <c r="CM100" s="307"/>
      <c r="CN100" s="307"/>
      <c r="CO100" s="307"/>
      <c r="CP100" s="307"/>
      <c r="CQ100" s="307"/>
      <c r="CR100" s="307"/>
      <c r="CS100" s="307"/>
      <c r="CT100" s="307"/>
      <c r="CU100" s="307"/>
      <c r="CV100" s="307"/>
      <c r="CW100" s="307"/>
      <c r="CX100" s="307"/>
      <c r="CY100" s="307"/>
      <c r="CZ100" s="307"/>
      <c r="DA100" s="307"/>
      <c r="DB100" s="307"/>
      <c r="DC100" s="307"/>
      <c r="DD100" s="307"/>
      <c r="DE100" s="307"/>
      <c r="DF100" s="307"/>
      <c r="DG100" s="307"/>
      <c r="DH100" s="307"/>
      <c r="DI100" s="307"/>
      <c r="DJ100" s="307"/>
      <c r="DK100" s="307"/>
      <c r="DL100" s="307"/>
      <c r="DM100" s="307"/>
      <c r="DN100" s="307"/>
      <c r="DO100" s="307"/>
      <c r="DP100" s="307"/>
      <c r="DQ100" s="307"/>
      <c r="DR100" s="307"/>
      <c r="DS100" s="307"/>
      <c r="DT100" s="307"/>
      <c r="DU100" s="307"/>
      <c r="DV100" s="307"/>
      <c r="DW100" s="307"/>
      <c r="DX100" s="307"/>
      <c r="DY100" s="307"/>
      <c r="DZ100" s="307"/>
      <c r="EA100" s="307"/>
      <c r="EB100" s="307"/>
      <c r="EC100" s="307"/>
      <c r="ED100" s="307"/>
      <c r="EE100" s="307"/>
      <c r="EF100" s="307"/>
      <c r="EG100" s="307"/>
      <c r="EH100" s="307"/>
      <c r="EI100" s="307"/>
      <c r="EJ100" s="307"/>
      <c r="EK100" s="307"/>
      <c r="EL100" s="307"/>
      <c r="EM100" s="307"/>
      <c r="EN100" s="307"/>
      <c r="EO100" s="307"/>
      <c r="EP100" s="307"/>
      <c r="EQ100" s="307"/>
      <c r="ER100" s="307"/>
      <c r="ES100" s="307"/>
      <c r="ET100" s="307"/>
      <c r="EU100" s="307"/>
      <c r="EV100" s="307"/>
      <c r="EW100" s="307"/>
      <c r="EX100" s="307"/>
      <c r="EY100" s="307"/>
      <c r="EZ100" s="307"/>
      <c r="FA100" s="307"/>
      <c r="FB100" s="307"/>
      <c r="FC100" s="307"/>
      <c r="FD100" s="307"/>
      <c r="FE100" s="307"/>
      <c r="FF100" s="307"/>
      <c r="FG100" s="307"/>
      <c r="FH100" s="307"/>
      <c r="FI100" s="307"/>
      <c r="FJ100" s="307"/>
      <c r="FK100" s="307"/>
      <c r="FL100" s="307"/>
      <c r="FM100" s="307"/>
      <c r="FN100" s="307"/>
      <c r="FO100" s="307"/>
      <c r="FP100" s="307"/>
      <c r="FQ100" s="307"/>
      <c r="FR100" s="307"/>
      <c r="FS100" s="307"/>
      <c r="FT100" s="307"/>
      <c r="FU100" s="307"/>
      <c r="FV100" s="307"/>
      <c r="FW100" s="307"/>
      <c r="FX100" s="307"/>
      <c r="FY100" s="307"/>
      <c r="FZ100" s="307"/>
      <c r="GA100" s="307"/>
      <c r="GB100" s="307"/>
      <c r="GC100" s="307"/>
      <c r="GD100" s="307"/>
      <c r="GE100" s="307"/>
      <c r="GF100" s="307"/>
      <c r="GG100" s="307"/>
      <c r="GH100" s="307"/>
      <c r="GI100" s="307"/>
      <c r="GJ100" s="307"/>
      <c r="GK100" s="307"/>
      <c r="GL100" s="307"/>
      <c r="GM100" s="307"/>
      <c r="GN100" s="307"/>
      <c r="GO100" s="307"/>
      <c r="GP100" s="307"/>
      <c r="GQ100" s="307"/>
      <c r="GR100" s="307"/>
      <c r="GS100" s="307"/>
      <c r="GT100" s="307"/>
      <c r="GU100" s="307"/>
      <c r="GV100" s="307"/>
      <c r="GW100" s="307"/>
      <c r="GX100" s="307"/>
      <c r="GY100" s="307"/>
      <c r="GZ100" s="307"/>
    </row>
    <row r="101" spans="1:208" ht="15">
      <c r="A101" s="280">
        <v>26</v>
      </c>
      <c r="B101" s="332">
        <v>44736</v>
      </c>
      <c r="C101" s="342">
        <v>1084015</v>
      </c>
      <c r="D101" s="342" t="s">
        <v>4381</v>
      </c>
      <c r="E101" s="342" t="s">
        <v>4289</v>
      </c>
      <c r="F101" s="342" t="s">
        <v>4251</v>
      </c>
      <c r="G101" s="342">
        <v>3148</v>
      </c>
      <c r="H101" s="342">
        <v>28</v>
      </c>
      <c r="I101" s="282">
        <v>4502358727</v>
      </c>
      <c r="J101" s="342">
        <v>3025457</v>
      </c>
      <c r="K101" s="282">
        <v>4902293381</v>
      </c>
      <c r="L101" s="282" t="s">
        <v>4252</v>
      </c>
      <c r="M101" s="283">
        <v>12792</v>
      </c>
      <c r="N101" s="282">
        <v>8800</v>
      </c>
      <c r="O101" s="284">
        <f t="shared" si="18"/>
        <v>112569600</v>
      </c>
      <c r="P101" s="282">
        <v>2</v>
      </c>
      <c r="Q101" s="282" t="s">
        <v>3455</v>
      </c>
      <c r="R101" s="282">
        <v>1040968</v>
      </c>
      <c r="S101" s="282">
        <v>3247800</v>
      </c>
      <c r="T101" s="285"/>
      <c r="U101" s="285"/>
      <c r="V101" s="285"/>
      <c r="W101" s="285"/>
      <c r="X101" s="285"/>
      <c r="Y101" s="285"/>
      <c r="Z101" s="335"/>
      <c r="AA101" s="335"/>
      <c r="AB101" s="335"/>
      <c r="AC101" s="335"/>
      <c r="AD101" s="335"/>
      <c r="AE101" s="335"/>
      <c r="AF101" s="335"/>
      <c r="AG101" s="335"/>
      <c r="AH101" s="335"/>
      <c r="AI101" s="335"/>
      <c r="AJ101" s="335"/>
      <c r="AK101" s="335"/>
      <c r="AL101" s="335"/>
      <c r="AM101" s="335"/>
      <c r="AN101" s="335"/>
      <c r="AO101" s="335"/>
      <c r="AP101" s="335"/>
      <c r="AQ101" s="335"/>
      <c r="AR101" s="335"/>
      <c r="AS101" s="335"/>
      <c r="AT101" s="335"/>
      <c r="AU101" s="335"/>
      <c r="AV101" s="335"/>
      <c r="AW101" s="335"/>
      <c r="AX101" s="335"/>
      <c r="AY101" s="335"/>
      <c r="AZ101" s="335"/>
      <c r="BA101" s="335"/>
      <c r="BB101" s="335"/>
      <c r="BC101" s="335"/>
      <c r="BD101" s="335"/>
      <c r="BE101" s="335"/>
      <c r="BF101" s="335"/>
      <c r="BG101" s="335"/>
      <c r="BH101" s="335"/>
      <c r="BI101" s="335"/>
      <c r="BJ101" s="335"/>
      <c r="BK101" s="335"/>
      <c r="BL101" s="335"/>
      <c r="BM101" s="335"/>
      <c r="BN101" s="335"/>
      <c r="BO101" s="335"/>
      <c r="BP101" s="335"/>
      <c r="BQ101" s="335"/>
      <c r="BR101" s="335"/>
      <c r="BS101" s="335"/>
      <c r="BT101" s="335"/>
      <c r="BU101" s="335"/>
      <c r="BV101" s="335"/>
      <c r="BW101" s="335"/>
      <c r="BX101" s="335"/>
      <c r="BY101" s="335"/>
      <c r="BZ101" s="335"/>
      <c r="CA101" s="335"/>
      <c r="CB101" s="335"/>
      <c r="CC101" s="335"/>
      <c r="CD101" s="335"/>
      <c r="CE101" s="335"/>
      <c r="CF101" s="335"/>
      <c r="CG101" s="335"/>
      <c r="CH101" s="335"/>
      <c r="CI101" s="335"/>
      <c r="CJ101" s="335"/>
      <c r="CK101" s="335"/>
      <c r="CL101" s="335"/>
      <c r="CM101" s="335"/>
      <c r="CN101" s="335"/>
      <c r="CO101" s="335"/>
      <c r="CP101" s="335"/>
      <c r="CQ101" s="335"/>
      <c r="CR101" s="335"/>
      <c r="CS101" s="335"/>
      <c r="CT101" s="335"/>
      <c r="CU101" s="335"/>
      <c r="CV101" s="335"/>
      <c r="CW101" s="335"/>
      <c r="CX101" s="335"/>
      <c r="CY101" s="335"/>
      <c r="CZ101" s="335"/>
      <c r="DA101" s="335"/>
      <c r="DB101" s="335"/>
      <c r="DC101" s="335"/>
      <c r="DD101" s="335"/>
      <c r="DE101" s="335"/>
      <c r="DF101" s="335"/>
      <c r="DG101" s="335"/>
      <c r="DH101" s="335"/>
      <c r="DI101" s="335"/>
      <c r="DJ101" s="335"/>
      <c r="DK101" s="335"/>
      <c r="DL101" s="335"/>
      <c r="DM101" s="335"/>
      <c r="DN101" s="335"/>
      <c r="DO101" s="335"/>
      <c r="DP101" s="335"/>
      <c r="DQ101" s="335"/>
      <c r="DR101" s="335"/>
      <c r="DS101" s="335"/>
      <c r="DT101" s="335"/>
      <c r="DU101" s="335"/>
      <c r="DV101" s="335"/>
      <c r="DW101" s="335"/>
      <c r="DX101" s="335"/>
      <c r="DY101" s="335"/>
      <c r="DZ101" s="335"/>
      <c r="EA101" s="335"/>
      <c r="EB101" s="335"/>
      <c r="EC101" s="335"/>
      <c r="ED101" s="335"/>
      <c r="EE101" s="335"/>
      <c r="EF101" s="335"/>
      <c r="EG101" s="335"/>
      <c r="EH101" s="335"/>
      <c r="EI101" s="335"/>
      <c r="EJ101" s="335"/>
      <c r="EK101" s="335"/>
      <c r="EL101" s="335"/>
      <c r="EM101" s="335"/>
      <c r="EN101" s="335"/>
      <c r="EO101" s="335"/>
      <c r="EP101" s="335"/>
      <c r="EQ101" s="335"/>
      <c r="ER101" s="335"/>
      <c r="ES101" s="335"/>
      <c r="ET101" s="335"/>
      <c r="EU101" s="335"/>
      <c r="EV101" s="335"/>
      <c r="EW101" s="335"/>
      <c r="EX101" s="335"/>
      <c r="EY101" s="335"/>
      <c r="EZ101" s="335"/>
      <c r="FA101" s="335"/>
      <c r="FB101" s="335"/>
      <c r="FC101" s="335"/>
      <c r="FD101" s="335"/>
      <c r="FE101" s="335"/>
      <c r="FF101" s="335"/>
      <c r="FG101" s="335"/>
      <c r="FH101" s="335"/>
      <c r="FI101" s="335"/>
      <c r="FJ101" s="335"/>
      <c r="FK101" s="335"/>
      <c r="FL101" s="335"/>
      <c r="FM101" s="335"/>
      <c r="FN101" s="335"/>
      <c r="FO101" s="335"/>
      <c r="FP101" s="335"/>
      <c r="FQ101" s="335"/>
      <c r="FR101" s="335"/>
      <c r="FS101" s="335"/>
      <c r="FT101" s="335"/>
      <c r="FU101" s="335"/>
      <c r="FV101" s="335"/>
      <c r="FW101" s="335"/>
      <c r="FX101" s="335"/>
      <c r="FY101" s="335"/>
      <c r="FZ101" s="335"/>
      <c r="GA101" s="335"/>
      <c r="GB101" s="335"/>
      <c r="GC101" s="335"/>
      <c r="GD101" s="335"/>
      <c r="GE101" s="335"/>
      <c r="GF101" s="335"/>
      <c r="GG101" s="335"/>
      <c r="GH101" s="335"/>
      <c r="GI101" s="335"/>
      <c r="GJ101" s="335"/>
      <c r="GK101" s="335"/>
      <c r="GL101" s="335"/>
      <c r="GM101" s="335"/>
      <c r="GN101" s="335"/>
      <c r="GO101" s="335"/>
      <c r="GP101" s="335"/>
      <c r="GQ101" s="335"/>
      <c r="GR101" s="335"/>
      <c r="GS101" s="335"/>
      <c r="GT101" s="335"/>
      <c r="GU101" s="335"/>
      <c r="GV101" s="335"/>
      <c r="GW101" s="335"/>
      <c r="GX101" s="335"/>
      <c r="GY101" s="335"/>
      <c r="GZ101" s="335"/>
    </row>
    <row r="102" spans="1:208" ht="15">
      <c r="A102" s="280">
        <v>26</v>
      </c>
      <c r="B102" s="332">
        <v>44737</v>
      </c>
      <c r="C102" s="342">
        <v>1075952</v>
      </c>
      <c r="D102" s="282" t="s">
        <v>4382</v>
      </c>
      <c r="E102" s="342" t="s">
        <v>4359</v>
      </c>
      <c r="F102" s="342" t="s">
        <v>4251</v>
      </c>
      <c r="G102" s="342">
        <v>3182</v>
      </c>
      <c r="H102" s="342">
        <v>28</v>
      </c>
      <c r="I102" s="282">
        <v>4502358731</v>
      </c>
      <c r="J102" s="342">
        <v>3025457</v>
      </c>
      <c r="K102" s="282">
        <v>4902294548</v>
      </c>
      <c r="L102" s="282" t="s">
        <v>4252</v>
      </c>
      <c r="M102" s="283">
        <v>15049</v>
      </c>
      <c r="N102" s="282">
        <v>8800</v>
      </c>
      <c r="O102" s="284">
        <f t="shared" si="18"/>
        <v>132431200</v>
      </c>
      <c r="P102" s="282">
        <v>2</v>
      </c>
      <c r="Q102" s="282" t="s">
        <v>3455</v>
      </c>
      <c r="R102" s="282">
        <v>1040968</v>
      </c>
      <c r="S102" s="282">
        <v>3585600</v>
      </c>
      <c r="T102" s="285"/>
      <c r="U102" s="285"/>
      <c r="V102" s="285"/>
      <c r="W102" s="285"/>
      <c r="X102" s="285"/>
      <c r="Y102" s="285"/>
      <c r="Z102" s="335"/>
      <c r="AA102" s="335"/>
      <c r="AB102" s="335"/>
      <c r="AC102" s="335"/>
      <c r="AD102" s="335"/>
      <c r="AE102" s="335"/>
      <c r="AF102" s="335"/>
      <c r="AG102" s="335"/>
      <c r="AH102" s="335"/>
      <c r="AI102" s="335"/>
      <c r="AJ102" s="335"/>
      <c r="AK102" s="335"/>
      <c r="AL102" s="335"/>
      <c r="AM102" s="335"/>
      <c r="AN102" s="335"/>
      <c r="AO102" s="335"/>
      <c r="AP102" s="335"/>
      <c r="AQ102" s="335"/>
      <c r="AR102" s="335"/>
      <c r="AS102" s="335"/>
      <c r="AT102" s="335"/>
      <c r="AU102" s="335"/>
      <c r="AV102" s="335"/>
      <c r="AW102" s="335"/>
      <c r="AX102" s="335"/>
      <c r="AY102" s="335"/>
      <c r="AZ102" s="335"/>
      <c r="BA102" s="335"/>
      <c r="BB102" s="335"/>
      <c r="BC102" s="335"/>
      <c r="BD102" s="335"/>
      <c r="BE102" s="335"/>
      <c r="BF102" s="335"/>
      <c r="BG102" s="335"/>
      <c r="BH102" s="335"/>
      <c r="BI102" s="335"/>
      <c r="BJ102" s="335"/>
      <c r="BK102" s="335"/>
      <c r="BL102" s="335"/>
      <c r="BM102" s="335"/>
      <c r="BN102" s="335"/>
      <c r="BO102" s="335"/>
      <c r="BP102" s="335"/>
      <c r="BQ102" s="335"/>
      <c r="BR102" s="335"/>
      <c r="BS102" s="335"/>
      <c r="BT102" s="335"/>
      <c r="BU102" s="335"/>
      <c r="BV102" s="335"/>
      <c r="BW102" s="335"/>
      <c r="BX102" s="335"/>
      <c r="BY102" s="335"/>
      <c r="BZ102" s="335"/>
      <c r="CA102" s="335"/>
      <c r="CB102" s="335"/>
      <c r="CC102" s="335"/>
      <c r="CD102" s="335"/>
      <c r="CE102" s="335"/>
      <c r="CF102" s="335"/>
      <c r="CG102" s="335"/>
      <c r="CH102" s="335"/>
      <c r="CI102" s="335"/>
      <c r="CJ102" s="335"/>
      <c r="CK102" s="335"/>
      <c r="CL102" s="335"/>
      <c r="CM102" s="335"/>
      <c r="CN102" s="335"/>
      <c r="CO102" s="335"/>
      <c r="CP102" s="335"/>
      <c r="CQ102" s="335"/>
      <c r="CR102" s="335"/>
      <c r="CS102" s="335"/>
      <c r="CT102" s="335"/>
      <c r="CU102" s="335"/>
      <c r="CV102" s="335"/>
      <c r="CW102" s="335"/>
      <c r="CX102" s="335"/>
      <c r="CY102" s="335"/>
      <c r="CZ102" s="335"/>
      <c r="DA102" s="335"/>
      <c r="DB102" s="335"/>
      <c r="DC102" s="335"/>
      <c r="DD102" s="335"/>
      <c r="DE102" s="335"/>
      <c r="DF102" s="335"/>
      <c r="DG102" s="335"/>
      <c r="DH102" s="335"/>
      <c r="DI102" s="335"/>
      <c r="DJ102" s="335"/>
      <c r="DK102" s="335"/>
      <c r="DL102" s="335"/>
      <c r="DM102" s="335"/>
      <c r="DN102" s="335"/>
      <c r="DO102" s="335"/>
      <c r="DP102" s="335"/>
      <c r="DQ102" s="335"/>
      <c r="DR102" s="335"/>
      <c r="DS102" s="335"/>
      <c r="DT102" s="335"/>
      <c r="DU102" s="335"/>
      <c r="DV102" s="335"/>
      <c r="DW102" s="335"/>
      <c r="DX102" s="335"/>
      <c r="DY102" s="335"/>
      <c r="DZ102" s="335"/>
      <c r="EA102" s="335"/>
      <c r="EB102" s="335"/>
      <c r="EC102" s="335"/>
      <c r="ED102" s="335"/>
      <c r="EE102" s="335"/>
      <c r="EF102" s="335"/>
      <c r="EG102" s="335"/>
      <c r="EH102" s="335"/>
      <c r="EI102" s="335"/>
      <c r="EJ102" s="335"/>
      <c r="EK102" s="335"/>
      <c r="EL102" s="335"/>
      <c r="EM102" s="335"/>
      <c r="EN102" s="335"/>
      <c r="EO102" s="335"/>
      <c r="EP102" s="335"/>
      <c r="EQ102" s="335"/>
      <c r="ER102" s="335"/>
      <c r="ES102" s="335"/>
      <c r="ET102" s="335"/>
      <c r="EU102" s="335"/>
      <c r="EV102" s="335"/>
      <c r="EW102" s="335"/>
      <c r="EX102" s="335"/>
      <c r="EY102" s="335"/>
      <c r="EZ102" s="335"/>
      <c r="FA102" s="335"/>
      <c r="FB102" s="335"/>
      <c r="FC102" s="335"/>
      <c r="FD102" s="335"/>
      <c r="FE102" s="335"/>
      <c r="FF102" s="335"/>
      <c r="FG102" s="335"/>
      <c r="FH102" s="335"/>
      <c r="FI102" s="335"/>
      <c r="FJ102" s="335"/>
      <c r="FK102" s="335"/>
      <c r="FL102" s="335"/>
      <c r="FM102" s="335"/>
      <c r="FN102" s="335"/>
      <c r="FO102" s="335"/>
      <c r="FP102" s="335"/>
      <c r="FQ102" s="335"/>
      <c r="FR102" s="335"/>
      <c r="FS102" s="335"/>
      <c r="FT102" s="335"/>
      <c r="FU102" s="335"/>
      <c r="FV102" s="335"/>
      <c r="FW102" s="335"/>
      <c r="FX102" s="335"/>
      <c r="FY102" s="335"/>
      <c r="FZ102" s="335"/>
      <c r="GA102" s="335"/>
      <c r="GB102" s="335"/>
      <c r="GC102" s="335"/>
      <c r="GD102" s="335"/>
      <c r="GE102" s="335"/>
      <c r="GF102" s="335"/>
      <c r="GG102" s="335"/>
      <c r="GH102" s="335"/>
      <c r="GI102" s="335"/>
      <c r="GJ102" s="335"/>
      <c r="GK102" s="335"/>
      <c r="GL102" s="335"/>
      <c r="GM102" s="335"/>
      <c r="GN102" s="335"/>
      <c r="GO102" s="335"/>
      <c r="GP102" s="335"/>
      <c r="GQ102" s="335"/>
      <c r="GR102" s="335"/>
      <c r="GS102" s="335"/>
      <c r="GT102" s="335"/>
      <c r="GU102" s="335"/>
      <c r="GV102" s="335"/>
      <c r="GW102" s="335"/>
      <c r="GX102" s="335"/>
      <c r="GY102" s="335"/>
      <c r="GZ102" s="335"/>
    </row>
    <row r="103" spans="1:208" ht="15">
      <c r="A103" s="280">
        <v>26</v>
      </c>
      <c r="B103" s="332">
        <v>44738</v>
      </c>
      <c r="C103" s="342">
        <v>1106184</v>
      </c>
      <c r="D103" s="282" t="s">
        <v>4383</v>
      </c>
      <c r="E103" s="342" t="s">
        <v>4250</v>
      </c>
      <c r="F103" s="342" t="s">
        <v>4251</v>
      </c>
      <c r="G103" s="342">
        <v>3185</v>
      </c>
      <c r="H103" s="342">
        <v>28</v>
      </c>
      <c r="I103" s="282">
        <v>4502359900</v>
      </c>
      <c r="J103" s="342">
        <v>3025457</v>
      </c>
      <c r="K103" s="282">
        <v>4902294666</v>
      </c>
      <c r="L103" s="282" t="s">
        <v>4252</v>
      </c>
      <c r="M103" s="283">
        <v>13612</v>
      </c>
      <c r="N103" s="282">
        <v>8100</v>
      </c>
      <c r="O103" s="284">
        <f t="shared" si="18"/>
        <v>110257200</v>
      </c>
      <c r="P103" s="282">
        <v>2</v>
      </c>
      <c r="Q103" s="282" t="s">
        <v>3455</v>
      </c>
      <c r="R103" s="282">
        <v>1040968</v>
      </c>
      <c r="S103" s="282">
        <v>5965200</v>
      </c>
      <c r="T103" s="285"/>
      <c r="U103" s="285"/>
      <c r="V103" s="285"/>
      <c r="W103" s="285"/>
      <c r="X103" s="285"/>
      <c r="Y103" s="285"/>
      <c r="Z103" s="286"/>
      <c r="AA103" s="286"/>
      <c r="AB103" s="286"/>
      <c r="AC103" s="286"/>
      <c r="AD103" s="286"/>
      <c r="AE103" s="286"/>
      <c r="AF103" s="286"/>
      <c r="AG103" s="286"/>
      <c r="AH103" s="286"/>
      <c r="AI103" s="286"/>
      <c r="AJ103" s="286"/>
      <c r="AK103" s="286"/>
      <c r="AL103" s="286"/>
      <c r="AM103" s="286"/>
      <c r="AN103" s="286"/>
      <c r="AO103" s="286"/>
      <c r="AP103" s="286"/>
      <c r="AQ103" s="286"/>
      <c r="AR103" s="286"/>
      <c r="AS103" s="286"/>
      <c r="AT103" s="286"/>
      <c r="AU103" s="286"/>
      <c r="AV103" s="286"/>
      <c r="AW103" s="286"/>
      <c r="AX103" s="286"/>
      <c r="AY103" s="286"/>
      <c r="AZ103" s="286"/>
      <c r="BA103" s="286"/>
      <c r="BB103" s="286"/>
      <c r="BC103" s="286"/>
      <c r="BD103" s="286"/>
      <c r="BE103" s="286"/>
      <c r="BF103" s="286"/>
      <c r="BG103" s="286"/>
      <c r="BH103" s="286"/>
      <c r="BI103" s="286"/>
      <c r="BJ103" s="286"/>
      <c r="BK103" s="286"/>
      <c r="BL103" s="286"/>
      <c r="BM103" s="286"/>
      <c r="BN103" s="286"/>
      <c r="BO103" s="286"/>
      <c r="BP103" s="286"/>
      <c r="BQ103" s="286"/>
      <c r="BR103" s="286"/>
      <c r="BS103" s="286"/>
      <c r="BT103" s="286"/>
      <c r="BU103" s="286"/>
      <c r="BV103" s="286"/>
      <c r="BW103" s="286"/>
      <c r="BX103" s="286"/>
      <c r="BY103" s="286"/>
      <c r="BZ103" s="286"/>
      <c r="CA103" s="286"/>
      <c r="CB103" s="286"/>
      <c r="CC103" s="286"/>
      <c r="CD103" s="286"/>
      <c r="CE103" s="286"/>
      <c r="CF103" s="286"/>
      <c r="CG103" s="286"/>
      <c r="CH103" s="286"/>
      <c r="CI103" s="286"/>
      <c r="CJ103" s="286"/>
      <c r="CK103" s="286"/>
      <c r="CL103" s="286"/>
      <c r="CM103" s="286"/>
      <c r="CN103" s="286"/>
      <c r="CO103" s="286"/>
      <c r="CP103" s="286"/>
      <c r="CQ103" s="286"/>
      <c r="CR103" s="286"/>
      <c r="CS103" s="286"/>
      <c r="CT103" s="286"/>
      <c r="CU103" s="286"/>
      <c r="CV103" s="286"/>
      <c r="CW103" s="286"/>
      <c r="CX103" s="286"/>
      <c r="CY103" s="286"/>
      <c r="CZ103" s="286"/>
      <c r="DA103" s="286"/>
      <c r="DB103" s="286"/>
      <c r="DC103" s="286"/>
      <c r="DD103" s="286"/>
      <c r="DE103" s="286"/>
      <c r="DF103" s="286"/>
      <c r="DG103" s="286"/>
      <c r="DH103" s="286"/>
      <c r="DI103" s="286"/>
      <c r="DJ103" s="286"/>
      <c r="DK103" s="286"/>
      <c r="DL103" s="286"/>
      <c r="DM103" s="286"/>
      <c r="DN103" s="286"/>
      <c r="DO103" s="286"/>
      <c r="DP103" s="286"/>
      <c r="DQ103" s="286"/>
      <c r="DR103" s="286"/>
      <c r="DS103" s="286"/>
      <c r="DT103" s="286"/>
      <c r="DU103" s="286"/>
      <c r="DV103" s="286"/>
      <c r="DW103" s="286"/>
      <c r="DX103" s="286"/>
      <c r="DY103" s="286"/>
      <c r="DZ103" s="286"/>
      <c r="EA103" s="286"/>
      <c r="EB103" s="286"/>
      <c r="EC103" s="286"/>
      <c r="ED103" s="286"/>
      <c r="EE103" s="286"/>
      <c r="EF103" s="286"/>
      <c r="EG103" s="286"/>
      <c r="EH103" s="286"/>
      <c r="EI103" s="286"/>
      <c r="EJ103" s="286"/>
      <c r="EK103" s="286"/>
      <c r="EL103" s="286"/>
      <c r="EM103" s="286"/>
      <c r="EN103" s="286"/>
      <c r="EO103" s="286"/>
      <c r="EP103" s="286"/>
      <c r="EQ103" s="286"/>
      <c r="ER103" s="286"/>
      <c r="ES103" s="286"/>
      <c r="ET103" s="286"/>
      <c r="EU103" s="286"/>
      <c r="EV103" s="286"/>
      <c r="EW103" s="286"/>
      <c r="EX103" s="286"/>
      <c r="EY103" s="286"/>
      <c r="EZ103" s="286"/>
      <c r="FA103" s="286"/>
      <c r="FB103" s="286"/>
      <c r="FC103" s="286"/>
      <c r="FD103" s="286"/>
      <c r="FE103" s="286"/>
      <c r="FF103" s="286"/>
      <c r="FG103" s="286"/>
      <c r="FH103" s="286"/>
      <c r="FI103" s="286"/>
      <c r="FJ103" s="286"/>
      <c r="FK103" s="286"/>
      <c r="FL103" s="286"/>
      <c r="FM103" s="286"/>
      <c r="FN103" s="286"/>
      <c r="FO103" s="286"/>
      <c r="FP103" s="286"/>
      <c r="FQ103" s="286"/>
      <c r="FR103" s="286"/>
      <c r="FS103" s="286"/>
      <c r="FT103" s="286"/>
      <c r="FU103" s="286"/>
      <c r="FV103" s="286"/>
      <c r="FW103" s="286"/>
      <c r="FX103" s="286"/>
      <c r="FY103" s="286"/>
      <c r="FZ103" s="286"/>
      <c r="GA103" s="286"/>
      <c r="GB103" s="286"/>
      <c r="GC103" s="286"/>
      <c r="GD103" s="286"/>
      <c r="GE103" s="286"/>
      <c r="GF103" s="286"/>
      <c r="GG103" s="286"/>
      <c r="GH103" s="286"/>
      <c r="GI103" s="286"/>
      <c r="GJ103" s="286"/>
      <c r="GK103" s="286"/>
      <c r="GL103" s="286"/>
      <c r="GM103" s="286"/>
      <c r="GN103" s="286"/>
      <c r="GO103" s="286"/>
      <c r="GP103" s="286"/>
      <c r="GQ103" s="286"/>
      <c r="GR103" s="286"/>
      <c r="GS103" s="286"/>
      <c r="GT103" s="286"/>
      <c r="GU103" s="286"/>
      <c r="GV103" s="286"/>
      <c r="GW103" s="286"/>
      <c r="GX103" s="286"/>
      <c r="GY103" s="286"/>
      <c r="GZ103" s="286"/>
    </row>
    <row r="104" spans="1:208" ht="15">
      <c r="A104" s="280">
        <v>26</v>
      </c>
      <c r="B104" s="332">
        <v>44738</v>
      </c>
      <c r="C104" s="342">
        <v>1053331</v>
      </c>
      <c r="D104" s="282" t="s">
        <v>4384</v>
      </c>
      <c r="E104" s="342" t="s">
        <v>4263</v>
      </c>
      <c r="F104" s="342" t="s">
        <v>4275</v>
      </c>
      <c r="G104" s="342">
        <v>3178</v>
      </c>
      <c r="H104" s="342">
        <v>70</v>
      </c>
      <c r="I104" s="282">
        <v>4502360022</v>
      </c>
      <c r="J104" s="342">
        <v>3025459</v>
      </c>
      <c r="K104" s="282">
        <v>4902294672</v>
      </c>
      <c r="L104" s="282" t="s">
        <v>4252</v>
      </c>
      <c r="M104" s="283">
        <v>33101</v>
      </c>
      <c r="N104" s="282">
        <v>8800</v>
      </c>
      <c r="O104" s="284">
        <f t="shared" si="18"/>
        <v>291288800</v>
      </c>
      <c r="P104" s="282">
        <v>2</v>
      </c>
      <c r="Q104" s="282" t="s">
        <v>3455</v>
      </c>
      <c r="R104" s="282">
        <v>1040968</v>
      </c>
      <c r="S104" s="282">
        <v>3552200</v>
      </c>
      <c r="T104" s="285"/>
      <c r="U104" s="285"/>
      <c r="V104" s="285"/>
      <c r="W104" s="285"/>
      <c r="X104" s="285"/>
      <c r="Y104" s="285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286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286"/>
      <c r="BD104" s="286"/>
      <c r="BE104" s="286"/>
      <c r="BF104" s="286"/>
      <c r="BG104" s="286"/>
      <c r="BH104" s="286"/>
      <c r="BI104" s="286"/>
      <c r="BJ104" s="286"/>
      <c r="BK104" s="286"/>
      <c r="BL104" s="286"/>
      <c r="BM104" s="286"/>
      <c r="BN104" s="286"/>
      <c r="BO104" s="286"/>
      <c r="BP104" s="286"/>
      <c r="BQ104" s="286"/>
      <c r="BR104" s="286"/>
      <c r="BS104" s="286"/>
      <c r="BT104" s="286"/>
      <c r="BU104" s="286"/>
      <c r="BV104" s="286"/>
      <c r="BW104" s="286"/>
      <c r="BX104" s="286"/>
      <c r="BY104" s="286"/>
      <c r="BZ104" s="286"/>
      <c r="CA104" s="286"/>
      <c r="CB104" s="286"/>
      <c r="CC104" s="286"/>
      <c r="CD104" s="286"/>
      <c r="CE104" s="286"/>
      <c r="CF104" s="286"/>
      <c r="CG104" s="286"/>
      <c r="CH104" s="286"/>
      <c r="CI104" s="286"/>
      <c r="CJ104" s="286"/>
      <c r="CK104" s="286"/>
      <c r="CL104" s="286"/>
      <c r="CM104" s="286"/>
      <c r="CN104" s="286"/>
      <c r="CO104" s="286"/>
      <c r="CP104" s="286"/>
      <c r="CQ104" s="286"/>
      <c r="CR104" s="286"/>
      <c r="CS104" s="286"/>
      <c r="CT104" s="286"/>
      <c r="CU104" s="286"/>
      <c r="CV104" s="286"/>
      <c r="CW104" s="286"/>
      <c r="CX104" s="286"/>
      <c r="CY104" s="286"/>
      <c r="CZ104" s="286"/>
      <c r="DA104" s="286"/>
      <c r="DB104" s="286"/>
      <c r="DC104" s="286"/>
      <c r="DD104" s="286"/>
      <c r="DE104" s="286"/>
      <c r="DF104" s="286"/>
      <c r="DG104" s="286"/>
      <c r="DH104" s="286"/>
      <c r="DI104" s="286"/>
      <c r="DJ104" s="286"/>
      <c r="DK104" s="286"/>
      <c r="DL104" s="286"/>
      <c r="DM104" s="286"/>
      <c r="DN104" s="286"/>
      <c r="DO104" s="286"/>
      <c r="DP104" s="286"/>
      <c r="DQ104" s="286"/>
      <c r="DR104" s="286"/>
      <c r="DS104" s="286"/>
      <c r="DT104" s="286"/>
      <c r="DU104" s="286"/>
      <c r="DV104" s="286"/>
      <c r="DW104" s="286"/>
      <c r="DX104" s="286"/>
      <c r="DY104" s="286"/>
      <c r="DZ104" s="286"/>
      <c r="EA104" s="286"/>
      <c r="EB104" s="286"/>
      <c r="EC104" s="286"/>
      <c r="ED104" s="286"/>
      <c r="EE104" s="286"/>
      <c r="EF104" s="286"/>
      <c r="EG104" s="286"/>
      <c r="EH104" s="286"/>
      <c r="EI104" s="286"/>
      <c r="EJ104" s="286"/>
      <c r="EK104" s="286"/>
      <c r="EL104" s="286"/>
      <c r="EM104" s="286"/>
      <c r="EN104" s="286"/>
      <c r="EO104" s="286"/>
      <c r="EP104" s="286"/>
      <c r="EQ104" s="286"/>
      <c r="ER104" s="286"/>
      <c r="ES104" s="286"/>
      <c r="ET104" s="286"/>
      <c r="EU104" s="286"/>
      <c r="EV104" s="286"/>
      <c r="EW104" s="286"/>
      <c r="EX104" s="286"/>
      <c r="EY104" s="286"/>
      <c r="EZ104" s="286"/>
      <c r="FA104" s="286"/>
      <c r="FB104" s="286"/>
      <c r="FC104" s="286"/>
      <c r="FD104" s="286"/>
      <c r="FE104" s="286"/>
      <c r="FF104" s="286"/>
      <c r="FG104" s="286"/>
      <c r="FH104" s="286"/>
      <c r="FI104" s="286"/>
      <c r="FJ104" s="286"/>
      <c r="FK104" s="286"/>
      <c r="FL104" s="286"/>
      <c r="FM104" s="286"/>
      <c r="FN104" s="286"/>
      <c r="FO104" s="286"/>
      <c r="FP104" s="286"/>
      <c r="FQ104" s="286"/>
      <c r="FR104" s="286"/>
      <c r="FS104" s="286"/>
      <c r="FT104" s="286"/>
      <c r="FU104" s="286"/>
      <c r="FV104" s="286"/>
      <c r="FW104" s="286"/>
      <c r="FX104" s="286"/>
      <c r="FY104" s="286"/>
      <c r="FZ104" s="286"/>
      <c r="GA104" s="286"/>
      <c r="GB104" s="286"/>
      <c r="GC104" s="286"/>
      <c r="GD104" s="286"/>
      <c r="GE104" s="286"/>
      <c r="GF104" s="286"/>
      <c r="GG104" s="286"/>
      <c r="GH104" s="286"/>
      <c r="GI104" s="286"/>
      <c r="GJ104" s="286"/>
      <c r="GK104" s="286"/>
      <c r="GL104" s="286"/>
      <c r="GM104" s="286"/>
      <c r="GN104" s="286"/>
      <c r="GO104" s="286"/>
      <c r="GP104" s="286"/>
      <c r="GQ104" s="286"/>
      <c r="GR104" s="286"/>
      <c r="GS104" s="286"/>
      <c r="GT104" s="286"/>
      <c r="GU104" s="286"/>
      <c r="GV104" s="286"/>
      <c r="GW104" s="286"/>
      <c r="GX104" s="286"/>
      <c r="GY104" s="286"/>
      <c r="GZ104" s="286"/>
    </row>
    <row r="105" spans="1:208" ht="15">
      <c r="A105" s="280"/>
      <c r="B105" s="347"/>
      <c r="C105" s="342"/>
      <c r="D105" s="282"/>
      <c r="E105" s="342"/>
      <c r="F105" s="342"/>
      <c r="G105" s="342"/>
      <c r="H105" s="342"/>
      <c r="I105" s="285"/>
      <c r="J105" s="342"/>
      <c r="K105" s="285"/>
      <c r="L105" s="285"/>
      <c r="M105" s="296"/>
      <c r="N105" s="282"/>
      <c r="O105" s="284"/>
      <c r="P105" s="282" t="s">
        <v>4265</v>
      </c>
      <c r="Q105" s="282" t="s">
        <v>4266</v>
      </c>
      <c r="R105" s="282">
        <v>1004892</v>
      </c>
      <c r="S105" s="282">
        <v>4792500</v>
      </c>
      <c r="T105" s="285"/>
      <c r="U105" s="285"/>
      <c r="V105" s="285"/>
      <c r="W105" s="285"/>
      <c r="X105" s="285"/>
      <c r="Y105" s="285"/>
      <c r="Z105" s="335"/>
      <c r="AA105" s="335"/>
      <c r="AB105" s="335"/>
      <c r="AC105" s="335"/>
      <c r="AD105" s="335"/>
      <c r="AE105" s="335"/>
      <c r="AF105" s="335"/>
      <c r="AG105" s="335"/>
      <c r="AH105" s="335"/>
      <c r="AI105" s="335"/>
      <c r="AJ105" s="335"/>
      <c r="AK105" s="335"/>
      <c r="AL105" s="335"/>
      <c r="AM105" s="335"/>
      <c r="AN105" s="335"/>
      <c r="AO105" s="335"/>
      <c r="AP105" s="335"/>
      <c r="AQ105" s="335"/>
      <c r="AR105" s="335"/>
      <c r="AS105" s="335"/>
      <c r="AT105" s="335"/>
      <c r="AU105" s="335"/>
      <c r="AV105" s="335"/>
      <c r="AW105" s="335"/>
      <c r="AX105" s="335"/>
      <c r="AY105" s="335"/>
      <c r="AZ105" s="335"/>
      <c r="BA105" s="335"/>
      <c r="BB105" s="335"/>
      <c r="BC105" s="335"/>
      <c r="BD105" s="335"/>
      <c r="BE105" s="335"/>
      <c r="BF105" s="335"/>
      <c r="BG105" s="335"/>
      <c r="BH105" s="335"/>
      <c r="BI105" s="335"/>
      <c r="BJ105" s="335"/>
      <c r="BK105" s="335"/>
      <c r="BL105" s="335"/>
      <c r="BM105" s="335"/>
      <c r="BN105" s="335"/>
      <c r="BO105" s="335"/>
      <c r="BP105" s="335"/>
      <c r="BQ105" s="335"/>
      <c r="BR105" s="335"/>
      <c r="BS105" s="335"/>
      <c r="BT105" s="335"/>
      <c r="BU105" s="335"/>
      <c r="BV105" s="335"/>
      <c r="BW105" s="335"/>
      <c r="BX105" s="335"/>
      <c r="BY105" s="335"/>
      <c r="BZ105" s="335"/>
      <c r="CA105" s="335"/>
      <c r="CB105" s="335"/>
      <c r="CC105" s="335"/>
      <c r="CD105" s="335"/>
      <c r="CE105" s="335"/>
      <c r="CF105" s="335"/>
      <c r="CG105" s="335"/>
      <c r="CH105" s="335"/>
      <c r="CI105" s="335"/>
      <c r="CJ105" s="335"/>
      <c r="CK105" s="335"/>
      <c r="CL105" s="335"/>
      <c r="CM105" s="335"/>
      <c r="CN105" s="335"/>
      <c r="CO105" s="335"/>
      <c r="CP105" s="335"/>
      <c r="CQ105" s="335"/>
      <c r="CR105" s="335"/>
      <c r="CS105" s="335"/>
      <c r="CT105" s="335"/>
      <c r="CU105" s="335"/>
      <c r="CV105" s="335"/>
      <c r="CW105" s="335"/>
      <c r="CX105" s="335"/>
      <c r="CY105" s="335"/>
      <c r="CZ105" s="335"/>
      <c r="DA105" s="335"/>
      <c r="DB105" s="335"/>
      <c r="DC105" s="335"/>
      <c r="DD105" s="335"/>
      <c r="DE105" s="335"/>
      <c r="DF105" s="335"/>
      <c r="DG105" s="335"/>
      <c r="DH105" s="335"/>
      <c r="DI105" s="335"/>
      <c r="DJ105" s="335"/>
      <c r="DK105" s="335"/>
      <c r="DL105" s="335"/>
      <c r="DM105" s="335"/>
      <c r="DN105" s="335"/>
      <c r="DO105" s="335"/>
      <c r="DP105" s="335"/>
      <c r="DQ105" s="335"/>
      <c r="DR105" s="335"/>
      <c r="DS105" s="335"/>
      <c r="DT105" s="335"/>
      <c r="DU105" s="335"/>
      <c r="DV105" s="335"/>
      <c r="DW105" s="335"/>
      <c r="DX105" s="335"/>
      <c r="DY105" s="335"/>
      <c r="DZ105" s="335"/>
      <c r="EA105" s="335"/>
      <c r="EB105" s="335"/>
      <c r="EC105" s="335"/>
      <c r="ED105" s="335"/>
      <c r="EE105" s="335"/>
      <c r="EF105" s="335"/>
      <c r="EG105" s="335"/>
      <c r="EH105" s="335"/>
      <c r="EI105" s="335"/>
      <c r="EJ105" s="335"/>
      <c r="EK105" s="335"/>
      <c r="EL105" s="335"/>
      <c r="EM105" s="335"/>
      <c r="EN105" s="335"/>
      <c r="EO105" s="335"/>
      <c r="EP105" s="335"/>
      <c r="EQ105" s="335"/>
      <c r="ER105" s="335"/>
      <c r="ES105" s="335"/>
      <c r="ET105" s="335"/>
      <c r="EU105" s="335"/>
      <c r="EV105" s="335"/>
      <c r="EW105" s="335"/>
      <c r="EX105" s="335"/>
      <c r="EY105" s="335"/>
      <c r="EZ105" s="335"/>
      <c r="FA105" s="335"/>
      <c r="FB105" s="335"/>
      <c r="FC105" s="335"/>
      <c r="FD105" s="335"/>
      <c r="FE105" s="335"/>
      <c r="FF105" s="335"/>
      <c r="FG105" s="335"/>
      <c r="FH105" s="335"/>
      <c r="FI105" s="335"/>
      <c r="FJ105" s="335"/>
      <c r="FK105" s="335"/>
      <c r="FL105" s="335"/>
      <c r="FM105" s="335"/>
      <c r="FN105" s="335"/>
      <c r="FO105" s="335"/>
      <c r="FP105" s="335"/>
      <c r="FQ105" s="335"/>
      <c r="FR105" s="335"/>
      <c r="FS105" s="335"/>
      <c r="FT105" s="335"/>
      <c r="FU105" s="335"/>
      <c r="FV105" s="335"/>
      <c r="FW105" s="335"/>
      <c r="FX105" s="335"/>
      <c r="FY105" s="335"/>
      <c r="FZ105" s="335"/>
      <c r="GA105" s="335"/>
      <c r="GB105" s="335"/>
      <c r="GC105" s="335"/>
      <c r="GD105" s="335"/>
      <c r="GE105" s="335"/>
      <c r="GF105" s="335"/>
      <c r="GG105" s="335"/>
      <c r="GH105" s="335"/>
      <c r="GI105" s="335"/>
      <c r="GJ105" s="335"/>
      <c r="GK105" s="335"/>
      <c r="GL105" s="335"/>
      <c r="GM105" s="335"/>
      <c r="GN105" s="335"/>
      <c r="GO105" s="335"/>
      <c r="GP105" s="335"/>
      <c r="GQ105" s="335"/>
      <c r="GR105" s="335"/>
      <c r="GS105" s="335"/>
      <c r="GT105" s="335"/>
      <c r="GU105" s="335"/>
      <c r="GV105" s="335"/>
      <c r="GW105" s="335"/>
      <c r="GX105" s="335"/>
      <c r="GY105" s="335"/>
      <c r="GZ105" s="335"/>
    </row>
    <row r="106" spans="1:208" ht="15">
      <c r="A106" s="280">
        <v>26</v>
      </c>
      <c r="B106" s="347">
        <v>44740</v>
      </c>
      <c r="C106" s="342">
        <v>1093247</v>
      </c>
      <c r="D106" s="282" t="s">
        <v>4385</v>
      </c>
      <c r="E106" s="342" t="s">
        <v>4270</v>
      </c>
      <c r="F106" s="342" t="s">
        <v>4251</v>
      </c>
      <c r="G106" s="342">
        <v>3190</v>
      </c>
      <c r="H106" s="342">
        <v>28</v>
      </c>
      <c r="I106" s="282">
        <v>4502359905</v>
      </c>
      <c r="J106" s="342">
        <v>3025457</v>
      </c>
      <c r="K106" s="282">
        <v>4902294674</v>
      </c>
      <c r="L106" s="282" t="s">
        <v>4252</v>
      </c>
      <c r="M106" s="283">
        <v>13620</v>
      </c>
      <c r="N106" s="282">
        <v>8800</v>
      </c>
      <c r="O106" s="284">
        <f t="shared" ref="O106:O119" si="22">M106*N106</f>
        <v>119856000</v>
      </c>
      <c r="P106" s="282">
        <v>2</v>
      </c>
      <c r="Q106" s="282" t="s">
        <v>3455</v>
      </c>
      <c r="R106" s="282">
        <v>1040968</v>
      </c>
      <c r="S106" s="282">
        <v>3587800</v>
      </c>
      <c r="T106" s="285"/>
      <c r="U106" s="285"/>
      <c r="V106" s="285"/>
      <c r="W106" s="285"/>
      <c r="X106" s="285"/>
      <c r="Y106" s="285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286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286"/>
      <c r="BD106" s="286"/>
      <c r="BE106" s="286"/>
      <c r="BF106" s="286"/>
      <c r="BG106" s="286"/>
      <c r="BH106" s="286"/>
      <c r="BI106" s="286"/>
      <c r="BJ106" s="286"/>
      <c r="BK106" s="286"/>
      <c r="BL106" s="286"/>
      <c r="BM106" s="286"/>
      <c r="BN106" s="286"/>
      <c r="BO106" s="286"/>
      <c r="BP106" s="286"/>
      <c r="BQ106" s="286"/>
      <c r="BR106" s="286"/>
      <c r="BS106" s="286"/>
      <c r="BT106" s="286"/>
      <c r="BU106" s="286"/>
      <c r="BV106" s="286"/>
      <c r="BW106" s="286"/>
      <c r="BX106" s="286"/>
      <c r="BY106" s="286"/>
      <c r="BZ106" s="286"/>
      <c r="CA106" s="286"/>
      <c r="CB106" s="286"/>
      <c r="CC106" s="286"/>
      <c r="CD106" s="286"/>
      <c r="CE106" s="286"/>
      <c r="CF106" s="286"/>
      <c r="CG106" s="286"/>
      <c r="CH106" s="286"/>
      <c r="CI106" s="286"/>
      <c r="CJ106" s="286"/>
      <c r="CK106" s="286"/>
      <c r="CL106" s="286"/>
      <c r="CM106" s="286"/>
      <c r="CN106" s="286"/>
      <c r="CO106" s="286"/>
      <c r="CP106" s="286"/>
      <c r="CQ106" s="286"/>
      <c r="CR106" s="286"/>
      <c r="CS106" s="286"/>
      <c r="CT106" s="286"/>
      <c r="CU106" s="286"/>
      <c r="CV106" s="286"/>
      <c r="CW106" s="286"/>
      <c r="CX106" s="286"/>
      <c r="CY106" s="286"/>
      <c r="CZ106" s="286"/>
      <c r="DA106" s="286"/>
      <c r="DB106" s="286"/>
      <c r="DC106" s="286"/>
      <c r="DD106" s="286"/>
      <c r="DE106" s="286"/>
      <c r="DF106" s="286"/>
      <c r="DG106" s="286"/>
      <c r="DH106" s="286"/>
      <c r="DI106" s="286"/>
      <c r="DJ106" s="286"/>
      <c r="DK106" s="286"/>
      <c r="DL106" s="286"/>
      <c r="DM106" s="286"/>
      <c r="DN106" s="286"/>
      <c r="DO106" s="286"/>
      <c r="DP106" s="286"/>
      <c r="DQ106" s="286"/>
      <c r="DR106" s="286"/>
      <c r="DS106" s="286"/>
      <c r="DT106" s="286"/>
      <c r="DU106" s="286"/>
      <c r="DV106" s="286"/>
      <c r="DW106" s="286"/>
      <c r="DX106" s="286"/>
      <c r="DY106" s="286"/>
      <c r="DZ106" s="286"/>
      <c r="EA106" s="286"/>
      <c r="EB106" s="286"/>
      <c r="EC106" s="286"/>
      <c r="ED106" s="286"/>
      <c r="EE106" s="286"/>
      <c r="EF106" s="286"/>
      <c r="EG106" s="286"/>
      <c r="EH106" s="286"/>
      <c r="EI106" s="286"/>
      <c r="EJ106" s="286"/>
      <c r="EK106" s="286"/>
      <c r="EL106" s="286"/>
      <c r="EM106" s="286"/>
      <c r="EN106" s="286"/>
      <c r="EO106" s="286"/>
      <c r="EP106" s="286"/>
      <c r="EQ106" s="286"/>
      <c r="ER106" s="286"/>
      <c r="ES106" s="286"/>
      <c r="ET106" s="286"/>
      <c r="EU106" s="286"/>
      <c r="EV106" s="286"/>
      <c r="EW106" s="286"/>
      <c r="EX106" s="286"/>
      <c r="EY106" s="286"/>
      <c r="EZ106" s="286"/>
      <c r="FA106" s="286"/>
      <c r="FB106" s="286"/>
      <c r="FC106" s="286"/>
      <c r="FD106" s="286"/>
      <c r="FE106" s="286"/>
      <c r="FF106" s="286"/>
      <c r="FG106" s="286"/>
      <c r="FH106" s="286"/>
      <c r="FI106" s="286"/>
      <c r="FJ106" s="286"/>
      <c r="FK106" s="286"/>
      <c r="FL106" s="286"/>
      <c r="FM106" s="286"/>
      <c r="FN106" s="286"/>
      <c r="FO106" s="286"/>
      <c r="FP106" s="286"/>
      <c r="FQ106" s="286"/>
      <c r="FR106" s="286"/>
      <c r="FS106" s="286"/>
      <c r="FT106" s="286"/>
      <c r="FU106" s="286"/>
      <c r="FV106" s="286"/>
      <c r="FW106" s="286"/>
      <c r="FX106" s="286"/>
      <c r="FY106" s="286"/>
      <c r="FZ106" s="286"/>
      <c r="GA106" s="286"/>
      <c r="GB106" s="286"/>
      <c r="GC106" s="286"/>
      <c r="GD106" s="286"/>
      <c r="GE106" s="286"/>
      <c r="GF106" s="286"/>
      <c r="GG106" s="286"/>
      <c r="GH106" s="286"/>
      <c r="GI106" s="286"/>
      <c r="GJ106" s="286"/>
      <c r="GK106" s="286"/>
      <c r="GL106" s="286"/>
      <c r="GM106" s="286"/>
      <c r="GN106" s="286"/>
      <c r="GO106" s="286"/>
      <c r="GP106" s="286"/>
      <c r="GQ106" s="286"/>
      <c r="GR106" s="286"/>
      <c r="GS106" s="286"/>
      <c r="GT106" s="286"/>
      <c r="GU106" s="286"/>
      <c r="GV106" s="286"/>
      <c r="GW106" s="286"/>
      <c r="GX106" s="286"/>
      <c r="GY106" s="286"/>
      <c r="GZ106" s="286"/>
    </row>
    <row r="107" spans="1:208" ht="15">
      <c r="A107" s="280">
        <v>26</v>
      </c>
      <c r="B107" s="347">
        <v>44740</v>
      </c>
      <c r="C107" s="342">
        <v>1076469</v>
      </c>
      <c r="D107" s="282" t="s">
        <v>4386</v>
      </c>
      <c r="E107" s="342" t="s">
        <v>4279</v>
      </c>
      <c r="F107" s="342" t="s">
        <v>4251</v>
      </c>
      <c r="G107" s="342">
        <v>3179</v>
      </c>
      <c r="H107" s="342">
        <v>28</v>
      </c>
      <c r="I107" s="282">
        <v>4502359923</v>
      </c>
      <c r="J107" s="342">
        <v>3025457</v>
      </c>
      <c r="K107" s="282">
        <v>4902294689</v>
      </c>
      <c r="L107" s="282" t="s">
        <v>4252</v>
      </c>
      <c r="M107" s="283">
        <v>14560</v>
      </c>
      <c r="N107" s="282">
        <v>8800</v>
      </c>
      <c r="O107" s="284">
        <f t="shared" si="22"/>
        <v>128128000</v>
      </c>
      <c r="P107" s="282">
        <v>2</v>
      </c>
      <c r="Q107" s="282" t="s">
        <v>3455</v>
      </c>
      <c r="R107" s="282">
        <v>1040968</v>
      </c>
      <c r="S107" s="282">
        <v>3542200</v>
      </c>
      <c r="T107" s="285"/>
      <c r="U107" s="285"/>
      <c r="V107" s="285"/>
      <c r="W107" s="285"/>
      <c r="X107" s="285"/>
      <c r="Y107" s="285"/>
      <c r="Z107" s="286"/>
      <c r="AA107" s="286"/>
      <c r="AB107" s="286"/>
      <c r="AC107" s="286"/>
      <c r="AD107" s="286"/>
      <c r="AE107" s="286"/>
      <c r="AF107" s="286"/>
      <c r="AG107" s="286"/>
      <c r="AH107" s="286"/>
      <c r="AI107" s="286"/>
      <c r="AJ107" s="286"/>
      <c r="AK107" s="286"/>
      <c r="AL107" s="286"/>
      <c r="AM107" s="286"/>
      <c r="AN107" s="286"/>
      <c r="AO107" s="286"/>
      <c r="AP107" s="286"/>
      <c r="AQ107" s="286"/>
      <c r="AR107" s="286"/>
      <c r="AS107" s="286"/>
      <c r="AT107" s="286"/>
      <c r="AU107" s="286"/>
      <c r="AV107" s="286"/>
      <c r="AW107" s="286"/>
      <c r="AX107" s="286"/>
      <c r="AY107" s="286"/>
      <c r="AZ107" s="286"/>
      <c r="BA107" s="286"/>
      <c r="BB107" s="286"/>
      <c r="BC107" s="286"/>
      <c r="BD107" s="286"/>
      <c r="BE107" s="286"/>
      <c r="BF107" s="286"/>
      <c r="BG107" s="286"/>
      <c r="BH107" s="286"/>
      <c r="BI107" s="286"/>
      <c r="BJ107" s="286"/>
      <c r="BK107" s="286"/>
      <c r="BL107" s="286"/>
      <c r="BM107" s="286"/>
      <c r="BN107" s="286"/>
      <c r="BO107" s="286"/>
      <c r="BP107" s="286"/>
      <c r="BQ107" s="286"/>
      <c r="BR107" s="286"/>
      <c r="BS107" s="286"/>
      <c r="BT107" s="286"/>
      <c r="BU107" s="286"/>
      <c r="BV107" s="286"/>
      <c r="BW107" s="286"/>
      <c r="BX107" s="286"/>
      <c r="BY107" s="286"/>
      <c r="BZ107" s="286"/>
      <c r="CA107" s="286"/>
      <c r="CB107" s="286"/>
      <c r="CC107" s="286"/>
      <c r="CD107" s="286"/>
      <c r="CE107" s="286"/>
      <c r="CF107" s="286"/>
      <c r="CG107" s="286"/>
      <c r="CH107" s="286"/>
      <c r="CI107" s="286"/>
      <c r="CJ107" s="286"/>
      <c r="CK107" s="286"/>
      <c r="CL107" s="286"/>
      <c r="CM107" s="286"/>
      <c r="CN107" s="286"/>
      <c r="CO107" s="286"/>
      <c r="CP107" s="286"/>
      <c r="CQ107" s="286"/>
      <c r="CR107" s="286"/>
      <c r="CS107" s="286"/>
      <c r="CT107" s="286"/>
      <c r="CU107" s="286"/>
      <c r="CV107" s="286"/>
      <c r="CW107" s="286"/>
      <c r="CX107" s="286"/>
      <c r="CY107" s="286"/>
      <c r="CZ107" s="286"/>
      <c r="DA107" s="286"/>
      <c r="DB107" s="286"/>
      <c r="DC107" s="286"/>
      <c r="DD107" s="286"/>
      <c r="DE107" s="286"/>
      <c r="DF107" s="286"/>
      <c r="DG107" s="286"/>
      <c r="DH107" s="286"/>
      <c r="DI107" s="286"/>
      <c r="DJ107" s="286"/>
      <c r="DK107" s="286"/>
      <c r="DL107" s="286"/>
      <c r="DM107" s="286"/>
      <c r="DN107" s="286"/>
      <c r="DO107" s="286"/>
      <c r="DP107" s="286"/>
      <c r="DQ107" s="286"/>
      <c r="DR107" s="286"/>
      <c r="DS107" s="286"/>
      <c r="DT107" s="286"/>
      <c r="DU107" s="286"/>
      <c r="DV107" s="286"/>
      <c r="DW107" s="286"/>
      <c r="DX107" s="286"/>
      <c r="DY107" s="286"/>
      <c r="DZ107" s="286"/>
      <c r="EA107" s="286"/>
      <c r="EB107" s="286"/>
      <c r="EC107" s="286"/>
      <c r="ED107" s="286"/>
      <c r="EE107" s="286"/>
      <c r="EF107" s="286"/>
      <c r="EG107" s="286"/>
      <c r="EH107" s="286"/>
      <c r="EI107" s="286"/>
      <c r="EJ107" s="286"/>
      <c r="EK107" s="286"/>
      <c r="EL107" s="286"/>
      <c r="EM107" s="286"/>
      <c r="EN107" s="286"/>
      <c r="EO107" s="286"/>
      <c r="EP107" s="286"/>
      <c r="EQ107" s="286"/>
      <c r="ER107" s="286"/>
      <c r="ES107" s="286"/>
      <c r="ET107" s="286"/>
      <c r="EU107" s="286"/>
      <c r="EV107" s="286"/>
      <c r="EW107" s="286"/>
      <c r="EX107" s="286"/>
      <c r="EY107" s="286"/>
      <c r="EZ107" s="286"/>
      <c r="FA107" s="286"/>
      <c r="FB107" s="286"/>
      <c r="FC107" s="286"/>
      <c r="FD107" s="286"/>
      <c r="FE107" s="286"/>
      <c r="FF107" s="286"/>
      <c r="FG107" s="286"/>
      <c r="FH107" s="286"/>
      <c r="FI107" s="286"/>
      <c r="FJ107" s="286"/>
      <c r="FK107" s="286"/>
      <c r="FL107" s="286"/>
      <c r="FM107" s="286"/>
      <c r="FN107" s="286"/>
      <c r="FO107" s="286"/>
      <c r="FP107" s="286"/>
      <c r="FQ107" s="286"/>
      <c r="FR107" s="286"/>
      <c r="FS107" s="286"/>
      <c r="FT107" s="286"/>
      <c r="FU107" s="286"/>
      <c r="FV107" s="286"/>
      <c r="FW107" s="286"/>
      <c r="FX107" s="286"/>
      <c r="FY107" s="286"/>
      <c r="FZ107" s="286"/>
      <c r="GA107" s="286"/>
      <c r="GB107" s="286"/>
      <c r="GC107" s="286"/>
      <c r="GD107" s="286"/>
      <c r="GE107" s="286"/>
      <c r="GF107" s="286"/>
      <c r="GG107" s="286"/>
      <c r="GH107" s="286"/>
      <c r="GI107" s="286"/>
      <c r="GJ107" s="286"/>
      <c r="GK107" s="286"/>
      <c r="GL107" s="286"/>
      <c r="GM107" s="286"/>
      <c r="GN107" s="286"/>
      <c r="GO107" s="286"/>
      <c r="GP107" s="286"/>
      <c r="GQ107" s="286"/>
      <c r="GR107" s="286"/>
      <c r="GS107" s="286"/>
      <c r="GT107" s="286"/>
      <c r="GU107" s="286"/>
      <c r="GV107" s="286"/>
      <c r="GW107" s="286"/>
      <c r="GX107" s="286"/>
      <c r="GY107" s="286"/>
      <c r="GZ107" s="286"/>
    </row>
    <row r="108" spans="1:208" ht="15">
      <c r="A108" s="287">
        <v>27</v>
      </c>
      <c r="B108" s="348">
        <v>44743</v>
      </c>
      <c r="C108" s="349">
        <v>1076469</v>
      </c>
      <c r="D108" s="289" t="s">
        <v>4387</v>
      </c>
      <c r="E108" s="349" t="s">
        <v>4279</v>
      </c>
      <c r="F108" s="349" t="s">
        <v>4275</v>
      </c>
      <c r="G108" s="349">
        <v>3179</v>
      </c>
      <c r="H108" s="349">
        <v>28</v>
      </c>
      <c r="I108" s="289">
        <v>4502363056</v>
      </c>
      <c r="J108" s="349">
        <v>3025459</v>
      </c>
      <c r="K108" s="289">
        <v>4902297570</v>
      </c>
      <c r="L108" s="289" t="s">
        <v>4252</v>
      </c>
      <c r="M108" s="290">
        <v>14588</v>
      </c>
      <c r="N108" s="289">
        <v>8750</v>
      </c>
      <c r="O108" s="291">
        <f t="shared" si="22"/>
        <v>127645000</v>
      </c>
      <c r="P108" s="289">
        <v>2</v>
      </c>
      <c r="Q108" s="289" t="s">
        <v>3455</v>
      </c>
      <c r="R108" s="289">
        <v>1040968</v>
      </c>
      <c r="S108" s="289">
        <v>3276446</v>
      </c>
      <c r="T108" s="292"/>
      <c r="U108" s="292"/>
      <c r="V108" s="292"/>
      <c r="W108" s="292"/>
      <c r="X108" s="292"/>
      <c r="Y108" s="292"/>
      <c r="Z108" s="292"/>
      <c r="AA108" s="292"/>
      <c r="AB108" s="292"/>
      <c r="AC108" s="292"/>
      <c r="AD108" s="292"/>
      <c r="AE108" s="292"/>
      <c r="AF108" s="292"/>
      <c r="AG108" s="292"/>
      <c r="AH108" s="292"/>
      <c r="AI108" s="292"/>
      <c r="AJ108" s="292"/>
      <c r="AK108" s="292"/>
      <c r="AL108" s="292"/>
      <c r="AM108" s="292"/>
      <c r="AN108" s="292"/>
      <c r="AO108" s="292"/>
      <c r="AP108" s="292"/>
      <c r="AQ108" s="292"/>
      <c r="AR108" s="292"/>
      <c r="AS108" s="292"/>
      <c r="AT108" s="292"/>
      <c r="AU108" s="292"/>
      <c r="AV108" s="292"/>
      <c r="AW108" s="292"/>
      <c r="AX108" s="292"/>
      <c r="AY108" s="292"/>
      <c r="AZ108" s="292"/>
      <c r="BA108" s="292"/>
      <c r="BB108" s="292"/>
      <c r="BC108" s="292"/>
      <c r="BD108" s="292"/>
      <c r="BE108" s="292"/>
      <c r="BF108" s="292"/>
      <c r="BG108" s="292"/>
      <c r="BH108" s="292"/>
      <c r="BI108" s="292"/>
      <c r="BJ108" s="292"/>
      <c r="BK108" s="292"/>
      <c r="BL108" s="292"/>
      <c r="BM108" s="292"/>
      <c r="BN108" s="292"/>
      <c r="BO108" s="292"/>
      <c r="BP108" s="292"/>
      <c r="BQ108" s="292"/>
      <c r="BR108" s="292"/>
      <c r="BS108" s="292"/>
      <c r="BT108" s="292"/>
      <c r="BU108" s="292"/>
      <c r="BV108" s="292"/>
      <c r="BW108" s="292"/>
      <c r="BX108" s="292"/>
      <c r="BY108" s="292"/>
      <c r="BZ108" s="292"/>
      <c r="CA108" s="292"/>
      <c r="CB108" s="292"/>
      <c r="CC108" s="292"/>
      <c r="CD108" s="292"/>
      <c r="CE108" s="292"/>
      <c r="CF108" s="292"/>
      <c r="CG108" s="292"/>
      <c r="CH108" s="292"/>
      <c r="CI108" s="292"/>
      <c r="CJ108" s="292"/>
      <c r="CK108" s="292"/>
      <c r="CL108" s="292"/>
      <c r="CM108" s="292"/>
      <c r="CN108" s="292"/>
      <c r="CO108" s="292"/>
      <c r="CP108" s="292"/>
      <c r="CQ108" s="292"/>
      <c r="CR108" s="292"/>
      <c r="CS108" s="292"/>
      <c r="CT108" s="292"/>
      <c r="CU108" s="292"/>
      <c r="CV108" s="292"/>
      <c r="CW108" s="292"/>
      <c r="CX108" s="292"/>
      <c r="CY108" s="292"/>
      <c r="CZ108" s="292"/>
      <c r="DA108" s="292"/>
      <c r="DB108" s="292"/>
      <c r="DC108" s="292"/>
      <c r="DD108" s="292"/>
      <c r="DE108" s="292"/>
      <c r="DF108" s="292"/>
      <c r="DG108" s="292"/>
      <c r="DH108" s="292"/>
      <c r="DI108" s="292"/>
      <c r="DJ108" s="292"/>
      <c r="DK108" s="292"/>
      <c r="DL108" s="292"/>
      <c r="DM108" s="292"/>
      <c r="DN108" s="292"/>
      <c r="DO108" s="292"/>
      <c r="DP108" s="292"/>
      <c r="DQ108" s="292"/>
      <c r="DR108" s="292"/>
      <c r="DS108" s="292"/>
      <c r="DT108" s="292"/>
      <c r="DU108" s="292"/>
      <c r="DV108" s="292"/>
      <c r="DW108" s="292"/>
      <c r="DX108" s="292"/>
      <c r="DY108" s="292"/>
      <c r="DZ108" s="292"/>
      <c r="EA108" s="292"/>
      <c r="EB108" s="292"/>
      <c r="EC108" s="292"/>
      <c r="ED108" s="292"/>
      <c r="EE108" s="292"/>
      <c r="EF108" s="292"/>
      <c r="EG108" s="292"/>
      <c r="EH108" s="292"/>
      <c r="EI108" s="292"/>
      <c r="EJ108" s="292"/>
      <c r="EK108" s="292"/>
      <c r="EL108" s="292"/>
      <c r="EM108" s="292"/>
      <c r="EN108" s="292"/>
      <c r="EO108" s="292"/>
      <c r="EP108" s="292"/>
      <c r="EQ108" s="292"/>
      <c r="ER108" s="292"/>
      <c r="ES108" s="292"/>
      <c r="ET108" s="292"/>
      <c r="EU108" s="292"/>
      <c r="EV108" s="292"/>
      <c r="EW108" s="292"/>
      <c r="EX108" s="292"/>
      <c r="EY108" s="292"/>
      <c r="EZ108" s="292"/>
      <c r="FA108" s="292"/>
      <c r="FB108" s="292"/>
      <c r="FC108" s="292"/>
      <c r="FD108" s="292"/>
      <c r="FE108" s="292"/>
      <c r="FF108" s="292"/>
      <c r="FG108" s="292"/>
      <c r="FH108" s="292"/>
      <c r="FI108" s="292"/>
      <c r="FJ108" s="292"/>
      <c r="FK108" s="292"/>
      <c r="FL108" s="292"/>
      <c r="FM108" s="292"/>
      <c r="FN108" s="292"/>
      <c r="FO108" s="292"/>
      <c r="FP108" s="292"/>
      <c r="FQ108" s="292"/>
      <c r="FR108" s="292"/>
      <c r="FS108" s="292"/>
      <c r="FT108" s="292"/>
      <c r="FU108" s="292"/>
      <c r="FV108" s="292"/>
      <c r="FW108" s="292"/>
      <c r="FX108" s="292"/>
      <c r="FY108" s="292"/>
      <c r="FZ108" s="292"/>
      <c r="GA108" s="292"/>
      <c r="GB108" s="292"/>
      <c r="GC108" s="292"/>
      <c r="GD108" s="292"/>
      <c r="GE108" s="292"/>
      <c r="GF108" s="292"/>
      <c r="GG108" s="292"/>
      <c r="GH108" s="292"/>
      <c r="GI108" s="292"/>
      <c r="GJ108" s="292"/>
      <c r="GK108" s="292"/>
      <c r="GL108" s="292"/>
      <c r="GM108" s="292"/>
      <c r="GN108" s="292"/>
      <c r="GO108" s="292"/>
      <c r="GP108" s="292"/>
      <c r="GQ108" s="292"/>
      <c r="GR108" s="292"/>
      <c r="GS108" s="292"/>
      <c r="GT108" s="292"/>
      <c r="GU108" s="292"/>
      <c r="GV108" s="292"/>
      <c r="GW108" s="292"/>
      <c r="GX108" s="292"/>
      <c r="GY108" s="292"/>
      <c r="GZ108" s="292"/>
    </row>
    <row r="109" spans="1:208" ht="15">
      <c r="A109" s="287">
        <v>27</v>
      </c>
      <c r="B109" s="348">
        <v>44744</v>
      </c>
      <c r="C109" s="349">
        <v>1076473</v>
      </c>
      <c r="D109" s="289" t="s">
        <v>4388</v>
      </c>
      <c r="E109" s="349" t="s">
        <v>4389</v>
      </c>
      <c r="F109" s="349" t="s">
        <v>4251</v>
      </c>
      <c r="G109" s="349">
        <v>3149</v>
      </c>
      <c r="H109" s="349">
        <v>28</v>
      </c>
      <c r="I109" s="289">
        <v>4502363709</v>
      </c>
      <c r="J109" s="349">
        <v>3025457</v>
      </c>
      <c r="K109" s="289">
        <v>4902298847</v>
      </c>
      <c r="L109" s="289" t="s">
        <v>4252</v>
      </c>
      <c r="M109" s="290">
        <v>14705</v>
      </c>
      <c r="N109" s="289">
        <v>8750</v>
      </c>
      <c r="O109" s="291">
        <f t="shared" si="22"/>
        <v>128668750</v>
      </c>
      <c r="P109" s="289">
        <v>2</v>
      </c>
      <c r="Q109" s="289" t="s">
        <v>3455</v>
      </c>
      <c r="R109" s="289">
        <v>1040968</v>
      </c>
      <c r="S109" s="289">
        <v>3297600</v>
      </c>
      <c r="T109" s="292"/>
      <c r="U109" s="292"/>
      <c r="V109" s="292"/>
      <c r="W109" s="292"/>
      <c r="X109" s="292"/>
      <c r="Y109" s="292"/>
      <c r="Z109" s="292"/>
      <c r="AA109" s="292"/>
      <c r="AB109" s="292"/>
      <c r="AC109" s="292"/>
      <c r="AD109" s="292"/>
      <c r="AE109" s="292"/>
      <c r="AF109" s="292"/>
      <c r="AG109" s="292"/>
      <c r="AH109" s="292"/>
      <c r="AI109" s="292"/>
      <c r="AJ109" s="292"/>
      <c r="AK109" s="292"/>
      <c r="AL109" s="292"/>
      <c r="AM109" s="292"/>
      <c r="AN109" s="292"/>
      <c r="AO109" s="292"/>
      <c r="AP109" s="292"/>
      <c r="AQ109" s="292"/>
      <c r="AR109" s="292"/>
      <c r="AS109" s="292"/>
      <c r="AT109" s="292"/>
      <c r="AU109" s="292"/>
      <c r="AV109" s="292"/>
      <c r="AW109" s="292"/>
      <c r="AX109" s="292"/>
      <c r="AY109" s="292"/>
      <c r="AZ109" s="292"/>
      <c r="BA109" s="292"/>
      <c r="BB109" s="292"/>
      <c r="BC109" s="292"/>
      <c r="BD109" s="292"/>
      <c r="BE109" s="292"/>
      <c r="BF109" s="292"/>
      <c r="BG109" s="292"/>
      <c r="BH109" s="292"/>
      <c r="BI109" s="292"/>
      <c r="BJ109" s="292"/>
      <c r="BK109" s="292"/>
      <c r="BL109" s="292"/>
      <c r="BM109" s="292"/>
      <c r="BN109" s="292"/>
      <c r="BO109" s="292"/>
      <c r="BP109" s="292"/>
      <c r="BQ109" s="292"/>
      <c r="BR109" s="292"/>
      <c r="BS109" s="292"/>
      <c r="BT109" s="292"/>
      <c r="BU109" s="292"/>
      <c r="BV109" s="292"/>
      <c r="BW109" s="292"/>
      <c r="BX109" s="292"/>
      <c r="BY109" s="292"/>
      <c r="BZ109" s="292"/>
      <c r="CA109" s="292"/>
      <c r="CB109" s="292"/>
      <c r="CC109" s="292"/>
      <c r="CD109" s="292"/>
      <c r="CE109" s="292"/>
      <c r="CF109" s="292"/>
      <c r="CG109" s="292"/>
      <c r="CH109" s="292"/>
      <c r="CI109" s="292"/>
      <c r="CJ109" s="292"/>
      <c r="CK109" s="292"/>
      <c r="CL109" s="292"/>
      <c r="CM109" s="292"/>
      <c r="CN109" s="292"/>
      <c r="CO109" s="292"/>
      <c r="CP109" s="292"/>
      <c r="CQ109" s="292"/>
      <c r="CR109" s="292"/>
      <c r="CS109" s="292"/>
      <c r="CT109" s="292"/>
      <c r="CU109" s="292"/>
      <c r="CV109" s="292"/>
      <c r="CW109" s="292"/>
      <c r="CX109" s="292"/>
      <c r="CY109" s="292"/>
      <c r="CZ109" s="292"/>
      <c r="DA109" s="292"/>
      <c r="DB109" s="292"/>
      <c r="DC109" s="292"/>
      <c r="DD109" s="292"/>
      <c r="DE109" s="292"/>
      <c r="DF109" s="292"/>
      <c r="DG109" s="292"/>
      <c r="DH109" s="292"/>
      <c r="DI109" s="292"/>
      <c r="DJ109" s="292"/>
      <c r="DK109" s="292"/>
      <c r="DL109" s="292"/>
      <c r="DM109" s="292"/>
      <c r="DN109" s="292"/>
      <c r="DO109" s="292"/>
      <c r="DP109" s="292"/>
      <c r="DQ109" s="292"/>
      <c r="DR109" s="292"/>
      <c r="DS109" s="292"/>
      <c r="DT109" s="292"/>
      <c r="DU109" s="292"/>
      <c r="DV109" s="292"/>
      <c r="DW109" s="292"/>
      <c r="DX109" s="292"/>
      <c r="DY109" s="292"/>
      <c r="DZ109" s="292"/>
      <c r="EA109" s="292"/>
      <c r="EB109" s="292"/>
      <c r="EC109" s="292"/>
      <c r="ED109" s="292"/>
      <c r="EE109" s="292"/>
      <c r="EF109" s="292"/>
      <c r="EG109" s="292"/>
      <c r="EH109" s="292"/>
      <c r="EI109" s="292"/>
      <c r="EJ109" s="292"/>
      <c r="EK109" s="292"/>
      <c r="EL109" s="292"/>
      <c r="EM109" s="292"/>
      <c r="EN109" s="292"/>
      <c r="EO109" s="292"/>
      <c r="EP109" s="292"/>
      <c r="EQ109" s="292"/>
      <c r="ER109" s="292"/>
      <c r="ES109" s="292"/>
      <c r="ET109" s="292"/>
      <c r="EU109" s="292"/>
      <c r="EV109" s="292"/>
      <c r="EW109" s="292"/>
      <c r="EX109" s="292"/>
      <c r="EY109" s="292"/>
      <c r="EZ109" s="292"/>
      <c r="FA109" s="292"/>
      <c r="FB109" s="292"/>
      <c r="FC109" s="292"/>
      <c r="FD109" s="292"/>
      <c r="FE109" s="292"/>
      <c r="FF109" s="292"/>
      <c r="FG109" s="292"/>
      <c r="FH109" s="292"/>
      <c r="FI109" s="292"/>
      <c r="FJ109" s="292"/>
      <c r="FK109" s="292"/>
      <c r="FL109" s="292"/>
      <c r="FM109" s="292"/>
      <c r="FN109" s="292"/>
      <c r="FO109" s="292"/>
      <c r="FP109" s="292"/>
      <c r="FQ109" s="292"/>
      <c r="FR109" s="292"/>
      <c r="FS109" s="292"/>
      <c r="FT109" s="292"/>
      <c r="FU109" s="292"/>
      <c r="FV109" s="292"/>
      <c r="FW109" s="292"/>
      <c r="FX109" s="292"/>
      <c r="FY109" s="292"/>
      <c r="FZ109" s="292"/>
      <c r="GA109" s="292"/>
      <c r="GB109" s="292"/>
      <c r="GC109" s="292"/>
      <c r="GD109" s="292"/>
      <c r="GE109" s="292"/>
      <c r="GF109" s="292"/>
      <c r="GG109" s="292"/>
      <c r="GH109" s="292"/>
      <c r="GI109" s="292"/>
      <c r="GJ109" s="292"/>
      <c r="GK109" s="292"/>
      <c r="GL109" s="292"/>
      <c r="GM109" s="292"/>
      <c r="GN109" s="292"/>
      <c r="GO109" s="292"/>
      <c r="GP109" s="292"/>
      <c r="GQ109" s="292"/>
      <c r="GR109" s="292"/>
      <c r="GS109" s="292"/>
      <c r="GT109" s="292"/>
      <c r="GU109" s="292"/>
      <c r="GV109" s="292"/>
      <c r="GW109" s="292"/>
      <c r="GX109" s="292"/>
      <c r="GY109" s="292"/>
      <c r="GZ109" s="292"/>
    </row>
    <row r="110" spans="1:208" ht="15">
      <c r="A110" s="287">
        <v>27</v>
      </c>
      <c r="B110" s="348">
        <v>44745</v>
      </c>
      <c r="C110" s="349">
        <v>1053331</v>
      </c>
      <c r="D110" s="289" t="s">
        <v>4390</v>
      </c>
      <c r="E110" s="349" t="s">
        <v>4263</v>
      </c>
      <c r="F110" s="349" t="s">
        <v>4251</v>
      </c>
      <c r="G110" s="349">
        <v>3178</v>
      </c>
      <c r="H110" s="349">
        <v>42</v>
      </c>
      <c r="I110" s="289">
        <v>4502363711</v>
      </c>
      <c r="J110" s="349">
        <v>3025457</v>
      </c>
      <c r="K110" s="289">
        <v>4902298849</v>
      </c>
      <c r="L110" s="289" t="s">
        <v>4252</v>
      </c>
      <c r="M110" s="290">
        <v>20122</v>
      </c>
      <c r="N110" s="289">
        <v>8750</v>
      </c>
      <c r="O110" s="291">
        <f t="shared" si="22"/>
        <v>176067500</v>
      </c>
      <c r="P110" s="289" t="s">
        <v>4265</v>
      </c>
      <c r="Q110" s="289" t="s">
        <v>4266</v>
      </c>
      <c r="R110" s="289">
        <v>1004892</v>
      </c>
      <c r="S110" s="289">
        <v>4792500</v>
      </c>
      <c r="T110" s="292"/>
      <c r="U110" s="292"/>
      <c r="V110" s="292"/>
      <c r="W110" s="292"/>
      <c r="X110" s="292"/>
      <c r="Y110" s="292"/>
      <c r="Z110" s="292"/>
      <c r="AA110" s="292"/>
      <c r="AB110" s="292"/>
      <c r="AC110" s="292"/>
      <c r="AD110" s="292"/>
      <c r="AE110" s="292"/>
      <c r="AF110" s="292"/>
      <c r="AG110" s="292"/>
      <c r="AH110" s="292"/>
      <c r="AI110" s="292"/>
      <c r="AJ110" s="292"/>
      <c r="AK110" s="292"/>
      <c r="AL110" s="292"/>
      <c r="AM110" s="292"/>
      <c r="AN110" s="292"/>
      <c r="AO110" s="292"/>
      <c r="AP110" s="292"/>
      <c r="AQ110" s="292"/>
      <c r="AR110" s="292"/>
      <c r="AS110" s="292"/>
      <c r="AT110" s="292"/>
      <c r="AU110" s="292"/>
      <c r="AV110" s="292"/>
      <c r="AW110" s="292"/>
      <c r="AX110" s="292"/>
      <c r="AY110" s="292"/>
      <c r="AZ110" s="292"/>
      <c r="BA110" s="292"/>
      <c r="BB110" s="292"/>
      <c r="BC110" s="292"/>
      <c r="BD110" s="292"/>
      <c r="BE110" s="292"/>
      <c r="BF110" s="292"/>
      <c r="BG110" s="292"/>
      <c r="BH110" s="292"/>
      <c r="BI110" s="292"/>
      <c r="BJ110" s="292"/>
      <c r="BK110" s="292"/>
      <c r="BL110" s="292"/>
      <c r="BM110" s="292"/>
      <c r="BN110" s="292"/>
      <c r="BO110" s="292"/>
      <c r="BP110" s="292"/>
      <c r="BQ110" s="292"/>
      <c r="BR110" s="292"/>
      <c r="BS110" s="292"/>
      <c r="BT110" s="292"/>
      <c r="BU110" s="292"/>
      <c r="BV110" s="292"/>
      <c r="BW110" s="292"/>
      <c r="BX110" s="292"/>
      <c r="BY110" s="292"/>
      <c r="BZ110" s="292"/>
      <c r="CA110" s="292"/>
      <c r="CB110" s="292"/>
      <c r="CC110" s="292"/>
      <c r="CD110" s="292"/>
      <c r="CE110" s="292"/>
      <c r="CF110" s="292"/>
      <c r="CG110" s="292"/>
      <c r="CH110" s="292"/>
      <c r="CI110" s="292"/>
      <c r="CJ110" s="292"/>
      <c r="CK110" s="292"/>
      <c r="CL110" s="292"/>
      <c r="CM110" s="292"/>
      <c r="CN110" s="292"/>
      <c r="CO110" s="292"/>
      <c r="CP110" s="292"/>
      <c r="CQ110" s="292"/>
      <c r="CR110" s="292"/>
      <c r="CS110" s="292"/>
      <c r="CT110" s="292"/>
      <c r="CU110" s="292"/>
      <c r="CV110" s="292"/>
      <c r="CW110" s="292"/>
      <c r="CX110" s="292"/>
      <c r="CY110" s="292"/>
      <c r="CZ110" s="292"/>
      <c r="DA110" s="292"/>
      <c r="DB110" s="292"/>
      <c r="DC110" s="292"/>
      <c r="DD110" s="292"/>
      <c r="DE110" s="292"/>
      <c r="DF110" s="292"/>
      <c r="DG110" s="292"/>
      <c r="DH110" s="292"/>
      <c r="DI110" s="292"/>
      <c r="DJ110" s="292"/>
      <c r="DK110" s="292"/>
      <c r="DL110" s="292"/>
      <c r="DM110" s="292"/>
      <c r="DN110" s="292"/>
      <c r="DO110" s="292"/>
      <c r="DP110" s="292"/>
      <c r="DQ110" s="292"/>
      <c r="DR110" s="292"/>
      <c r="DS110" s="292"/>
      <c r="DT110" s="292"/>
      <c r="DU110" s="292"/>
      <c r="DV110" s="292"/>
      <c r="DW110" s="292"/>
      <c r="DX110" s="292"/>
      <c r="DY110" s="292"/>
      <c r="DZ110" s="292"/>
      <c r="EA110" s="292"/>
      <c r="EB110" s="292"/>
      <c r="EC110" s="292"/>
      <c r="ED110" s="292"/>
      <c r="EE110" s="292"/>
      <c r="EF110" s="292"/>
      <c r="EG110" s="292"/>
      <c r="EH110" s="292"/>
      <c r="EI110" s="292"/>
      <c r="EJ110" s="292"/>
      <c r="EK110" s="292"/>
      <c r="EL110" s="292"/>
      <c r="EM110" s="292"/>
      <c r="EN110" s="292"/>
      <c r="EO110" s="292"/>
      <c r="EP110" s="292"/>
      <c r="EQ110" s="292"/>
      <c r="ER110" s="292"/>
      <c r="ES110" s="292"/>
      <c r="ET110" s="292"/>
      <c r="EU110" s="292"/>
      <c r="EV110" s="292"/>
      <c r="EW110" s="292"/>
      <c r="EX110" s="292"/>
      <c r="EY110" s="292"/>
      <c r="EZ110" s="292"/>
      <c r="FA110" s="292"/>
      <c r="FB110" s="292"/>
      <c r="FC110" s="292"/>
      <c r="FD110" s="292"/>
      <c r="FE110" s="292"/>
      <c r="FF110" s="292"/>
      <c r="FG110" s="292"/>
      <c r="FH110" s="292"/>
      <c r="FI110" s="292"/>
      <c r="FJ110" s="292"/>
      <c r="FK110" s="292"/>
      <c r="FL110" s="292"/>
      <c r="FM110" s="292"/>
      <c r="FN110" s="292"/>
      <c r="FO110" s="292"/>
      <c r="FP110" s="292"/>
      <c r="FQ110" s="292"/>
      <c r="FR110" s="292"/>
      <c r="FS110" s="292"/>
      <c r="FT110" s="292"/>
      <c r="FU110" s="292"/>
      <c r="FV110" s="292"/>
      <c r="FW110" s="292"/>
      <c r="FX110" s="292"/>
      <c r="FY110" s="292"/>
      <c r="FZ110" s="292"/>
      <c r="GA110" s="292"/>
      <c r="GB110" s="292"/>
      <c r="GC110" s="292"/>
      <c r="GD110" s="292"/>
      <c r="GE110" s="292"/>
      <c r="GF110" s="292"/>
      <c r="GG110" s="292"/>
      <c r="GH110" s="292"/>
      <c r="GI110" s="292"/>
      <c r="GJ110" s="292"/>
      <c r="GK110" s="292"/>
      <c r="GL110" s="292"/>
      <c r="GM110" s="292"/>
      <c r="GN110" s="292"/>
      <c r="GO110" s="292"/>
      <c r="GP110" s="292"/>
      <c r="GQ110" s="292"/>
      <c r="GR110" s="292"/>
      <c r="GS110" s="292"/>
      <c r="GT110" s="292"/>
      <c r="GU110" s="292"/>
      <c r="GV110" s="292"/>
      <c r="GW110" s="292"/>
      <c r="GX110" s="292"/>
      <c r="GY110" s="292"/>
      <c r="GZ110" s="292"/>
    </row>
    <row r="111" spans="1:208" ht="15">
      <c r="A111" s="287">
        <v>27</v>
      </c>
      <c r="B111" s="348">
        <v>44747</v>
      </c>
      <c r="C111" s="349">
        <v>1053331</v>
      </c>
      <c r="D111" s="289" t="s">
        <v>4391</v>
      </c>
      <c r="E111" s="349" t="s">
        <v>4263</v>
      </c>
      <c r="F111" s="349" t="s">
        <v>4251</v>
      </c>
      <c r="G111" s="349">
        <v>3178</v>
      </c>
      <c r="H111" s="349">
        <v>42</v>
      </c>
      <c r="I111" s="304">
        <v>4502364997</v>
      </c>
      <c r="J111" s="329">
        <v>3025457</v>
      </c>
      <c r="K111" s="304">
        <v>4902298853</v>
      </c>
      <c r="L111" s="304" t="s">
        <v>4252</v>
      </c>
      <c r="M111" s="309">
        <v>20175</v>
      </c>
      <c r="N111" s="289">
        <v>8750</v>
      </c>
      <c r="O111" s="291">
        <f t="shared" si="22"/>
        <v>176531250</v>
      </c>
      <c r="P111" s="289" t="s">
        <v>4265</v>
      </c>
      <c r="Q111" s="289" t="s">
        <v>4266</v>
      </c>
      <c r="R111" s="289">
        <v>1004892</v>
      </c>
      <c r="S111" s="289">
        <v>4792500</v>
      </c>
      <c r="T111" s="292"/>
      <c r="U111" s="292"/>
      <c r="V111" s="292"/>
      <c r="W111" s="292"/>
      <c r="X111" s="292"/>
      <c r="Y111" s="292"/>
      <c r="Z111" s="292"/>
      <c r="AA111" s="292"/>
      <c r="AB111" s="292"/>
      <c r="AC111" s="292"/>
      <c r="AD111" s="292"/>
      <c r="AE111" s="292"/>
      <c r="AF111" s="292"/>
      <c r="AG111" s="292"/>
      <c r="AH111" s="292"/>
      <c r="AI111" s="292"/>
      <c r="AJ111" s="292"/>
      <c r="AK111" s="292"/>
      <c r="AL111" s="292"/>
      <c r="AM111" s="292"/>
      <c r="AN111" s="292"/>
      <c r="AO111" s="292"/>
      <c r="AP111" s="292"/>
      <c r="AQ111" s="292"/>
      <c r="AR111" s="292"/>
      <c r="AS111" s="292"/>
      <c r="AT111" s="292"/>
      <c r="AU111" s="292"/>
      <c r="AV111" s="292"/>
      <c r="AW111" s="292"/>
      <c r="AX111" s="292"/>
      <c r="AY111" s="292"/>
      <c r="AZ111" s="292"/>
      <c r="BA111" s="292"/>
      <c r="BB111" s="292"/>
      <c r="BC111" s="292"/>
      <c r="BD111" s="292"/>
      <c r="BE111" s="292"/>
      <c r="BF111" s="292"/>
      <c r="BG111" s="292"/>
      <c r="BH111" s="292"/>
      <c r="BI111" s="292"/>
      <c r="BJ111" s="292"/>
      <c r="BK111" s="292"/>
      <c r="BL111" s="292"/>
      <c r="BM111" s="292"/>
      <c r="BN111" s="292"/>
      <c r="BO111" s="292"/>
      <c r="BP111" s="292"/>
      <c r="BQ111" s="292"/>
      <c r="BR111" s="292"/>
      <c r="BS111" s="292"/>
      <c r="BT111" s="292"/>
      <c r="BU111" s="292"/>
      <c r="BV111" s="292"/>
      <c r="BW111" s="292"/>
      <c r="BX111" s="292"/>
      <c r="BY111" s="292"/>
      <c r="BZ111" s="292"/>
      <c r="CA111" s="292"/>
      <c r="CB111" s="292"/>
      <c r="CC111" s="292"/>
      <c r="CD111" s="292"/>
      <c r="CE111" s="292"/>
      <c r="CF111" s="292"/>
      <c r="CG111" s="292"/>
      <c r="CH111" s="292"/>
      <c r="CI111" s="292"/>
      <c r="CJ111" s="292"/>
      <c r="CK111" s="292"/>
      <c r="CL111" s="292"/>
      <c r="CM111" s="292"/>
      <c r="CN111" s="292"/>
      <c r="CO111" s="292"/>
      <c r="CP111" s="292"/>
      <c r="CQ111" s="292"/>
      <c r="CR111" s="292"/>
      <c r="CS111" s="292"/>
      <c r="CT111" s="292"/>
      <c r="CU111" s="292"/>
      <c r="CV111" s="292"/>
      <c r="CW111" s="292"/>
      <c r="CX111" s="292"/>
      <c r="CY111" s="292"/>
      <c r="CZ111" s="292"/>
      <c r="DA111" s="292"/>
      <c r="DB111" s="292"/>
      <c r="DC111" s="292"/>
      <c r="DD111" s="292"/>
      <c r="DE111" s="292"/>
      <c r="DF111" s="292"/>
      <c r="DG111" s="292"/>
      <c r="DH111" s="292"/>
      <c r="DI111" s="292"/>
      <c r="DJ111" s="292"/>
      <c r="DK111" s="292"/>
      <c r="DL111" s="292"/>
      <c r="DM111" s="292"/>
      <c r="DN111" s="292"/>
      <c r="DO111" s="292"/>
      <c r="DP111" s="292"/>
      <c r="DQ111" s="292"/>
      <c r="DR111" s="292"/>
      <c r="DS111" s="292"/>
      <c r="DT111" s="292"/>
      <c r="DU111" s="292"/>
      <c r="DV111" s="292"/>
      <c r="DW111" s="292"/>
      <c r="DX111" s="292"/>
      <c r="DY111" s="292"/>
      <c r="DZ111" s="292"/>
      <c r="EA111" s="292"/>
      <c r="EB111" s="292"/>
      <c r="EC111" s="292"/>
      <c r="ED111" s="292"/>
      <c r="EE111" s="292"/>
      <c r="EF111" s="292"/>
      <c r="EG111" s="292"/>
      <c r="EH111" s="292"/>
      <c r="EI111" s="292"/>
      <c r="EJ111" s="292"/>
      <c r="EK111" s="292"/>
      <c r="EL111" s="292"/>
      <c r="EM111" s="292"/>
      <c r="EN111" s="292"/>
      <c r="EO111" s="292"/>
      <c r="EP111" s="292"/>
      <c r="EQ111" s="292"/>
      <c r="ER111" s="292"/>
      <c r="ES111" s="292"/>
      <c r="ET111" s="292"/>
      <c r="EU111" s="292"/>
      <c r="EV111" s="292"/>
      <c r="EW111" s="292"/>
      <c r="EX111" s="292"/>
      <c r="EY111" s="292"/>
      <c r="EZ111" s="292"/>
      <c r="FA111" s="292"/>
      <c r="FB111" s="292"/>
      <c r="FC111" s="292"/>
      <c r="FD111" s="292"/>
      <c r="FE111" s="292"/>
      <c r="FF111" s="292"/>
      <c r="FG111" s="292"/>
      <c r="FH111" s="292"/>
      <c r="FI111" s="292"/>
      <c r="FJ111" s="292"/>
      <c r="FK111" s="292"/>
      <c r="FL111" s="292"/>
      <c r="FM111" s="292"/>
      <c r="FN111" s="292"/>
      <c r="FO111" s="292"/>
      <c r="FP111" s="292"/>
      <c r="FQ111" s="292"/>
      <c r="FR111" s="292"/>
      <c r="FS111" s="292"/>
      <c r="FT111" s="292"/>
      <c r="FU111" s="292"/>
      <c r="FV111" s="292"/>
      <c r="FW111" s="292"/>
      <c r="FX111" s="292"/>
      <c r="FY111" s="292"/>
      <c r="FZ111" s="292"/>
      <c r="GA111" s="292"/>
      <c r="GB111" s="292"/>
      <c r="GC111" s="292"/>
      <c r="GD111" s="292"/>
      <c r="GE111" s="292"/>
      <c r="GF111" s="292"/>
      <c r="GG111" s="292"/>
      <c r="GH111" s="292"/>
      <c r="GI111" s="292"/>
      <c r="GJ111" s="292"/>
      <c r="GK111" s="292"/>
      <c r="GL111" s="292"/>
      <c r="GM111" s="292"/>
      <c r="GN111" s="292"/>
      <c r="GO111" s="292"/>
      <c r="GP111" s="292"/>
      <c r="GQ111" s="292"/>
      <c r="GR111" s="292"/>
      <c r="GS111" s="292"/>
      <c r="GT111" s="292"/>
      <c r="GU111" s="292"/>
      <c r="GV111" s="292"/>
      <c r="GW111" s="292"/>
      <c r="GX111" s="292"/>
      <c r="GY111" s="292"/>
      <c r="GZ111" s="292"/>
    </row>
    <row r="112" spans="1:208" ht="15">
      <c r="A112" s="287">
        <v>27</v>
      </c>
      <c r="B112" s="348">
        <v>44747</v>
      </c>
      <c r="C112" s="349">
        <v>1093247</v>
      </c>
      <c r="D112" s="289" t="s">
        <v>4392</v>
      </c>
      <c r="E112" s="349" t="s">
        <v>4270</v>
      </c>
      <c r="F112" s="349" t="s">
        <v>4251</v>
      </c>
      <c r="G112" s="349">
        <v>3190</v>
      </c>
      <c r="H112" s="349">
        <v>28</v>
      </c>
      <c r="I112" s="289">
        <v>4502364669</v>
      </c>
      <c r="J112" s="349">
        <v>3025457</v>
      </c>
      <c r="K112" s="289">
        <v>4902298854</v>
      </c>
      <c r="L112" s="289" t="s">
        <v>4252</v>
      </c>
      <c r="M112" s="290">
        <v>13847</v>
      </c>
      <c r="N112" s="289">
        <v>8750</v>
      </c>
      <c r="O112" s="291">
        <f t="shared" si="22"/>
        <v>121161250</v>
      </c>
      <c r="P112" s="289">
        <v>2</v>
      </c>
      <c r="Q112" s="289" t="s">
        <v>3455</v>
      </c>
      <c r="R112" s="289">
        <v>1040968</v>
      </c>
      <c r="S112" s="289">
        <v>3587800</v>
      </c>
      <c r="T112" s="292"/>
      <c r="U112" s="292"/>
      <c r="V112" s="292"/>
      <c r="W112" s="292"/>
      <c r="X112" s="292"/>
      <c r="Y112" s="292"/>
      <c r="Z112" s="292"/>
      <c r="AA112" s="292"/>
      <c r="AB112" s="292"/>
      <c r="AC112" s="292"/>
      <c r="AD112" s="292"/>
      <c r="AE112" s="292"/>
      <c r="AF112" s="292"/>
      <c r="AG112" s="292"/>
      <c r="AH112" s="292"/>
      <c r="AI112" s="292"/>
      <c r="AJ112" s="292"/>
      <c r="AK112" s="292"/>
      <c r="AL112" s="292"/>
      <c r="AM112" s="292"/>
      <c r="AN112" s="292"/>
      <c r="AO112" s="292"/>
      <c r="AP112" s="292"/>
      <c r="AQ112" s="292"/>
      <c r="AR112" s="292"/>
      <c r="AS112" s="292"/>
      <c r="AT112" s="292"/>
      <c r="AU112" s="292"/>
      <c r="AV112" s="292"/>
      <c r="AW112" s="292"/>
      <c r="AX112" s="292"/>
      <c r="AY112" s="292"/>
      <c r="AZ112" s="292"/>
      <c r="BA112" s="292"/>
      <c r="BB112" s="292"/>
      <c r="BC112" s="292"/>
      <c r="BD112" s="292"/>
      <c r="BE112" s="292"/>
      <c r="BF112" s="292"/>
      <c r="BG112" s="292"/>
      <c r="BH112" s="292"/>
      <c r="BI112" s="292"/>
      <c r="BJ112" s="292"/>
      <c r="BK112" s="292"/>
      <c r="BL112" s="292"/>
      <c r="BM112" s="292"/>
      <c r="BN112" s="292"/>
      <c r="BO112" s="292"/>
      <c r="BP112" s="292"/>
      <c r="BQ112" s="292"/>
      <c r="BR112" s="292"/>
      <c r="BS112" s="292"/>
      <c r="BT112" s="292"/>
      <c r="BU112" s="292"/>
      <c r="BV112" s="292"/>
      <c r="BW112" s="292"/>
      <c r="BX112" s="292"/>
      <c r="BY112" s="292"/>
      <c r="BZ112" s="292"/>
      <c r="CA112" s="292"/>
      <c r="CB112" s="292"/>
      <c r="CC112" s="292"/>
      <c r="CD112" s="292"/>
      <c r="CE112" s="292"/>
      <c r="CF112" s="292"/>
      <c r="CG112" s="292"/>
      <c r="CH112" s="292"/>
      <c r="CI112" s="292"/>
      <c r="CJ112" s="292"/>
      <c r="CK112" s="292"/>
      <c r="CL112" s="292"/>
      <c r="CM112" s="292"/>
      <c r="CN112" s="292"/>
      <c r="CO112" s="292"/>
      <c r="CP112" s="292"/>
      <c r="CQ112" s="292"/>
      <c r="CR112" s="292"/>
      <c r="CS112" s="292"/>
      <c r="CT112" s="292"/>
      <c r="CU112" s="292"/>
      <c r="CV112" s="292"/>
      <c r="CW112" s="292"/>
      <c r="CX112" s="292"/>
      <c r="CY112" s="292"/>
      <c r="CZ112" s="292"/>
      <c r="DA112" s="292"/>
      <c r="DB112" s="292"/>
      <c r="DC112" s="292"/>
      <c r="DD112" s="292"/>
      <c r="DE112" s="292"/>
      <c r="DF112" s="292"/>
      <c r="DG112" s="292"/>
      <c r="DH112" s="292"/>
      <c r="DI112" s="292"/>
      <c r="DJ112" s="292"/>
      <c r="DK112" s="292"/>
      <c r="DL112" s="292"/>
      <c r="DM112" s="292"/>
      <c r="DN112" s="292"/>
      <c r="DO112" s="292"/>
      <c r="DP112" s="292"/>
      <c r="DQ112" s="292"/>
      <c r="DR112" s="292"/>
      <c r="DS112" s="292"/>
      <c r="DT112" s="292"/>
      <c r="DU112" s="292"/>
      <c r="DV112" s="292"/>
      <c r="DW112" s="292"/>
      <c r="DX112" s="292"/>
      <c r="DY112" s="292"/>
      <c r="DZ112" s="292"/>
      <c r="EA112" s="292"/>
      <c r="EB112" s="292"/>
      <c r="EC112" s="292"/>
      <c r="ED112" s="292"/>
      <c r="EE112" s="292"/>
      <c r="EF112" s="292"/>
      <c r="EG112" s="292"/>
      <c r="EH112" s="292"/>
      <c r="EI112" s="292"/>
      <c r="EJ112" s="292"/>
      <c r="EK112" s="292"/>
      <c r="EL112" s="292"/>
      <c r="EM112" s="292"/>
      <c r="EN112" s="292"/>
      <c r="EO112" s="292"/>
      <c r="EP112" s="292"/>
      <c r="EQ112" s="292"/>
      <c r="ER112" s="292"/>
      <c r="ES112" s="292"/>
      <c r="ET112" s="292"/>
      <c r="EU112" s="292"/>
      <c r="EV112" s="292"/>
      <c r="EW112" s="292"/>
      <c r="EX112" s="292"/>
      <c r="EY112" s="292"/>
      <c r="EZ112" s="292"/>
      <c r="FA112" s="292"/>
      <c r="FB112" s="292"/>
      <c r="FC112" s="292"/>
      <c r="FD112" s="292"/>
      <c r="FE112" s="292"/>
      <c r="FF112" s="292"/>
      <c r="FG112" s="292"/>
      <c r="FH112" s="292"/>
      <c r="FI112" s="292"/>
      <c r="FJ112" s="292"/>
      <c r="FK112" s="292"/>
      <c r="FL112" s="292"/>
      <c r="FM112" s="292"/>
      <c r="FN112" s="292"/>
      <c r="FO112" s="292"/>
      <c r="FP112" s="292"/>
      <c r="FQ112" s="292"/>
      <c r="FR112" s="292"/>
      <c r="FS112" s="292"/>
      <c r="FT112" s="292"/>
      <c r="FU112" s="292"/>
      <c r="FV112" s="292"/>
      <c r="FW112" s="292"/>
      <c r="FX112" s="292"/>
      <c r="FY112" s="292"/>
      <c r="FZ112" s="292"/>
      <c r="GA112" s="292"/>
      <c r="GB112" s="292"/>
      <c r="GC112" s="292"/>
      <c r="GD112" s="292"/>
      <c r="GE112" s="292"/>
      <c r="GF112" s="292"/>
      <c r="GG112" s="292"/>
      <c r="GH112" s="292"/>
      <c r="GI112" s="292"/>
      <c r="GJ112" s="292"/>
      <c r="GK112" s="292"/>
      <c r="GL112" s="292"/>
      <c r="GM112" s="292"/>
      <c r="GN112" s="292"/>
      <c r="GO112" s="292"/>
      <c r="GP112" s="292"/>
      <c r="GQ112" s="292"/>
      <c r="GR112" s="292"/>
      <c r="GS112" s="292"/>
      <c r="GT112" s="292"/>
      <c r="GU112" s="292"/>
      <c r="GV112" s="292"/>
      <c r="GW112" s="292"/>
      <c r="GX112" s="292"/>
      <c r="GY112" s="292"/>
      <c r="GZ112" s="292"/>
    </row>
    <row r="113" spans="1:208" ht="15">
      <c r="A113" s="280">
        <v>28</v>
      </c>
      <c r="B113" s="332">
        <v>44749</v>
      </c>
      <c r="C113" s="333">
        <v>1053331</v>
      </c>
      <c r="D113" s="282" t="s">
        <v>4393</v>
      </c>
      <c r="E113" s="333" t="s">
        <v>4263</v>
      </c>
      <c r="F113" s="333" t="s">
        <v>4394</v>
      </c>
      <c r="G113" s="333">
        <v>3178</v>
      </c>
      <c r="H113" s="350">
        <v>42</v>
      </c>
      <c r="I113" s="282">
        <v>4502366266</v>
      </c>
      <c r="J113" s="333">
        <v>3025459</v>
      </c>
      <c r="K113" s="282">
        <v>4902301826</v>
      </c>
      <c r="L113" s="282" t="s">
        <v>4252</v>
      </c>
      <c r="M113" s="283">
        <v>20341</v>
      </c>
      <c r="N113" s="333">
        <v>8650</v>
      </c>
      <c r="O113" s="284">
        <f t="shared" si="22"/>
        <v>175949650</v>
      </c>
      <c r="P113" s="285">
        <f t="shared" ref="P113:P119" si="23">H113/14</f>
        <v>3</v>
      </c>
      <c r="Q113" s="351" t="s">
        <v>4395</v>
      </c>
      <c r="R113" s="312">
        <v>1004892</v>
      </c>
      <c r="S113" s="282">
        <v>4792500</v>
      </c>
      <c r="T113" s="285"/>
      <c r="U113" s="285"/>
      <c r="V113" s="285"/>
      <c r="W113" s="285"/>
      <c r="X113" s="285"/>
      <c r="Y113" s="285"/>
      <c r="Z113" s="285"/>
      <c r="AA113" s="285"/>
      <c r="AB113" s="285"/>
      <c r="AC113" s="285"/>
      <c r="AD113" s="285"/>
      <c r="AE113" s="285"/>
      <c r="AF113" s="285"/>
      <c r="AG113" s="285"/>
      <c r="AH113" s="285"/>
      <c r="AI113" s="285"/>
      <c r="AJ113" s="285"/>
      <c r="AK113" s="285"/>
      <c r="AL113" s="285"/>
      <c r="AM113" s="285"/>
      <c r="AN113" s="285"/>
      <c r="AO113" s="285"/>
      <c r="AP113" s="285"/>
      <c r="AQ113" s="285"/>
      <c r="AR113" s="285"/>
      <c r="AS113" s="285"/>
      <c r="AT113" s="285"/>
      <c r="AU113" s="285"/>
      <c r="AV113" s="285"/>
      <c r="AW113" s="285"/>
      <c r="AX113" s="285"/>
      <c r="AY113" s="285"/>
      <c r="AZ113" s="285"/>
      <c r="BA113" s="285"/>
      <c r="BB113" s="285"/>
      <c r="BC113" s="285"/>
      <c r="BD113" s="285"/>
      <c r="BE113" s="285"/>
      <c r="BF113" s="285"/>
      <c r="BG113" s="285"/>
      <c r="BH113" s="285"/>
      <c r="BI113" s="285"/>
      <c r="BJ113" s="285"/>
      <c r="BK113" s="285"/>
      <c r="BL113" s="285"/>
      <c r="BM113" s="285"/>
      <c r="BN113" s="285"/>
      <c r="BO113" s="285"/>
      <c r="BP113" s="285"/>
      <c r="BQ113" s="285"/>
      <c r="BR113" s="285"/>
      <c r="BS113" s="285"/>
      <c r="BT113" s="285"/>
      <c r="BU113" s="285"/>
      <c r="BV113" s="285"/>
      <c r="BW113" s="285"/>
      <c r="BX113" s="285"/>
      <c r="BY113" s="285"/>
      <c r="BZ113" s="285"/>
      <c r="CA113" s="285"/>
      <c r="CB113" s="285"/>
      <c r="CC113" s="285"/>
      <c r="CD113" s="285"/>
      <c r="CE113" s="285"/>
      <c r="CF113" s="285"/>
      <c r="CG113" s="285"/>
      <c r="CH113" s="285"/>
      <c r="CI113" s="285"/>
      <c r="CJ113" s="285"/>
      <c r="CK113" s="285"/>
      <c r="CL113" s="285"/>
      <c r="CM113" s="285"/>
      <c r="CN113" s="285"/>
      <c r="CO113" s="285"/>
      <c r="CP113" s="285"/>
      <c r="CQ113" s="285"/>
      <c r="CR113" s="285"/>
      <c r="CS113" s="285"/>
      <c r="CT113" s="285"/>
      <c r="CU113" s="285"/>
      <c r="CV113" s="285"/>
      <c r="CW113" s="285"/>
      <c r="CX113" s="285"/>
      <c r="CY113" s="285"/>
      <c r="CZ113" s="285"/>
      <c r="DA113" s="285"/>
      <c r="DB113" s="285"/>
      <c r="DC113" s="285"/>
      <c r="DD113" s="285"/>
      <c r="DE113" s="285"/>
      <c r="DF113" s="285"/>
      <c r="DG113" s="285"/>
      <c r="DH113" s="285"/>
      <c r="DI113" s="285"/>
      <c r="DJ113" s="285"/>
      <c r="DK113" s="285"/>
      <c r="DL113" s="285"/>
      <c r="DM113" s="285"/>
      <c r="DN113" s="285"/>
      <c r="DO113" s="285"/>
      <c r="DP113" s="285"/>
      <c r="DQ113" s="285"/>
      <c r="DR113" s="285"/>
      <c r="DS113" s="285"/>
      <c r="DT113" s="285"/>
      <c r="DU113" s="285"/>
      <c r="DV113" s="285"/>
      <c r="DW113" s="285"/>
      <c r="DX113" s="285"/>
      <c r="DY113" s="285"/>
      <c r="DZ113" s="285"/>
      <c r="EA113" s="285"/>
      <c r="EB113" s="285"/>
      <c r="EC113" s="285"/>
      <c r="ED113" s="285"/>
      <c r="EE113" s="285"/>
      <c r="EF113" s="285"/>
      <c r="EG113" s="285"/>
      <c r="EH113" s="285"/>
      <c r="EI113" s="285"/>
      <c r="EJ113" s="285"/>
      <c r="EK113" s="285"/>
      <c r="EL113" s="285"/>
      <c r="EM113" s="285"/>
      <c r="EN113" s="285"/>
      <c r="EO113" s="285"/>
      <c r="EP113" s="285"/>
      <c r="EQ113" s="285"/>
      <c r="ER113" s="285"/>
      <c r="ES113" s="285"/>
      <c r="ET113" s="285"/>
      <c r="EU113" s="285"/>
      <c r="EV113" s="285"/>
      <c r="EW113" s="285"/>
      <c r="EX113" s="285"/>
      <c r="EY113" s="285"/>
      <c r="EZ113" s="285"/>
      <c r="FA113" s="285"/>
      <c r="FB113" s="285"/>
      <c r="FC113" s="285"/>
      <c r="FD113" s="285"/>
      <c r="FE113" s="285"/>
      <c r="FF113" s="285"/>
      <c r="FG113" s="285"/>
      <c r="FH113" s="285"/>
      <c r="FI113" s="285"/>
      <c r="FJ113" s="285"/>
      <c r="FK113" s="285"/>
      <c r="FL113" s="285"/>
      <c r="FM113" s="285"/>
      <c r="FN113" s="285"/>
      <c r="FO113" s="285"/>
      <c r="FP113" s="285"/>
      <c r="FQ113" s="285"/>
      <c r="FR113" s="285"/>
      <c r="FS113" s="285"/>
      <c r="FT113" s="285"/>
      <c r="FU113" s="285"/>
      <c r="FV113" s="285"/>
      <c r="FW113" s="285"/>
      <c r="FX113" s="285"/>
      <c r="FY113" s="285"/>
      <c r="FZ113" s="285"/>
      <c r="GA113" s="285"/>
      <c r="GB113" s="285"/>
      <c r="GC113" s="285"/>
      <c r="GD113" s="285"/>
      <c r="GE113" s="285"/>
      <c r="GF113" s="285"/>
      <c r="GG113" s="285"/>
      <c r="GH113" s="285"/>
      <c r="GI113" s="285"/>
      <c r="GJ113" s="285"/>
      <c r="GK113" s="285"/>
      <c r="GL113" s="285"/>
      <c r="GM113" s="285"/>
      <c r="GN113" s="285"/>
      <c r="GO113" s="285"/>
      <c r="GP113" s="285"/>
      <c r="GQ113" s="285"/>
      <c r="GR113" s="285"/>
      <c r="GS113" s="285"/>
      <c r="GT113" s="285"/>
      <c r="GU113" s="285"/>
      <c r="GV113" s="285"/>
      <c r="GW113" s="285"/>
      <c r="GX113" s="285"/>
      <c r="GY113" s="285"/>
      <c r="GZ113" s="285"/>
    </row>
    <row r="114" spans="1:208" ht="15">
      <c r="A114" s="280">
        <v>28</v>
      </c>
      <c r="B114" s="332">
        <v>44749</v>
      </c>
      <c r="C114" s="333">
        <v>1076469</v>
      </c>
      <c r="D114" s="282" t="s">
        <v>4396</v>
      </c>
      <c r="E114" s="333" t="s">
        <v>4279</v>
      </c>
      <c r="F114" s="333" t="s">
        <v>4264</v>
      </c>
      <c r="G114" s="333">
        <v>3179</v>
      </c>
      <c r="H114" s="312">
        <v>56</v>
      </c>
      <c r="I114" s="282">
        <v>4502366269</v>
      </c>
      <c r="J114" s="333">
        <v>3025460</v>
      </c>
      <c r="K114" s="282">
        <v>4902301828</v>
      </c>
      <c r="L114" s="282" t="s">
        <v>4252</v>
      </c>
      <c r="M114" s="283">
        <v>28803</v>
      </c>
      <c r="N114" s="333">
        <v>8650</v>
      </c>
      <c r="O114" s="284">
        <f t="shared" si="22"/>
        <v>249145950</v>
      </c>
      <c r="P114" s="285">
        <f t="shared" si="23"/>
        <v>4</v>
      </c>
      <c r="Q114" s="351" t="s">
        <v>3455</v>
      </c>
      <c r="R114" s="282">
        <v>1040968</v>
      </c>
      <c r="S114" s="285">
        <v>7084400</v>
      </c>
      <c r="T114" s="285"/>
      <c r="U114" s="285"/>
      <c r="V114" s="285"/>
      <c r="W114" s="285"/>
      <c r="X114" s="285"/>
      <c r="Y114" s="285"/>
      <c r="Z114" s="285"/>
      <c r="AA114" s="285"/>
      <c r="AB114" s="285"/>
      <c r="AC114" s="285"/>
      <c r="AD114" s="285"/>
      <c r="AE114" s="285"/>
      <c r="AF114" s="285"/>
      <c r="AG114" s="285"/>
      <c r="AH114" s="285"/>
      <c r="AI114" s="285"/>
      <c r="AJ114" s="285"/>
      <c r="AK114" s="285"/>
      <c r="AL114" s="285"/>
      <c r="AM114" s="285"/>
      <c r="AN114" s="285"/>
      <c r="AO114" s="285"/>
      <c r="AP114" s="285"/>
      <c r="AQ114" s="285"/>
      <c r="AR114" s="285"/>
      <c r="AS114" s="285"/>
      <c r="AT114" s="285"/>
      <c r="AU114" s="285"/>
      <c r="AV114" s="285"/>
      <c r="AW114" s="285"/>
      <c r="AX114" s="285"/>
      <c r="AY114" s="285"/>
      <c r="AZ114" s="285"/>
      <c r="BA114" s="285"/>
      <c r="BB114" s="285"/>
      <c r="BC114" s="285"/>
      <c r="BD114" s="285"/>
      <c r="BE114" s="285"/>
      <c r="BF114" s="285"/>
      <c r="BG114" s="285"/>
      <c r="BH114" s="285"/>
      <c r="BI114" s="285"/>
      <c r="BJ114" s="285"/>
      <c r="BK114" s="285"/>
      <c r="BL114" s="285"/>
      <c r="BM114" s="285"/>
      <c r="BN114" s="285"/>
      <c r="BO114" s="285"/>
      <c r="BP114" s="285"/>
      <c r="BQ114" s="285"/>
      <c r="BR114" s="285"/>
      <c r="BS114" s="285"/>
      <c r="BT114" s="285"/>
      <c r="BU114" s="285"/>
      <c r="BV114" s="285"/>
      <c r="BW114" s="285"/>
      <c r="BX114" s="285"/>
      <c r="BY114" s="285"/>
      <c r="BZ114" s="285"/>
      <c r="CA114" s="285"/>
      <c r="CB114" s="285"/>
      <c r="CC114" s="285"/>
      <c r="CD114" s="285"/>
      <c r="CE114" s="285"/>
      <c r="CF114" s="285"/>
      <c r="CG114" s="285"/>
      <c r="CH114" s="285"/>
      <c r="CI114" s="285"/>
      <c r="CJ114" s="285"/>
      <c r="CK114" s="285"/>
      <c r="CL114" s="285"/>
      <c r="CM114" s="285"/>
      <c r="CN114" s="285"/>
      <c r="CO114" s="285"/>
      <c r="CP114" s="285"/>
      <c r="CQ114" s="285"/>
      <c r="CR114" s="285"/>
      <c r="CS114" s="285"/>
      <c r="CT114" s="285"/>
      <c r="CU114" s="285"/>
      <c r="CV114" s="285"/>
      <c r="CW114" s="285"/>
      <c r="CX114" s="285"/>
      <c r="CY114" s="285"/>
      <c r="CZ114" s="285"/>
      <c r="DA114" s="285"/>
      <c r="DB114" s="285"/>
      <c r="DC114" s="285"/>
      <c r="DD114" s="285"/>
      <c r="DE114" s="285"/>
      <c r="DF114" s="285"/>
      <c r="DG114" s="285"/>
      <c r="DH114" s="285"/>
      <c r="DI114" s="285"/>
      <c r="DJ114" s="285"/>
      <c r="DK114" s="285"/>
      <c r="DL114" s="285"/>
      <c r="DM114" s="285"/>
      <c r="DN114" s="285"/>
      <c r="DO114" s="285"/>
      <c r="DP114" s="285"/>
      <c r="DQ114" s="285"/>
      <c r="DR114" s="285"/>
      <c r="DS114" s="285"/>
      <c r="DT114" s="285"/>
      <c r="DU114" s="285"/>
      <c r="DV114" s="285"/>
      <c r="DW114" s="285"/>
      <c r="DX114" s="285"/>
      <c r="DY114" s="285"/>
      <c r="DZ114" s="285"/>
      <c r="EA114" s="285"/>
      <c r="EB114" s="285"/>
      <c r="EC114" s="285"/>
      <c r="ED114" s="285"/>
      <c r="EE114" s="285"/>
      <c r="EF114" s="285"/>
      <c r="EG114" s="285"/>
      <c r="EH114" s="285"/>
      <c r="EI114" s="285"/>
      <c r="EJ114" s="285"/>
      <c r="EK114" s="285"/>
      <c r="EL114" s="285"/>
      <c r="EM114" s="285"/>
      <c r="EN114" s="285"/>
      <c r="EO114" s="285"/>
      <c r="EP114" s="285"/>
      <c r="EQ114" s="285"/>
      <c r="ER114" s="285"/>
      <c r="ES114" s="285"/>
      <c r="ET114" s="285"/>
      <c r="EU114" s="285"/>
      <c r="EV114" s="285"/>
      <c r="EW114" s="285"/>
      <c r="EX114" s="285"/>
      <c r="EY114" s="285"/>
      <c r="EZ114" s="285"/>
      <c r="FA114" s="285"/>
      <c r="FB114" s="285"/>
      <c r="FC114" s="285"/>
      <c r="FD114" s="285"/>
      <c r="FE114" s="285"/>
      <c r="FF114" s="285"/>
      <c r="FG114" s="285"/>
      <c r="FH114" s="285"/>
      <c r="FI114" s="285"/>
      <c r="FJ114" s="285"/>
      <c r="FK114" s="285"/>
      <c r="FL114" s="285"/>
      <c r="FM114" s="285"/>
      <c r="FN114" s="285"/>
      <c r="FO114" s="285"/>
      <c r="FP114" s="285"/>
      <c r="FQ114" s="285"/>
      <c r="FR114" s="285"/>
      <c r="FS114" s="285"/>
      <c r="FT114" s="285"/>
      <c r="FU114" s="285"/>
      <c r="FV114" s="285"/>
      <c r="FW114" s="285"/>
      <c r="FX114" s="285"/>
      <c r="FY114" s="285"/>
      <c r="FZ114" s="285"/>
      <c r="GA114" s="285"/>
      <c r="GB114" s="285"/>
      <c r="GC114" s="285"/>
      <c r="GD114" s="285"/>
      <c r="GE114" s="285"/>
      <c r="GF114" s="285"/>
      <c r="GG114" s="285"/>
      <c r="GH114" s="285"/>
      <c r="GI114" s="285"/>
      <c r="GJ114" s="285"/>
      <c r="GK114" s="285"/>
      <c r="GL114" s="285"/>
      <c r="GM114" s="285"/>
      <c r="GN114" s="285"/>
      <c r="GO114" s="285"/>
      <c r="GP114" s="285"/>
      <c r="GQ114" s="285"/>
      <c r="GR114" s="285"/>
      <c r="GS114" s="285"/>
      <c r="GT114" s="285"/>
      <c r="GU114" s="285"/>
      <c r="GV114" s="285"/>
      <c r="GW114" s="285"/>
      <c r="GX114" s="285"/>
      <c r="GY114" s="285"/>
      <c r="GZ114" s="285"/>
    </row>
    <row r="115" spans="1:208" ht="15">
      <c r="A115" s="280">
        <v>28</v>
      </c>
      <c r="B115" s="332">
        <v>44750</v>
      </c>
      <c r="C115" s="333">
        <v>1053331</v>
      </c>
      <c r="D115" s="282" t="s">
        <v>4397</v>
      </c>
      <c r="E115" s="333" t="s">
        <v>4263</v>
      </c>
      <c r="F115" s="333" t="s">
        <v>4394</v>
      </c>
      <c r="G115" s="333">
        <v>3178</v>
      </c>
      <c r="H115" s="312">
        <v>42</v>
      </c>
      <c r="I115" s="282">
        <v>4502366868</v>
      </c>
      <c r="J115" s="333">
        <v>3025459</v>
      </c>
      <c r="K115" s="282">
        <v>4902301830</v>
      </c>
      <c r="L115" s="282" t="s">
        <v>4252</v>
      </c>
      <c r="M115" s="283">
        <v>19732</v>
      </c>
      <c r="N115" s="333">
        <v>8650</v>
      </c>
      <c r="O115" s="284">
        <f t="shared" si="22"/>
        <v>170681800</v>
      </c>
      <c r="P115" s="285">
        <f t="shared" si="23"/>
        <v>3</v>
      </c>
      <c r="Q115" s="351" t="s">
        <v>3455</v>
      </c>
      <c r="R115" s="282">
        <v>1040968</v>
      </c>
      <c r="S115" s="285">
        <v>5573100</v>
      </c>
      <c r="T115" s="285"/>
      <c r="U115" s="285"/>
      <c r="V115" s="285"/>
      <c r="W115" s="285"/>
      <c r="X115" s="285"/>
      <c r="Y115" s="285"/>
      <c r="Z115" s="285"/>
      <c r="AA115" s="285"/>
      <c r="AB115" s="285"/>
      <c r="AC115" s="285"/>
      <c r="AD115" s="285"/>
      <c r="AE115" s="285"/>
      <c r="AF115" s="285"/>
      <c r="AG115" s="285"/>
      <c r="AH115" s="285"/>
      <c r="AI115" s="285"/>
      <c r="AJ115" s="285"/>
      <c r="AK115" s="285"/>
      <c r="AL115" s="285"/>
      <c r="AM115" s="285"/>
      <c r="AN115" s="285"/>
      <c r="AO115" s="285"/>
      <c r="AP115" s="285"/>
      <c r="AQ115" s="285"/>
      <c r="AR115" s="285"/>
      <c r="AS115" s="285"/>
      <c r="AT115" s="285"/>
      <c r="AU115" s="285"/>
      <c r="AV115" s="285"/>
      <c r="AW115" s="285"/>
      <c r="AX115" s="285"/>
      <c r="AY115" s="285"/>
      <c r="AZ115" s="285"/>
      <c r="BA115" s="285"/>
      <c r="BB115" s="285"/>
      <c r="BC115" s="285"/>
      <c r="BD115" s="285"/>
      <c r="BE115" s="285"/>
      <c r="BF115" s="285"/>
      <c r="BG115" s="285"/>
      <c r="BH115" s="285"/>
      <c r="BI115" s="285"/>
      <c r="BJ115" s="285"/>
      <c r="BK115" s="285"/>
      <c r="BL115" s="285"/>
      <c r="BM115" s="285"/>
      <c r="BN115" s="285"/>
      <c r="BO115" s="285"/>
      <c r="BP115" s="285"/>
      <c r="BQ115" s="285"/>
      <c r="BR115" s="285"/>
      <c r="BS115" s="285"/>
      <c r="BT115" s="285"/>
      <c r="BU115" s="285"/>
      <c r="BV115" s="285"/>
      <c r="BW115" s="285"/>
      <c r="BX115" s="285"/>
      <c r="BY115" s="285"/>
      <c r="BZ115" s="285"/>
      <c r="CA115" s="285"/>
      <c r="CB115" s="285"/>
      <c r="CC115" s="285"/>
      <c r="CD115" s="285"/>
      <c r="CE115" s="285"/>
      <c r="CF115" s="285"/>
      <c r="CG115" s="285"/>
      <c r="CH115" s="285"/>
      <c r="CI115" s="285"/>
      <c r="CJ115" s="285"/>
      <c r="CK115" s="285"/>
      <c r="CL115" s="285"/>
      <c r="CM115" s="285"/>
      <c r="CN115" s="285"/>
      <c r="CO115" s="285"/>
      <c r="CP115" s="285"/>
      <c r="CQ115" s="285"/>
      <c r="CR115" s="285"/>
      <c r="CS115" s="285"/>
      <c r="CT115" s="285"/>
      <c r="CU115" s="285"/>
      <c r="CV115" s="285"/>
      <c r="CW115" s="285"/>
      <c r="CX115" s="285"/>
      <c r="CY115" s="285"/>
      <c r="CZ115" s="285"/>
      <c r="DA115" s="285"/>
      <c r="DB115" s="285"/>
      <c r="DC115" s="285"/>
      <c r="DD115" s="285"/>
      <c r="DE115" s="285"/>
      <c r="DF115" s="285"/>
      <c r="DG115" s="285"/>
      <c r="DH115" s="285"/>
      <c r="DI115" s="285"/>
      <c r="DJ115" s="285"/>
      <c r="DK115" s="285"/>
      <c r="DL115" s="285"/>
      <c r="DM115" s="285"/>
      <c r="DN115" s="285"/>
      <c r="DO115" s="285"/>
      <c r="DP115" s="285"/>
      <c r="DQ115" s="285"/>
      <c r="DR115" s="285"/>
      <c r="DS115" s="285"/>
      <c r="DT115" s="285"/>
      <c r="DU115" s="285"/>
      <c r="DV115" s="285"/>
      <c r="DW115" s="285"/>
      <c r="DX115" s="285"/>
      <c r="DY115" s="285"/>
      <c r="DZ115" s="285"/>
      <c r="EA115" s="285"/>
      <c r="EB115" s="285"/>
      <c r="EC115" s="285"/>
      <c r="ED115" s="285"/>
      <c r="EE115" s="285"/>
      <c r="EF115" s="285"/>
      <c r="EG115" s="285"/>
      <c r="EH115" s="285"/>
      <c r="EI115" s="285"/>
      <c r="EJ115" s="285"/>
      <c r="EK115" s="285"/>
      <c r="EL115" s="285"/>
      <c r="EM115" s="285"/>
      <c r="EN115" s="285"/>
      <c r="EO115" s="285"/>
      <c r="EP115" s="285"/>
      <c r="EQ115" s="285"/>
      <c r="ER115" s="285"/>
      <c r="ES115" s="285"/>
      <c r="ET115" s="285"/>
      <c r="EU115" s="285"/>
      <c r="EV115" s="285"/>
      <c r="EW115" s="285"/>
      <c r="EX115" s="285"/>
      <c r="EY115" s="285"/>
      <c r="EZ115" s="285"/>
      <c r="FA115" s="285"/>
      <c r="FB115" s="285"/>
      <c r="FC115" s="285"/>
      <c r="FD115" s="285"/>
      <c r="FE115" s="285"/>
      <c r="FF115" s="285"/>
      <c r="FG115" s="285"/>
      <c r="FH115" s="285"/>
      <c r="FI115" s="285"/>
      <c r="FJ115" s="285"/>
      <c r="FK115" s="285"/>
      <c r="FL115" s="285"/>
      <c r="FM115" s="285"/>
      <c r="FN115" s="285"/>
      <c r="FO115" s="285"/>
      <c r="FP115" s="285"/>
      <c r="FQ115" s="285"/>
      <c r="FR115" s="285"/>
      <c r="FS115" s="285"/>
      <c r="FT115" s="285"/>
      <c r="FU115" s="285"/>
      <c r="FV115" s="285"/>
      <c r="FW115" s="285"/>
      <c r="FX115" s="285"/>
      <c r="FY115" s="285"/>
      <c r="FZ115" s="285"/>
      <c r="GA115" s="285"/>
      <c r="GB115" s="285"/>
      <c r="GC115" s="285"/>
      <c r="GD115" s="285"/>
      <c r="GE115" s="285"/>
      <c r="GF115" s="285"/>
      <c r="GG115" s="285"/>
      <c r="GH115" s="285"/>
      <c r="GI115" s="285"/>
      <c r="GJ115" s="285"/>
      <c r="GK115" s="285"/>
      <c r="GL115" s="285"/>
      <c r="GM115" s="285"/>
      <c r="GN115" s="285"/>
      <c r="GO115" s="285"/>
      <c r="GP115" s="285"/>
      <c r="GQ115" s="285"/>
      <c r="GR115" s="285"/>
      <c r="GS115" s="285"/>
      <c r="GT115" s="285"/>
      <c r="GU115" s="285"/>
      <c r="GV115" s="285"/>
      <c r="GW115" s="285"/>
      <c r="GX115" s="285"/>
      <c r="GY115" s="285"/>
      <c r="GZ115" s="285"/>
    </row>
    <row r="116" spans="1:208" ht="15">
      <c r="A116" s="280">
        <v>28</v>
      </c>
      <c r="B116" s="332">
        <v>44751</v>
      </c>
      <c r="C116" s="333">
        <v>1093247</v>
      </c>
      <c r="D116" s="282" t="s">
        <v>4398</v>
      </c>
      <c r="E116" s="333" t="s">
        <v>4270</v>
      </c>
      <c r="F116" s="333" t="s">
        <v>4251</v>
      </c>
      <c r="G116" s="333">
        <v>3190</v>
      </c>
      <c r="H116" s="312">
        <v>56</v>
      </c>
      <c r="I116" s="282">
        <v>4502367512</v>
      </c>
      <c r="J116" s="333">
        <v>3025457</v>
      </c>
      <c r="K116" s="282">
        <v>4902301833</v>
      </c>
      <c r="L116" s="282" t="s">
        <v>4252</v>
      </c>
      <c r="M116" s="283">
        <v>27825</v>
      </c>
      <c r="N116" s="333">
        <v>8650</v>
      </c>
      <c r="O116" s="284">
        <f t="shared" si="22"/>
        <v>240686250</v>
      </c>
      <c r="P116" s="285">
        <f t="shared" si="23"/>
        <v>4</v>
      </c>
      <c r="Q116" s="351" t="s">
        <v>3720</v>
      </c>
      <c r="R116" s="282">
        <v>1040968</v>
      </c>
      <c r="S116" s="312">
        <v>7175600</v>
      </c>
      <c r="T116" s="285"/>
      <c r="U116" s="285"/>
      <c r="V116" s="285"/>
      <c r="W116" s="285"/>
      <c r="X116" s="285"/>
      <c r="Y116" s="285"/>
      <c r="Z116" s="285"/>
      <c r="AA116" s="285"/>
      <c r="AB116" s="285"/>
      <c r="AC116" s="285"/>
      <c r="AD116" s="285"/>
      <c r="AE116" s="285"/>
      <c r="AF116" s="285"/>
      <c r="AG116" s="285"/>
      <c r="AH116" s="285"/>
      <c r="AI116" s="285"/>
      <c r="AJ116" s="285"/>
      <c r="AK116" s="285"/>
      <c r="AL116" s="285"/>
      <c r="AM116" s="285"/>
      <c r="AN116" s="285"/>
      <c r="AO116" s="285"/>
      <c r="AP116" s="285"/>
      <c r="AQ116" s="285"/>
      <c r="AR116" s="285"/>
      <c r="AS116" s="285"/>
      <c r="AT116" s="285"/>
      <c r="AU116" s="285"/>
      <c r="AV116" s="285"/>
      <c r="AW116" s="285"/>
      <c r="AX116" s="285"/>
      <c r="AY116" s="285"/>
      <c r="AZ116" s="285"/>
      <c r="BA116" s="285"/>
      <c r="BB116" s="285"/>
      <c r="BC116" s="285"/>
      <c r="BD116" s="285"/>
      <c r="BE116" s="285"/>
      <c r="BF116" s="285"/>
      <c r="BG116" s="285"/>
      <c r="BH116" s="285"/>
      <c r="BI116" s="285"/>
      <c r="BJ116" s="285"/>
      <c r="BK116" s="285"/>
      <c r="BL116" s="285"/>
      <c r="BM116" s="285"/>
      <c r="BN116" s="285"/>
      <c r="BO116" s="285"/>
      <c r="BP116" s="285"/>
      <c r="BQ116" s="285"/>
      <c r="BR116" s="285"/>
      <c r="BS116" s="285"/>
      <c r="BT116" s="285"/>
      <c r="BU116" s="285"/>
      <c r="BV116" s="285"/>
      <c r="BW116" s="285"/>
      <c r="BX116" s="285"/>
      <c r="BY116" s="285"/>
      <c r="BZ116" s="285"/>
      <c r="CA116" s="285"/>
      <c r="CB116" s="285"/>
      <c r="CC116" s="285"/>
      <c r="CD116" s="285"/>
      <c r="CE116" s="285"/>
      <c r="CF116" s="285"/>
      <c r="CG116" s="285"/>
      <c r="CH116" s="285"/>
      <c r="CI116" s="285"/>
      <c r="CJ116" s="285"/>
      <c r="CK116" s="285"/>
      <c r="CL116" s="285"/>
      <c r="CM116" s="285"/>
      <c r="CN116" s="285"/>
      <c r="CO116" s="285"/>
      <c r="CP116" s="285"/>
      <c r="CQ116" s="285"/>
      <c r="CR116" s="285"/>
      <c r="CS116" s="285"/>
      <c r="CT116" s="285"/>
      <c r="CU116" s="285"/>
      <c r="CV116" s="285"/>
      <c r="CW116" s="285"/>
      <c r="CX116" s="285"/>
      <c r="CY116" s="285"/>
      <c r="CZ116" s="285"/>
      <c r="DA116" s="285"/>
      <c r="DB116" s="285"/>
      <c r="DC116" s="285"/>
      <c r="DD116" s="285"/>
      <c r="DE116" s="285"/>
      <c r="DF116" s="285"/>
      <c r="DG116" s="285"/>
      <c r="DH116" s="285"/>
      <c r="DI116" s="285"/>
      <c r="DJ116" s="285"/>
      <c r="DK116" s="285"/>
      <c r="DL116" s="285"/>
      <c r="DM116" s="285"/>
      <c r="DN116" s="285"/>
      <c r="DO116" s="285"/>
      <c r="DP116" s="285"/>
      <c r="DQ116" s="285"/>
      <c r="DR116" s="285"/>
      <c r="DS116" s="285"/>
      <c r="DT116" s="285"/>
      <c r="DU116" s="285"/>
      <c r="DV116" s="285"/>
      <c r="DW116" s="285"/>
      <c r="DX116" s="285"/>
      <c r="DY116" s="285"/>
      <c r="DZ116" s="285"/>
      <c r="EA116" s="285"/>
      <c r="EB116" s="285"/>
      <c r="EC116" s="285"/>
      <c r="ED116" s="285"/>
      <c r="EE116" s="285"/>
      <c r="EF116" s="285"/>
      <c r="EG116" s="285"/>
      <c r="EH116" s="285"/>
      <c r="EI116" s="285"/>
      <c r="EJ116" s="285"/>
      <c r="EK116" s="285"/>
      <c r="EL116" s="285"/>
      <c r="EM116" s="285"/>
      <c r="EN116" s="285"/>
      <c r="EO116" s="285"/>
      <c r="EP116" s="285"/>
      <c r="EQ116" s="285"/>
      <c r="ER116" s="285"/>
      <c r="ES116" s="285"/>
      <c r="ET116" s="285"/>
      <c r="EU116" s="285"/>
      <c r="EV116" s="285"/>
      <c r="EW116" s="285"/>
      <c r="EX116" s="285"/>
      <c r="EY116" s="285"/>
      <c r="EZ116" s="285"/>
      <c r="FA116" s="285"/>
      <c r="FB116" s="285"/>
      <c r="FC116" s="285"/>
      <c r="FD116" s="285"/>
      <c r="FE116" s="285"/>
      <c r="FF116" s="285"/>
      <c r="FG116" s="285"/>
      <c r="FH116" s="285"/>
      <c r="FI116" s="285"/>
      <c r="FJ116" s="285"/>
      <c r="FK116" s="285"/>
      <c r="FL116" s="285"/>
      <c r="FM116" s="285"/>
      <c r="FN116" s="285"/>
      <c r="FO116" s="285"/>
      <c r="FP116" s="285"/>
      <c r="FQ116" s="285"/>
      <c r="FR116" s="285"/>
      <c r="FS116" s="285"/>
      <c r="FT116" s="285"/>
      <c r="FU116" s="285"/>
      <c r="FV116" s="285"/>
      <c r="FW116" s="285"/>
      <c r="FX116" s="285"/>
      <c r="FY116" s="285"/>
      <c r="FZ116" s="285"/>
      <c r="GA116" s="285"/>
      <c r="GB116" s="285"/>
      <c r="GC116" s="285"/>
      <c r="GD116" s="285"/>
      <c r="GE116" s="285"/>
      <c r="GF116" s="285"/>
      <c r="GG116" s="285"/>
      <c r="GH116" s="285"/>
      <c r="GI116" s="285"/>
      <c r="GJ116" s="285"/>
      <c r="GK116" s="285"/>
      <c r="GL116" s="285"/>
      <c r="GM116" s="285"/>
      <c r="GN116" s="285"/>
      <c r="GO116" s="285"/>
      <c r="GP116" s="285"/>
      <c r="GQ116" s="285"/>
      <c r="GR116" s="285"/>
      <c r="GS116" s="285"/>
      <c r="GT116" s="285"/>
      <c r="GU116" s="285"/>
      <c r="GV116" s="285"/>
      <c r="GW116" s="285"/>
      <c r="GX116" s="285"/>
      <c r="GY116" s="285"/>
      <c r="GZ116" s="285"/>
    </row>
    <row r="117" spans="1:208" ht="15">
      <c r="A117" s="280">
        <v>28</v>
      </c>
      <c r="B117" s="332">
        <v>44754</v>
      </c>
      <c r="C117" s="333">
        <v>1075952</v>
      </c>
      <c r="D117" s="282" t="s">
        <v>4399</v>
      </c>
      <c r="E117" s="333" t="s">
        <v>4359</v>
      </c>
      <c r="F117" s="333" t="s">
        <v>4251</v>
      </c>
      <c r="G117" s="333">
        <v>3182</v>
      </c>
      <c r="H117" s="312">
        <v>28</v>
      </c>
      <c r="I117" s="282">
        <v>4502367998</v>
      </c>
      <c r="J117" s="333">
        <v>3025457</v>
      </c>
      <c r="K117" s="282">
        <v>4902301834</v>
      </c>
      <c r="L117" s="282" t="s">
        <v>4252</v>
      </c>
      <c r="M117" s="283">
        <v>15005</v>
      </c>
      <c r="N117" s="333">
        <v>8650</v>
      </c>
      <c r="O117" s="284">
        <f t="shared" si="22"/>
        <v>129793250</v>
      </c>
      <c r="P117" s="285">
        <f t="shared" si="23"/>
        <v>2</v>
      </c>
      <c r="Q117" s="351" t="s">
        <v>3455</v>
      </c>
      <c r="R117" s="282">
        <v>1040968</v>
      </c>
      <c r="S117" s="312">
        <v>3681800</v>
      </c>
      <c r="T117" s="285"/>
      <c r="U117" s="285"/>
      <c r="V117" s="285"/>
      <c r="W117" s="285"/>
      <c r="X117" s="285"/>
      <c r="Y117" s="285"/>
      <c r="Z117" s="285"/>
      <c r="AA117" s="285"/>
      <c r="AB117" s="285"/>
      <c r="AC117" s="285"/>
      <c r="AD117" s="285"/>
      <c r="AE117" s="285"/>
      <c r="AF117" s="285"/>
      <c r="AG117" s="285"/>
      <c r="AH117" s="285"/>
      <c r="AI117" s="285"/>
      <c r="AJ117" s="285"/>
      <c r="AK117" s="285"/>
      <c r="AL117" s="285"/>
      <c r="AM117" s="285"/>
      <c r="AN117" s="285"/>
      <c r="AO117" s="285"/>
      <c r="AP117" s="285"/>
      <c r="AQ117" s="285"/>
      <c r="AR117" s="285"/>
      <c r="AS117" s="285"/>
      <c r="AT117" s="285"/>
      <c r="AU117" s="285"/>
      <c r="AV117" s="285"/>
      <c r="AW117" s="285"/>
      <c r="AX117" s="285"/>
      <c r="AY117" s="285"/>
      <c r="AZ117" s="285"/>
      <c r="BA117" s="285"/>
      <c r="BB117" s="285"/>
      <c r="BC117" s="285"/>
      <c r="BD117" s="285"/>
      <c r="BE117" s="285"/>
      <c r="BF117" s="285"/>
      <c r="BG117" s="285"/>
      <c r="BH117" s="285"/>
      <c r="BI117" s="285"/>
      <c r="BJ117" s="285"/>
      <c r="BK117" s="285"/>
      <c r="BL117" s="285"/>
      <c r="BM117" s="285"/>
      <c r="BN117" s="285"/>
      <c r="BO117" s="285"/>
      <c r="BP117" s="285"/>
      <c r="BQ117" s="285"/>
      <c r="BR117" s="285"/>
      <c r="BS117" s="285"/>
      <c r="BT117" s="285"/>
      <c r="BU117" s="285"/>
      <c r="BV117" s="285"/>
      <c r="BW117" s="285"/>
      <c r="BX117" s="285"/>
      <c r="BY117" s="285"/>
      <c r="BZ117" s="285"/>
      <c r="CA117" s="285"/>
      <c r="CB117" s="285"/>
      <c r="CC117" s="285"/>
      <c r="CD117" s="285"/>
      <c r="CE117" s="285"/>
      <c r="CF117" s="285"/>
      <c r="CG117" s="285"/>
      <c r="CH117" s="285"/>
      <c r="CI117" s="285"/>
      <c r="CJ117" s="285"/>
      <c r="CK117" s="285"/>
      <c r="CL117" s="285"/>
      <c r="CM117" s="285"/>
      <c r="CN117" s="285"/>
      <c r="CO117" s="285"/>
      <c r="CP117" s="285"/>
      <c r="CQ117" s="285"/>
      <c r="CR117" s="285"/>
      <c r="CS117" s="285"/>
      <c r="CT117" s="285"/>
      <c r="CU117" s="285"/>
      <c r="CV117" s="285"/>
      <c r="CW117" s="285"/>
      <c r="CX117" s="285"/>
      <c r="CY117" s="285"/>
      <c r="CZ117" s="285"/>
      <c r="DA117" s="285"/>
      <c r="DB117" s="285"/>
      <c r="DC117" s="285"/>
      <c r="DD117" s="285"/>
      <c r="DE117" s="285"/>
      <c r="DF117" s="285"/>
      <c r="DG117" s="285"/>
      <c r="DH117" s="285"/>
      <c r="DI117" s="285"/>
      <c r="DJ117" s="285"/>
      <c r="DK117" s="285"/>
      <c r="DL117" s="285"/>
      <c r="DM117" s="285"/>
      <c r="DN117" s="285"/>
      <c r="DO117" s="285"/>
      <c r="DP117" s="285"/>
      <c r="DQ117" s="285"/>
      <c r="DR117" s="285"/>
      <c r="DS117" s="285"/>
      <c r="DT117" s="285"/>
      <c r="DU117" s="285"/>
      <c r="DV117" s="285"/>
      <c r="DW117" s="285"/>
      <c r="DX117" s="285"/>
      <c r="DY117" s="285"/>
      <c r="DZ117" s="285"/>
      <c r="EA117" s="285"/>
      <c r="EB117" s="285"/>
      <c r="EC117" s="285"/>
      <c r="ED117" s="285"/>
      <c r="EE117" s="285"/>
      <c r="EF117" s="285"/>
      <c r="EG117" s="285"/>
      <c r="EH117" s="285"/>
      <c r="EI117" s="285"/>
      <c r="EJ117" s="285"/>
      <c r="EK117" s="285"/>
      <c r="EL117" s="285"/>
      <c r="EM117" s="285"/>
      <c r="EN117" s="285"/>
      <c r="EO117" s="285"/>
      <c r="EP117" s="285"/>
      <c r="EQ117" s="285"/>
      <c r="ER117" s="285"/>
      <c r="ES117" s="285"/>
      <c r="ET117" s="285"/>
      <c r="EU117" s="285"/>
      <c r="EV117" s="285"/>
      <c r="EW117" s="285"/>
      <c r="EX117" s="285"/>
      <c r="EY117" s="285"/>
      <c r="EZ117" s="285"/>
      <c r="FA117" s="285"/>
      <c r="FB117" s="285"/>
      <c r="FC117" s="285"/>
      <c r="FD117" s="285"/>
      <c r="FE117" s="285"/>
      <c r="FF117" s="285"/>
      <c r="FG117" s="285"/>
      <c r="FH117" s="285"/>
      <c r="FI117" s="285"/>
      <c r="FJ117" s="285"/>
      <c r="FK117" s="285"/>
      <c r="FL117" s="285"/>
      <c r="FM117" s="285"/>
      <c r="FN117" s="285"/>
      <c r="FO117" s="285"/>
      <c r="FP117" s="285"/>
      <c r="FQ117" s="285"/>
      <c r="FR117" s="285"/>
      <c r="FS117" s="285"/>
      <c r="FT117" s="285"/>
      <c r="FU117" s="285"/>
      <c r="FV117" s="285"/>
      <c r="FW117" s="285"/>
      <c r="FX117" s="285"/>
      <c r="FY117" s="285"/>
      <c r="FZ117" s="285"/>
      <c r="GA117" s="285"/>
      <c r="GB117" s="285"/>
      <c r="GC117" s="285"/>
      <c r="GD117" s="285"/>
      <c r="GE117" s="285"/>
      <c r="GF117" s="285"/>
      <c r="GG117" s="285"/>
      <c r="GH117" s="285"/>
      <c r="GI117" s="285"/>
      <c r="GJ117" s="285"/>
      <c r="GK117" s="285"/>
      <c r="GL117" s="285"/>
      <c r="GM117" s="285"/>
      <c r="GN117" s="285"/>
      <c r="GO117" s="285"/>
      <c r="GP117" s="285"/>
      <c r="GQ117" s="285"/>
      <c r="GR117" s="285"/>
      <c r="GS117" s="285"/>
      <c r="GT117" s="285"/>
      <c r="GU117" s="285"/>
      <c r="GV117" s="285"/>
      <c r="GW117" s="285"/>
      <c r="GX117" s="285"/>
      <c r="GY117" s="285"/>
      <c r="GZ117" s="285"/>
    </row>
    <row r="118" spans="1:208" ht="15">
      <c r="A118" s="302">
        <v>29</v>
      </c>
      <c r="B118" s="328">
        <v>44761</v>
      </c>
      <c r="C118" s="329">
        <v>1036751</v>
      </c>
      <c r="D118" s="304" t="s">
        <v>4400</v>
      </c>
      <c r="E118" s="329" t="s">
        <v>4258</v>
      </c>
      <c r="F118" s="329" t="s">
        <v>4251</v>
      </c>
      <c r="G118" s="329">
        <v>3180</v>
      </c>
      <c r="H118" s="329">
        <v>56</v>
      </c>
      <c r="I118" s="304">
        <v>4502365447</v>
      </c>
      <c r="J118" s="329">
        <v>3025457</v>
      </c>
      <c r="K118" s="304">
        <v>4902306494</v>
      </c>
      <c r="L118" s="289" t="s">
        <v>4252</v>
      </c>
      <c r="M118" s="309">
        <v>29272.824000000001</v>
      </c>
      <c r="N118" s="304">
        <v>9635</v>
      </c>
      <c r="O118" s="291">
        <f t="shared" si="22"/>
        <v>282043659.24000001</v>
      </c>
      <c r="P118" s="289">
        <f t="shared" si="23"/>
        <v>4</v>
      </c>
      <c r="Q118" s="304" t="s">
        <v>3455</v>
      </c>
      <c r="R118" s="304">
        <v>1040968</v>
      </c>
      <c r="S118" s="304">
        <v>6530000</v>
      </c>
      <c r="T118" s="307"/>
      <c r="U118" s="307"/>
      <c r="V118" s="307"/>
      <c r="W118" s="307"/>
      <c r="X118" s="307"/>
      <c r="Y118" s="307"/>
      <c r="Z118" s="307"/>
      <c r="AA118" s="307"/>
      <c r="AB118" s="307"/>
      <c r="AC118" s="307"/>
      <c r="AD118" s="307"/>
      <c r="AE118" s="307"/>
      <c r="AF118" s="307"/>
      <c r="AG118" s="307"/>
      <c r="AH118" s="307"/>
      <c r="AI118" s="307"/>
      <c r="AJ118" s="307"/>
      <c r="AK118" s="307"/>
      <c r="AL118" s="307"/>
      <c r="AM118" s="307"/>
      <c r="AN118" s="307"/>
      <c r="AO118" s="307"/>
      <c r="AP118" s="307"/>
      <c r="AQ118" s="307"/>
      <c r="AR118" s="307"/>
      <c r="AS118" s="307"/>
      <c r="AT118" s="307"/>
      <c r="AU118" s="307"/>
      <c r="AV118" s="307"/>
      <c r="AW118" s="307"/>
      <c r="AX118" s="307"/>
      <c r="AY118" s="307"/>
      <c r="AZ118" s="307"/>
      <c r="BA118" s="307"/>
      <c r="BB118" s="307"/>
      <c r="BC118" s="307"/>
      <c r="BD118" s="307"/>
      <c r="BE118" s="307"/>
      <c r="BF118" s="307"/>
      <c r="BG118" s="307"/>
      <c r="BH118" s="307"/>
      <c r="BI118" s="307"/>
      <c r="BJ118" s="307"/>
      <c r="BK118" s="307"/>
      <c r="BL118" s="307"/>
      <c r="BM118" s="307"/>
      <c r="BN118" s="307"/>
      <c r="BO118" s="307"/>
      <c r="BP118" s="307"/>
      <c r="BQ118" s="307"/>
      <c r="BR118" s="307"/>
      <c r="BS118" s="307"/>
      <c r="BT118" s="307"/>
      <c r="BU118" s="307"/>
      <c r="BV118" s="307"/>
      <c r="BW118" s="307"/>
      <c r="BX118" s="307"/>
      <c r="BY118" s="307"/>
      <c r="BZ118" s="307"/>
      <c r="CA118" s="307"/>
      <c r="CB118" s="307"/>
      <c r="CC118" s="307"/>
      <c r="CD118" s="307"/>
      <c r="CE118" s="307"/>
      <c r="CF118" s="307"/>
      <c r="CG118" s="307"/>
      <c r="CH118" s="307"/>
      <c r="CI118" s="307"/>
      <c r="CJ118" s="307"/>
      <c r="CK118" s="307"/>
      <c r="CL118" s="307"/>
      <c r="CM118" s="307"/>
      <c r="CN118" s="307"/>
      <c r="CO118" s="307"/>
      <c r="CP118" s="307"/>
      <c r="CQ118" s="307"/>
      <c r="CR118" s="307"/>
      <c r="CS118" s="307"/>
      <c r="CT118" s="307"/>
      <c r="CU118" s="307"/>
      <c r="CV118" s="307"/>
      <c r="CW118" s="307"/>
      <c r="CX118" s="307"/>
      <c r="CY118" s="307"/>
      <c r="CZ118" s="307"/>
      <c r="DA118" s="307"/>
      <c r="DB118" s="307"/>
      <c r="DC118" s="307"/>
      <c r="DD118" s="307"/>
      <c r="DE118" s="307"/>
      <c r="DF118" s="307"/>
      <c r="DG118" s="307"/>
      <c r="DH118" s="307"/>
      <c r="DI118" s="307"/>
      <c r="DJ118" s="307"/>
      <c r="DK118" s="307"/>
      <c r="DL118" s="307"/>
      <c r="DM118" s="307"/>
      <c r="DN118" s="307"/>
      <c r="DO118" s="307"/>
      <c r="DP118" s="307"/>
      <c r="DQ118" s="307"/>
      <c r="DR118" s="307"/>
      <c r="DS118" s="307"/>
      <c r="DT118" s="307"/>
      <c r="DU118" s="307"/>
      <c r="DV118" s="307"/>
      <c r="DW118" s="307"/>
      <c r="DX118" s="307"/>
      <c r="DY118" s="307"/>
      <c r="DZ118" s="307"/>
      <c r="EA118" s="307"/>
      <c r="EB118" s="307"/>
      <c r="EC118" s="307"/>
      <c r="ED118" s="307"/>
      <c r="EE118" s="307"/>
      <c r="EF118" s="307"/>
      <c r="EG118" s="307"/>
      <c r="EH118" s="307"/>
      <c r="EI118" s="307"/>
      <c r="EJ118" s="307"/>
      <c r="EK118" s="307"/>
      <c r="EL118" s="307"/>
      <c r="EM118" s="307"/>
      <c r="EN118" s="307"/>
      <c r="EO118" s="307"/>
      <c r="EP118" s="307"/>
      <c r="EQ118" s="307"/>
      <c r="ER118" s="307"/>
      <c r="ES118" s="307"/>
      <c r="ET118" s="307"/>
      <c r="EU118" s="307"/>
      <c r="EV118" s="307"/>
      <c r="EW118" s="307"/>
      <c r="EX118" s="307"/>
      <c r="EY118" s="307"/>
      <c r="EZ118" s="307"/>
      <c r="FA118" s="307"/>
      <c r="FB118" s="307"/>
      <c r="FC118" s="307"/>
      <c r="FD118" s="307"/>
      <c r="FE118" s="307"/>
      <c r="FF118" s="307"/>
      <c r="FG118" s="307"/>
      <c r="FH118" s="307"/>
      <c r="FI118" s="307"/>
      <c r="FJ118" s="307"/>
      <c r="FK118" s="307"/>
      <c r="FL118" s="307"/>
      <c r="FM118" s="307"/>
      <c r="FN118" s="307"/>
      <c r="FO118" s="307"/>
      <c r="FP118" s="307"/>
      <c r="FQ118" s="307"/>
      <c r="FR118" s="307"/>
      <c r="FS118" s="307"/>
      <c r="FT118" s="307"/>
      <c r="FU118" s="307"/>
      <c r="FV118" s="307"/>
      <c r="FW118" s="307"/>
      <c r="FX118" s="307"/>
      <c r="FY118" s="307"/>
      <c r="FZ118" s="307"/>
      <c r="GA118" s="307"/>
      <c r="GB118" s="307"/>
      <c r="GC118" s="307"/>
      <c r="GD118" s="307"/>
      <c r="GE118" s="307"/>
      <c r="GF118" s="307"/>
      <c r="GG118" s="307"/>
      <c r="GH118" s="307"/>
      <c r="GI118" s="307"/>
      <c r="GJ118" s="307"/>
      <c r="GK118" s="307"/>
      <c r="GL118" s="307"/>
      <c r="GM118" s="307"/>
      <c r="GN118" s="307"/>
      <c r="GO118" s="307"/>
      <c r="GP118" s="307"/>
      <c r="GQ118" s="307"/>
      <c r="GR118" s="307"/>
      <c r="GS118" s="307"/>
      <c r="GT118" s="307"/>
      <c r="GU118" s="307"/>
      <c r="GV118" s="307"/>
      <c r="GW118" s="307"/>
      <c r="GX118" s="307"/>
      <c r="GY118" s="307"/>
      <c r="GZ118" s="307"/>
    </row>
    <row r="119" spans="1:208" ht="15">
      <c r="A119" s="280">
        <v>30</v>
      </c>
      <c r="B119" s="332">
        <v>44763</v>
      </c>
      <c r="C119" s="333">
        <v>1053331</v>
      </c>
      <c r="D119" s="282" t="s">
        <v>4401</v>
      </c>
      <c r="E119" s="333" t="s">
        <v>4263</v>
      </c>
      <c r="F119" s="333" t="s">
        <v>4251</v>
      </c>
      <c r="G119" s="333">
        <v>3178</v>
      </c>
      <c r="H119" s="333">
        <v>83</v>
      </c>
      <c r="I119" s="282">
        <v>4502375246</v>
      </c>
      <c r="J119" s="333">
        <v>3025457</v>
      </c>
      <c r="K119" s="282">
        <v>4902310763</v>
      </c>
      <c r="L119" s="282" t="s">
        <v>4252</v>
      </c>
      <c r="M119" s="283">
        <v>39854</v>
      </c>
      <c r="N119" s="333">
        <v>8400</v>
      </c>
      <c r="O119" s="284">
        <f t="shared" si="22"/>
        <v>334773600</v>
      </c>
      <c r="P119" s="326">
        <f t="shared" si="23"/>
        <v>5.9285714285714288</v>
      </c>
      <c r="Q119" s="351" t="s">
        <v>3455</v>
      </c>
      <c r="R119" s="282">
        <v>1040968</v>
      </c>
      <c r="S119" s="282">
        <v>5381700</v>
      </c>
      <c r="T119" s="285"/>
      <c r="U119" s="285"/>
      <c r="V119" s="285"/>
      <c r="W119" s="285"/>
      <c r="X119" s="285"/>
      <c r="Y119" s="285"/>
      <c r="Z119" s="285"/>
      <c r="AA119" s="285"/>
      <c r="AB119" s="285"/>
      <c r="AC119" s="285"/>
      <c r="AD119" s="285"/>
      <c r="AE119" s="285"/>
      <c r="AF119" s="285"/>
      <c r="AG119" s="285"/>
      <c r="AH119" s="285"/>
      <c r="AI119" s="285"/>
      <c r="AJ119" s="285"/>
      <c r="AK119" s="285"/>
      <c r="AL119" s="285"/>
      <c r="AM119" s="285"/>
      <c r="AN119" s="285"/>
      <c r="AO119" s="285"/>
      <c r="AP119" s="285"/>
      <c r="AQ119" s="285"/>
      <c r="AR119" s="285"/>
      <c r="AS119" s="285"/>
      <c r="AT119" s="285"/>
      <c r="AU119" s="285"/>
      <c r="AV119" s="285"/>
      <c r="AW119" s="285"/>
      <c r="AX119" s="285"/>
      <c r="AY119" s="285"/>
      <c r="AZ119" s="285"/>
      <c r="BA119" s="285"/>
      <c r="BB119" s="285"/>
      <c r="BC119" s="285"/>
      <c r="BD119" s="285"/>
      <c r="BE119" s="285"/>
      <c r="BF119" s="285"/>
      <c r="BG119" s="285"/>
      <c r="BH119" s="285"/>
      <c r="BI119" s="285"/>
      <c r="BJ119" s="285"/>
      <c r="BK119" s="285"/>
      <c r="BL119" s="285"/>
      <c r="BM119" s="285"/>
      <c r="BN119" s="285"/>
      <c r="BO119" s="285"/>
      <c r="BP119" s="285"/>
      <c r="BQ119" s="285"/>
      <c r="BR119" s="285"/>
      <c r="BS119" s="285"/>
      <c r="BT119" s="285"/>
      <c r="BU119" s="285"/>
      <c r="BV119" s="285"/>
      <c r="BW119" s="285"/>
      <c r="BX119" s="285"/>
      <c r="BY119" s="285"/>
      <c r="BZ119" s="285"/>
      <c r="CA119" s="285"/>
      <c r="CB119" s="285"/>
      <c r="CC119" s="285"/>
      <c r="CD119" s="285"/>
      <c r="CE119" s="285"/>
      <c r="CF119" s="285"/>
      <c r="CG119" s="285"/>
      <c r="CH119" s="285"/>
      <c r="CI119" s="285"/>
      <c r="CJ119" s="285"/>
      <c r="CK119" s="285"/>
      <c r="CL119" s="285"/>
      <c r="CM119" s="285"/>
      <c r="CN119" s="285"/>
      <c r="CO119" s="285"/>
      <c r="CP119" s="285"/>
      <c r="CQ119" s="285"/>
      <c r="CR119" s="285"/>
      <c r="CS119" s="285"/>
      <c r="CT119" s="285"/>
      <c r="CU119" s="285"/>
      <c r="CV119" s="285"/>
      <c r="CW119" s="285"/>
      <c r="CX119" s="285"/>
      <c r="CY119" s="285"/>
      <c r="CZ119" s="285"/>
      <c r="DA119" s="285"/>
      <c r="DB119" s="285"/>
      <c r="DC119" s="285"/>
      <c r="DD119" s="285"/>
      <c r="DE119" s="285"/>
      <c r="DF119" s="285"/>
      <c r="DG119" s="285"/>
      <c r="DH119" s="285"/>
      <c r="DI119" s="285"/>
      <c r="DJ119" s="285"/>
      <c r="DK119" s="285"/>
      <c r="DL119" s="285"/>
      <c r="DM119" s="285"/>
      <c r="DN119" s="285"/>
      <c r="DO119" s="285"/>
      <c r="DP119" s="285"/>
      <c r="DQ119" s="285"/>
      <c r="DR119" s="285"/>
      <c r="DS119" s="285"/>
      <c r="DT119" s="285"/>
      <c r="DU119" s="285"/>
      <c r="DV119" s="285"/>
      <c r="DW119" s="285"/>
      <c r="DX119" s="285"/>
      <c r="DY119" s="285"/>
      <c r="DZ119" s="285"/>
      <c r="EA119" s="285"/>
      <c r="EB119" s="285"/>
      <c r="EC119" s="285"/>
      <c r="ED119" s="285"/>
      <c r="EE119" s="285"/>
      <c r="EF119" s="285"/>
      <c r="EG119" s="285"/>
      <c r="EH119" s="285"/>
      <c r="EI119" s="285"/>
      <c r="EJ119" s="285"/>
      <c r="EK119" s="285"/>
      <c r="EL119" s="285"/>
      <c r="EM119" s="285"/>
      <c r="EN119" s="285"/>
      <c r="EO119" s="285"/>
      <c r="EP119" s="285"/>
      <c r="EQ119" s="285"/>
      <c r="ER119" s="285"/>
      <c r="ES119" s="285"/>
      <c r="ET119" s="285"/>
      <c r="EU119" s="285"/>
      <c r="EV119" s="285"/>
      <c r="EW119" s="285"/>
      <c r="EX119" s="285"/>
      <c r="EY119" s="285"/>
      <c r="EZ119" s="285"/>
      <c r="FA119" s="285"/>
      <c r="FB119" s="285"/>
      <c r="FC119" s="285"/>
      <c r="FD119" s="285"/>
      <c r="FE119" s="285"/>
      <c r="FF119" s="285"/>
      <c r="FG119" s="285"/>
      <c r="FH119" s="285"/>
      <c r="FI119" s="285"/>
      <c r="FJ119" s="285"/>
      <c r="FK119" s="285"/>
      <c r="FL119" s="285"/>
      <c r="FM119" s="285"/>
      <c r="FN119" s="285"/>
      <c r="FO119" s="285"/>
      <c r="FP119" s="285"/>
      <c r="FQ119" s="285"/>
      <c r="FR119" s="285"/>
      <c r="FS119" s="285"/>
      <c r="FT119" s="285"/>
      <c r="FU119" s="285"/>
      <c r="FV119" s="285"/>
      <c r="FW119" s="285"/>
      <c r="FX119" s="285"/>
      <c r="FY119" s="285"/>
      <c r="FZ119" s="285"/>
      <c r="GA119" s="285"/>
      <c r="GB119" s="285"/>
      <c r="GC119" s="285"/>
      <c r="GD119" s="285"/>
      <c r="GE119" s="285"/>
      <c r="GF119" s="285"/>
      <c r="GG119" s="285"/>
      <c r="GH119" s="285"/>
      <c r="GI119" s="285"/>
      <c r="GJ119" s="285"/>
      <c r="GK119" s="285"/>
      <c r="GL119" s="285"/>
      <c r="GM119" s="285"/>
      <c r="GN119" s="285"/>
      <c r="GO119" s="285"/>
      <c r="GP119" s="285"/>
      <c r="GQ119" s="285"/>
      <c r="GR119" s="285"/>
      <c r="GS119" s="285"/>
      <c r="GT119" s="285"/>
      <c r="GU119" s="285"/>
      <c r="GV119" s="285"/>
      <c r="GW119" s="285"/>
      <c r="GX119" s="285"/>
      <c r="GY119" s="285"/>
      <c r="GZ119" s="285"/>
    </row>
    <row r="120" spans="1:208" ht="15">
      <c r="A120" s="280"/>
      <c r="B120" s="332"/>
      <c r="C120" s="333"/>
      <c r="D120" s="282"/>
      <c r="E120" s="333"/>
      <c r="F120" s="333"/>
      <c r="G120" s="333"/>
      <c r="H120" s="333"/>
      <c r="I120" s="285"/>
      <c r="J120" s="333"/>
      <c r="K120" s="282"/>
      <c r="L120" s="285"/>
      <c r="M120" s="296"/>
      <c r="N120" s="333"/>
      <c r="O120" s="284"/>
      <c r="P120" s="285"/>
      <c r="Q120" s="282" t="s">
        <v>4266</v>
      </c>
      <c r="R120" s="282">
        <v>1004892</v>
      </c>
      <c r="S120" s="282">
        <v>4792500</v>
      </c>
      <c r="T120" s="285"/>
      <c r="U120" s="285"/>
      <c r="V120" s="285"/>
      <c r="W120" s="285"/>
      <c r="X120" s="285"/>
      <c r="Y120" s="285"/>
      <c r="Z120" s="285"/>
      <c r="AA120" s="285"/>
      <c r="AB120" s="285"/>
      <c r="AC120" s="285"/>
      <c r="AD120" s="285"/>
      <c r="AE120" s="285"/>
      <c r="AF120" s="285"/>
      <c r="AG120" s="285"/>
      <c r="AH120" s="285"/>
      <c r="AI120" s="285"/>
      <c r="AJ120" s="285"/>
      <c r="AK120" s="285"/>
      <c r="AL120" s="285"/>
      <c r="AM120" s="285"/>
      <c r="AN120" s="285"/>
      <c r="AO120" s="285"/>
      <c r="AP120" s="285"/>
      <c r="AQ120" s="285"/>
      <c r="AR120" s="285"/>
      <c r="AS120" s="285"/>
      <c r="AT120" s="285"/>
      <c r="AU120" s="285"/>
      <c r="AV120" s="285"/>
      <c r="AW120" s="285"/>
      <c r="AX120" s="285"/>
      <c r="AY120" s="285"/>
      <c r="AZ120" s="285"/>
      <c r="BA120" s="285"/>
      <c r="BB120" s="285"/>
      <c r="BC120" s="285"/>
      <c r="BD120" s="285"/>
      <c r="BE120" s="285"/>
      <c r="BF120" s="285"/>
      <c r="BG120" s="285"/>
      <c r="BH120" s="285"/>
      <c r="BI120" s="285"/>
      <c r="BJ120" s="285"/>
      <c r="BK120" s="285"/>
      <c r="BL120" s="285"/>
      <c r="BM120" s="285"/>
      <c r="BN120" s="285"/>
      <c r="BO120" s="285"/>
      <c r="BP120" s="285"/>
      <c r="BQ120" s="285"/>
      <c r="BR120" s="285"/>
      <c r="BS120" s="285"/>
      <c r="BT120" s="285"/>
      <c r="BU120" s="285"/>
      <c r="BV120" s="285"/>
      <c r="BW120" s="285"/>
      <c r="BX120" s="285"/>
      <c r="BY120" s="285"/>
      <c r="BZ120" s="285"/>
      <c r="CA120" s="285"/>
      <c r="CB120" s="285"/>
      <c r="CC120" s="285"/>
      <c r="CD120" s="285"/>
      <c r="CE120" s="285"/>
      <c r="CF120" s="285"/>
      <c r="CG120" s="285"/>
      <c r="CH120" s="285"/>
      <c r="CI120" s="285"/>
      <c r="CJ120" s="285"/>
      <c r="CK120" s="285"/>
      <c r="CL120" s="285"/>
      <c r="CM120" s="285"/>
      <c r="CN120" s="285"/>
      <c r="CO120" s="285"/>
      <c r="CP120" s="285"/>
      <c r="CQ120" s="285"/>
      <c r="CR120" s="285"/>
      <c r="CS120" s="285"/>
      <c r="CT120" s="285"/>
      <c r="CU120" s="285"/>
      <c r="CV120" s="285"/>
      <c r="CW120" s="285"/>
      <c r="CX120" s="285"/>
      <c r="CY120" s="285"/>
      <c r="CZ120" s="285"/>
      <c r="DA120" s="285"/>
      <c r="DB120" s="285"/>
      <c r="DC120" s="285"/>
      <c r="DD120" s="285"/>
      <c r="DE120" s="285"/>
      <c r="DF120" s="285"/>
      <c r="DG120" s="285"/>
      <c r="DH120" s="285"/>
      <c r="DI120" s="285"/>
      <c r="DJ120" s="285"/>
      <c r="DK120" s="285"/>
      <c r="DL120" s="285"/>
      <c r="DM120" s="285"/>
      <c r="DN120" s="285"/>
      <c r="DO120" s="285"/>
      <c r="DP120" s="285"/>
      <c r="DQ120" s="285"/>
      <c r="DR120" s="285"/>
      <c r="DS120" s="285"/>
      <c r="DT120" s="285"/>
      <c r="DU120" s="285"/>
      <c r="DV120" s="285"/>
      <c r="DW120" s="285"/>
      <c r="DX120" s="285"/>
      <c r="DY120" s="285"/>
      <c r="DZ120" s="285"/>
      <c r="EA120" s="285"/>
      <c r="EB120" s="285"/>
      <c r="EC120" s="285"/>
      <c r="ED120" s="285"/>
      <c r="EE120" s="285"/>
      <c r="EF120" s="285"/>
      <c r="EG120" s="285"/>
      <c r="EH120" s="285"/>
      <c r="EI120" s="285"/>
      <c r="EJ120" s="285"/>
      <c r="EK120" s="285"/>
      <c r="EL120" s="285"/>
      <c r="EM120" s="285"/>
      <c r="EN120" s="285"/>
      <c r="EO120" s="285"/>
      <c r="EP120" s="285"/>
      <c r="EQ120" s="285"/>
      <c r="ER120" s="285"/>
      <c r="ES120" s="285"/>
      <c r="ET120" s="285"/>
      <c r="EU120" s="285"/>
      <c r="EV120" s="285"/>
      <c r="EW120" s="285"/>
      <c r="EX120" s="285"/>
      <c r="EY120" s="285"/>
      <c r="EZ120" s="285"/>
      <c r="FA120" s="285"/>
      <c r="FB120" s="285"/>
      <c r="FC120" s="285"/>
      <c r="FD120" s="285"/>
      <c r="FE120" s="285"/>
      <c r="FF120" s="285"/>
      <c r="FG120" s="285"/>
      <c r="FH120" s="285"/>
      <c r="FI120" s="285"/>
      <c r="FJ120" s="285"/>
      <c r="FK120" s="285"/>
      <c r="FL120" s="285"/>
      <c r="FM120" s="285"/>
      <c r="FN120" s="285"/>
      <c r="FO120" s="285"/>
      <c r="FP120" s="285"/>
      <c r="FQ120" s="285"/>
      <c r="FR120" s="285"/>
      <c r="FS120" s="285"/>
      <c r="FT120" s="285"/>
      <c r="FU120" s="285"/>
      <c r="FV120" s="285"/>
      <c r="FW120" s="285"/>
      <c r="FX120" s="285"/>
      <c r="FY120" s="285"/>
      <c r="FZ120" s="285"/>
      <c r="GA120" s="285"/>
      <c r="GB120" s="285"/>
      <c r="GC120" s="285"/>
      <c r="GD120" s="285"/>
      <c r="GE120" s="285"/>
      <c r="GF120" s="285"/>
      <c r="GG120" s="285"/>
      <c r="GH120" s="285"/>
      <c r="GI120" s="285"/>
      <c r="GJ120" s="285"/>
      <c r="GK120" s="285"/>
      <c r="GL120" s="285"/>
      <c r="GM120" s="285"/>
      <c r="GN120" s="285"/>
      <c r="GO120" s="285"/>
      <c r="GP120" s="285"/>
      <c r="GQ120" s="285"/>
      <c r="GR120" s="285"/>
      <c r="GS120" s="285"/>
      <c r="GT120" s="285"/>
      <c r="GU120" s="285"/>
      <c r="GV120" s="285"/>
      <c r="GW120" s="285"/>
      <c r="GX120" s="285"/>
      <c r="GY120" s="285"/>
      <c r="GZ120" s="285"/>
    </row>
    <row r="121" spans="1:208" ht="15">
      <c r="A121" s="280">
        <v>30</v>
      </c>
      <c r="B121" s="332">
        <v>44763</v>
      </c>
      <c r="C121" s="333">
        <v>1114249</v>
      </c>
      <c r="D121" s="282" t="s">
        <v>4402</v>
      </c>
      <c r="E121" s="333" t="s">
        <v>4403</v>
      </c>
      <c r="F121" s="333" t="s">
        <v>4251</v>
      </c>
      <c r="G121" s="333">
        <v>3158</v>
      </c>
      <c r="H121" s="333">
        <v>14</v>
      </c>
      <c r="I121" s="282">
        <v>4502375251</v>
      </c>
      <c r="J121" s="333">
        <v>3025457</v>
      </c>
      <c r="K121" s="282">
        <v>4902310772</v>
      </c>
      <c r="L121" s="282" t="s">
        <v>4252</v>
      </c>
      <c r="M121" s="283">
        <v>7441</v>
      </c>
      <c r="N121" s="333">
        <v>7950</v>
      </c>
      <c r="O121" s="284">
        <f t="shared" ref="O121:O238" si="24">M121*N121</f>
        <v>59155950</v>
      </c>
      <c r="P121" s="285">
        <f t="shared" ref="P121:P128" si="25">H121/14</f>
        <v>1</v>
      </c>
      <c r="Q121" s="351" t="s">
        <v>3455</v>
      </c>
      <c r="R121" s="282">
        <v>1040968</v>
      </c>
      <c r="S121" s="282">
        <v>3562300</v>
      </c>
      <c r="T121" s="285"/>
      <c r="U121" s="285"/>
      <c r="V121" s="285"/>
      <c r="W121" s="285"/>
      <c r="X121" s="285"/>
      <c r="Y121" s="285"/>
      <c r="Z121" s="285"/>
      <c r="AA121" s="285"/>
      <c r="AB121" s="285"/>
      <c r="AC121" s="285"/>
      <c r="AD121" s="285"/>
      <c r="AE121" s="285"/>
      <c r="AF121" s="285"/>
      <c r="AG121" s="285"/>
      <c r="AH121" s="285"/>
      <c r="AI121" s="285"/>
      <c r="AJ121" s="285"/>
      <c r="AK121" s="285"/>
      <c r="AL121" s="285"/>
      <c r="AM121" s="285"/>
      <c r="AN121" s="285"/>
      <c r="AO121" s="285"/>
      <c r="AP121" s="285"/>
      <c r="AQ121" s="285"/>
      <c r="AR121" s="285"/>
      <c r="AS121" s="285"/>
      <c r="AT121" s="285"/>
      <c r="AU121" s="285"/>
      <c r="AV121" s="285"/>
      <c r="AW121" s="285"/>
      <c r="AX121" s="285"/>
      <c r="AY121" s="285"/>
      <c r="AZ121" s="285"/>
      <c r="BA121" s="285"/>
      <c r="BB121" s="285"/>
      <c r="BC121" s="285"/>
      <c r="BD121" s="285"/>
      <c r="BE121" s="285"/>
      <c r="BF121" s="285"/>
      <c r="BG121" s="285"/>
      <c r="BH121" s="285"/>
      <c r="BI121" s="285"/>
      <c r="BJ121" s="285"/>
      <c r="BK121" s="285"/>
      <c r="BL121" s="285"/>
      <c r="BM121" s="285"/>
      <c r="BN121" s="285"/>
      <c r="BO121" s="285"/>
      <c r="BP121" s="285"/>
      <c r="BQ121" s="285"/>
      <c r="BR121" s="285"/>
      <c r="BS121" s="285"/>
      <c r="BT121" s="285"/>
      <c r="BU121" s="285"/>
      <c r="BV121" s="285"/>
      <c r="BW121" s="285"/>
      <c r="BX121" s="285"/>
      <c r="BY121" s="285"/>
      <c r="BZ121" s="285"/>
      <c r="CA121" s="285"/>
      <c r="CB121" s="285"/>
      <c r="CC121" s="285"/>
      <c r="CD121" s="285"/>
      <c r="CE121" s="285"/>
      <c r="CF121" s="285"/>
      <c r="CG121" s="285"/>
      <c r="CH121" s="285"/>
      <c r="CI121" s="285"/>
      <c r="CJ121" s="285"/>
      <c r="CK121" s="285"/>
      <c r="CL121" s="285"/>
      <c r="CM121" s="285"/>
      <c r="CN121" s="285"/>
      <c r="CO121" s="285"/>
      <c r="CP121" s="285"/>
      <c r="CQ121" s="285"/>
      <c r="CR121" s="285"/>
      <c r="CS121" s="285"/>
      <c r="CT121" s="285"/>
      <c r="CU121" s="285"/>
      <c r="CV121" s="285"/>
      <c r="CW121" s="285"/>
      <c r="CX121" s="285"/>
      <c r="CY121" s="285"/>
      <c r="CZ121" s="285"/>
      <c r="DA121" s="285"/>
      <c r="DB121" s="285"/>
      <c r="DC121" s="285"/>
      <c r="DD121" s="285"/>
      <c r="DE121" s="285"/>
      <c r="DF121" s="285"/>
      <c r="DG121" s="285"/>
      <c r="DH121" s="285"/>
      <c r="DI121" s="285"/>
      <c r="DJ121" s="285"/>
      <c r="DK121" s="285"/>
      <c r="DL121" s="285"/>
      <c r="DM121" s="285"/>
      <c r="DN121" s="285"/>
      <c r="DO121" s="285"/>
      <c r="DP121" s="285"/>
      <c r="DQ121" s="285"/>
      <c r="DR121" s="285"/>
      <c r="DS121" s="285"/>
      <c r="DT121" s="285"/>
      <c r="DU121" s="285"/>
      <c r="DV121" s="285"/>
      <c r="DW121" s="285"/>
      <c r="DX121" s="285"/>
      <c r="DY121" s="285"/>
      <c r="DZ121" s="285"/>
      <c r="EA121" s="285"/>
      <c r="EB121" s="285"/>
      <c r="EC121" s="285"/>
      <c r="ED121" s="285"/>
      <c r="EE121" s="285"/>
      <c r="EF121" s="285"/>
      <c r="EG121" s="285"/>
      <c r="EH121" s="285"/>
      <c r="EI121" s="285"/>
      <c r="EJ121" s="285"/>
      <c r="EK121" s="285"/>
      <c r="EL121" s="285"/>
      <c r="EM121" s="285"/>
      <c r="EN121" s="285"/>
      <c r="EO121" s="285"/>
      <c r="EP121" s="285"/>
      <c r="EQ121" s="285"/>
      <c r="ER121" s="285"/>
      <c r="ES121" s="285"/>
      <c r="ET121" s="285"/>
      <c r="EU121" s="285"/>
      <c r="EV121" s="285"/>
      <c r="EW121" s="285"/>
      <c r="EX121" s="285"/>
      <c r="EY121" s="285"/>
      <c r="EZ121" s="285"/>
      <c r="FA121" s="285"/>
      <c r="FB121" s="285"/>
      <c r="FC121" s="285"/>
      <c r="FD121" s="285"/>
      <c r="FE121" s="285"/>
      <c r="FF121" s="285"/>
      <c r="FG121" s="285"/>
      <c r="FH121" s="285"/>
      <c r="FI121" s="285"/>
      <c r="FJ121" s="285"/>
      <c r="FK121" s="285"/>
      <c r="FL121" s="285"/>
      <c r="FM121" s="285"/>
      <c r="FN121" s="285"/>
      <c r="FO121" s="285"/>
      <c r="FP121" s="285"/>
      <c r="FQ121" s="285"/>
      <c r="FR121" s="285"/>
      <c r="FS121" s="285"/>
      <c r="FT121" s="285"/>
      <c r="FU121" s="285"/>
      <c r="FV121" s="285"/>
      <c r="FW121" s="285"/>
      <c r="FX121" s="285"/>
      <c r="FY121" s="285"/>
      <c r="FZ121" s="285"/>
      <c r="GA121" s="285"/>
      <c r="GB121" s="285"/>
      <c r="GC121" s="285"/>
      <c r="GD121" s="285"/>
      <c r="GE121" s="285"/>
      <c r="GF121" s="285"/>
      <c r="GG121" s="285"/>
      <c r="GH121" s="285"/>
      <c r="GI121" s="285"/>
      <c r="GJ121" s="285"/>
      <c r="GK121" s="285"/>
      <c r="GL121" s="285"/>
      <c r="GM121" s="285"/>
      <c r="GN121" s="285"/>
      <c r="GO121" s="285"/>
      <c r="GP121" s="285"/>
      <c r="GQ121" s="285"/>
      <c r="GR121" s="285"/>
      <c r="GS121" s="285"/>
      <c r="GT121" s="285"/>
      <c r="GU121" s="285"/>
      <c r="GV121" s="285"/>
      <c r="GW121" s="285"/>
      <c r="GX121" s="285"/>
      <c r="GY121" s="285"/>
      <c r="GZ121" s="285"/>
    </row>
    <row r="122" spans="1:208" ht="15">
      <c r="A122" s="280">
        <v>30</v>
      </c>
      <c r="B122" s="332">
        <v>44767</v>
      </c>
      <c r="C122" s="333">
        <v>1106184</v>
      </c>
      <c r="D122" s="282" t="s">
        <v>4404</v>
      </c>
      <c r="E122" s="333" t="s">
        <v>4250</v>
      </c>
      <c r="F122" s="333" t="s">
        <v>4251</v>
      </c>
      <c r="G122" s="333">
        <v>3185</v>
      </c>
      <c r="H122" s="333">
        <v>28</v>
      </c>
      <c r="I122" s="282">
        <v>4502376411</v>
      </c>
      <c r="J122" s="333">
        <v>3025457</v>
      </c>
      <c r="K122" s="282">
        <v>4902310775</v>
      </c>
      <c r="L122" s="282" t="s">
        <v>4252</v>
      </c>
      <c r="M122" s="283">
        <v>13594</v>
      </c>
      <c r="N122" s="333">
        <v>8100</v>
      </c>
      <c r="O122" s="284">
        <f t="shared" si="24"/>
        <v>110111400</v>
      </c>
      <c r="P122" s="285">
        <f t="shared" si="25"/>
        <v>2</v>
      </c>
      <c r="Q122" s="351" t="s">
        <v>3455</v>
      </c>
      <c r="R122" s="282">
        <v>1040968</v>
      </c>
      <c r="S122" s="312">
        <v>5958400</v>
      </c>
      <c r="T122" s="285"/>
      <c r="U122" s="285"/>
      <c r="V122" s="285"/>
      <c r="W122" s="285"/>
      <c r="X122" s="285"/>
      <c r="Y122" s="285"/>
      <c r="Z122" s="285"/>
      <c r="AA122" s="285"/>
      <c r="AB122" s="285"/>
      <c r="AC122" s="285"/>
      <c r="AD122" s="285"/>
      <c r="AE122" s="285"/>
      <c r="AF122" s="285"/>
      <c r="AG122" s="285"/>
      <c r="AH122" s="285"/>
      <c r="AI122" s="285"/>
      <c r="AJ122" s="285"/>
      <c r="AK122" s="285"/>
      <c r="AL122" s="285"/>
      <c r="AM122" s="285"/>
      <c r="AN122" s="285"/>
      <c r="AO122" s="285"/>
      <c r="AP122" s="285"/>
      <c r="AQ122" s="285"/>
      <c r="AR122" s="285"/>
      <c r="AS122" s="285"/>
      <c r="AT122" s="285"/>
      <c r="AU122" s="285"/>
      <c r="AV122" s="285"/>
      <c r="AW122" s="285"/>
      <c r="AX122" s="285"/>
      <c r="AY122" s="285"/>
      <c r="AZ122" s="285"/>
      <c r="BA122" s="285"/>
      <c r="BB122" s="285"/>
      <c r="BC122" s="285"/>
      <c r="BD122" s="285"/>
      <c r="BE122" s="285"/>
      <c r="BF122" s="285"/>
      <c r="BG122" s="285"/>
      <c r="BH122" s="285"/>
      <c r="BI122" s="285"/>
      <c r="BJ122" s="285"/>
      <c r="BK122" s="285"/>
      <c r="BL122" s="285"/>
      <c r="BM122" s="285"/>
      <c r="BN122" s="285"/>
      <c r="BO122" s="285"/>
      <c r="BP122" s="285"/>
      <c r="BQ122" s="285"/>
      <c r="BR122" s="285"/>
      <c r="BS122" s="285"/>
      <c r="BT122" s="285"/>
      <c r="BU122" s="285"/>
      <c r="BV122" s="285"/>
      <c r="BW122" s="285"/>
      <c r="BX122" s="285"/>
      <c r="BY122" s="285"/>
      <c r="BZ122" s="285"/>
      <c r="CA122" s="285"/>
      <c r="CB122" s="285"/>
      <c r="CC122" s="285"/>
      <c r="CD122" s="285"/>
      <c r="CE122" s="285"/>
      <c r="CF122" s="285"/>
      <c r="CG122" s="285"/>
      <c r="CH122" s="285"/>
      <c r="CI122" s="285"/>
      <c r="CJ122" s="285"/>
      <c r="CK122" s="285"/>
      <c r="CL122" s="285"/>
      <c r="CM122" s="285"/>
      <c r="CN122" s="285"/>
      <c r="CO122" s="285"/>
      <c r="CP122" s="285"/>
      <c r="CQ122" s="285"/>
      <c r="CR122" s="285"/>
      <c r="CS122" s="285"/>
      <c r="CT122" s="285"/>
      <c r="CU122" s="285"/>
      <c r="CV122" s="285"/>
      <c r="CW122" s="285"/>
      <c r="CX122" s="285"/>
      <c r="CY122" s="285"/>
      <c r="CZ122" s="285"/>
      <c r="DA122" s="285"/>
      <c r="DB122" s="285"/>
      <c r="DC122" s="285"/>
      <c r="DD122" s="285"/>
      <c r="DE122" s="285"/>
      <c r="DF122" s="285"/>
      <c r="DG122" s="285"/>
      <c r="DH122" s="285"/>
      <c r="DI122" s="285"/>
      <c r="DJ122" s="285"/>
      <c r="DK122" s="285"/>
      <c r="DL122" s="285"/>
      <c r="DM122" s="285"/>
      <c r="DN122" s="285"/>
      <c r="DO122" s="285"/>
      <c r="DP122" s="285"/>
      <c r="DQ122" s="285"/>
      <c r="DR122" s="285"/>
      <c r="DS122" s="285"/>
      <c r="DT122" s="285"/>
      <c r="DU122" s="285"/>
      <c r="DV122" s="285"/>
      <c r="DW122" s="285"/>
      <c r="DX122" s="285"/>
      <c r="DY122" s="285"/>
      <c r="DZ122" s="285"/>
      <c r="EA122" s="285"/>
      <c r="EB122" s="285"/>
      <c r="EC122" s="285"/>
      <c r="ED122" s="285"/>
      <c r="EE122" s="285"/>
      <c r="EF122" s="285"/>
      <c r="EG122" s="285"/>
      <c r="EH122" s="285"/>
      <c r="EI122" s="285"/>
      <c r="EJ122" s="285"/>
      <c r="EK122" s="285"/>
      <c r="EL122" s="285"/>
      <c r="EM122" s="285"/>
      <c r="EN122" s="285"/>
      <c r="EO122" s="285"/>
      <c r="EP122" s="285"/>
      <c r="EQ122" s="285"/>
      <c r="ER122" s="285"/>
      <c r="ES122" s="285"/>
      <c r="ET122" s="285"/>
      <c r="EU122" s="285"/>
      <c r="EV122" s="285"/>
      <c r="EW122" s="285"/>
      <c r="EX122" s="285"/>
      <c r="EY122" s="285"/>
      <c r="EZ122" s="285"/>
      <c r="FA122" s="285"/>
      <c r="FB122" s="285"/>
      <c r="FC122" s="285"/>
      <c r="FD122" s="285"/>
      <c r="FE122" s="285"/>
      <c r="FF122" s="285"/>
      <c r="FG122" s="285"/>
      <c r="FH122" s="285"/>
      <c r="FI122" s="285"/>
      <c r="FJ122" s="285"/>
      <c r="FK122" s="285"/>
      <c r="FL122" s="285"/>
      <c r="FM122" s="285"/>
      <c r="FN122" s="285"/>
      <c r="FO122" s="285"/>
      <c r="FP122" s="285"/>
      <c r="FQ122" s="285"/>
      <c r="FR122" s="285"/>
      <c r="FS122" s="285"/>
      <c r="FT122" s="285"/>
      <c r="FU122" s="285"/>
      <c r="FV122" s="285"/>
      <c r="FW122" s="285"/>
      <c r="FX122" s="285"/>
      <c r="FY122" s="285"/>
      <c r="FZ122" s="285"/>
      <c r="GA122" s="285"/>
      <c r="GB122" s="285"/>
      <c r="GC122" s="285"/>
      <c r="GD122" s="285"/>
      <c r="GE122" s="285"/>
      <c r="GF122" s="285"/>
      <c r="GG122" s="285"/>
      <c r="GH122" s="285"/>
      <c r="GI122" s="285"/>
      <c r="GJ122" s="285"/>
      <c r="GK122" s="285"/>
      <c r="GL122" s="285"/>
      <c r="GM122" s="285"/>
      <c r="GN122" s="285"/>
      <c r="GO122" s="285"/>
      <c r="GP122" s="285"/>
      <c r="GQ122" s="285"/>
      <c r="GR122" s="285"/>
      <c r="GS122" s="285"/>
      <c r="GT122" s="285"/>
      <c r="GU122" s="285"/>
      <c r="GV122" s="285"/>
      <c r="GW122" s="285"/>
      <c r="GX122" s="285"/>
      <c r="GY122" s="285"/>
      <c r="GZ122" s="285"/>
    </row>
    <row r="123" spans="1:208" ht="15">
      <c r="A123" s="280">
        <v>30</v>
      </c>
      <c r="B123" s="332">
        <v>44767</v>
      </c>
      <c r="C123" s="333">
        <v>1075952</v>
      </c>
      <c r="D123" s="282" t="s">
        <v>4405</v>
      </c>
      <c r="E123" s="333" t="s">
        <v>4359</v>
      </c>
      <c r="F123" s="333" t="s">
        <v>4251</v>
      </c>
      <c r="G123" s="333">
        <v>3182</v>
      </c>
      <c r="H123" s="333">
        <v>42</v>
      </c>
      <c r="I123" s="282">
        <v>4502376417</v>
      </c>
      <c r="J123" s="333">
        <v>3025457</v>
      </c>
      <c r="K123" s="282">
        <v>4902310777</v>
      </c>
      <c r="L123" s="282" t="s">
        <v>4252</v>
      </c>
      <c r="M123" s="283">
        <v>23166</v>
      </c>
      <c r="N123" s="333">
        <v>8350</v>
      </c>
      <c r="O123" s="284">
        <f t="shared" si="24"/>
        <v>193436100</v>
      </c>
      <c r="P123" s="285">
        <f t="shared" si="25"/>
        <v>3</v>
      </c>
      <c r="Q123" s="351" t="s">
        <v>3455</v>
      </c>
      <c r="R123" s="282">
        <v>1040968</v>
      </c>
      <c r="S123" s="312">
        <v>5522700</v>
      </c>
      <c r="T123" s="285"/>
      <c r="U123" s="285"/>
      <c r="V123" s="285"/>
      <c r="W123" s="285"/>
      <c r="X123" s="285"/>
      <c r="Y123" s="285"/>
      <c r="Z123" s="285"/>
      <c r="AA123" s="285"/>
      <c r="AB123" s="285"/>
      <c r="AC123" s="285"/>
      <c r="AD123" s="285"/>
      <c r="AE123" s="285"/>
      <c r="AF123" s="285"/>
      <c r="AG123" s="285"/>
      <c r="AH123" s="285"/>
      <c r="AI123" s="285"/>
      <c r="AJ123" s="285"/>
      <c r="AK123" s="285"/>
      <c r="AL123" s="285"/>
      <c r="AM123" s="285"/>
      <c r="AN123" s="285"/>
      <c r="AO123" s="285"/>
      <c r="AP123" s="285"/>
      <c r="AQ123" s="285"/>
      <c r="AR123" s="285"/>
      <c r="AS123" s="285"/>
      <c r="AT123" s="285"/>
      <c r="AU123" s="285"/>
      <c r="AV123" s="285"/>
      <c r="AW123" s="285"/>
      <c r="AX123" s="285"/>
      <c r="AY123" s="285"/>
      <c r="AZ123" s="285"/>
      <c r="BA123" s="285"/>
      <c r="BB123" s="285"/>
      <c r="BC123" s="285"/>
      <c r="BD123" s="285"/>
      <c r="BE123" s="285"/>
      <c r="BF123" s="285"/>
      <c r="BG123" s="285"/>
      <c r="BH123" s="285"/>
      <c r="BI123" s="285"/>
      <c r="BJ123" s="285"/>
      <c r="BK123" s="285"/>
      <c r="BL123" s="285"/>
      <c r="BM123" s="285"/>
      <c r="BN123" s="285"/>
      <c r="BO123" s="285"/>
      <c r="BP123" s="285"/>
      <c r="BQ123" s="285"/>
      <c r="BR123" s="285"/>
      <c r="BS123" s="285"/>
      <c r="BT123" s="285"/>
      <c r="BU123" s="285"/>
      <c r="BV123" s="285"/>
      <c r="BW123" s="285"/>
      <c r="BX123" s="285"/>
      <c r="BY123" s="285"/>
      <c r="BZ123" s="285"/>
      <c r="CA123" s="285"/>
      <c r="CB123" s="285"/>
      <c r="CC123" s="285"/>
      <c r="CD123" s="285"/>
      <c r="CE123" s="285"/>
      <c r="CF123" s="285"/>
      <c r="CG123" s="285"/>
      <c r="CH123" s="285"/>
      <c r="CI123" s="285"/>
      <c r="CJ123" s="285"/>
      <c r="CK123" s="285"/>
      <c r="CL123" s="285"/>
      <c r="CM123" s="285"/>
      <c r="CN123" s="285"/>
      <c r="CO123" s="285"/>
      <c r="CP123" s="285"/>
      <c r="CQ123" s="285"/>
      <c r="CR123" s="285"/>
      <c r="CS123" s="285"/>
      <c r="CT123" s="285"/>
      <c r="CU123" s="285"/>
      <c r="CV123" s="285"/>
      <c r="CW123" s="285"/>
      <c r="CX123" s="285"/>
      <c r="CY123" s="285"/>
      <c r="CZ123" s="285"/>
      <c r="DA123" s="285"/>
      <c r="DB123" s="285"/>
      <c r="DC123" s="285"/>
      <c r="DD123" s="285"/>
      <c r="DE123" s="285"/>
      <c r="DF123" s="285"/>
      <c r="DG123" s="285"/>
      <c r="DH123" s="285"/>
      <c r="DI123" s="285"/>
      <c r="DJ123" s="285"/>
      <c r="DK123" s="285"/>
      <c r="DL123" s="285"/>
      <c r="DM123" s="285"/>
      <c r="DN123" s="285"/>
      <c r="DO123" s="285"/>
      <c r="DP123" s="285"/>
      <c r="DQ123" s="285"/>
      <c r="DR123" s="285"/>
      <c r="DS123" s="285"/>
      <c r="DT123" s="285"/>
      <c r="DU123" s="285"/>
      <c r="DV123" s="285"/>
      <c r="DW123" s="285"/>
      <c r="DX123" s="285"/>
      <c r="DY123" s="285"/>
      <c r="DZ123" s="285"/>
      <c r="EA123" s="285"/>
      <c r="EB123" s="285"/>
      <c r="EC123" s="285"/>
      <c r="ED123" s="285"/>
      <c r="EE123" s="285"/>
      <c r="EF123" s="285"/>
      <c r="EG123" s="285"/>
      <c r="EH123" s="285"/>
      <c r="EI123" s="285"/>
      <c r="EJ123" s="285"/>
      <c r="EK123" s="285"/>
      <c r="EL123" s="285"/>
      <c r="EM123" s="285"/>
      <c r="EN123" s="285"/>
      <c r="EO123" s="285"/>
      <c r="EP123" s="285"/>
      <c r="EQ123" s="285"/>
      <c r="ER123" s="285"/>
      <c r="ES123" s="285"/>
      <c r="ET123" s="285"/>
      <c r="EU123" s="285"/>
      <c r="EV123" s="285"/>
      <c r="EW123" s="285"/>
      <c r="EX123" s="285"/>
      <c r="EY123" s="285"/>
      <c r="EZ123" s="285"/>
      <c r="FA123" s="285"/>
      <c r="FB123" s="285"/>
      <c r="FC123" s="285"/>
      <c r="FD123" s="285"/>
      <c r="FE123" s="285"/>
      <c r="FF123" s="285"/>
      <c r="FG123" s="285"/>
      <c r="FH123" s="285"/>
      <c r="FI123" s="285"/>
      <c r="FJ123" s="285"/>
      <c r="FK123" s="285"/>
      <c r="FL123" s="285"/>
      <c r="FM123" s="285"/>
      <c r="FN123" s="285"/>
      <c r="FO123" s="285"/>
      <c r="FP123" s="285"/>
      <c r="FQ123" s="285"/>
      <c r="FR123" s="285"/>
      <c r="FS123" s="285"/>
      <c r="FT123" s="285"/>
      <c r="FU123" s="285"/>
      <c r="FV123" s="285"/>
      <c r="FW123" s="285"/>
      <c r="FX123" s="285"/>
      <c r="FY123" s="285"/>
      <c r="FZ123" s="285"/>
      <c r="GA123" s="285"/>
      <c r="GB123" s="285"/>
      <c r="GC123" s="285"/>
      <c r="GD123" s="285"/>
      <c r="GE123" s="285"/>
      <c r="GF123" s="285"/>
      <c r="GG123" s="285"/>
      <c r="GH123" s="285"/>
      <c r="GI123" s="285"/>
      <c r="GJ123" s="285"/>
      <c r="GK123" s="285"/>
      <c r="GL123" s="285"/>
      <c r="GM123" s="285"/>
      <c r="GN123" s="285"/>
      <c r="GO123" s="285"/>
      <c r="GP123" s="285"/>
      <c r="GQ123" s="285"/>
      <c r="GR123" s="285"/>
      <c r="GS123" s="285"/>
      <c r="GT123" s="285"/>
      <c r="GU123" s="285"/>
      <c r="GV123" s="285"/>
      <c r="GW123" s="285"/>
      <c r="GX123" s="285"/>
      <c r="GY123" s="285"/>
      <c r="GZ123" s="285"/>
    </row>
    <row r="124" spans="1:208" ht="15">
      <c r="A124" s="280">
        <v>30</v>
      </c>
      <c r="B124" s="347">
        <v>44768</v>
      </c>
      <c r="C124" s="333">
        <v>1036751</v>
      </c>
      <c r="D124" s="282" t="s">
        <v>4406</v>
      </c>
      <c r="E124" s="333" t="s">
        <v>4258</v>
      </c>
      <c r="F124" s="333" t="s">
        <v>4275</v>
      </c>
      <c r="G124" s="333">
        <v>3180</v>
      </c>
      <c r="H124" s="333">
        <v>70</v>
      </c>
      <c r="I124" s="282">
        <v>4502365447</v>
      </c>
      <c r="J124" s="352">
        <v>3025459</v>
      </c>
      <c r="K124" s="282">
        <v>4902310780</v>
      </c>
      <c r="L124" s="282" t="s">
        <v>4252</v>
      </c>
      <c r="M124" s="283">
        <v>36591</v>
      </c>
      <c r="N124" s="333">
        <v>9635</v>
      </c>
      <c r="O124" s="284">
        <f t="shared" si="24"/>
        <v>352554285</v>
      </c>
      <c r="P124" s="285">
        <f t="shared" si="25"/>
        <v>5</v>
      </c>
      <c r="Q124" s="351" t="s">
        <v>3455</v>
      </c>
      <c r="R124" s="282">
        <v>1040968</v>
      </c>
      <c r="S124" s="312">
        <v>8750000</v>
      </c>
      <c r="T124" s="285"/>
      <c r="U124" s="285"/>
      <c r="V124" s="285"/>
      <c r="W124" s="285"/>
      <c r="X124" s="285"/>
      <c r="Y124" s="285"/>
      <c r="Z124" s="285"/>
      <c r="AA124" s="285"/>
      <c r="AB124" s="285"/>
      <c r="AC124" s="285"/>
      <c r="AD124" s="285"/>
      <c r="AE124" s="285"/>
      <c r="AF124" s="285"/>
      <c r="AG124" s="285"/>
      <c r="AH124" s="285"/>
      <c r="AI124" s="285"/>
      <c r="AJ124" s="285"/>
      <c r="AK124" s="285"/>
      <c r="AL124" s="285"/>
      <c r="AM124" s="285"/>
      <c r="AN124" s="285"/>
      <c r="AO124" s="285"/>
      <c r="AP124" s="285"/>
      <c r="AQ124" s="285"/>
      <c r="AR124" s="285"/>
      <c r="AS124" s="285"/>
      <c r="AT124" s="285"/>
      <c r="AU124" s="285"/>
      <c r="AV124" s="285"/>
      <c r="AW124" s="285"/>
      <c r="AX124" s="285"/>
      <c r="AY124" s="285"/>
      <c r="AZ124" s="285"/>
      <c r="BA124" s="285"/>
      <c r="BB124" s="285"/>
      <c r="BC124" s="285"/>
      <c r="BD124" s="285"/>
      <c r="BE124" s="285"/>
      <c r="BF124" s="285"/>
      <c r="BG124" s="285"/>
      <c r="BH124" s="285"/>
      <c r="BI124" s="285"/>
      <c r="BJ124" s="285"/>
      <c r="BK124" s="285"/>
      <c r="BL124" s="285"/>
      <c r="BM124" s="285"/>
      <c r="BN124" s="285"/>
      <c r="BO124" s="285"/>
      <c r="BP124" s="285"/>
      <c r="BQ124" s="285"/>
      <c r="BR124" s="285"/>
      <c r="BS124" s="285"/>
      <c r="BT124" s="285"/>
      <c r="BU124" s="285"/>
      <c r="BV124" s="285"/>
      <c r="BW124" s="285"/>
      <c r="BX124" s="285"/>
      <c r="BY124" s="285"/>
      <c r="BZ124" s="285"/>
      <c r="CA124" s="285"/>
      <c r="CB124" s="285"/>
      <c r="CC124" s="285"/>
      <c r="CD124" s="285"/>
      <c r="CE124" s="285"/>
      <c r="CF124" s="285"/>
      <c r="CG124" s="285"/>
      <c r="CH124" s="285"/>
      <c r="CI124" s="285"/>
      <c r="CJ124" s="285"/>
      <c r="CK124" s="285"/>
      <c r="CL124" s="285"/>
      <c r="CM124" s="285"/>
      <c r="CN124" s="285"/>
      <c r="CO124" s="285"/>
      <c r="CP124" s="285"/>
      <c r="CQ124" s="285"/>
      <c r="CR124" s="285"/>
      <c r="CS124" s="285"/>
      <c r="CT124" s="285"/>
      <c r="CU124" s="285"/>
      <c r="CV124" s="285"/>
      <c r="CW124" s="285"/>
      <c r="CX124" s="285"/>
      <c r="CY124" s="285"/>
      <c r="CZ124" s="285"/>
      <c r="DA124" s="285"/>
      <c r="DB124" s="285"/>
      <c r="DC124" s="285"/>
      <c r="DD124" s="285"/>
      <c r="DE124" s="285"/>
      <c r="DF124" s="285"/>
      <c r="DG124" s="285"/>
      <c r="DH124" s="285"/>
      <c r="DI124" s="285"/>
      <c r="DJ124" s="285"/>
      <c r="DK124" s="285"/>
      <c r="DL124" s="285"/>
      <c r="DM124" s="285"/>
      <c r="DN124" s="285"/>
      <c r="DO124" s="285"/>
      <c r="DP124" s="285"/>
      <c r="DQ124" s="285"/>
      <c r="DR124" s="285"/>
      <c r="DS124" s="285"/>
      <c r="DT124" s="285"/>
      <c r="DU124" s="285"/>
      <c r="DV124" s="285"/>
      <c r="DW124" s="285"/>
      <c r="DX124" s="285"/>
      <c r="DY124" s="285"/>
      <c r="DZ124" s="285"/>
      <c r="EA124" s="285"/>
      <c r="EB124" s="285"/>
      <c r="EC124" s="285"/>
      <c r="ED124" s="285"/>
      <c r="EE124" s="285"/>
      <c r="EF124" s="285"/>
      <c r="EG124" s="285"/>
      <c r="EH124" s="285"/>
      <c r="EI124" s="285"/>
      <c r="EJ124" s="285"/>
      <c r="EK124" s="285"/>
      <c r="EL124" s="285"/>
      <c r="EM124" s="285"/>
      <c r="EN124" s="285"/>
      <c r="EO124" s="285"/>
      <c r="EP124" s="285"/>
      <c r="EQ124" s="285"/>
      <c r="ER124" s="285"/>
      <c r="ES124" s="285"/>
      <c r="ET124" s="285"/>
      <c r="EU124" s="285"/>
      <c r="EV124" s="285"/>
      <c r="EW124" s="285"/>
      <c r="EX124" s="285"/>
      <c r="EY124" s="285"/>
      <c r="EZ124" s="285"/>
      <c r="FA124" s="285"/>
      <c r="FB124" s="285"/>
      <c r="FC124" s="285"/>
      <c r="FD124" s="285"/>
      <c r="FE124" s="285"/>
      <c r="FF124" s="285"/>
      <c r="FG124" s="285"/>
      <c r="FH124" s="285"/>
      <c r="FI124" s="285"/>
      <c r="FJ124" s="285"/>
      <c r="FK124" s="285"/>
      <c r="FL124" s="285"/>
      <c r="FM124" s="285"/>
      <c r="FN124" s="285"/>
      <c r="FO124" s="285"/>
      <c r="FP124" s="285"/>
      <c r="FQ124" s="285"/>
      <c r="FR124" s="285"/>
      <c r="FS124" s="285"/>
      <c r="FT124" s="285"/>
      <c r="FU124" s="285"/>
      <c r="FV124" s="285"/>
      <c r="FW124" s="285"/>
      <c r="FX124" s="285"/>
      <c r="FY124" s="285"/>
      <c r="FZ124" s="285"/>
      <c r="GA124" s="285"/>
      <c r="GB124" s="285"/>
      <c r="GC124" s="285"/>
      <c r="GD124" s="285"/>
      <c r="GE124" s="285"/>
      <c r="GF124" s="285"/>
      <c r="GG124" s="285"/>
      <c r="GH124" s="285"/>
      <c r="GI124" s="285"/>
      <c r="GJ124" s="285"/>
      <c r="GK124" s="285"/>
      <c r="GL124" s="285"/>
      <c r="GM124" s="285"/>
      <c r="GN124" s="285"/>
      <c r="GO124" s="285"/>
      <c r="GP124" s="285"/>
      <c r="GQ124" s="285"/>
      <c r="GR124" s="285"/>
      <c r="GS124" s="285"/>
      <c r="GT124" s="285"/>
      <c r="GU124" s="285"/>
      <c r="GV124" s="285"/>
      <c r="GW124" s="285"/>
      <c r="GX124" s="285"/>
      <c r="GY124" s="285"/>
      <c r="GZ124" s="285"/>
    </row>
    <row r="125" spans="1:208" ht="15">
      <c r="A125" s="302">
        <v>31</v>
      </c>
      <c r="B125" s="328">
        <v>44771</v>
      </c>
      <c r="C125" s="329">
        <v>1076469</v>
      </c>
      <c r="D125" s="337" t="s">
        <v>4407</v>
      </c>
      <c r="E125" s="329" t="s">
        <v>4408</v>
      </c>
      <c r="F125" s="329" t="s">
        <v>4251</v>
      </c>
      <c r="G125" s="329">
        <v>3179</v>
      </c>
      <c r="H125" s="329">
        <v>56</v>
      </c>
      <c r="I125" s="337">
        <v>4502380954</v>
      </c>
      <c r="J125" s="329">
        <v>3025457</v>
      </c>
      <c r="K125" s="304">
        <v>4902316679</v>
      </c>
      <c r="L125" s="304" t="s">
        <v>4252</v>
      </c>
      <c r="M125" s="309">
        <v>28287</v>
      </c>
      <c r="N125" s="329">
        <v>8300</v>
      </c>
      <c r="O125" s="291">
        <f t="shared" si="24"/>
        <v>234782100</v>
      </c>
      <c r="P125" s="289">
        <f t="shared" si="25"/>
        <v>4</v>
      </c>
      <c r="Q125" s="311" t="s">
        <v>3455</v>
      </c>
      <c r="R125" s="311">
        <v>1040968</v>
      </c>
      <c r="S125" s="307">
        <v>7128000</v>
      </c>
      <c r="T125" s="307"/>
      <c r="U125" s="307"/>
      <c r="V125" s="307"/>
      <c r="W125" s="307"/>
      <c r="X125" s="307"/>
      <c r="Y125" s="307"/>
      <c r="Z125" s="307"/>
      <c r="AA125" s="307"/>
      <c r="AB125" s="307"/>
      <c r="AC125" s="307"/>
      <c r="AD125" s="307"/>
      <c r="AE125" s="307"/>
      <c r="AF125" s="307"/>
      <c r="AG125" s="307"/>
      <c r="AH125" s="307"/>
      <c r="AI125" s="307"/>
      <c r="AJ125" s="307"/>
      <c r="AK125" s="307"/>
      <c r="AL125" s="307"/>
      <c r="AM125" s="307"/>
      <c r="AN125" s="307"/>
      <c r="AO125" s="307"/>
      <c r="AP125" s="307"/>
      <c r="AQ125" s="307"/>
      <c r="AR125" s="307"/>
      <c r="AS125" s="307"/>
      <c r="AT125" s="307"/>
      <c r="AU125" s="307"/>
      <c r="AV125" s="307"/>
      <c r="AW125" s="307"/>
      <c r="AX125" s="307"/>
      <c r="AY125" s="307"/>
      <c r="AZ125" s="307"/>
      <c r="BA125" s="307"/>
      <c r="BB125" s="307"/>
      <c r="BC125" s="307"/>
      <c r="BD125" s="307"/>
      <c r="BE125" s="307"/>
      <c r="BF125" s="307"/>
      <c r="BG125" s="307"/>
      <c r="BH125" s="307"/>
      <c r="BI125" s="307"/>
      <c r="BJ125" s="307"/>
      <c r="BK125" s="307"/>
      <c r="BL125" s="307"/>
      <c r="BM125" s="307"/>
      <c r="BN125" s="307"/>
      <c r="BO125" s="307"/>
      <c r="BP125" s="307"/>
      <c r="BQ125" s="307"/>
      <c r="BR125" s="307"/>
      <c r="BS125" s="307"/>
      <c r="BT125" s="307"/>
      <c r="BU125" s="307"/>
      <c r="BV125" s="307"/>
      <c r="BW125" s="307"/>
      <c r="BX125" s="307"/>
      <c r="BY125" s="307"/>
      <c r="BZ125" s="307"/>
      <c r="CA125" s="307"/>
      <c r="CB125" s="307"/>
      <c r="CC125" s="307"/>
      <c r="CD125" s="307"/>
      <c r="CE125" s="307"/>
      <c r="CF125" s="307"/>
      <c r="CG125" s="307"/>
      <c r="CH125" s="307"/>
      <c r="CI125" s="307"/>
      <c r="CJ125" s="307"/>
      <c r="CK125" s="307"/>
      <c r="CL125" s="307"/>
      <c r="CM125" s="307"/>
      <c r="CN125" s="307"/>
      <c r="CO125" s="307"/>
      <c r="CP125" s="307"/>
      <c r="CQ125" s="307"/>
      <c r="CR125" s="307"/>
      <c r="CS125" s="307"/>
      <c r="CT125" s="307"/>
      <c r="CU125" s="307"/>
      <c r="CV125" s="307"/>
      <c r="CW125" s="307"/>
      <c r="CX125" s="307"/>
      <c r="CY125" s="307"/>
      <c r="CZ125" s="307"/>
      <c r="DA125" s="307"/>
      <c r="DB125" s="307"/>
      <c r="DC125" s="307"/>
      <c r="DD125" s="307"/>
      <c r="DE125" s="307"/>
      <c r="DF125" s="307"/>
      <c r="DG125" s="307"/>
      <c r="DH125" s="307"/>
      <c r="DI125" s="307"/>
      <c r="DJ125" s="307"/>
      <c r="DK125" s="307"/>
      <c r="DL125" s="307"/>
      <c r="DM125" s="307"/>
      <c r="DN125" s="307"/>
      <c r="DO125" s="307"/>
      <c r="DP125" s="307"/>
      <c r="DQ125" s="307"/>
      <c r="DR125" s="307"/>
      <c r="DS125" s="307"/>
      <c r="DT125" s="307"/>
      <c r="DU125" s="307"/>
      <c r="DV125" s="307"/>
      <c r="DW125" s="307"/>
      <c r="DX125" s="307"/>
      <c r="DY125" s="307"/>
      <c r="DZ125" s="307"/>
      <c r="EA125" s="307"/>
      <c r="EB125" s="307"/>
      <c r="EC125" s="307"/>
      <c r="ED125" s="307"/>
      <c r="EE125" s="307"/>
      <c r="EF125" s="307"/>
      <c r="EG125" s="307"/>
      <c r="EH125" s="307"/>
      <c r="EI125" s="307"/>
      <c r="EJ125" s="307"/>
      <c r="EK125" s="307"/>
      <c r="EL125" s="307"/>
      <c r="EM125" s="307"/>
      <c r="EN125" s="307"/>
      <c r="EO125" s="307"/>
      <c r="EP125" s="307"/>
      <c r="EQ125" s="307"/>
      <c r="ER125" s="307"/>
      <c r="ES125" s="307"/>
      <c r="ET125" s="307"/>
      <c r="EU125" s="307"/>
      <c r="EV125" s="307"/>
      <c r="EW125" s="307"/>
      <c r="EX125" s="307"/>
      <c r="EY125" s="307"/>
      <c r="EZ125" s="307"/>
      <c r="FA125" s="307"/>
      <c r="FB125" s="307"/>
      <c r="FC125" s="307"/>
      <c r="FD125" s="307"/>
      <c r="FE125" s="307"/>
      <c r="FF125" s="307"/>
      <c r="FG125" s="307"/>
      <c r="FH125" s="307"/>
      <c r="FI125" s="307"/>
      <c r="FJ125" s="307"/>
      <c r="FK125" s="307"/>
      <c r="FL125" s="307"/>
      <c r="FM125" s="307"/>
      <c r="FN125" s="307"/>
      <c r="FO125" s="307"/>
      <c r="FP125" s="307"/>
      <c r="FQ125" s="307"/>
      <c r="FR125" s="307"/>
      <c r="FS125" s="307"/>
      <c r="FT125" s="307"/>
      <c r="FU125" s="307"/>
      <c r="FV125" s="307"/>
      <c r="FW125" s="307"/>
      <c r="FX125" s="307"/>
      <c r="FY125" s="307"/>
      <c r="FZ125" s="307"/>
      <c r="GA125" s="307"/>
      <c r="GB125" s="307"/>
      <c r="GC125" s="307"/>
      <c r="GD125" s="307"/>
      <c r="GE125" s="307"/>
      <c r="GF125" s="307"/>
      <c r="GG125" s="307"/>
      <c r="GH125" s="307"/>
      <c r="GI125" s="307"/>
      <c r="GJ125" s="307"/>
      <c r="GK125" s="307"/>
      <c r="GL125" s="307"/>
      <c r="GM125" s="307"/>
      <c r="GN125" s="307"/>
      <c r="GO125" s="307"/>
      <c r="GP125" s="307"/>
      <c r="GQ125" s="307"/>
      <c r="GR125" s="307"/>
      <c r="GS125" s="307"/>
      <c r="GT125" s="307"/>
      <c r="GU125" s="307"/>
      <c r="GV125" s="307"/>
      <c r="GW125" s="307"/>
      <c r="GX125" s="307"/>
      <c r="GY125" s="307"/>
      <c r="GZ125" s="307"/>
    </row>
    <row r="126" spans="1:208" ht="15">
      <c r="A126" s="302">
        <v>31</v>
      </c>
      <c r="B126" s="328">
        <v>44772</v>
      </c>
      <c r="C126" s="329">
        <v>1102323</v>
      </c>
      <c r="D126" s="337" t="s">
        <v>4409</v>
      </c>
      <c r="E126" s="337" t="s">
        <v>4330</v>
      </c>
      <c r="F126" s="329" t="s">
        <v>4251</v>
      </c>
      <c r="G126" s="329">
        <v>3199</v>
      </c>
      <c r="H126" s="329">
        <v>28</v>
      </c>
      <c r="I126" s="337">
        <v>4502380957</v>
      </c>
      <c r="J126" s="329">
        <v>3025457</v>
      </c>
      <c r="K126" s="304">
        <v>4902316691</v>
      </c>
      <c r="L126" s="304" t="s">
        <v>4252</v>
      </c>
      <c r="M126" s="309">
        <v>15313</v>
      </c>
      <c r="N126" s="329">
        <v>8150</v>
      </c>
      <c r="O126" s="291">
        <f t="shared" si="24"/>
        <v>124800950</v>
      </c>
      <c r="P126" s="289">
        <f t="shared" si="25"/>
        <v>2</v>
      </c>
      <c r="Q126" s="311" t="s">
        <v>3455</v>
      </c>
      <c r="R126" s="311">
        <v>1040968</v>
      </c>
      <c r="S126" s="307">
        <v>5965200</v>
      </c>
      <c r="T126" s="307"/>
      <c r="U126" s="307"/>
      <c r="V126" s="307"/>
      <c r="W126" s="307"/>
      <c r="X126" s="307"/>
      <c r="Y126" s="307"/>
      <c r="Z126" s="307"/>
      <c r="AA126" s="307"/>
      <c r="AB126" s="307"/>
      <c r="AC126" s="307"/>
      <c r="AD126" s="307"/>
      <c r="AE126" s="307"/>
      <c r="AF126" s="307"/>
      <c r="AG126" s="307"/>
      <c r="AH126" s="307"/>
      <c r="AI126" s="307"/>
      <c r="AJ126" s="307"/>
      <c r="AK126" s="307"/>
      <c r="AL126" s="307"/>
      <c r="AM126" s="307"/>
      <c r="AN126" s="307"/>
      <c r="AO126" s="307"/>
      <c r="AP126" s="307"/>
      <c r="AQ126" s="307"/>
      <c r="AR126" s="307"/>
      <c r="AS126" s="307"/>
      <c r="AT126" s="307"/>
      <c r="AU126" s="307"/>
      <c r="AV126" s="307"/>
      <c r="AW126" s="307"/>
      <c r="AX126" s="307"/>
      <c r="AY126" s="307"/>
      <c r="AZ126" s="307"/>
      <c r="BA126" s="307"/>
      <c r="BB126" s="307"/>
      <c r="BC126" s="307"/>
      <c r="BD126" s="307"/>
      <c r="BE126" s="307"/>
      <c r="BF126" s="307"/>
      <c r="BG126" s="307"/>
      <c r="BH126" s="307"/>
      <c r="BI126" s="307"/>
      <c r="BJ126" s="307"/>
      <c r="BK126" s="307"/>
      <c r="BL126" s="307"/>
      <c r="BM126" s="307"/>
      <c r="BN126" s="307"/>
      <c r="BO126" s="307"/>
      <c r="BP126" s="307"/>
      <c r="BQ126" s="307"/>
      <c r="BR126" s="307"/>
      <c r="BS126" s="307"/>
      <c r="BT126" s="307"/>
      <c r="BU126" s="307"/>
      <c r="BV126" s="307"/>
      <c r="BW126" s="307"/>
      <c r="BX126" s="307"/>
      <c r="BY126" s="307"/>
      <c r="BZ126" s="307"/>
      <c r="CA126" s="307"/>
      <c r="CB126" s="307"/>
      <c r="CC126" s="307"/>
      <c r="CD126" s="307"/>
      <c r="CE126" s="307"/>
      <c r="CF126" s="307"/>
      <c r="CG126" s="307"/>
      <c r="CH126" s="307"/>
      <c r="CI126" s="307"/>
      <c r="CJ126" s="307"/>
      <c r="CK126" s="307"/>
      <c r="CL126" s="307"/>
      <c r="CM126" s="307"/>
      <c r="CN126" s="307"/>
      <c r="CO126" s="307"/>
      <c r="CP126" s="307"/>
      <c r="CQ126" s="307"/>
      <c r="CR126" s="307"/>
      <c r="CS126" s="307"/>
      <c r="CT126" s="307"/>
      <c r="CU126" s="307"/>
      <c r="CV126" s="307"/>
      <c r="CW126" s="307"/>
      <c r="CX126" s="307"/>
      <c r="CY126" s="307"/>
      <c r="CZ126" s="307"/>
      <c r="DA126" s="307"/>
      <c r="DB126" s="307"/>
      <c r="DC126" s="307"/>
      <c r="DD126" s="307"/>
      <c r="DE126" s="307"/>
      <c r="DF126" s="307"/>
      <c r="DG126" s="307"/>
      <c r="DH126" s="307"/>
      <c r="DI126" s="307"/>
      <c r="DJ126" s="307"/>
      <c r="DK126" s="307"/>
      <c r="DL126" s="307"/>
      <c r="DM126" s="307"/>
      <c r="DN126" s="307"/>
      <c r="DO126" s="307"/>
      <c r="DP126" s="307"/>
      <c r="DQ126" s="307"/>
      <c r="DR126" s="307"/>
      <c r="DS126" s="307"/>
      <c r="DT126" s="307"/>
      <c r="DU126" s="307"/>
      <c r="DV126" s="307"/>
      <c r="DW126" s="307"/>
      <c r="DX126" s="307"/>
      <c r="DY126" s="307"/>
      <c r="DZ126" s="307"/>
      <c r="EA126" s="307"/>
      <c r="EB126" s="307"/>
      <c r="EC126" s="307"/>
      <c r="ED126" s="307"/>
      <c r="EE126" s="307"/>
      <c r="EF126" s="307"/>
      <c r="EG126" s="307"/>
      <c r="EH126" s="307"/>
      <c r="EI126" s="307"/>
      <c r="EJ126" s="307"/>
      <c r="EK126" s="307"/>
      <c r="EL126" s="307"/>
      <c r="EM126" s="307"/>
      <c r="EN126" s="307"/>
      <c r="EO126" s="307"/>
      <c r="EP126" s="307"/>
      <c r="EQ126" s="307"/>
      <c r="ER126" s="307"/>
      <c r="ES126" s="307"/>
      <c r="ET126" s="307"/>
      <c r="EU126" s="307"/>
      <c r="EV126" s="307"/>
      <c r="EW126" s="307"/>
      <c r="EX126" s="307"/>
      <c r="EY126" s="307"/>
      <c r="EZ126" s="307"/>
      <c r="FA126" s="307"/>
      <c r="FB126" s="307"/>
      <c r="FC126" s="307"/>
      <c r="FD126" s="307"/>
      <c r="FE126" s="307"/>
      <c r="FF126" s="307"/>
      <c r="FG126" s="307"/>
      <c r="FH126" s="307"/>
      <c r="FI126" s="307"/>
      <c r="FJ126" s="307"/>
      <c r="FK126" s="307"/>
      <c r="FL126" s="307"/>
      <c r="FM126" s="307"/>
      <c r="FN126" s="307"/>
      <c r="FO126" s="307"/>
      <c r="FP126" s="307"/>
      <c r="FQ126" s="307"/>
      <c r="FR126" s="307"/>
      <c r="FS126" s="307"/>
      <c r="FT126" s="307"/>
      <c r="FU126" s="307"/>
      <c r="FV126" s="307"/>
      <c r="FW126" s="307"/>
      <c r="FX126" s="307"/>
      <c r="FY126" s="307"/>
      <c r="FZ126" s="307"/>
      <c r="GA126" s="307"/>
      <c r="GB126" s="307"/>
      <c r="GC126" s="307"/>
      <c r="GD126" s="307"/>
      <c r="GE126" s="307"/>
      <c r="GF126" s="307"/>
      <c r="GG126" s="307"/>
      <c r="GH126" s="307"/>
      <c r="GI126" s="307"/>
      <c r="GJ126" s="307"/>
      <c r="GK126" s="307"/>
      <c r="GL126" s="307"/>
      <c r="GM126" s="307"/>
      <c r="GN126" s="307"/>
      <c r="GO126" s="307"/>
      <c r="GP126" s="307"/>
      <c r="GQ126" s="307"/>
      <c r="GR126" s="307"/>
      <c r="GS126" s="307"/>
      <c r="GT126" s="307"/>
      <c r="GU126" s="307"/>
      <c r="GV126" s="307"/>
      <c r="GW126" s="307"/>
      <c r="GX126" s="307"/>
      <c r="GY126" s="307"/>
      <c r="GZ126" s="307"/>
    </row>
    <row r="127" spans="1:208" ht="15">
      <c r="A127" s="302">
        <v>31</v>
      </c>
      <c r="B127" s="328">
        <v>44774</v>
      </c>
      <c r="C127" s="329">
        <v>1106184</v>
      </c>
      <c r="D127" s="337" t="s">
        <v>4404</v>
      </c>
      <c r="E127" s="329" t="s">
        <v>4250</v>
      </c>
      <c r="F127" s="329" t="s">
        <v>4275</v>
      </c>
      <c r="G127" s="329">
        <v>3185</v>
      </c>
      <c r="H127" s="329">
        <v>42</v>
      </c>
      <c r="I127" s="337">
        <v>4502382083</v>
      </c>
      <c r="J127" s="353">
        <v>3025459</v>
      </c>
      <c r="K127" s="304">
        <v>4902316699</v>
      </c>
      <c r="L127" s="304" t="s">
        <v>4252</v>
      </c>
      <c r="M127" s="309">
        <v>21809</v>
      </c>
      <c r="N127" s="329">
        <v>8050</v>
      </c>
      <c r="O127" s="291">
        <f t="shared" si="24"/>
        <v>175562450</v>
      </c>
      <c r="P127" s="289">
        <f t="shared" si="25"/>
        <v>3</v>
      </c>
      <c r="Q127" s="311" t="s">
        <v>3455</v>
      </c>
      <c r="R127" s="311">
        <v>1040968</v>
      </c>
      <c r="S127" s="307">
        <v>8947800</v>
      </c>
      <c r="T127" s="307"/>
      <c r="U127" s="307"/>
      <c r="V127" s="307"/>
      <c r="W127" s="307"/>
      <c r="X127" s="307"/>
      <c r="Y127" s="307"/>
      <c r="Z127" s="307"/>
      <c r="AA127" s="307"/>
      <c r="AB127" s="307"/>
      <c r="AC127" s="307"/>
      <c r="AD127" s="307"/>
      <c r="AE127" s="307"/>
      <c r="AF127" s="307"/>
      <c r="AG127" s="307"/>
      <c r="AH127" s="307"/>
      <c r="AI127" s="307"/>
      <c r="AJ127" s="307"/>
      <c r="AK127" s="307"/>
      <c r="AL127" s="307"/>
      <c r="AM127" s="307"/>
      <c r="AN127" s="307"/>
      <c r="AO127" s="307"/>
      <c r="AP127" s="307"/>
      <c r="AQ127" s="307"/>
      <c r="AR127" s="307"/>
      <c r="AS127" s="307"/>
      <c r="AT127" s="307"/>
      <c r="AU127" s="307"/>
      <c r="AV127" s="307"/>
      <c r="AW127" s="307"/>
      <c r="AX127" s="307"/>
      <c r="AY127" s="307"/>
      <c r="AZ127" s="307"/>
      <c r="BA127" s="307"/>
      <c r="BB127" s="307"/>
      <c r="BC127" s="307"/>
      <c r="BD127" s="307"/>
      <c r="BE127" s="307"/>
      <c r="BF127" s="307"/>
      <c r="BG127" s="307"/>
      <c r="BH127" s="307"/>
      <c r="BI127" s="307"/>
      <c r="BJ127" s="307"/>
      <c r="BK127" s="307"/>
      <c r="BL127" s="307"/>
      <c r="BM127" s="307"/>
      <c r="BN127" s="307"/>
      <c r="BO127" s="307"/>
      <c r="BP127" s="307"/>
      <c r="BQ127" s="307"/>
      <c r="BR127" s="307"/>
      <c r="BS127" s="307"/>
      <c r="BT127" s="307"/>
      <c r="BU127" s="307"/>
      <c r="BV127" s="307"/>
      <c r="BW127" s="307"/>
      <c r="BX127" s="307"/>
      <c r="BY127" s="307"/>
      <c r="BZ127" s="307"/>
      <c r="CA127" s="307"/>
      <c r="CB127" s="307"/>
      <c r="CC127" s="307"/>
      <c r="CD127" s="307"/>
      <c r="CE127" s="307"/>
      <c r="CF127" s="307"/>
      <c r="CG127" s="307"/>
      <c r="CH127" s="307"/>
      <c r="CI127" s="307"/>
      <c r="CJ127" s="307"/>
      <c r="CK127" s="307"/>
      <c r="CL127" s="307"/>
      <c r="CM127" s="307"/>
      <c r="CN127" s="307"/>
      <c r="CO127" s="307"/>
      <c r="CP127" s="307"/>
      <c r="CQ127" s="307"/>
      <c r="CR127" s="307"/>
      <c r="CS127" s="307"/>
      <c r="CT127" s="307"/>
      <c r="CU127" s="307"/>
      <c r="CV127" s="307"/>
      <c r="CW127" s="307"/>
      <c r="CX127" s="307"/>
      <c r="CY127" s="307"/>
      <c r="CZ127" s="307"/>
      <c r="DA127" s="307"/>
      <c r="DB127" s="307"/>
      <c r="DC127" s="307"/>
      <c r="DD127" s="307"/>
      <c r="DE127" s="307"/>
      <c r="DF127" s="307"/>
      <c r="DG127" s="307"/>
      <c r="DH127" s="307"/>
      <c r="DI127" s="307"/>
      <c r="DJ127" s="307"/>
      <c r="DK127" s="307"/>
      <c r="DL127" s="307"/>
      <c r="DM127" s="307"/>
      <c r="DN127" s="307"/>
      <c r="DO127" s="307"/>
      <c r="DP127" s="307"/>
      <c r="DQ127" s="307"/>
      <c r="DR127" s="307"/>
      <c r="DS127" s="307"/>
      <c r="DT127" s="307"/>
      <c r="DU127" s="307"/>
      <c r="DV127" s="307"/>
      <c r="DW127" s="307"/>
      <c r="DX127" s="307"/>
      <c r="DY127" s="307"/>
      <c r="DZ127" s="307"/>
      <c r="EA127" s="307"/>
      <c r="EB127" s="307"/>
      <c r="EC127" s="307"/>
      <c r="ED127" s="307"/>
      <c r="EE127" s="307"/>
      <c r="EF127" s="307"/>
      <c r="EG127" s="307"/>
      <c r="EH127" s="307"/>
      <c r="EI127" s="307"/>
      <c r="EJ127" s="307"/>
      <c r="EK127" s="307"/>
      <c r="EL127" s="307"/>
      <c r="EM127" s="307"/>
      <c r="EN127" s="307"/>
      <c r="EO127" s="307"/>
      <c r="EP127" s="307"/>
      <c r="EQ127" s="307"/>
      <c r="ER127" s="307"/>
      <c r="ES127" s="307"/>
      <c r="ET127" s="307"/>
      <c r="EU127" s="307"/>
      <c r="EV127" s="307"/>
      <c r="EW127" s="307"/>
      <c r="EX127" s="307"/>
      <c r="EY127" s="307"/>
      <c r="EZ127" s="307"/>
      <c r="FA127" s="307"/>
      <c r="FB127" s="307"/>
      <c r="FC127" s="307"/>
      <c r="FD127" s="307"/>
      <c r="FE127" s="307"/>
      <c r="FF127" s="307"/>
      <c r="FG127" s="307"/>
      <c r="FH127" s="307"/>
      <c r="FI127" s="307"/>
      <c r="FJ127" s="307"/>
      <c r="FK127" s="307"/>
      <c r="FL127" s="307"/>
      <c r="FM127" s="307"/>
      <c r="FN127" s="307"/>
      <c r="FO127" s="307"/>
      <c r="FP127" s="307"/>
      <c r="FQ127" s="307"/>
      <c r="FR127" s="307"/>
      <c r="FS127" s="307"/>
      <c r="FT127" s="307"/>
      <c r="FU127" s="307"/>
      <c r="FV127" s="307"/>
      <c r="FW127" s="307"/>
      <c r="FX127" s="307"/>
      <c r="FY127" s="307"/>
      <c r="FZ127" s="307"/>
      <c r="GA127" s="307"/>
      <c r="GB127" s="307"/>
      <c r="GC127" s="307"/>
      <c r="GD127" s="307"/>
      <c r="GE127" s="307"/>
      <c r="GF127" s="307"/>
      <c r="GG127" s="307"/>
      <c r="GH127" s="307"/>
      <c r="GI127" s="307"/>
      <c r="GJ127" s="307"/>
      <c r="GK127" s="307"/>
      <c r="GL127" s="307"/>
      <c r="GM127" s="307"/>
      <c r="GN127" s="307"/>
      <c r="GO127" s="307"/>
      <c r="GP127" s="307"/>
      <c r="GQ127" s="307"/>
      <c r="GR127" s="307"/>
      <c r="GS127" s="307"/>
      <c r="GT127" s="307"/>
      <c r="GU127" s="307"/>
      <c r="GV127" s="307"/>
      <c r="GW127" s="307"/>
      <c r="GX127" s="307"/>
      <c r="GY127" s="307"/>
      <c r="GZ127" s="307"/>
    </row>
    <row r="128" spans="1:208" ht="15">
      <c r="A128" s="302">
        <v>31</v>
      </c>
      <c r="B128" s="328">
        <v>44775</v>
      </c>
      <c r="C128" s="329">
        <v>1036751</v>
      </c>
      <c r="D128" s="337" t="s">
        <v>4400</v>
      </c>
      <c r="E128" s="329" t="s">
        <v>4258</v>
      </c>
      <c r="F128" s="329" t="s">
        <v>4251</v>
      </c>
      <c r="G128" s="329">
        <v>3180</v>
      </c>
      <c r="H128" s="329">
        <v>14</v>
      </c>
      <c r="I128" s="337">
        <v>4502365447</v>
      </c>
      <c r="J128" s="329">
        <v>3025457</v>
      </c>
      <c r="K128" s="304">
        <v>4902316701</v>
      </c>
      <c r="L128" s="304" t="s">
        <v>4252</v>
      </c>
      <c r="M128" s="309">
        <v>7318.1760000000004</v>
      </c>
      <c r="N128" s="329">
        <v>9700</v>
      </c>
      <c r="O128" s="291">
        <f t="shared" si="24"/>
        <v>70986307.200000003</v>
      </c>
      <c r="P128" s="289">
        <f t="shared" si="25"/>
        <v>1</v>
      </c>
      <c r="Q128" s="311" t="s">
        <v>3455</v>
      </c>
      <c r="R128" s="311">
        <v>1040968</v>
      </c>
      <c r="S128" s="311">
        <v>12170000</v>
      </c>
      <c r="T128" s="307"/>
      <c r="U128" s="307"/>
      <c r="V128" s="307"/>
      <c r="W128" s="307"/>
      <c r="X128" s="307"/>
      <c r="Y128" s="307"/>
      <c r="Z128" s="307"/>
      <c r="AA128" s="307"/>
      <c r="AB128" s="307"/>
      <c r="AC128" s="307"/>
      <c r="AD128" s="307"/>
      <c r="AE128" s="307"/>
      <c r="AF128" s="307"/>
      <c r="AG128" s="307"/>
      <c r="AH128" s="307"/>
      <c r="AI128" s="307"/>
      <c r="AJ128" s="307"/>
      <c r="AK128" s="307"/>
      <c r="AL128" s="307"/>
      <c r="AM128" s="307"/>
      <c r="AN128" s="307"/>
      <c r="AO128" s="307"/>
      <c r="AP128" s="307"/>
      <c r="AQ128" s="307"/>
      <c r="AR128" s="307"/>
      <c r="AS128" s="307"/>
      <c r="AT128" s="307"/>
      <c r="AU128" s="307"/>
      <c r="AV128" s="307"/>
      <c r="AW128" s="307"/>
      <c r="AX128" s="307"/>
      <c r="AY128" s="307"/>
      <c r="AZ128" s="307"/>
      <c r="BA128" s="307"/>
      <c r="BB128" s="307"/>
      <c r="BC128" s="307"/>
      <c r="BD128" s="307"/>
      <c r="BE128" s="307"/>
      <c r="BF128" s="307"/>
      <c r="BG128" s="307"/>
      <c r="BH128" s="307"/>
      <c r="BI128" s="307"/>
      <c r="BJ128" s="307"/>
      <c r="BK128" s="307"/>
      <c r="BL128" s="307"/>
      <c r="BM128" s="307"/>
      <c r="BN128" s="307"/>
      <c r="BO128" s="307"/>
      <c r="BP128" s="307"/>
      <c r="BQ128" s="307"/>
      <c r="BR128" s="307"/>
      <c r="BS128" s="307"/>
      <c r="BT128" s="307"/>
      <c r="BU128" s="307"/>
      <c r="BV128" s="307"/>
      <c r="BW128" s="307"/>
      <c r="BX128" s="307"/>
      <c r="BY128" s="307"/>
      <c r="BZ128" s="307"/>
      <c r="CA128" s="307"/>
      <c r="CB128" s="307"/>
      <c r="CC128" s="307"/>
      <c r="CD128" s="307"/>
      <c r="CE128" s="307"/>
      <c r="CF128" s="307"/>
      <c r="CG128" s="307"/>
      <c r="CH128" s="307"/>
      <c r="CI128" s="307"/>
      <c r="CJ128" s="307"/>
      <c r="CK128" s="307"/>
      <c r="CL128" s="307"/>
      <c r="CM128" s="307"/>
      <c r="CN128" s="307"/>
      <c r="CO128" s="307"/>
      <c r="CP128" s="307"/>
      <c r="CQ128" s="307"/>
      <c r="CR128" s="307"/>
      <c r="CS128" s="307"/>
      <c r="CT128" s="307"/>
      <c r="CU128" s="307"/>
      <c r="CV128" s="307"/>
      <c r="CW128" s="307"/>
      <c r="CX128" s="307"/>
      <c r="CY128" s="307"/>
      <c r="CZ128" s="307"/>
      <c r="DA128" s="307"/>
      <c r="DB128" s="307"/>
      <c r="DC128" s="307"/>
      <c r="DD128" s="307"/>
      <c r="DE128" s="307"/>
      <c r="DF128" s="307"/>
      <c r="DG128" s="307"/>
      <c r="DH128" s="307"/>
      <c r="DI128" s="307"/>
      <c r="DJ128" s="307"/>
      <c r="DK128" s="307"/>
      <c r="DL128" s="307"/>
      <c r="DM128" s="307"/>
      <c r="DN128" s="307"/>
      <c r="DO128" s="307"/>
      <c r="DP128" s="307"/>
      <c r="DQ128" s="307"/>
      <c r="DR128" s="307"/>
      <c r="DS128" s="307"/>
      <c r="DT128" s="307"/>
      <c r="DU128" s="307"/>
      <c r="DV128" s="307"/>
      <c r="DW128" s="307"/>
      <c r="DX128" s="307"/>
      <c r="DY128" s="307"/>
      <c r="DZ128" s="307"/>
      <c r="EA128" s="307"/>
      <c r="EB128" s="307"/>
      <c r="EC128" s="307"/>
      <c r="ED128" s="307"/>
      <c r="EE128" s="307"/>
      <c r="EF128" s="307"/>
      <c r="EG128" s="307"/>
      <c r="EH128" s="307"/>
      <c r="EI128" s="307"/>
      <c r="EJ128" s="307"/>
      <c r="EK128" s="307"/>
      <c r="EL128" s="307"/>
      <c r="EM128" s="307"/>
      <c r="EN128" s="307"/>
      <c r="EO128" s="307"/>
      <c r="EP128" s="307"/>
      <c r="EQ128" s="307"/>
      <c r="ER128" s="307"/>
      <c r="ES128" s="307"/>
      <c r="ET128" s="307"/>
      <c r="EU128" s="307"/>
      <c r="EV128" s="307"/>
      <c r="EW128" s="307"/>
      <c r="EX128" s="307"/>
      <c r="EY128" s="307"/>
      <c r="EZ128" s="307"/>
      <c r="FA128" s="307"/>
      <c r="FB128" s="307"/>
      <c r="FC128" s="307"/>
      <c r="FD128" s="307"/>
      <c r="FE128" s="307"/>
      <c r="FF128" s="307"/>
      <c r="FG128" s="307"/>
      <c r="FH128" s="307"/>
      <c r="FI128" s="307"/>
      <c r="FJ128" s="307"/>
      <c r="FK128" s="307"/>
      <c r="FL128" s="307"/>
      <c r="FM128" s="307"/>
      <c r="FN128" s="307"/>
      <c r="FO128" s="307"/>
      <c r="FP128" s="307"/>
      <c r="FQ128" s="307"/>
      <c r="FR128" s="307"/>
      <c r="FS128" s="307"/>
      <c r="FT128" s="307"/>
      <c r="FU128" s="307"/>
      <c r="FV128" s="307"/>
      <c r="FW128" s="307"/>
      <c r="FX128" s="307"/>
      <c r="FY128" s="307"/>
      <c r="FZ128" s="307"/>
      <c r="GA128" s="307"/>
      <c r="GB128" s="307"/>
      <c r="GC128" s="307"/>
      <c r="GD128" s="307"/>
      <c r="GE128" s="307"/>
      <c r="GF128" s="307"/>
      <c r="GG128" s="307"/>
      <c r="GH128" s="307"/>
      <c r="GI128" s="307"/>
      <c r="GJ128" s="307"/>
      <c r="GK128" s="307"/>
      <c r="GL128" s="307"/>
      <c r="GM128" s="307"/>
      <c r="GN128" s="307"/>
      <c r="GO128" s="307"/>
      <c r="GP128" s="307"/>
      <c r="GQ128" s="307"/>
      <c r="GR128" s="307"/>
      <c r="GS128" s="307"/>
      <c r="GT128" s="307"/>
      <c r="GU128" s="307"/>
      <c r="GV128" s="307"/>
      <c r="GW128" s="307"/>
      <c r="GX128" s="307"/>
      <c r="GY128" s="307"/>
      <c r="GZ128" s="307"/>
    </row>
    <row r="129" spans="1:208" ht="15">
      <c r="A129" s="302"/>
      <c r="B129" s="328"/>
      <c r="C129" s="329"/>
      <c r="D129" s="337" t="s">
        <v>4410</v>
      </c>
      <c r="E129" s="337"/>
      <c r="F129" s="329"/>
      <c r="G129" s="329"/>
      <c r="H129" s="329">
        <v>84</v>
      </c>
      <c r="I129" s="330"/>
      <c r="J129" s="353"/>
      <c r="K129" s="304"/>
      <c r="L129" s="307"/>
      <c r="M129" s="309">
        <v>43909</v>
      </c>
      <c r="N129" s="329">
        <v>9700</v>
      </c>
      <c r="O129" s="291">
        <f t="shared" si="24"/>
        <v>425917300</v>
      </c>
      <c r="P129" s="289"/>
      <c r="Q129" s="311"/>
      <c r="R129" s="311"/>
      <c r="S129" s="304"/>
      <c r="T129" s="307"/>
      <c r="U129" s="307"/>
      <c r="V129" s="307"/>
      <c r="W129" s="307"/>
      <c r="X129" s="307"/>
      <c r="Y129" s="307"/>
      <c r="Z129" s="307"/>
      <c r="AA129" s="307"/>
      <c r="AB129" s="307"/>
      <c r="AC129" s="307"/>
      <c r="AD129" s="307"/>
      <c r="AE129" s="307"/>
      <c r="AF129" s="307"/>
      <c r="AG129" s="307"/>
      <c r="AH129" s="307"/>
      <c r="AI129" s="307"/>
      <c r="AJ129" s="307"/>
      <c r="AK129" s="307"/>
      <c r="AL129" s="307"/>
      <c r="AM129" s="307"/>
      <c r="AN129" s="307"/>
      <c r="AO129" s="307"/>
      <c r="AP129" s="307"/>
      <c r="AQ129" s="307"/>
      <c r="AR129" s="307"/>
      <c r="AS129" s="307"/>
      <c r="AT129" s="307"/>
      <c r="AU129" s="307"/>
      <c r="AV129" s="307"/>
      <c r="AW129" s="307"/>
      <c r="AX129" s="307"/>
      <c r="AY129" s="307"/>
      <c r="AZ129" s="307"/>
      <c r="BA129" s="307"/>
      <c r="BB129" s="307"/>
      <c r="BC129" s="307"/>
      <c r="BD129" s="307"/>
      <c r="BE129" s="307"/>
      <c r="BF129" s="307"/>
      <c r="BG129" s="307"/>
      <c r="BH129" s="307"/>
      <c r="BI129" s="307"/>
      <c r="BJ129" s="307"/>
      <c r="BK129" s="307"/>
      <c r="BL129" s="307"/>
      <c r="BM129" s="307"/>
      <c r="BN129" s="307"/>
      <c r="BO129" s="307"/>
      <c r="BP129" s="307"/>
      <c r="BQ129" s="307"/>
      <c r="BR129" s="307"/>
      <c r="BS129" s="307"/>
      <c r="BT129" s="307"/>
      <c r="BU129" s="307"/>
      <c r="BV129" s="307"/>
      <c r="BW129" s="307"/>
      <c r="BX129" s="307"/>
      <c r="BY129" s="307"/>
      <c r="BZ129" s="307"/>
      <c r="CA129" s="307"/>
      <c r="CB129" s="307"/>
      <c r="CC129" s="307"/>
      <c r="CD129" s="307"/>
      <c r="CE129" s="307"/>
      <c r="CF129" s="307"/>
      <c r="CG129" s="307"/>
      <c r="CH129" s="307"/>
      <c r="CI129" s="307"/>
      <c r="CJ129" s="307"/>
      <c r="CK129" s="307"/>
      <c r="CL129" s="307"/>
      <c r="CM129" s="307"/>
      <c r="CN129" s="307"/>
      <c r="CO129" s="307"/>
      <c r="CP129" s="307"/>
      <c r="CQ129" s="307"/>
      <c r="CR129" s="307"/>
      <c r="CS129" s="307"/>
      <c r="CT129" s="307"/>
      <c r="CU129" s="307"/>
      <c r="CV129" s="307"/>
      <c r="CW129" s="307"/>
      <c r="CX129" s="307"/>
      <c r="CY129" s="307"/>
      <c r="CZ129" s="307"/>
      <c r="DA129" s="307"/>
      <c r="DB129" s="307"/>
      <c r="DC129" s="307"/>
      <c r="DD129" s="307"/>
      <c r="DE129" s="307"/>
      <c r="DF129" s="307"/>
      <c r="DG129" s="307"/>
      <c r="DH129" s="307"/>
      <c r="DI129" s="307"/>
      <c r="DJ129" s="307"/>
      <c r="DK129" s="307"/>
      <c r="DL129" s="307"/>
      <c r="DM129" s="307"/>
      <c r="DN129" s="307"/>
      <c r="DO129" s="307"/>
      <c r="DP129" s="307"/>
      <c r="DQ129" s="307"/>
      <c r="DR129" s="307"/>
      <c r="DS129" s="307"/>
      <c r="DT129" s="307"/>
      <c r="DU129" s="307"/>
      <c r="DV129" s="307"/>
      <c r="DW129" s="307"/>
      <c r="DX129" s="307"/>
      <c r="DY129" s="307"/>
      <c r="DZ129" s="307"/>
      <c r="EA129" s="307"/>
      <c r="EB129" s="307"/>
      <c r="EC129" s="307"/>
      <c r="ED129" s="307"/>
      <c r="EE129" s="307"/>
      <c r="EF129" s="307"/>
      <c r="EG129" s="307"/>
      <c r="EH129" s="307"/>
      <c r="EI129" s="307"/>
      <c r="EJ129" s="307"/>
      <c r="EK129" s="307"/>
      <c r="EL129" s="307"/>
      <c r="EM129" s="307"/>
      <c r="EN129" s="307"/>
      <c r="EO129" s="307"/>
      <c r="EP129" s="307"/>
      <c r="EQ129" s="307"/>
      <c r="ER129" s="307"/>
      <c r="ES129" s="307"/>
      <c r="ET129" s="307"/>
      <c r="EU129" s="307"/>
      <c r="EV129" s="307"/>
      <c r="EW129" s="307"/>
      <c r="EX129" s="307"/>
      <c r="EY129" s="307"/>
      <c r="EZ129" s="307"/>
      <c r="FA129" s="307"/>
      <c r="FB129" s="307"/>
      <c r="FC129" s="307"/>
      <c r="FD129" s="307"/>
      <c r="FE129" s="307"/>
      <c r="FF129" s="307"/>
      <c r="FG129" s="307"/>
      <c r="FH129" s="307"/>
      <c r="FI129" s="307"/>
      <c r="FJ129" s="307"/>
      <c r="FK129" s="307"/>
      <c r="FL129" s="307"/>
      <c r="FM129" s="307"/>
      <c r="FN129" s="307"/>
      <c r="FO129" s="307"/>
      <c r="FP129" s="307"/>
      <c r="FQ129" s="307"/>
      <c r="FR129" s="307"/>
      <c r="FS129" s="307"/>
      <c r="FT129" s="307"/>
      <c r="FU129" s="307"/>
      <c r="FV129" s="307"/>
      <c r="FW129" s="307"/>
      <c r="FX129" s="307"/>
      <c r="FY129" s="307"/>
      <c r="FZ129" s="307"/>
      <c r="GA129" s="307"/>
      <c r="GB129" s="307"/>
      <c r="GC129" s="307"/>
      <c r="GD129" s="307"/>
      <c r="GE129" s="307"/>
      <c r="GF129" s="307"/>
      <c r="GG129" s="307"/>
      <c r="GH129" s="307"/>
      <c r="GI129" s="307"/>
      <c r="GJ129" s="307"/>
      <c r="GK129" s="307"/>
      <c r="GL129" s="307"/>
      <c r="GM129" s="307"/>
      <c r="GN129" s="307"/>
      <c r="GO129" s="307"/>
      <c r="GP129" s="307"/>
      <c r="GQ129" s="307"/>
      <c r="GR129" s="307"/>
      <c r="GS129" s="307"/>
      <c r="GT129" s="307"/>
      <c r="GU129" s="307"/>
      <c r="GV129" s="307"/>
      <c r="GW129" s="307"/>
      <c r="GX129" s="307"/>
      <c r="GY129" s="307"/>
      <c r="GZ129" s="307"/>
    </row>
    <row r="130" spans="1:208" ht="15">
      <c r="A130" s="302">
        <v>31</v>
      </c>
      <c r="B130" s="328">
        <v>44775</v>
      </c>
      <c r="C130" s="329">
        <v>1093247</v>
      </c>
      <c r="D130" s="337" t="s">
        <v>4411</v>
      </c>
      <c r="E130" s="337" t="s">
        <v>4412</v>
      </c>
      <c r="F130" s="329" t="s">
        <v>4275</v>
      </c>
      <c r="G130" s="329">
        <v>3190</v>
      </c>
      <c r="H130" s="329">
        <v>56</v>
      </c>
      <c r="I130" s="337">
        <v>4502383047</v>
      </c>
      <c r="J130" s="353">
        <v>3025459</v>
      </c>
      <c r="K130" s="304">
        <v>4902316704</v>
      </c>
      <c r="L130" s="304" t="s">
        <v>4252</v>
      </c>
      <c r="M130" s="309">
        <v>27260</v>
      </c>
      <c r="N130" s="329">
        <v>8300</v>
      </c>
      <c r="O130" s="291">
        <f t="shared" si="24"/>
        <v>226258000</v>
      </c>
      <c r="P130" s="289">
        <f t="shared" ref="P130:P135" si="26">H130/14</f>
        <v>4</v>
      </c>
      <c r="Q130" s="311" t="s">
        <v>3455</v>
      </c>
      <c r="R130" s="311">
        <v>1040968</v>
      </c>
      <c r="S130" s="304">
        <v>7175600</v>
      </c>
      <c r="T130" s="307"/>
      <c r="U130" s="307"/>
      <c r="V130" s="307"/>
      <c r="W130" s="307"/>
      <c r="X130" s="307"/>
      <c r="Y130" s="307"/>
      <c r="Z130" s="307"/>
      <c r="AA130" s="307"/>
      <c r="AB130" s="307"/>
      <c r="AC130" s="307"/>
      <c r="AD130" s="307"/>
      <c r="AE130" s="307"/>
      <c r="AF130" s="307"/>
      <c r="AG130" s="307"/>
      <c r="AH130" s="307"/>
      <c r="AI130" s="307"/>
      <c r="AJ130" s="307"/>
      <c r="AK130" s="307"/>
      <c r="AL130" s="307"/>
      <c r="AM130" s="307"/>
      <c r="AN130" s="307"/>
      <c r="AO130" s="307"/>
      <c r="AP130" s="307"/>
      <c r="AQ130" s="307"/>
      <c r="AR130" s="307"/>
      <c r="AS130" s="307"/>
      <c r="AT130" s="307"/>
      <c r="AU130" s="307"/>
      <c r="AV130" s="307"/>
      <c r="AW130" s="307"/>
      <c r="AX130" s="307"/>
      <c r="AY130" s="307"/>
      <c r="AZ130" s="307"/>
      <c r="BA130" s="307"/>
      <c r="BB130" s="307"/>
      <c r="BC130" s="307"/>
      <c r="BD130" s="307"/>
      <c r="BE130" s="307"/>
      <c r="BF130" s="307"/>
      <c r="BG130" s="307"/>
      <c r="BH130" s="307"/>
      <c r="BI130" s="307"/>
      <c r="BJ130" s="307"/>
      <c r="BK130" s="307"/>
      <c r="BL130" s="307"/>
      <c r="BM130" s="307"/>
      <c r="BN130" s="307"/>
      <c r="BO130" s="307"/>
      <c r="BP130" s="307"/>
      <c r="BQ130" s="307"/>
      <c r="BR130" s="307"/>
      <c r="BS130" s="307"/>
      <c r="BT130" s="307"/>
      <c r="BU130" s="307"/>
      <c r="BV130" s="307"/>
      <c r="BW130" s="307"/>
      <c r="BX130" s="307"/>
      <c r="BY130" s="307"/>
      <c r="BZ130" s="307"/>
      <c r="CA130" s="307"/>
      <c r="CB130" s="307"/>
      <c r="CC130" s="307"/>
      <c r="CD130" s="307"/>
      <c r="CE130" s="307"/>
      <c r="CF130" s="307"/>
      <c r="CG130" s="307"/>
      <c r="CH130" s="307"/>
      <c r="CI130" s="307"/>
      <c r="CJ130" s="307"/>
      <c r="CK130" s="307"/>
      <c r="CL130" s="307"/>
      <c r="CM130" s="307"/>
      <c r="CN130" s="307"/>
      <c r="CO130" s="307"/>
      <c r="CP130" s="307"/>
      <c r="CQ130" s="307"/>
      <c r="CR130" s="307"/>
      <c r="CS130" s="307"/>
      <c r="CT130" s="307"/>
      <c r="CU130" s="307"/>
      <c r="CV130" s="307"/>
      <c r="CW130" s="307"/>
      <c r="CX130" s="307"/>
      <c r="CY130" s="307"/>
      <c r="CZ130" s="307"/>
      <c r="DA130" s="307"/>
      <c r="DB130" s="307"/>
      <c r="DC130" s="307"/>
      <c r="DD130" s="307"/>
      <c r="DE130" s="307"/>
      <c r="DF130" s="307"/>
      <c r="DG130" s="307"/>
      <c r="DH130" s="307"/>
      <c r="DI130" s="307"/>
      <c r="DJ130" s="307"/>
      <c r="DK130" s="307"/>
      <c r="DL130" s="307"/>
      <c r="DM130" s="307"/>
      <c r="DN130" s="307"/>
      <c r="DO130" s="307"/>
      <c r="DP130" s="307"/>
      <c r="DQ130" s="307"/>
      <c r="DR130" s="307"/>
      <c r="DS130" s="307"/>
      <c r="DT130" s="307"/>
      <c r="DU130" s="307"/>
      <c r="DV130" s="307"/>
      <c r="DW130" s="307"/>
      <c r="DX130" s="307"/>
      <c r="DY130" s="307"/>
      <c r="DZ130" s="307"/>
      <c r="EA130" s="307"/>
      <c r="EB130" s="307"/>
      <c r="EC130" s="307"/>
      <c r="ED130" s="307"/>
      <c r="EE130" s="307"/>
      <c r="EF130" s="307"/>
      <c r="EG130" s="307"/>
      <c r="EH130" s="307"/>
      <c r="EI130" s="307"/>
      <c r="EJ130" s="307"/>
      <c r="EK130" s="307"/>
      <c r="EL130" s="307"/>
      <c r="EM130" s="307"/>
      <c r="EN130" s="307"/>
      <c r="EO130" s="307"/>
      <c r="EP130" s="307"/>
      <c r="EQ130" s="307"/>
      <c r="ER130" s="307"/>
      <c r="ES130" s="307"/>
      <c r="ET130" s="307"/>
      <c r="EU130" s="307"/>
      <c r="EV130" s="307"/>
      <c r="EW130" s="307"/>
      <c r="EX130" s="307"/>
      <c r="EY130" s="307"/>
      <c r="EZ130" s="307"/>
      <c r="FA130" s="307"/>
      <c r="FB130" s="307"/>
      <c r="FC130" s="307"/>
      <c r="FD130" s="307"/>
      <c r="FE130" s="307"/>
      <c r="FF130" s="307"/>
      <c r="FG130" s="307"/>
      <c r="FH130" s="307"/>
      <c r="FI130" s="307"/>
      <c r="FJ130" s="307"/>
      <c r="FK130" s="307"/>
      <c r="FL130" s="307"/>
      <c r="FM130" s="307"/>
      <c r="FN130" s="307"/>
      <c r="FO130" s="307"/>
      <c r="FP130" s="307"/>
      <c r="FQ130" s="307"/>
      <c r="FR130" s="307"/>
      <c r="FS130" s="307"/>
      <c r="FT130" s="307"/>
      <c r="FU130" s="307"/>
      <c r="FV130" s="307"/>
      <c r="FW130" s="307"/>
      <c r="FX130" s="307"/>
      <c r="FY130" s="307"/>
      <c r="FZ130" s="307"/>
      <c r="GA130" s="307"/>
      <c r="GB130" s="307"/>
      <c r="GC130" s="307"/>
      <c r="GD130" s="307"/>
      <c r="GE130" s="307"/>
      <c r="GF130" s="307"/>
      <c r="GG130" s="307"/>
      <c r="GH130" s="307"/>
      <c r="GI130" s="307"/>
      <c r="GJ130" s="307"/>
      <c r="GK130" s="307"/>
      <c r="GL130" s="307"/>
      <c r="GM130" s="307"/>
      <c r="GN130" s="307"/>
      <c r="GO130" s="307"/>
      <c r="GP130" s="307"/>
      <c r="GQ130" s="307"/>
      <c r="GR130" s="307"/>
      <c r="GS130" s="307"/>
      <c r="GT130" s="307"/>
      <c r="GU130" s="307"/>
      <c r="GV130" s="307"/>
      <c r="GW130" s="307"/>
      <c r="GX130" s="307"/>
      <c r="GY130" s="307"/>
      <c r="GZ130" s="307"/>
    </row>
    <row r="131" spans="1:208" ht="15">
      <c r="A131" s="280">
        <v>32</v>
      </c>
      <c r="B131" s="332">
        <v>44777</v>
      </c>
      <c r="C131" s="333">
        <v>1076469</v>
      </c>
      <c r="D131" s="342" t="s">
        <v>4413</v>
      </c>
      <c r="E131" s="342" t="s">
        <v>4408</v>
      </c>
      <c r="F131" s="342" t="s">
        <v>4275</v>
      </c>
      <c r="G131" s="282">
        <v>3179</v>
      </c>
      <c r="H131" s="342">
        <v>56</v>
      </c>
      <c r="I131" s="342">
        <v>4502384803</v>
      </c>
      <c r="J131" s="342">
        <v>3025459</v>
      </c>
      <c r="K131" s="282">
        <v>4902320852</v>
      </c>
      <c r="L131" s="282" t="s">
        <v>4252</v>
      </c>
      <c r="M131" s="283">
        <v>28528</v>
      </c>
      <c r="N131" s="282">
        <v>8100</v>
      </c>
      <c r="O131" s="284">
        <f t="shared" si="24"/>
        <v>231076800</v>
      </c>
      <c r="P131" s="285">
        <f t="shared" si="26"/>
        <v>4</v>
      </c>
      <c r="Q131" s="282" t="s">
        <v>3455</v>
      </c>
      <c r="R131" s="282">
        <v>1040968</v>
      </c>
      <c r="S131" s="285">
        <v>7084400</v>
      </c>
      <c r="T131" s="285"/>
      <c r="U131" s="285"/>
      <c r="V131" s="285"/>
      <c r="W131" s="285"/>
      <c r="X131" s="285"/>
      <c r="Y131" s="285"/>
      <c r="Z131" s="285"/>
      <c r="AA131" s="285"/>
      <c r="AB131" s="285"/>
      <c r="AC131" s="285"/>
      <c r="AD131" s="285"/>
      <c r="AE131" s="285"/>
      <c r="AF131" s="285"/>
      <c r="AG131" s="285"/>
      <c r="AH131" s="285"/>
      <c r="AI131" s="285"/>
      <c r="AJ131" s="285"/>
      <c r="AK131" s="285"/>
      <c r="AL131" s="285"/>
      <c r="AM131" s="285"/>
      <c r="AN131" s="285"/>
      <c r="AO131" s="285"/>
      <c r="AP131" s="285"/>
      <c r="AQ131" s="285"/>
      <c r="AR131" s="285"/>
      <c r="AS131" s="285"/>
      <c r="AT131" s="285"/>
      <c r="AU131" s="285"/>
      <c r="AV131" s="285"/>
      <c r="AW131" s="285"/>
      <c r="AX131" s="285"/>
      <c r="AY131" s="285"/>
      <c r="AZ131" s="285"/>
      <c r="BA131" s="285"/>
      <c r="BB131" s="285"/>
      <c r="BC131" s="285"/>
      <c r="BD131" s="285"/>
      <c r="BE131" s="285"/>
      <c r="BF131" s="285"/>
      <c r="BG131" s="285"/>
      <c r="BH131" s="285"/>
      <c r="BI131" s="285"/>
      <c r="BJ131" s="285"/>
      <c r="BK131" s="285"/>
      <c r="BL131" s="285"/>
      <c r="BM131" s="285"/>
      <c r="BN131" s="285"/>
      <c r="BO131" s="285"/>
      <c r="BP131" s="285"/>
      <c r="BQ131" s="285"/>
      <c r="BR131" s="285"/>
      <c r="BS131" s="285"/>
      <c r="BT131" s="285"/>
      <c r="BU131" s="285"/>
      <c r="BV131" s="285"/>
      <c r="BW131" s="285"/>
      <c r="BX131" s="285"/>
      <c r="BY131" s="285"/>
      <c r="BZ131" s="285"/>
      <c r="CA131" s="285"/>
      <c r="CB131" s="285"/>
      <c r="CC131" s="285"/>
      <c r="CD131" s="285"/>
      <c r="CE131" s="285"/>
      <c r="CF131" s="285"/>
      <c r="CG131" s="285"/>
      <c r="CH131" s="285"/>
      <c r="CI131" s="285"/>
      <c r="CJ131" s="285"/>
      <c r="CK131" s="285"/>
      <c r="CL131" s="285"/>
      <c r="CM131" s="285"/>
      <c r="CN131" s="285"/>
      <c r="CO131" s="285"/>
      <c r="CP131" s="285"/>
      <c r="CQ131" s="285"/>
      <c r="CR131" s="285"/>
      <c r="CS131" s="285"/>
      <c r="CT131" s="285"/>
      <c r="CU131" s="285"/>
      <c r="CV131" s="285"/>
      <c r="CW131" s="285"/>
      <c r="CX131" s="285"/>
      <c r="CY131" s="285"/>
      <c r="CZ131" s="285"/>
      <c r="DA131" s="285"/>
      <c r="DB131" s="285"/>
      <c r="DC131" s="285"/>
      <c r="DD131" s="285"/>
      <c r="DE131" s="285"/>
      <c r="DF131" s="285"/>
      <c r="DG131" s="285"/>
      <c r="DH131" s="285"/>
      <c r="DI131" s="285"/>
      <c r="DJ131" s="285"/>
      <c r="DK131" s="285"/>
      <c r="DL131" s="285"/>
      <c r="DM131" s="285"/>
      <c r="DN131" s="285"/>
      <c r="DO131" s="285"/>
      <c r="DP131" s="285"/>
      <c r="DQ131" s="285"/>
      <c r="DR131" s="285"/>
      <c r="DS131" s="285"/>
      <c r="DT131" s="285"/>
      <c r="DU131" s="285"/>
      <c r="DV131" s="285"/>
      <c r="DW131" s="285"/>
      <c r="DX131" s="285"/>
      <c r="DY131" s="285"/>
      <c r="DZ131" s="285"/>
      <c r="EA131" s="285"/>
      <c r="EB131" s="285"/>
      <c r="EC131" s="285"/>
      <c r="ED131" s="285"/>
      <c r="EE131" s="285"/>
      <c r="EF131" s="285"/>
      <c r="EG131" s="285"/>
      <c r="EH131" s="285"/>
      <c r="EI131" s="285"/>
      <c r="EJ131" s="285"/>
      <c r="EK131" s="285"/>
      <c r="EL131" s="285"/>
      <c r="EM131" s="285"/>
      <c r="EN131" s="285"/>
      <c r="EO131" s="285"/>
      <c r="EP131" s="285"/>
      <c r="EQ131" s="285"/>
      <c r="ER131" s="285"/>
      <c r="ES131" s="285"/>
      <c r="ET131" s="285"/>
      <c r="EU131" s="285"/>
      <c r="EV131" s="285"/>
      <c r="EW131" s="285"/>
      <c r="EX131" s="285"/>
      <c r="EY131" s="285"/>
      <c r="EZ131" s="285"/>
      <c r="FA131" s="285"/>
      <c r="FB131" s="285"/>
      <c r="FC131" s="285"/>
      <c r="FD131" s="285"/>
      <c r="FE131" s="285"/>
      <c r="FF131" s="285"/>
      <c r="FG131" s="285"/>
      <c r="FH131" s="285"/>
      <c r="FI131" s="285"/>
      <c r="FJ131" s="285"/>
      <c r="FK131" s="285"/>
      <c r="FL131" s="285"/>
      <c r="FM131" s="285"/>
      <c r="FN131" s="285"/>
      <c r="FO131" s="285"/>
      <c r="FP131" s="285"/>
      <c r="FQ131" s="285"/>
      <c r="FR131" s="285"/>
      <c r="FS131" s="285"/>
      <c r="FT131" s="285"/>
      <c r="FU131" s="285"/>
      <c r="FV131" s="285"/>
      <c r="FW131" s="285"/>
      <c r="FX131" s="285"/>
      <c r="FY131" s="285"/>
      <c r="FZ131" s="285"/>
      <c r="GA131" s="285"/>
      <c r="GB131" s="285"/>
      <c r="GC131" s="285"/>
      <c r="GD131" s="285"/>
      <c r="GE131" s="285"/>
      <c r="GF131" s="285"/>
      <c r="GG131" s="285"/>
      <c r="GH131" s="285"/>
      <c r="GI131" s="285"/>
      <c r="GJ131" s="285"/>
      <c r="GK131" s="285"/>
      <c r="GL131" s="285"/>
      <c r="GM131" s="285"/>
      <c r="GN131" s="285"/>
      <c r="GO131" s="285"/>
      <c r="GP131" s="285"/>
      <c r="GQ131" s="285"/>
      <c r="GR131" s="285"/>
      <c r="GS131" s="285"/>
      <c r="GT131" s="285"/>
      <c r="GU131" s="285"/>
      <c r="GV131" s="285"/>
      <c r="GW131" s="285"/>
      <c r="GX131" s="285"/>
      <c r="GY131" s="285"/>
      <c r="GZ131" s="285"/>
    </row>
    <row r="132" spans="1:208" ht="15">
      <c r="A132" s="280">
        <v>32</v>
      </c>
      <c r="B132" s="332">
        <v>44778</v>
      </c>
      <c r="C132" s="342">
        <v>1093247</v>
      </c>
      <c r="D132" s="342" t="s">
        <v>4414</v>
      </c>
      <c r="E132" s="342" t="s">
        <v>4412</v>
      </c>
      <c r="F132" s="342" t="s">
        <v>4275</v>
      </c>
      <c r="G132" s="282">
        <v>3190</v>
      </c>
      <c r="H132" s="342">
        <v>56</v>
      </c>
      <c r="I132" s="342">
        <v>4502385522</v>
      </c>
      <c r="J132" s="342">
        <v>3025459</v>
      </c>
      <c r="K132" s="282">
        <v>4902320853</v>
      </c>
      <c r="L132" s="282" t="s">
        <v>4252</v>
      </c>
      <c r="M132" s="283">
        <v>26955</v>
      </c>
      <c r="N132" s="282">
        <v>8100</v>
      </c>
      <c r="O132" s="284">
        <f t="shared" si="24"/>
        <v>218335500</v>
      </c>
      <c r="P132" s="285">
        <f t="shared" si="26"/>
        <v>4</v>
      </c>
      <c r="Q132" s="282" t="s">
        <v>3455</v>
      </c>
      <c r="R132" s="282">
        <v>1040968</v>
      </c>
      <c r="S132" s="285">
        <v>7175600</v>
      </c>
      <c r="T132" s="285"/>
      <c r="U132" s="285"/>
      <c r="V132" s="285"/>
      <c r="W132" s="285"/>
      <c r="X132" s="285"/>
      <c r="Y132" s="285"/>
      <c r="Z132" s="285"/>
      <c r="AA132" s="285"/>
      <c r="AB132" s="285"/>
      <c r="AC132" s="285"/>
      <c r="AD132" s="285"/>
      <c r="AE132" s="285"/>
      <c r="AF132" s="285"/>
      <c r="AG132" s="285"/>
      <c r="AH132" s="285"/>
      <c r="AI132" s="285"/>
      <c r="AJ132" s="285"/>
      <c r="AK132" s="285"/>
      <c r="AL132" s="285"/>
      <c r="AM132" s="285"/>
      <c r="AN132" s="285"/>
      <c r="AO132" s="285"/>
      <c r="AP132" s="285"/>
      <c r="AQ132" s="285"/>
      <c r="AR132" s="285"/>
      <c r="AS132" s="285"/>
      <c r="AT132" s="285"/>
      <c r="AU132" s="285"/>
      <c r="AV132" s="285"/>
      <c r="AW132" s="285"/>
      <c r="AX132" s="285"/>
      <c r="AY132" s="285"/>
      <c r="AZ132" s="285"/>
      <c r="BA132" s="285"/>
      <c r="BB132" s="285"/>
      <c r="BC132" s="285"/>
      <c r="BD132" s="285"/>
      <c r="BE132" s="285"/>
      <c r="BF132" s="285"/>
      <c r="BG132" s="285"/>
      <c r="BH132" s="285"/>
      <c r="BI132" s="285"/>
      <c r="BJ132" s="285"/>
      <c r="BK132" s="285"/>
      <c r="BL132" s="285"/>
      <c r="BM132" s="285"/>
      <c r="BN132" s="285"/>
      <c r="BO132" s="285"/>
      <c r="BP132" s="285"/>
      <c r="BQ132" s="285"/>
      <c r="BR132" s="285"/>
      <c r="BS132" s="285"/>
      <c r="BT132" s="285"/>
      <c r="BU132" s="285"/>
      <c r="BV132" s="285"/>
      <c r="BW132" s="285"/>
      <c r="BX132" s="285"/>
      <c r="BY132" s="285"/>
      <c r="BZ132" s="285"/>
      <c r="CA132" s="285"/>
      <c r="CB132" s="285"/>
      <c r="CC132" s="285"/>
      <c r="CD132" s="285"/>
      <c r="CE132" s="285"/>
      <c r="CF132" s="285"/>
      <c r="CG132" s="285"/>
      <c r="CH132" s="285"/>
      <c r="CI132" s="285"/>
      <c r="CJ132" s="285"/>
      <c r="CK132" s="285"/>
      <c r="CL132" s="285"/>
      <c r="CM132" s="285"/>
      <c r="CN132" s="285"/>
      <c r="CO132" s="285"/>
      <c r="CP132" s="285"/>
      <c r="CQ132" s="285"/>
      <c r="CR132" s="285"/>
      <c r="CS132" s="285"/>
      <c r="CT132" s="285"/>
      <c r="CU132" s="285"/>
      <c r="CV132" s="285"/>
      <c r="CW132" s="285"/>
      <c r="CX132" s="285"/>
      <c r="CY132" s="285"/>
      <c r="CZ132" s="285"/>
      <c r="DA132" s="285"/>
      <c r="DB132" s="285"/>
      <c r="DC132" s="285"/>
      <c r="DD132" s="285"/>
      <c r="DE132" s="285"/>
      <c r="DF132" s="285"/>
      <c r="DG132" s="285"/>
      <c r="DH132" s="285"/>
      <c r="DI132" s="285"/>
      <c r="DJ132" s="285"/>
      <c r="DK132" s="285"/>
      <c r="DL132" s="285"/>
      <c r="DM132" s="285"/>
      <c r="DN132" s="285"/>
      <c r="DO132" s="285"/>
      <c r="DP132" s="285"/>
      <c r="DQ132" s="285"/>
      <c r="DR132" s="285"/>
      <c r="DS132" s="285"/>
      <c r="DT132" s="285"/>
      <c r="DU132" s="285"/>
      <c r="DV132" s="285"/>
      <c r="DW132" s="285"/>
      <c r="DX132" s="285"/>
      <c r="DY132" s="285"/>
      <c r="DZ132" s="285"/>
      <c r="EA132" s="285"/>
      <c r="EB132" s="285"/>
      <c r="EC132" s="285"/>
      <c r="ED132" s="285"/>
      <c r="EE132" s="285"/>
      <c r="EF132" s="285"/>
      <c r="EG132" s="285"/>
      <c r="EH132" s="285"/>
      <c r="EI132" s="285"/>
      <c r="EJ132" s="285"/>
      <c r="EK132" s="285"/>
      <c r="EL132" s="285"/>
      <c r="EM132" s="285"/>
      <c r="EN132" s="285"/>
      <c r="EO132" s="285"/>
      <c r="EP132" s="285"/>
      <c r="EQ132" s="285"/>
      <c r="ER132" s="285"/>
      <c r="ES132" s="285"/>
      <c r="ET132" s="285"/>
      <c r="EU132" s="285"/>
      <c r="EV132" s="285"/>
      <c r="EW132" s="285"/>
      <c r="EX132" s="285"/>
      <c r="EY132" s="285"/>
      <c r="EZ132" s="285"/>
      <c r="FA132" s="285"/>
      <c r="FB132" s="285"/>
      <c r="FC132" s="285"/>
      <c r="FD132" s="285"/>
      <c r="FE132" s="285"/>
      <c r="FF132" s="285"/>
      <c r="FG132" s="285"/>
      <c r="FH132" s="285"/>
      <c r="FI132" s="285"/>
      <c r="FJ132" s="285"/>
      <c r="FK132" s="285"/>
      <c r="FL132" s="285"/>
      <c r="FM132" s="285"/>
      <c r="FN132" s="285"/>
      <c r="FO132" s="285"/>
      <c r="FP132" s="285"/>
      <c r="FQ132" s="285"/>
      <c r="FR132" s="285"/>
      <c r="FS132" s="285"/>
      <c r="FT132" s="285"/>
      <c r="FU132" s="285"/>
      <c r="FV132" s="285"/>
      <c r="FW132" s="285"/>
      <c r="FX132" s="285"/>
      <c r="FY132" s="285"/>
      <c r="FZ132" s="285"/>
      <c r="GA132" s="285"/>
      <c r="GB132" s="285"/>
      <c r="GC132" s="285"/>
      <c r="GD132" s="285"/>
      <c r="GE132" s="285"/>
      <c r="GF132" s="285"/>
      <c r="GG132" s="285"/>
      <c r="GH132" s="285"/>
      <c r="GI132" s="285"/>
      <c r="GJ132" s="285"/>
      <c r="GK132" s="285"/>
      <c r="GL132" s="285"/>
      <c r="GM132" s="285"/>
      <c r="GN132" s="285"/>
      <c r="GO132" s="285"/>
      <c r="GP132" s="285"/>
      <c r="GQ132" s="285"/>
      <c r="GR132" s="285"/>
      <c r="GS132" s="285"/>
      <c r="GT132" s="285"/>
      <c r="GU132" s="285"/>
      <c r="GV132" s="285"/>
      <c r="GW132" s="285"/>
      <c r="GX132" s="285"/>
      <c r="GY132" s="285"/>
      <c r="GZ132" s="285"/>
    </row>
    <row r="133" spans="1:208" ht="15">
      <c r="A133" s="280">
        <v>32</v>
      </c>
      <c r="B133" s="332">
        <v>44779</v>
      </c>
      <c r="C133" s="342">
        <v>1053331</v>
      </c>
      <c r="D133" s="342" t="s">
        <v>4415</v>
      </c>
      <c r="E133" s="342" t="s">
        <v>4416</v>
      </c>
      <c r="F133" s="342" t="s">
        <v>4251</v>
      </c>
      <c r="G133" s="282">
        <v>3178</v>
      </c>
      <c r="H133" s="342">
        <v>42</v>
      </c>
      <c r="I133" s="342">
        <v>4502385523</v>
      </c>
      <c r="J133" s="342">
        <v>3025457</v>
      </c>
      <c r="K133" s="282">
        <v>4902320855</v>
      </c>
      <c r="L133" s="282" t="s">
        <v>4252</v>
      </c>
      <c r="M133" s="283">
        <v>20022</v>
      </c>
      <c r="N133" s="282">
        <v>8100</v>
      </c>
      <c r="O133" s="284">
        <f t="shared" si="24"/>
        <v>162178200</v>
      </c>
      <c r="P133" s="285">
        <f t="shared" si="26"/>
        <v>3</v>
      </c>
      <c r="Q133" s="282" t="s">
        <v>4266</v>
      </c>
      <c r="R133" s="282">
        <v>1004892</v>
      </c>
      <c r="S133" s="312">
        <v>4792500</v>
      </c>
      <c r="T133" s="285"/>
      <c r="U133" s="285"/>
      <c r="V133" s="285"/>
      <c r="W133" s="285"/>
      <c r="X133" s="285"/>
      <c r="Y133" s="285"/>
      <c r="Z133" s="285"/>
      <c r="AA133" s="285"/>
      <c r="AB133" s="285"/>
      <c r="AC133" s="285"/>
      <c r="AD133" s="285"/>
      <c r="AE133" s="285"/>
      <c r="AF133" s="285"/>
      <c r="AG133" s="285"/>
      <c r="AH133" s="285"/>
      <c r="AI133" s="285"/>
      <c r="AJ133" s="285"/>
      <c r="AK133" s="285"/>
      <c r="AL133" s="285"/>
      <c r="AM133" s="285"/>
      <c r="AN133" s="285"/>
      <c r="AO133" s="285"/>
      <c r="AP133" s="285"/>
      <c r="AQ133" s="285"/>
      <c r="AR133" s="285"/>
      <c r="AS133" s="285"/>
      <c r="AT133" s="285"/>
      <c r="AU133" s="285"/>
      <c r="AV133" s="285"/>
      <c r="AW133" s="285"/>
      <c r="AX133" s="285"/>
      <c r="AY133" s="285"/>
      <c r="AZ133" s="285"/>
      <c r="BA133" s="285"/>
      <c r="BB133" s="285"/>
      <c r="BC133" s="285"/>
      <c r="BD133" s="285"/>
      <c r="BE133" s="285"/>
      <c r="BF133" s="285"/>
      <c r="BG133" s="285"/>
      <c r="BH133" s="285"/>
      <c r="BI133" s="285"/>
      <c r="BJ133" s="285"/>
      <c r="BK133" s="285"/>
      <c r="BL133" s="285"/>
      <c r="BM133" s="285"/>
      <c r="BN133" s="285"/>
      <c r="BO133" s="285"/>
      <c r="BP133" s="285"/>
      <c r="BQ133" s="285"/>
      <c r="BR133" s="285"/>
      <c r="BS133" s="285"/>
      <c r="BT133" s="285"/>
      <c r="BU133" s="285"/>
      <c r="BV133" s="285"/>
      <c r="BW133" s="285"/>
      <c r="BX133" s="285"/>
      <c r="BY133" s="285"/>
      <c r="BZ133" s="285"/>
      <c r="CA133" s="285"/>
      <c r="CB133" s="285"/>
      <c r="CC133" s="285"/>
      <c r="CD133" s="285"/>
      <c r="CE133" s="285"/>
      <c r="CF133" s="285"/>
      <c r="CG133" s="285"/>
      <c r="CH133" s="285"/>
      <c r="CI133" s="285"/>
      <c r="CJ133" s="285"/>
      <c r="CK133" s="285"/>
      <c r="CL133" s="285"/>
      <c r="CM133" s="285"/>
      <c r="CN133" s="285"/>
      <c r="CO133" s="285"/>
      <c r="CP133" s="285"/>
      <c r="CQ133" s="285"/>
      <c r="CR133" s="285"/>
      <c r="CS133" s="285"/>
      <c r="CT133" s="285"/>
      <c r="CU133" s="285"/>
      <c r="CV133" s="285"/>
      <c r="CW133" s="285"/>
      <c r="CX133" s="285"/>
      <c r="CY133" s="285"/>
      <c r="CZ133" s="285"/>
      <c r="DA133" s="285"/>
      <c r="DB133" s="285"/>
      <c r="DC133" s="285"/>
      <c r="DD133" s="285"/>
      <c r="DE133" s="285"/>
      <c r="DF133" s="285"/>
      <c r="DG133" s="285"/>
      <c r="DH133" s="285"/>
      <c r="DI133" s="285"/>
      <c r="DJ133" s="285"/>
      <c r="DK133" s="285"/>
      <c r="DL133" s="285"/>
      <c r="DM133" s="285"/>
      <c r="DN133" s="285"/>
      <c r="DO133" s="285"/>
      <c r="DP133" s="285"/>
      <c r="DQ133" s="285"/>
      <c r="DR133" s="285"/>
      <c r="DS133" s="285"/>
      <c r="DT133" s="285"/>
      <c r="DU133" s="285"/>
      <c r="DV133" s="285"/>
      <c r="DW133" s="285"/>
      <c r="DX133" s="285"/>
      <c r="DY133" s="285"/>
      <c r="DZ133" s="285"/>
      <c r="EA133" s="285"/>
      <c r="EB133" s="285"/>
      <c r="EC133" s="285"/>
      <c r="ED133" s="285"/>
      <c r="EE133" s="285"/>
      <c r="EF133" s="285"/>
      <c r="EG133" s="285"/>
      <c r="EH133" s="285"/>
      <c r="EI133" s="285"/>
      <c r="EJ133" s="285"/>
      <c r="EK133" s="285"/>
      <c r="EL133" s="285"/>
      <c r="EM133" s="285"/>
      <c r="EN133" s="285"/>
      <c r="EO133" s="285"/>
      <c r="EP133" s="285"/>
      <c r="EQ133" s="285"/>
      <c r="ER133" s="285"/>
      <c r="ES133" s="285"/>
      <c r="ET133" s="285"/>
      <c r="EU133" s="285"/>
      <c r="EV133" s="285"/>
      <c r="EW133" s="285"/>
      <c r="EX133" s="285"/>
      <c r="EY133" s="285"/>
      <c r="EZ133" s="285"/>
      <c r="FA133" s="285"/>
      <c r="FB133" s="285"/>
      <c r="FC133" s="285"/>
      <c r="FD133" s="285"/>
      <c r="FE133" s="285"/>
      <c r="FF133" s="285"/>
      <c r="FG133" s="285"/>
      <c r="FH133" s="285"/>
      <c r="FI133" s="285"/>
      <c r="FJ133" s="285"/>
      <c r="FK133" s="285"/>
      <c r="FL133" s="285"/>
      <c r="FM133" s="285"/>
      <c r="FN133" s="285"/>
      <c r="FO133" s="285"/>
      <c r="FP133" s="285"/>
      <c r="FQ133" s="285"/>
      <c r="FR133" s="285"/>
      <c r="FS133" s="285"/>
      <c r="FT133" s="285"/>
      <c r="FU133" s="285"/>
      <c r="FV133" s="285"/>
      <c r="FW133" s="285"/>
      <c r="FX133" s="285"/>
      <c r="FY133" s="285"/>
      <c r="FZ133" s="285"/>
      <c r="GA133" s="285"/>
      <c r="GB133" s="285"/>
      <c r="GC133" s="285"/>
      <c r="GD133" s="285"/>
      <c r="GE133" s="285"/>
      <c r="GF133" s="285"/>
      <c r="GG133" s="285"/>
      <c r="GH133" s="285"/>
      <c r="GI133" s="285"/>
      <c r="GJ133" s="285"/>
      <c r="GK133" s="285"/>
      <c r="GL133" s="285"/>
      <c r="GM133" s="285"/>
      <c r="GN133" s="285"/>
      <c r="GO133" s="285"/>
      <c r="GP133" s="285"/>
      <c r="GQ133" s="285"/>
      <c r="GR133" s="285"/>
      <c r="GS133" s="285"/>
      <c r="GT133" s="285"/>
      <c r="GU133" s="285"/>
      <c r="GV133" s="285"/>
      <c r="GW133" s="285"/>
      <c r="GX133" s="285"/>
      <c r="GY133" s="285"/>
      <c r="GZ133" s="285"/>
    </row>
    <row r="134" spans="1:208" ht="15">
      <c r="A134" s="280">
        <v>32</v>
      </c>
      <c r="B134" s="332">
        <v>44779</v>
      </c>
      <c r="C134" s="342">
        <v>1102323</v>
      </c>
      <c r="D134" s="342" t="s">
        <v>4417</v>
      </c>
      <c r="E134" s="342" t="s">
        <v>4330</v>
      </c>
      <c r="F134" s="342" t="s">
        <v>4251</v>
      </c>
      <c r="G134" s="282">
        <v>3199</v>
      </c>
      <c r="H134" s="342">
        <v>28</v>
      </c>
      <c r="I134" s="342">
        <v>4502385524</v>
      </c>
      <c r="J134" s="342">
        <v>3025457</v>
      </c>
      <c r="K134" s="282">
        <v>4902320856</v>
      </c>
      <c r="L134" s="282" t="s">
        <v>4252</v>
      </c>
      <c r="M134" s="283">
        <v>14874</v>
      </c>
      <c r="N134" s="282">
        <v>8000</v>
      </c>
      <c r="O134" s="284">
        <f t="shared" si="24"/>
        <v>118992000</v>
      </c>
      <c r="P134" s="285">
        <f t="shared" si="26"/>
        <v>2</v>
      </c>
      <c r="Q134" s="282" t="s">
        <v>3455</v>
      </c>
      <c r="R134" s="282">
        <v>1040968</v>
      </c>
      <c r="S134" s="312">
        <v>5965200</v>
      </c>
      <c r="T134" s="285"/>
      <c r="U134" s="285"/>
      <c r="V134" s="285"/>
      <c r="W134" s="285"/>
      <c r="X134" s="285"/>
      <c r="Y134" s="285"/>
      <c r="Z134" s="285"/>
      <c r="AA134" s="285"/>
      <c r="AB134" s="285"/>
      <c r="AC134" s="285"/>
      <c r="AD134" s="285"/>
      <c r="AE134" s="285"/>
      <c r="AF134" s="285"/>
      <c r="AG134" s="285"/>
      <c r="AH134" s="285"/>
      <c r="AI134" s="285"/>
      <c r="AJ134" s="285"/>
      <c r="AK134" s="285"/>
      <c r="AL134" s="285"/>
      <c r="AM134" s="285"/>
      <c r="AN134" s="285"/>
      <c r="AO134" s="285"/>
      <c r="AP134" s="285"/>
      <c r="AQ134" s="285"/>
      <c r="AR134" s="285"/>
      <c r="AS134" s="285"/>
      <c r="AT134" s="285"/>
      <c r="AU134" s="285"/>
      <c r="AV134" s="285"/>
      <c r="AW134" s="285"/>
      <c r="AX134" s="285"/>
      <c r="AY134" s="285"/>
      <c r="AZ134" s="285"/>
      <c r="BA134" s="285"/>
      <c r="BB134" s="285"/>
      <c r="BC134" s="285"/>
      <c r="BD134" s="285"/>
      <c r="BE134" s="285"/>
      <c r="BF134" s="285"/>
      <c r="BG134" s="285"/>
      <c r="BH134" s="285"/>
      <c r="BI134" s="285"/>
      <c r="BJ134" s="285"/>
      <c r="BK134" s="285"/>
      <c r="BL134" s="285"/>
      <c r="BM134" s="285"/>
      <c r="BN134" s="285"/>
      <c r="BO134" s="285"/>
      <c r="BP134" s="285"/>
      <c r="BQ134" s="285"/>
      <c r="BR134" s="285"/>
      <c r="BS134" s="285"/>
      <c r="BT134" s="285"/>
      <c r="BU134" s="285"/>
      <c r="BV134" s="285"/>
      <c r="BW134" s="285"/>
      <c r="BX134" s="285"/>
      <c r="BY134" s="285"/>
      <c r="BZ134" s="285"/>
      <c r="CA134" s="285"/>
      <c r="CB134" s="285"/>
      <c r="CC134" s="285"/>
      <c r="CD134" s="285"/>
      <c r="CE134" s="285"/>
      <c r="CF134" s="285"/>
      <c r="CG134" s="285"/>
      <c r="CH134" s="285"/>
      <c r="CI134" s="285"/>
      <c r="CJ134" s="285"/>
      <c r="CK134" s="285"/>
      <c r="CL134" s="285"/>
      <c r="CM134" s="285"/>
      <c r="CN134" s="285"/>
      <c r="CO134" s="285"/>
      <c r="CP134" s="285"/>
      <c r="CQ134" s="285"/>
      <c r="CR134" s="285"/>
      <c r="CS134" s="285"/>
      <c r="CT134" s="285"/>
      <c r="CU134" s="285"/>
      <c r="CV134" s="285"/>
      <c r="CW134" s="285"/>
      <c r="CX134" s="285"/>
      <c r="CY134" s="285"/>
      <c r="CZ134" s="285"/>
      <c r="DA134" s="285"/>
      <c r="DB134" s="285"/>
      <c r="DC134" s="285"/>
      <c r="DD134" s="285"/>
      <c r="DE134" s="285"/>
      <c r="DF134" s="285"/>
      <c r="DG134" s="285"/>
      <c r="DH134" s="285"/>
      <c r="DI134" s="285"/>
      <c r="DJ134" s="285"/>
      <c r="DK134" s="285"/>
      <c r="DL134" s="285"/>
      <c r="DM134" s="285"/>
      <c r="DN134" s="285"/>
      <c r="DO134" s="285"/>
      <c r="DP134" s="285"/>
      <c r="DQ134" s="285"/>
      <c r="DR134" s="285"/>
      <c r="DS134" s="285"/>
      <c r="DT134" s="285"/>
      <c r="DU134" s="285"/>
      <c r="DV134" s="285"/>
      <c r="DW134" s="285"/>
      <c r="DX134" s="285"/>
      <c r="DY134" s="285"/>
      <c r="DZ134" s="285"/>
      <c r="EA134" s="285"/>
      <c r="EB134" s="285"/>
      <c r="EC134" s="285"/>
      <c r="ED134" s="285"/>
      <c r="EE134" s="285"/>
      <c r="EF134" s="285"/>
      <c r="EG134" s="285"/>
      <c r="EH134" s="285"/>
      <c r="EI134" s="285"/>
      <c r="EJ134" s="285"/>
      <c r="EK134" s="285"/>
      <c r="EL134" s="285"/>
      <c r="EM134" s="285"/>
      <c r="EN134" s="285"/>
      <c r="EO134" s="285"/>
      <c r="EP134" s="285"/>
      <c r="EQ134" s="285"/>
      <c r="ER134" s="285"/>
      <c r="ES134" s="285"/>
      <c r="ET134" s="285"/>
      <c r="EU134" s="285"/>
      <c r="EV134" s="285"/>
      <c r="EW134" s="285"/>
      <c r="EX134" s="285"/>
      <c r="EY134" s="285"/>
      <c r="EZ134" s="285"/>
      <c r="FA134" s="285"/>
      <c r="FB134" s="285"/>
      <c r="FC134" s="285"/>
      <c r="FD134" s="285"/>
      <c r="FE134" s="285"/>
      <c r="FF134" s="285"/>
      <c r="FG134" s="285"/>
      <c r="FH134" s="285"/>
      <c r="FI134" s="285"/>
      <c r="FJ134" s="285"/>
      <c r="FK134" s="285"/>
      <c r="FL134" s="285"/>
      <c r="FM134" s="285"/>
      <c r="FN134" s="285"/>
      <c r="FO134" s="285"/>
      <c r="FP134" s="285"/>
      <c r="FQ134" s="285"/>
      <c r="FR134" s="285"/>
      <c r="FS134" s="285"/>
      <c r="FT134" s="285"/>
      <c r="FU134" s="285"/>
      <c r="FV134" s="285"/>
      <c r="FW134" s="285"/>
      <c r="FX134" s="285"/>
      <c r="FY134" s="285"/>
      <c r="FZ134" s="285"/>
      <c r="GA134" s="285"/>
      <c r="GB134" s="285"/>
      <c r="GC134" s="285"/>
      <c r="GD134" s="285"/>
      <c r="GE134" s="285"/>
      <c r="GF134" s="285"/>
      <c r="GG134" s="285"/>
      <c r="GH134" s="285"/>
      <c r="GI134" s="285"/>
      <c r="GJ134" s="285"/>
      <c r="GK134" s="285"/>
      <c r="GL134" s="285"/>
      <c r="GM134" s="285"/>
      <c r="GN134" s="285"/>
      <c r="GO134" s="285"/>
      <c r="GP134" s="285"/>
      <c r="GQ134" s="285"/>
      <c r="GR134" s="285"/>
      <c r="GS134" s="285"/>
      <c r="GT134" s="285"/>
      <c r="GU134" s="285"/>
      <c r="GV134" s="285"/>
      <c r="GW134" s="285"/>
      <c r="GX134" s="285"/>
      <c r="GY134" s="285"/>
      <c r="GZ134" s="285"/>
    </row>
    <row r="135" spans="1:208" ht="15">
      <c r="A135" s="280">
        <v>32</v>
      </c>
      <c r="B135" s="332">
        <v>44780</v>
      </c>
      <c r="C135" s="342">
        <v>1110293</v>
      </c>
      <c r="D135" s="342" t="s">
        <v>4418</v>
      </c>
      <c r="E135" s="342" t="s">
        <v>4349</v>
      </c>
      <c r="F135" s="342" t="s">
        <v>4275</v>
      </c>
      <c r="G135" s="282">
        <v>3155</v>
      </c>
      <c r="H135" s="342">
        <v>28</v>
      </c>
      <c r="I135" s="342">
        <v>4502385525</v>
      </c>
      <c r="J135" s="342">
        <v>3025459</v>
      </c>
      <c r="K135" s="282">
        <v>4902320857</v>
      </c>
      <c r="L135" s="282" t="s">
        <v>4252</v>
      </c>
      <c r="M135" s="283">
        <v>12747</v>
      </c>
      <c r="N135" s="282">
        <v>8300</v>
      </c>
      <c r="O135" s="284">
        <f t="shared" si="24"/>
        <v>105800100</v>
      </c>
      <c r="P135" s="285">
        <f t="shared" si="26"/>
        <v>2</v>
      </c>
      <c r="Q135" s="312" t="s">
        <v>3429</v>
      </c>
      <c r="R135" s="312">
        <v>1070641</v>
      </c>
      <c r="S135" s="282">
        <v>1840000</v>
      </c>
      <c r="T135" s="285"/>
      <c r="U135" s="285"/>
      <c r="V135" s="285"/>
      <c r="W135" s="285"/>
      <c r="X135" s="285"/>
      <c r="Y135" s="285"/>
      <c r="Z135" s="285"/>
      <c r="AA135" s="285"/>
      <c r="AB135" s="285"/>
      <c r="AC135" s="285"/>
      <c r="AD135" s="285"/>
      <c r="AE135" s="285"/>
      <c r="AF135" s="285"/>
      <c r="AG135" s="285"/>
      <c r="AH135" s="285"/>
      <c r="AI135" s="285"/>
      <c r="AJ135" s="285"/>
      <c r="AK135" s="285"/>
      <c r="AL135" s="285"/>
      <c r="AM135" s="285"/>
      <c r="AN135" s="285"/>
      <c r="AO135" s="285"/>
      <c r="AP135" s="285"/>
      <c r="AQ135" s="285"/>
      <c r="AR135" s="285"/>
      <c r="AS135" s="285"/>
      <c r="AT135" s="285"/>
      <c r="AU135" s="285"/>
      <c r="AV135" s="285"/>
      <c r="AW135" s="285"/>
      <c r="AX135" s="285"/>
      <c r="AY135" s="285"/>
      <c r="AZ135" s="285"/>
      <c r="BA135" s="285"/>
      <c r="BB135" s="285"/>
      <c r="BC135" s="285"/>
      <c r="BD135" s="285"/>
      <c r="BE135" s="285"/>
      <c r="BF135" s="285"/>
      <c r="BG135" s="285"/>
      <c r="BH135" s="285"/>
      <c r="BI135" s="285"/>
      <c r="BJ135" s="285"/>
      <c r="BK135" s="285"/>
      <c r="BL135" s="285"/>
      <c r="BM135" s="285"/>
      <c r="BN135" s="285"/>
      <c r="BO135" s="285"/>
      <c r="BP135" s="285"/>
      <c r="BQ135" s="285"/>
      <c r="BR135" s="285"/>
      <c r="BS135" s="285"/>
      <c r="BT135" s="285"/>
      <c r="BU135" s="285"/>
      <c r="BV135" s="285"/>
      <c r="BW135" s="285"/>
      <c r="BX135" s="285"/>
      <c r="BY135" s="285"/>
      <c r="BZ135" s="285"/>
      <c r="CA135" s="285"/>
      <c r="CB135" s="285"/>
      <c r="CC135" s="285"/>
      <c r="CD135" s="285"/>
      <c r="CE135" s="285"/>
      <c r="CF135" s="285"/>
      <c r="CG135" s="285"/>
      <c r="CH135" s="285"/>
      <c r="CI135" s="285"/>
      <c r="CJ135" s="285"/>
      <c r="CK135" s="285"/>
      <c r="CL135" s="285"/>
      <c r="CM135" s="285"/>
      <c r="CN135" s="285"/>
      <c r="CO135" s="285"/>
      <c r="CP135" s="285"/>
      <c r="CQ135" s="285"/>
      <c r="CR135" s="285"/>
      <c r="CS135" s="285"/>
      <c r="CT135" s="285"/>
      <c r="CU135" s="285"/>
      <c r="CV135" s="285"/>
      <c r="CW135" s="285"/>
      <c r="CX135" s="285"/>
      <c r="CY135" s="285"/>
      <c r="CZ135" s="285"/>
      <c r="DA135" s="285"/>
      <c r="DB135" s="285"/>
      <c r="DC135" s="285"/>
      <c r="DD135" s="285"/>
      <c r="DE135" s="285"/>
      <c r="DF135" s="285"/>
      <c r="DG135" s="285"/>
      <c r="DH135" s="285"/>
      <c r="DI135" s="285"/>
      <c r="DJ135" s="285"/>
      <c r="DK135" s="285"/>
      <c r="DL135" s="285"/>
      <c r="DM135" s="285"/>
      <c r="DN135" s="285"/>
      <c r="DO135" s="285"/>
      <c r="DP135" s="285"/>
      <c r="DQ135" s="285"/>
      <c r="DR135" s="285"/>
      <c r="DS135" s="285"/>
      <c r="DT135" s="285"/>
      <c r="DU135" s="285"/>
      <c r="DV135" s="285"/>
      <c r="DW135" s="285"/>
      <c r="DX135" s="285"/>
      <c r="DY135" s="285"/>
      <c r="DZ135" s="285"/>
      <c r="EA135" s="285"/>
      <c r="EB135" s="285"/>
      <c r="EC135" s="285"/>
      <c r="ED135" s="285"/>
      <c r="EE135" s="285"/>
      <c r="EF135" s="285"/>
      <c r="EG135" s="285"/>
      <c r="EH135" s="285"/>
      <c r="EI135" s="285"/>
      <c r="EJ135" s="285"/>
      <c r="EK135" s="285"/>
      <c r="EL135" s="285"/>
      <c r="EM135" s="285"/>
      <c r="EN135" s="285"/>
      <c r="EO135" s="285"/>
      <c r="EP135" s="285"/>
      <c r="EQ135" s="285"/>
      <c r="ER135" s="285"/>
      <c r="ES135" s="285"/>
      <c r="ET135" s="285"/>
      <c r="EU135" s="285"/>
      <c r="EV135" s="285"/>
      <c r="EW135" s="285"/>
      <c r="EX135" s="285"/>
      <c r="EY135" s="285"/>
      <c r="EZ135" s="285"/>
      <c r="FA135" s="285"/>
      <c r="FB135" s="285"/>
      <c r="FC135" s="285"/>
      <c r="FD135" s="285"/>
      <c r="FE135" s="285"/>
      <c r="FF135" s="285"/>
      <c r="FG135" s="285"/>
      <c r="FH135" s="285"/>
      <c r="FI135" s="285"/>
      <c r="FJ135" s="285"/>
      <c r="FK135" s="285"/>
      <c r="FL135" s="285"/>
      <c r="FM135" s="285"/>
      <c r="FN135" s="285"/>
      <c r="FO135" s="285"/>
      <c r="FP135" s="285"/>
      <c r="FQ135" s="285"/>
      <c r="FR135" s="285"/>
      <c r="FS135" s="285"/>
      <c r="FT135" s="285"/>
      <c r="FU135" s="285"/>
      <c r="FV135" s="285"/>
      <c r="FW135" s="285"/>
      <c r="FX135" s="285"/>
      <c r="FY135" s="285"/>
      <c r="FZ135" s="285"/>
      <c r="GA135" s="285"/>
      <c r="GB135" s="285"/>
      <c r="GC135" s="285"/>
      <c r="GD135" s="285"/>
      <c r="GE135" s="285"/>
      <c r="GF135" s="285"/>
      <c r="GG135" s="285"/>
      <c r="GH135" s="285"/>
      <c r="GI135" s="285"/>
      <c r="GJ135" s="285"/>
      <c r="GK135" s="285"/>
      <c r="GL135" s="285"/>
      <c r="GM135" s="285"/>
      <c r="GN135" s="285"/>
      <c r="GO135" s="285"/>
      <c r="GP135" s="285"/>
      <c r="GQ135" s="285"/>
      <c r="GR135" s="285"/>
      <c r="GS135" s="285"/>
      <c r="GT135" s="285"/>
      <c r="GU135" s="285"/>
      <c r="GV135" s="285"/>
      <c r="GW135" s="285"/>
      <c r="GX135" s="285"/>
      <c r="GY135" s="285"/>
      <c r="GZ135" s="285"/>
    </row>
    <row r="136" spans="1:208" ht="15">
      <c r="A136" s="280">
        <v>32</v>
      </c>
      <c r="B136" s="332">
        <v>44780</v>
      </c>
      <c r="C136" s="342">
        <v>1112702</v>
      </c>
      <c r="D136" s="342" t="s">
        <v>4419</v>
      </c>
      <c r="E136" s="342" t="s">
        <v>4420</v>
      </c>
      <c r="F136" s="342" t="s">
        <v>4264</v>
      </c>
      <c r="G136" s="354" t="s">
        <v>4320</v>
      </c>
      <c r="H136" s="342">
        <v>15</v>
      </c>
      <c r="I136" s="342">
        <v>4502385495</v>
      </c>
      <c r="J136" s="342">
        <v>3025460</v>
      </c>
      <c r="K136" s="354" t="s">
        <v>4320</v>
      </c>
      <c r="L136" s="354" t="s">
        <v>4320</v>
      </c>
      <c r="M136" s="283">
        <v>7959</v>
      </c>
      <c r="N136" s="282">
        <v>7850</v>
      </c>
      <c r="O136" s="284">
        <f t="shared" si="24"/>
        <v>62478150</v>
      </c>
      <c r="P136" s="282">
        <v>1</v>
      </c>
      <c r="Q136" s="312" t="s">
        <v>3455</v>
      </c>
      <c r="R136" s="282">
        <v>1040968</v>
      </c>
      <c r="S136" s="355">
        <v>2982800</v>
      </c>
      <c r="T136" s="354" t="s">
        <v>4421</v>
      </c>
      <c r="U136" s="282">
        <v>100916617</v>
      </c>
      <c r="V136" s="285"/>
      <c r="W136" s="285"/>
      <c r="X136" s="285"/>
      <c r="Y136" s="285"/>
      <c r="Z136" s="285"/>
      <c r="AA136" s="285"/>
      <c r="AB136" s="285"/>
      <c r="AC136" s="285"/>
      <c r="AD136" s="285"/>
      <c r="AE136" s="285"/>
      <c r="AF136" s="285"/>
      <c r="AG136" s="285"/>
      <c r="AH136" s="285"/>
      <c r="AI136" s="285"/>
      <c r="AJ136" s="285"/>
      <c r="AK136" s="285"/>
      <c r="AL136" s="285"/>
      <c r="AM136" s="285"/>
      <c r="AN136" s="285"/>
      <c r="AO136" s="285"/>
      <c r="AP136" s="285"/>
      <c r="AQ136" s="285"/>
      <c r="AR136" s="285"/>
      <c r="AS136" s="285"/>
      <c r="AT136" s="285"/>
      <c r="AU136" s="285"/>
      <c r="AV136" s="285"/>
      <c r="AW136" s="285"/>
      <c r="AX136" s="285"/>
      <c r="AY136" s="285"/>
      <c r="AZ136" s="285"/>
      <c r="BA136" s="285"/>
      <c r="BB136" s="285"/>
      <c r="BC136" s="285"/>
      <c r="BD136" s="285"/>
      <c r="BE136" s="285"/>
      <c r="BF136" s="285"/>
      <c r="BG136" s="285"/>
      <c r="BH136" s="285"/>
      <c r="BI136" s="285"/>
      <c r="BJ136" s="285"/>
      <c r="BK136" s="285"/>
      <c r="BL136" s="285"/>
      <c r="BM136" s="285"/>
      <c r="BN136" s="285"/>
      <c r="BO136" s="285"/>
      <c r="BP136" s="285"/>
      <c r="BQ136" s="285"/>
      <c r="BR136" s="285"/>
      <c r="BS136" s="285"/>
      <c r="BT136" s="285"/>
      <c r="BU136" s="285"/>
      <c r="BV136" s="285"/>
      <c r="BW136" s="285"/>
      <c r="BX136" s="285"/>
      <c r="BY136" s="285"/>
      <c r="BZ136" s="285"/>
      <c r="CA136" s="285"/>
      <c r="CB136" s="285"/>
      <c r="CC136" s="285"/>
      <c r="CD136" s="285"/>
      <c r="CE136" s="285"/>
      <c r="CF136" s="285"/>
      <c r="CG136" s="285"/>
      <c r="CH136" s="285"/>
      <c r="CI136" s="285"/>
      <c r="CJ136" s="285"/>
      <c r="CK136" s="285"/>
      <c r="CL136" s="285"/>
      <c r="CM136" s="285"/>
      <c r="CN136" s="285"/>
      <c r="CO136" s="285"/>
      <c r="CP136" s="285"/>
      <c r="CQ136" s="285"/>
      <c r="CR136" s="285"/>
      <c r="CS136" s="285"/>
      <c r="CT136" s="285"/>
      <c r="CU136" s="285"/>
      <c r="CV136" s="285"/>
      <c r="CW136" s="285"/>
      <c r="CX136" s="285"/>
      <c r="CY136" s="285"/>
      <c r="CZ136" s="285"/>
      <c r="DA136" s="285"/>
      <c r="DB136" s="285"/>
      <c r="DC136" s="285"/>
      <c r="DD136" s="285"/>
      <c r="DE136" s="285"/>
      <c r="DF136" s="285"/>
      <c r="DG136" s="285"/>
      <c r="DH136" s="285"/>
      <c r="DI136" s="285"/>
      <c r="DJ136" s="285"/>
      <c r="DK136" s="285"/>
      <c r="DL136" s="285"/>
      <c r="DM136" s="285"/>
      <c r="DN136" s="285"/>
      <c r="DO136" s="285"/>
      <c r="DP136" s="285"/>
      <c r="DQ136" s="285"/>
      <c r="DR136" s="285"/>
      <c r="DS136" s="285"/>
      <c r="DT136" s="285"/>
      <c r="DU136" s="285"/>
      <c r="DV136" s="285"/>
      <c r="DW136" s="285"/>
      <c r="DX136" s="285"/>
      <c r="DY136" s="285"/>
      <c r="DZ136" s="285"/>
      <c r="EA136" s="285"/>
      <c r="EB136" s="285"/>
      <c r="EC136" s="285"/>
      <c r="ED136" s="285"/>
      <c r="EE136" s="285"/>
      <c r="EF136" s="285"/>
      <c r="EG136" s="285"/>
      <c r="EH136" s="285"/>
      <c r="EI136" s="285"/>
      <c r="EJ136" s="285"/>
      <c r="EK136" s="285"/>
      <c r="EL136" s="285"/>
      <c r="EM136" s="285"/>
      <c r="EN136" s="285"/>
      <c r="EO136" s="285"/>
      <c r="EP136" s="285"/>
      <c r="EQ136" s="285"/>
      <c r="ER136" s="285"/>
      <c r="ES136" s="285"/>
      <c r="ET136" s="285"/>
      <c r="EU136" s="285"/>
      <c r="EV136" s="285"/>
      <c r="EW136" s="285"/>
      <c r="EX136" s="285"/>
      <c r="EY136" s="285"/>
      <c r="EZ136" s="285"/>
      <c r="FA136" s="285"/>
      <c r="FB136" s="285"/>
      <c r="FC136" s="285"/>
      <c r="FD136" s="285"/>
      <c r="FE136" s="285"/>
      <c r="FF136" s="285"/>
      <c r="FG136" s="285"/>
      <c r="FH136" s="285"/>
      <c r="FI136" s="285"/>
      <c r="FJ136" s="285"/>
      <c r="FK136" s="285"/>
      <c r="FL136" s="285"/>
      <c r="FM136" s="285"/>
      <c r="FN136" s="285"/>
      <c r="FO136" s="285"/>
      <c r="FP136" s="285"/>
      <c r="FQ136" s="285"/>
      <c r="FR136" s="285"/>
      <c r="FS136" s="285"/>
      <c r="FT136" s="285"/>
      <c r="FU136" s="285"/>
      <c r="FV136" s="285"/>
      <c r="FW136" s="285"/>
      <c r="FX136" s="285"/>
      <c r="FY136" s="285"/>
      <c r="FZ136" s="285"/>
      <c r="GA136" s="285"/>
      <c r="GB136" s="285"/>
      <c r="GC136" s="285"/>
      <c r="GD136" s="285"/>
      <c r="GE136" s="285"/>
      <c r="GF136" s="285"/>
      <c r="GG136" s="285"/>
      <c r="GH136" s="285"/>
      <c r="GI136" s="285"/>
      <c r="GJ136" s="285"/>
      <c r="GK136" s="285"/>
      <c r="GL136" s="285"/>
      <c r="GM136" s="285"/>
      <c r="GN136" s="285"/>
      <c r="GO136" s="285"/>
      <c r="GP136" s="285"/>
      <c r="GQ136" s="285"/>
      <c r="GR136" s="285"/>
      <c r="GS136" s="285"/>
      <c r="GT136" s="285"/>
      <c r="GU136" s="285"/>
      <c r="GV136" s="285"/>
      <c r="GW136" s="285"/>
      <c r="GX136" s="285"/>
      <c r="GY136" s="285"/>
      <c r="GZ136" s="285"/>
    </row>
    <row r="137" spans="1:208" ht="30">
      <c r="A137" s="280">
        <v>32</v>
      </c>
      <c r="B137" s="281">
        <v>44781</v>
      </c>
      <c r="C137" s="282">
        <v>1110297</v>
      </c>
      <c r="D137" s="342" t="s">
        <v>4422</v>
      </c>
      <c r="E137" s="282" t="s">
        <v>4361</v>
      </c>
      <c r="F137" s="282" t="s">
        <v>4275</v>
      </c>
      <c r="G137" s="282">
        <v>3113</v>
      </c>
      <c r="H137" s="342">
        <v>28</v>
      </c>
      <c r="I137" s="342">
        <v>4502386465</v>
      </c>
      <c r="J137" s="282">
        <v>3025459</v>
      </c>
      <c r="K137" s="282">
        <v>4902320858</v>
      </c>
      <c r="L137" s="282" t="s">
        <v>4252</v>
      </c>
      <c r="M137" s="283">
        <v>14360</v>
      </c>
      <c r="N137" s="282">
        <v>8300</v>
      </c>
      <c r="O137" s="284">
        <f t="shared" si="24"/>
        <v>119188000</v>
      </c>
      <c r="P137" s="285">
        <f t="shared" ref="P137:P139" si="27">H137/14</f>
        <v>2</v>
      </c>
      <c r="Q137" s="282" t="s">
        <v>3429</v>
      </c>
      <c r="R137" s="282">
        <v>1070641</v>
      </c>
      <c r="S137" s="312">
        <v>1840000</v>
      </c>
      <c r="T137" s="285"/>
      <c r="U137" s="282">
        <v>100917135</v>
      </c>
      <c r="V137" s="285"/>
      <c r="W137" s="285"/>
      <c r="X137" s="285"/>
      <c r="Y137" s="285"/>
      <c r="Z137" s="285"/>
      <c r="AA137" s="285"/>
      <c r="AB137" s="285"/>
      <c r="AC137" s="285"/>
      <c r="AD137" s="285"/>
      <c r="AE137" s="285"/>
      <c r="AF137" s="285"/>
      <c r="AG137" s="285"/>
      <c r="AH137" s="285"/>
      <c r="AI137" s="285"/>
      <c r="AJ137" s="285"/>
      <c r="AK137" s="285"/>
      <c r="AL137" s="285"/>
      <c r="AM137" s="285"/>
      <c r="AN137" s="285"/>
      <c r="AO137" s="285"/>
      <c r="AP137" s="285"/>
      <c r="AQ137" s="285"/>
      <c r="AR137" s="285"/>
      <c r="AS137" s="285"/>
      <c r="AT137" s="285"/>
      <c r="AU137" s="285"/>
      <c r="AV137" s="285"/>
      <c r="AW137" s="285"/>
      <c r="AX137" s="285"/>
      <c r="AY137" s="285"/>
      <c r="AZ137" s="285"/>
      <c r="BA137" s="285"/>
      <c r="BB137" s="285"/>
      <c r="BC137" s="285"/>
      <c r="BD137" s="285"/>
      <c r="BE137" s="285"/>
      <c r="BF137" s="285"/>
      <c r="BG137" s="285"/>
      <c r="BH137" s="285"/>
      <c r="BI137" s="285"/>
      <c r="BJ137" s="285"/>
      <c r="BK137" s="285"/>
      <c r="BL137" s="285"/>
      <c r="BM137" s="285"/>
      <c r="BN137" s="285"/>
      <c r="BO137" s="285"/>
      <c r="BP137" s="285"/>
      <c r="BQ137" s="285"/>
      <c r="BR137" s="285"/>
      <c r="BS137" s="285"/>
      <c r="BT137" s="285"/>
      <c r="BU137" s="285"/>
      <c r="BV137" s="285"/>
      <c r="BW137" s="285"/>
      <c r="BX137" s="285"/>
      <c r="BY137" s="285"/>
      <c r="BZ137" s="285"/>
      <c r="CA137" s="285"/>
      <c r="CB137" s="285"/>
      <c r="CC137" s="285"/>
      <c r="CD137" s="285"/>
      <c r="CE137" s="285"/>
      <c r="CF137" s="285"/>
      <c r="CG137" s="285"/>
      <c r="CH137" s="285"/>
      <c r="CI137" s="285"/>
      <c r="CJ137" s="285"/>
      <c r="CK137" s="285"/>
      <c r="CL137" s="285"/>
      <c r="CM137" s="285"/>
      <c r="CN137" s="285"/>
      <c r="CO137" s="285"/>
      <c r="CP137" s="285"/>
      <c r="CQ137" s="285"/>
      <c r="CR137" s="285"/>
      <c r="CS137" s="285"/>
      <c r="CT137" s="285"/>
      <c r="CU137" s="285"/>
      <c r="CV137" s="285"/>
      <c r="CW137" s="285"/>
      <c r="CX137" s="285"/>
      <c r="CY137" s="285"/>
      <c r="CZ137" s="285"/>
      <c r="DA137" s="285"/>
      <c r="DB137" s="285"/>
      <c r="DC137" s="285"/>
      <c r="DD137" s="285"/>
      <c r="DE137" s="285"/>
      <c r="DF137" s="285"/>
      <c r="DG137" s="285"/>
      <c r="DH137" s="285"/>
      <c r="DI137" s="285"/>
      <c r="DJ137" s="285"/>
      <c r="DK137" s="285"/>
      <c r="DL137" s="285"/>
      <c r="DM137" s="285"/>
      <c r="DN137" s="285"/>
      <c r="DO137" s="285"/>
      <c r="DP137" s="285"/>
      <c r="DQ137" s="285"/>
      <c r="DR137" s="285"/>
      <c r="DS137" s="285"/>
      <c r="DT137" s="285"/>
      <c r="DU137" s="285"/>
      <c r="DV137" s="285"/>
      <c r="DW137" s="285"/>
      <c r="DX137" s="285"/>
      <c r="DY137" s="285"/>
      <c r="DZ137" s="285"/>
      <c r="EA137" s="285"/>
      <c r="EB137" s="285"/>
      <c r="EC137" s="285"/>
      <c r="ED137" s="285"/>
      <c r="EE137" s="285"/>
      <c r="EF137" s="285"/>
      <c r="EG137" s="285"/>
      <c r="EH137" s="285"/>
      <c r="EI137" s="285"/>
      <c r="EJ137" s="285"/>
      <c r="EK137" s="285"/>
      <c r="EL137" s="285"/>
      <c r="EM137" s="285"/>
      <c r="EN137" s="285"/>
      <c r="EO137" s="285"/>
      <c r="EP137" s="285"/>
      <c r="EQ137" s="285"/>
      <c r="ER137" s="285"/>
      <c r="ES137" s="285"/>
      <c r="ET137" s="285"/>
      <c r="EU137" s="285"/>
      <c r="EV137" s="285"/>
      <c r="EW137" s="285"/>
      <c r="EX137" s="285"/>
      <c r="EY137" s="285"/>
      <c r="EZ137" s="285"/>
      <c r="FA137" s="285"/>
      <c r="FB137" s="285"/>
      <c r="FC137" s="285"/>
      <c r="FD137" s="285"/>
      <c r="FE137" s="285"/>
      <c r="FF137" s="285"/>
      <c r="FG137" s="285"/>
      <c r="FH137" s="285"/>
      <c r="FI137" s="285"/>
      <c r="FJ137" s="285"/>
      <c r="FK137" s="285"/>
      <c r="FL137" s="285"/>
      <c r="FM137" s="285"/>
      <c r="FN137" s="285"/>
      <c r="FO137" s="285"/>
      <c r="FP137" s="285"/>
      <c r="FQ137" s="285"/>
      <c r="FR137" s="285"/>
      <c r="FS137" s="285"/>
      <c r="FT137" s="285"/>
      <c r="FU137" s="285"/>
      <c r="FV137" s="285"/>
      <c r="FW137" s="285"/>
      <c r="FX137" s="285"/>
      <c r="FY137" s="285"/>
      <c r="FZ137" s="285"/>
      <c r="GA137" s="285"/>
      <c r="GB137" s="285"/>
      <c r="GC137" s="285"/>
      <c r="GD137" s="285"/>
      <c r="GE137" s="285"/>
      <c r="GF137" s="285"/>
      <c r="GG137" s="285"/>
      <c r="GH137" s="285"/>
      <c r="GI137" s="285"/>
      <c r="GJ137" s="285"/>
      <c r="GK137" s="285"/>
      <c r="GL137" s="285"/>
      <c r="GM137" s="285"/>
      <c r="GN137" s="285"/>
      <c r="GO137" s="285"/>
      <c r="GP137" s="285"/>
      <c r="GQ137" s="285"/>
      <c r="GR137" s="285"/>
      <c r="GS137" s="285"/>
      <c r="GT137" s="285"/>
      <c r="GU137" s="285"/>
      <c r="GV137" s="285"/>
      <c r="GW137" s="285"/>
      <c r="GX137" s="285"/>
      <c r="GY137" s="285"/>
      <c r="GZ137" s="285"/>
    </row>
    <row r="138" spans="1:208" ht="30">
      <c r="A138" s="280">
        <v>32</v>
      </c>
      <c r="B138" s="281">
        <v>44782</v>
      </c>
      <c r="C138" s="282">
        <v>1106184</v>
      </c>
      <c r="D138" s="342" t="s">
        <v>4423</v>
      </c>
      <c r="E138" s="282" t="s">
        <v>4250</v>
      </c>
      <c r="F138" s="282" t="s">
        <v>4251</v>
      </c>
      <c r="G138" s="282">
        <v>3185</v>
      </c>
      <c r="H138" s="282">
        <v>56</v>
      </c>
      <c r="I138" s="282">
        <v>4502386983</v>
      </c>
      <c r="J138" s="282">
        <v>3025457</v>
      </c>
      <c r="K138" s="282">
        <v>4902320860</v>
      </c>
      <c r="L138" s="282" t="s">
        <v>4252</v>
      </c>
      <c r="M138" s="283">
        <v>29128</v>
      </c>
      <c r="N138" s="282">
        <v>7900</v>
      </c>
      <c r="O138" s="284">
        <f t="shared" si="24"/>
        <v>230111200</v>
      </c>
      <c r="P138" s="285">
        <f t="shared" si="27"/>
        <v>4</v>
      </c>
      <c r="Q138" s="282" t="s">
        <v>3455</v>
      </c>
      <c r="R138" s="282">
        <v>1040968</v>
      </c>
      <c r="S138" s="285">
        <v>11930400</v>
      </c>
      <c r="T138" s="285"/>
      <c r="U138" s="282">
        <v>100918429</v>
      </c>
      <c r="V138" s="285"/>
      <c r="W138" s="285"/>
      <c r="X138" s="285"/>
      <c r="Y138" s="285"/>
      <c r="Z138" s="285"/>
      <c r="AA138" s="285"/>
      <c r="AB138" s="285"/>
      <c r="AC138" s="285"/>
      <c r="AD138" s="285"/>
      <c r="AE138" s="285"/>
      <c r="AF138" s="285"/>
      <c r="AG138" s="285"/>
      <c r="AH138" s="285"/>
      <c r="AI138" s="285"/>
      <c r="AJ138" s="285"/>
      <c r="AK138" s="285"/>
      <c r="AL138" s="285"/>
      <c r="AM138" s="285"/>
      <c r="AN138" s="285"/>
      <c r="AO138" s="285"/>
      <c r="AP138" s="285"/>
      <c r="AQ138" s="285"/>
      <c r="AR138" s="285"/>
      <c r="AS138" s="285"/>
      <c r="AT138" s="285"/>
      <c r="AU138" s="285"/>
      <c r="AV138" s="285"/>
      <c r="AW138" s="285"/>
      <c r="AX138" s="285"/>
      <c r="AY138" s="285"/>
      <c r="AZ138" s="285"/>
      <c r="BA138" s="285"/>
      <c r="BB138" s="285"/>
      <c r="BC138" s="285"/>
      <c r="BD138" s="285"/>
      <c r="BE138" s="285"/>
      <c r="BF138" s="285"/>
      <c r="BG138" s="285"/>
      <c r="BH138" s="285"/>
      <c r="BI138" s="285"/>
      <c r="BJ138" s="285"/>
      <c r="BK138" s="285"/>
      <c r="BL138" s="285"/>
      <c r="BM138" s="285"/>
      <c r="BN138" s="285"/>
      <c r="BO138" s="285"/>
      <c r="BP138" s="285"/>
      <c r="BQ138" s="285"/>
      <c r="BR138" s="285"/>
      <c r="BS138" s="285"/>
      <c r="BT138" s="285"/>
      <c r="BU138" s="285"/>
      <c r="BV138" s="285"/>
      <c r="BW138" s="285"/>
      <c r="BX138" s="285"/>
      <c r="BY138" s="285"/>
      <c r="BZ138" s="285"/>
      <c r="CA138" s="285"/>
      <c r="CB138" s="285"/>
      <c r="CC138" s="285"/>
      <c r="CD138" s="285"/>
      <c r="CE138" s="285"/>
      <c r="CF138" s="285"/>
      <c r="CG138" s="285"/>
      <c r="CH138" s="285"/>
      <c r="CI138" s="285"/>
      <c r="CJ138" s="285"/>
      <c r="CK138" s="285"/>
      <c r="CL138" s="285"/>
      <c r="CM138" s="285"/>
      <c r="CN138" s="285"/>
      <c r="CO138" s="285"/>
      <c r="CP138" s="285"/>
      <c r="CQ138" s="285"/>
      <c r="CR138" s="285"/>
      <c r="CS138" s="285"/>
      <c r="CT138" s="285"/>
      <c r="CU138" s="285"/>
      <c r="CV138" s="285"/>
      <c r="CW138" s="285"/>
      <c r="CX138" s="285"/>
      <c r="CY138" s="285"/>
      <c r="CZ138" s="285"/>
      <c r="DA138" s="285"/>
      <c r="DB138" s="285"/>
      <c r="DC138" s="285"/>
      <c r="DD138" s="285"/>
      <c r="DE138" s="285"/>
      <c r="DF138" s="285"/>
      <c r="DG138" s="285"/>
      <c r="DH138" s="285"/>
      <c r="DI138" s="285"/>
      <c r="DJ138" s="285"/>
      <c r="DK138" s="285"/>
      <c r="DL138" s="285"/>
      <c r="DM138" s="285"/>
      <c r="DN138" s="285"/>
      <c r="DO138" s="285"/>
      <c r="DP138" s="285"/>
      <c r="DQ138" s="285"/>
      <c r="DR138" s="285"/>
      <c r="DS138" s="285"/>
      <c r="DT138" s="285"/>
      <c r="DU138" s="285"/>
      <c r="DV138" s="285"/>
      <c r="DW138" s="285"/>
      <c r="DX138" s="285"/>
      <c r="DY138" s="285"/>
      <c r="DZ138" s="285"/>
      <c r="EA138" s="285"/>
      <c r="EB138" s="285"/>
      <c r="EC138" s="285"/>
      <c r="ED138" s="285"/>
      <c r="EE138" s="285"/>
      <c r="EF138" s="285"/>
      <c r="EG138" s="285"/>
      <c r="EH138" s="285"/>
      <c r="EI138" s="285"/>
      <c r="EJ138" s="285"/>
      <c r="EK138" s="285"/>
      <c r="EL138" s="285"/>
      <c r="EM138" s="285"/>
      <c r="EN138" s="285"/>
      <c r="EO138" s="285"/>
      <c r="EP138" s="285"/>
      <c r="EQ138" s="285"/>
      <c r="ER138" s="285"/>
      <c r="ES138" s="285"/>
      <c r="ET138" s="285"/>
      <c r="EU138" s="285"/>
      <c r="EV138" s="285"/>
      <c r="EW138" s="285"/>
      <c r="EX138" s="285"/>
      <c r="EY138" s="285"/>
      <c r="EZ138" s="285"/>
      <c r="FA138" s="285"/>
      <c r="FB138" s="285"/>
      <c r="FC138" s="285"/>
      <c r="FD138" s="285"/>
      <c r="FE138" s="285"/>
      <c r="FF138" s="285"/>
      <c r="FG138" s="285"/>
      <c r="FH138" s="285"/>
      <c r="FI138" s="285"/>
      <c r="FJ138" s="285"/>
      <c r="FK138" s="285"/>
      <c r="FL138" s="285"/>
      <c r="FM138" s="285"/>
      <c r="FN138" s="285"/>
      <c r="FO138" s="285"/>
      <c r="FP138" s="285"/>
      <c r="FQ138" s="285"/>
      <c r="FR138" s="285"/>
      <c r="FS138" s="285"/>
      <c r="FT138" s="285"/>
      <c r="FU138" s="285"/>
      <c r="FV138" s="285"/>
      <c r="FW138" s="285"/>
      <c r="FX138" s="285"/>
      <c r="FY138" s="285"/>
      <c r="FZ138" s="285"/>
      <c r="GA138" s="285"/>
      <c r="GB138" s="285"/>
      <c r="GC138" s="285"/>
      <c r="GD138" s="285"/>
      <c r="GE138" s="285"/>
      <c r="GF138" s="285"/>
      <c r="GG138" s="285"/>
      <c r="GH138" s="285"/>
      <c r="GI138" s="285"/>
      <c r="GJ138" s="285"/>
      <c r="GK138" s="285"/>
      <c r="GL138" s="285"/>
      <c r="GM138" s="285"/>
      <c r="GN138" s="285"/>
      <c r="GO138" s="285"/>
      <c r="GP138" s="285"/>
      <c r="GQ138" s="285"/>
      <c r="GR138" s="285"/>
      <c r="GS138" s="285"/>
      <c r="GT138" s="285"/>
      <c r="GU138" s="285"/>
      <c r="GV138" s="285"/>
      <c r="GW138" s="285"/>
      <c r="GX138" s="285"/>
      <c r="GY138" s="285"/>
      <c r="GZ138" s="285"/>
    </row>
    <row r="139" spans="1:208" ht="30">
      <c r="A139" s="280">
        <v>32</v>
      </c>
      <c r="B139" s="281">
        <v>44782</v>
      </c>
      <c r="C139" s="282">
        <v>1053331</v>
      </c>
      <c r="D139" s="342" t="s">
        <v>4424</v>
      </c>
      <c r="E139" s="282" t="s">
        <v>4416</v>
      </c>
      <c r="F139" s="282" t="s">
        <v>4275</v>
      </c>
      <c r="G139" s="282">
        <v>3178</v>
      </c>
      <c r="H139" s="282">
        <v>42</v>
      </c>
      <c r="I139" s="282">
        <v>4502386985</v>
      </c>
      <c r="J139" s="282">
        <v>3025459</v>
      </c>
      <c r="K139" s="282">
        <v>4902320862</v>
      </c>
      <c r="L139" s="282" t="s">
        <v>4252</v>
      </c>
      <c r="M139" s="283">
        <v>20648</v>
      </c>
      <c r="N139" s="282">
        <v>8100</v>
      </c>
      <c r="O139" s="284">
        <f t="shared" si="24"/>
        <v>167248800</v>
      </c>
      <c r="P139" s="285">
        <f t="shared" si="27"/>
        <v>3</v>
      </c>
      <c r="Q139" s="282" t="s">
        <v>3455</v>
      </c>
      <c r="R139" s="282">
        <v>1040968</v>
      </c>
      <c r="S139" s="285">
        <v>5381700</v>
      </c>
      <c r="T139" s="285"/>
      <c r="U139" s="285"/>
      <c r="V139" s="285"/>
      <c r="W139" s="285"/>
      <c r="X139" s="285"/>
      <c r="Y139" s="285"/>
      <c r="Z139" s="285"/>
      <c r="AA139" s="285"/>
      <c r="AB139" s="285"/>
      <c r="AC139" s="285"/>
      <c r="AD139" s="285"/>
      <c r="AE139" s="285"/>
      <c r="AF139" s="285"/>
      <c r="AG139" s="285"/>
      <c r="AH139" s="285"/>
      <c r="AI139" s="285"/>
      <c r="AJ139" s="285"/>
      <c r="AK139" s="285"/>
      <c r="AL139" s="285"/>
      <c r="AM139" s="285"/>
      <c r="AN139" s="285"/>
      <c r="AO139" s="285"/>
      <c r="AP139" s="285"/>
      <c r="AQ139" s="285"/>
      <c r="AR139" s="285"/>
      <c r="AS139" s="285"/>
      <c r="AT139" s="285"/>
      <c r="AU139" s="285"/>
      <c r="AV139" s="285"/>
      <c r="AW139" s="285"/>
      <c r="AX139" s="285"/>
      <c r="AY139" s="285"/>
      <c r="AZ139" s="285"/>
      <c r="BA139" s="285"/>
      <c r="BB139" s="285"/>
      <c r="BC139" s="285"/>
      <c r="BD139" s="285"/>
      <c r="BE139" s="285"/>
      <c r="BF139" s="285"/>
      <c r="BG139" s="285"/>
      <c r="BH139" s="285"/>
      <c r="BI139" s="285"/>
      <c r="BJ139" s="285"/>
      <c r="BK139" s="285"/>
      <c r="BL139" s="285"/>
      <c r="BM139" s="285"/>
      <c r="BN139" s="285"/>
      <c r="BO139" s="285"/>
      <c r="BP139" s="285"/>
      <c r="BQ139" s="285"/>
      <c r="BR139" s="285"/>
      <c r="BS139" s="285"/>
      <c r="BT139" s="285"/>
      <c r="BU139" s="285"/>
      <c r="BV139" s="285"/>
      <c r="BW139" s="285"/>
      <c r="BX139" s="285"/>
      <c r="BY139" s="285"/>
      <c r="BZ139" s="285"/>
      <c r="CA139" s="285"/>
      <c r="CB139" s="285"/>
      <c r="CC139" s="285"/>
      <c r="CD139" s="285"/>
      <c r="CE139" s="285"/>
      <c r="CF139" s="285"/>
      <c r="CG139" s="285"/>
      <c r="CH139" s="285"/>
      <c r="CI139" s="285"/>
      <c r="CJ139" s="285"/>
      <c r="CK139" s="285"/>
      <c r="CL139" s="285"/>
      <c r="CM139" s="285"/>
      <c r="CN139" s="285"/>
      <c r="CO139" s="285"/>
      <c r="CP139" s="285"/>
      <c r="CQ139" s="285"/>
      <c r="CR139" s="285"/>
      <c r="CS139" s="285"/>
      <c r="CT139" s="285"/>
      <c r="CU139" s="285"/>
      <c r="CV139" s="285"/>
      <c r="CW139" s="285"/>
      <c r="CX139" s="285"/>
      <c r="CY139" s="285"/>
      <c r="CZ139" s="285"/>
      <c r="DA139" s="285"/>
      <c r="DB139" s="285"/>
      <c r="DC139" s="285"/>
      <c r="DD139" s="285"/>
      <c r="DE139" s="285"/>
      <c r="DF139" s="285"/>
      <c r="DG139" s="285"/>
      <c r="DH139" s="285"/>
      <c r="DI139" s="285"/>
      <c r="DJ139" s="285"/>
      <c r="DK139" s="285"/>
      <c r="DL139" s="285"/>
      <c r="DM139" s="285"/>
      <c r="DN139" s="285"/>
      <c r="DO139" s="285"/>
      <c r="DP139" s="285"/>
      <c r="DQ139" s="285"/>
      <c r="DR139" s="285"/>
      <c r="DS139" s="285"/>
      <c r="DT139" s="285"/>
      <c r="DU139" s="285"/>
      <c r="DV139" s="285"/>
      <c r="DW139" s="285"/>
      <c r="DX139" s="285"/>
      <c r="DY139" s="285"/>
      <c r="DZ139" s="285"/>
      <c r="EA139" s="285"/>
      <c r="EB139" s="285"/>
      <c r="EC139" s="285"/>
      <c r="ED139" s="285"/>
      <c r="EE139" s="285"/>
      <c r="EF139" s="285"/>
      <c r="EG139" s="285"/>
      <c r="EH139" s="285"/>
      <c r="EI139" s="285"/>
      <c r="EJ139" s="285"/>
      <c r="EK139" s="285"/>
      <c r="EL139" s="285"/>
      <c r="EM139" s="285"/>
      <c r="EN139" s="285"/>
      <c r="EO139" s="285"/>
      <c r="EP139" s="285"/>
      <c r="EQ139" s="285"/>
      <c r="ER139" s="285"/>
      <c r="ES139" s="285"/>
      <c r="ET139" s="285"/>
      <c r="EU139" s="285"/>
      <c r="EV139" s="285"/>
      <c r="EW139" s="285"/>
      <c r="EX139" s="285"/>
      <c r="EY139" s="285"/>
      <c r="EZ139" s="285"/>
      <c r="FA139" s="285"/>
      <c r="FB139" s="285"/>
      <c r="FC139" s="285"/>
      <c r="FD139" s="285"/>
      <c r="FE139" s="285"/>
      <c r="FF139" s="285"/>
      <c r="FG139" s="285"/>
      <c r="FH139" s="285"/>
      <c r="FI139" s="285"/>
      <c r="FJ139" s="285"/>
      <c r="FK139" s="285"/>
      <c r="FL139" s="285"/>
      <c r="FM139" s="285"/>
      <c r="FN139" s="285"/>
      <c r="FO139" s="285"/>
      <c r="FP139" s="285"/>
      <c r="FQ139" s="285"/>
      <c r="FR139" s="285"/>
      <c r="FS139" s="285"/>
      <c r="FT139" s="285"/>
      <c r="FU139" s="285"/>
      <c r="FV139" s="285"/>
      <c r="FW139" s="285"/>
      <c r="FX139" s="285"/>
      <c r="FY139" s="285"/>
      <c r="FZ139" s="285"/>
      <c r="GA139" s="285"/>
      <c r="GB139" s="285"/>
      <c r="GC139" s="285"/>
      <c r="GD139" s="285"/>
      <c r="GE139" s="285"/>
      <c r="GF139" s="285"/>
      <c r="GG139" s="285"/>
      <c r="GH139" s="285"/>
      <c r="GI139" s="285"/>
      <c r="GJ139" s="285"/>
      <c r="GK139" s="285"/>
      <c r="GL139" s="285"/>
      <c r="GM139" s="285"/>
      <c r="GN139" s="285"/>
      <c r="GO139" s="285"/>
      <c r="GP139" s="285"/>
      <c r="GQ139" s="285"/>
      <c r="GR139" s="285"/>
      <c r="GS139" s="285"/>
      <c r="GT139" s="285"/>
      <c r="GU139" s="285"/>
      <c r="GV139" s="285"/>
      <c r="GW139" s="285"/>
      <c r="GX139" s="285"/>
      <c r="GY139" s="285"/>
      <c r="GZ139" s="285"/>
    </row>
    <row r="140" spans="1:208" ht="30">
      <c r="A140" s="302">
        <v>33</v>
      </c>
      <c r="B140" s="303">
        <v>44785</v>
      </c>
      <c r="C140" s="304">
        <v>1053331</v>
      </c>
      <c r="D140" s="304" t="s">
        <v>4425</v>
      </c>
      <c r="E140" s="304" t="s">
        <v>4416</v>
      </c>
      <c r="F140" s="304" t="s">
        <v>4251</v>
      </c>
      <c r="G140" s="304">
        <v>3178</v>
      </c>
      <c r="H140" s="304">
        <v>40</v>
      </c>
      <c r="I140" s="304">
        <v>4502390419</v>
      </c>
      <c r="J140" s="304">
        <v>3025457</v>
      </c>
      <c r="K140" s="304">
        <v>4902325247</v>
      </c>
      <c r="L140" s="304" t="s">
        <v>4252</v>
      </c>
      <c r="M140" s="309">
        <v>20192</v>
      </c>
      <c r="N140" s="304">
        <v>8000</v>
      </c>
      <c r="O140" s="306">
        <f t="shared" si="24"/>
        <v>161536000</v>
      </c>
      <c r="P140" s="304">
        <v>3</v>
      </c>
      <c r="Q140" s="331" t="s">
        <v>4266</v>
      </c>
      <c r="R140" s="304">
        <v>1004892</v>
      </c>
      <c r="S140" s="311">
        <v>4792500</v>
      </c>
      <c r="T140" s="307"/>
      <c r="U140" s="307"/>
      <c r="V140" s="307"/>
      <c r="W140" s="307"/>
      <c r="X140" s="307"/>
      <c r="Y140" s="307"/>
      <c r="Z140" s="307"/>
      <c r="AA140" s="307"/>
      <c r="AB140" s="307"/>
      <c r="AC140" s="307"/>
      <c r="AD140" s="307"/>
      <c r="AE140" s="307"/>
      <c r="AF140" s="307"/>
      <c r="AG140" s="307"/>
      <c r="AH140" s="307"/>
      <c r="AI140" s="307"/>
      <c r="AJ140" s="307"/>
      <c r="AK140" s="307"/>
      <c r="AL140" s="307"/>
      <c r="AM140" s="307"/>
      <c r="AN140" s="307"/>
      <c r="AO140" s="307"/>
      <c r="AP140" s="307"/>
      <c r="AQ140" s="307"/>
      <c r="AR140" s="307"/>
      <c r="AS140" s="307"/>
      <c r="AT140" s="307"/>
      <c r="AU140" s="307"/>
      <c r="AV140" s="307"/>
      <c r="AW140" s="307"/>
      <c r="AX140" s="307"/>
      <c r="AY140" s="307"/>
      <c r="AZ140" s="307"/>
      <c r="BA140" s="307"/>
      <c r="BB140" s="307"/>
      <c r="BC140" s="307"/>
      <c r="BD140" s="307"/>
      <c r="BE140" s="307"/>
      <c r="BF140" s="307"/>
      <c r="BG140" s="307"/>
      <c r="BH140" s="307"/>
      <c r="BI140" s="307"/>
      <c r="BJ140" s="307"/>
      <c r="BK140" s="307"/>
      <c r="BL140" s="307"/>
      <c r="BM140" s="307"/>
      <c r="BN140" s="307"/>
      <c r="BO140" s="307"/>
      <c r="BP140" s="307"/>
      <c r="BQ140" s="307"/>
      <c r="BR140" s="307"/>
      <c r="BS140" s="307"/>
      <c r="BT140" s="307"/>
      <c r="BU140" s="307"/>
      <c r="BV140" s="307"/>
      <c r="BW140" s="307"/>
      <c r="BX140" s="307"/>
      <c r="BY140" s="307"/>
      <c r="BZ140" s="307"/>
      <c r="CA140" s="307"/>
      <c r="CB140" s="307"/>
      <c r="CC140" s="307"/>
      <c r="CD140" s="307"/>
      <c r="CE140" s="307"/>
      <c r="CF140" s="307"/>
      <c r="CG140" s="307"/>
      <c r="CH140" s="307"/>
      <c r="CI140" s="307"/>
      <c r="CJ140" s="307"/>
      <c r="CK140" s="307"/>
      <c r="CL140" s="307"/>
      <c r="CM140" s="307"/>
      <c r="CN140" s="307"/>
      <c r="CO140" s="307"/>
      <c r="CP140" s="307"/>
      <c r="CQ140" s="307"/>
      <c r="CR140" s="307"/>
      <c r="CS140" s="307"/>
      <c r="CT140" s="307"/>
      <c r="CU140" s="307"/>
      <c r="CV140" s="307"/>
      <c r="CW140" s="307"/>
      <c r="CX140" s="307"/>
      <c r="CY140" s="307"/>
      <c r="CZ140" s="307"/>
      <c r="DA140" s="307"/>
      <c r="DB140" s="307"/>
      <c r="DC140" s="307"/>
      <c r="DD140" s="307"/>
      <c r="DE140" s="307"/>
      <c r="DF140" s="307"/>
      <c r="DG140" s="307"/>
      <c r="DH140" s="307"/>
      <c r="DI140" s="307"/>
      <c r="DJ140" s="307"/>
      <c r="DK140" s="307"/>
      <c r="DL140" s="307"/>
      <c r="DM140" s="307"/>
      <c r="DN140" s="307"/>
      <c r="DO140" s="307"/>
      <c r="DP140" s="307"/>
      <c r="DQ140" s="307"/>
      <c r="DR140" s="307"/>
      <c r="DS140" s="307"/>
      <c r="DT140" s="307"/>
      <c r="DU140" s="307"/>
      <c r="DV140" s="307"/>
      <c r="DW140" s="307"/>
      <c r="DX140" s="307"/>
      <c r="DY140" s="307"/>
      <c r="DZ140" s="307"/>
      <c r="EA140" s="307"/>
      <c r="EB140" s="307"/>
      <c r="EC140" s="307"/>
      <c r="ED140" s="307"/>
      <c r="EE140" s="307"/>
      <c r="EF140" s="307"/>
      <c r="EG140" s="307"/>
      <c r="EH140" s="307"/>
      <c r="EI140" s="307"/>
      <c r="EJ140" s="307"/>
      <c r="EK140" s="307"/>
      <c r="EL140" s="307"/>
      <c r="EM140" s="307"/>
      <c r="EN140" s="307"/>
      <c r="EO140" s="307"/>
      <c r="EP140" s="307"/>
      <c r="EQ140" s="307"/>
      <c r="ER140" s="307"/>
      <c r="ES140" s="307"/>
      <c r="ET140" s="307"/>
      <c r="EU140" s="307"/>
      <c r="EV140" s="307"/>
      <c r="EW140" s="307"/>
      <c r="EX140" s="307"/>
      <c r="EY140" s="307"/>
      <c r="EZ140" s="307"/>
      <c r="FA140" s="307"/>
      <c r="FB140" s="307"/>
      <c r="FC140" s="307"/>
      <c r="FD140" s="307"/>
      <c r="FE140" s="307"/>
      <c r="FF140" s="307"/>
      <c r="FG140" s="307"/>
      <c r="FH140" s="307"/>
      <c r="FI140" s="307"/>
      <c r="FJ140" s="307"/>
      <c r="FK140" s="307"/>
      <c r="FL140" s="307"/>
      <c r="FM140" s="307"/>
      <c r="FN140" s="307"/>
      <c r="FO140" s="307"/>
      <c r="FP140" s="307"/>
      <c r="FQ140" s="307"/>
      <c r="FR140" s="307"/>
      <c r="FS140" s="307"/>
      <c r="FT140" s="307"/>
      <c r="FU140" s="307"/>
      <c r="FV140" s="307"/>
      <c r="FW140" s="307"/>
      <c r="FX140" s="307"/>
      <c r="FY140" s="307"/>
      <c r="FZ140" s="307"/>
      <c r="GA140" s="307"/>
      <c r="GB140" s="307"/>
      <c r="GC140" s="307"/>
      <c r="GD140" s="307"/>
      <c r="GE140" s="307"/>
      <c r="GF140" s="307"/>
      <c r="GG140" s="307"/>
      <c r="GH140" s="307"/>
      <c r="GI140" s="307"/>
      <c r="GJ140" s="307"/>
      <c r="GK140" s="307"/>
      <c r="GL140" s="307"/>
      <c r="GM140" s="307"/>
      <c r="GN140" s="307"/>
      <c r="GO140" s="307"/>
      <c r="GP140" s="307"/>
      <c r="GQ140" s="307"/>
      <c r="GR140" s="307"/>
      <c r="GS140" s="307"/>
      <c r="GT140" s="307"/>
      <c r="GU140" s="307"/>
      <c r="GV140" s="307"/>
      <c r="GW140" s="307"/>
      <c r="GX140" s="307"/>
      <c r="GY140" s="307"/>
      <c r="GZ140" s="307"/>
    </row>
    <row r="141" spans="1:208" ht="30">
      <c r="A141" s="302">
        <v>33</v>
      </c>
      <c r="B141" s="303">
        <v>44785</v>
      </c>
      <c r="C141" s="304">
        <v>1076469</v>
      </c>
      <c r="D141" s="304" t="s">
        <v>4426</v>
      </c>
      <c r="E141" s="304" t="s">
        <v>4408</v>
      </c>
      <c r="F141" s="304" t="s">
        <v>4275</v>
      </c>
      <c r="G141" s="304">
        <v>3179</v>
      </c>
      <c r="H141" s="304">
        <v>42</v>
      </c>
      <c r="I141" s="304">
        <v>4502390420</v>
      </c>
      <c r="J141" s="304">
        <v>3025459</v>
      </c>
      <c r="K141" s="304">
        <v>4902325255</v>
      </c>
      <c r="L141" s="304" t="s">
        <v>4252</v>
      </c>
      <c r="M141" s="309">
        <v>22463</v>
      </c>
      <c r="N141" s="304">
        <v>8000</v>
      </c>
      <c r="O141" s="306">
        <f t="shared" si="24"/>
        <v>179704000</v>
      </c>
      <c r="P141" s="304">
        <f t="shared" ref="P141:P161" si="28">H141/14</f>
        <v>3</v>
      </c>
      <c r="Q141" s="331" t="s">
        <v>3455</v>
      </c>
      <c r="R141" s="304">
        <v>1040968</v>
      </c>
      <c r="S141" s="307">
        <v>4914669</v>
      </c>
      <c r="T141" s="307"/>
      <c r="U141" s="307"/>
      <c r="V141" s="307"/>
      <c r="W141" s="307"/>
      <c r="X141" s="307"/>
      <c r="Y141" s="307"/>
      <c r="Z141" s="307"/>
      <c r="AA141" s="307"/>
      <c r="AB141" s="307"/>
      <c r="AC141" s="307"/>
      <c r="AD141" s="307"/>
      <c r="AE141" s="307"/>
      <c r="AF141" s="307"/>
      <c r="AG141" s="307"/>
      <c r="AH141" s="307"/>
      <c r="AI141" s="307"/>
      <c r="AJ141" s="307"/>
      <c r="AK141" s="307"/>
      <c r="AL141" s="307"/>
      <c r="AM141" s="307"/>
      <c r="AN141" s="307"/>
      <c r="AO141" s="307"/>
      <c r="AP141" s="307"/>
      <c r="AQ141" s="307"/>
      <c r="AR141" s="307"/>
      <c r="AS141" s="307"/>
      <c r="AT141" s="307"/>
      <c r="AU141" s="307"/>
      <c r="AV141" s="307"/>
      <c r="AW141" s="307"/>
      <c r="AX141" s="307"/>
      <c r="AY141" s="307"/>
      <c r="AZ141" s="307"/>
      <c r="BA141" s="307"/>
      <c r="BB141" s="307"/>
      <c r="BC141" s="307"/>
      <c r="BD141" s="307"/>
      <c r="BE141" s="307"/>
      <c r="BF141" s="307"/>
      <c r="BG141" s="307"/>
      <c r="BH141" s="307"/>
      <c r="BI141" s="307"/>
      <c r="BJ141" s="307"/>
      <c r="BK141" s="307"/>
      <c r="BL141" s="307"/>
      <c r="BM141" s="307"/>
      <c r="BN141" s="307"/>
      <c r="BO141" s="307"/>
      <c r="BP141" s="307"/>
      <c r="BQ141" s="307"/>
      <c r="BR141" s="307"/>
      <c r="BS141" s="307"/>
      <c r="BT141" s="307"/>
      <c r="BU141" s="307"/>
      <c r="BV141" s="307"/>
      <c r="BW141" s="307"/>
      <c r="BX141" s="307"/>
      <c r="BY141" s="307"/>
      <c r="BZ141" s="307"/>
      <c r="CA141" s="307"/>
      <c r="CB141" s="307"/>
      <c r="CC141" s="307"/>
      <c r="CD141" s="307"/>
      <c r="CE141" s="307"/>
      <c r="CF141" s="307"/>
      <c r="CG141" s="307"/>
      <c r="CH141" s="307"/>
      <c r="CI141" s="307"/>
      <c r="CJ141" s="307"/>
      <c r="CK141" s="307"/>
      <c r="CL141" s="307"/>
      <c r="CM141" s="307"/>
      <c r="CN141" s="307"/>
      <c r="CO141" s="307"/>
      <c r="CP141" s="307"/>
      <c r="CQ141" s="307"/>
      <c r="CR141" s="307"/>
      <c r="CS141" s="307"/>
      <c r="CT141" s="307"/>
      <c r="CU141" s="307"/>
      <c r="CV141" s="307"/>
      <c r="CW141" s="307"/>
      <c r="CX141" s="307"/>
      <c r="CY141" s="307"/>
      <c r="CZ141" s="307"/>
      <c r="DA141" s="307"/>
      <c r="DB141" s="307"/>
      <c r="DC141" s="307"/>
      <c r="DD141" s="307"/>
      <c r="DE141" s="307"/>
      <c r="DF141" s="307"/>
      <c r="DG141" s="307"/>
      <c r="DH141" s="307"/>
      <c r="DI141" s="307"/>
      <c r="DJ141" s="307"/>
      <c r="DK141" s="307"/>
      <c r="DL141" s="307"/>
      <c r="DM141" s="307"/>
      <c r="DN141" s="307"/>
      <c r="DO141" s="307"/>
      <c r="DP141" s="307"/>
      <c r="DQ141" s="307"/>
      <c r="DR141" s="307"/>
      <c r="DS141" s="307"/>
      <c r="DT141" s="307"/>
      <c r="DU141" s="307"/>
      <c r="DV141" s="307"/>
      <c r="DW141" s="307"/>
      <c r="DX141" s="307"/>
      <c r="DY141" s="307"/>
      <c r="DZ141" s="307"/>
      <c r="EA141" s="307"/>
      <c r="EB141" s="307"/>
      <c r="EC141" s="307"/>
      <c r="ED141" s="307"/>
      <c r="EE141" s="307"/>
      <c r="EF141" s="307"/>
      <c r="EG141" s="307"/>
      <c r="EH141" s="307"/>
      <c r="EI141" s="307"/>
      <c r="EJ141" s="307"/>
      <c r="EK141" s="307"/>
      <c r="EL141" s="307"/>
      <c r="EM141" s="307"/>
      <c r="EN141" s="307"/>
      <c r="EO141" s="307"/>
      <c r="EP141" s="307"/>
      <c r="EQ141" s="307"/>
      <c r="ER141" s="307"/>
      <c r="ES141" s="307"/>
      <c r="ET141" s="307"/>
      <c r="EU141" s="307"/>
      <c r="EV141" s="307"/>
      <c r="EW141" s="307"/>
      <c r="EX141" s="307"/>
      <c r="EY141" s="307"/>
      <c r="EZ141" s="307"/>
      <c r="FA141" s="307"/>
      <c r="FB141" s="307"/>
      <c r="FC141" s="307"/>
      <c r="FD141" s="307"/>
      <c r="FE141" s="307"/>
      <c r="FF141" s="307"/>
      <c r="FG141" s="307"/>
      <c r="FH141" s="307"/>
      <c r="FI141" s="307"/>
      <c r="FJ141" s="307"/>
      <c r="FK141" s="307"/>
      <c r="FL141" s="307"/>
      <c r="FM141" s="307"/>
      <c r="FN141" s="307"/>
      <c r="FO141" s="307"/>
      <c r="FP141" s="307"/>
      <c r="FQ141" s="307"/>
      <c r="FR141" s="307"/>
      <c r="FS141" s="307"/>
      <c r="FT141" s="307"/>
      <c r="FU141" s="307"/>
      <c r="FV141" s="307"/>
      <c r="FW141" s="307"/>
      <c r="FX141" s="307"/>
      <c r="FY141" s="307"/>
      <c r="FZ141" s="307"/>
      <c r="GA141" s="307"/>
      <c r="GB141" s="307"/>
      <c r="GC141" s="307"/>
      <c r="GD141" s="307"/>
      <c r="GE141" s="307"/>
      <c r="GF141" s="307"/>
      <c r="GG141" s="307"/>
      <c r="GH141" s="307"/>
      <c r="GI141" s="307"/>
      <c r="GJ141" s="307"/>
      <c r="GK141" s="307"/>
      <c r="GL141" s="307"/>
      <c r="GM141" s="307"/>
      <c r="GN141" s="307"/>
      <c r="GO141" s="307"/>
      <c r="GP141" s="307"/>
      <c r="GQ141" s="307"/>
      <c r="GR141" s="307"/>
      <c r="GS141" s="307"/>
      <c r="GT141" s="307"/>
      <c r="GU141" s="307"/>
      <c r="GV141" s="307"/>
      <c r="GW141" s="307"/>
      <c r="GX141" s="307"/>
      <c r="GY141" s="307"/>
      <c r="GZ141" s="307"/>
    </row>
    <row r="142" spans="1:208" ht="15">
      <c r="A142" s="302">
        <v>33</v>
      </c>
      <c r="B142" s="303">
        <v>44787</v>
      </c>
      <c r="C142" s="304">
        <v>1102323</v>
      </c>
      <c r="D142" s="304" t="s">
        <v>4427</v>
      </c>
      <c r="E142" s="304" t="s">
        <v>4330</v>
      </c>
      <c r="F142" s="304" t="s">
        <v>4275</v>
      </c>
      <c r="G142" s="304">
        <v>3199</v>
      </c>
      <c r="H142" s="304">
        <v>28</v>
      </c>
      <c r="I142" s="304">
        <v>4502390421</v>
      </c>
      <c r="J142" s="304">
        <v>3025459</v>
      </c>
      <c r="K142" s="304">
        <v>4902325259</v>
      </c>
      <c r="L142" s="304" t="s">
        <v>4252</v>
      </c>
      <c r="M142" s="309">
        <v>15193</v>
      </c>
      <c r="N142" s="304">
        <v>7950</v>
      </c>
      <c r="O142" s="306">
        <f t="shared" si="24"/>
        <v>120784350</v>
      </c>
      <c r="P142" s="304">
        <f t="shared" si="28"/>
        <v>2</v>
      </c>
      <c r="Q142" s="331" t="s">
        <v>3455</v>
      </c>
      <c r="R142" s="304">
        <v>1040968</v>
      </c>
      <c r="S142" s="307">
        <v>5965200</v>
      </c>
      <c r="T142" s="307"/>
      <c r="U142" s="307"/>
      <c r="V142" s="307"/>
      <c r="W142" s="307"/>
      <c r="X142" s="307"/>
      <c r="Y142" s="307"/>
      <c r="Z142" s="307"/>
      <c r="AA142" s="307"/>
      <c r="AB142" s="307"/>
      <c r="AC142" s="307"/>
      <c r="AD142" s="307"/>
      <c r="AE142" s="307"/>
      <c r="AF142" s="307"/>
      <c r="AG142" s="307"/>
      <c r="AH142" s="307"/>
      <c r="AI142" s="307"/>
      <c r="AJ142" s="307"/>
      <c r="AK142" s="307"/>
      <c r="AL142" s="307"/>
      <c r="AM142" s="307"/>
      <c r="AN142" s="307"/>
      <c r="AO142" s="307"/>
      <c r="AP142" s="307"/>
      <c r="AQ142" s="307"/>
      <c r="AR142" s="307"/>
      <c r="AS142" s="307"/>
      <c r="AT142" s="307"/>
      <c r="AU142" s="307"/>
      <c r="AV142" s="307"/>
      <c r="AW142" s="307"/>
      <c r="AX142" s="307"/>
      <c r="AY142" s="307"/>
      <c r="AZ142" s="307"/>
      <c r="BA142" s="307"/>
      <c r="BB142" s="307"/>
      <c r="BC142" s="307"/>
      <c r="BD142" s="307"/>
      <c r="BE142" s="307"/>
      <c r="BF142" s="307"/>
      <c r="BG142" s="307"/>
      <c r="BH142" s="307"/>
      <c r="BI142" s="307"/>
      <c r="BJ142" s="307"/>
      <c r="BK142" s="307"/>
      <c r="BL142" s="307"/>
      <c r="BM142" s="307"/>
      <c r="BN142" s="307"/>
      <c r="BO142" s="307"/>
      <c r="BP142" s="307"/>
      <c r="BQ142" s="307"/>
      <c r="BR142" s="307"/>
      <c r="BS142" s="307"/>
      <c r="BT142" s="307"/>
      <c r="BU142" s="307"/>
      <c r="BV142" s="307"/>
      <c r="BW142" s="307"/>
      <c r="BX142" s="307"/>
      <c r="BY142" s="307"/>
      <c r="BZ142" s="307"/>
      <c r="CA142" s="307"/>
      <c r="CB142" s="307"/>
      <c r="CC142" s="307"/>
      <c r="CD142" s="307"/>
      <c r="CE142" s="307"/>
      <c r="CF142" s="307"/>
      <c r="CG142" s="307"/>
      <c r="CH142" s="307"/>
      <c r="CI142" s="307"/>
      <c r="CJ142" s="307"/>
      <c r="CK142" s="307"/>
      <c r="CL142" s="307"/>
      <c r="CM142" s="307"/>
      <c r="CN142" s="307"/>
      <c r="CO142" s="307"/>
      <c r="CP142" s="307"/>
      <c r="CQ142" s="307"/>
      <c r="CR142" s="307"/>
      <c r="CS142" s="307"/>
      <c r="CT142" s="307"/>
      <c r="CU142" s="307"/>
      <c r="CV142" s="307"/>
      <c r="CW142" s="307"/>
      <c r="CX142" s="307"/>
      <c r="CY142" s="307"/>
      <c r="CZ142" s="307"/>
      <c r="DA142" s="307"/>
      <c r="DB142" s="307"/>
      <c r="DC142" s="307"/>
      <c r="DD142" s="307"/>
      <c r="DE142" s="307"/>
      <c r="DF142" s="307"/>
      <c r="DG142" s="307"/>
      <c r="DH142" s="307"/>
      <c r="DI142" s="307"/>
      <c r="DJ142" s="307"/>
      <c r="DK142" s="307"/>
      <c r="DL142" s="307"/>
      <c r="DM142" s="307"/>
      <c r="DN142" s="307"/>
      <c r="DO142" s="307"/>
      <c r="DP142" s="307"/>
      <c r="DQ142" s="307"/>
      <c r="DR142" s="307"/>
      <c r="DS142" s="307"/>
      <c r="DT142" s="307"/>
      <c r="DU142" s="307"/>
      <c r="DV142" s="307"/>
      <c r="DW142" s="307"/>
      <c r="DX142" s="307"/>
      <c r="DY142" s="307"/>
      <c r="DZ142" s="307"/>
      <c r="EA142" s="307"/>
      <c r="EB142" s="307"/>
      <c r="EC142" s="307"/>
      <c r="ED142" s="307"/>
      <c r="EE142" s="307"/>
      <c r="EF142" s="307"/>
      <c r="EG142" s="307"/>
      <c r="EH142" s="307"/>
      <c r="EI142" s="307"/>
      <c r="EJ142" s="307"/>
      <c r="EK142" s="307"/>
      <c r="EL142" s="307"/>
      <c r="EM142" s="307"/>
      <c r="EN142" s="307"/>
      <c r="EO142" s="307"/>
      <c r="EP142" s="307"/>
      <c r="EQ142" s="307"/>
      <c r="ER142" s="307"/>
      <c r="ES142" s="307"/>
      <c r="ET142" s="307"/>
      <c r="EU142" s="307"/>
      <c r="EV142" s="307"/>
      <c r="EW142" s="307"/>
      <c r="EX142" s="307"/>
      <c r="EY142" s="307"/>
      <c r="EZ142" s="307"/>
      <c r="FA142" s="307"/>
      <c r="FB142" s="307"/>
      <c r="FC142" s="307"/>
      <c r="FD142" s="307"/>
      <c r="FE142" s="307"/>
      <c r="FF142" s="307"/>
      <c r="FG142" s="307"/>
      <c r="FH142" s="307"/>
      <c r="FI142" s="307"/>
      <c r="FJ142" s="307"/>
      <c r="FK142" s="307"/>
      <c r="FL142" s="307"/>
      <c r="FM142" s="307"/>
      <c r="FN142" s="307"/>
      <c r="FO142" s="307"/>
      <c r="FP142" s="307"/>
      <c r="FQ142" s="307"/>
      <c r="FR142" s="307"/>
      <c r="FS142" s="307"/>
      <c r="FT142" s="307"/>
      <c r="FU142" s="307"/>
      <c r="FV142" s="307"/>
      <c r="FW142" s="307"/>
      <c r="FX142" s="307"/>
      <c r="FY142" s="307"/>
      <c r="FZ142" s="307"/>
      <c r="GA142" s="307"/>
      <c r="GB142" s="307"/>
      <c r="GC142" s="307"/>
      <c r="GD142" s="307"/>
      <c r="GE142" s="307"/>
      <c r="GF142" s="307"/>
      <c r="GG142" s="307"/>
      <c r="GH142" s="307"/>
      <c r="GI142" s="307"/>
      <c r="GJ142" s="307"/>
      <c r="GK142" s="307"/>
      <c r="GL142" s="307"/>
      <c r="GM142" s="307"/>
      <c r="GN142" s="307"/>
      <c r="GO142" s="307"/>
      <c r="GP142" s="307"/>
      <c r="GQ142" s="307"/>
      <c r="GR142" s="307"/>
      <c r="GS142" s="307"/>
      <c r="GT142" s="307"/>
      <c r="GU142" s="307"/>
      <c r="GV142" s="307"/>
      <c r="GW142" s="307"/>
      <c r="GX142" s="307"/>
      <c r="GY142" s="307"/>
      <c r="GZ142" s="307"/>
    </row>
    <row r="143" spans="1:208" ht="30">
      <c r="A143" s="302">
        <v>33</v>
      </c>
      <c r="B143" s="303">
        <v>44789</v>
      </c>
      <c r="C143" s="304">
        <v>1053331</v>
      </c>
      <c r="D143" s="304" t="s">
        <v>4428</v>
      </c>
      <c r="E143" s="304" t="s">
        <v>4416</v>
      </c>
      <c r="F143" s="304" t="s">
        <v>4251</v>
      </c>
      <c r="G143" s="304">
        <v>3178</v>
      </c>
      <c r="H143" s="304">
        <v>42</v>
      </c>
      <c r="I143" s="304">
        <v>4502391418</v>
      </c>
      <c r="J143" s="304">
        <v>3025457</v>
      </c>
      <c r="K143" s="304">
        <v>4902325262</v>
      </c>
      <c r="L143" s="304" t="s">
        <v>4252</v>
      </c>
      <c r="M143" s="309">
        <v>20334</v>
      </c>
      <c r="N143" s="304">
        <v>8000</v>
      </c>
      <c r="O143" s="306">
        <f t="shared" si="24"/>
        <v>162672000</v>
      </c>
      <c r="P143" s="304">
        <f t="shared" si="28"/>
        <v>3</v>
      </c>
      <c r="Q143" s="331" t="s">
        <v>3455</v>
      </c>
      <c r="R143" s="304">
        <v>1040968</v>
      </c>
      <c r="S143" s="311">
        <v>5381700</v>
      </c>
      <c r="T143" s="307"/>
      <c r="U143" s="307"/>
      <c r="V143" s="307"/>
      <c r="W143" s="307"/>
      <c r="X143" s="307"/>
      <c r="Y143" s="307"/>
      <c r="Z143" s="307"/>
      <c r="AA143" s="307"/>
      <c r="AB143" s="307"/>
      <c r="AC143" s="307"/>
      <c r="AD143" s="307"/>
      <c r="AE143" s="307"/>
      <c r="AF143" s="307"/>
      <c r="AG143" s="307"/>
      <c r="AH143" s="307"/>
      <c r="AI143" s="307"/>
      <c r="AJ143" s="307"/>
      <c r="AK143" s="307"/>
      <c r="AL143" s="307"/>
      <c r="AM143" s="307"/>
      <c r="AN143" s="307"/>
      <c r="AO143" s="307"/>
      <c r="AP143" s="307"/>
      <c r="AQ143" s="307"/>
      <c r="AR143" s="307"/>
      <c r="AS143" s="307"/>
      <c r="AT143" s="307"/>
      <c r="AU143" s="307"/>
      <c r="AV143" s="307"/>
      <c r="AW143" s="307"/>
      <c r="AX143" s="307"/>
      <c r="AY143" s="307"/>
      <c r="AZ143" s="307"/>
      <c r="BA143" s="307"/>
      <c r="BB143" s="307"/>
      <c r="BC143" s="307"/>
      <c r="BD143" s="307"/>
      <c r="BE143" s="307"/>
      <c r="BF143" s="307"/>
      <c r="BG143" s="307"/>
      <c r="BH143" s="307"/>
      <c r="BI143" s="307"/>
      <c r="BJ143" s="307"/>
      <c r="BK143" s="307"/>
      <c r="BL143" s="307"/>
      <c r="BM143" s="307"/>
      <c r="BN143" s="307"/>
      <c r="BO143" s="307"/>
      <c r="BP143" s="307"/>
      <c r="BQ143" s="307"/>
      <c r="BR143" s="307"/>
      <c r="BS143" s="307"/>
      <c r="BT143" s="307"/>
      <c r="BU143" s="307"/>
      <c r="BV143" s="307"/>
      <c r="BW143" s="307"/>
      <c r="BX143" s="307"/>
      <c r="BY143" s="307"/>
      <c r="BZ143" s="307"/>
      <c r="CA143" s="307"/>
      <c r="CB143" s="307"/>
      <c r="CC143" s="307"/>
      <c r="CD143" s="307"/>
      <c r="CE143" s="307"/>
      <c r="CF143" s="307"/>
      <c r="CG143" s="307"/>
      <c r="CH143" s="307"/>
      <c r="CI143" s="307"/>
      <c r="CJ143" s="307"/>
      <c r="CK143" s="307"/>
      <c r="CL143" s="307"/>
      <c r="CM143" s="307"/>
      <c r="CN143" s="307"/>
      <c r="CO143" s="307"/>
      <c r="CP143" s="307"/>
      <c r="CQ143" s="307"/>
      <c r="CR143" s="307"/>
      <c r="CS143" s="307"/>
      <c r="CT143" s="307"/>
      <c r="CU143" s="307"/>
      <c r="CV143" s="307"/>
      <c r="CW143" s="307"/>
      <c r="CX143" s="307"/>
      <c r="CY143" s="307"/>
      <c r="CZ143" s="307"/>
      <c r="DA143" s="307"/>
      <c r="DB143" s="307"/>
      <c r="DC143" s="307"/>
      <c r="DD143" s="307"/>
      <c r="DE143" s="307"/>
      <c r="DF143" s="307"/>
      <c r="DG143" s="307"/>
      <c r="DH143" s="307"/>
      <c r="DI143" s="307"/>
      <c r="DJ143" s="307"/>
      <c r="DK143" s="307"/>
      <c r="DL143" s="307"/>
      <c r="DM143" s="307"/>
      <c r="DN143" s="307"/>
      <c r="DO143" s="307"/>
      <c r="DP143" s="307"/>
      <c r="DQ143" s="307"/>
      <c r="DR143" s="307"/>
      <c r="DS143" s="307"/>
      <c r="DT143" s="307"/>
      <c r="DU143" s="307"/>
      <c r="DV143" s="307"/>
      <c r="DW143" s="307"/>
      <c r="DX143" s="307"/>
      <c r="DY143" s="307"/>
      <c r="DZ143" s="307"/>
      <c r="EA143" s="307"/>
      <c r="EB143" s="307"/>
      <c r="EC143" s="307"/>
      <c r="ED143" s="307"/>
      <c r="EE143" s="307"/>
      <c r="EF143" s="307"/>
      <c r="EG143" s="307"/>
      <c r="EH143" s="307"/>
      <c r="EI143" s="307"/>
      <c r="EJ143" s="307"/>
      <c r="EK143" s="307"/>
      <c r="EL143" s="307"/>
      <c r="EM143" s="307"/>
      <c r="EN143" s="307"/>
      <c r="EO143" s="307"/>
      <c r="EP143" s="307"/>
      <c r="EQ143" s="307"/>
      <c r="ER143" s="307"/>
      <c r="ES143" s="307"/>
      <c r="ET143" s="307"/>
      <c r="EU143" s="307"/>
      <c r="EV143" s="307"/>
      <c r="EW143" s="307"/>
      <c r="EX143" s="307"/>
      <c r="EY143" s="307"/>
      <c r="EZ143" s="307"/>
      <c r="FA143" s="307"/>
      <c r="FB143" s="307"/>
      <c r="FC143" s="307"/>
      <c r="FD143" s="307"/>
      <c r="FE143" s="307"/>
      <c r="FF143" s="307"/>
      <c r="FG143" s="307"/>
      <c r="FH143" s="307"/>
      <c r="FI143" s="307"/>
      <c r="FJ143" s="307"/>
      <c r="FK143" s="307"/>
      <c r="FL143" s="307"/>
      <c r="FM143" s="307"/>
      <c r="FN143" s="307"/>
      <c r="FO143" s="307"/>
      <c r="FP143" s="307"/>
      <c r="FQ143" s="307"/>
      <c r="FR143" s="307"/>
      <c r="FS143" s="307"/>
      <c r="FT143" s="307"/>
      <c r="FU143" s="307"/>
      <c r="FV143" s="307"/>
      <c r="FW143" s="307"/>
      <c r="FX143" s="307"/>
      <c r="FY143" s="307"/>
      <c r="FZ143" s="307"/>
      <c r="GA143" s="307"/>
      <c r="GB143" s="307"/>
      <c r="GC143" s="307"/>
      <c r="GD143" s="307"/>
      <c r="GE143" s="307"/>
      <c r="GF143" s="307"/>
      <c r="GG143" s="307"/>
      <c r="GH143" s="307"/>
      <c r="GI143" s="307"/>
      <c r="GJ143" s="307"/>
      <c r="GK143" s="307"/>
      <c r="GL143" s="307"/>
      <c r="GM143" s="307"/>
      <c r="GN143" s="307"/>
      <c r="GO143" s="307"/>
      <c r="GP143" s="307"/>
      <c r="GQ143" s="307"/>
      <c r="GR143" s="307"/>
      <c r="GS143" s="307"/>
      <c r="GT143" s="307"/>
      <c r="GU143" s="307"/>
      <c r="GV143" s="307"/>
      <c r="GW143" s="307"/>
      <c r="GX143" s="307"/>
      <c r="GY143" s="307"/>
      <c r="GZ143" s="307"/>
    </row>
    <row r="144" spans="1:208" ht="30">
      <c r="A144" s="302">
        <v>33</v>
      </c>
      <c r="B144" s="303">
        <v>44789</v>
      </c>
      <c r="C144" s="304">
        <v>1093247</v>
      </c>
      <c r="D144" s="304" t="s">
        <v>4429</v>
      </c>
      <c r="E144" s="304" t="s">
        <v>4412</v>
      </c>
      <c r="F144" s="304" t="s">
        <v>4275</v>
      </c>
      <c r="G144" s="304">
        <v>3190</v>
      </c>
      <c r="H144" s="304">
        <v>42</v>
      </c>
      <c r="I144" s="304">
        <v>4502391419</v>
      </c>
      <c r="J144" s="304">
        <v>3025459</v>
      </c>
      <c r="K144" s="304">
        <v>4902325266</v>
      </c>
      <c r="L144" s="304" t="s">
        <v>4252</v>
      </c>
      <c r="M144" s="309">
        <v>20149</v>
      </c>
      <c r="N144" s="304">
        <v>8000</v>
      </c>
      <c r="O144" s="306">
        <f t="shared" si="24"/>
        <v>161192000</v>
      </c>
      <c r="P144" s="304">
        <f t="shared" si="28"/>
        <v>3</v>
      </c>
      <c r="Q144" s="331" t="s">
        <v>3455</v>
      </c>
      <c r="R144" s="304">
        <v>1040968</v>
      </c>
      <c r="S144" s="307">
        <v>5381700</v>
      </c>
      <c r="T144" s="307"/>
      <c r="U144" s="307"/>
      <c r="V144" s="307"/>
      <c r="W144" s="307"/>
      <c r="X144" s="307"/>
      <c r="Y144" s="307"/>
      <c r="Z144" s="307"/>
      <c r="AA144" s="307"/>
      <c r="AB144" s="307"/>
      <c r="AC144" s="307"/>
      <c r="AD144" s="307"/>
      <c r="AE144" s="307"/>
      <c r="AF144" s="307"/>
      <c r="AG144" s="307"/>
      <c r="AH144" s="307"/>
      <c r="AI144" s="307"/>
      <c r="AJ144" s="307"/>
      <c r="AK144" s="307"/>
      <c r="AL144" s="307"/>
      <c r="AM144" s="307"/>
      <c r="AN144" s="307"/>
      <c r="AO144" s="307"/>
      <c r="AP144" s="307"/>
      <c r="AQ144" s="307"/>
      <c r="AR144" s="307"/>
      <c r="AS144" s="307"/>
      <c r="AT144" s="307"/>
      <c r="AU144" s="307"/>
      <c r="AV144" s="307"/>
      <c r="AW144" s="307"/>
      <c r="AX144" s="307"/>
      <c r="AY144" s="307"/>
      <c r="AZ144" s="307"/>
      <c r="BA144" s="307"/>
      <c r="BB144" s="307"/>
      <c r="BC144" s="307"/>
      <c r="BD144" s="307"/>
      <c r="BE144" s="307"/>
      <c r="BF144" s="307"/>
      <c r="BG144" s="307"/>
      <c r="BH144" s="307"/>
      <c r="BI144" s="307"/>
      <c r="BJ144" s="307"/>
      <c r="BK144" s="307"/>
      <c r="BL144" s="307"/>
      <c r="BM144" s="307"/>
      <c r="BN144" s="307"/>
      <c r="BO144" s="307"/>
      <c r="BP144" s="307"/>
      <c r="BQ144" s="307"/>
      <c r="BR144" s="307"/>
      <c r="BS144" s="307"/>
      <c r="BT144" s="307"/>
      <c r="BU144" s="307"/>
      <c r="BV144" s="307"/>
      <c r="BW144" s="307"/>
      <c r="BX144" s="307"/>
      <c r="BY144" s="307"/>
      <c r="BZ144" s="307"/>
      <c r="CA144" s="307"/>
      <c r="CB144" s="307"/>
      <c r="CC144" s="307"/>
      <c r="CD144" s="307"/>
      <c r="CE144" s="307"/>
      <c r="CF144" s="307"/>
      <c r="CG144" s="307"/>
      <c r="CH144" s="307"/>
      <c r="CI144" s="307"/>
      <c r="CJ144" s="307"/>
      <c r="CK144" s="307"/>
      <c r="CL144" s="307"/>
      <c r="CM144" s="307"/>
      <c r="CN144" s="307"/>
      <c r="CO144" s="307"/>
      <c r="CP144" s="307"/>
      <c r="CQ144" s="307"/>
      <c r="CR144" s="307"/>
      <c r="CS144" s="307"/>
      <c r="CT144" s="307"/>
      <c r="CU144" s="307"/>
      <c r="CV144" s="307"/>
      <c r="CW144" s="307"/>
      <c r="CX144" s="307"/>
      <c r="CY144" s="307"/>
      <c r="CZ144" s="307"/>
      <c r="DA144" s="307"/>
      <c r="DB144" s="307"/>
      <c r="DC144" s="307"/>
      <c r="DD144" s="307"/>
      <c r="DE144" s="307"/>
      <c r="DF144" s="307"/>
      <c r="DG144" s="307"/>
      <c r="DH144" s="307"/>
      <c r="DI144" s="307"/>
      <c r="DJ144" s="307"/>
      <c r="DK144" s="307"/>
      <c r="DL144" s="307"/>
      <c r="DM144" s="307"/>
      <c r="DN144" s="307"/>
      <c r="DO144" s="307"/>
      <c r="DP144" s="307"/>
      <c r="DQ144" s="307"/>
      <c r="DR144" s="307"/>
      <c r="DS144" s="307"/>
      <c r="DT144" s="307"/>
      <c r="DU144" s="307"/>
      <c r="DV144" s="307"/>
      <c r="DW144" s="307"/>
      <c r="DX144" s="307"/>
      <c r="DY144" s="307"/>
      <c r="DZ144" s="307"/>
      <c r="EA144" s="307"/>
      <c r="EB144" s="307"/>
      <c r="EC144" s="307"/>
      <c r="ED144" s="307"/>
      <c r="EE144" s="307"/>
      <c r="EF144" s="307"/>
      <c r="EG144" s="307"/>
      <c r="EH144" s="307"/>
      <c r="EI144" s="307"/>
      <c r="EJ144" s="307"/>
      <c r="EK144" s="307"/>
      <c r="EL144" s="307"/>
      <c r="EM144" s="307"/>
      <c r="EN144" s="307"/>
      <c r="EO144" s="307"/>
      <c r="EP144" s="307"/>
      <c r="EQ144" s="307"/>
      <c r="ER144" s="307"/>
      <c r="ES144" s="307"/>
      <c r="ET144" s="307"/>
      <c r="EU144" s="307"/>
      <c r="EV144" s="307"/>
      <c r="EW144" s="307"/>
      <c r="EX144" s="307"/>
      <c r="EY144" s="307"/>
      <c r="EZ144" s="307"/>
      <c r="FA144" s="307"/>
      <c r="FB144" s="307"/>
      <c r="FC144" s="307"/>
      <c r="FD144" s="307"/>
      <c r="FE144" s="307"/>
      <c r="FF144" s="307"/>
      <c r="FG144" s="307"/>
      <c r="FH144" s="307"/>
      <c r="FI144" s="307"/>
      <c r="FJ144" s="307"/>
      <c r="FK144" s="307"/>
      <c r="FL144" s="307"/>
      <c r="FM144" s="307"/>
      <c r="FN144" s="307"/>
      <c r="FO144" s="307"/>
      <c r="FP144" s="307"/>
      <c r="FQ144" s="307"/>
      <c r="FR144" s="307"/>
      <c r="FS144" s="307"/>
      <c r="FT144" s="307"/>
      <c r="FU144" s="307"/>
      <c r="FV144" s="307"/>
      <c r="FW144" s="307"/>
      <c r="FX144" s="307"/>
      <c r="FY144" s="307"/>
      <c r="FZ144" s="307"/>
      <c r="GA144" s="307"/>
      <c r="GB144" s="307"/>
      <c r="GC144" s="307"/>
      <c r="GD144" s="307"/>
      <c r="GE144" s="307"/>
      <c r="GF144" s="307"/>
      <c r="GG144" s="307"/>
      <c r="GH144" s="307"/>
      <c r="GI144" s="307"/>
      <c r="GJ144" s="307"/>
      <c r="GK144" s="307"/>
      <c r="GL144" s="307"/>
      <c r="GM144" s="307"/>
      <c r="GN144" s="307"/>
      <c r="GO144" s="307"/>
      <c r="GP144" s="307"/>
      <c r="GQ144" s="307"/>
      <c r="GR144" s="307"/>
      <c r="GS144" s="307"/>
      <c r="GT144" s="307"/>
      <c r="GU144" s="307"/>
      <c r="GV144" s="307"/>
      <c r="GW144" s="307"/>
      <c r="GX144" s="307"/>
      <c r="GY144" s="307"/>
      <c r="GZ144" s="307"/>
    </row>
    <row r="145" spans="1:208" ht="30">
      <c r="A145" s="280">
        <v>34</v>
      </c>
      <c r="B145" s="281">
        <v>44794</v>
      </c>
      <c r="C145" s="282">
        <v>1106184</v>
      </c>
      <c r="D145" s="282" t="s">
        <v>4430</v>
      </c>
      <c r="E145" s="282" t="s">
        <v>4250</v>
      </c>
      <c r="F145" s="282" t="s">
        <v>4275</v>
      </c>
      <c r="G145" s="282">
        <v>3185</v>
      </c>
      <c r="H145" s="282">
        <v>28</v>
      </c>
      <c r="I145" s="282">
        <v>4502395075</v>
      </c>
      <c r="J145" s="282">
        <v>3025459</v>
      </c>
      <c r="K145" s="282">
        <v>4902330092</v>
      </c>
      <c r="L145" s="282" t="s">
        <v>4252</v>
      </c>
      <c r="M145" s="283">
        <v>14761</v>
      </c>
      <c r="N145" s="282">
        <v>7850</v>
      </c>
      <c r="O145" s="284">
        <f t="shared" si="24"/>
        <v>115873850</v>
      </c>
      <c r="P145" s="285">
        <f t="shared" si="28"/>
        <v>2</v>
      </c>
      <c r="Q145" s="282" t="s">
        <v>3455</v>
      </c>
      <c r="R145" s="282">
        <v>1040968</v>
      </c>
      <c r="S145" s="285">
        <v>5965200</v>
      </c>
      <c r="T145" s="285"/>
      <c r="U145" s="285"/>
      <c r="V145" s="285"/>
      <c r="W145" s="285"/>
      <c r="X145" s="285"/>
      <c r="Y145" s="285"/>
      <c r="Z145" s="285"/>
      <c r="AA145" s="285"/>
      <c r="AB145" s="285"/>
      <c r="AC145" s="285"/>
      <c r="AD145" s="285"/>
      <c r="AE145" s="285"/>
      <c r="AF145" s="285"/>
      <c r="AG145" s="285"/>
      <c r="AH145" s="285"/>
      <c r="AI145" s="285"/>
      <c r="AJ145" s="285"/>
      <c r="AK145" s="285"/>
      <c r="AL145" s="285"/>
      <c r="AM145" s="285"/>
      <c r="AN145" s="285"/>
      <c r="AO145" s="285"/>
      <c r="AP145" s="285"/>
      <c r="AQ145" s="285"/>
      <c r="AR145" s="285"/>
      <c r="AS145" s="285"/>
      <c r="AT145" s="285"/>
      <c r="AU145" s="285"/>
      <c r="AV145" s="285"/>
      <c r="AW145" s="285"/>
      <c r="AX145" s="285"/>
      <c r="AY145" s="285"/>
      <c r="AZ145" s="285"/>
      <c r="BA145" s="285"/>
      <c r="BB145" s="285"/>
      <c r="BC145" s="285"/>
      <c r="BD145" s="285"/>
      <c r="BE145" s="285"/>
      <c r="BF145" s="285"/>
      <c r="BG145" s="285"/>
      <c r="BH145" s="285"/>
      <c r="BI145" s="285"/>
      <c r="BJ145" s="285"/>
      <c r="BK145" s="285"/>
      <c r="BL145" s="285"/>
      <c r="BM145" s="285"/>
      <c r="BN145" s="285"/>
      <c r="BO145" s="285"/>
      <c r="BP145" s="285"/>
      <c r="BQ145" s="285"/>
      <c r="BR145" s="285"/>
      <c r="BS145" s="285"/>
      <c r="BT145" s="285"/>
      <c r="BU145" s="285"/>
      <c r="BV145" s="285"/>
      <c r="BW145" s="285"/>
      <c r="BX145" s="285"/>
      <c r="BY145" s="285"/>
      <c r="BZ145" s="285"/>
      <c r="CA145" s="285"/>
      <c r="CB145" s="285"/>
      <c r="CC145" s="285"/>
      <c r="CD145" s="285"/>
      <c r="CE145" s="285"/>
      <c r="CF145" s="285"/>
      <c r="CG145" s="285"/>
      <c r="CH145" s="285"/>
      <c r="CI145" s="285"/>
      <c r="CJ145" s="285"/>
      <c r="CK145" s="285"/>
      <c r="CL145" s="285"/>
      <c r="CM145" s="285"/>
      <c r="CN145" s="285"/>
      <c r="CO145" s="285"/>
      <c r="CP145" s="285"/>
      <c r="CQ145" s="285"/>
      <c r="CR145" s="285"/>
      <c r="CS145" s="285"/>
      <c r="CT145" s="285"/>
      <c r="CU145" s="285"/>
      <c r="CV145" s="285"/>
      <c r="CW145" s="285"/>
      <c r="CX145" s="285"/>
      <c r="CY145" s="285"/>
      <c r="CZ145" s="285"/>
      <c r="DA145" s="285"/>
      <c r="DB145" s="285"/>
      <c r="DC145" s="285"/>
      <c r="DD145" s="285"/>
      <c r="DE145" s="285"/>
      <c r="DF145" s="285"/>
      <c r="DG145" s="285"/>
      <c r="DH145" s="285"/>
      <c r="DI145" s="285"/>
      <c r="DJ145" s="285"/>
      <c r="DK145" s="285"/>
      <c r="DL145" s="285"/>
      <c r="DM145" s="285"/>
      <c r="DN145" s="285"/>
      <c r="DO145" s="285"/>
      <c r="DP145" s="285"/>
      <c r="DQ145" s="285"/>
      <c r="DR145" s="285"/>
      <c r="DS145" s="285"/>
      <c r="DT145" s="285"/>
      <c r="DU145" s="285"/>
      <c r="DV145" s="285"/>
      <c r="DW145" s="285"/>
      <c r="DX145" s="285"/>
      <c r="DY145" s="285"/>
      <c r="DZ145" s="285"/>
      <c r="EA145" s="285"/>
      <c r="EB145" s="285"/>
      <c r="EC145" s="285"/>
      <c r="ED145" s="285"/>
      <c r="EE145" s="285"/>
      <c r="EF145" s="285"/>
      <c r="EG145" s="285"/>
      <c r="EH145" s="285"/>
      <c r="EI145" s="285"/>
      <c r="EJ145" s="285"/>
      <c r="EK145" s="285"/>
      <c r="EL145" s="285"/>
      <c r="EM145" s="285"/>
      <c r="EN145" s="285"/>
      <c r="EO145" s="285"/>
      <c r="EP145" s="285"/>
      <c r="EQ145" s="285"/>
      <c r="ER145" s="285"/>
      <c r="ES145" s="285"/>
      <c r="ET145" s="285"/>
      <c r="EU145" s="285"/>
      <c r="EV145" s="285"/>
      <c r="EW145" s="285"/>
      <c r="EX145" s="285"/>
      <c r="EY145" s="285"/>
      <c r="EZ145" s="285"/>
      <c r="FA145" s="285"/>
      <c r="FB145" s="285"/>
      <c r="FC145" s="285"/>
      <c r="FD145" s="285"/>
      <c r="FE145" s="285"/>
      <c r="FF145" s="285"/>
      <c r="FG145" s="285"/>
      <c r="FH145" s="285"/>
      <c r="FI145" s="285"/>
      <c r="FJ145" s="285"/>
      <c r="FK145" s="285"/>
      <c r="FL145" s="285"/>
      <c r="FM145" s="285"/>
      <c r="FN145" s="285"/>
      <c r="FO145" s="285"/>
      <c r="FP145" s="285"/>
      <c r="FQ145" s="285"/>
      <c r="FR145" s="285"/>
      <c r="FS145" s="285"/>
      <c r="FT145" s="285"/>
      <c r="FU145" s="285"/>
      <c r="FV145" s="285"/>
      <c r="FW145" s="285"/>
      <c r="FX145" s="285"/>
      <c r="FY145" s="285"/>
      <c r="FZ145" s="285"/>
      <c r="GA145" s="285"/>
      <c r="GB145" s="285"/>
      <c r="GC145" s="285"/>
      <c r="GD145" s="285"/>
      <c r="GE145" s="285"/>
      <c r="GF145" s="285"/>
      <c r="GG145" s="285"/>
      <c r="GH145" s="285"/>
      <c r="GI145" s="285"/>
      <c r="GJ145" s="285"/>
      <c r="GK145" s="285"/>
      <c r="GL145" s="285"/>
      <c r="GM145" s="285"/>
      <c r="GN145" s="285"/>
      <c r="GO145" s="285"/>
      <c r="GP145" s="285"/>
      <c r="GQ145" s="285"/>
      <c r="GR145" s="285"/>
      <c r="GS145" s="285"/>
      <c r="GT145" s="285"/>
      <c r="GU145" s="285"/>
      <c r="GV145" s="285"/>
      <c r="GW145" s="285"/>
      <c r="GX145" s="285"/>
      <c r="GY145" s="285"/>
      <c r="GZ145" s="285"/>
    </row>
    <row r="146" spans="1:208" ht="30">
      <c r="A146" s="280">
        <v>34</v>
      </c>
      <c r="B146" s="281">
        <v>44796</v>
      </c>
      <c r="C146" s="282">
        <v>1106184</v>
      </c>
      <c r="D146" s="282" t="s">
        <v>4431</v>
      </c>
      <c r="E146" s="282" t="s">
        <v>4250</v>
      </c>
      <c r="F146" s="282" t="s">
        <v>4251</v>
      </c>
      <c r="G146" s="282">
        <v>3185</v>
      </c>
      <c r="H146" s="282">
        <v>14</v>
      </c>
      <c r="I146" s="282">
        <v>4502395075</v>
      </c>
      <c r="J146" s="282">
        <v>3025457</v>
      </c>
      <c r="K146" s="282">
        <v>4902330097</v>
      </c>
      <c r="L146" s="282" t="s">
        <v>4252</v>
      </c>
      <c r="M146" s="283">
        <v>7232</v>
      </c>
      <c r="N146" s="282">
        <v>7850</v>
      </c>
      <c r="O146" s="284">
        <f t="shared" si="24"/>
        <v>56771200</v>
      </c>
      <c r="P146" s="285">
        <f t="shared" si="28"/>
        <v>1</v>
      </c>
      <c r="Q146" s="282" t="s">
        <v>3455</v>
      </c>
      <c r="R146" s="282">
        <v>1040968</v>
      </c>
      <c r="S146" s="285">
        <v>3062400</v>
      </c>
      <c r="T146" s="285"/>
      <c r="U146" s="285"/>
      <c r="V146" s="285"/>
      <c r="W146" s="285"/>
      <c r="X146" s="285"/>
      <c r="Y146" s="285"/>
      <c r="Z146" s="285"/>
      <c r="AA146" s="285"/>
      <c r="AB146" s="285"/>
      <c r="AC146" s="285"/>
      <c r="AD146" s="285"/>
      <c r="AE146" s="285"/>
      <c r="AF146" s="285"/>
      <c r="AG146" s="285"/>
      <c r="AH146" s="285"/>
      <c r="AI146" s="285"/>
      <c r="AJ146" s="285"/>
      <c r="AK146" s="285"/>
      <c r="AL146" s="285"/>
      <c r="AM146" s="285"/>
      <c r="AN146" s="285"/>
      <c r="AO146" s="285"/>
      <c r="AP146" s="285"/>
      <c r="AQ146" s="285"/>
      <c r="AR146" s="285"/>
      <c r="AS146" s="285"/>
      <c r="AT146" s="285"/>
      <c r="AU146" s="285"/>
      <c r="AV146" s="285"/>
      <c r="AW146" s="285"/>
      <c r="AX146" s="285"/>
      <c r="AY146" s="285"/>
      <c r="AZ146" s="285"/>
      <c r="BA146" s="285"/>
      <c r="BB146" s="285"/>
      <c r="BC146" s="285"/>
      <c r="BD146" s="285"/>
      <c r="BE146" s="285"/>
      <c r="BF146" s="285"/>
      <c r="BG146" s="285"/>
      <c r="BH146" s="285"/>
      <c r="BI146" s="285"/>
      <c r="BJ146" s="285"/>
      <c r="BK146" s="285"/>
      <c r="BL146" s="285"/>
      <c r="BM146" s="285"/>
      <c r="BN146" s="285"/>
      <c r="BO146" s="285"/>
      <c r="BP146" s="285"/>
      <c r="BQ146" s="285"/>
      <c r="BR146" s="285"/>
      <c r="BS146" s="285"/>
      <c r="BT146" s="285"/>
      <c r="BU146" s="285"/>
      <c r="BV146" s="285"/>
      <c r="BW146" s="285"/>
      <c r="BX146" s="285"/>
      <c r="BY146" s="285"/>
      <c r="BZ146" s="285"/>
      <c r="CA146" s="285"/>
      <c r="CB146" s="285"/>
      <c r="CC146" s="285"/>
      <c r="CD146" s="285"/>
      <c r="CE146" s="285"/>
      <c r="CF146" s="285"/>
      <c r="CG146" s="285"/>
      <c r="CH146" s="285"/>
      <c r="CI146" s="285"/>
      <c r="CJ146" s="285"/>
      <c r="CK146" s="285"/>
      <c r="CL146" s="285"/>
      <c r="CM146" s="285"/>
      <c r="CN146" s="285"/>
      <c r="CO146" s="285"/>
      <c r="CP146" s="285"/>
      <c r="CQ146" s="285"/>
      <c r="CR146" s="285"/>
      <c r="CS146" s="285"/>
      <c r="CT146" s="285"/>
      <c r="CU146" s="285"/>
      <c r="CV146" s="285"/>
      <c r="CW146" s="285"/>
      <c r="CX146" s="285"/>
      <c r="CY146" s="285"/>
      <c r="CZ146" s="285"/>
      <c r="DA146" s="285"/>
      <c r="DB146" s="285"/>
      <c r="DC146" s="285"/>
      <c r="DD146" s="285"/>
      <c r="DE146" s="285"/>
      <c r="DF146" s="285"/>
      <c r="DG146" s="285"/>
      <c r="DH146" s="285"/>
      <c r="DI146" s="285"/>
      <c r="DJ146" s="285"/>
      <c r="DK146" s="285"/>
      <c r="DL146" s="285"/>
      <c r="DM146" s="285"/>
      <c r="DN146" s="285"/>
      <c r="DO146" s="285"/>
      <c r="DP146" s="285"/>
      <c r="DQ146" s="285"/>
      <c r="DR146" s="285"/>
      <c r="DS146" s="285"/>
      <c r="DT146" s="285"/>
      <c r="DU146" s="285"/>
      <c r="DV146" s="285"/>
      <c r="DW146" s="285"/>
      <c r="DX146" s="285"/>
      <c r="DY146" s="285"/>
      <c r="DZ146" s="285"/>
      <c r="EA146" s="285"/>
      <c r="EB146" s="285"/>
      <c r="EC146" s="285"/>
      <c r="ED146" s="285"/>
      <c r="EE146" s="285"/>
      <c r="EF146" s="285"/>
      <c r="EG146" s="285"/>
      <c r="EH146" s="285"/>
      <c r="EI146" s="285"/>
      <c r="EJ146" s="285"/>
      <c r="EK146" s="285"/>
      <c r="EL146" s="285"/>
      <c r="EM146" s="285"/>
      <c r="EN146" s="285"/>
      <c r="EO146" s="285"/>
      <c r="EP146" s="285"/>
      <c r="EQ146" s="285"/>
      <c r="ER146" s="285"/>
      <c r="ES146" s="285"/>
      <c r="ET146" s="285"/>
      <c r="EU146" s="285"/>
      <c r="EV146" s="285"/>
      <c r="EW146" s="285"/>
      <c r="EX146" s="285"/>
      <c r="EY146" s="285"/>
      <c r="EZ146" s="285"/>
      <c r="FA146" s="285"/>
      <c r="FB146" s="285"/>
      <c r="FC146" s="285"/>
      <c r="FD146" s="285"/>
      <c r="FE146" s="285"/>
      <c r="FF146" s="285"/>
      <c r="FG146" s="285"/>
      <c r="FH146" s="285"/>
      <c r="FI146" s="285"/>
      <c r="FJ146" s="285"/>
      <c r="FK146" s="285"/>
      <c r="FL146" s="285"/>
      <c r="FM146" s="285"/>
      <c r="FN146" s="285"/>
      <c r="FO146" s="285"/>
      <c r="FP146" s="285"/>
      <c r="FQ146" s="285"/>
      <c r="FR146" s="285"/>
      <c r="FS146" s="285"/>
      <c r="FT146" s="285"/>
      <c r="FU146" s="285"/>
      <c r="FV146" s="285"/>
      <c r="FW146" s="285"/>
      <c r="FX146" s="285"/>
      <c r="FY146" s="285"/>
      <c r="FZ146" s="285"/>
      <c r="GA146" s="285"/>
      <c r="GB146" s="285"/>
      <c r="GC146" s="285"/>
      <c r="GD146" s="285"/>
      <c r="GE146" s="285"/>
      <c r="GF146" s="285"/>
      <c r="GG146" s="285"/>
      <c r="GH146" s="285"/>
      <c r="GI146" s="285"/>
      <c r="GJ146" s="285"/>
      <c r="GK146" s="285"/>
      <c r="GL146" s="285"/>
      <c r="GM146" s="285"/>
      <c r="GN146" s="285"/>
      <c r="GO146" s="285"/>
      <c r="GP146" s="285"/>
      <c r="GQ146" s="285"/>
      <c r="GR146" s="285"/>
      <c r="GS146" s="285"/>
      <c r="GT146" s="285"/>
      <c r="GU146" s="285"/>
      <c r="GV146" s="285"/>
      <c r="GW146" s="285"/>
      <c r="GX146" s="285"/>
      <c r="GY146" s="285"/>
      <c r="GZ146" s="285"/>
    </row>
    <row r="147" spans="1:208" ht="30">
      <c r="A147" s="282">
        <v>34</v>
      </c>
      <c r="B147" s="281">
        <v>44796</v>
      </c>
      <c r="C147" s="282">
        <v>1008006</v>
      </c>
      <c r="D147" s="282" t="s">
        <v>4432</v>
      </c>
      <c r="E147" s="282" t="s">
        <v>4433</v>
      </c>
      <c r="F147" s="282" t="s">
        <v>4264</v>
      </c>
      <c r="G147" s="282">
        <v>3161</v>
      </c>
      <c r="H147" s="282">
        <v>14</v>
      </c>
      <c r="I147" s="282">
        <v>4502399386</v>
      </c>
      <c r="J147" s="282">
        <v>3025460</v>
      </c>
      <c r="K147" s="282">
        <v>4902330118</v>
      </c>
      <c r="L147" s="282" t="s">
        <v>4252</v>
      </c>
      <c r="M147" s="283">
        <v>7912</v>
      </c>
      <c r="N147" s="282">
        <v>7950</v>
      </c>
      <c r="O147" s="284">
        <f t="shared" si="24"/>
        <v>62900400</v>
      </c>
      <c r="P147" s="285">
        <f t="shared" si="28"/>
        <v>1</v>
      </c>
      <c r="Q147" s="282" t="s">
        <v>3455</v>
      </c>
      <c r="R147" s="282">
        <v>1040968</v>
      </c>
      <c r="S147" s="312">
        <v>2982600</v>
      </c>
      <c r="T147" s="285"/>
      <c r="U147" s="285"/>
      <c r="V147" s="285"/>
      <c r="W147" s="285"/>
      <c r="X147" s="285"/>
      <c r="Y147" s="285"/>
      <c r="Z147" s="285"/>
      <c r="AA147" s="285"/>
      <c r="AB147" s="285"/>
      <c r="AC147" s="285"/>
      <c r="AD147" s="285"/>
      <c r="AE147" s="285"/>
      <c r="AF147" s="285"/>
      <c r="AG147" s="285"/>
      <c r="AH147" s="285"/>
      <c r="AI147" s="285"/>
      <c r="AJ147" s="285"/>
      <c r="AK147" s="285"/>
      <c r="AL147" s="285"/>
      <c r="AM147" s="285"/>
      <c r="AN147" s="285"/>
      <c r="AO147" s="285"/>
      <c r="AP147" s="285"/>
      <c r="AQ147" s="285"/>
      <c r="AR147" s="285"/>
      <c r="AS147" s="285"/>
      <c r="AT147" s="285"/>
      <c r="AU147" s="285"/>
      <c r="AV147" s="285"/>
      <c r="AW147" s="285"/>
      <c r="AX147" s="285"/>
      <c r="AY147" s="285"/>
      <c r="AZ147" s="285"/>
      <c r="BA147" s="285"/>
      <c r="BB147" s="285"/>
      <c r="BC147" s="285"/>
      <c r="BD147" s="285"/>
      <c r="BE147" s="285"/>
      <c r="BF147" s="285"/>
      <c r="BG147" s="285"/>
      <c r="BH147" s="285"/>
      <c r="BI147" s="285"/>
      <c r="BJ147" s="285"/>
      <c r="BK147" s="285"/>
      <c r="BL147" s="285"/>
      <c r="BM147" s="285"/>
      <c r="BN147" s="285"/>
      <c r="BO147" s="285"/>
      <c r="BP147" s="285"/>
      <c r="BQ147" s="285"/>
      <c r="BR147" s="285"/>
      <c r="BS147" s="285"/>
      <c r="BT147" s="285"/>
      <c r="BU147" s="285"/>
      <c r="BV147" s="285"/>
      <c r="BW147" s="285"/>
      <c r="BX147" s="285"/>
      <c r="BY147" s="285"/>
      <c r="BZ147" s="285"/>
      <c r="CA147" s="285"/>
      <c r="CB147" s="285"/>
      <c r="CC147" s="285"/>
      <c r="CD147" s="285"/>
      <c r="CE147" s="285"/>
      <c r="CF147" s="285"/>
      <c r="CG147" s="285"/>
      <c r="CH147" s="285"/>
      <c r="CI147" s="285"/>
      <c r="CJ147" s="285"/>
      <c r="CK147" s="285"/>
      <c r="CL147" s="285"/>
      <c r="CM147" s="285"/>
      <c r="CN147" s="285"/>
      <c r="CO147" s="285"/>
      <c r="CP147" s="285"/>
      <c r="CQ147" s="285"/>
      <c r="CR147" s="285"/>
      <c r="CS147" s="285"/>
      <c r="CT147" s="285"/>
      <c r="CU147" s="285"/>
      <c r="CV147" s="285"/>
      <c r="CW147" s="285"/>
      <c r="CX147" s="285"/>
      <c r="CY147" s="285"/>
      <c r="CZ147" s="285"/>
      <c r="DA147" s="285"/>
      <c r="DB147" s="285"/>
      <c r="DC147" s="285"/>
      <c r="DD147" s="285"/>
      <c r="DE147" s="285"/>
      <c r="DF147" s="285"/>
      <c r="DG147" s="285"/>
      <c r="DH147" s="285"/>
      <c r="DI147" s="285"/>
      <c r="DJ147" s="285"/>
      <c r="DK147" s="285"/>
      <c r="DL147" s="285"/>
      <c r="DM147" s="285"/>
      <c r="DN147" s="285"/>
      <c r="DO147" s="285"/>
      <c r="DP147" s="285"/>
      <c r="DQ147" s="285"/>
      <c r="DR147" s="285"/>
      <c r="DS147" s="285"/>
      <c r="DT147" s="285"/>
      <c r="DU147" s="285"/>
      <c r="DV147" s="285"/>
      <c r="DW147" s="285"/>
      <c r="DX147" s="285"/>
      <c r="DY147" s="285"/>
      <c r="DZ147" s="285"/>
      <c r="EA147" s="285"/>
      <c r="EB147" s="285"/>
      <c r="EC147" s="285"/>
      <c r="ED147" s="285"/>
      <c r="EE147" s="285"/>
      <c r="EF147" s="285"/>
      <c r="EG147" s="285"/>
      <c r="EH147" s="285"/>
      <c r="EI147" s="285"/>
      <c r="EJ147" s="285"/>
      <c r="EK147" s="285"/>
      <c r="EL147" s="285"/>
      <c r="EM147" s="285"/>
      <c r="EN147" s="285"/>
      <c r="EO147" s="285"/>
      <c r="EP147" s="285"/>
      <c r="EQ147" s="285"/>
      <c r="ER147" s="285"/>
      <c r="ES147" s="285"/>
      <c r="ET147" s="285"/>
      <c r="EU147" s="285"/>
      <c r="EV147" s="285"/>
      <c r="EW147" s="285"/>
      <c r="EX147" s="285"/>
      <c r="EY147" s="285"/>
      <c r="EZ147" s="285"/>
      <c r="FA147" s="285"/>
      <c r="FB147" s="285"/>
      <c r="FC147" s="285"/>
      <c r="FD147" s="285"/>
      <c r="FE147" s="285"/>
      <c r="FF147" s="285"/>
      <c r="FG147" s="285"/>
      <c r="FH147" s="285"/>
      <c r="FI147" s="285"/>
      <c r="FJ147" s="285"/>
      <c r="FK147" s="285"/>
      <c r="FL147" s="285"/>
      <c r="FM147" s="285"/>
      <c r="FN147" s="285"/>
      <c r="FO147" s="285"/>
      <c r="FP147" s="285"/>
      <c r="FQ147" s="285"/>
      <c r="FR147" s="285"/>
      <c r="FS147" s="285"/>
      <c r="FT147" s="285"/>
      <c r="FU147" s="285"/>
      <c r="FV147" s="285"/>
      <c r="FW147" s="285"/>
      <c r="FX147" s="285"/>
      <c r="FY147" s="285"/>
      <c r="FZ147" s="285"/>
      <c r="GA147" s="285"/>
      <c r="GB147" s="285"/>
      <c r="GC147" s="285"/>
      <c r="GD147" s="285"/>
      <c r="GE147" s="285"/>
      <c r="GF147" s="285"/>
      <c r="GG147" s="285"/>
      <c r="GH147" s="285"/>
      <c r="GI147" s="285"/>
      <c r="GJ147" s="285"/>
      <c r="GK147" s="285"/>
      <c r="GL147" s="285"/>
      <c r="GM147" s="285"/>
      <c r="GN147" s="285"/>
      <c r="GO147" s="285"/>
      <c r="GP147" s="285"/>
      <c r="GQ147" s="285"/>
      <c r="GR147" s="285"/>
      <c r="GS147" s="285"/>
      <c r="GT147" s="285"/>
      <c r="GU147" s="285"/>
      <c r="GV147" s="285"/>
      <c r="GW147" s="285"/>
      <c r="GX147" s="285"/>
      <c r="GY147" s="285"/>
      <c r="GZ147" s="285"/>
    </row>
    <row r="148" spans="1:208" ht="30">
      <c r="A148" s="304">
        <v>35</v>
      </c>
      <c r="B148" s="303">
        <v>44800</v>
      </c>
      <c r="C148" s="311">
        <v>1114249</v>
      </c>
      <c r="D148" s="304" t="s">
        <v>4434</v>
      </c>
      <c r="E148" s="311" t="s">
        <v>4352</v>
      </c>
      <c r="F148" s="311" t="s">
        <v>4251</v>
      </c>
      <c r="G148" s="304">
        <v>3158</v>
      </c>
      <c r="H148" s="311">
        <v>28</v>
      </c>
      <c r="I148" s="304">
        <v>4502399392</v>
      </c>
      <c r="J148" s="311">
        <v>3025457</v>
      </c>
      <c r="K148" s="304">
        <v>4902334134</v>
      </c>
      <c r="L148" s="304" t="s">
        <v>4252</v>
      </c>
      <c r="M148" s="309">
        <v>14946</v>
      </c>
      <c r="N148" s="304">
        <v>7600</v>
      </c>
      <c r="O148" s="306">
        <f t="shared" si="24"/>
        <v>113589600</v>
      </c>
      <c r="P148" s="304">
        <f t="shared" si="28"/>
        <v>2</v>
      </c>
      <c r="Q148" s="331" t="s">
        <v>3455</v>
      </c>
      <c r="R148" s="304">
        <v>1040968</v>
      </c>
      <c r="S148" s="304">
        <v>7395900</v>
      </c>
      <c r="T148" s="307"/>
      <c r="U148" s="307"/>
      <c r="V148" s="307"/>
      <c r="W148" s="307"/>
      <c r="X148" s="307"/>
      <c r="Y148" s="307"/>
      <c r="Z148" s="307"/>
      <c r="AA148" s="307"/>
      <c r="AB148" s="307"/>
      <c r="AC148" s="307"/>
      <c r="AD148" s="307"/>
      <c r="AE148" s="307"/>
      <c r="AF148" s="307"/>
      <c r="AG148" s="307"/>
      <c r="AH148" s="307"/>
      <c r="AI148" s="307"/>
      <c r="AJ148" s="307"/>
      <c r="AK148" s="307"/>
      <c r="AL148" s="307"/>
      <c r="AM148" s="307"/>
      <c r="AN148" s="307"/>
      <c r="AO148" s="307"/>
      <c r="AP148" s="307"/>
      <c r="AQ148" s="307"/>
      <c r="AR148" s="307"/>
      <c r="AS148" s="307"/>
      <c r="AT148" s="307"/>
      <c r="AU148" s="307"/>
      <c r="AV148" s="307"/>
      <c r="AW148" s="307"/>
      <c r="AX148" s="307"/>
      <c r="AY148" s="307"/>
      <c r="AZ148" s="307"/>
      <c r="BA148" s="307"/>
      <c r="BB148" s="307"/>
      <c r="BC148" s="307"/>
      <c r="BD148" s="307"/>
      <c r="BE148" s="307"/>
      <c r="BF148" s="307"/>
      <c r="BG148" s="307"/>
      <c r="BH148" s="307"/>
      <c r="BI148" s="307"/>
      <c r="BJ148" s="307"/>
      <c r="BK148" s="307"/>
      <c r="BL148" s="307"/>
      <c r="BM148" s="307"/>
      <c r="BN148" s="307"/>
      <c r="BO148" s="307"/>
      <c r="BP148" s="307"/>
      <c r="BQ148" s="307"/>
      <c r="BR148" s="307"/>
      <c r="BS148" s="307"/>
      <c r="BT148" s="307"/>
      <c r="BU148" s="307"/>
      <c r="BV148" s="307"/>
      <c r="BW148" s="307"/>
      <c r="BX148" s="307"/>
      <c r="BY148" s="307"/>
      <c r="BZ148" s="307"/>
      <c r="CA148" s="307"/>
      <c r="CB148" s="307"/>
      <c r="CC148" s="307"/>
      <c r="CD148" s="307"/>
      <c r="CE148" s="307"/>
      <c r="CF148" s="307"/>
      <c r="CG148" s="307"/>
      <c r="CH148" s="307"/>
      <c r="CI148" s="307"/>
      <c r="CJ148" s="307"/>
      <c r="CK148" s="307"/>
      <c r="CL148" s="307"/>
      <c r="CM148" s="307"/>
      <c r="CN148" s="307"/>
      <c r="CO148" s="307"/>
      <c r="CP148" s="307"/>
      <c r="CQ148" s="307"/>
      <c r="CR148" s="307"/>
      <c r="CS148" s="307"/>
      <c r="CT148" s="307"/>
      <c r="CU148" s="307"/>
      <c r="CV148" s="307"/>
      <c r="CW148" s="307"/>
      <c r="CX148" s="307"/>
      <c r="CY148" s="307"/>
      <c r="CZ148" s="307"/>
      <c r="DA148" s="307"/>
      <c r="DB148" s="307"/>
      <c r="DC148" s="307"/>
      <c r="DD148" s="307"/>
      <c r="DE148" s="307"/>
      <c r="DF148" s="307"/>
      <c r="DG148" s="307"/>
      <c r="DH148" s="307"/>
      <c r="DI148" s="307"/>
      <c r="DJ148" s="307"/>
      <c r="DK148" s="307"/>
      <c r="DL148" s="307"/>
      <c r="DM148" s="307"/>
      <c r="DN148" s="307"/>
      <c r="DO148" s="307"/>
      <c r="DP148" s="307"/>
      <c r="DQ148" s="307"/>
      <c r="DR148" s="307"/>
      <c r="DS148" s="307"/>
      <c r="DT148" s="307"/>
      <c r="DU148" s="307"/>
      <c r="DV148" s="307"/>
      <c r="DW148" s="307"/>
      <c r="DX148" s="307"/>
      <c r="DY148" s="307"/>
      <c r="DZ148" s="307"/>
      <c r="EA148" s="307"/>
      <c r="EB148" s="307"/>
      <c r="EC148" s="307"/>
      <c r="ED148" s="307"/>
      <c r="EE148" s="307"/>
      <c r="EF148" s="307"/>
      <c r="EG148" s="307"/>
      <c r="EH148" s="307"/>
      <c r="EI148" s="307"/>
      <c r="EJ148" s="307"/>
      <c r="EK148" s="307"/>
      <c r="EL148" s="307"/>
      <c r="EM148" s="307"/>
      <c r="EN148" s="307"/>
      <c r="EO148" s="307"/>
      <c r="EP148" s="307"/>
      <c r="EQ148" s="307"/>
      <c r="ER148" s="307"/>
      <c r="ES148" s="307"/>
      <c r="ET148" s="307"/>
      <c r="EU148" s="307"/>
      <c r="EV148" s="307"/>
      <c r="EW148" s="307"/>
      <c r="EX148" s="307"/>
      <c r="EY148" s="307"/>
      <c r="EZ148" s="307"/>
      <c r="FA148" s="307"/>
      <c r="FB148" s="307"/>
      <c r="FC148" s="307"/>
      <c r="FD148" s="307"/>
      <c r="FE148" s="307"/>
      <c r="FF148" s="307"/>
      <c r="FG148" s="307"/>
      <c r="FH148" s="307"/>
      <c r="FI148" s="307"/>
      <c r="FJ148" s="307"/>
      <c r="FK148" s="307"/>
      <c r="FL148" s="307"/>
      <c r="FM148" s="307"/>
      <c r="FN148" s="307"/>
      <c r="FO148" s="307"/>
      <c r="FP148" s="307"/>
      <c r="FQ148" s="307"/>
      <c r="FR148" s="307"/>
      <c r="FS148" s="307"/>
      <c r="FT148" s="307"/>
      <c r="FU148" s="307"/>
      <c r="FV148" s="307"/>
      <c r="FW148" s="307"/>
      <c r="FX148" s="307"/>
      <c r="FY148" s="307"/>
      <c r="FZ148" s="307"/>
      <c r="GA148" s="307"/>
      <c r="GB148" s="307"/>
      <c r="GC148" s="307"/>
      <c r="GD148" s="307"/>
      <c r="GE148" s="307"/>
      <c r="GF148" s="307"/>
      <c r="GG148" s="307"/>
      <c r="GH148" s="307"/>
      <c r="GI148" s="307"/>
      <c r="GJ148" s="307"/>
      <c r="GK148" s="307"/>
      <c r="GL148" s="307"/>
      <c r="GM148" s="307"/>
      <c r="GN148" s="307"/>
      <c r="GO148" s="307"/>
      <c r="GP148" s="307"/>
      <c r="GQ148" s="307"/>
      <c r="GR148" s="307"/>
      <c r="GS148" s="307"/>
      <c r="GT148" s="307"/>
      <c r="GU148" s="307"/>
      <c r="GV148" s="307"/>
      <c r="GW148" s="307"/>
      <c r="GX148" s="307"/>
      <c r="GY148" s="307"/>
      <c r="GZ148" s="307"/>
    </row>
    <row r="149" spans="1:208" ht="30">
      <c r="A149" s="304">
        <v>35</v>
      </c>
      <c r="B149" s="303">
        <v>44803</v>
      </c>
      <c r="C149" s="311">
        <v>1106184</v>
      </c>
      <c r="D149" s="304" t="s">
        <v>4435</v>
      </c>
      <c r="E149" s="311" t="s">
        <v>4250</v>
      </c>
      <c r="F149" s="311" t="s">
        <v>4275</v>
      </c>
      <c r="G149" s="304">
        <v>3185</v>
      </c>
      <c r="H149" s="311">
        <v>28</v>
      </c>
      <c r="I149" s="304">
        <v>4502400810</v>
      </c>
      <c r="J149" s="311">
        <v>3025459</v>
      </c>
      <c r="K149" s="304">
        <v>4902334135</v>
      </c>
      <c r="L149" s="304" t="s">
        <v>4252</v>
      </c>
      <c r="M149" s="309">
        <v>14899</v>
      </c>
      <c r="N149" s="304">
        <v>7800</v>
      </c>
      <c r="O149" s="306">
        <f t="shared" si="24"/>
        <v>116212200</v>
      </c>
      <c r="P149" s="304">
        <f t="shared" si="28"/>
        <v>2</v>
      </c>
      <c r="Q149" s="331" t="s">
        <v>3455</v>
      </c>
      <c r="R149" s="304">
        <v>1040968</v>
      </c>
      <c r="S149" s="304">
        <v>6158400</v>
      </c>
      <c r="T149" s="307"/>
      <c r="U149" s="307"/>
      <c r="V149" s="307"/>
      <c r="W149" s="307"/>
      <c r="X149" s="307"/>
      <c r="Y149" s="307"/>
      <c r="Z149" s="307"/>
      <c r="AA149" s="307"/>
      <c r="AB149" s="307"/>
      <c r="AC149" s="307"/>
      <c r="AD149" s="307"/>
      <c r="AE149" s="307"/>
      <c r="AF149" s="307"/>
      <c r="AG149" s="307"/>
      <c r="AH149" s="307"/>
      <c r="AI149" s="307"/>
      <c r="AJ149" s="307"/>
      <c r="AK149" s="307"/>
      <c r="AL149" s="307"/>
      <c r="AM149" s="307"/>
      <c r="AN149" s="307"/>
      <c r="AO149" s="307"/>
      <c r="AP149" s="307"/>
      <c r="AQ149" s="307"/>
      <c r="AR149" s="307"/>
      <c r="AS149" s="307"/>
      <c r="AT149" s="307"/>
      <c r="AU149" s="307"/>
      <c r="AV149" s="307"/>
      <c r="AW149" s="307"/>
      <c r="AX149" s="307"/>
      <c r="AY149" s="307"/>
      <c r="AZ149" s="307"/>
      <c r="BA149" s="307"/>
      <c r="BB149" s="307"/>
      <c r="BC149" s="307"/>
      <c r="BD149" s="307"/>
      <c r="BE149" s="307"/>
      <c r="BF149" s="307"/>
      <c r="BG149" s="307"/>
      <c r="BH149" s="307"/>
      <c r="BI149" s="307"/>
      <c r="BJ149" s="307"/>
      <c r="BK149" s="307"/>
      <c r="BL149" s="307"/>
      <c r="BM149" s="307"/>
      <c r="BN149" s="307"/>
      <c r="BO149" s="307"/>
      <c r="BP149" s="307"/>
      <c r="BQ149" s="307"/>
      <c r="BR149" s="307"/>
      <c r="BS149" s="307"/>
      <c r="BT149" s="307"/>
      <c r="BU149" s="307"/>
      <c r="BV149" s="307"/>
      <c r="BW149" s="307"/>
      <c r="BX149" s="307"/>
      <c r="BY149" s="307"/>
      <c r="BZ149" s="307"/>
      <c r="CA149" s="307"/>
      <c r="CB149" s="307"/>
      <c r="CC149" s="307"/>
      <c r="CD149" s="307"/>
      <c r="CE149" s="307"/>
      <c r="CF149" s="307"/>
      <c r="CG149" s="307"/>
      <c r="CH149" s="307"/>
      <c r="CI149" s="307"/>
      <c r="CJ149" s="307"/>
      <c r="CK149" s="307"/>
      <c r="CL149" s="307"/>
      <c r="CM149" s="307"/>
      <c r="CN149" s="307"/>
      <c r="CO149" s="307"/>
      <c r="CP149" s="307"/>
      <c r="CQ149" s="307"/>
      <c r="CR149" s="307"/>
      <c r="CS149" s="307"/>
      <c r="CT149" s="307"/>
      <c r="CU149" s="307"/>
      <c r="CV149" s="307"/>
      <c r="CW149" s="307"/>
      <c r="CX149" s="307"/>
      <c r="CY149" s="307"/>
      <c r="CZ149" s="307"/>
      <c r="DA149" s="307"/>
      <c r="DB149" s="307"/>
      <c r="DC149" s="307"/>
      <c r="DD149" s="307"/>
      <c r="DE149" s="307"/>
      <c r="DF149" s="307"/>
      <c r="DG149" s="307"/>
      <c r="DH149" s="307"/>
      <c r="DI149" s="307"/>
      <c r="DJ149" s="307"/>
      <c r="DK149" s="307"/>
      <c r="DL149" s="307"/>
      <c r="DM149" s="307"/>
      <c r="DN149" s="307"/>
      <c r="DO149" s="307"/>
      <c r="DP149" s="307"/>
      <c r="DQ149" s="307"/>
      <c r="DR149" s="307"/>
      <c r="DS149" s="307"/>
      <c r="DT149" s="307"/>
      <c r="DU149" s="307"/>
      <c r="DV149" s="307"/>
      <c r="DW149" s="307"/>
      <c r="DX149" s="307"/>
      <c r="DY149" s="307"/>
      <c r="DZ149" s="307"/>
      <c r="EA149" s="307"/>
      <c r="EB149" s="307"/>
      <c r="EC149" s="307"/>
      <c r="ED149" s="307"/>
      <c r="EE149" s="307"/>
      <c r="EF149" s="307"/>
      <c r="EG149" s="307"/>
      <c r="EH149" s="307"/>
      <c r="EI149" s="307"/>
      <c r="EJ149" s="307"/>
      <c r="EK149" s="307"/>
      <c r="EL149" s="307"/>
      <c r="EM149" s="307"/>
      <c r="EN149" s="307"/>
      <c r="EO149" s="307"/>
      <c r="EP149" s="307"/>
      <c r="EQ149" s="307"/>
      <c r="ER149" s="307"/>
      <c r="ES149" s="307"/>
      <c r="ET149" s="307"/>
      <c r="EU149" s="307"/>
      <c r="EV149" s="307"/>
      <c r="EW149" s="307"/>
      <c r="EX149" s="307"/>
      <c r="EY149" s="307"/>
      <c r="EZ149" s="307"/>
      <c r="FA149" s="307"/>
      <c r="FB149" s="307"/>
      <c r="FC149" s="307"/>
      <c r="FD149" s="307"/>
      <c r="FE149" s="307"/>
      <c r="FF149" s="307"/>
      <c r="FG149" s="307"/>
      <c r="FH149" s="307"/>
      <c r="FI149" s="307"/>
      <c r="FJ149" s="307"/>
      <c r="FK149" s="307"/>
      <c r="FL149" s="307"/>
      <c r="FM149" s="307"/>
      <c r="FN149" s="307"/>
      <c r="FO149" s="307"/>
      <c r="FP149" s="307"/>
      <c r="FQ149" s="307"/>
      <c r="FR149" s="307"/>
      <c r="FS149" s="307"/>
      <c r="FT149" s="307"/>
      <c r="FU149" s="307"/>
      <c r="FV149" s="307"/>
      <c r="FW149" s="307"/>
      <c r="FX149" s="307"/>
      <c r="FY149" s="307"/>
      <c r="FZ149" s="307"/>
      <c r="GA149" s="307"/>
      <c r="GB149" s="307"/>
      <c r="GC149" s="307"/>
      <c r="GD149" s="307"/>
      <c r="GE149" s="307"/>
      <c r="GF149" s="307"/>
      <c r="GG149" s="307"/>
      <c r="GH149" s="307"/>
      <c r="GI149" s="307"/>
      <c r="GJ149" s="307"/>
      <c r="GK149" s="307"/>
      <c r="GL149" s="307"/>
      <c r="GM149" s="307"/>
      <c r="GN149" s="307"/>
      <c r="GO149" s="307"/>
      <c r="GP149" s="307"/>
      <c r="GQ149" s="307"/>
      <c r="GR149" s="307"/>
      <c r="GS149" s="307"/>
      <c r="GT149" s="307"/>
      <c r="GU149" s="307"/>
      <c r="GV149" s="307"/>
      <c r="GW149" s="307"/>
      <c r="GX149" s="307"/>
      <c r="GY149" s="307"/>
      <c r="GZ149" s="307"/>
    </row>
    <row r="150" spans="1:208" ht="15">
      <c r="A150" s="282">
        <v>36</v>
      </c>
      <c r="B150" s="332">
        <v>44806</v>
      </c>
      <c r="C150" s="333">
        <v>1053331</v>
      </c>
      <c r="D150" s="282" t="s">
        <v>4436</v>
      </c>
      <c r="E150" s="342" t="s">
        <v>4416</v>
      </c>
      <c r="F150" s="333" t="s">
        <v>4275</v>
      </c>
      <c r="G150" s="352">
        <v>3178</v>
      </c>
      <c r="H150" s="333">
        <v>42</v>
      </c>
      <c r="I150" s="282">
        <v>4502405073</v>
      </c>
      <c r="J150" s="333">
        <v>3025459</v>
      </c>
      <c r="K150" s="282">
        <v>4902338876</v>
      </c>
      <c r="L150" s="282" t="s">
        <v>4252</v>
      </c>
      <c r="M150" s="283">
        <v>20335</v>
      </c>
      <c r="N150" s="333">
        <v>7750</v>
      </c>
      <c r="O150" s="284">
        <f t="shared" si="24"/>
        <v>157596250</v>
      </c>
      <c r="P150" s="285">
        <f t="shared" si="28"/>
        <v>3</v>
      </c>
      <c r="Q150" s="321" t="s">
        <v>4266</v>
      </c>
      <c r="R150" s="282">
        <v>1004892</v>
      </c>
      <c r="S150" s="282">
        <v>4792500</v>
      </c>
      <c r="T150" s="285"/>
      <c r="U150" s="285"/>
      <c r="V150" s="285"/>
      <c r="W150" s="285"/>
      <c r="X150" s="285"/>
      <c r="Y150" s="285"/>
      <c r="Z150" s="285"/>
      <c r="AA150" s="285"/>
      <c r="AB150" s="285"/>
      <c r="AC150" s="285"/>
      <c r="AD150" s="285"/>
      <c r="AE150" s="285"/>
      <c r="AF150" s="285"/>
      <c r="AG150" s="285"/>
      <c r="AH150" s="285"/>
      <c r="AI150" s="285"/>
      <c r="AJ150" s="285"/>
      <c r="AK150" s="285"/>
      <c r="AL150" s="285"/>
      <c r="AM150" s="285"/>
      <c r="AN150" s="285"/>
      <c r="AO150" s="285"/>
      <c r="AP150" s="285"/>
      <c r="AQ150" s="285"/>
      <c r="AR150" s="285"/>
      <c r="AS150" s="285"/>
      <c r="AT150" s="285"/>
      <c r="AU150" s="285"/>
      <c r="AV150" s="285"/>
      <c r="AW150" s="285"/>
      <c r="AX150" s="285"/>
      <c r="AY150" s="285"/>
      <c r="AZ150" s="285"/>
      <c r="BA150" s="285"/>
      <c r="BB150" s="285"/>
      <c r="BC150" s="285"/>
      <c r="BD150" s="285"/>
      <c r="BE150" s="285"/>
      <c r="BF150" s="285"/>
      <c r="BG150" s="285"/>
      <c r="BH150" s="285"/>
      <c r="BI150" s="285"/>
      <c r="BJ150" s="285"/>
      <c r="BK150" s="285"/>
      <c r="BL150" s="285"/>
      <c r="BM150" s="285"/>
      <c r="BN150" s="285"/>
      <c r="BO150" s="285"/>
      <c r="BP150" s="285"/>
      <c r="BQ150" s="285"/>
      <c r="BR150" s="285"/>
      <c r="BS150" s="285"/>
      <c r="BT150" s="285"/>
      <c r="BU150" s="285"/>
      <c r="BV150" s="285"/>
      <c r="BW150" s="285"/>
      <c r="BX150" s="285"/>
      <c r="BY150" s="285"/>
      <c r="BZ150" s="285"/>
      <c r="CA150" s="285"/>
      <c r="CB150" s="285"/>
      <c r="CC150" s="285"/>
      <c r="CD150" s="285"/>
      <c r="CE150" s="285"/>
      <c r="CF150" s="285"/>
      <c r="CG150" s="285"/>
      <c r="CH150" s="285"/>
      <c r="CI150" s="285"/>
      <c r="CJ150" s="285"/>
      <c r="CK150" s="285"/>
      <c r="CL150" s="285"/>
      <c r="CM150" s="285"/>
      <c r="CN150" s="285"/>
      <c r="CO150" s="285"/>
      <c r="CP150" s="285"/>
      <c r="CQ150" s="285"/>
      <c r="CR150" s="285"/>
      <c r="CS150" s="285"/>
      <c r="CT150" s="285"/>
      <c r="CU150" s="285"/>
      <c r="CV150" s="285"/>
      <c r="CW150" s="285"/>
      <c r="CX150" s="285"/>
      <c r="CY150" s="285"/>
      <c r="CZ150" s="285"/>
      <c r="DA150" s="285"/>
      <c r="DB150" s="285"/>
      <c r="DC150" s="285"/>
      <c r="DD150" s="285"/>
      <c r="DE150" s="285"/>
      <c r="DF150" s="285"/>
      <c r="DG150" s="285"/>
      <c r="DH150" s="285"/>
      <c r="DI150" s="285"/>
      <c r="DJ150" s="285"/>
      <c r="DK150" s="285"/>
      <c r="DL150" s="285"/>
      <c r="DM150" s="285"/>
      <c r="DN150" s="285"/>
      <c r="DO150" s="285"/>
      <c r="DP150" s="285"/>
      <c r="DQ150" s="285"/>
      <c r="DR150" s="285"/>
      <c r="DS150" s="285"/>
      <c r="DT150" s="285"/>
      <c r="DU150" s="285"/>
      <c r="DV150" s="285"/>
      <c r="DW150" s="285"/>
      <c r="DX150" s="285"/>
      <c r="DY150" s="285"/>
      <c r="DZ150" s="285"/>
      <c r="EA150" s="285"/>
      <c r="EB150" s="285"/>
      <c r="EC150" s="285"/>
      <c r="ED150" s="285"/>
      <c r="EE150" s="285"/>
      <c r="EF150" s="285"/>
      <c r="EG150" s="285"/>
      <c r="EH150" s="285"/>
      <c r="EI150" s="285"/>
      <c r="EJ150" s="285"/>
      <c r="EK150" s="285"/>
      <c r="EL150" s="285"/>
      <c r="EM150" s="285"/>
      <c r="EN150" s="285"/>
      <c r="EO150" s="285"/>
      <c r="EP150" s="285"/>
      <c r="EQ150" s="285"/>
      <c r="ER150" s="285"/>
      <c r="ES150" s="285"/>
      <c r="ET150" s="285"/>
      <c r="EU150" s="285"/>
      <c r="EV150" s="285"/>
      <c r="EW150" s="285"/>
      <c r="EX150" s="285"/>
      <c r="EY150" s="285"/>
      <c r="EZ150" s="285"/>
      <c r="FA150" s="285"/>
      <c r="FB150" s="285"/>
      <c r="FC150" s="285"/>
      <c r="FD150" s="285"/>
      <c r="FE150" s="285"/>
      <c r="FF150" s="285"/>
      <c r="FG150" s="285"/>
      <c r="FH150" s="285"/>
      <c r="FI150" s="285"/>
      <c r="FJ150" s="285"/>
      <c r="FK150" s="285"/>
      <c r="FL150" s="285"/>
      <c r="FM150" s="285"/>
      <c r="FN150" s="285"/>
      <c r="FO150" s="285"/>
      <c r="FP150" s="285"/>
      <c r="FQ150" s="285"/>
      <c r="FR150" s="285"/>
      <c r="FS150" s="285"/>
      <c r="FT150" s="285"/>
      <c r="FU150" s="285"/>
      <c r="FV150" s="285"/>
      <c r="FW150" s="285"/>
      <c r="FX150" s="285"/>
      <c r="FY150" s="285"/>
      <c r="FZ150" s="285"/>
      <c r="GA150" s="285"/>
      <c r="GB150" s="285"/>
      <c r="GC150" s="285"/>
      <c r="GD150" s="285"/>
      <c r="GE150" s="285"/>
      <c r="GF150" s="285"/>
      <c r="GG150" s="285"/>
      <c r="GH150" s="285"/>
      <c r="GI150" s="285"/>
      <c r="GJ150" s="285"/>
      <c r="GK150" s="285"/>
      <c r="GL150" s="285"/>
      <c r="GM150" s="285"/>
      <c r="GN150" s="285"/>
      <c r="GO150" s="285"/>
      <c r="GP150" s="285"/>
      <c r="GQ150" s="285"/>
      <c r="GR150" s="285"/>
      <c r="GS150" s="285"/>
      <c r="GT150" s="285"/>
      <c r="GU150" s="285"/>
      <c r="GV150" s="285"/>
      <c r="GW150" s="285"/>
      <c r="GX150" s="285"/>
      <c r="GY150" s="285"/>
      <c r="GZ150" s="285"/>
    </row>
    <row r="151" spans="1:208" ht="15">
      <c r="A151" s="282">
        <v>36</v>
      </c>
      <c r="B151" s="332">
        <v>44807</v>
      </c>
      <c r="C151" s="333">
        <v>1106184</v>
      </c>
      <c r="D151" s="282" t="s">
        <v>4437</v>
      </c>
      <c r="E151" s="333" t="s">
        <v>4250</v>
      </c>
      <c r="F151" s="333" t="s">
        <v>4438</v>
      </c>
      <c r="G151" s="352">
        <v>3185</v>
      </c>
      <c r="H151" s="333">
        <v>28</v>
      </c>
      <c r="I151" s="282">
        <v>4502405074</v>
      </c>
      <c r="J151" s="352">
        <v>3025460</v>
      </c>
      <c r="K151" s="282">
        <v>4902338886</v>
      </c>
      <c r="L151" s="282" t="s">
        <v>4252</v>
      </c>
      <c r="M151" s="283">
        <v>13706</v>
      </c>
      <c r="N151" s="333">
        <v>7750</v>
      </c>
      <c r="O151" s="284">
        <f t="shared" si="24"/>
        <v>106221500</v>
      </c>
      <c r="P151" s="285">
        <f t="shared" si="28"/>
        <v>2</v>
      </c>
      <c r="Q151" s="321" t="s">
        <v>3455</v>
      </c>
      <c r="R151" s="282">
        <v>1040968</v>
      </c>
      <c r="S151" s="282">
        <v>5965200</v>
      </c>
      <c r="T151" s="285"/>
      <c r="U151" s="285"/>
      <c r="V151" s="285"/>
      <c r="W151" s="285"/>
      <c r="X151" s="285"/>
      <c r="Y151" s="285"/>
      <c r="Z151" s="285"/>
      <c r="AA151" s="285"/>
      <c r="AB151" s="285"/>
      <c r="AC151" s="285"/>
      <c r="AD151" s="285"/>
      <c r="AE151" s="285"/>
      <c r="AF151" s="285"/>
      <c r="AG151" s="285"/>
      <c r="AH151" s="285"/>
      <c r="AI151" s="285"/>
      <c r="AJ151" s="285"/>
      <c r="AK151" s="285"/>
      <c r="AL151" s="285"/>
      <c r="AM151" s="285"/>
      <c r="AN151" s="285"/>
      <c r="AO151" s="285"/>
      <c r="AP151" s="285"/>
      <c r="AQ151" s="285"/>
      <c r="AR151" s="285"/>
      <c r="AS151" s="285"/>
      <c r="AT151" s="285"/>
      <c r="AU151" s="285"/>
      <c r="AV151" s="285"/>
      <c r="AW151" s="285"/>
      <c r="AX151" s="285"/>
      <c r="AY151" s="285"/>
      <c r="AZ151" s="285"/>
      <c r="BA151" s="285"/>
      <c r="BB151" s="285"/>
      <c r="BC151" s="285"/>
      <c r="BD151" s="285"/>
      <c r="BE151" s="285"/>
      <c r="BF151" s="285"/>
      <c r="BG151" s="285"/>
      <c r="BH151" s="285"/>
      <c r="BI151" s="285"/>
      <c r="BJ151" s="285"/>
      <c r="BK151" s="285"/>
      <c r="BL151" s="285"/>
      <c r="BM151" s="285"/>
      <c r="BN151" s="285"/>
      <c r="BO151" s="285"/>
      <c r="BP151" s="285"/>
      <c r="BQ151" s="285"/>
      <c r="BR151" s="285"/>
      <c r="BS151" s="285"/>
      <c r="BT151" s="285"/>
      <c r="BU151" s="285"/>
      <c r="BV151" s="285"/>
      <c r="BW151" s="285"/>
      <c r="BX151" s="285"/>
      <c r="BY151" s="285"/>
      <c r="BZ151" s="285"/>
      <c r="CA151" s="285"/>
      <c r="CB151" s="285"/>
      <c r="CC151" s="285"/>
      <c r="CD151" s="285"/>
      <c r="CE151" s="285"/>
      <c r="CF151" s="285"/>
      <c r="CG151" s="285"/>
      <c r="CH151" s="285"/>
      <c r="CI151" s="285"/>
      <c r="CJ151" s="285"/>
      <c r="CK151" s="285"/>
      <c r="CL151" s="285"/>
      <c r="CM151" s="285"/>
      <c r="CN151" s="285"/>
      <c r="CO151" s="285"/>
      <c r="CP151" s="285"/>
      <c r="CQ151" s="285"/>
      <c r="CR151" s="285"/>
      <c r="CS151" s="285"/>
      <c r="CT151" s="285"/>
      <c r="CU151" s="285"/>
      <c r="CV151" s="285"/>
      <c r="CW151" s="285"/>
      <c r="CX151" s="285"/>
      <c r="CY151" s="285"/>
      <c r="CZ151" s="285"/>
      <c r="DA151" s="285"/>
      <c r="DB151" s="285"/>
      <c r="DC151" s="285"/>
      <c r="DD151" s="285"/>
      <c r="DE151" s="285"/>
      <c r="DF151" s="285"/>
      <c r="DG151" s="285"/>
      <c r="DH151" s="285"/>
      <c r="DI151" s="285"/>
      <c r="DJ151" s="285"/>
      <c r="DK151" s="285"/>
      <c r="DL151" s="285"/>
      <c r="DM151" s="285"/>
      <c r="DN151" s="285"/>
      <c r="DO151" s="285"/>
      <c r="DP151" s="285"/>
      <c r="DQ151" s="285"/>
      <c r="DR151" s="285"/>
      <c r="DS151" s="285"/>
      <c r="DT151" s="285"/>
      <c r="DU151" s="285"/>
      <c r="DV151" s="285"/>
      <c r="DW151" s="285"/>
      <c r="DX151" s="285"/>
      <c r="DY151" s="285"/>
      <c r="DZ151" s="285"/>
      <c r="EA151" s="285"/>
      <c r="EB151" s="285"/>
      <c r="EC151" s="285"/>
      <c r="ED151" s="285"/>
      <c r="EE151" s="285"/>
      <c r="EF151" s="285"/>
      <c r="EG151" s="285"/>
      <c r="EH151" s="285"/>
      <c r="EI151" s="285"/>
      <c r="EJ151" s="285"/>
      <c r="EK151" s="285"/>
      <c r="EL151" s="285"/>
      <c r="EM151" s="285"/>
      <c r="EN151" s="285"/>
      <c r="EO151" s="285"/>
      <c r="EP151" s="285"/>
      <c r="EQ151" s="285"/>
      <c r="ER151" s="285"/>
      <c r="ES151" s="285"/>
      <c r="ET151" s="285"/>
      <c r="EU151" s="285"/>
      <c r="EV151" s="285"/>
      <c r="EW151" s="285"/>
      <c r="EX151" s="285"/>
      <c r="EY151" s="285"/>
      <c r="EZ151" s="285"/>
      <c r="FA151" s="285"/>
      <c r="FB151" s="285"/>
      <c r="FC151" s="285"/>
      <c r="FD151" s="285"/>
      <c r="FE151" s="285"/>
      <c r="FF151" s="285"/>
      <c r="FG151" s="285"/>
      <c r="FH151" s="285"/>
      <c r="FI151" s="285"/>
      <c r="FJ151" s="285"/>
      <c r="FK151" s="285"/>
      <c r="FL151" s="285"/>
      <c r="FM151" s="285"/>
      <c r="FN151" s="285"/>
      <c r="FO151" s="285"/>
      <c r="FP151" s="285"/>
      <c r="FQ151" s="285"/>
      <c r="FR151" s="285"/>
      <c r="FS151" s="285"/>
      <c r="FT151" s="285"/>
      <c r="FU151" s="285"/>
      <c r="FV151" s="285"/>
      <c r="FW151" s="285"/>
      <c r="FX151" s="285"/>
      <c r="FY151" s="285"/>
      <c r="FZ151" s="285"/>
      <c r="GA151" s="285"/>
      <c r="GB151" s="285"/>
      <c r="GC151" s="285"/>
      <c r="GD151" s="285"/>
      <c r="GE151" s="285"/>
      <c r="GF151" s="285"/>
      <c r="GG151" s="285"/>
      <c r="GH151" s="285"/>
      <c r="GI151" s="285"/>
      <c r="GJ151" s="285"/>
      <c r="GK151" s="285"/>
      <c r="GL151" s="285"/>
      <c r="GM151" s="285"/>
      <c r="GN151" s="285"/>
      <c r="GO151" s="285"/>
      <c r="GP151" s="285"/>
      <c r="GQ151" s="285"/>
      <c r="GR151" s="285"/>
      <c r="GS151" s="285"/>
      <c r="GT151" s="285"/>
      <c r="GU151" s="285"/>
      <c r="GV151" s="285"/>
      <c r="GW151" s="285"/>
      <c r="GX151" s="285"/>
      <c r="GY151" s="285"/>
      <c r="GZ151" s="285"/>
    </row>
    <row r="152" spans="1:208" ht="15">
      <c r="A152" s="282">
        <v>36</v>
      </c>
      <c r="B152" s="332">
        <v>44808</v>
      </c>
      <c r="C152" s="333">
        <v>1053331</v>
      </c>
      <c r="D152" s="282" t="s">
        <v>4439</v>
      </c>
      <c r="E152" s="342" t="s">
        <v>4416</v>
      </c>
      <c r="F152" s="333" t="s">
        <v>4275</v>
      </c>
      <c r="G152" s="352">
        <v>3178</v>
      </c>
      <c r="H152" s="333">
        <v>42</v>
      </c>
      <c r="I152" s="282">
        <v>4502405076</v>
      </c>
      <c r="J152" s="333">
        <v>3025459</v>
      </c>
      <c r="K152" s="282">
        <v>4902338888</v>
      </c>
      <c r="L152" s="282" t="s">
        <v>4252</v>
      </c>
      <c r="M152" s="283">
        <v>20332</v>
      </c>
      <c r="N152" s="333">
        <v>7750</v>
      </c>
      <c r="O152" s="284">
        <f t="shared" si="24"/>
        <v>157573000</v>
      </c>
      <c r="P152" s="285">
        <f t="shared" si="28"/>
        <v>3</v>
      </c>
      <c r="Q152" s="321" t="s">
        <v>4266</v>
      </c>
      <c r="R152" s="282">
        <v>1004892</v>
      </c>
      <c r="S152" s="282">
        <v>4792500</v>
      </c>
      <c r="T152" s="285"/>
      <c r="U152" s="285"/>
      <c r="V152" s="285"/>
      <c r="W152" s="285"/>
      <c r="X152" s="285"/>
      <c r="Y152" s="285"/>
      <c r="Z152" s="285"/>
      <c r="AA152" s="285"/>
      <c r="AB152" s="285"/>
      <c r="AC152" s="285"/>
      <c r="AD152" s="285"/>
      <c r="AE152" s="285"/>
      <c r="AF152" s="285"/>
      <c r="AG152" s="285"/>
      <c r="AH152" s="285"/>
      <c r="AI152" s="285"/>
      <c r="AJ152" s="285"/>
      <c r="AK152" s="285"/>
      <c r="AL152" s="285"/>
      <c r="AM152" s="285"/>
      <c r="AN152" s="285"/>
      <c r="AO152" s="285"/>
      <c r="AP152" s="285"/>
      <c r="AQ152" s="285"/>
      <c r="AR152" s="285"/>
      <c r="AS152" s="285"/>
      <c r="AT152" s="285"/>
      <c r="AU152" s="285"/>
      <c r="AV152" s="285"/>
      <c r="AW152" s="285"/>
      <c r="AX152" s="285"/>
      <c r="AY152" s="285"/>
      <c r="AZ152" s="285"/>
      <c r="BA152" s="285"/>
      <c r="BB152" s="285"/>
      <c r="BC152" s="285"/>
      <c r="BD152" s="285"/>
      <c r="BE152" s="285"/>
      <c r="BF152" s="285"/>
      <c r="BG152" s="285"/>
      <c r="BH152" s="285"/>
      <c r="BI152" s="285"/>
      <c r="BJ152" s="285"/>
      <c r="BK152" s="285"/>
      <c r="BL152" s="285"/>
      <c r="BM152" s="285"/>
      <c r="BN152" s="285"/>
      <c r="BO152" s="285"/>
      <c r="BP152" s="285"/>
      <c r="BQ152" s="285"/>
      <c r="BR152" s="285"/>
      <c r="BS152" s="285"/>
      <c r="BT152" s="285"/>
      <c r="BU152" s="285"/>
      <c r="BV152" s="285"/>
      <c r="BW152" s="285"/>
      <c r="BX152" s="285"/>
      <c r="BY152" s="285"/>
      <c r="BZ152" s="285"/>
      <c r="CA152" s="285"/>
      <c r="CB152" s="285"/>
      <c r="CC152" s="285"/>
      <c r="CD152" s="285"/>
      <c r="CE152" s="285"/>
      <c r="CF152" s="285"/>
      <c r="CG152" s="285"/>
      <c r="CH152" s="285"/>
      <c r="CI152" s="285"/>
      <c r="CJ152" s="285"/>
      <c r="CK152" s="285"/>
      <c r="CL152" s="285"/>
      <c r="CM152" s="285"/>
      <c r="CN152" s="285"/>
      <c r="CO152" s="285"/>
      <c r="CP152" s="285"/>
      <c r="CQ152" s="285"/>
      <c r="CR152" s="285"/>
      <c r="CS152" s="285"/>
      <c r="CT152" s="285"/>
      <c r="CU152" s="285"/>
      <c r="CV152" s="285"/>
      <c r="CW152" s="285"/>
      <c r="CX152" s="285"/>
      <c r="CY152" s="285"/>
      <c r="CZ152" s="285"/>
      <c r="DA152" s="285"/>
      <c r="DB152" s="285"/>
      <c r="DC152" s="285"/>
      <c r="DD152" s="285"/>
      <c r="DE152" s="285"/>
      <c r="DF152" s="285"/>
      <c r="DG152" s="285"/>
      <c r="DH152" s="285"/>
      <c r="DI152" s="285"/>
      <c r="DJ152" s="285"/>
      <c r="DK152" s="285"/>
      <c r="DL152" s="285"/>
      <c r="DM152" s="285"/>
      <c r="DN152" s="285"/>
      <c r="DO152" s="285"/>
      <c r="DP152" s="285"/>
      <c r="DQ152" s="285"/>
      <c r="DR152" s="285"/>
      <c r="DS152" s="285"/>
      <c r="DT152" s="285"/>
      <c r="DU152" s="285"/>
      <c r="DV152" s="285"/>
      <c r="DW152" s="285"/>
      <c r="DX152" s="285"/>
      <c r="DY152" s="285"/>
      <c r="DZ152" s="285"/>
      <c r="EA152" s="285"/>
      <c r="EB152" s="285"/>
      <c r="EC152" s="285"/>
      <c r="ED152" s="285"/>
      <c r="EE152" s="285"/>
      <c r="EF152" s="285"/>
      <c r="EG152" s="285"/>
      <c r="EH152" s="285"/>
      <c r="EI152" s="285"/>
      <c r="EJ152" s="285"/>
      <c r="EK152" s="285"/>
      <c r="EL152" s="285"/>
      <c r="EM152" s="285"/>
      <c r="EN152" s="285"/>
      <c r="EO152" s="285"/>
      <c r="EP152" s="285"/>
      <c r="EQ152" s="285"/>
      <c r="ER152" s="285"/>
      <c r="ES152" s="285"/>
      <c r="ET152" s="285"/>
      <c r="EU152" s="285"/>
      <c r="EV152" s="285"/>
      <c r="EW152" s="285"/>
      <c r="EX152" s="285"/>
      <c r="EY152" s="285"/>
      <c r="EZ152" s="285"/>
      <c r="FA152" s="285"/>
      <c r="FB152" s="285"/>
      <c r="FC152" s="285"/>
      <c r="FD152" s="285"/>
      <c r="FE152" s="285"/>
      <c r="FF152" s="285"/>
      <c r="FG152" s="285"/>
      <c r="FH152" s="285"/>
      <c r="FI152" s="285"/>
      <c r="FJ152" s="285"/>
      <c r="FK152" s="285"/>
      <c r="FL152" s="285"/>
      <c r="FM152" s="285"/>
      <c r="FN152" s="285"/>
      <c r="FO152" s="285"/>
      <c r="FP152" s="285"/>
      <c r="FQ152" s="285"/>
      <c r="FR152" s="285"/>
      <c r="FS152" s="285"/>
      <c r="FT152" s="285"/>
      <c r="FU152" s="285"/>
      <c r="FV152" s="285"/>
      <c r="FW152" s="285"/>
      <c r="FX152" s="285"/>
      <c r="FY152" s="285"/>
      <c r="FZ152" s="285"/>
      <c r="GA152" s="285"/>
      <c r="GB152" s="285"/>
      <c r="GC152" s="285"/>
      <c r="GD152" s="285"/>
      <c r="GE152" s="285"/>
      <c r="GF152" s="285"/>
      <c r="GG152" s="285"/>
      <c r="GH152" s="285"/>
      <c r="GI152" s="285"/>
      <c r="GJ152" s="285"/>
      <c r="GK152" s="285"/>
      <c r="GL152" s="285"/>
      <c r="GM152" s="285"/>
      <c r="GN152" s="285"/>
      <c r="GO152" s="285"/>
      <c r="GP152" s="285"/>
      <c r="GQ152" s="285"/>
      <c r="GR152" s="285"/>
      <c r="GS152" s="285"/>
      <c r="GT152" s="285"/>
      <c r="GU152" s="285"/>
      <c r="GV152" s="285"/>
      <c r="GW152" s="285"/>
      <c r="GX152" s="285"/>
      <c r="GY152" s="285"/>
      <c r="GZ152" s="285"/>
    </row>
    <row r="153" spans="1:208" ht="15">
      <c r="A153" s="282">
        <v>36</v>
      </c>
      <c r="B153" s="332">
        <v>44810</v>
      </c>
      <c r="C153" s="333">
        <v>1109027</v>
      </c>
      <c r="D153" s="282" t="s">
        <v>4440</v>
      </c>
      <c r="E153" s="342" t="s">
        <v>4287</v>
      </c>
      <c r="F153" s="333" t="s">
        <v>4251</v>
      </c>
      <c r="G153" s="352">
        <v>3193</v>
      </c>
      <c r="H153" s="333">
        <v>28</v>
      </c>
      <c r="I153" s="282">
        <v>4502405078</v>
      </c>
      <c r="J153" s="333">
        <v>3025457</v>
      </c>
      <c r="K153" s="282">
        <v>4902338890</v>
      </c>
      <c r="L153" s="282" t="s">
        <v>4252</v>
      </c>
      <c r="M153" s="283">
        <v>13190</v>
      </c>
      <c r="N153" s="333">
        <v>7700</v>
      </c>
      <c r="O153" s="284">
        <f t="shared" si="24"/>
        <v>101563000</v>
      </c>
      <c r="P153" s="285">
        <f t="shared" si="28"/>
        <v>2</v>
      </c>
      <c r="Q153" s="321" t="s">
        <v>3455</v>
      </c>
      <c r="R153" s="282">
        <v>1040968</v>
      </c>
      <c r="S153" s="285">
        <v>3632200</v>
      </c>
      <c r="T153" s="285"/>
      <c r="U153" s="285"/>
      <c r="V153" s="285"/>
      <c r="W153" s="285"/>
      <c r="X153" s="285"/>
      <c r="Y153" s="285"/>
      <c r="Z153" s="285"/>
      <c r="AA153" s="285"/>
      <c r="AB153" s="285"/>
      <c r="AC153" s="285"/>
      <c r="AD153" s="285"/>
      <c r="AE153" s="285"/>
      <c r="AF153" s="285"/>
      <c r="AG153" s="285"/>
      <c r="AH153" s="285"/>
      <c r="AI153" s="285"/>
      <c r="AJ153" s="285"/>
      <c r="AK153" s="285"/>
      <c r="AL153" s="285"/>
      <c r="AM153" s="285"/>
      <c r="AN153" s="285"/>
      <c r="AO153" s="285"/>
      <c r="AP153" s="285"/>
      <c r="AQ153" s="285"/>
      <c r="AR153" s="285"/>
      <c r="AS153" s="285"/>
      <c r="AT153" s="285"/>
      <c r="AU153" s="285"/>
      <c r="AV153" s="285"/>
      <c r="AW153" s="285"/>
      <c r="AX153" s="285"/>
      <c r="AY153" s="285"/>
      <c r="AZ153" s="285"/>
      <c r="BA153" s="285"/>
      <c r="BB153" s="285"/>
      <c r="BC153" s="285"/>
      <c r="BD153" s="285"/>
      <c r="BE153" s="285"/>
      <c r="BF153" s="285"/>
      <c r="BG153" s="285"/>
      <c r="BH153" s="285"/>
      <c r="BI153" s="285"/>
      <c r="BJ153" s="285"/>
      <c r="BK153" s="285"/>
      <c r="BL153" s="285"/>
      <c r="BM153" s="285"/>
      <c r="BN153" s="285"/>
      <c r="BO153" s="285"/>
      <c r="BP153" s="285"/>
      <c r="BQ153" s="285"/>
      <c r="BR153" s="285"/>
      <c r="BS153" s="285"/>
      <c r="BT153" s="285"/>
      <c r="BU153" s="285"/>
      <c r="BV153" s="285"/>
      <c r="BW153" s="285"/>
      <c r="BX153" s="285"/>
      <c r="BY153" s="285"/>
      <c r="BZ153" s="285"/>
      <c r="CA153" s="285"/>
      <c r="CB153" s="285"/>
      <c r="CC153" s="285"/>
      <c r="CD153" s="285"/>
      <c r="CE153" s="285"/>
      <c r="CF153" s="285"/>
      <c r="CG153" s="285"/>
      <c r="CH153" s="285"/>
      <c r="CI153" s="285"/>
      <c r="CJ153" s="285"/>
      <c r="CK153" s="285"/>
      <c r="CL153" s="285"/>
      <c r="CM153" s="285"/>
      <c r="CN153" s="285"/>
      <c r="CO153" s="285"/>
      <c r="CP153" s="285"/>
      <c r="CQ153" s="285"/>
      <c r="CR153" s="285"/>
      <c r="CS153" s="285"/>
      <c r="CT153" s="285"/>
      <c r="CU153" s="285"/>
      <c r="CV153" s="285"/>
      <c r="CW153" s="285"/>
      <c r="CX153" s="285"/>
      <c r="CY153" s="285"/>
      <c r="CZ153" s="285"/>
      <c r="DA153" s="285"/>
      <c r="DB153" s="285"/>
      <c r="DC153" s="285"/>
      <c r="DD153" s="285"/>
      <c r="DE153" s="285"/>
      <c r="DF153" s="285"/>
      <c r="DG153" s="285"/>
      <c r="DH153" s="285"/>
      <c r="DI153" s="285"/>
      <c r="DJ153" s="285"/>
      <c r="DK153" s="285"/>
      <c r="DL153" s="285"/>
      <c r="DM153" s="285"/>
      <c r="DN153" s="285"/>
      <c r="DO153" s="285"/>
      <c r="DP153" s="285"/>
      <c r="DQ153" s="285"/>
      <c r="DR153" s="285"/>
      <c r="DS153" s="285"/>
      <c r="DT153" s="285"/>
      <c r="DU153" s="285"/>
      <c r="DV153" s="285"/>
      <c r="DW153" s="285"/>
      <c r="DX153" s="285"/>
      <c r="DY153" s="285"/>
      <c r="DZ153" s="285"/>
      <c r="EA153" s="285"/>
      <c r="EB153" s="285"/>
      <c r="EC153" s="285"/>
      <c r="ED153" s="285"/>
      <c r="EE153" s="285"/>
      <c r="EF153" s="285"/>
      <c r="EG153" s="285"/>
      <c r="EH153" s="285"/>
      <c r="EI153" s="285"/>
      <c r="EJ153" s="285"/>
      <c r="EK153" s="285"/>
      <c r="EL153" s="285"/>
      <c r="EM153" s="285"/>
      <c r="EN153" s="285"/>
      <c r="EO153" s="285"/>
      <c r="EP153" s="285"/>
      <c r="EQ153" s="285"/>
      <c r="ER153" s="285"/>
      <c r="ES153" s="285"/>
      <c r="ET153" s="285"/>
      <c r="EU153" s="285"/>
      <c r="EV153" s="285"/>
      <c r="EW153" s="285"/>
      <c r="EX153" s="285"/>
      <c r="EY153" s="285"/>
      <c r="EZ153" s="285"/>
      <c r="FA153" s="285"/>
      <c r="FB153" s="285"/>
      <c r="FC153" s="285"/>
      <c r="FD153" s="285"/>
      <c r="FE153" s="285"/>
      <c r="FF153" s="285"/>
      <c r="FG153" s="285"/>
      <c r="FH153" s="285"/>
      <c r="FI153" s="285"/>
      <c r="FJ153" s="285"/>
      <c r="FK153" s="285"/>
      <c r="FL153" s="285"/>
      <c r="FM153" s="285"/>
      <c r="FN153" s="285"/>
      <c r="FO153" s="285"/>
      <c r="FP153" s="285"/>
      <c r="FQ153" s="285"/>
      <c r="FR153" s="285"/>
      <c r="FS153" s="285"/>
      <c r="FT153" s="285"/>
      <c r="FU153" s="285"/>
      <c r="FV153" s="285"/>
      <c r="FW153" s="285"/>
      <c r="FX153" s="285"/>
      <c r="FY153" s="285"/>
      <c r="FZ153" s="285"/>
      <c r="GA153" s="285"/>
      <c r="GB153" s="285"/>
      <c r="GC153" s="285"/>
      <c r="GD153" s="285"/>
      <c r="GE153" s="285"/>
      <c r="GF153" s="285"/>
      <c r="GG153" s="285"/>
      <c r="GH153" s="285"/>
      <c r="GI153" s="285"/>
      <c r="GJ153" s="285"/>
      <c r="GK153" s="285"/>
      <c r="GL153" s="285"/>
      <c r="GM153" s="285"/>
      <c r="GN153" s="285"/>
      <c r="GO153" s="285"/>
      <c r="GP153" s="285"/>
      <c r="GQ153" s="285"/>
      <c r="GR153" s="285"/>
      <c r="GS153" s="285"/>
      <c r="GT153" s="285"/>
      <c r="GU153" s="285"/>
      <c r="GV153" s="285"/>
      <c r="GW153" s="285"/>
      <c r="GX153" s="285"/>
      <c r="GY153" s="285"/>
      <c r="GZ153" s="285"/>
    </row>
    <row r="154" spans="1:208" ht="15">
      <c r="A154" s="282">
        <v>36</v>
      </c>
      <c r="B154" s="332">
        <v>44810</v>
      </c>
      <c r="C154" s="333">
        <v>1093247</v>
      </c>
      <c r="D154" s="282" t="s">
        <v>4441</v>
      </c>
      <c r="E154" s="342" t="s">
        <v>4412</v>
      </c>
      <c r="F154" s="333" t="s">
        <v>4275</v>
      </c>
      <c r="G154" s="352">
        <v>3190</v>
      </c>
      <c r="H154" s="333">
        <v>56</v>
      </c>
      <c r="I154" s="282">
        <v>4502405079</v>
      </c>
      <c r="J154" s="333">
        <v>3025459</v>
      </c>
      <c r="K154" s="282">
        <v>4902338894</v>
      </c>
      <c r="L154" s="282" t="s">
        <v>4252</v>
      </c>
      <c r="M154" s="283">
        <v>27635</v>
      </c>
      <c r="N154" s="333">
        <v>7700</v>
      </c>
      <c r="O154" s="284">
        <f t="shared" si="24"/>
        <v>212789500</v>
      </c>
      <c r="P154" s="285">
        <f t="shared" si="28"/>
        <v>4</v>
      </c>
      <c r="Q154" s="321" t="s">
        <v>3455</v>
      </c>
      <c r="R154" s="282">
        <v>1040968</v>
      </c>
      <c r="S154" s="285">
        <v>6552892</v>
      </c>
      <c r="T154" s="285"/>
      <c r="U154" s="285"/>
      <c r="V154" s="285"/>
      <c r="W154" s="285"/>
      <c r="X154" s="285"/>
      <c r="Y154" s="285"/>
      <c r="Z154" s="285"/>
      <c r="AA154" s="285"/>
      <c r="AB154" s="285"/>
      <c r="AC154" s="285"/>
      <c r="AD154" s="285"/>
      <c r="AE154" s="285"/>
      <c r="AF154" s="285"/>
      <c r="AG154" s="285"/>
      <c r="AH154" s="285"/>
      <c r="AI154" s="285"/>
      <c r="AJ154" s="285"/>
      <c r="AK154" s="285"/>
      <c r="AL154" s="285"/>
      <c r="AM154" s="285"/>
      <c r="AN154" s="285"/>
      <c r="AO154" s="285"/>
      <c r="AP154" s="285"/>
      <c r="AQ154" s="285"/>
      <c r="AR154" s="285"/>
      <c r="AS154" s="285"/>
      <c r="AT154" s="285"/>
      <c r="AU154" s="285"/>
      <c r="AV154" s="285"/>
      <c r="AW154" s="285"/>
      <c r="AX154" s="285"/>
      <c r="AY154" s="285"/>
      <c r="AZ154" s="285"/>
      <c r="BA154" s="285"/>
      <c r="BB154" s="285"/>
      <c r="BC154" s="285"/>
      <c r="BD154" s="285"/>
      <c r="BE154" s="285"/>
      <c r="BF154" s="285"/>
      <c r="BG154" s="285"/>
      <c r="BH154" s="285"/>
      <c r="BI154" s="285"/>
      <c r="BJ154" s="285"/>
      <c r="BK154" s="285"/>
      <c r="BL154" s="285"/>
      <c r="BM154" s="285"/>
      <c r="BN154" s="285"/>
      <c r="BO154" s="285"/>
      <c r="BP154" s="285"/>
      <c r="BQ154" s="285"/>
      <c r="BR154" s="285"/>
      <c r="BS154" s="285"/>
      <c r="BT154" s="285"/>
      <c r="BU154" s="285"/>
      <c r="BV154" s="285"/>
      <c r="BW154" s="285"/>
      <c r="BX154" s="285"/>
      <c r="BY154" s="285"/>
      <c r="BZ154" s="285"/>
      <c r="CA154" s="285"/>
      <c r="CB154" s="285"/>
      <c r="CC154" s="285"/>
      <c r="CD154" s="285"/>
      <c r="CE154" s="285"/>
      <c r="CF154" s="285"/>
      <c r="CG154" s="285"/>
      <c r="CH154" s="285"/>
      <c r="CI154" s="285"/>
      <c r="CJ154" s="285"/>
      <c r="CK154" s="285"/>
      <c r="CL154" s="285"/>
      <c r="CM154" s="285"/>
      <c r="CN154" s="285"/>
      <c r="CO154" s="285"/>
      <c r="CP154" s="285"/>
      <c r="CQ154" s="285"/>
      <c r="CR154" s="285"/>
      <c r="CS154" s="285"/>
      <c r="CT154" s="285"/>
      <c r="CU154" s="285"/>
      <c r="CV154" s="285"/>
      <c r="CW154" s="285"/>
      <c r="CX154" s="285"/>
      <c r="CY154" s="285"/>
      <c r="CZ154" s="285"/>
      <c r="DA154" s="285"/>
      <c r="DB154" s="285"/>
      <c r="DC154" s="285"/>
      <c r="DD154" s="285"/>
      <c r="DE154" s="285"/>
      <c r="DF154" s="285"/>
      <c r="DG154" s="285"/>
      <c r="DH154" s="285"/>
      <c r="DI154" s="285"/>
      <c r="DJ154" s="285"/>
      <c r="DK154" s="285"/>
      <c r="DL154" s="285"/>
      <c r="DM154" s="285"/>
      <c r="DN154" s="285"/>
      <c r="DO154" s="285"/>
      <c r="DP154" s="285"/>
      <c r="DQ154" s="285"/>
      <c r="DR154" s="285"/>
      <c r="DS154" s="285"/>
      <c r="DT154" s="285"/>
      <c r="DU154" s="285"/>
      <c r="DV154" s="285"/>
      <c r="DW154" s="285"/>
      <c r="DX154" s="285"/>
      <c r="DY154" s="285"/>
      <c r="DZ154" s="285"/>
      <c r="EA154" s="285"/>
      <c r="EB154" s="285"/>
      <c r="EC154" s="285"/>
      <c r="ED154" s="285"/>
      <c r="EE154" s="285"/>
      <c r="EF154" s="285"/>
      <c r="EG154" s="285"/>
      <c r="EH154" s="285"/>
      <c r="EI154" s="285"/>
      <c r="EJ154" s="285"/>
      <c r="EK154" s="285"/>
      <c r="EL154" s="285"/>
      <c r="EM154" s="285"/>
      <c r="EN154" s="285"/>
      <c r="EO154" s="285"/>
      <c r="EP154" s="285"/>
      <c r="EQ154" s="285"/>
      <c r="ER154" s="285"/>
      <c r="ES154" s="285"/>
      <c r="ET154" s="285"/>
      <c r="EU154" s="285"/>
      <c r="EV154" s="285"/>
      <c r="EW154" s="285"/>
      <c r="EX154" s="285"/>
      <c r="EY154" s="285"/>
      <c r="EZ154" s="285"/>
      <c r="FA154" s="285"/>
      <c r="FB154" s="285"/>
      <c r="FC154" s="285"/>
      <c r="FD154" s="285"/>
      <c r="FE154" s="285"/>
      <c r="FF154" s="285"/>
      <c r="FG154" s="285"/>
      <c r="FH154" s="285"/>
      <c r="FI154" s="285"/>
      <c r="FJ154" s="285"/>
      <c r="FK154" s="285"/>
      <c r="FL154" s="285"/>
      <c r="FM154" s="285"/>
      <c r="FN154" s="285"/>
      <c r="FO154" s="285"/>
      <c r="FP154" s="285"/>
      <c r="FQ154" s="285"/>
      <c r="FR154" s="285"/>
      <c r="FS154" s="285"/>
      <c r="FT154" s="285"/>
      <c r="FU154" s="285"/>
      <c r="FV154" s="285"/>
      <c r="FW154" s="285"/>
      <c r="FX154" s="285"/>
      <c r="FY154" s="285"/>
      <c r="FZ154" s="285"/>
      <c r="GA154" s="285"/>
      <c r="GB154" s="285"/>
      <c r="GC154" s="285"/>
      <c r="GD154" s="285"/>
      <c r="GE154" s="285"/>
      <c r="GF154" s="285"/>
      <c r="GG154" s="285"/>
      <c r="GH154" s="285"/>
      <c r="GI154" s="285"/>
      <c r="GJ154" s="285"/>
      <c r="GK154" s="285"/>
      <c r="GL154" s="285"/>
      <c r="GM154" s="285"/>
      <c r="GN154" s="285"/>
      <c r="GO154" s="285"/>
      <c r="GP154" s="285"/>
      <c r="GQ154" s="285"/>
      <c r="GR154" s="285"/>
      <c r="GS154" s="285"/>
      <c r="GT154" s="285"/>
      <c r="GU154" s="285"/>
      <c r="GV154" s="285"/>
      <c r="GW154" s="285"/>
      <c r="GX154" s="285"/>
      <c r="GY154" s="285"/>
      <c r="GZ154" s="285"/>
    </row>
    <row r="155" spans="1:208" ht="15">
      <c r="A155" s="304">
        <v>37</v>
      </c>
      <c r="B155" s="328">
        <v>44813</v>
      </c>
      <c r="C155" s="329">
        <v>1106184</v>
      </c>
      <c r="D155" s="353" t="s">
        <v>4442</v>
      </c>
      <c r="E155" s="329" t="s">
        <v>4250</v>
      </c>
      <c r="F155" s="329" t="s">
        <v>4251</v>
      </c>
      <c r="G155" s="329">
        <v>3185</v>
      </c>
      <c r="H155" s="304">
        <v>70</v>
      </c>
      <c r="I155" s="304">
        <v>4502408606</v>
      </c>
      <c r="J155" s="329">
        <v>3025457</v>
      </c>
      <c r="K155" s="304">
        <v>4902343227</v>
      </c>
      <c r="L155" s="304" t="s">
        <v>4252</v>
      </c>
      <c r="M155" s="309">
        <v>35537</v>
      </c>
      <c r="N155" s="329">
        <v>7750</v>
      </c>
      <c r="O155" s="306">
        <f t="shared" si="24"/>
        <v>275411750</v>
      </c>
      <c r="P155" s="304">
        <f t="shared" si="28"/>
        <v>5</v>
      </c>
      <c r="Q155" s="331" t="s">
        <v>3455</v>
      </c>
      <c r="R155" s="304">
        <v>1040968</v>
      </c>
      <c r="S155" s="311">
        <v>15090800</v>
      </c>
      <c r="T155" s="307"/>
      <c r="U155" s="307"/>
      <c r="V155" s="307"/>
      <c r="W155" s="307"/>
      <c r="X155" s="307"/>
      <c r="Y155" s="307"/>
      <c r="Z155" s="307"/>
      <c r="AA155" s="307"/>
      <c r="AB155" s="307"/>
      <c r="AC155" s="307"/>
      <c r="AD155" s="307"/>
      <c r="AE155" s="307"/>
      <c r="AF155" s="307"/>
      <c r="AG155" s="307"/>
      <c r="AH155" s="307"/>
      <c r="AI155" s="307"/>
      <c r="AJ155" s="307"/>
      <c r="AK155" s="307"/>
      <c r="AL155" s="307"/>
      <c r="AM155" s="307"/>
      <c r="AN155" s="307"/>
      <c r="AO155" s="307"/>
      <c r="AP155" s="307"/>
      <c r="AQ155" s="307"/>
      <c r="AR155" s="307"/>
      <c r="AS155" s="307"/>
      <c r="AT155" s="307"/>
      <c r="AU155" s="307"/>
      <c r="AV155" s="307"/>
      <c r="AW155" s="307"/>
      <c r="AX155" s="307"/>
      <c r="AY155" s="307"/>
      <c r="AZ155" s="307"/>
      <c r="BA155" s="307"/>
      <c r="BB155" s="307"/>
      <c r="BC155" s="307"/>
      <c r="BD155" s="307"/>
      <c r="BE155" s="307"/>
      <c r="BF155" s="307"/>
      <c r="BG155" s="307"/>
      <c r="BH155" s="307"/>
      <c r="BI155" s="307"/>
      <c r="BJ155" s="307"/>
      <c r="BK155" s="307"/>
      <c r="BL155" s="307"/>
      <c r="BM155" s="307"/>
      <c r="BN155" s="307"/>
      <c r="BO155" s="307"/>
      <c r="BP155" s="307"/>
      <c r="BQ155" s="307"/>
      <c r="BR155" s="307"/>
      <c r="BS155" s="307"/>
      <c r="BT155" s="307"/>
      <c r="BU155" s="307"/>
      <c r="BV155" s="307"/>
      <c r="BW155" s="307"/>
      <c r="BX155" s="307"/>
      <c r="BY155" s="307"/>
      <c r="BZ155" s="307"/>
      <c r="CA155" s="307"/>
      <c r="CB155" s="307"/>
      <c r="CC155" s="307"/>
      <c r="CD155" s="307"/>
      <c r="CE155" s="307"/>
      <c r="CF155" s="307"/>
      <c r="CG155" s="307"/>
      <c r="CH155" s="307"/>
      <c r="CI155" s="307"/>
      <c r="CJ155" s="307"/>
      <c r="CK155" s="307"/>
      <c r="CL155" s="307"/>
      <c r="CM155" s="307"/>
      <c r="CN155" s="307"/>
      <c r="CO155" s="307"/>
      <c r="CP155" s="307"/>
      <c r="CQ155" s="307"/>
      <c r="CR155" s="307"/>
      <c r="CS155" s="307"/>
      <c r="CT155" s="307"/>
      <c r="CU155" s="307"/>
      <c r="CV155" s="307"/>
      <c r="CW155" s="307"/>
      <c r="CX155" s="307"/>
      <c r="CY155" s="307"/>
      <c r="CZ155" s="307"/>
      <c r="DA155" s="307"/>
      <c r="DB155" s="307"/>
      <c r="DC155" s="307"/>
      <c r="DD155" s="307"/>
      <c r="DE155" s="307"/>
      <c r="DF155" s="307"/>
      <c r="DG155" s="307"/>
      <c r="DH155" s="307"/>
      <c r="DI155" s="307"/>
      <c r="DJ155" s="307"/>
      <c r="DK155" s="307"/>
      <c r="DL155" s="307"/>
      <c r="DM155" s="307"/>
      <c r="DN155" s="307"/>
      <c r="DO155" s="307"/>
      <c r="DP155" s="307"/>
      <c r="DQ155" s="307"/>
      <c r="DR155" s="307"/>
      <c r="DS155" s="307"/>
      <c r="DT155" s="307"/>
      <c r="DU155" s="307"/>
      <c r="DV155" s="307"/>
      <c r="DW155" s="307"/>
      <c r="DX155" s="307"/>
      <c r="DY155" s="307"/>
      <c r="DZ155" s="307"/>
      <c r="EA155" s="307"/>
      <c r="EB155" s="307"/>
      <c r="EC155" s="307"/>
      <c r="ED155" s="307"/>
      <c r="EE155" s="307"/>
      <c r="EF155" s="307"/>
      <c r="EG155" s="307"/>
      <c r="EH155" s="307"/>
      <c r="EI155" s="307"/>
      <c r="EJ155" s="307"/>
      <c r="EK155" s="307"/>
      <c r="EL155" s="307"/>
      <c r="EM155" s="307"/>
      <c r="EN155" s="307"/>
      <c r="EO155" s="307"/>
      <c r="EP155" s="307"/>
      <c r="EQ155" s="307"/>
      <c r="ER155" s="307"/>
      <c r="ES155" s="307"/>
      <c r="ET155" s="307"/>
      <c r="EU155" s="307"/>
      <c r="EV155" s="307"/>
      <c r="EW155" s="307"/>
      <c r="EX155" s="307"/>
      <c r="EY155" s="307"/>
      <c r="EZ155" s="307"/>
      <c r="FA155" s="307"/>
      <c r="FB155" s="307"/>
      <c r="FC155" s="307"/>
      <c r="FD155" s="307"/>
      <c r="FE155" s="307"/>
      <c r="FF155" s="307"/>
      <c r="FG155" s="307"/>
      <c r="FH155" s="307"/>
      <c r="FI155" s="307"/>
      <c r="FJ155" s="307"/>
      <c r="FK155" s="307"/>
      <c r="FL155" s="307"/>
      <c r="FM155" s="307"/>
      <c r="FN155" s="307"/>
      <c r="FO155" s="307"/>
      <c r="FP155" s="307"/>
      <c r="FQ155" s="307"/>
      <c r="FR155" s="307"/>
      <c r="FS155" s="307"/>
      <c r="FT155" s="307"/>
      <c r="FU155" s="307"/>
      <c r="FV155" s="307"/>
      <c r="FW155" s="307"/>
      <c r="FX155" s="307"/>
      <c r="FY155" s="307"/>
      <c r="FZ155" s="307"/>
      <c r="GA155" s="307"/>
      <c r="GB155" s="307"/>
      <c r="GC155" s="307"/>
      <c r="GD155" s="307"/>
      <c r="GE155" s="307"/>
      <c r="GF155" s="307"/>
      <c r="GG155" s="307"/>
      <c r="GH155" s="307"/>
      <c r="GI155" s="307"/>
      <c r="GJ155" s="307"/>
      <c r="GK155" s="307"/>
      <c r="GL155" s="307"/>
      <c r="GM155" s="307"/>
      <c r="GN155" s="307"/>
      <c r="GO155" s="307"/>
      <c r="GP155" s="307"/>
      <c r="GQ155" s="307"/>
      <c r="GR155" s="307"/>
      <c r="GS155" s="307"/>
      <c r="GT155" s="307"/>
      <c r="GU155" s="307"/>
      <c r="GV155" s="307"/>
      <c r="GW155" s="307"/>
      <c r="GX155" s="307"/>
      <c r="GY155" s="307"/>
      <c r="GZ155" s="307"/>
    </row>
    <row r="156" spans="1:208" ht="15">
      <c r="A156" s="304">
        <v>37</v>
      </c>
      <c r="B156" s="328">
        <v>44813</v>
      </c>
      <c r="C156" s="329">
        <v>1053331</v>
      </c>
      <c r="D156" s="353" t="s">
        <v>4443</v>
      </c>
      <c r="E156" s="329" t="s">
        <v>4416</v>
      </c>
      <c r="F156" s="329" t="s">
        <v>4275</v>
      </c>
      <c r="G156" s="329">
        <v>3178</v>
      </c>
      <c r="H156" s="304">
        <v>42</v>
      </c>
      <c r="I156" s="304">
        <v>4502408608</v>
      </c>
      <c r="J156" s="353">
        <v>3025459</v>
      </c>
      <c r="K156" s="304">
        <v>4902343228</v>
      </c>
      <c r="L156" s="304" t="s">
        <v>4252</v>
      </c>
      <c r="M156" s="309">
        <v>19867</v>
      </c>
      <c r="N156" s="329">
        <v>7800</v>
      </c>
      <c r="O156" s="306">
        <f t="shared" si="24"/>
        <v>154962600</v>
      </c>
      <c r="P156" s="304">
        <f t="shared" si="28"/>
        <v>3</v>
      </c>
      <c r="Q156" s="331" t="s">
        <v>4266</v>
      </c>
      <c r="R156" s="304">
        <v>1004892</v>
      </c>
      <c r="S156" s="311">
        <v>4792500</v>
      </c>
      <c r="T156" s="307"/>
      <c r="U156" s="307"/>
      <c r="V156" s="307"/>
      <c r="W156" s="307"/>
      <c r="X156" s="307"/>
      <c r="Y156" s="307"/>
      <c r="Z156" s="307"/>
      <c r="AA156" s="307"/>
      <c r="AB156" s="307"/>
      <c r="AC156" s="307"/>
      <c r="AD156" s="307"/>
      <c r="AE156" s="307"/>
      <c r="AF156" s="307"/>
      <c r="AG156" s="307"/>
      <c r="AH156" s="307"/>
      <c r="AI156" s="307"/>
      <c r="AJ156" s="307"/>
      <c r="AK156" s="307"/>
      <c r="AL156" s="307"/>
      <c r="AM156" s="307"/>
      <c r="AN156" s="307"/>
      <c r="AO156" s="307"/>
      <c r="AP156" s="307"/>
      <c r="AQ156" s="307"/>
      <c r="AR156" s="307"/>
      <c r="AS156" s="307"/>
      <c r="AT156" s="307"/>
      <c r="AU156" s="307"/>
      <c r="AV156" s="307"/>
      <c r="AW156" s="307"/>
      <c r="AX156" s="307"/>
      <c r="AY156" s="307"/>
      <c r="AZ156" s="307"/>
      <c r="BA156" s="307"/>
      <c r="BB156" s="307"/>
      <c r="BC156" s="307"/>
      <c r="BD156" s="307"/>
      <c r="BE156" s="307"/>
      <c r="BF156" s="307"/>
      <c r="BG156" s="307"/>
      <c r="BH156" s="307"/>
      <c r="BI156" s="307"/>
      <c r="BJ156" s="307"/>
      <c r="BK156" s="307"/>
      <c r="BL156" s="307"/>
      <c r="BM156" s="307"/>
      <c r="BN156" s="307"/>
      <c r="BO156" s="307"/>
      <c r="BP156" s="307"/>
      <c r="BQ156" s="307"/>
      <c r="BR156" s="307"/>
      <c r="BS156" s="307"/>
      <c r="BT156" s="307"/>
      <c r="BU156" s="307"/>
      <c r="BV156" s="307"/>
      <c r="BW156" s="307"/>
      <c r="BX156" s="307"/>
      <c r="BY156" s="307"/>
      <c r="BZ156" s="307"/>
      <c r="CA156" s="307"/>
      <c r="CB156" s="307"/>
      <c r="CC156" s="307"/>
      <c r="CD156" s="307"/>
      <c r="CE156" s="307"/>
      <c r="CF156" s="307"/>
      <c r="CG156" s="307"/>
      <c r="CH156" s="307"/>
      <c r="CI156" s="307"/>
      <c r="CJ156" s="307"/>
      <c r="CK156" s="307"/>
      <c r="CL156" s="307"/>
      <c r="CM156" s="307"/>
      <c r="CN156" s="307"/>
      <c r="CO156" s="307"/>
      <c r="CP156" s="307"/>
      <c r="CQ156" s="307"/>
      <c r="CR156" s="307"/>
      <c r="CS156" s="307"/>
      <c r="CT156" s="307"/>
      <c r="CU156" s="307"/>
      <c r="CV156" s="307"/>
      <c r="CW156" s="307"/>
      <c r="CX156" s="307"/>
      <c r="CY156" s="307"/>
      <c r="CZ156" s="307"/>
      <c r="DA156" s="307"/>
      <c r="DB156" s="307"/>
      <c r="DC156" s="307"/>
      <c r="DD156" s="307"/>
      <c r="DE156" s="307"/>
      <c r="DF156" s="307"/>
      <c r="DG156" s="307"/>
      <c r="DH156" s="307"/>
      <c r="DI156" s="307"/>
      <c r="DJ156" s="307"/>
      <c r="DK156" s="307"/>
      <c r="DL156" s="307"/>
      <c r="DM156" s="307"/>
      <c r="DN156" s="307"/>
      <c r="DO156" s="307"/>
      <c r="DP156" s="307"/>
      <c r="DQ156" s="307"/>
      <c r="DR156" s="307"/>
      <c r="DS156" s="307"/>
      <c r="DT156" s="307"/>
      <c r="DU156" s="307"/>
      <c r="DV156" s="307"/>
      <c r="DW156" s="307"/>
      <c r="DX156" s="307"/>
      <c r="DY156" s="307"/>
      <c r="DZ156" s="307"/>
      <c r="EA156" s="307"/>
      <c r="EB156" s="307"/>
      <c r="EC156" s="307"/>
      <c r="ED156" s="307"/>
      <c r="EE156" s="307"/>
      <c r="EF156" s="307"/>
      <c r="EG156" s="307"/>
      <c r="EH156" s="307"/>
      <c r="EI156" s="307"/>
      <c r="EJ156" s="307"/>
      <c r="EK156" s="307"/>
      <c r="EL156" s="307"/>
      <c r="EM156" s="307"/>
      <c r="EN156" s="307"/>
      <c r="EO156" s="307"/>
      <c r="EP156" s="307"/>
      <c r="EQ156" s="307"/>
      <c r="ER156" s="307"/>
      <c r="ES156" s="307"/>
      <c r="ET156" s="307"/>
      <c r="EU156" s="307"/>
      <c r="EV156" s="307"/>
      <c r="EW156" s="307"/>
      <c r="EX156" s="307"/>
      <c r="EY156" s="307"/>
      <c r="EZ156" s="307"/>
      <c r="FA156" s="307"/>
      <c r="FB156" s="307"/>
      <c r="FC156" s="307"/>
      <c r="FD156" s="307"/>
      <c r="FE156" s="307"/>
      <c r="FF156" s="307"/>
      <c r="FG156" s="307"/>
      <c r="FH156" s="307"/>
      <c r="FI156" s="307"/>
      <c r="FJ156" s="307"/>
      <c r="FK156" s="307"/>
      <c r="FL156" s="307"/>
      <c r="FM156" s="307"/>
      <c r="FN156" s="307"/>
      <c r="FO156" s="307"/>
      <c r="FP156" s="307"/>
      <c r="FQ156" s="307"/>
      <c r="FR156" s="307"/>
      <c r="FS156" s="307"/>
      <c r="FT156" s="307"/>
      <c r="FU156" s="307"/>
      <c r="FV156" s="307"/>
      <c r="FW156" s="307"/>
      <c r="FX156" s="307"/>
      <c r="FY156" s="307"/>
      <c r="FZ156" s="307"/>
      <c r="GA156" s="307"/>
      <c r="GB156" s="307"/>
      <c r="GC156" s="307"/>
      <c r="GD156" s="307"/>
      <c r="GE156" s="307"/>
      <c r="GF156" s="307"/>
      <c r="GG156" s="307"/>
      <c r="GH156" s="307"/>
      <c r="GI156" s="307"/>
      <c r="GJ156" s="307"/>
      <c r="GK156" s="307"/>
      <c r="GL156" s="307"/>
      <c r="GM156" s="307"/>
      <c r="GN156" s="307"/>
      <c r="GO156" s="307"/>
      <c r="GP156" s="307"/>
      <c r="GQ156" s="307"/>
      <c r="GR156" s="307"/>
      <c r="GS156" s="307"/>
      <c r="GT156" s="307"/>
      <c r="GU156" s="307"/>
      <c r="GV156" s="307"/>
      <c r="GW156" s="307"/>
      <c r="GX156" s="307"/>
      <c r="GY156" s="307"/>
      <c r="GZ156" s="307"/>
    </row>
    <row r="157" spans="1:208" ht="15">
      <c r="A157" s="304">
        <v>37</v>
      </c>
      <c r="B157" s="328">
        <v>44814</v>
      </c>
      <c r="C157" s="329">
        <v>1114249</v>
      </c>
      <c r="D157" s="353" t="s">
        <v>4444</v>
      </c>
      <c r="E157" s="329" t="s">
        <v>4352</v>
      </c>
      <c r="F157" s="329" t="s">
        <v>4251</v>
      </c>
      <c r="G157" s="329">
        <v>3158</v>
      </c>
      <c r="H157" s="304">
        <v>28</v>
      </c>
      <c r="I157" s="304">
        <v>4502408609</v>
      </c>
      <c r="J157" s="329">
        <v>3025457</v>
      </c>
      <c r="K157" s="304">
        <v>4902343230</v>
      </c>
      <c r="L157" s="304" t="s">
        <v>4252</v>
      </c>
      <c r="M157" s="309">
        <v>14814</v>
      </c>
      <c r="N157" s="329">
        <v>7600</v>
      </c>
      <c r="O157" s="306">
        <f t="shared" si="24"/>
        <v>112586400</v>
      </c>
      <c r="P157" s="304">
        <f t="shared" si="28"/>
        <v>2</v>
      </c>
      <c r="Q157" s="331" t="s">
        <v>3455</v>
      </c>
      <c r="R157" s="304">
        <v>1040968</v>
      </c>
      <c r="S157" s="307">
        <v>7124600</v>
      </c>
      <c r="T157" s="307"/>
      <c r="U157" s="307"/>
      <c r="V157" s="307"/>
      <c r="W157" s="307"/>
      <c r="X157" s="307"/>
      <c r="Y157" s="307"/>
      <c r="Z157" s="307"/>
      <c r="AA157" s="307"/>
      <c r="AB157" s="307"/>
      <c r="AC157" s="307"/>
      <c r="AD157" s="307"/>
      <c r="AE157" s="307"/>
      <c r="AF157" s="307"/>
      <c r="AG157" s="307"/>
      <c r="AH157" s="307"/>
      <c r="AI157" s="307"/>
      <c r="AJ157" s="307"/>
      <c r="AK157" s="307"/>
      <c r="AL157" s="307"/>
      <c r="AM157" s="307"/>
      <c r="AN157" s="307"/>
      <c r="AO157" s="307"/>
      <c r="AP157" s="307"/>
      <c r="AQ157" s="307"/>
      <c r="AR157" s="307"/>
      <c r="AS157" s="307"/>
      <c r="AT157" s="307"/>
      <c r="AU157" s="307"/>
      <c r="AV157" s="307"/>
      <c r="AW157" s="307"/>
      <c r="AX157" s="307"/>
      <c r="AY157" s="307"/>
      <c r="AZ157" s="307"/>
      <c r="BA157" s="307"/>
      <c r="BB157" s="307"/>
      <c r="BC157" s="307"/>
      <c r="BD157" s="307"/>
      <c r="BE157" s="307"/>
      <c r="BF157" s="307"/>
      <c r="BG157" s="307"/>
      <c r="BH157" s="307"/>
      <c r="BI157" s="307"/>
      <c r="BJ157" s="307"/>
      <c r="BK157" s="307"/>
      <c r="BL157" s="307"/>
      <c r="BM157" s="307"/>
      <c r="BN157" s="307"/>
      <c r="BO157" s="307"/>
      <c r="BP157" s="307"/>
      <c r="BQ157" s="307"/>
      <c r="BR157" s="307"/>
      <c r="BS157" s="307"/>
      <c r="BT157" s="307"/>
      <c r="BU157" s="307"/>
      <c r="BV157" s="307"/>
      <c r="BW157" s="307"/>
      <c r="BX157" s="307"/>
      <c r="BY157" s="307"/>
      <c r="BZ157" s="307"/>
      <c r="CA157" s="307"/>
      <c r="CB157" s="307"/>
      <c r="CC157" s="307"/>
      <c r="CD157" s="307"/>
      <c r="CE157" s="307"/>
      <c r="CF157" s="307"/>
      <c r="CG157" s="307"/>
      <c r="CH157" s="307"/>
      <c r="CI157" s="307"/>
      <c r="CJ157" s="307"/>
      <c r="CK157" s="307"/>
      <c r="CL157" s="307"/>
      <c r="CM157" s="307"/>
      <c r="CN157" s="307"/>
      <c r="CO157" s="307"/>
      <c r="CP157" s="307"/>
      <c r="CQ157" s="307"/>
      <c r="CR157" s="307"/>
      <c r="CS157" s="307"/>
      <c r="CT157" s="307"/>
      <c r="CU157" s="307"/>
      <c r="CV157" s="307"/>
      <c r="CW157" s="307"/>
      <c r="CX157" s="307"/>
      <c r="CY157" s="307"/>
      <c r="CZ157" s="307"/>
      <c r="DA157" s="307"/>
      <c r="DB157" s="307"/>
      <c r="DC157" s="307"/>
      <c r="DD157" s="307"/>
      <c r="DE157" s="307"/>
      <c r="DF157" s="307"/>
      <c r="DG157" s="307"/>
      <c r="DH157" s="307"/>
      <c r="DI157" s="307"/>
      <c r="DJ157" s="307"/>
      <c r="DK157" s="307"/>
      <c r="DL157" s="307"/>
      <c r="DM157" s="307"/>
      <c r="DN157" s="307"/>
      <c r="DO157" s="307"/>
      <c r="DP157" s="307"/>
      <c r="DQ157" s="307"/>
      <c r="DR157" s="307"/>
      <c r="DS157" s="307"/>
      <c r="DT157" s="307"/>
      <c r="DU157" s="307"/>
      <c r="DV157" s="307"/>
      <c r="DW157" s="307"/>
      <c r="DX157" s="307"/>
      <c r="DY157" s="307"/>
      <c r="DZ157" s="307"/>
      <c r="EA157" s="307"/>
      <c r="EB157" s="307"/>
      <c r="EC157" s="307"/>
      <c r="ED157" s="307"/>
      <c r="EE157" s="307"/>
      <c r="EF157" s="307"/>
      <c r="EG157" s="307"/>
      <c r="EH157" s="307"/>
      <c r="EI157" s="307"/>
      <c r="EJ157" s="307"/>
      <c r="EK157" s="307"/>
      <c r="EL157" s="307"/>
      <c r="EM157" s="307"/>
      <c r="EN157" s="307"/>
      <c r="EO157" s="307"/>
      <c r="EP157" s="307"/>
      <c r="EQ157" s="307"/>
      <c r="ER157" s="307"/>
      <c r="ES157" s="307"/>
      <c r="ET157" s="307"/>
      <c r="EU157" s="307"/>
      <c r="EV157" s="307"/>
      <c r="EW157" s="307"/>
      <c r="EX157" s="307"/>
      <c r="EY157" s="307"/>
      <c r="EZ157" s="307"/>
      <c r="FA157" s="307"/>
      <c r="FB157" s="307"/>
      <c r="FC157" s="307"/>
      <c r="FD157" s="307"/>
      <c r="FE157" s="307"/>
      <c r="FF157" s="307"/>
      <c r="FG157" s="307"/>
      <c r="FH157" s="307"/>
      <c r="FI157" s="307"/>
      <c r="FJ157" s="307"/>
      <c r="FK157" s="307"/>
      <c r="FL157" s="307"/>
      <c r="FM157" s="307"/>
      <c r="FN157" s="307"/>
      <c r="FO157" s="307"/>
      <c r="FP157" s="307"/>
      <c r="FQ157" s="307"/>
      <c r="FR157" s="307"/>
      <c r="FS157" s="307"/>
      <c r="FT157" s="307"/>
      <c r="FU157" s="307"/>
      <c r="FV157" s="307"/>
      <c r="FW157" s="307"/>
      <c r="FX157" s="307"/>
      <c r="FY157" s="307"/>
      <c r="FZ157" s="307"/>
      <c r="GA157" s="307"/>
      <c r="GB157" s="307"/>
      <c r="GC157" s="307"/>
      <c r="GD157" s="307"/>
      <c r="GE157" s="307"/>
      <c r="GF157" s="307"/>
      <c r="GG157" s="307"/>
      <c r="GH157" s="307"/>
      <c r="GI157" s="307"/>
      <c r="GJ157" s="307"/>
      <c r="GK157" s="307"/>
      <c r="GL157" s="307"/>
      <c r="GM157" s="307"/>
      <c r="GN157" s="307"/>
      <c r="GO157" s="307"/>
      <c r="GP157" s="307"/>
      <c r="GQ157" s="307"/>
      <c r="GR157" s="307"/>
      <c r="GS157" s="307"/>
      <c r="GT157" s="307"/>
      <c r="GU157" s="307"/>
      <c r="GV157" s="307"/>
      <c r="GW157" s="307"/>
      <c r="GX157" s="307"/>
      <c r="GY157" s="307"/>
      <c r="GZ157" s="307"/>
    </row>
    <row r="158" spans="1:208" ht="15">
      <c r="A158" s="304">
        <v>37</v>
      </c>
      <c r="B158" s="328">
        <v>44815</v>
      </c>
      <c r="C158" s="329">
        <v>1076469</v>
      </c>
      <c r="D158" s="353" t="s">
        <v>4445</v>
      </c>
      <c r="E158" s="329" t="s">
        <v>4408</v>
      </c>
      <c r="F158" s="329" t="s">
        <v>4275</v>
      </c>
      <c r="G158" s="329">
        <v>3179</v>
      </c>
      <c r="H158" s="304">
        <v>56</v>
      </c>
      <c r="I158" s="304">
        <v>4502408610</v>
      </c>
      <c r="J158" s="353">
        <v>3025459</v>
      </c>
      <c r="K158" s="304">
        <v>4902343231</v>
      </c>
      <c r="L158" s="304" t="s">
        <v>4252</v>
      </c>
      <c r="M158" s="309">
        <v>28943</v>
      </c>
      <c r="N158" s="329">
        <v>7800</v>
      </c>
      <c r="O158" s="306">
        <f t="shared" si="24"/>
        <v>225755400</v>
      </c>
      <c r="P158" s="304">
        <f t="shared" si="28"/>
        <v>4</v>
      </c>
      <c r="Q158" s="331" t="s">
        <v>3455</v>
      </c>
      <c r="R158" s="304">
        <v>1040968</v>
      </c>
      <c r="S158" s="307">
        <v>7084400</v>
      </c>
      <c r="T158" s="307"/>
      <c r="U158" s="307"/>
      <c r="V158" s="307"/>
      <c r="W158" s="307"/>
      <c r="X158" s="307"/>
      <c r="Y158" s="307"/>
      <c r="Z158" s="307"/>
      <c r="AA158" s="307"/>
      <c r="AB158" s="307"/>
      <c r="AC158" s="307"/>
      <c r="AD158" s="307"/>
      <c r="AE158" s="307"/>
      <c r="AF158" s="307"/>
      <c r="AG158" s="307"/>
      <c r="AH158" s="307"/>
      <c r="AI158" s="307"/>
      <c r="AJ158" s="307"/>
      <c r="AK158" s="307"/>
      <c r="AL158" s="307"/>
      <c r="AM158" s="307"/>
      <c r="AN158" s="307"/>
      <c r="AO158" s="307"/>
      <c r="AP158" s="307"/>
      <c r="AQ158" s="307"/>
      <c r="AR158" s="307"/>
      <c r="AS158" s="307"/>
      <c r="AT158" s="307"/>
      <c r="AU158" s="307"/>
      <c r="AV158" s="307"/>
      <c r="AW158" s="307"/>
      <c r="AX158" s="307"/>
      <c r="AY158" s="307"/>
      <c r="AZ158" s="307"/>
      <c r="BA158" s="307"/>
      <c r="BB158" s="307"/>
      <c r="BC158" s="307"/>
      <c r="BD158" s="307"/>
      <c r="BE158" s="307"/>
      <c r="BF158" s="307"/>
      <c r="BG158" s="307"/>
      <c r="BH158" s="307"/>
      <c r="BI158" s="307"/>
      <c r="BJ158" s="307"/>
      <c r="BK158" s="307"/>
      <c r="BL158" s="307"/>
      <c r="BM158" s="307"/>
      <c r="BN158" s="307"/>
      <c r="BO158" s="307"/>
      <c r="BP158" s="307"/>
      <c r="BQ158" s="307"/>
      <c r="BR158" s="307"/>
      <c r="BS158" s="307"/>
      <c r="BT158" s="307"/>
      <c r="BU158" s="307"/>
      <c r="BV158" s="307"/>
      <c r="BW158" s="307"/>
      <c r="BX158" s="307"/>
      <c r="BY158" s="307"/>
      <c r="BZ158" s="307"/>
      <c r="CA158" s="307"/>
      <c r="CB158" s="307"/>
      <c r="CC158" s="307"/>
      <c r="CD158" s="307"/>
      <c r="CE158" s="307"/>
      <c r="CF158" s="307"/>
      <c r="CG158" s="307"/>
      <c r="CH158" s="307"/>
      <c r="CI158" s="307"/>
      <c r="CJ158" s="307"/>
      <c r="CK158" s="307"/>
      <c r="CL158" s="307"/>
      <c r="CM158" s="307"/>
      <c r="CN158" s="307"/>
      <c r="CO158" s="307"/>
      <c r="CP158" s="307"/>
      <c r="CQ158" s="307"/>
      <c r="CR158" s="307"/>
      <c r="CS158" s="307"/>
      <c r="CT158" s="307"/>
      <c r="CU158" s="307"/>
      <c r="CV158" s="307"/>
      <c r="CW158" s="307"/>
      <c r="CX158" s="307"/>
      <c r="CY158" s="307"/>
      <c r="CZ158" s="307"/>
      <c r="DA158" s="307"/>
      <c r="DB158" s="307"/>
      <c r="DC158" s="307"/>
      <c r="DD158" s="307"/>
      <c r="DE158" s="307"/>
      <c r="DF158" s="307"/>
      <c r="DG158" s="307"/>
      <c r="DH158" s="307"/>
      <c r="DI158" s="307"/>
      <c r="DJ158" s="307"/>
      <c r="DK158" s="307"/>
      <c r="DL158" s="307"/>
      <c r="DM158" s="307"/>
      <c r="DN158" s="307"/>
      <c r="DO158" s="307"/>
      <c r="DP158" s="307"/>
      <c r="DQ158" s="307"/>
      <c r="DR158" s="307"/>
      <c r="DS158" s="307"/>
      <c r="DT158" s="307"/>
      <c r="DU158" s="307"/>
      <c r="DV158" s="307"/>
      <c r="DW158" s="307"/>
      <c r="DX158" s="307"/>
      <c r="DY158" s="307"/>
      <c r="DZ158" s="307"/>
      <c r="EA158" s="307"/>
      <c r="EB158" s="307"/>
      <c r="EC158" s="307"/>
      <c r="ED158" s="307"/>
      <c r="EE158" s="307"/>
      <c r="EF158" s="307"/>
      <c r="EG158" s="307"/>
      <c r="EH158" s="307"/>
      <c r="EI158" s="307"/>
      <c r="EJ158" s="307"/>
      <c r="EK158" s="307"/>
      <c r="EL158" s="307"/>
      <c r="EM158" s="307"/>
      <c r="EN158" s="307"/>
      <c r="EO158" s="307"/>
      <c r="EP158" s="307"/>
      <c r="EQ158" s="307"/>
      <c r="ER158" s="307"/>
      <c r="ES158" s="307"/>
      <c r="ET158" s="307"/>
      <c r="EU158" s="307"/>
      <c r="EV158" s="307"/>
      <c r="EW158" s="307"/>
      <c r="EX158" s="307"/>
      <c r="EY158" s="307"/>
      <c r="EZ158" s="307"/>
      <c r="FA158" s="307"/>
      <c r="FB158" s="307"/>
      <c r="FC158" s="307"/>
      <c r="FD158" s="307"/>
      <c r="FE158" s="307"/>
      <c r="FF158" s="307"/>
      <c r="FG158" s="307"/>
      <c r="FH158" s="307"/>
      <c r="FI158" s="307"/>
      <c r="FJ158" s="307"/>
      <c r="FK158" s="307"/>
      <c r="FL158" s="307"/>
      <c r="FM158" s="307"/>
      <c r="FN158" s="307"/>
      <c r="FO158" s="307"/>
      <c r="FP158" s="307"/>
      <c r="FQ158" s="307"/>
      <c r="FR158" s="307"/>
      <c r="FS158" s="307"/>
      <c r="FT158" s="307"/>
      <c r="FU158" s="307"/>
      <c r="FV158" s="307"/>
      <c r="FW158" s="307"/>
      <c r="FX158" s="307"/>
      <c r="FY158" s="307"/>
      <c r="FZ158" s="307"/>
      <c r="GA158" s="307"/>
      <c r="GB158" s="307"/>
      <c r="GC158" s="307"/>
      <c r="GD158" s="307"/>
      <c r="GE158" s="307"/>
      <c r="GF158" s="307"/>
      <c r="GG158" s="307"/>
      <c r="GH158" s="307"/>
      <c r="GI158" s="307"/>
      <c r="GJ158" s="307"/>
      <c r="GK158" s="307"/>
      <c r="GL158" s="307"/>
      <c r="GM158" s="307"/>
      <c r="GN158" s="307"/>
      <c r="GO158" s="307"/>
      <c r="GP158" s="307"/>
      <c r="GQ158" s="307"/>
      <c r="GR158" s="307"/>
      <c r="GS158" s="307"/>
      <c r="GT158" s="307"/>
      <c r="GU158" s="307"/>
      <c r="GV158" s="307"/>
      <c r="GW158" s="307"/>
      <c r="GX158" s="307"/>
      <c r="GY158" s="307"/>
      <c r="GZ158" s="307"/>
    </row>
    <row r="159" spans="1:208" ht="15">
      <c r="A159" s="304">
        <v>37</v>
      </c>
      <c r="B159" s="328">
        <v>44816</v>
      </c>
      <c r="C159" s="329">
        <v>1053331</v>
      </c>
      <c r="D159" s="353" t="s">
        <v>4446</v>
      </c>
      <c r="E159" s="329" t="s">
        <v>4416</v>
      </c>
      <c r="F159" s="329" t="s">
        <v>4275</v>
      </c>
      <c r="G159" s="329">
        <v>3178</v>
      </c>
      <c r="H159" s="304">
        <v>42</v>
      </c>
      <c r="I159" s="304">
        <v>4502408612</v>
      </c>
      <c r="J159" s="353">
        <v>3025459</v>
      </c>
      <c r="K159" s="304">
        <v>4902343232</v>
      </c>
      <c r="L159" s="304" t="s">
        <v>4252</v>
      </c>
      <c r="M159" s="309">
        <v>20969</v>
      </c>
      <c r="N159" s="329">
        <v>7800</v>
      </c>
      <c r="O159" s="306">
        <f t="shared" si="24"/>
        <v>163558200</v>
      </c>
      <c r="P159" s="304">
        <f t="shared" si="28"/>
        <v>3</v>
      </c>
      <c r="Q159" s="331" t="s">
        <v>3455</v>
      </c>
      <c r="R159" s="304">
        <v>1040968</v>
      </c>
      <c r="S159" s="311">
        <v>5381700</v>
      </c>
      <c r="T159" s="307"/>
      <c r="U159" s="307"/>
      <c r="V159" s="307"/>
      <c r="W159" s="307"/>
      <c r="X159" s="307"/>
      <c r="Y159" s="307"/>
      <c r="Z159" s="307"/>
      <c r="AA159" s="307"/>
      <c r="AB159" s="307"/>
      <c r="AC159" s="307"/>
      <c r="AD159" s="307"/>
      <c r="AE159" s="307"/>
      <c r="AF159" s="307"/>
      <c r="AG159" s="307"/>
      <c r="AH159" s="307"/>
      <c r="AI159" s="307"/>
      <c r="AJ159" s="307"/>
      <c r="AK159" s="307"/>
      <c r="AL159" s="307"/>
      <c r="AM159" s="307"/>
      <c r="AN159" s="307"/>
      <c r="AO159" s="307"/>
      <c r="AP159" s="307"/>
      <c r="AQ159" s="307"/>
      <c r="AR159" s="307"/>
      <c r="AS159" s="307"/>
      <c r="AT159" s="307"/>
      <c r="AU159" s="307"/>
      <c r="AV159" s="307"/>
      <c r="AW159" s="307"/>
      <c r="AX159" s="307"/>
      <c r="AY159" s="307"/>
      <c r="AZ159" s="307"/>
      <c r="BA159" s="307"/>
      <c r="BB159" s="307"/>
      <c r="BC159" s="307"/>
      <c r="BD159" s="307"/>
      <c r="BE159" s="307"/>
      <c r="BF159" s="307"/>
      <c r="BG159" s="307"/>
      <c r="BH159" s="307"/>
      <c r="BI159" s="307"/>
      <c r="BJ159" s="307"/>
      <c r="BK159" s="307"/>
      <c r="BL159" s="307"/>
      <c r="BM159" s="307"/>
      <c r="BN159" s="307"/>
      <c r="BO159" s="307"/>
      <c r="BP159" s="307"/>
      <c r="BQ159" s="307"/>
      <c r="BR159" s="307"/>
      <c r="BS159" s="307"/>
      <c r="BT159" s="307"/>
      <c r="BU159" s="307"/>
      <c r="BV159" s="307"/>
      <c r="BW159" s="307"/>
      <c r="BX159" s="307"/>
      <c r="BY159" s="307"/>
      <c r="BZ159" s="307"/>
      <c r="CA159" s="307"/>
      <c r="CB159" s="307"/>
      <c r="CC159" s="307"/>
      <c r="CD159" s="307"/>
      <c r="CE159" s="307"/>
      <c r="CF159" s="307"/>
      <c r="CG159" s="307"/>
      <c r="CH159" s="307"/>
      <c r="CI159" s="307"/>
      <c r="CJ159" s="307"/>
      <c r="CK159" s="307"/>
      <c r="CL159" s="307"/>
      <c r="CM159" s="307"/>
      <c r="CN159" s="307"/>
      <c r="CO159" s="307"/>
      <c r="CP159" s="307"/>
      <c r="CQ159" s="307"/>
      <c r="CR159" s="307"/>
      <c r="CS159" s="307"/>
      <c r="CT159" s="307"/>
      <c r="CU159" s="307"/>
      <c r="CV159" s="307"/>
      <c r="CW159" s="307"/>
      <c r="CX159" s="307"/>
      <c r="CY159" s="307"/>
      <c r="CZ159" s="307"/>
      <c r="DA159" s="307"/>
      <c r="DB159" s="307"/>
      <c r="DC159" s="307"/>
      <c r="DD159" s="307"/>
      <c r="DE159" s="307"/>
      <c r="DF159" s="307"/>
      <c r="DG159" s="307"/>
      <c r="DH159" s="307"/>
      <c r="DI159" s="307"/>
      <c r="DJ159" s="307"/>
      <c r="DK159" s="307"/>
      <c r="DL159" s="307"/>
      <c r="DM159" s="307"/>
      <c r="DN159" s="307"/>
      <c r="DO159" s="307"/>
      <c r="DP159" s="307"/>
      <c r="DQ159" s="307"/>
      <c r="DR159" s="307"/>
      <c r="DS159" s="307"/>
      <c r="DT159" s="307"/>
      <c r="DU159" s="307"/>
      <c r="DV159" s="307"/>
      <c r="DW159" s="307"/>
      <c r="DX159" s="307"/>
      <c r="DY159" s="307"/>
      <c r="DZ159" s="307"/>
      <c r="EA159" s="307"/>
      <c r="EB159" s="307"/>
      <c r="EC159" s="307"/>
      <c r="ED159" s="307"/>
      <c r="EE159" s="307"/>
      <c r="EF159" s="307"/>
      <c r="EG159" s="307"/>
      <c r="EH159" s="307"/>
      <c r="EI159" s="307"/>
      <c r="EJ159" s="307"/>
      <c r="EK159" s="307"/>
      <c r="EL159" s="307"/>
      <c r="EM159" s="307"/>
      <c r="EN159" s="307"/>
      <c r="EO159" s="307"/>
      <c r="EP159" s="307"/>
      <c r="EQ159" s="307"/>
      <c r="ER159" s="307"/>
      <c r="ES159" s="307"/>
      <c r="ET159" s="307"/>
      <c r="EU159" s="307"/>
      <c r="EV159" s="307"/>
      <c r="EW159" s="307"/>
      <c r="EX159" s="307"/>
      <c r="EY159" s="307"/>
      <c r="EZ159" s="307"/>
      <c r="FA159" s="307"/>
      <c r="FB159" s="307"/>
      <c r="FC159" s="307"/>
      <c r="FD159" s="307"/>
      <c r="FE159" s="307"/>
      <c r="FF159" s="307"/>
      <c r="FG159" s="307"/>
      <c r="FH159" s="307"/>
      <c r="FI159" s="307"/>
      <c r="FJ159" s="307"/>
      <c r="FK159" s="307"/>
      <c r="FL159" s="307"/>
      <c r="FM159" s="307"/>
      <c r="FN159" s="307"/>
      <c r="FO159" s="307"/>
      <c r="FP159" s="307"/>
      <c r="FQ159" s="307"/>
      <c r="FR159" s="307"/>
      <c r="FS159" s="307"/>
      <c r="FT159" s="307"/>
      <c r="FU159" s="307"/>
      <c r="FV159" s="307"/>
      <c r="FW159" s="307"/>
      <c r="FX159" s="307"/>
      <c r="FY159" s="307"/>
      <c r="FZ159" s="307"/>
      <c r="GA159" s="307"/>
      <c r="GB159" s="307"/>
      <c r="GC159" s="307"/>
      <c r="GD159" s="307"/>
      <c r="GE159" s="307"/>
      <c r="GF159" s="307"/>
      <c r="GG159" s="307"/>
      <c r="GH159" s="307"/>
      <c r="GI159" s="307"/>
      <c r="GJ159" s="307"/>
      <c r="GK159" s="307"/>
      <c r="GL159" s="307"/>
      <c r="GM159" s="307"/>
      <c r="GN159" s="307"/>
      <c r="GO159" s="307"/>
      <c r="GP159" s="307"/>
      <c r="GQ159" s="307"/>
      <c r="GR159" s="307"/>
      <c r="GS159" s="307"/>
      <c r="GT159" s="307"/>
      <c r="GU159" s="307"/>
      <c r="GV159" s="307"/>
      <c r="GW159" s="307"/>
      <c r="GX159" s="307"/>
      <c r="GY159" s="307"/>
      <c r="GZ159" s="307"/>
    </row>
    <row r="160" spans="1:208" ht="15">
      <c r="A160" s="304">
        <v>37</v>
      </c>
      <c r="B160" s="328">
        <v>44817</v>
      </c>
      <c r="C160" s="329">
        <v>1041204</v>
      </c>
      <c r="D160" s="353" t="s">
        <v>4447</v>
      </c>
      <c r="E160" s="329" t="s">
        <v>4448</v>
      </c>
      <c r="F160" s="329" t="s">
        <v>4251</v>
      </c>
      <c r="G160" s="329">
        <v>3162</v>
      </c>
      <c r="H160" s="304">
        <v>28</v>
      </c>
      <c r="I160" s="304">
        <v>4502408613</v>
      </c>
      <c r="J160" s="329">
        <v>3025457</v>
      </c>
      <c r="K160" s="304">
        <v>4902343233</v>
      </c>
      <c r="L160" s="304" t="s">
        <v>4252</v>
      </c>
      <c r="M160" s="309">
        <v>14921</v>
      </c>
      <c r="N160" s="329">
        <v>7700</v>
      </c>
      <c r="O160" s="306">
        <f t="shared" si="24"/>
        <v>114891700</v>
      </c>
      <c r="P160" s="304">
        <f t="shared" si="28"/>
        <v>2</v>
      </c>
      <c r="Q160" s="331" t="s">
        <v>3455</v>
      </c>
      <c r="R160" s="304">
        <v>1040968</v>
      </c>
      <c r="S160" s="307">
        <v>3923400</v>
      </c>
      <c r="T160" s="307"/>
      <c r="U160" s="307"/>
      <c r="V160" s="307"/>
      <c r="W160" s="307"/>
      <c r="X160" s="307"/>
      <c r="Y160" s="307"/>
      <c r="Z160" s="307"/>
      <c r="AA160" s="307"/>
      <c r="AB160" s="307"/>
      <c r="AC160" s="307"/>
      <c r="AD160" s="307"/>
      <c r="AE160" s="307"/>
      <c r="AF160" s="307"/>
      <c r="AG160" s="307"/>
      <c r="AH160" s="307"/>
      <c r="AI160" s="307"/>
      <c r="AJ160" s="307"/>
      <c r="AK160" s="307"/>
      <c r="AL160" s="307"/>
      <c r="AM160" s="307"/>
      <c r="AN160" s="307"/>
      <c r="AO160" s="307"/>
      <c r="AP160" s="307"/>
      <c r="AQ160" s="307"/>
      <c r="AR160" s="307"/>
      <c r="AS160" s="307"/>
      <c r="AT160" s="307"/>
      <c r="AU160" s="307"/>
      <c r="AV160" s="307"/>
      <c r="AW160" s="307"/>
      <c r="AX160" s="307"/>
      <c r="AY160" s="307"/>
      <c r="AZ160" s="307"/>
      <c r="BA160" s="307"/>
      <c r="BB160" s="307"/>
      <c r="BC160" s="307"/>
      <c r="BD160" s="307"/>
      <c r="BE160" s="307"/>
      <c r="BF160" s="307"/>
      <c r="BG160" s="307"/>
      <c r="BH160" s="307"/>
      <c r="BI160" s="307"/>
      <c r="BJ160" s="307"/>
      <c r="BK160" s="307"/>
      <c r="BL160" s="307"/>
      <c r="BM160" s="307"/>
      <c r="BN160" s="307"/>
      <c r="BO160" s="307"/>
      <c r="BP160" s="307"/>
      <c r="BQ160" s="307"/>
      <c r="BR160" s="307"/>
      <c r="BS160" s="307"/>
      <c r="BT160" s="307"/>
      <c r="BU160" s="307"/>
      <c r="BV160" s="307"/>
      <c r="BW160" s="307"/>
      <c r="BX160" s="307"/>
      <c r="BY160" s="307"/>
      <c r="BZ160" s="307"/>
      <c r="CA160" s="307"/>
      <c r="CB160" s="307"/>
      <c r="CC160" s="307"/>
      <c r="CD160" s="307"/>
      <c r="CE160" s="307"/>
      <c r="CF160" s="307"/>
      <c r="CG160" s="307"/>
      <c r="CH160" s="307"/>
      <c r="CI160" s="307"/>
      <c r="CJ160" s="307"/>
      <c r="CK160" s="307"/>
      <c r="CL160" s="307"/>
      <c r="CM160" s="307"/>
      <c r="CN160" s="307"/>
      <c r="CO160" s="307"/>
      <c r="CP160" s="307"/>
      <c r="CQ160" s="307"/>
      <c r="CR160" s="307"/>
      <c r="CS160" s="307"/>
      <c r="CT160" s="307"/>
      <c r="CU160" s="307"/>
      <c r="CV160" s="307"/>
      <c r="CW160" s="307"/>
      <c r="CX160" s="307"/>
      <c r="CY160" s="307"/>
      <c r="CZ160" s="307"/>
      <c r="DA160" s="307"/>
      <c r="DB160" s="307"/>
      <c r="DC160" s="307"/>
      <c r="DD160" s="307"/>
      <c r="DE160" s="307"/>
      <c r="DF160" s="307"/>
      <c r="DG160" s="307"/>
      <c r="DH160" s="307"/>
      <c r="DI160" s="307"/>
      <c r="DJ160" s="307"/>
      <c r="DK160" s="307"/>
      <c r="DL160" s="307"/>
      <c r="DM160" s="307"/>
      <c r="DN160" s="307"/>
      <c r="DO160" s="307"/>
      <c r="DP160" s="307"/>
      <c r="DQ160" s="307"/>
      <c r="DR160" s="307"/>
      <c r="DS160" s="307"/>
      <c r="DT160" s="307"/>
      <c r="DU160" s="307"/>
      <c r="DV160" s="307"/>
      <c r="DW160" s="307"/>
      <c r="DX160" s="307"/>
      <c r="DY160" s="307"/>
      <c r="DZ160" s="307"/>
      <c r="EA160" s="307"/>
      <c r="EB160" s="307"/>
      <c r="EC160" s="307"/>
      <c r="ED160" s="307"/>
      <c r="EE160" s="307"/>
      <c r="EF160" s="307"/>
      <c r="EG160" s="307"/>
      <c r="EH160" s="307"/>
      <c r="EI160" s="307"/>
      <c r="EJ160" s="307"/>
      <c r="EK160" s="307"/>
      <c r="EL160" s="307"/>
      <c r="EM160" s="307"/>
      <c r="EN160" s="307"/>
      <c r="EO160" s="307"/>
      <c r="EP160" s="307"/>
      <c r="EQ160" s="307"/>
      <c r="ER160" s="307"/>
      <c r="ES160" s="307"/>
      <c r="ET160" s="307"/>
      <c r="EU160" s="307"/>
      <c r="EV160" s="307"/>
      <c r="EW160" s="307"/>
      <c r="EX160" s="307"/>
      <c r="EY160" s="307"/>
      <c r="EZ160" s="307"/>
      <c r="FA160" s="307"/>
      <c r="FB160" s="307"/>
      <c r="FC160" s="307"/>
      <c r="FD160" s="307"/>
      <c r="FE160" s="307"/>
      <c r="FF160" s="307"/>
      <c r="FG160" s="307"/>
      <c r="FH160" s="307"/>
      <c r="FI160" s="307"/>
      <c r="FJ160" s="307"/>
      <c r="FK160" s="307"/>
      <c r="FL160" s="307"/>
      <c r="FM160" s="307"/>
      <c r="FN160" s="307"/>
      <c r="FO160" s="307"/>
      <c r="FP160" s="307"/>
      <c r="FQ160" s="307"/>
      <c r="FR160" s="307"/>
      <c r="FS160" s="307"/>
      <c r="FT160" s="307"/>
      <c r="FU160" s="307"/>
      <c r="FV160" s="307"/>
      <c r="FW160" s="307"/>
      <c r="FX160" s="307"/>
      <c r="FY160" s="307"/>
      <c r="FZ160" s="307"/>
      <c r="GA160" s="307"/>
      <c r="GB160" s="307"/>
      <c r="GC160" s="307"/>
      <c r="GD160" s="307"/>
      <c r="GE160" s="307"/>
      <c r="GF160" s="307"/>
      <c r="GG160" s="307"/>
      <c r="GH160" s="307"/>
      <c r="GI160" s="307"/>
      <c r="GJ160" s="307"/>
      <c r="GK160" s="307"/>
      <c r="GL160" s="307"/>
      <c r="GM160" s="307"/>
      <c r="GN160" s="307"/>
      <c r="GO160" s="307"/>
      <c r="GP160" s="307"/>
      <c r="GQ160" s="307"/>
      <c r="GR160" s="307"/>
      <c r="GS160" s="307"/>
      <c r="GT160" s="307"/>
      <c r="GU160" s="307"/>
      <c r="GV160" s="307"/>
      <c r="GW160" s="307"/>
      <c r="GX160" s="307"/>
      <c r="GY160" s="307"/>
      <c r="GZ160" s="307"/>
    </row>
    <row r="161" spans="1:208" ht="15">
      <c r="A161" s="282">
        <v>38</v>
      </c>
      <c r="B161" s="332">
        <v>44819</v>
      </c>
      <c r="C161" s="333">
        <v>1036751</v>
      </c>
      <c r="D161" s="282" t="s">
        <v>4449</v>
      </c>
      <c r="E161" s="333" t="s">
        <v>4450</v>
      </c>
      <c r="F161" s="356" t="s">
        <v>4438</v>
      </c>
      <c r="G161" s="351">
        <v>3180</v>
      </c>
      <c r="H161" s="333">
        <v>42</v>
      </c>
      <c r="I161" s="282">
        <v>4502411300</v>
      </c>
      <c r="J161" s="357">
        <v>3025460</v>
      </c>
      <c r="K161" s="282">
        <v>4902347660</v>
      </c>
      <c r="L161" s="282" t="s">
        <v>4252</v>
      </c>
      <c r="M161" s="283">
        <v>21750.5</v>
      </c>
      <c r="N161" s="333">
        <v>9035</v>
      </c>
      <c r="O161" s="284">
        <f t="shared" si="24"/>
        <v>196515767.5</v>
      </c>
      <c r="P161" s="285">
        <f t="shared" si="28"/>
        <v>3</v>
      </c>
      <c r="Q161" s="321" t="s">
        <v>3455</v>
      </c>
      <c r="R161" s="282">
        <v>1040968</v>
      </c>
      <c r="S161" s="342">
        <v>5450000</v>
      </c>
      <c r="T161" s="285"/>
      <c r="U161" s="285"/>
      <c r="V161" s="285"/>
      <c r="W161" s="285"/>
      <c r="X161" s="285"/>
      <c r="Y161" s="285"/>
      <c r="Z161" s="285"/>
      <c r="AA161" s="285"/>
      <c r="AB161" s="285"/>
      <c r="AC161" s="285"/>
      <c r="AD161" s="285"/>
      <c r="AE161" s="285"/>
      <c r="AF161" s="285"/>
      <c r="AG161" s="285"/>
      <c r="AH161" s="285"/>
      <c r="AI161" s="285"/>
      <c r="AJ161" s="285"/>
      <c r="AK161" s="285"/>
      <c r="AL161" s="285"/>
      <c r="AM161" s="285"/>
      <c r="AN161" s="285"/>
      <c r="AO161" s="285"/>
      <c r="AP161" s="285"/>
      <c r="AQ161" s="285"/>
      <c r="AR161" s="285"/>
      <c r="AS161" s="285"/>
      <c r="AT161" s="285"/>
      <c r="AU161" s="285"/>
      <c r="AV161" s="285"/>
      <c r="AW161" s="285"/>
      <c r="AX161" s="285"/>
      <c r="AY161" s="285"/>
      <c r="AZ161" s="285"/>
      <c r="BA161" s="285"/>
      <c r="BB161" s="285"/>
      <c r="BC161" s="285"/>
      <c r="BD161" s="285"/>
      <c r="BE161" s="285"/>
      <c r="BF161" s="285"/>
      <c r="BG161" s="285"/>
      <c r="BH161" s="285"/>
      <c r="BI161" s="285"/>
      <c r="BJ161" s="285"/>
      <c r="BK161" s="285"/>
      <c r="BL161" s="285"/>
      <c r="BM161" s="285"/>
      <c r="BN161" s="285"/>
      <c r="BO161" s="285"/>
      <c r="BP161" s="285"/>
      <c r="BQ161" s="285"/>
      <c r="BR161" s="285"/>
      <c r="BS161" s="285"/>
      <c r="BT161" s="285"/>
      <c r="BU161" s="285"/>
      <c r="BV161" s="285"/>
      <c r="BW161" s="285"/>
      <c r="BX161" s="285"/>
      <c r="BY161" s="285"/>
      <c r="BZ161" s="285"/>
      <c r="CA161" s="285"/>
      <c r="CB161" s="285"/>
      <c r="CC161" s="285"/>
      <c r="CD161" s="285"/>
      <c r="CE161" s="285"/>
      <c r="CF161" s="285"/>
      <c r="CG161" s="285"/>
      <c r="CH161" s="285"/>
      <c r="CI161" s="285"/>
      <c r="CJ161" s="285"/>
      <c r="CK161" s="285"/>
      <c r="CL161" s="285"/>
      <c r="CM161" s="285"/>
      <c r="CN161" s="285"/>
      <c r="CO161" s="285"/>
      <c r="CP161" s="285"/>
      <c r="CQ161" s="285"/>
      <c r="CR161" s="285"/>
      <c r="CS161" s="285"/>
      <c r="CT161" s="285"/>
      <c r="CU161" s="285"/>
      <c r="CV161" s="285"/>
      <c r="CW161" s="285"/>
      <c r="CX161" s="285"/>
      <c r="CY161" s="285"/>
      <c r="CZ161" s="285"/>
      <c r="DA161" s="285"/>
      <c r="DB161" s="285"/>
      <c r="DC161" s="285"/>
      <c r="DD161" s="285"/>
      <c r="DE161" s="285"/>
      <c r="DF161" s="285"/>
      <c r="DG161" s="285"/>
      <c r="DH161" s="285"/>
      <c r="DI161" s="285"/>
      <c r="DJ161" s="285"/>
      <c r="DK161" s="285"/>
      <c r="DL161" s="285"/>
      <c r="DM161" s="285"/>
      <c r="DN161" s="285"/>
      <c r="DO161" s="285"/>
      <c r="DP161" s="285"/>
      <c r="DQ161" s="285"/>
      <c r="DR161" s="285"/>
      <c r="DS161" s="285"/>
      <c r="DT161" s="285"/>
      <c r="DU161" s="285"/>
      <c r="DV161" s="285"/>
      <c r="DW161" s="285"/>
      <c r="DX161" s="285"/>
      <c r="DY161" s="285"/>
      <c r="DZ161" s="285"/>
      <c r="EA161" s="285"/>
      <c r="EB161" s="285"/>
      <c r="EC161" s="285"/>
      <c r="ED161" s="285"/>
      <c r="EE161" s="285"/>
      <c r="EF161" s="285"/>
      <c r="EG161" s="285"/>
      <c r="EH161" s="285"/>
      <c r="EI161" s="285"/>
      <c r="EJ161" s="285"/>
      <c r="EK161" s="285"/>
      <c r="EL161" s="285"/>
      <c r="EM161" s="285"/>
      <c r="EN161" s="285"/>
      <c r="EO161" s="285"/>
      <c r="EP161" s="285"/>
      <c r="EQ161" s="285"/>
      <c r="ER161" s="285"/>
      <c r="ES161" s="285"/>
      <c r="ET161" s="285"/>
      <c r="EU161" s="285"/>
      <c r="EV161" s="285"/>
      <c r="EW161" s="285"/>
      <c r="EX161" s="285"/>
      <c r="EY161" s="285"/>
      <c r="EZ161" s="285"/>
      <c r="FA161" s="285"/>
      <c r="FB161" s="285"/>
      <c r="FC161" s="285"/>
      <c r="FD161" s="285"/>
      <c r="FE161" s="285"/>
      <c r="FF161" s="285"/>
      <c r="FG161" s="285"/>
      <c r="FH161" s="285"/>
      <c r="FI161" s="285"/>
      <c r="FJ161" s="285"/>
      <c r="FK161" s="285"/>
      <c r="FL161" s="285"/>
      <c r="FM161" s="285"/>
      <c r="FN161" s="285"/>
      <c r="FO161" s="285"/>
      <c r="FP161" s="285"/>
      <c r="FQ161" s="285"/>
      <c r="FR161" s="285"/>
      <c r="FS161" s="285"/>
      <c r="FT161" s="285"/>
      <c r="FU161" s="285"/>
      <c r="FV161" s="285"/>
      <c r="FW161" s="285"/>
      <c r="FX161" s="285"/>
      <c r="FY161" s="285"/>
      <c r="FZ161" s="285"/>
      <c r="GA161" s="285"/>
      <c r="GB161" s="285"/>
      <c r="GC161" s="285"/>
      <c r="GD161" s="285"/>
      <c r="GE161" s="285"/>
      <c r="GF161" s="285"/>
      <c r="GG161" s="285"/>
      <c r="GH161" s="285"/>
      <c r="GI161" s="285"/>
      <c r="GJ161" s="285"/>
      <c r="GK161" s="285"/>
      <c r="GL161" s="285"/>
      <c r="GM161" s="285"/>
      <c r="GN161" s="285"/>
      <c r="GO161" s="285"/>
      <c r="GP161" s="285"/>
      <c r="GQ161" s="285"/>
      <c r="GR161" s="285"/>
      <c r="GS161" s="285"/>
      <c r="GT161" s="285"/>
      <c r="GU161" s="285"/>
      <c r="GV161" s="285"/>
      <c r="GW161" s="285"/>
      <c r="GX161" s="285"/>
      <c r="GY161" s="285"/>
      <c r="GZ161" s="285"/>
    </row>
    <row r="162" spans="1:208" ht="15">
      <c r="A162" s="282">
        <v>38</v>
      </c>
      <c r="B162" s="332">
        <v>44819</v>
      </c>
      <c r="C162" s="333">
        <v>1053331</v>
      </c>
      <c r="D162" s="282" t="s">
        <v>4451</v>
      </c>
      <c r="E162" s="333" t="s">
        <v>4416</v>
      </c>
      <c r="F162" s="342" t="s">
        <v>4275</v>
      </c>
      <c r="G162" s="342">
        <v>3178</v>
      </c>
      <c r="H162" s="333">
        <v>41</v>
      </c>
      <c r="I162" s="282">
        <v>4502412650</v>
      </c>
      <c r="J162" s="333">
        <v>3025459</v>
      </c>
      <c r="K162" s="282">
        <v>4902347661</v>
      </c>
      <c r="L162" s="282" t="s">
        <v>4252</v>
      </c>
      <c r="M162" s="283">
        <v>19992</v>
      </c>
      <c r="N162" s="333">
        <v>7800</v>
      </c>
      <c r="O162" s="284">
        <f t="shared" si="24"/>
        <v>155937600</v>
      </c>
      <c r="P162" s="282" t="s">
        <v>4265</v>
      </c>
      <c r="Q162" s="321" t="s">
        <v>4266</v>
      </c>
      <c r="R162" s="282">
        <v>1004892</v>
      </c>
      <c r="S162" s="358">
        <v>4792500</v>
      </c>
      <c r="T162" s="285"/>
      <c r="U162" s="285"/>
      <c r="V162" s="285"/>
      <c r="W162" s="285"/>
      <c r="X162" s="285"/>
      <c r="Y162" s="285"/>
      <c r="Z162" s="285"/>
      <c r="AA162" s="285"/>
      <c r="AB162" s="285"/>
      <c r="AC162" s="285"/>
      <c r="AD162" s="285"/>
      <c r="AE162" s="285"/>
      <c r="AF162" s="285"/>
      <c r="AG162" s="285"/>
      <c r="AH162" s="285"/>
      <c r="AI162" s="285"/>
      <c r="AJ162" s="285"/>
      <c r="AK162" s="285"/>
      <c r="AL162" s="285"/>
      <c r="AM162" s="285"/>
      <c r="AN162" s="285"/>
      <c r="AO162" s="285"/>
      <c r="AP162" s="285"/>
      <c r="AQ162" s="285"/>
      <c r="AR162" s="285"/>
      <c r="AS162" s="285"/>
      <c r="AT162" s="285"/>
      <c r="AU162" s="285"/>
      <c r="AV162" s="285"/>
      <c r="AW162" s="285"/>
      <c r="AX162" s="285"/>
      <c r="AY162" s="285"/>
      <c r="AZ162" s="285"/>
      <c r="BA162" s="285"/>
      <c r="BB162" s="285"/>
      <c r="BC162" s="285"/>
      <c r="BD162" s="285"/>
      <c r="BE162" s="285"/>
      <c r="BF162" s="285"/>
      <c r="BG162" s="285"/>
      <c r="BH162" s="285"/>
      <c r="BI162" s="285"/>
      <c r="BJ162" s="285"/>
      <c r="BK162" s="285"/>
      <c r="BL162" s="285"/>
      <c r="BM162" s="285"/>
      <c r="BN162" s="285"/>
      <c r="BO162" s="285"/>
      <c r="BP162" s="285"/>
      <c r="BQ162" s="285"/>
      <c r="BR162" s="285"/>
      <c r="BS162" s="285"/>
      <c r="BT162" s="285"/>
      <c r="BU162" s="285"/>
      <c r="BV162" s="285"/>
      <c r="BW162" s="285"/>
      <c r="BX162" s="285"/>
      <c r="BY162" s="285"/>
      <c r="BZ162" s="285"/>
      <c r="CA162" s="285"/>
      <c r="CB162" s="285"/>
      <c r="CC162" s="285"/>
      <c r="CD162" s="285"/>
      <c r="CE162" s="285"/>
      <c r="CF162" s="285"/>
      <c r="CG162" s="285"/>
      <c r="CH162" s="285"/>
      <c r="CI162" s="285"/>
      <c r="CJ162" s="285"/>
      <c r="CK162" s="285"/>
      <c r="CL162" s="285"/>
      <c r="CM162" s="285"/>
      <c r="CN162" s="285"/>
      <c r="CO162" s="285"/>
      <c r="CP162" s="285"/>
      <c r="CQ162" s="285"/>
      <c r="CR162" s="285"/>
      <c r="CS162" s="285"/>
      <c r="CT162" s="285"/>
      <c r="CU162" s="285"/>
      <c r="CV162" s="285"/>
      <c r="CW162" s="285"/>
      <c r="CX162" s="285"/>
      <c r="CY162" s="285"/>
      <c r="CZ162" s="285"/>
      <c r="DA162" s="285"/>
      <c r="DB162" s="285"/>
      <c r="DC162" s="285"/>
      <c r="DD162" s="285"/>
      <c r="DE162" s="285"/>
      <c r="DF162" s="285"/>
      <c r="DG162" s="285"/>
      <c r="DH162" s="285"/>
      <c r="DI162" s="285"/>
      <c r="DJ162" s="285"/>
      <c r="DK162" s="285"/>
      <c r="DL162" s="285"/>
      <c r="DM162" s="285"/>
      <c r="DN162" s="285"/>
      <c r="DO162" s="285"/>
      <c r="DP162" s="285"/>
      <c r="DQ162" s="285"/>
      <c r="DR162" s="285"/>
      <c r="DS162" s="285"/>
      <c r="DT162" s="285"/>
      <c r="DU162" s="285"/>
      <c r="DV162" s="285"/>
      <c r="DW162" s="285"/>
      <c r="DX162" s="285"/>
      <c r="DY162" s="285"/>
      <c r="DZ162" s="285"/>
      <c r="EA162" s="285"/>
      <c r="EB162" s="285"/>
      <c r="EC162" s="285"/>
      <c r="ED162" s="285"/>
      <c r="EE162" s="285"/>
      <c r="EF162" s="285"/>
      <c r="EG162" s="285"/>
      <c r="EH162" s="285"/>
      <c r="EI162" s="285"/>
      <c r="EJ162" s="285"/>
      <c r="EK162" s="285"/>
      <c r="EL162" s="285"/>
      <c r="EM162" s="285"/>
      <c r="EN162" s="285"/>
      <c r="EO162" s="285"/>
      <c r="EP162" s="285"/>
      <c r="EQ162" s="285"/>
      <c r="ER162" s="285"/>
      <c r="ES162" s="285"/>
      <c r="ET162" s="285"/>
      <c r="EU162" s="285"/>
      <c r="EV162" s="285"/>
      <c r="EW162" s="285"/>
      <c r="EX162" s="285"/>
      <c r="EY162" s="285"/>
      <c r="EZ162" s="285"/>
      <c r="FA162" s="285"/>
      <c r="FB162" s="285"/>
      <c r="FC162" s="285"/>
      <c r="FD162" s="285"/>
      <c r="FE162" s="285"/>
      <c r="FF162" s="285"/>
      <c r="FG162" s="285"/>
      <c r="FH162" s="285"/>
      <c r="FI162" s="285"/>
      <c r="FJ162" s="285"/>
      <c r="FK162" s="285"/>
      <c r="FL162" s="285"/>
      <c r="FM162" s="285"/>
      <c r="FN162" s="285"/>
      <c r="FO162" s="285"/>
      <c r="FP162" s="285"/>
      <c r="FQ162" s="285"/>
      <c r="FR162" s="285"/>
      <c r="FS162" s="285"/>
      <c r="FT162" s="285"/>
      <c r="FU162" s="285"/>
      <c r="FV162" s="285"/>
      <c r="FW162" s="285"/>
      <c r="FX162" s="285"/>
      <c r="FY162" s="285"/>
      <c r="FZ162" s="285"/>
      <c r="GA162" s="285"/>
      <c r="GB162" s="285"/>
      <c r="GC162" s="285"/>
      <c r="GD162" s="285"/>
      <c r="GE162" s="285"/>
      <c r="GF162" s="285"/>
      <c r="GG162" s="285"/>
      <c r="GH162" s="285"/>
      <c r="GI162" s="285"/>
      <c r="GJ162" s="285"/>
      <c r="GK162" s="285"/>
      <c r="GL162" s="285"/>
      <c r="GM162" s="285"/>
      <c r="GN162" s="285"/>
      <c r="GO162" s="285"/>
      <c r="GP162" s="285"/>
      <c r="GQ162" s="285"/>
      <c r="GR162" s="285"/>
      <c r="GS162" s="285"/>
      <c r="GT162" s="285"/>
      <c r="GU162" s="285"/>
      <c r="GV162" s="285"/>
      <c r="GW162" s="285"/>
      <c r="GX162" s="285"/>
      <c r="GY162" s="285"/>
      <c r="GZ162" s="285"/>
    </row>
    <row r="163" spans="1:208" ht="15">
      <c r="A163" s="282">
        <v>38</v>
      </c>
      <c r="B163" s="332">
        <v>44820</v>
      </c>
      <c r="C163" s="333">
        <v>1109027</v>
      </c>
      <c r="D163" s="282" t="s">
        <v>4452</v>
      </c>
      <c r="E163" s="333" t="s">
        <v>4287</v>
      </c>
      <c r="F163" s="333" t="s">
        <v>4251</v>
      </c>
      <c r="G163" s="342">
        <v>3193</v>
      </c>
      <c r="H163" s="333">
        <v>56</v>
      </c>
      <c r="I163" s="342">
        <v>4502412653</v>
      </c>
      <c r="J163" s="333">
        <v>3025457</v>
      </c>
      <c r="K163" s="342">
        <v>4902347663</v>
      </c>
      <c r="L163" s="282" t="s">
        <v>4252</v>
      </c>
      <c r="M163" s="283">
        <v>27048</v>
      </c>
      <c r="N163" s="333">
        <v>7800</v>
      </c>
      <c r="O163" s="284">
        <f t="shared" si="24"/>
        <v>210974400</v>
      </c>
      <c r="P163" s="285">
        <f t="shared" ref="P163:P172" si="29">H163/14</f>
        <v>4</v>
      </c>
      <c r="Q163" s="321" t="s">
        <v>3455</v>
      </c>
      <c r="R163" s="282">
        <v>1040968</v>
      </c>
      <c r="S163" s="342">
        <v>7128500</v>
      </c>
      <c r="T163" s="285"/>
      <c r="U163" s="285"/>
      <c r="V163" s="285"/>
      <c r="W163" s="285"/>
      <c r="X163" s="285"/>
      <c r="Y163" s="285"/>
      <c r="Z163" s="285"/>
      <c r="AA163" s="285"/>
      <c r="AB163" s="285"/>
      <c r="AC163" s="285"/>
      <c r="AD163" s="285"/>
      <c r="AE163" s="285"/>
      <c r="AF163" s="285"/>
      <c r="AG163" s="285"/>
      <c r="AH163" s="285"/>
      <c r="AI163" s="285"/>
      <c r="AJ163" s="285"/>
      <c r="AK163" s="285"/>
      <c r="AL163" s="285"/>
      <c r="AM163" s="285"/>
      <c r="AN163" s="285"/>
      <c r="AO163" s="285"/>
      <c r="AP163" s="285"/>
      <c r="AQ163" s="285"/>
      <c r="AR163" s="285"/>
      <c r="AS163" s="285"/>
      <c r="AT163" s="285"/>
      <c r="AU163" s="285"/>
      <c r="AV163" s="285"/>
      <c r="AW163" s="285"/>
      <c r="AX163" s="285"/>
      <c r="AY163" s="285"/>
      <c r="AZ163" s="285"/>
      <c r="BA163" s="285"/>
      <c r="BB163" s="285"/>
      <c r="BC163" s="285"/>
      <c r="BD163" s="285"/>
      <c r="BE163" s="285"/>
      <c r="BF163" s="285"/>
      <c r="BG163" s="285"/>
      <c r="BH163" s="285"/>
      <c r="BI163" s="285"/>
      <c r="BJ163" s="285"/>
      <c r="BK163" s="285"/>
      <c r="BL163" s="285"/>
      <c r="BM163" s="285"/>
      <c r="BN163" s="285"/>
      <c r="BO163" s="285"/>
      <c r="BP163" s="285"/>
      <c r="BQ163" s="285"/>
      <c r="BR163" s="285"/>
      <c r="BS163" s="285"/>
      <c r="BT163" s="285"/>
      <c r="BU163" s="285"/>
      <c r="BV163" s="285"/>
      <c r="BW163" s="285"/>
      <c r="BX163" s="285"/>
      <c r="BY163" s="285"/>
      <c r="BZ163" s="285"/>
      <c r="CA163" s="285"/>
      <c r="CB163" s="285"/>
      <c r="CC163" s="285"/>
      <c r="CD163" s="285"/>
      <c r="CE163" s="285"/>
      <c r="CF163" s="285"/>
      <c r="CG163" s="285"/>
      <c r="CH163" s="285"/>
      <c r="CI163" s="285"/>
      <c r="CJ163" s="285"/>
      <c r="CK163" s="285"/>
      <c r="CL163" s="285"/>
      <c r="CM163" s="285"/>
      <c r="CN163" s="285"/>
      <c r="CO163" s="285"/>
      <c r="CP163" s="285"/>
      <c r="CQ163" s="285"/>
      <c r="CR163" s="285"/>
      <c r="CS163" s="285"/>
      <c r="CT163" s="285"/>
      <c r="CU163" s="285"/>
      <c r="CV163" s="285"/>
      <c r="CW163" s="285"/>
      <c r="CX163" s="285"/>
      <c r="CY163" s="285"/>
      <c r="CZ163" s="285"/>
      <c r="DA163" s="285"/>
      <c r="DB163" s="285"/>
      <c r="DC163" s="285"/>
      <c r="DD163" s="285"/>
      <c r="DE163" s="285"/>
      <c r="DF163" s="285"/>
      <c r="DG163" s="285"/>
      <c r="DH163" s="285"/>
      <c r="DI163" s="285"/>
      <c r="DJ163" s="285"/>
      <c r="DK163" s="285"/>
      <c r="DL163" s="285"/>
      <c r="DM163" s="285"/>
      <c r="DN163" s="285"/>
      <c r="DO163" s="285"/>
      <c r="DP163" s="285"/>
      <c r="DQ163" s="285"/>
      <c r="DR163" s="285"/>
      <c r="DS163" s="285"/>
      <c r="DT163" s="285"/>
      <c r="DU163" s="285"/>
      <c r="DV163" s="285"/>
      <c r="DW163" s="285"/>
      <c r="DX163" s="285"/>
      <c r="DY163" s="285"/>
      <c r="DZ163" s="285"/>
      <c r="EA163" s="285"/>
      <c r="EB163" s="285"/>
      <c r="EC163" s="285"/>
      <c r="ED163" s="285"/>
      <c r="EE163" s="285"/>
      <c r="EF163" s="285"/>
      <c r="EG163" s="285"/>
      <c r="EH163" s="285"/>
      <c r="EI163" s="285"/>
      <c r="EJ163" s="285"/>
      <c r="EK163" s="285"/>
      <c r="EL163" s="285"/>
      <c r="EM163" s="285"/>
      <c r="EN163" s="285"/>
      <c r="EO163" s="285"/>
      <c r="EP163" s="285"/>
      <c r="EQ163" s="285"/>
      <c r="ER163" s="285"/>
      <c r="ES163" s="285"/>
      <c r="ET163" s="285"/>
      <c r="EU163" s="285"/>
      <c r="EV163" s="285"/>
      <c r="EW163" s="285"/>
      <c r="EX163" s="285"/>
      <c r="EY163" s="285"/>
      <c r="EZ163" s="285"/>
      <c r="FA163" s="285"/>
      <c r="FB163" s="285"/>
      <c r="FC163" s="285"/>
      <c r="FD163" s="285"/>
      <c r="FE163" s="285"/>
      <c r="FF163" s="285"/>
      <c r="FG163" s="285"/>
      <c r="FH163" s="285"/>
      <c r="FI163" s="285"/>
      <c r="FJ163" s="285"/>
      <c r="FK163" s="285"/>
      <c r="FL163" s="285"/>
      <c r="FM163" s="285"/>
      <c r="FN163" s="285"/>
      <c r="FO163" s="285"/>
      <c r="FP163" s="285"/>
      <c r="FQ163" s="285"/>
      <c r="FR163" s="285"/>
      <c r="FS163" s="285"/>
      <c r="FT163" s="285"/>
      <c r="FU163" s="285"/>
      <c r="FV163" s="285"/>
      <c r="FW163" s="285"/>
      <c r="FX163" s="285"/>
      <c r="FY163" s="285"/>
      <c r="FZ163" s="285"/>
      <c r="GA163" s="285"/>
      <c r="GB163" s="285"/>
      <c r="GC163" s="285"/>
      <c r="GD163" s="285"/>
      <c r="GE163" s="285"/>
      <c r="GF163" s="285"/>
      <c r="GG163" s="285"/>
      <c r="GH163" s="285"/>
      <c r="GI163" s="285"/>
      <c r="GJ163" s="285"/>
      <c r="GK163" s="285"/>
      <c r="GL163" s="285"/>
      <c r="GM163" s="285"/>
      <c r="GN163" s="285"/>
      <c r="GO163" s="285"/>
      <c r="GP163" s="285"/>
      <c r="GQ163" s="285"/>
      <c r="GR163" s="285"/>
      <c r="GS163" s="285"/>
      <c r="GT163" s="285"/>
      <c r="GU163" s="285"/>
      <c r="GV163" s="285"/>
      <c r="GW163" s="285"/>
      <c r="GX163" s="285"/>
      <c r="GY163" s="285"/>
      <c r="GZ163" s="285"/>
    </row>
    <row r="164" spans="1:208" ht="15">
      <c r="A164" s="282">
        <v>38</v>
      </c>
      <c r="B164" s="332">
        <v>44820</v>
      </c>
      <c r="C164" s="333">
        <v>1036751</v>
      </c>
      <c r="D164" s="282" t="s">
        <v>4453</v>
      </c>
      <c r="E164" s="333" t="s">
        <v>4450</v>
      </c>
      <c r="F164" s="333" t="s">
        <v>4251</v>
      </c>
      <c r="G164" s="351">
        <v>3180</v>
      </c>
      <c r="H164" s="333">
        <v>42</v>
      </c>
      <c r="I164" s="342">
        <v>4502411300</v>
      </c>
      <c r="J164" s="333">
        <v>3025457</v>
      </c>
      <c r="K164" s="342">
        <v>4902347665</v>
      </c>
      <c r="L164" s="282" t="s">
        <v>4252</v>
      </c>
      <c r="M164" s="283">
        <v>21750.5</v>
      </c>
      <c r="N164" s="333">
        <v>9000</v>
      </c>
      <c r="O164" s="284">
        <f t="shared" si="24"/>
        <v>195754500</v>
      </c>
      <c r="P164" s="285">
        <f t="shared" si="29"/>
        <v>3</v>
      </c>
      <c r="Q164" s="321" t="s">
        <v>3455</v>
      </c>
      <c r="R164" s="282">
        <v>1040968</v>
      </c>
      <c r="S164" s="334">
        <f>1750000*3</f>
        <v>5250000</v>
      </c>
      <c r="T164" s="285"/>
      <c r="U164" s="285"/>
      <c r="V164" s="285"/>
      <c r="W164" s="285"/>
      <c r="X164" s="285"/>
      <c r="Y164" s="285"/>
      <c r="Z164" s="285"/>
      <c r="AA164" s="285"/>
      <c r="AB164" s="285"/>
      <c r="AC164" s="285"/>
      <c r="AD164" s="285"/>
      <c r="AE164" s="285"/>
      <c r="AF164" s="285"/>
      <c r="AG164" s="285"/>
      <c r="AH164" s="285"/>
      <c r="AI164" s="285"/>
      <c r="AJ164" s="285"/>
      <c r="AK164" s="285"/>
      <c r="AL164" s="285"/>
      <c r="AM164" s="285"/>
      <c r="AN164" s="285"/>
      <c r="AO164" s="285"/>
      <c r="AP164" s="285"/>
      <c r="AQ164" s="285"/>
      <c r="AR164" s="285"/>
      <c r="AS164" s="285"/>
      <c r="AT164" s="285"/>
      <c r="AU164" s="285"/>
      <c r="AV164" s="285"/>
      <c r="AW164" s="285"/>
      <c r="AX164" s="285"/>
      <c r="AY164" s="285"/>
      <c r="AZ164" s="285"/>
      <c r="BA164" s="285"/>
      <c r="BB164" s="285"/>
      <c r="BC164" s="285"/>
      <c r="BD164" s="285"/>
      <c r="BE164" s="285"/>
      <c r="BF164" s="285"/>
      <c r="BG164" s="285"/>
      <c r="BH164" s="285"/>
      <c r="BI164" s="285"/>
      <c r="BJ164" s="285"/>
      <c r="BK164" s="285"/>
      <c r="BL164" s="285"/>
      <c r="BM164" s="285"/>
      <c r="BN164" s="285"/>
      <c r="BO164" s="285"/>
      <c r="BP164" s="285"/>
      <c r="BQ164" s="285"/>
      <c r="BR164" s="285"/>
      <c r="BS164" s="285"/>
      <c r="BT164" s="285"/>
      <c r="BU164" s="285"/>
      <c r="BV164" s="285"/>
      <c r="BW164" s="285"/>
      <c r="BX164" s="285"/>
      <c r="BY164" s="285"/>
      <c r="BZ164" s="285"/>
      <c r="CA164" s="285"/>
      <c r="CB164" s="285"/>
      <c r="CC164" s="285"/>
      <c r="CD164" s="285"/>
      <c r="CE164" s="285"/>
      <c r="CF164" s="285"/>
      <c r="CG164" s="285"/>
      <c r="CH164" s="285"/>
      <c r="CI164" s="285"/>
      <c r="CJ164" s="285"/>
      <c r="CK164" s="285"/>
      <c r="CL164" s="285"/>
      <c r="CM164" s="285"/>
      <c r="CN164" s="285"/>
      <c r="CO164" s="285"/>
      <c r="CP164" s="285"/>
      <c r="CQ164" s="285"/>
      <c r="CR164" s="285"/>
      <c r="CS164" s="285"/>
      <c r="CT164" s="285"/>
      <c r="CU164" s="285"/>
      <c r="CV164" s="285"/>
      <c r="CW164" s="285"/>
      <c r="CX164" s="285"/>
      <c r="CY164" s="285"/>
      <c r="CZ164" s="285"/>
      <c r="DA164" s="285"/>
      <c r="DB164" s="285"/>
      <c r="DC164" s="285"/>
      <c r="DD164" s="285"/>
      <c r="DE164" s="285"/>
      <c r="DF164" s="285"/>
      <c r="DG164" s="285"/>
      <c r="DH164" s="285"/>
      <c r="DI164" s="285"/>
      <c r="DJ164" s="285"/>
      <c r="DK164" s="285"/>
      <c r="DL164" s="285"/>
      <c r="DM164" s="285"/>
      <c r="DN164" s="285"/>
      <c r="DO164" s="285"/>
      <c r="DP164" s="285"/>
      <c r="DQ164" s="285"/>
      <c r="DR164" s="285"/>
      <c r="DS164" s="285"/>
      <c r="DT164" s="285"/>
      <c r="DU164" s="285"/>
      <c r="DV164" s="285"/>
      <c r="DW164" s="285"/>
      <c r="DX164" s="285"/>
      <c r="DY164" s="285"/>
      <c r="DZ164" s="285"/>
      <c r="EA164" s="285"/>
      <c r="EB164" s="285"/>
      <c r="EC164" s="285"/>
      <c r="ED164" s="285"/>
      <c r="EE164" s="285"/>
      <c r="EF164" s="285"/>
      <c r="EG164" s="285"/>
      <c r="EH164" s="285"/>
      <c r="EI164" s="285"/>
      <c r="EJ164" s="285"/>
      <c r="EK164" s="285"/>
      <c r="EL164" s="285"/>
      <c r="EM164" s="285"/>
      <c r="EN164" s="285"/>
      <c r="EO164" s="285"/>
      <c r="EP164" s="285"/>
      <c r="EQ164" s="285"/>
      <c r="ER164" s="285"/>
      <c r="ES164" s="285"/>
      <c r="ET164" s="285"/>
      <c r="EU164" s="285"/>
      <c r="EV164" s="285"/>
      <c r="EW164" s="285"/>
      <c r="EX164" s="285"/>
      <c r="EY164" s="285"/>
      <c r="EZ164" s="285"/>
      <c r="FA164" s="285"/>
      <c r="FB164" s="285"/>
      <c r="FC164" s="285"/>
      <c r="FD164" s="285"/>
      <c r="FE164" s="285"/>
      <c r="FF164" s="285"/>
      <c r="FG164" s="285"/>
      <c r="FH164" s="285"/>
      <c r="FI164" s="285"/>
      <c r="FJ164" s="285"/>
      <c r="FK164" s="285"/>
      <c r="FL164" s="285"/>
      <c r="FM164" s="285"/>
      <c r="FN164" s="285"/>
      <c r="FO164" s="285"/>
      <c r="FP164" s="285"/>
      <c r="FQ164" s="285"/>
      <c r="FR164" s="285"/>
      <c r="FS164" s="285"/>
      <c r="FT164" s="285"/>
      <c r="FU164" s="285"/>
      <c r="FV164" s="285"/>
      <c r="FW164" s="285"/>
      <c r="FX164" s="285"/>
      <c r="FY164" s="285"/>
      <c r="FZ164" s="285"/>
      <c r="GA164" s="285"/>
      <c r="GB164" s="285"/>
      <c r="GC164" s="285"/>
      <c r="GD164" s="285"/>
      <c r="GE164" s="285"/>
      <c r="GF164" s="285"/>
      <c r="GG164" s="285"/>
      <c r="GH164" s="285"/>
      <c r="GI164" s="285"/>
      <c r="GJ164" s="285"/>
      <c r="GK164" s="285"/>
      <c r="GL164" s="285"/>
      <c r="GM164" s="285"/>
      <c r="GN164" s="285"/>
      <c r="GO164" s="285"/>
      <c r="GP164" s="285"/>
      <c r="GQ164" s="285"/>
      <c r="GR164" s="285"/>
      <c r="GS164" s="285"/>
      <c r="GT164" s="285"/>
      <c r="GU164" s="285"/>
      <c r="GV164" s="285"/>
      <c r="GW164" s="285"/>
      <c r="GX164" s="285"/>
      <c r="GY164" s="285"/>
      <c r="GZ164" s="285"/>
    </row>
    <row r="165" spans="1:208" ht="15">
      <c r="A165" s="282">
        <v>38</v>
      </c>
      <c r="B165" s="332">
        <v>44821</v>
      </c>
      <c r="C165" s="333">
        <v>1053331</v>
      </c>
      <c r="D165" s="282" t="s">
        <v>4454</v>
      </c>
      <c r="E165" s="333" t="s">
        <v>4416</v>
      </c>
      <c r="F165" s="333" t="s">
        <v>4251</v>
      </c>
      <c r="G165" s="342">
        <v>3178</v>
      </c>
      <c r="H165" s="333">
        <v>42</v>
      </c>
      <c r="I165" s="342">
        <v>4502412658</v>
      </c>
      <c r="J165" s="333">
        <v>3025457</v>
      </c>
      <c r="K165" s="342">
        <v>4902347666</v>
      </c>
      <c r="L165" s="282" t="s">
        <v>4252</v>
      </c>
      <c r="M165" s="283">
        <v>19966</v>
      </c>
      <c r="N165" s="333">
        <v>7800</v>
      </c>
      <c r="O165" s="284">
        <f t="shared" si="24"/>
        <v>155734800</v>
      </c>
      <c r="P165" s="285">
        <f t="shared" si="29"/>
        <v>3</v>
      </c>
      <c r="Q165" s="321" t="s">
        <v>3455</v>
      </c>
      <c r="R165" s="282">
        <v>1040968</v>
      </c>
      <c r="S165" s="334">
        <f>1793900*3</f>
        <v>5381700</v>
      </c>
      <c r="T165" s="285"/>
      <c r="U165" s="285"/>
      <c r="V165" s="285"/>
      <c r="W165" s="285"/>
      <c r="X165" s="285"/>
      <c r="Y165" s="285"/>
      <c r="Z165" s="285"/>
      <c r="AA165" s="285"/>
      <c r="AB165" s="285"/>
      <c r="AC165" s="285"/>
      <c r="AD165" s="285"/>
      <c r="AE165" s="285"/>
      <c r="AF165" s="285"/>
      <c r="AG165" s="285"/>
      <c r="AH165" s="285"/>
      <c r="AI165" s="285"/>
      <c r="AJ165" s="285"/>
      <c r="AK165" s="285"/>
      <c r="AL165" s="285"/>
      <c r="AM165" s="285"/>
      <c r="AN165" s="285"/>
      <c r="AO165" s="285"/>
      <c r="AP165" s="285"/>
      <c r="AQ165" s="285"/>
      <c r="AR165" s="285"/>
      <c r="AS165" s="285"/>
      <c r="AT165" s="285"/>
      <c r="AU165" s="285"/>
      <c r="AV165" s="285"/>
      <c r="AW165" s="285"/>
      <c r="AX165" s="285"/>
      <c r="AY165" s="285"/>
      <c r="AZ165" s="285"/>
      <c r="BA165" s="285"/>
      <c r="BB165" s="285"/>
      <c r="BC165" s="285"/>
      <c r="BD165" s="285"/>
      <c r="BE165" s="285"/>
      <c r="BF165" s="285"/>
      <c r="BG165" s="285"/>
      <c r="BH165" s="285"/>
      <c r="BI165" s="285"/>
      <c r="BJ165" s="285"/>
      <c r="BK165" s="285"/>
      <c r="BL165" s="285"/>
      <c r="BM165" s="285"/>
      <c r="BN165" s="285"/>
      <c r="BO165" s="285"/>
      <c r="BP165" s="285"/>
      <c r="BQ165" s="285"/>
      <c r="BR165" s="285"/>
      <c r="BS165" s="285"/>
      <c r="BT165" s="285"/>
      <c r="BU165" s="285"/>
      <c r="BV165" s="285"/>
      <c r="BW165" s="285"/>
      <c r="BX165" s="285"/>
      <c r="BY165" s="285"/>
      <c r="BZ165" s="285"/>
      <c r="CA165" s="285"/>
      <c r="CB165" s="285"/>
      <c r="CC165" s="285"/>
      <c r="CD165" s="285"/>
      <c r="CE165" s="285"/>
      <c r="CF165" s="285"/>
      <c r="CG165" s="285"/>
      <c r="CH165" s="285"/>
      <c r="CI165" s="285"/>
      <c r="CJ165" s="285"/>
      <c r="CK165" s="285"/>
      <c r="CL165" s="285"/>
      <c r="CM165" s="285"/>
      <c r="CN165" s="285"/>
      <c r="CO165" s="285"/>
      <c r="CP165" s="285"/>
      <c r="CQ165" s="285"/>
      <c r="CR165" s="285"/>
      <c r="CS165" s="285"/>
      <c r="CT165" s="285"/>
      <c r="CU165" s="285"/>
      <c r="CV165" s="285"/>
      <c r="CW165" s="285"/>
      <c r="CX165" s="285"/>
      <c r="CY165" s="285"/>
      <c r="CZ165" s="285"/>
      <c r="DA165" s="285"/>
      <c r="DB165" s="285"/>
      <c r="DC165" s="285"/>
      <c r="DD165" s="285"/>
      <c r="DE165" s="285"/>
      <c r="DF165" s="285"/>
      <c r="DG165" s="285"/>
      <c r="DH165" s="285"/>
      <c r="DI165" s="285"/>
      <c r="DJ165" s="285"/>
      <c r="DK165" s="285"/>
      <c r="DL165" s="285"/>
      <c r="DM165" s="285"/>
      <c r="DN165" s="285"/>
      <c r="DO165" s="285"/>
      <c r="DP165" s="285"/>
      <c r="DQ165" s="285"/>
      <c r="DR165" s="285"/>
      <c r="DS165" s="285"/>
      <c r="DT165" s="285"/>
      <c r="DU165" s="285"/>
      <c r="DV165" s="285"/>
      <c r="DW165" s="285"/>
      <c r="DX165" s="285"/>
      <c r="DY165" s="285"/>
      <c r="DZ165" s="285"/>
      <c r="EA165" s="285"/>
      <c r="EB165" s="285"/>
      <c r="EC165" s="285"/>
      <c r="ED165" s="285"/>
      <c r="EE165" s="285"/>
      <c r="EF165" s="285"/>
      <c r="EG165" s="285"/>
      <c r="EH165" s="285"/>
      <c r="EI165" s="285"/>
      <c r="EJ165" s="285"/>
      <c r="EK165" s="285"/>
      <c r="EL165" s="285"/>
      <c r="EM165" s="285"/>
      <c r="EN165" s="285"/>
      <c r="EO165" s="285"/>
      <c r="EP165" s="285"/>
      <c r="EQ165" s="285"/>
      <c r="ER165" s="285"/>
      <c r="ES165" s="285"/>
      <c r="ET165" s="285"/>
      <c r="EU165" s="285"/>
      <c r="EV165" s="285"/>
      <c r="EW165" s="285"/>
      <c r="EX165" s="285"/>
      <c r="EY165" s="285"/>
      <c r="EZ165" s="285"/>
      <c r="FA165" s="285"/>
      <c r="FB165" s="285"/>
      <c r="FC165" s="285"/>
      <c r="FD165" s="285"/>
      <c r="FE165" s="285"/>
      <c r="FF165" s="285"/>
      <c r="FG165" s="285"/>
      <c r="FH165" s="285"/>
      <c r="FI165" s="285"/>
      <c r="FJ165" s="285"/>
      <c r="FK165" s="285"/>
      <c r="FL165" s="285"/>
      <c r="FM165" s="285"/>
      <c r="FN165" s="285"/>
      <c r="FO165" s="285"/>
      <c r="FP165" s="285"/>
      <c r="FQ165" s="285"/>
      <c r="FR165" s="285"/>
      <c r="FS165" s="285"/>
      <c r="FT165" s="285"/>
      <c r="FU165" s="285"/>
      <c r="FV165" s="285"/>
      <c r="FW165" s="285"/>
      <c r="FX165" s="285"/>
      <c r="FY165" s="285"/>
      <c r="FZ165" s="285"/>
      <c r="GA165" s="285"/>
      <c r="GB165" s="285"/>
      <c r="GC165" s="285"/>
      <c r="GD165" s="285"/>
      <c r="GE165" s="285"/>
      <c r="GF165" s="285"/>
      <c r="GG165" s="285"/>
      <c r="GH165" s="285"/>
      <c r="GI165" s="285"/>
      <c r="GJ165" s="285"/>
      <c r="GK165" s="285"/>
      <c r="GL165" s="285"/>
      <c r="GM165" s="285"/>
      <c r="GN165" s="285"/>
      <c r="GO165" s="285"/>
      <c r="GP165" s="285"/>
      <c r="GQ165" s="285"/>
      <c r="GR165" s="285"/>
      <c r="GS165" s="285"/>
      <c r="GT165" s="285"/>
      <c r="GU165" s="285"/>
      <c r="GV165" s="285"/>
      <c r="GW165" s="285"/>
      <c r="GX165" s="285"/>
      <c r="GY165" s="285"/>
      <c r="GZ165" s="285"/>
    </row>
    <row r="166" spans="1:208" ht="15">
      <c r="A166" s="282">
        <v>38</v>
      </c>
      <c r="B166" s="332">
        <v>44821</v>
      </c>
      <c r="C166" s="333">
        <v>1106184</v>
      </c>
      <c r="D166" s="282" t="s">
        <v>4455</v>
      </c>
      <c r="E166" s="333" t="s">
        <v>4250</v>
      </c>
      <c r="F166" s="333" t="s">
        <v>4251</v>
      </c>
      <c r="G166" s="351">
        <v>3185</v>
      </c>
      <c r="H166" s="333">
        <v>70</v>
      </c>
      <c r="I166" s="342">
        <v>4502412659</v>
      </c>
      <c r="J166" s="333">
        <v>3025457</v>
      </c>
      <c r="K166" s="342">
        <v>4902347668</v>
      </c>
      <c r="L166" s="282" t="s">
        <v>4252</v>
      </c>
      <c r="M166" s="283">
        <v>32999</v>
      </c>
      <c r="N166" s="333">
        <v>7750</v>
      </c>
      <c r="O166" s="284">
        <f t="shared" si="24"/>
        <v>255742250</v>
      </c>
      <c r="P166" s="285">
        <f t="shared" si="29"/>
        <v>5</v>
      </c>
      <c r="Q166" s="321" t="s">
        <v>3455</v>
      </c>
      <c r="R166" s="282">
        <v>1040968</v>
      </c>
      <c r="S166" s="342">
        <v>15094140</v>
      </c>
      <c r="T166" s="285"/>
      <c r="U166" s="285"/>
      <c r="V166" s="285"/>
      <c r="W166" s="285"/>
      <c r="X166" s="285"/>
      <c r="Y166" s="285"/>
      <c r="Z166" s="285"/>
      <c r="AA166" s="285"/>
      <c r="AB166" s="285"/>
      <c r="AC166" s="285"/>
      <c r="AD166" s="285"/>
      <c r="AE166" s="285"/>
      <c r="AF166" s="285"/>
      <c r="AG166" s="285"/>
      <c r="AH166" s="285"/>
      <c r="AI166" s="285"/>
      <c r="AJ166" s="285"/>
      <c r="AK166" s="285"/>
      <c r="AL166" s="285"/>
      <c r="AM166" s="285"/>
      <c r="AN166" s="285"/>
      <c r="AO166" s="285"/>
      <c r="AP166" s="285"/>
      <c r="AQ166" s="285"/>
      <c r="AR166" s="285"/>
      <c r="AS166" s="285"/>
      <c r="AT166" s="285"/>
      <c r="AU166" s="285"/>
      <c r="AV166" s="285"/>
      <c r="AW166" s="285"/>
      <c r="AX166" s="285"/>
      <c r="AY166" s="285"/>
      <c r="AZ166" s="285"/>
      <c r="BA166" s="285"/>
      <c r="BB166" s="285"/>
      <c r="BC166" s="285"/>
      <c r="BD166" s="285"/>
      <c r="BE166" s="285"/>
      <c r="BF166" s="285"/>
      <c r="BG166" s="285"/>
      <c r="BH166" s="285"/>
      <c r="BI166" s="285"/>
      <c r="BJ166" s="285"/>
      <c r="BK166" s="285"/>
      <c r="BL166" s="285"/>
      <c r="BM166" s="285"/>
      <c r="BN166" s="285"/>
      <c r="BO166" s="285"/>
      <c r="BP166" s="285"/>
      <c r="BQ166" s="285"/>
      <c r="BR166" s="285"/>
      <c r="BS166" s="285"/>
      <c r="BT166" s="285"/>
      <c r="BU166" s="285"/>
      <c r="BV166" s="285"/>
      <c r="BW166" s="285"/>
      <c r="BX166" s="285"/>
      <c r="BY166" s="285"/>
      <c r="BZ166" s="285"/>
      <c r="CA166" s="285"/>
      <c r="CB166" s="285"/>
      <c r="CC166" s="285"/>
      <c r="CD166" s="285"/>
      <c r="CE166" s="285"/>
      <c r="CF166" s="285"/>
      <c r="CG166" s="285"/>
      <c r="CH166" s="285"/>
      <c r="CI166" s="285"/>
      <c r="CJ166" s="285"/>
      <c r="CK166" s="285"/>
      <c r="CL166" s="285"/>
      <c r="CM166" s="285"/>
      <c r="CN166" s="285"/>
      <c r="CO166" s="285"/>
      <c r="CP166" s="285"/>
      <c r="CQ166" s="285"/>
      <c r="CR166" s="285"/>
      <c r="CS166" s="285"/>
      <c r="CT166" s="285"/>
      <c r="CU166" s="285"/>
      <c r="CV166" s="285"/>
      <c r="CW166" s="285"/>
      <c r="CX166" s="285"/>
      <c r="CY166" s="285"/>
      <c r="CZ166" s="285"/>
      <c r="DA166" s="285"/>
      <c r="DB166" s="285"/>
      <c r="DC166" s="285"/>
      <c r="DD166" s="285"/>
      <c r="DE166" s="285"/>
      <c r="DF166" s="285"/>
      <c r="DG166" s="285"/>
      <c r="DH166" s="285"/>
      <c r="DI166" s="285"/>
      <c r="DJ166" s="285"/>
      <c r="DK166" s="285"/>
      <c r="DL166" s="285"/>
      <c r="DM166" s="285"/>
      <c r="DN166" s="285"/>
      <c r="DO166" s="285"/>
      <c r="DP166" s="285"/>
      <c r="DQ166" s="285"/>
      <c r="DR166" s="285"/>
      <c r="DS166" s="285"/>
      <c r="DT166" s="285"/>
      <c r="DU166" s="285"/>
      <c r="DV166" s="285"/>
      <c r="DW166" s="285"/>
      <c r="DX166" s="285"/>
      <c r="DY166" s="285"/>
      <c r="DZ166" s="285"/>
      <c r="EA166" s="285"/>
      <c r="EB166" s="285"/>
      <c r="EC166" s="285"/>
      <c r="ED166" s="285"/>
      <c r="EE166" s="285"/>
      <c r="EF166" s="285"/>
      <c r="EG166" s="285"/>
      <c r="EH166" s="285"/>
      <c r="EI166" s="285"/>
      <c r="EJ166" s="285"/>
      <c r="EK166" s="285"/>
      <c r="EL166" s="285"/>
      <c r="EM166" s="285"/>
      <c r="EN166" s="285"/>
      <c r="EO166" s="285"/>
      <c r="EP166" s="285"/>
      <c r="EQ166" s="285"/>
      <c r="ER166" s="285"/>
      <c r="ES166" s="285"/>
      <c r="ET166" s="285"/>
      <c r="EU166" s="285"/>
      <c r="EV166" s="285"/>
      <c r="EW166" s="285"/>
      <c r="EX166" s="285"/>
      <c r="EY166" s="285"/>
      <c r="EZ166" s="285"/>
      <c r="FA166" s="285"/>
      <c r="FB166" s="285"/>
      <c r="FC166" s="285"/>
      <c r="FD166" s="285"/>
      <c r="FE166" s="285"/>
      <c r="FF166" s="285"/>
      <c r="FG166" s="285"/>
      <c r="FH166" s="285"/>
      <c r="FI166" s="285"/>
      <c r="FJ166" s="285"/>
      <c r="FK166" s="285"/>
      <c r="FL166" s="285"/>
      <c r="FM166" s="285"/>
      <c r="FN166" s="285"/>
      <c r="FO166" s="285"/>
      <c r="FP166" s="285"/>
      <c r="FQ166" s="285"/>
      <c r="FR166" s="285"/>
      <c r="FS166" s="285"/>
      <c r="FT166" s="285"/>
      <c r="FU166" s="285"/>
      <c r="FV166" s="285"/>
      <c r="FW166" s="285"/>
      <c r="FX166" s="285"/>
      <c r="FY166" s="285"/>
      <c r="FZ166" s="285"/>
      <c r="GA166" s="285"/>
      <c r="GB166" s="285"/>
      <c r="GC166" s="285"/>
      <c r="GD166" s="285"/>
      <c r="GE166" s="285"/>
      <c r="GF166" s="285"/>
      <c r="GG166" s="285"/>
      <c r="GH166" s="285"/>
      <c r="GI166" s="285"/>
      <c r="GJ166" s="285"/>
      <c r="GK166" s="285"/>
      <c r="GL166" s="285"/>
      <c r="GM166" s="285"/>
      <c r="GN166" s="285"/>
      <c r="GO166" s="285"/>
      <c r="GP166" s="285"/>
      <c r="GQ166" s="285"/>
      <c r="GR166" s="285"/>
      <c r="GS166" s="285"/>
      <c r="GT166" s="285"/>
      <c r="GU166" s="285"/>
      <c r="GV166" s="285"/>
      <c r="GW166" s="285"/>
      <c r="GX166" s="285"/>
      <c r="GY166" s="285"/>
      <c r="GZ166" s="285"/>
    </row>
    <row r="167" spans="1:208" ht="15">
      <c r="A167" s="282">
        <v>38</v>
      </c>
      <c r="B167" s="332">
        <v>44824</v>
      </c>
      <c r="C167" s="333">
        <v>1075952</v>
      </c>
      <c r="D167" s="282" t="s">
        <v>4456</v>
      </c>
      <c r="E167" s="333" t="s">
        <v>4457</v>
      </c>
      <c r="F167" s="333" t="s">
        <v>4251</v>
      </c>
      <c r="G167" s="352">
        <v>3182</v>
      </c>
      <c r="H167" s="333">
        <v>42</v>
      </c>
      <c r="I167" s="342">
        <v>4502412663</v>
      </c>
      <c r="J167" s="333">
        <v>3025457</v>
      </c>
      <c r="K167" s="342">
        <v>4902347669</v>
      </c>
      <c r="L167" s="282" t="s">
        <v>4252</v>
      </c>
      <c r="M167" s="283">
        <v>22009</v>
      </c>
      <c r="N167" s="333">
        <v>7800</v>
      </c>
      <c r="O167" s="284">
        <f t="shared" si="24"/>
        <v>171670200</v>
      </c>
      <c r="P167" s="285">
        <f t="shared" si="29"/>
        <v>3</v>
      </c>
      <c r="Q167" s="321" t="s">
        <v>3455</v>
      </c>
      <c r="R167" s="282">
        <v>1040968</v>
      </c>
      <c r="S167" s="334">
        <f>1840900*3</f>
        <v>5522700</v>
      </c>
      <c r="T167" s="285"/>
      <c r="U167" s="285"/>
      <c r="V167" s="285"/>
      <c r="W167" s="285"/>
      <c r="X167" s="285"/>
      <c r="Y167" s="285"/>
      <c r="Z167" s="285"/>
      <c r="AA167" s="285"/>
      <c r="AB167" s="285"/>
      <c r="AC167" s="285"/>
      <c r="AD167" s="285"/>
      <c r="AE167" s="285"/>
      <c r="AF167" s="285"/>
      <c r="AG167" s="285"/>
      <c r="AH167" s="285"/>
      <c r="AI167" s="285"/>
      <c r="AJ167" s="285"/>
      <c r="AK167" s="285"/>
      <c r="AL167" s="285"/>
      <c r="AM167" s="285"/>
      <c r="AN167" s="285"/>
      <c r="AO167" s="285"/>
      <c r="AP167" s="285"/>
      <c r="AQ167" s="285"/>
      <c r="AR167" s="285"/>
      <c r="AS167" s="285"/>
      <c r="AT167" s="285"/>
      <c r="AU167" s="285"/>
      <c r="AV167" s="285"/>
      <c r="AW167" s="285"/>
      <c r="AX167" s="285"/>
      <c r="AY167" s="285"/>
      <c r="AZ167" s="285"/>
      <c r="BA167" s="285"/>
      <c r="BB167" s="285"/>
      <c r="BC167" s="285"/>
      <c r="BD167" s="285"/>
      <c r="BE167" s="285"/>
      <c r="BF167" s="285"/>
      <c r="BG167" s="285"/>
      <c r="BH167" s="285"/>
      <c r="BI167" s="285"/>
      <c r="BJ167" s="285"/>
      <c r="BK167" s="285"/>
      <c r="BL167" s="285"/>
      <c r="BM167" s="285"/>
      <c r="BN167" s="285"/>
      <c r="BO167" s="285"/>
      <c r="BP167" s="285"/>
      <c r="BQ167" s="285"/>
      <c r="BR167" s="285"/>
      <c r="BS167" s="285"/>
      <c r="BT167" s="285"/>
      <c r="BU167" s="285"/>
      <c r="BV167" s="285"/>
      <c r="BW167" s="285"/>
      <c r="BX167" s="285"/>
      <c r="BY167" s="285"/>
      <c r="BZ167" s="285"/>
      <c r="CA167" s="285"/>
      <c r="CB167" s="285"/>
      <c r="CC167" s="285"/>
      <c r="CD167" s="285"/>
      <c r="CE167" s="285"/>
      <c r="CF167" s="285"/>
      <c r="CG167" s="285"/>
      <c r="CH167" s="285"/>
      <c r="CI167" s="285"/>
      <c r="CJ167" s="285"/>
      <c r="CK167" s="285"/>
      <c r="CL167" s="285"/>
      <c r="CM167" s="285"/>
      <c r="CN167" s="285"/>
      <c r="CO167" s="285"/>
      <c r="CP167" s="285"/>
      <c r="CQ167" s="285"/>
      <c r="CR167" s="285"/>
      <c r="CS167" s="285"/>
      <c r="CT167" s="285"/>
      <c r="CU167" s="285"/>
      <c r="CV167" s="285"/>
      <c r="CW167" s="285"/>
      <c r="CX167" s="285"/>
      <c r="CY167" s="285"/>
      <c r="CZ167" s="285"/>
      <c r="DA167" s="285"/>
      <c r="DB167" s="285"/>
      <c r="DC167" s="285"/>
      <c r="DD167" s="285"/>
      <c r="DE167" s="285"/>
      <c r="DF167" s="285"/>
      <c r="DG167" s="285"/>
      <c r="DH167" s="285"/>
      <c r="DI167" s="285"/>
      <c r="DJ167" s="285"/>
      <c r="DK167" s="285"/>
      <c r="DL167" s="285"/>
      <c r="DM167" s="285"/>
      <c r="DN167" s="285"/>
      <c r="DO167" s="285"/>
      <c r="DP167" s="285"/>
      <c r="DQ167" s="285"/>
      <c r="DR167" s="285"/>
      <c r="DS167" s="285"/>
      <c r="DT167" s="285"/>
      <c r="DU167" s="285"/>
      <c r="DV167" s="285"/>
      <c r="DW167" s="285"/>
      <c r="DX167" s="285"/>
      <c r="DY167" s="285"/>
      <c r="DZ167" s="285"/>
      <c r="EA167" s="285"/>
      <c r="EB167" s="285"/>
      <c r="EC167" s="285"/>
      <c r="ED167" s="285"/>
      <c r="EE167" s="285"/>
      <c r="EF167" s="285"/>
      <c r="EG167" s="285"/>
      <c r="EH167" s="285"/>
      <c r="EI167" s="285"/>
      <c r="EJ167" s="285"/>
      <c r="EK167" s="285"/>
      <c r="EL167" s="285"/>
      <c r="EM167" s="285"/>
      <c r="EN167" s="285"/>
      <c r="EO167" s="285"/>
      <c r="EP167" s="285"/>
      <c r="EQ167" s="285"/>
      <c r="ER167" s="285"/>
      <c r="ES167" s="285"/>
      <c r="ET167" s="285"/>
      <c r="EU167" s="285"/>
      <c r="EV167" s="285"/>
      <c r="EW167" s="285"/>
      <c r="EX167" s="285"/>
      <c r="EY167" s="285"/>
      <c r="EZ167" s="285"/>
      <c r="FA167" s="285"/>
      <c r="FB167" s="285"/>
      <c r="FC167" s="285"/>
      <c r="FD167" s="285"/>
      <c r="FE167" s="285"/>
      <c r="FF167" s="285"/>
      <c r="FG167" s="285"/>
      <c r="FH167" s="285"/>
      <c r="FI167" s="285"/>
      <c r="FJ167" s="285"/>
      <c r="FK167" s="285"/>
      <c r="FL167" s="285"/>
      <c r="FM167" s="285"/>
      <c r="FN167" s="285"/>
      <c r="FO167" s="285"/>
      <c r="FP167" s="285"/>
      <c r="FQ167" s="285"/>
      <c r="FR167" s="285"/>
      <c r="FS167" s="285"/>
      <c r="FT167" s="285"/>
      <c r="FU167" s="285"/>
      <c r="FV167" s="285"/>
      <c r="FW167" s="285"/>
      <c r="FX167" s="285"/>
      <c r="FY167" s="285"/>
      <c r="FZ167" s="285"/>
      <c r="GA167" s="285"/>
      <c r="GB167" s="285"/>
      <c r="GC167" s="285"/>
      <c r="GD167" s="285"/>
      <c r="GE167" s="285"/>
      <c r="GF167" s="285"/>
      <c r="GG167" s="285"/>
      <c r="GH167" s="285"/>
      <c r="GI167" s="285"/>
      <c r="GJ167" s="285"/>
      <c r="GK167" s="285"/>
      <c r="GL167" s="285"/>
      <c r="GM167" s="285"/>
      <c r="GN167" s="285"/>
      <c r="GO167" s="285"/>
      <c r="GP167" s="285"/>
      <c r="GQ167" s="285"/>
      <c r="GR167" s="285"/>
      <c r="GS167" s="285"/>
      <c r="GT167" s="285"/>
      <c r="GU167" s="285"/>
      <c r="GV167" s="285"/>
      <c r="GW167" s="285"/>
      <c r="GX167" s="285"/>
      <c r="GY167" s="285"/>
      <c r="GZ167" s="285"/>
    </row>
    <row r="168" spans="1:208" ht="15">
      <c r="A168" s="282">
        <v>38</v>
      </c>
      <c r="B168" s="332">
        <v>44824</v>
      </c>
      <c r="C168" s="333">
        <v>1036751</v>
      </c>
      <c r="D168" s="282" t="s">
        <v>4458</v>
      </c>
      <c r="E168" s="333" t="s">
        <v>4450</v>
      </c>
      <c r="F168" s="333" t="s">
        <v>4251</v>
      </c>
      <c r="G168" s="351">
        <v>3180</v>
      </c>
      <c r="H168" s="333">
        <v>98</v>
      </c>
      <c r="I168" s="342">
        <v>4502411300</v>
      </c>
      <c r="J168" s="333">
        <v>3025457</v>
      </c>
      <c r="K168" s="342">
        <v>4902347671</v>
      </c>
      <c r="L168" s="282" t="s">
        <v>4252</v>
      </c>
      <c r="M168" s="283">
        <v>50751.199999999997</v>
      </c>
      <c r="N168" s="333">
        <v>9035</v>
      </c>
      <c r="O168" s="284">
        <f t="shared" si="24"/>
        <v>458537092</v>
      </c>
      <c r="P168" s="285">
        <f t="shared" si="29"/>
        <v>7</v>
      </c>
      <c r="Q168" s="321" t="s">
        <v>3455</v>
      </c>
      <c r="R168" s="282">
        <v>1040968</v>
      </c>
      <c r="S168" s="334">
        <f>1750000*7</f>
        <v>12250000</v>
      </c>
      <c r="T168" s="285"/>
      <c r="U168" s="285"/>
      <c r="V168" s="285"/>
      <c r="W168" s="285"/>
      <c r="X168" s="285"/>
      <c r="Y168" s="285"/>
      <c r="Z168" s="285"/>
      <c r="AA168" s="285"/>
      <c r="AB168" s="285"/>
      <c r="AC168" s="285"/>
      <c r="AD168" s="285"/>
      <c r="AE168" s="285"/>
      <c r="AF168" s="285"/>
      <c r="AG168" s="285"/>
      <c r="AH168" s="285"/>
      <c r="AI168" s="285"/>
      <c r="AJ168" s="285"/>
      <c r="AK168" s="285"/>
      <c r="AL168" s="285"/>
      <c r="AM168" s="285"/>
      <c r="AN168" s="285"/>
      <c r="AO168" s="285"/>
      <c r="AP168" s="285"/>
      <c r="AQ168" s="285"/>
      <c r="AR168" s="285"/>
      <c r="AS168" s="285"/>
      <c r="AT168" s="285"/>
      <c r="AU168" s="285"/>
      <c r="AV168" s="285"/>
      <c r="AW168" s="285"/>
      <c r="AX168" s="285"/>
      <c r="AY168" s="285"/>
      <c r="AZ168" s="285"/>
      <c r="BA168" s="285"/>
      <c r="BB168" s="285"/>
      <c r="BC168" s="285"/>
      <c r="BD168" s="285"/>
      <c r="BE168" s="285"/>
      <c r="BF168" s="285"/>
      <c r="BG168" s="285"/>
      <c r="BH168" s="285"/>
      <c r="BI168" s="285"/>
      <c r="BJ168" s="285"/>
      <c r="BK168" s="285"/>
      <c r="BL168" s="285"/>
      <c r="BM168" s="285"/>
      <c r="BN168" s="285"/>
      <c r="BO168" s="285"/>
      <c r="BP168" s="285"/>
      <c r="BQ168" s="285"/>
      <c r="BR168" s="285"/>
      <c r="BS168" s="285"/>
      <c r="BT168" s="285"/>
      <c r="BU168" s="285"/>
      <c r="BV168" s="285"/>
      <c r="BW168" s="285"/>
      <c r="BX168" s="285"/>
      <c r="BY168" s="285"/>
      <c r="BZ168" s="285"/>
      <c r="CA168" s="285"/>
      <c r="CB168" s="285"/>
      <c r="CC168" s="285"/>
      <c r="CD168" s="285"/>
      <c r="CE168" s="285"/>
      <c r="CF168" s="285"/>
      <c r="CG168" s="285"/>
      <c r="CH168" s="285"/>
      <c r="CI168" s="285"/>
      <c r="CJ168" s="285"/>
      <c r="CK168" s="285"/>
      <c r="CL168" s="285"/>
      <c r="CM168" s="285"/>
      <c r="CN168" s="285"/>
      <c r="CO168" s="285"/>
      <c r="CP168" s="285"/>
      <c r="CQ168" s="285"/>
      <c r="CR168" s="285"/>
      <c r="CS168" s="285"/>
      <c r="CT168" s="285"/>
      <c r="CU168" s="285"/>
      <c r="CV168" s="285"/>
      <c r="CW168" s="285"/>
      <c r="CX168" s="285"/>
      <c r="CY168" s="285"/>
      <c r="CZ168" s="285"/>
      <c r="DA168" s="285"/>
      <c r="DB168" s="285"/>
      <c r="DC168" s="285"/>
      <c r="DD168" s="285"/>
      <c r="DE168" s="285"/>
      <c r="DF168" s="285"/>
      <c r="DG168" s="285"/>
      <c r="DH168" s="285"/>
      <c r="DI168" s="285"/>
      <c r="DJ168" s="285"/>
      <c r="DK168" s="285"/>
      <c r="DL168" s="285"/>
      <c r="DM168" s="285"/>
      <c r="DN168" s="285"/>
      <c r="DO168" s="285"/>
      <c r="DP168" s="285"/>
      <c r="DQ168" s="285"/>
      <c r="DR168" s="285"/>
      <c r="DS168" s="285"/>
      <c r="DT168" s="285"/>
      <c r="DU168" s="285"/>
      <c r="DV168" s="285"/>
      <c r="DW168" s="285"/>
      <c r="DX168" s="285"/>
      <c r="DY168" s="285"/>
      <c r="DZ168" s="285"/>
      <c r="EA168" s="285"/>
      <c r="EB168" s="285"/>
      <c r="EC168" s="285"/>
      <c r="ED168" s="285"/>
      <c r="EE168" s="285"/>
      <c r="EF168" s="285"/>
      <c r="EG168" s="285"/>
      <c r="EH168" s="285"/>
      <c r="EI168" s="285"/>
      <c r="EJ168" s="285"/>
      <c r="EK168" s="285"/>
      <c r="EL168" s="285"/>
      <c r="EM168" s="285"/>
      <c r="EN168" s="285"/>
      <c r="EO168" s="285"/>
      <c r="EP168" s="285"/>
      <c r="EQ168" s="285"/>
      <c r="ER168" s="285"/>
      <c r="ES168" s="285"/>
      <c r="ET168" s="285"/>
      <c r="EU168" s="285"/>
      <c r="EV168" s="285"/>
      <c r="EW168" s="285"/>
      <c r="EX168" s="285"/>
      <c r="EY168" s="285"/>
      <c r="EZ168" s="285"/>
      <c r="FA168" s="285"/>
      <c r="FB168" s="285"/>
      <c r="FC168" s="285"/>
      <c r="FD168" s="285"/>
      <c r="FE168" s="285"/>
      <c r="FF168" s="285"/>
      <c r="FG168" s="285"/>
      <c r="FH168" s="285"/>
      <c r="FI168" s="285"/>
      <c r="FJ168" s="285"/>
      <c r="FK168" s="285"/>
      <c r="FL168" s="285"/>
      <c r="FM168" s="285"/>
      <c r="FN168" s="285"/>
      <c r="FO168" s="285"/>
      <c r="FP168" s="285"/>
      <c r="FQ168" s="285"/>
      <c r="FR168" s="285"/>
      <c r="FS168" s="285"/>
      <c r="FT168" s="285"/>
      <c r="FU168" s="285"/>
      <c r="FV168" s="285"/>
      <c r="FW168" s="285"/>
      <c r="FX168" s="285"/>
      <c r="FY168" s="285"/>
      <c r="FZ168" s="285"/>
      <c r="GA168" s="285"/>
      <c r="GB168" s="285"/>
      <c r="GC168" s="285"/>
      <c r="GD168" s="285"/>
      <c r="GE168" s="285"/>
      <c r="GF168" s="285"/>
      <c r="GG168" s="285"/>
      <c r="GH168" s="285"/>
      <c r="GI168" s="285"/>
      <c r="GJ168" s="285"/>
      <c r="GK168" s="285"/>
      <c r="GL168" s="285"/>
      <c r="GM168" s="285"/>
      <c r="GN168" s="285"/>
      <c r="GO168" s="285"/>
      <c r="GP168" s="285"/>
      <c r="GQ168" s="285"/>
      <c r="GR168" s="285"/>
      <c r="GS168" s="285"/>
      <c r="GT168" s="285"/>
      <c r="GU168" s="285"/>
      <c r="GV168" s="285"/>
      <c r="GW168" s="285"/>
      <c r="GX168" s="285"/>
      <c r="GY168" s="285"/>
      <c r="GZ168" s="285"/>
    </row>
    <row r="169" spans="1:208" ht="15">
      <c r="A169" s="304">
        <v>39</v>
      </c>
      <c r="B169" s="328">
        <v>44826</v>
      </c>
      <c r="C169" s="329">
        <v>1036751</v>
      </c>
      <c r="D169" s="337" t="s">
        <v>4459</v>
      </c>
      <c r="E169" s="329" t="s">
        <v>4450</v>
      </c>
      <c r="F169" s="329" t="s">
        <v>4251</v>
      </c>
      <c r="G169" s="329">
        <v>3180</v>
      </c>
      <c r="H169" s="329">
        <v>70</v>
      </c>
      <c r="I169" s="337">
        <v>4502411300</v>
      </c>
      <c r="J169" s="329">
        <v>3025457</v>
      </c>
      <c r="K169" s="337">
        <v>4902351852</v>
      </c>
      <c r="L169" s="337" t="s">
        <v>4252</v>
      </c>
      <c r="M169" s="359">
        <v>36250.800000000003</v>
      </c>
      <c r="N169" s="329">
        <v>9035</v>
      </c>
      <c r="O169" s="306">
        <f t="shared" si="24"/>
        <v>327525978</v>
      </c>
      <c r="P169" s="304">
        <f t="shared" si="29"/>
        <v>5</v>
      </c>
      <c r="Q169" s="331" t="s">
        <v>3455</v>
      </c>
      <c r="R169" s="304">
        <v>1040968</v>
      </c>
      <c r="S169" s="330">
        <v>8750000</v>
      </c>
      <c r="T169" s="307"/>
      <c r="U169" s="307"/>
      <c r="V169" s="307"/>
      <c r="W169" s="307"/>
      <c r="X169" s="307"/>
      <c r="Y169" s="307"/>
      <c r="Z169" s="307"/>
      <c r="AA169" s="307"/>
      <c r="AB169" s="307"/>
      <c r="AC169" s="307"/>
      <c r="AD169" s="307"/>
      <c r="AE169" s="307"/>
      <c r="AF169" s="307"/>
      <c r="AG169" s="307"/>
      <c r="AH169" s="307"/>
      <c r="AI169" s="307"/>
      <c r="AJ169" s="307"/>
      <c r="AK169" s="307"/>
      <c r="AL169" s="307"/>
      <c r="AM169" s="307"/>
      <c r="AN169" s="307"/>
      <c r="AO169" s="307"/>
      <c r="AP169" s="307"/>
      <c r="AQ169" s="307"/>
      <c r="AR169" s="307"/>
      <c r="AS169" s="307"/>
      <c r="AT169" s="307"/>
      <c r="AU169" s="307"/>
      <c r="AV169" s="307"/>
      <c r="AW169" s="307"/>
      <c r="AX169" s="307"/>
      <c r="AY169" s="307"/>
      <c r="AZ169" s="307"/>
      <c r="BA169" s="307"/>
      <c r="BB169" s="307"/>
      <c r="BC169" s="307"/>
      <c r="BD169" s="307"/>
      <c r="BE169" s="307"/>
      <c r="BF169" s="307"/>
      <c r="BG169" s="307"/>
      <c r="BH169" s="307"/>
      <c r="BI169" s="307"/>
      <c r="BJ169" s="307"/>
      <c r="BK169" s="307"/>
      <c r="BL169" s="307"/>
      <c r="BM169" s="307"/>
      <c r="BN169" s="307"/>
      <c r="BO169" s="307"/>
      <c r="BP169" s="307"/>
      <c r="BQ169" s="307"/>
      <c r="BR169" s="307"/>
      <c r="BS169" s="307"/>
      <c r="BT169" s="307"/>
      <c r="BU169" s="307"/>
      <c r="BV169" s="307"/>
      <c r="BW169" s="307"/>
      <c r="BX169" s="307"/>
      <c r="BY169" s="307"/>
      <c r="BZ169" s="307"/>
      <c r="CA169" s="307"/>
      <c r="CB169" s="307"/>
      <c r="CC169" s="307"/>
      <c r="CD169" s="307"/>
      <c r="CE169" s="307"/>
      <c r="CF169" s="307"/>
      <c r="CG169" s="307"/>
      <c r="CH169" s="307"/>
      <c r="CI169" s="307"/>
      <c r="CJ169" s="307"/>
      <c r="CK169" s="307"/>
      <c r="CL169" s="307"/>
      <c r="CM169" s="307"/>
      <c r="CN169" s="307"/>
      <c r="CO169" s="307"/>
      <c r="CP169" s="307"/>
      <c r="CQ169" s="307"/>
      <c r="CR169" s="307"/>
      <c r="CS169" s="307"/>
      <c r="CT169" s="307"/>
      <c r="CU169" s="307"/>
      <c r="CV169" s="307"/>
      <c r="CW169" s="307"/>
      <c r="CX169" s="307"/>
      <c r="CY169" s="307"/>
      <c r="CZ169" s="307"/>
      <c r="DA169" s="307"/>
      <c r="DB169" s="307"/>
      <c r="DC169" s="307"/>
      <c r="DD169" s="307"/>
      <c r="DE169" s="307"/>
      <c r="DF169" s="307"/>
      <c r="DG169" s="307"/>
      <c r="DH169" s="307"/>
      <c r="DI169" s="307"/>
      <c r="DJ169" s="307"/>
      <c r="DK169" s="307"/>
      <c r="DL169" s="307"/>
      <c r="DM169" s="307"/>
      <c r="DN169" s="307"/>
      <c r="DO169" s="307"/>
      <c r="DP169" s="307"/>
      <c r="DQ169" s="307"/>
      <c r="DR169" s="307"/>
      <c r="DS169" s="307"/>
      <c r="DT169" s="307"/>
      <c r="DU169" s="307"/>
      <c r="DV169" s="307"/>
      <c r="DW169" s="307"/>
      <c r="DX169" s="307"/>
      <c r="DY169" s="307"/>
      <c r="DZ169" s="307"/>
      <c r="EA169" s="307"/>
      <c r="EB169" s="307"/>
      <c r="EC169" s="307"/>
      <c r="ED169" s="307"/>
      <c r="EE169" s="307"/>
      <c r="EF169" s="307"/>
      <c r="EG169" s="307"/>
      <c r="EH169" s="307"/>
      <c r="EI169" s="307"/>
      <c r="EJ169" s="307"/>
      <c r="EK169" s="307"/>
      <c r="EL169" s="307"/>
      <c r="EM169" s="307"/>
      <c r="EN169" s="307"/>
      <c r="EO169" s="307"/>
      <c r="EP169" s="307"/>
      <c r="EQ169" s="307"/>
      <c r="ER169" s="307"/>
      <c r="ES169" s="307"/>
      <c r="ET169" s="307"/>
      <c r="EU169" s="307"/>
      <c r="EV169" s="307"/>
      <c r="EW169" s="307"/>
      <c r="EX169" s="307"/>
      <c r="EY169" s="307"/>
      <c r="EZ169" s="307"/>
      <c r="FA169" s="307"/>
      <c r="FB169" s="307"/>
      <c r="FC169" s="307"/>
      <c r="FD169" s="307"/>
      <c r="FE169" s="307"/>
      <c r="FF169" s="307"/>
      <c r="FG169" s="307"/>
      <c r="FH169" s="307"/>
      <c r="FI169" s="307"/>
      <c r="FJ169" s="307"/>
      <c r="FK169" s="307"/>
      <c r="FL169" s="307"/>
      <c r="FM169" s="307"/>
      <c r="FN169" s="307"/>
      <c r="FO169" s="307"/>
      <c r="FP169" s="307"/>
      <c r="FQ169" s="307"/>
      <c r="FR169" s="307"/>
      <c r="FS169" s="307"/>
      <c r="FT169" s="307"/>
      <c r="FU169" s="307"/>
      <c r="FV169" s="307"/>
      <c r="FW169" s="307"/>
      <c r="FX169" s="307"/>
      <c r="FY169" s="307"/>
      <c r="FZ169" s="307"/>
      <c r="GA169" s="307"/>
      <c r="GB169" s="307"/>
      <c r="GC169" s="307"/>
      <c r="GD169" s="307"/>
      <c r="GE169" s="307"/>
      <c r="GF169" s="307"/>
      <c r="GG169" s="307"/>
      <c r="GH169" s="307"/>
      <c r="GI169" s="307"/>
      <c r="GJ169" s="307"/>
      <c r="GK169" s="307"/>
      <c r="GL169" s="307"/>
      <c r="GM169" s="307"/>
      <c r="GN169" s="307"/>
      <c r="GO169" s="307"/>
      <c r="GP169" s="307"/>
      <c r="GQ169" s="307"/>
      <c r="GR169" s="307"/>
      <c r="GS169" s="307"/>
      <c r="GT169" s="307"/>
      <c r="GU169" s="307"/>
      <c r="GV169" s="307"/>
      <c r="GW169" s="307"/>
      <c r="GX169" s="307"/>
      <c r="GY169" s="307"/>
      <c r="GZ169" s="307"/>
    </row>
    <row r="170" spans="1:208" ht="15">
      <c r="A170" s="304">
        <v>39</v>
      </c>
      <c r="B170" s="328">
        <v>44827</v>
      </c>
      <c r="C170" s="329">
        <v>1053331</v>
      </c>
      <c r="D170" s="337" t="s">
        <v>4460</v>
      </c>
      <c r="E170" s="329" t="s">
        <v>4416</v>
      </c>
      <c r="F170" s="329" t="s">
        <v>4275</v>
      </c>
      <c r="G170" s="329">
        <v>3178</v>
      </c>
      <c r="H170" s="329">
        <v>42</v>
      </c>
      <c r="I170" s="337">
        <v>4502417893</v>
      </c>
      <c r="J170" s="353">
        <v>3025459</v>
      </c>
      <c r="K170" s="337">
        <v>4902352521</v>
      </c>
      <c r="L170" s="337" t="s">
        <v>4252</v>
      </c>
      <c r="M170" s="359">
        <v>19854</v>
      </c>
      <c r="N170" s="329">
        <v>7900</v>
      </c>
      <c r="O170" s="306">
        <f t="shared" si="24"/>
        <v>156846600</v>
      </c>
      <c r="P170" s="304">
        <f t="shared" si="29"/>
        <v>3</v>
      </c>
      <c r="Q170" s="331" t="s">
        <v>3455</v>
      </c>
      <c r="R170" s="304">
        <v>1040968</v>
      </c>
      <c r="S170" s="330">
        <v>5381700</v>
      </c>
      <c r="T170" s="307"/>
      <c r="U170" s="307"/>
      <c r="V170" s="307"/>
      <c r="W170" s="307"/>
      <c r="X170" s="307"/>
      <c r="Y170" s="307"/>
      <c r="Z170" s="307"/>
      <c r="AA170" s="307"/>
      <c r="AB170" s="307"/>
      <c r="AC170" s="307"/>
      <c r="AD170" s="307"/>
      <c r="AE170" s="307"/>
      <c r="AF170" s="307"/>
      <c r="AG170" s="307"/>
      <c r="AH170" s="307"/>
      <c r="AI170" s="307"/>
      <c r="AJ170" s="307"/>
      <c r="AK170" s="307"/>
      <c r="AL170" s="307"/>
      <c r="AM170" s="307"/>
      <c r="AN170" s="307"/>
      <c r="AO170" s="307"/>
      <c r="AP170" s="307"/>
      <c r="AQ170" s="307"/>
      <c r="AR170" s="307"/>
      <c r="AS170" s="307"/>
      <c r="AT170" s="307"/>
      <c r="AU170" s="307"/>
      <c r="AV170" s="307"/>
      <c r="AW170" s="307"/>
      <c r="AX170" s="307"/>
      <c r="AY170" s="307"/>
      <c r="AZ170" s="307"/>
      <c r="BA170" s="307"/>
      <c r="BB170" s="307"/>
      <c r="BC170" s="307"/>
      <c r="BD170" s="307"/>
      <c r="BE170" s="307"/>
      <c r="BF170" s="307"/>
      <c r="BG170" s="307"/>
      <c r="BH170" s="307"/>
      <c r="BI170" s="307"/>
      <c r="BJ170" s="307"/>
      <c r="BK170" s="307"/>
      <c r="BL170" s="307"/>
      <c r="BM170" s="307"/>
      <c r="BN170" s="307"/>
      <c r="BO170" s="307"/>
      <c r="BP170" s="307"/>
      <c r="BQ170" s="307"/>
      <c r="BR170" s="307"/>
      <c r="BS170" s="307"/>
      <c r="BT170" s="307"/>
      <c r="BU170" s="307"/>
      <c r="BV170" s="307"/>
      <c r="BW170" s="307"/>
      <c r="BX170" s="307"/>
      <c r="BY170" s="307"/>
      <c r="BZ170" s="307"/>
      <c r="CA170" s="307"/>
      <c r="CB170" s="307"/>
      <c r="CC170" s="307"/>
      <c r="CD170" s="307"/>
      <c r="CE170" s="307"/>
      <c r="CF170" s="307"/>
      <c r="CG170" s="307"/>
      <c r="CH170" s="307"/>
      <c r="CI170" s="307"/>
      <c r="CJ170" s="307"/>
      <c r="CK170" s="307"/>
      <c r="CL170" s="307"/>
      <c r="CM170" s="307"/>
      <c r="CN170" s="307"/>
      <c r="CO170" s="307"/>
      <c r="CP170" s="307"/>
      <c r="CQ170" s="307"/>
      <c r="CR170" s="307"/>
      <c r="CS170" s="307"/>
      <c r="CT170" s="307"/>
      <c r="CU170" s="307"/>
      <c r="CV170" s="307"/>
      <c r="CW170" s="307"/>
      <c r="CX170" s="307"/>
      <c r="CY170" s="307"/>
      <c r="CZ170" s="307"/>
      <c r="DA170" s="307"/>
      <c r="DB170" s="307"/>
      <c r="DC170" s="307"/>
      <c r="DD170" s="307"/>
      <c r="DE170" s="307"/>
      <c r="DF170" s="307"/>
      <c r="DG170" s="307"/>
      <c r="DH170" s="307"/>
      <c r="DI170" s="307"/>
      <c r="DJ170" s="307"/>
      <c r="DK170" s="307"/>
      <c r="DL170" s="307"/>
      <c r="DM170" s="307"/>
      <c r="DN170" s="307"/>
      <c r="DO170" s="307"/>
      <c r="DP170" s="307"/>
      <c r="DQ170" s="307"/>
      <c r="DR170" s="307"/>
      <c r="DS170" s="307"/>
      <c r="DT170" s="307"/>
      <c r="DU170" s="307"/>
      <c r="DV170" s="307"/>
      <c r="DW170" s="307"/>
      <c r="DX170" s="307"/>
      <c r="DY170" s="307"/>
      <c r="DZ170" s="307"/>
      <c r="EA170" s="307"/>
      <c r="EB170" s="307"/>
      <c r="EC170" s="307"/>
      <c r="ED170" s="307"/>
      <c r="EE170" s="307"/>
      <c r="EF170" s="307"/>
      <c r="EG170" s="307"/>
      <c r="EH170" s="307"/>
      <c r="EI170" s="307"/>
      <c r="EJ170" s="307"/>
      <c r="EK170" s="307"/>
      <c r="EL170" s="307"/>
      <c r="EM170" s="307"/>
      <c r="EN170" s="307"/>
      <c r="EO170" s="307"/>
      <c r="EP170" s="307"/>
      <c r="EQ170" s="307"/>
      <c r="ER170" s="307"/>
      <c r="ES170" s="307"/>
      <c r="ET170" s="307"/>
      <c r="EU170" s="307"/>
      <c r="EV170" s="307"/>
      <c r="EW170" s="307"/>
      <c r="EX170" s="307"/>
      <c r="EY170" s="307"/>
      <c r="EZ170" s="307"/>
      <c r="FA170" s="307"/>
      <c r="FB170" s="307"/>
      <c r="FC170" s="307"/>
      <c r="FD170" s="307"/>
      <c r="FE170" s="307"/>
      <c r="FF170" s="307"/>
      <c r="FG170" s="307"/>
      <c r="FH170" s="307"/>
      <c r="FI170" s="307"/>
      <c r="FJ170" s="307"/>
      <c r="FK170" s="307"/>
      <c r="FL170" s="307"/>
      <c r="FM170" s="307"/>
      <c r="FN170" s="307"/>
      <c r="FO170" s="307"/>
      <c r="FP170" s="307"/>
      <c r="FQ170" s="307"/>
      <c r="FR170" s="307"/>
      <c r="FS170" s="307"/>
      <c r="FT170" s="307"/>
      <c r="FU170" s="307"/>
      <c r="FV170" s="307"/>
      <c r="FW170" s="307"/>
      <c r="FX170" s="307"/>
      <c r="FY170" s="307"/>
      <c r="FZ170" s="307"/>
      <c r="GA170" s="307"/>
      <c r="GB170" s="307"/>
      <c r="GC170" s="307"/>
      <c r="GD170" s="307"/>
      <c r="GE170" s="307"/>
      <c r="GF170" s="307"/>
      <c r="GG170" s="307"/>
      <c r="GH170" s="307"/>
      <c r="GI170" s="307"/>
      <c r="GJ170" s="307"/>
      <c r="GK170" s="307"/>
      <c r="GL170" s="307"/>
      <c r="GM170" s="307"/>
      <c r="GN170" s="307"/>
      <c r="GO170" s="307"/>
      <c r="GP170" s="307"/>
      <c r="GQ170" s="307"/>
      <c r="GR170" s="307"/>
      <c r="GS170" s="307"/>
      <c r="GT170" s="307"/>
      <c r="GU170" s="307"/>
      <c r="GV170" s="307"/>
      <c r="GW170" s="307"/>
      <c r="GX170" s="307"/>
      <c r="GY170" s="307"/>
      <c r="GZ170" s="307"/>
    </row>
    <row r="171" spans="1:208" ht="15">
      <c r="A171" s="304">
        <v>39</v>
      </c>
      <c r="B171" s="328">
        <v>44828</v>
      </c>
      <c r="C171" s="329">
        <v>1106184</v>
      </c>
      <c r="D171" s="337" t="s">
        <v>4461</v>
      </c>
      <c r="E171" s="329" t="s">
        <v>4250</v>
      </c>
      <c r="F171" s="329" t="s">
        <v>4251</v>
      </c>
      <c r="G171" s="329">
        <v>3185</v>
      </c>
      <c r="H171" s="329">
        <v>70</v>
      </c>
      <c r="I171" s="337">
        <v>4502417894</v>
      </c>
      <c r="J171" s="329">
        <v>3025457</v>
      </c>
      <c r="K171" s="304">
        <v>4902352523</v>
      </c>
      <c r="L171" s="337" t="s">
        <v>4252</v>
      </c>
      <c r="M171" s="309">
        <v>34649</v>
      </c>
      <c r="N171" s="329">
        <v>7800</v>
      </c>
      <c r="O171" s="306">
        <f t="shared" si="24"/>
        <v>270262200</v>
      </c>
      <c r="P171" s="304">
        <f t="shared" si="29"/>
        <v>5</v>
      </c>
      <c r="Q171" s="331" t="s">
        <v>3455</v>
      </c>
      <c r="R171" s="304">
        <v>1040968</v>
      </c>
      <c r="S171" s="330">
        <v>15214900</v>
      </c>
      <c r="T171" s="307"/>
      <c r="U171" s="307"/>
      <c r="V171" s="307"/>
      <c r="W171" s="307"/>
      <c r="X171" s="307"/>
      <c r="Y171" s="307"/>
      <c r="Z171" s="307"/>
      <c r="AA171" s="307"/>
      <c r="AB171" s="307"/>
      <c r="AC171" s="307"/>
      <c r="AD171" s="307"/>
      <c r="AE171" s="307"/>
      <c r="AF171" s="307"/>
      <c r="AG171" s="307"/>
      <c r="AH171" s="307"/>
      <c r="AI171" s="307"/>
      <c r="AJ171" s="307"/>
      <c r="AK171" s="307"/>
      <c r="AL171" s="307"/>
      <c r="AM171" s="307"/>
      <c r="AN171" s="307"/>
      <c r="AO171" s="307"/>
      <c r="AP171" s="307"/>
      <c r="AQ171" s="307"/>
      <c r="AR171" s="307"/>
      <c r="AS171" s="307"/>
      <c r="AT171" s="307"/>
      <c r="AU171" s="307"/>
      <c r="AV171" s="307"/>
      <c r="AW171" s="307"/>
      <c r="AX171" s="307"/>
      <c r="AY171" s="307"/>
      <c r="AZ171" s="307"/>
      <c r="BA171" s="307"/>
      <c r="BB171" s="307"/>
      <c r="BC171" s="307"/>
      <c r="BD171" s="307"/>
      <c r="BE171" s="307"/>
      <c r="BF171" s="307"/>
      <c r="BG171" s="307"/>
      <c r="BH171" s="307"/>
      <c r="BI171" s="307"/>
      <c r="BJ171" s="307"/>
      <c r="BK171" s="307"/>
      <c r="BL171" s="307"/>
      <c r="BM171" s="307"/>
      <c r="BN171" s="307"/>
      <c r="BO171" s="307"/>
      <c r="BP171" s="307"/>
      <c r="BQ171" s="307"/>
      <c r="BR171" s="307"/>
      <c r="BS171" s="307"/>
      <c r="BT171" s="307"/>
      <c r="BU171" s="307"/>
      <c r="BV171" s="307"/>
      <c r="BW171" s="307"/>
      <c r="BX171" s="307"/>
      <c r="BY171" s="307"/>
      <c r="BZ171" s="307"/>
      <c r="CA171" s="307"/>
      <c r="CB171" s="307"/>
      <c r="CC171" s="307"/>
      <c r="CD171" s="307"/>
      <c r="CE171" s="307"/>
      <c r="CF171" s="307"/>
      <c r="CG171" s="307"/>
      <c r="CH171" s="307"/>
      <c r="CI171" s="307"/>
      <c r="CJ171" s="307"/>
      <c r="CK171" s="307"/>
      <c r="CL171" s="307"/>
      <c r="CM171" s="307"/>
      <c r="CN171" s="307"/>
      <c r="CO171" s="307"/>
      <c r="CP171" s="307"/>
      <c r="CQ171" s="307"/>
      <c r="CR171" s="307"/>
      <c r="CS171" s="307"/>
      <c r="CT171" s="307"/>
      <c r="CU171" s="307"/>
      <c r="CV171" s="307"/>
      <c r="CW171" s="307"/>
      <c r="CX171" s="307"/>
      <c r="CY171" s="307"/>
      <c r="CZ171" s="307"/>
      <c r="DA171" s="307"/>
      <c r="DB171" s="307"/>
      <c r="DC171" s="307"/>
      <c r="DD171" s="307"/>
      <c r="DE171" s="307"/>
      <c r="DF171" s="307"/>
      <c r="DG171" s="307"/>
      <c r="DH171" s="307"/>
      <c r="DI171" s="307"/>
      <c r="DJ171" s="307"/>
      <c r="DK171" s="307"/>
      <c r="DL171" s="307"/>
      <c r="DM171" s="307"/>
      <c r="DN171" s="307"/>
      <c r="DO171" s="307"/>
      <c r="DP171" s="307"/>
      <c r="DQ171" s="307"/>
      <c r="DR171" s="307"/>
      <c r="DS171" s="307"/>
      <c r="DT171" s="307"/>
      <c r="DU171" s="307"/>
      <c r="DV171" s="307"/>
      <c r="DW171" s="307"/>
      <c r="DX171" s="307"/>
      <c r="DY171" s="307"/>
      <c r="DZ171" s="307"/>
      <c r="EA171" s="307"/>
      <c r="EB171" s="307"/>
      <c r="EC171" s="307"/>
      <c r="ED171" s="307"/>
      <c r="EE171" s="307"/>
      <c r="EF171" s="307"/>
      <c r="EG171" s="307"/>
      <c r="EH171" s="307"/>
      <c r="EI171" s="307"/>
      <c r="EJ171" s="307"/>
      <c r="EK171" s="307"/>
      <c r="EL171" s="307"/>
      <c r="EM171" s="307"/>
      <c r="EN171" s="307"/>
      <c r="EO171" s="307"/>
      <c r="EP171" s="307"/>
      <c r="EQ171" s="307"/>
      <c r="ER171" s="307"/>
      <c r="ES171" s="307"/>
      <c r="ET171" s="307"/>
      <c r="EU171" s="307"/>
      <c r="EV171" s="307"/>
      <c r="EW171" s="307"/>
      <c r="EX171" s="307"/>
      <c r="EY171" s="307"/>
      <c r="EZ171" s="307"/>
      <c r="FA171" s="307"/>
      <c r="FB171" s="307"/>
      <c r="FC171" s="307"/>
      <c r="FD171" s="307"/>
      <c r="FE171" s="307"/>
      <c r="FF171" s="307"/>
      <c r="FG171" s="307"/>
      <c r="FH171" s="307"/>
      <c r="FI171" s="307"/>
      <c r="FJ171" s="307"/>
      <c r="FK171" s="307"/>
      <c r="FL171" s="307"/>
      <c r="FM171" s="307"/>
      <c r="FN171" s="307"/>
      <c r="FO171" s="307"/>
      <c r="FP171" s="307"/>
      <c r="FQ171" s="307"/>
      <c r="FR171" s="307"/>
      <c r="FS171" s="307"/>
      <c r="FT171" s="307"/>
      <c r="FU171" s="307"/>
      <c r="FV171" s="307"/>
      <c r="FW171" s="307"/>
      <c r="FX171" s="307"/>
      <c r="FY171" s="307"/>
      <c r="FZ171" s="307"/>
      <c r="GA171" s="307"/>
      <c r="GB171" s="307"/>
      <c r="GC171" s="307"/>
      <c r="GD171" s="307"/>
      <c r="GE171" s="307"/>
      <c r="GF171" s="307"/>
      <c r="GG171" s="307"/>
      <c r="GH171" s="307"/>
      <c r="GI171" s="307"/>
      <c r="GJ171" s="307"/>
      <c r="GK171" s="307"/>
      <c r="GL171" s="307"/>
      <c r="GM171" s="307"/>
      <c r="GN171" s="307"/>
      <c r="GO171" s="307"/>
      <c r="GP171" s="307"/>
      <c r="GQ171" s="307"/>
      <c r="GR171" s="307"/>
      <c r="GS171" s="307"/>
      <c r="GT171" s="307"/>
      <c r="GU171" s="307"/>
      <c r="GV171" s="307"/>
      <c r="GW171" s="307"/>
      <c r="GX171" s="307"/>
      <c r="GY171" s="307"/>
      <c r="GZ171" s="307"/>
    </row>
    <row r="172" spans="1:208" ht="15">
      <c r="A172" s="304">
        <v>39</v>
      </c>
      <c r="B172" s="328">
        <v>44828</v>
      </c>
      <c r="C172" s="329">
        <v>1036751</v>
      </c>
      <c r="D172" s="337" t="s">
        <v>4462</v>
      </c>
      <c r="E172" s="329" t="s">
        <v>4450</v>
      </c>
      <c r="F172" s="329" t="s">
        <v>4251</v>
      </c>
      <c r="G172" s="329">
        <v>3180</v>
      </c>
      <c r="H172" s="329">
        <v>42</v>
      </c>
      <c r="I172" s="337">
        <v>4502411300</v>
      </c>
      <c r="J172" s="353">
        <v>3025459</v>
      </c>
      <c r="K172" s="304">
        <v>4902352524</v>
      </c>
      <c r="L172" s="337" t="s">
        <v>4252</v>
      </c>
      <c r="M172" s="309">
        <v>21750.488000000001</v>
      </c>
      <c r="N172" s="329">
        <v>9035</v>
      </c>
      <c r="O172" s="306">
        <f t="shared" si="24"/>
        <v>196515659.08000001</v>
      </c>
      <c r="P172" s="304">
        <f t="shared" si="29"/>
        <v>3</v>
      </c>
      <c r="Q172" s="331" t="s">
        <v>3455</v>
      </c>
      <c r="R172" s="304">
        <v>1040968</v>
      </c>
      <c r="S172" s="330">
        <v>5550000</v>
      </c>
      <c r="T172" s="307"/>
      <c r="U172" s="307"/>
      <c r="V172" s="307"/>
      <c r="W172" s="307"/>
      <c r="X172" s="307"/>
      <c r="Y172" s="307"/>
      <c r="Z172" s="307"/>
      <c r="AA172" s="307"/>
      <c r="AB172" s="307"/>
      <c r="AC172" s="307"/>
      <c r="AD172" s="307"/>
      <c r="AE172" s="307"/>
      <c r="AF172" s="307"/>
      <c r="AG172" s="307"/>
      <c r="AH172" s="307"/>
      <c r="AI172" s="307"/>
      <c r="AJ172" s="307"/>
      <c r="AK172" s="307"/>
      <c r="AL172" s="307"/>
      <c r="AM172" s="307"/>
      <c r="AN172" s="307"/>
      <c r="AO172" s="307"/>
      <c r="AP172" s="307"/>
      <c r="AQ172" s="307"/>
      <c r="AR172" s="307"/>
      <c r="AS172" s="307"/>
      <c r="AT172" s="307"/>
      <c r="AU172" s="307"/>
      <c r="AV172" s="307"/>
      <c r="AW172" s="307"/>
      <c r="AX172" s="307"/>
      <c r="AY172" s="307"/>
      <c r="AZ172" s="307"/>
      <c r="BA172" s="307"/>
      <c r="BB172" s="307"/>
      <c r="BC172" s="307"/>
      <c r="BD172" s="307"/>
      <c r="BE172" s="307"/>
      <c r="BF172" s="307"/>
      <c r="BG172" s="307"/>
      <c r="BH172" s="307"/>
      <c r="BI172" s="307"/>
      <c r="BJ172" s="307"/>
      <c r="BK172" s="307"/>
      <c r="BL172" s="307"/>
      <c r="BM172" s="307"/>
      <c r="BN172" s="307"/>
      <c r="BO172" s="307"/>
      <c r="BP172" s="307"/>
      <c r="BQ172" s="307"/>
      <c r="BR172" s="307"/>
      <c r="BS172" s="307"/>
      <c r="BT172" s="307"/>
      <c r="BU172" s="307"/>
      <c r="BV172" s="307"/>
      <c r="BW172" s="307"/>
      <c r="BX172" s="307"/>
      <c r="BY172" s="307"/>
      <c r="BZ172" s="307"/>
      <c r="CA172" s="307"/>
      <c r="CB172" s="307"/>
      <c r="CC172" s="307"/>
      <c r="CD172" s="307"/>
      <c r="CE172" s="307"/>
      <c r="CF172" s="307"/>
      <c r="CG172" s="307"/>
      <c r="CH172" s="307"/>
      <c r="CI172" s="307"/>
      <c r="CJ172" s="307"/>
      <c r="CK172" s="307"/>
      <c r="CL172" s="307"/>
      <c r="CM172" s="307"/>
      <c r="CN172" s="307"/>
      <c r="CO172" s="307"/>
      <c r="CP172" s="307"/>
      <c r="CQ172" s="307"/>
      <c r="CR172" s="307"/>
      <c r="CS172" s="307"/>
      <c r="CT172" s="307"/>
      <c r="CU172" s="307"/>
      <c r="CV172" s="307"/>
      <c r="CW172" s="307"/>
      <c r="CX172" s="307"/>
      <c r="CY172" s="307"/>
      <c r="CZ172" s="307"/>
      <c r="DA172" s="307"/>
      <c r="DB172" s="307"/>
      <c r="DC172" s="307"/>
      <c r="DD172" s="307"/>
      <c r="DE172" s="307"/>
      <c r="DF172" s="307"/>
      <c r="DG172" s="307"/>
      <c r="DH172" s="307"/>
      <c r="DI172" s="307"/>
      <c r="DJ172" s="307"/>
      <c r="DK172" s="307"/>
      <c r="DL172" s="307"/>
      <c r="DM172" s="307"/>
      <c r="DN172" s="307"/>
      <c r="DO172" s="307"/>
      <c r="DP172" s="307"/>
      <c r="DQ172" s="307"/>
      <c r="DR172" s="307"/>
      <c r="DS172" s="307"/>
      <c r="DT172" s="307"/>
      <c r="DU172" s="307"/>
      <c r="DV172" s="307"/>
      <c r="DW172" s="307"/>
      <c r="DX172" s="307"/>
      <c r="DY172" s="307"/>
      <c r="DZ172" s="307"/>
      <c r="EA172" s="307"/>
      <c r="EB172" s="307"/>
      <c r="EC172" s="307"/>
      <c r="ED172" s="307"/>
      <c r="EE172" s="307"/>
      <c r="EF172" s="307"/>
      <c r="EG172" s="307"/>
      <c r="EH172" s="307"/>
      <c r="EI172" s="307"/>
      <c r="EJ172" s="307"/>
      <c r="EK172" s="307"/>
      <c r="EL172" s="307"/>
      <c r="EM172" s="307"/>
      <c r="EN172" s="307"/>
      <c r="EO172" s="307"/>
      <c r="EP172" s="307"/>
      <c r="EQ172" s="307"/>
      <c r="ER172" s="307"/>
      <c r="ES172" s="307"/>
      <c r="ET172" s="307"/>
      <c r="EU172" s="307"/>
      <c r="EV172" s="307"/>
      <c r="EW172" s="307"/>
      <c r="EX172" s="307"/>
      <c r="EY172" s="307"/>
      <c r="EZ172" s="307"/>
      <c r="FA172" s="307"/>
      <c r="FB172" s="307"/>
      <c r="FC172" s="307"/>
      <c r="FD172" s="307"/>
      <c r="FE172" s="307"/>
      <c r="FF172" s="307"/>
      <c r="FG172" s="307"/>
      <c r="FH172" s="307"/>
      <c r="FI172" s="307"/>
      <c r="FJ172" s="307"/>
      <c r="FK172" s="307"/>
      <c r="FL172" s="307"/>
      <c r="FM172" s="307"/>
      <c r="FN172" s="307"/>
      <c r="FO172" s="307"/>
      <c r="FP172" s="307"/>
      <c r="FQ172" s="307"/>
      <c r="FR172" s="307"/>
      <c r="FS172" s="307"/>
      <c r="FT172" s="307"/>
      <c r="FU172" s="307"/>
      <c r="FV172" s="307"/>
      <c r="FW172" s="307"/>
      <c r="FX172" s="307"/>
      <c r="FY172" s="307"/>
      <c r="FZ172" s="307"/>
      <c r="GA172" s="307"/>
      <c r="GB172" s="307"/>
      <c r="GC172" s="307"/>
      <c r="GD172" s="307"/>
      <c r="GE172" s="307"/>
      <c r="GF172" s="307"/>
      <c r="GG172" s="307"/>
      <c r="GH172" s="307"/>
      <c r="GI172" s="307"/>
      <c r="GJ172" s="307"/>
      <c r="GK172" s="307"/>
      <c r="GL172" s="307"/>
      <c r="GM172" s="307"/>
      <c r="GN172" s="307"/>
      <c r="GO172" s="307"/>
      <c r="GP172" s="307"/>
      <c r="GQ172" s="307"/>
      <c r="GR172" s="307"/>
      <c r="GS172" s="307"/>
      <c r="GT172" s="307"/>
      <c r="GU172" s="307"/>
      <c r="GV172" s="307"/>
      <c r="GW172" s="307"/>
      <c r="GX172" s="307"/>
      <c r="GY172" s="307"/>
      <c r="GZ172" s="307"/>
    </row>
    <row r="173" spans="1:208" ht="15">
      <c r="A173" s="304">
        <v>39</v>
      </c>
      <c r="B173" s="328">
        <v>44831</v>
      </c>
      <c r="C173" s="329">
        <v>1053331</v>
      </c>
      <c r="D173" s="337" t="s">
        <v>4463</v>
      </c>
      <c r="E173" s="329" t="s">
        <v>4416</v>
      </c>
      <c r="F173" s="329" t="s">
        <v>4251</v>
      </c>
      <c r="G173" s="329">
        <v>3178</v>
      </c>
      <c r="H173" s="329">
        <v>41</v>
      </c>
      <c r="I173" s="337">
        <v>4502419807</v>
      </c>
      <c r="J173" s="329">
        <v>3025457</v>
      </c>
      <c r="K173" s="304">
        <v>4902352526</v>
      </c>
      <c r="L173" s="337" t="s">
        <v>4252</v>
      </c>
      <c r="M173" s="309">
        <v>20303</v>
      </c>
      <c r="N173" s="329">
        <v>7900</v>
      </c>
      <c r="O173" s="306">
        <f t="shared" si="24"/>
        <v>160393700</v>
      </c>
      <c r="P173" s="304" t="s">
        <v>4265</v>
      </c>
      <c r="Q173" s="331" t="s">
        <v>4266</v>
      </c>
      <c r="R173" s="304">
        <v>1004892</v>
      </c>
      <c r="S173" s="337">
        <v>4792500</v>
      </c>
      <c r="T173" s="307"/>
      <c r="U173" s="307"/>
      <c r="V173" s="307"/>
      <c r="W173" s="307"/>
      <c r="X173" s="307"/>
      <c r="Y173" s="307"/>
      <c r="Z173" s="307"/>
      <c r="AA173" s="307"/>
      <c r="AB173" s="307"/>
      <c r="AC173" s="307"/>
      <c r="AD173" s="307"/>
      <c r="AE173" s="307"/>
      <c r="AF173" s="307"/>
      <c r="AG173" s="307"/>
      <c r="AH173" s="307"/>
      <c r="AI173" s="307"/>
      <c r="AJ173" s="307"/>
      <c r="AK173" s="307"/>
      <c r="AL173" s="307"/>
      <c r="AM173" s="307"/>
      <c r="AN173" s="307"/>
      <c r="AO173" s="307"/>
      <c r="AP173" s="307"/>
      <c r="AQ173" s="307"/>
      <c r="AR173" s="307"/>
      <c r="AS173" s="307"/>
      <c r="AT173" s="307"/>
      <c r="AU173" s="307"/>
      <c r="AV173" s="307"/>
      <c r="AW173" s="307"/>
      <c r="AX173" s="307"/>
      <c r="AY173" s="307"/>
      <c r="AZ173" s="307"/>
      <c r="BA173" s="307"/>
      <c r="BB173" s="307"/>
      <c r="BC173" s="307"/>
      <c r="BD173" s="307"/>
      <c r="BE173" s="307"/>
      <c r="BF173" s="307"/>
      <c r="BG173" s="307"/>
      <c r="BH173" s="307"/>
      <c r="BI173" s="307"/>
      <c r="BJ173" s="307"/>
      <c r="BK173" s="307"/>
      <c r="BL173" s="307"/>
      <c r="BM173" s="307"/>
      <c r="BN173" s="307"/>
      <c r="BO173" s="307"/>
      <c r="BP173" s="307"/>
      <c r="BQ173" s="307"/>
      <c r="BR173" s="307"/>
      <c r="BS173" s="307"/>
      <c r="BT173" s="307"/>
      <c r="BU173" s="307"/>
      <c r="BV173" s="307"/>
      <c r="BW173" s="307"/>
      <c r="BX173" s="307"/>
      <c r="BY173" s="307"/>
      <c r="BZ173" s="307"/>
      <c r="CA173" s="307"/>
      <c r="CB173" s="307"/>
      <c r="CC173" s="307"/>
      <c r="CD173" s="307"/>
      <c r="CE173" s="307"/>
      <c r="CF173" s="307"/>
      <c r="CG173" s="307"/>
      <c r="CH173" s="307"/>
      <c r="CI173" s="307"/>
      <c r="CJ173" s="307"/>
      <c r="CK173" s="307"/>
      <c r="CL173" s="307"/>
      <c r="CM173" s="307"/>
      <c r="CN173" s="307"/>
      <c r="CO173" s="307"/>
      <c r="CP173" s="307"/>
      <c r="CQ173" s="307"/>
      <c r="CR173" s="307"/>
      <c r="CS173" s="307"/>
      <c r="CT173" s="307"/>
      <c r="CU173" s="307"/>
      <c r="CV173" s="307"/>
      <c r="CW173" s="307"/>
      <c r="CX173" s="307"/>
      <c r="CY173" s="307"/>
      <c r="CZ173" s="307"/>
      <c r="DA173" s="307"/>
      <c r="DB173" s="307"/>
      <c r="DC173" s="307"/>
      <c r="DD173" s="307"/>
      <c r="DE173" s="307"/>
      <c r="DF173" s="307"/>
      <c r="DG173" s="307"/>
      <c r="DH173" s="307"/>
      <c r="DI173" s="307"/>
      <c r="DJ173" s="307"/>
      <c r="DK173" s="307"/>
      <c r="DL173" s="307"/>
      <c r="DM173" s="307"/>
      <c r="DN173" s="307"/>
      <c r="DO173" s="307"/>
      <c r="DP173" s="307"/>
      <c r="DQ173" s="307"/>
      <c r="DR173" s="307"/>
      <c r="DS173" s="307"/>
      <c r="DT173" s="307"/>
      <c r="DU173" s="307"/>
      <c r="DV173" s="307"/>
      <c r="DW173" s="307"/>
      <c r="DX173" s="307"/>
      <c r="DY173" s="307"/>
      <c r="DZ173" s="307"/>
      <c r="EA173" s="307"/>
      <c r="EB173" s="307"/>
      <c r="EC173" s="307"/>
      <c r="ED173" s="307"/>
      <c r="EE173" s="307"/>
      <c r="EF173" s="307"/>
      <c r="EG173" s="307"/>
      <c r="EH173" s="307"/>
      <c r="EI173" s="307"/>
      <c r="EJ173" s="307"/>
      <c r="EK173" s="307"/>
      <c r="EL173" s="307"/>
      <c r="EM173" s="307"/>
      <c r="EN173" s="307"/>
      <c r="EO173" s="307"/>
      <c r="EP173" s="307"/>
      <c r="EQ173" s="307"/>
      <c r="ER173" s="307"/>
      <c r="ES173" s="307"/>
      <c r="ET173" s="307"/>
      <c r="EU173" s="307"/>
      <c r="EV173" s="307"/>
      <c r="EW173" s="307"/>
      <c r="EX173" s="307"/>
      <c r="EY173" s="307"/>
      <c r="EZ173" s="307"/>
      <c r="FA173" s="307"/>
      <c r="FB173" s="307"/>
      <c r="FC173" s="307"/>
      <c r="FD173" s="307"/>
      <c r="FE173" s="307"/>
      <c r="FF173" s="307"/>
      <c r="FG173" s="307"/>
      <c r="FH173" s="307"/>
      <c r="FI173" s="307"/>
      <c r="FJ173" s="307"/>
      <c r="FK173" s="307"/>
      <c r="FL173" s="307"/>
      <c r="FM173" s="307"/>
      <c r="FN173" s="307"/>
      <c r="FO173" s="307"/>
      <c r="FP173" s="307"/>
      <c r="FQ173" s="307"/>
      <c r="FR173" s="307"/>
      <c r="FS173" s="307"/>
      <c r="FT173" s="307"/>
      <c r="FU173" s="307"/>
      <c r="FV173" s="307"/>
      <c r="FW173" s="307"/>
      <c r="FX173" s="307"/>
      <c r="FY173" s="307"/>
      <c r="FZ173" s="307"/>
      <c r="GA173" s="307"/>
      <c r="GB173" s="307"/>
      <c r="GC173" s="307"/>
      <c r="GD173" s="307"/>
      <c r="GE173" s="307"/>
      <c r="GF173" s="307"/>
      <c r="GG173" s="307"/>
      <c r="GH173" s="307"/>
      <c r="GI173" s="307"/>
      <c r="GJ173" s="307"/>
      <c r="GK173" s="307"/>
      <c r="GL173" s="307"/>
      <c r="GM173" s="307"/>
      <c r="GN173" s="307"/>
      <c r="GO173" s="307"/>
      <c r="GP173" s="307"/>
      <c r="GQ173" s="307"/>
      <c r="GR173" s="307"/>
      <c r="GS173" s="307"/>
      <c r="GT173" s="307"/>
      <c r="GU173" s="307"/>
      <c r="GV173" s="307"/>
      <c r="GW173" s="307"/>
      <c r="GX173" s="307"/>
      <c r="GY173" s="307"/>
      <c r="GZ173" s="307"/>
    </row>
    <row r="174" spans="1:208" ht="15">
      <c r="A174" s="304">
        <v>39</v>
      </c>
      <c r="B174" s="328">
        <v>44831</v>
      </c>
      <c r="C174" s="329">
        <v>1036751</v>
      </c>
      <c r="D174" s="337" t="s">
        <v>4462</v>
      </c>
      <c r="E174" s="329" t="s">
        <v>4450</v>
      </c>
      <c r="F174" s="360" t="s">
        <v>4464</v>
      </c>
      <c r="G174" s="329">
        <v>3180</v>
      </c>
      <c r="H174" s="329">
        <v>28</v>
      </c>
      <c r="I174" s="337">
        <v>4502411300</v>
      </c>
      <c r="J174" s="353">
        <v>3025460</v>
      </c>
      <c r="K174" s="304">
        <v>4902352527</v>
      </c>
      <c r="L174" s="337" t="s">
        <v>4252</v>
      </c>
      <c r="M174" s="309">
        <v>14500.3</v>
      </c>
      <c r="N174" s="329">
        <v>9035</v>
      </c>
      <c r="O174" s="306">
        <f t="shared" si="24"/>
        <v>131010210.5</v>
      </c>
      <c r="P174" s="304">
        <f t="shared" ref="P174:P181" si="30">H174/14</f>
        <v>2</v>
      </c>
      <c r="Q174" s="331" t="s">
        <v>3455</v>
      </c>
      <c r="R174" s="304">
        <v>1040968</v>
      </c>
      <c r="S174" s="361">
        <v>3600000</v>
      </c>
      <c r="T174" s="307"/>
      <c r="U174" s="307"/>
      <c r="V174" s="307"/>
      <c r="W174" s="307"/>
      <c r="X174" s="307"/>
      <c r="Y174" s="307"/>
      <c r="Z174" s="307"/>
      <c r="AA174" s="307"/>
      <c r="AB174" s="307"/>
      <c r="AC174" s="307"/>
      <c r="AD174" s="307"/>
      <c r="AE174" s="307"/>
      <c r="AF174" s="307"/>
      <c r="AG174" s="307"/>
      <c r="AH174" s="307"/>
      <c r="AI174" s="307"/>
      <c r="AJ174" s="307"/>
      <c r="AK174" s="307"/>
      <c r="AL174" s="307"/>
      <c r="AM174" s="307"/>
      <c r="AN174" s="307"/>
      <c r="AO174" s="307"/>
      <c r="AP174" s="307"/>
      <c r="AQ174" s="307"/>
      <c r="AR174" s="307"/>
      <c r="AS174" s="307"/>
      <c r="AT174" s="307"/>
      <c r="AU174" s="307"/>
      <c r="AV174" s="307"/>
      <c r="AW174" s="307"/>
      <c r="AX174" s="307"/>
      <c r="AY174" s="307"/>
      <c r="AZ174" s="307"/>
      <c r="BA174" s="307"/>
      <c r="BB174" s="307"/>
      <c r="BC174" s="307"/>
      <c r="BD174" s="307"/>
      <c r="BE174" s="307"/>
      <c r="BF174" s="307"/>
      <c r="BG174" s="307"/>
      <c r="BH174" s="307"/>
      <c r="BI174" s="307"/>
      <c r="BJ174" s="307"/>
      <c r="BK174" s="307"/>
      <c r="BL174" s="307"/>
      <c r="BM174" s="307"/>
      <c r="BN174" s="307"/>
      <c r="BO174" s="307"/>
      <c r="BP174" s="307"/>
      <c r="BQ174" s="307"/>
      <c r="BR174" s="307"/>
      <c r="BS174" s="307"/>
      <c r="BT174" s="307"/>
      <c r="BU174" s="307"/>
      <c r="BV174" s="307"/>
      <c r="BW174" s="307"/>
      <c r="BX174" s="307"/>
      <c r="BY174" s="307"/>
      <c r="BZ174" s="307"/>
      <c r="CA174" s="307"/>
      <c r="CB174" s="307"/>
      <c r="CC174" s="307"/>
      <c r="CD174" s="307"/>
      <c r="CE174" s="307"/>
      <c r="CF174" s="307"/>
      <c r="CG174" s="307"/>
      <c r="CH174" s="307"/>
      <c r="CI174" s="307"/>
      <c r="CJ174" s="307"/>
      <c r="CK174" s="307"/>
      <c r="CL174" s="307"/>
      <c r="CM174" s="307"/>
      <c r="CN174" s="307"/>
      <c r="CO174" s="307"/>
      <c r="CP174" s="307"/>
      <c r="CQ174" s="307"/>
      <c r="CR174" s="307"/>
      <c r="CS174" s="307"/>
      <c r="CT174" s="307"/>
      <c r="CU174" s="307"/>
      <c r="CV174" s="307"/>
      <c r="CW174" s="307"/>
      <c r="CX174" s="307"/>
      <c r="CY174" s="307"/>
      <c r="CZ174" s="307"/>
      <c r="DA174" s="307"/>
      <c r="DB174" s="307"/>
      <c r="DC174" s="307"/>
      <c r="DD174" s="307"/>
      <c r="DE174" s="307"/>
      <c r="DF174" s="307"/>
      <c r="DG174" s="307"/>
      <c r="DH174" s="307"/>
      <c r="DI174" s="307"/>
      <c r="DJ174" s="307"/>
      <c r="DK174" s="307"/>
      <c r="DL174" s="307"/>
      <c r="DM174" s="307"/>
      <c r="DN174" s="307"/>
      <c r="DO174" s="307"/>
      <c r="DP174" s="307"/>
      <c r="DQ174" s="307"/>
      <c r="DR174" s="307"/>
      <c r="DS174" s="307"/>
      <c r="DT174" s="307"/>
      <c r="DU174" s="307"/>
      <c r="DV174" s="307"/>
      <c r="DW174" s="307"/>
      <c r="DX174" s="307"/>
      <c r="DY174" s="307"/>
      <c r="DZ174" s="307"/>
      <c r="EA174" s="307"/>
      <c r="EB174" s="307"/>
      <c r="EC174" s="307"/>
      <c r="ED174" s="307"/>
      <c r="EE174" s="307"/>
      <c r="EF174" s="307"/>
      <c r="EG174" s="307"/>
      <c r="EH174" s="307"/>
      <c r="EI174" s="307"/>
      <c r="EJ174" s="307"/>
      <c r="EK174" s="307"/>
      <c r="EL174" s="307"/>
      <c r="EM174" s="307"/>
      <c r="EN174" s="307"/>
      <c r="EO174" s="307"/>
      <c r="EP174" s="307"/>
      <c r="EQ174" s="307"/>
      <c r="ER174" s="307"/>
      <c r="ES174" s="307"/>
      <c r="ET174" s="307"/>
      <c r="EU174" s="307"/>
      <c r="EV174" s="307"/>
      <c r="EW174" s="307"/>
      <c r="EX174" s="307"/>
      <c r="EY174" s="307"/>
      <c r="EZ174" s="307"/>
      <c r="FA174" s="307"/>
      <c r="FB174" s="307"/>
      <c r="FC174" s="307"/>
      <c r="FD174" s="307"/>
      <c r="FE174" s="307"/>
      <c r="FF174" s="307"/>
      <c r="FG174" s="307"/>
      <c r="FH174" s="307"/>
      <c r="FI174" s="307"/>
      <c r="FJ174" s="307"/>
      <c r="FK174" s="307"/>
      <c r="FL174" s="307"/>
      <c r="FM174" s="307"/>
      <c r="FN174" s="307"/>
      <c r="FO174" s="307"/>
      <c r="FP174" s="307"/>
      <c r="FQ174" s="307"/>
      <c r="FR174" s="307"/>
      <c r="FS174" s="307"/>
      <c r="FT174" s="307"/>
      <c r="FU174" s="307"/>
      <c r="FV174" s="307"/>
      <c r="FW174" s="307"/>
      <c r="FX174" s="307"/>
      <c r="FY174" s="307"/>
      <c r="FZ174" s="307"/>
      <c r="GA174" s="307"/>
      <c r="GB174" s="307"/>
      <c r="GC174" s="307"/>
      <c r="GD174" s="307"/>
      <c r="GE174" s="307"/>
      <c r="GF174" s="307"/>
      <c r="GG174" s="307"/>
      <c r="GH174" s="307"/>
      <c r="GI174" s="307"/>
      <c r="GJ174" s="307"/>
      <c r="GK174" s="307"/>
      <c r="GL174" s="307"/>
      <c r="GM174" s="307"/>
      <c r="GN174" s="307"/>
      <c r="GO174" s="307"/>
      <c r="GP174" s="307"/>
      <c r="GQ174" s="307"/>
      <c r="GR174" s="307"/>
      <c r="GS174" s="307"/>
      <c r="GT174" s="307"/>
      <c r="GU174" s="307"/>
      <c r="GV174" s="307"/>
      <c r="GW174" s="307"/>
      <c r="GX174" s="307"/>
      <c r="GY174" s="307"/>
      <c r="GZ174" s="307"/>
    </row>
    <row r="175" spans="1:208" ht="15">
      <c r="A175" s="304">
        <v>39</v>
      </c>
      <c r="B175" s="328">
        <v>44831</v>
      </c>
      <c r="C175" s="329">
        <v>1003100</v>
      </c>
      <c r="D175" s="337" t="s">
        <v>4465</v>
      </c>
      <c r="E175" s="329" t="s">
        <v>4344</v>
      </c>
      <c r="F175" s="329" t="s">
        <v>4466</v>
      </c>
      <c r="G175" s="329">
        <v>3152</v>
      </c>
      <c r="H175" s="329">
        <v>28</v>
      </c>
      <c r="I175" s="337">
        <v>4502419808</v>
      </c>
      <c r="J175" s="353">
        <v>3025460</v>
      </c>
      <c r="K175" s="304">
        <v>4902352531</v>
      </c>
      <c r="L175" s="337" t="s">
        <v>4252</v>
      </c>
      <c r="M175" s="309">
        <v>14169</v>
      </c>
      <c r="N175" s="329">
        <v>8200</v>
      </c>
      <c r="O175" s="306">
        <f t="shared" si="24"/>
        <v>116185800</v>
      </c>
      <c r="P175" s="304">
        <f t="shared" si="30"/>
        <v>2</v>
      </c>
      <c r="Q175" s="331" t="s">
        <v>3429</v>
      </c>
      <c r="R175" s="304">
        <v>1070641</v>
      </c>
      <c r="S175" s="330">
        <v>1840000</v>
      </c>
      <c r="T175" s="307"/>
      <c r="U175" s="307"/>
      <c r="V175" s="307"/>
      <c r="W175" s="307"/>
      <c r="X175" s="307"/>
      <c r="Y175" s="307"/>
      <c r="Z175" s="307"/>
      <c r="AA175" s="307"/>
      <c r="AB175" s="307"/>
      <c r="AC175" s="307"/>
      <c r="AD175" s="307"/>
      <c r="AE175" s="307"/>
      <c r="AF175" s="307"/>
      <c r="AG175" s="307"/>
      <c r="AH175" s="307"/>
      <c r="AI175" s="307"/>
      <c r="AJ175" s="307"/>
      <c r="AK175" s="307"/>
      <c r="AL175" s="307"/>
      <c r="AM175" s="307"/>
      <c r="AN175" s="307"/>
      <c r="AO175" s="307"/>
      <c r="AP175" s="307"/>
      <c r="AQ175" s="307"/>
      <c r="AR175" s="307"/>
      <c r="AS175" s="307"/>
      <c r="AT175" s="307"/>
      <c r="AU175" s="307"/>
      <c r="AV175" s="307"/>
      <c r="AW175" s="307"/>
      <c r="AX175" s="307"/>
      <c r="AY175" s="307"/>
      <c r="AZ175" s="307"/>
      <c r="BA175" s="307"/>
      <c r="BB175" s="307"/>
      <c r="BC175" s="307"/>
      <c r="BD175" s="307"/>
      <c r="BE175" s="307"/>
      <c r="BF175" s="307"/>
      <c r="BG175" s="307"/>
      <c r="BH175" s="307"/>
      <c r="BI175" s="307"/>
      <c r="BJ175" s="307"/>
      <c r="BK175" s="307"/>
      <c r="BL175" s="307"/>
      <c r="BM175" s="307"/>
      <c r="BN175" s="307"/>
      <c r="BO175" s="307"/>
      <c r="BP175" s="307"/>
      <c r="BQ175" s="307"/>
      <c r="BR175" s="307"/>
      <c r="BS175" s="307"/>
      <c r="BT175" s="307"/>
      <c r="BU175" s="307"/>
      <c r="BV175" s="307"/>
      <c r="BW175" s="307"/>
      <c r="BX175" s="307"/>
      <c r="BY175" s="307"/>
      <c r="BZ175" s="307"/>
      <c r="CA175" s="307"/>
      <c r="CB175" s="307"/>
      <c r="CC175" s="307"/>
      <c r="CD175" s="307"/>
      <c r="CE175" s="307"/>
      <c r="CF175" s="307"/>
      <c r="CG175" s="307"/>
      <c r="CH175" s="307"/>
      <c r="CI175" s="307"/>
      <c r="CJ175" s="307"/>
      <c r="CK175" s="307"/>
      <c r="CL175" s="307"/>
      <c r="CM175" s="307"/>
      <c r="CN175" s="307"/>
      <c r="CO175" s="307"/>
      <c r="CP175" s="307"/>
      <c r="CQ175" s="307"/>
      <c r="CR175" s="307"/>
      <c r="CS175" s="307"/>
      <c r="CT175" s="307"/>
      <c r="CU175" s="307"/>
      <c r="CV175" s="307"/>
      <c r="CW175" s="307"/>
      <c r="CX175" s="307"/>
      <c r="CY175" s="307"/>
      <c r="CZ175" s="307"/>
      <c r="DA175" s="307"/>
      <c r="DB175" s="307"/>
      <c r="DC175" s="307"/>
      <c r="DD175" s="307"/>
      <c r="DE175" s="307"/>
      <c r="DF175" s="307"/>
      <c r="DG175" s="307"/>
      <c r="DH175" s="307"/>
      <c r="DI175" s="307"/>
      <c r="DJ175" s="307"/>
      <c r="DK175" s="307"/>
      <c r="DL175" s="307"/>
      <c r="DM175" s="307"/>
      <c r="DN175" s="307"/>
      <c r="DO175" s="307"/>
      <c r="DP175" s="307"/>
      <c r="DQ175" s="307"/>
      <c r="DR175" s="307"/>
      <c r="DS175" s="307"/>
      <c r="DT175" s="307"/>
      <c r="DU175" s="307"/>
      <c r="DV175" s="307"/>
      <c r="DW175" s="307"/>
      <c r="DX175" s="307"/>
      <c r="DY175" s="307"/>
      <c r="DZ175" s="307"/>
      <c r="EA175" s="307"/>
      <c r="EB175" s="307"/>
      <c r="EC175" s="307"/>
      <c r="ED175" s="307"/>
      <c r="EE175" s="307"/>
      <c r="EF175" s="307"/>
      <c r="EG175" s="307"/>
      <c r="EH175" s="307"/>
      <c r="EI175" s="307"/>
      <c r="EJ175" s="307"/>
      <c r="EK175" s="307"/>
      <c r="EL175" s="307"/>
      <c r="EM175" s="307"/>
      <c r="EN175" s="307"/>
      <c r="EO175" s="307"/>
      <c r="EP175" s="307"/>
      <c r="EQ175" s="307"/>
      <c r="ER175" s="307"/>
      <c r="ES175" s="307"/>
      <c r="ET175" s="307"/>
      <c r="EU175" s="307"/>
      <c r="EV175" s="307"/>
      <c r="EW175" s="307"/>
      <c r="EX175" s="307"/>
      <c r="EY175" s="307"/>
      <c r="EZ175" s="307"/>
      <c r="FA175" s="307"/>
      <c r="FB175" s="307"/>
      <c r="FC175" s="307"/>
      <c r="FD175" s="307"/>
      <c r="FE175" s="307"/>
      <c r="FF175" s="307"/>
      <c r="FG175" s="307"/>
      <c r="FH175" s="307"/>
      <c r="FI175" s="307"/>
      <c r="FJ175" s="307"/>
      <c r="FK175" s="307"/>
      <c r="FL175" s="307"/>
      <c r="FM175" s="307"/>
      <c r="FN175" s="307"/>
      <c r="FO175" s="307"/>
      <c r="FP175" s="307"/>
      <c r="FQ175" s="307"/>
      <c r="FR175" s="307"/>
      <c r="FS175" s="307"/>
      <c r="FT175" s="307"/>
      <c r="FU175" s="307"/>
      <c r="FV175" s="307"/>
      <c r="FW175" s="307"/>
      <c r="FX175" s="307"/>
      <c r="FY175" s="307"/>
      <c r="FZ175" s="307"/>
      <c r="GA175" s="307"/>
      <c r="GB175" s="307"/>
      <c r="GC175" s="307"/>
      <c r="GD175" s="307"/>
      <c r="GE175" s="307"/>
      <c r="GF175" s="307"/>
      <c r="GG175" s="307"/>
      <c r="GH175" s="307"/>
      <c r="GI175" s="307"/>
      <c r="GJ175" s="307"/>
      <c r="GK175" s="307"/>
      <c r="GL175" s="307"/>
      <c r="GM175" s="307"/>
      <c r="GN175" s="307"/>
      <c r="GO175" s="307"/>
      <c r="GP175" s="307"/>
      <c r="GQ175" s="307"/>
      <c r="GR175" s="307"/>
      <c r="GS175" s="307"/>
      <c r="GT175" s="307"/>
      <c r="GU175" s="307"/>
      <c r="GV175" s="307"/>
      <c r="GW175" s="307"/>
      <c r="GX175" s="307"/>
      <c r="GY175" s="307"/>
      <c r="GZ175" s="307"/>
    </row>
    <row r="176" spans="1:208" ht="15">
      <c r="A176" s="282">
        <v>40</v>
      </c>
      <c r="B176" s="332">
        <v>44833</v>
      </c>
      <c r="C176" s="333">
        <v>1093247</v>
      </c>
      <c r="D176" s="342" t="s">
        <v>4467</v>
      </c>
      <c r="E176" s="333" t="s">
        <v>4412</v>
      </c>
      <c r="F176" s="333" t="s">
        <v>4251</v>
      </c>
      <c r="G176" s="333">
        <v>3190</v>
      </c>
      <c r="H176" s="333">
        <v>42</v>
      </c>
      <c r="I176" s="342">
        <v>4502421179</v>
      </c>
      <c r="J176" s="333">
        <v>3025457</v>
      </c>
      <c r="K176" s="282">
        <v>4902356375</v>
      </c>
      <c r="L176" s="282" t="s">
        <v>4252</v>
      </c>
      <c r="M176" s="283">
        <v>19944</v>
      </c>
      <c r="N176" s="333">
        <v>8000</v>
      </c>
      <c r="O176" s="284">
        <f t="shared" si="24"/>
        <v>159552000</v>
      </c>
      <c r="P176" s="285">
        <f t="shared" si="30"/>
        <v>3</v>
      </c>
      <c r="Q176" s="321" t="s">
        <v>3455</v>
      </c>
      <c r="R176" s="282">
        <v>1040968</v>
      </c>
      <c r="S176" s="285">
        <v>5381700</v>
      </c>
      <c r="T176" s="285"/>
      <c r="U176" s="285"/>
      <c r="V176" s="285"/>
      <c r="W176" s="285"/>
      <c r="X176" s="285"/>
      <c r="Y176" s="285"/>
      <c r="Z176" s="285"/>
      <c r="AA176" s="285"/>
      <c r="AB176" s="285"/>
      <c r="AC176" s="285"/>
      <c r="AD176" s="285"/>
      <c r="AE176" s="285"/>
      <c r="AF176" s="285"/>
      <c r="AG176" s="285"/>
      <c r="AH176" s="285"/>
      <c r="AI176" s="285"/>
      <c r="AJ176" s="285"/>
      <c r="AK176" s="285"/>
      <c r="AL176" s="285"/>
      <c r="AM176" s="285"/>
      <c r="AN176" s="285"/>
      <c r="AO176" s="285"/>
      <c r="AP176" s="285"/>
      <c r="AQ176" s="285"/>
      <c r="AR176" s="285"/>
      <c r="AS176" s="285"/>
      <c r="AT176" s="285"/>
      <c r="AU176" s="285"/>
      <c r="AV176" s="285"/>
      <c r="AW176" s="285"/>
      <c r="AX176" s="285"/>
      <c r="AY176" s="285"/>
      <c r="AZ176" s="285"/>
      <c r="BA176" s="285"/>
      <c r="BB176" s="285"/>
      <c r="BC176" s="285"/>
      <c r="BD176" s="285"/>
      <c r="BE176" s="285"/>
      <c r="BF176" s="285"/>
      <c r="BG176" s="285"/>
      <c r="BH176" s="285"/>
      <c r="BI176" s="285"/>
      <c r="BJ176" s="285"/>
      <c r="BK176" s="285"/>
      <c r="BL176" s="285"/>
      <c r="BM176" s="285"/>
      <c r="BN176" s="285"/>
      <c r="BO176" s="285"/>
      <c r="BP176" s="285"/>
      <c r="BQ176" s="285"/>
      <c r="BR176" s="285"/>
      <c r="BS176" s="285"/>
      <c r="BT176" s="285"/>
      <c r="BU176" s="285"/>
      <c r="BV176" s="285"/>
      <c r="BW176" s="285"/>
      <c r="BX176" s="285"/>
      <c r="BY176" s="285"/>
      <c r="BZ176" s="285"/>
      <c r="CA176" s="285"/>
      <c r="CB176" s="285"/>
      <c r="CC176" s="285"/>
      <c r="CD176" s="285"/>
      <c r="CE176" s="285"/>
      <c r="CF176" s="285"/>
      <c r="CG176" s="285"/>
      <c r="CH176" s="285"/>
      <c r="CI176" s="285"/>
      <c r="CJ176" s="285"/>
      <c r="CK176" s="285"/>
      <c r="CL176" s="285"/>
      <c r="CM176" s="285"/>
      <c r="CN176" s="285"/>
      <c r="CO176" s="285"/>
      <c r="CP176" s="285"/>
      <c r="CQ176" s="285"/>
      <c r="CR176" s="285"/>
      <c r="CS176" s="285"/>
      <c r="CT176" s="285"/>
      <c r="CU176" s="285"/>
      <c r="CV176" s="285"/>
      <c r="CW176" s="285"/>
      <c r="CX176" s="285"/>
      <c r="CY176" s="285"/>
      <c r="CZ176" s="285"/>
      <c r="DA176" s="285"/>
      <c r="DB176" s="285"/>
      <c r="DC176" s="285"/>
      <c r="DD176" s="285"/>
      <c r="DE176" s="285"/>
      <c r="DF176" s="285"/>
      <c r="DG176" s="285"/>
      <c r="DH176" s="285"/>
      <c r="DI176" s="285"/>
      <c r="DJ176" s="285"/>
      <c r="DK176" s="285"/>
      <c r="DL176" s="285"/>
      <c r="DM176" s="285"/>
      <c r="DN176" s="285"/>
      <c r="DO176" s="285"/>
      <c r="DP176" s="285"/>
      <c r="DQ176" s="285"/>
      <c r="DR176" s="285"/>
      <c r="DS176" s="285"/>
      <c r="DT176" s="285"/>
      <c r="DU176" s="285"/>
      <c r="DV176" s="285"/>
      <c r="DW176" s="285"/>
      <c r="DX176" s="285"/>
      <c r="DY176" s="285"/>
      <c r="DZ176" s="285"/>
      <c r="EA176" s="285"/>
      <c r="EB176" s="285"/>
      <c r="EC176" s="285"/>
      <c r="ED176" s="285"/>
      <c r="EE176" s="285"/>
      <c r="EF176" s="285"/>
      <c r="EG176" s="285"/>
      <c r="EH176" s="285"/>
      <c r="EI176" s="285"/>
      <c r="EJ176" s="285"/>
      <c r="EK176" s="285"/>
      <c r="EL176" s="285"/>
      <c r="EM176" s="285"/>
      <c r="EN176" s="285"/>
      <c r="EO176" s="285"/>
      <c r="EP176" s="285"/>
      <c r="EQ176" s="285"/>
      <c r="ER176" s="285"/>
      <c r="ES176" s="285"/>
      <c r="ET176" s="285"/>
      <c r="EU176" s="285"/>
      <c r="EV176" s="285"/>
      <c r="EW176" s="285"/>
      <c r="EX176" s="285"/>
      <c r="EY176" s="285"/>
      <c r="EZ176" s="285"/>
      <c r="FA176" s="285"/>
      <c r="FB176" s="285"/>
      <c r="FC176" s="285"/>
      <c r="FD176" s="285"/>
      <c r="FE176" s="285"/>
      <c r="FF176" s="285"/>
      <c r="FG176" s="285"/>
      <c r="FH176" s="285"/>
      <c r="FI176" s="285"/>
      <c r="FJ176" s="285"/>
      <c r="FK176" s="285"/>
      <c r="FL176" s="285"/>
      <c r="FM176" s="285"/>
      <c r="FN176" s="285"/>
      <c r="FO176" s="285"/>
      <c r="FP176" s="285"/>
      <c r="FQ176" s="285"/>
      <c r="FR176" s="285"/>
      <c r="FS176" s="285"/>
      <c r="FT176" s="285"/>
      <c r="FU176" s="285"/>
      <c r="FV176" s="285"/>
      <c r="FW176" s="285"/>
      <c r="FX176" s="285"/>
      <c r="FY176" s="285"/>
      <c r="FZ176" s="285"/>
      <c r="GA176" s="285"/>
      <c r="GB176" s="285"/>
      <c r="GC176" s="285"/>
      <c r="GD176" s="285"/>
      <c r="GE176" s="285"/>
      <c r="GF176" s="285"/>
      <c r="GG176" s="285"/>
      <c r="GH176" s="285"/>
      <c r="GI176" s="285"/>
      <c r="GJ176" s="285"/>
      <c r="GK176" s="285"/>
      <c r="GL176" s="285"/>
      <c r="GM176" s="285"/>
      <c r="GN176" s="285"/>
      <c r="GO176" s="285"/>
      <c r="GP176" s="285"/>
      <c r="GQ176" s="285"/>
      <c r="GR176" s="285"/>
      <c r="GS176" s="285"/>
      <c r="GT176" s="285"/>
      <c r="GU176" s="285"/>
      <c r="GV176" s="285"/>
      <c r="GW176" s="285"/>
      <c r="GX176" s="285"/>
      <c r="GY176" s="285"/>
      <c r="GZ176" s="285"/>
    </row>
    <row r="177" spans="1:208" ht="15">
      <c r="A177" s="280">
        <v>40</v>
      </c>
      <c r="B177" s="362">
        <v>44833</v>
      </c>
      <c r="C177" s="356">
        <v>1125630</v>
      </c>
      <c r="D177" s="341" t="s">
        <v>4468</v>
      </c>
      <c r="E177" s="356" t="s">
        <v>4469</v>
      </c>
      <c r="F177" s="356" t="s">
        <v>4251</v>
      </c>
      <c r="G177" s="280" t="s">
        <v>4320</v>
      </c>
      <c r="H177" s="356">
        <v>14</v>
      </c>
      <c r="I177" s="280">
        <v>4502420751</v>
      </c>
      <c r="J177" s="356">
        <v>3025457</v>
      </c>
      <c r="K177" s="280" t="s">
        <v>4320</v>
      </c>
      <c r="L177" s="280" t="s">
        <v>4320</v>
      </c>
      <c r="M177" s="363">
        <v>6895</v>
      </c>
      <c r="N177" s="356">
        <v>8000</v>
      </c>
      <c r="O177" s="317">
        <f t="shared" si="24"/>
        <v>55160000</v>
      </c>
      <c r="P177" s="295">
        <f t="shared" si="30"/>
        <v>1</v>
      </c>
      <c r="Q177" s="323" t="s">
        <v>3455</v>
      </c>
      <c r="R177" s="280">
        <v>1040968</v>
      </c>
      <c r="S177" s="364">
        <v>3497950</v>
      </c>
      <c r="T177" s="280" t="s">
        <v>4470</v>
      </c>
      <c r="U177" s="295"/>
      <c r="V177" s="295"/>
      <c r="W177" s="295"/>
      <c r="X177" s="295"/>
      <c r="Y177" s="295"/>
      <c r="Z177" s="295"/>
      <c r="AA177" s="295"/>
      <c r="AB177" s="295"/>
      <c r="AC177" s="295"/>
      <c r="AD177" s="295"/>
      <c r="AE177" s="295"/>
      <c r="AF177" s="295"/>
      <c r="AG177" s="295"/>
      <c r="AH177" s="295"/>
      <c r="AI177" s="295"/>
      <c r="AJ177" s="295"/>
      <c r="AK177" s="295"/>
      <c r="AL177" s="295"/>
      <c r="AM177" s="295"/>
      <c r="AN177" s="295"/>
      <c r="AO177" s="295"/>
      <c r="AP177" s="295"/>
      <c r="AQ177" s="295"/>
      <c r="AR177" s="295"/>
      <c r="AS177" s="295"/>
      <c r="AT177" s="295"/>
      <c r="AU177" s="295"/>
      <c r="AV177" s="295"/>
      <c r="AW177" s="295"/>
      <c r="AX177" s="295"/>
      <c r="AY177" s="295"/>
      <c r="AZ177" s="295"/>
      <c r="BA177" s="295"/>
      <c r="BB177" s="295"/>
      <c r="BC177" s="295"/>
      <c r="BD177" s="295"/>
      <c r="BE177" s="295"/>
      <c r="BF177" s="295"/>
      <c r="BG177" s="295"/>
      <c r="BH177" s="295"/>
      <c r="BI177" s="295"/>
      <c r="BJ177" s="295"/>
      <c r="BK177" s="295"/>
      <c r="BL177" s="295"/>
      <c r="BM177" s="295"/>
      <c r="BN177" s="295"/>
      <c r="BO177" s="295"/>
      <c r="BP177" s="295"/>
      <c r="BQ177" s="295"/>
      <c r="BR177" s="295"/>
      <c r="BS177" s="295"/>
      <c r="BT177" s="295"/>
      <c r="BU177" s="295"/>
      <c r="BV177" s="295"/>
      <c r="BW177" s="295"/>
      <c r="BX177" s="295"/>
      <c r="BY177" s="295"/>
      <c r="BZ177" s="295"/>
      <c r="CA177" s="295"/>
      <c r="CB177" s="295"/>
      <c r="CC177" s="295"/>
      <c r="CD177" s="295"/>
      <c r="CE177" s="295"/>
      <c r="CF177" s="295"/>
      <c r="CG177" s="295"/>
      <c r="CH177" s="295"/>
      <c r="CI177" s="295"/>
      <c r="CJ177" s="295"/>
      <c r="CK177" s="295"/>
      <c r="CL177" s="295"/>
      <c r="CM177" s="295"/>
      <c r="CN177" s="295"/>
      <c r="CO177" s="295"/>
      <c r="CP177" s="295"/>
      <c r="CQ177" s="295"/>
      <c r="CR177" s="295"/>
      <c r="CS177" s="295"/>
      <c r="CT177" s="295"/>
      <c r="CU177" s="295"/>
      <c r="CV177" s="295"/>
      <c r="CW177" s="295"/>
      <c r="CX177" s="295"/>
      <c r="CY177" s="295"/>
      <c r="CZ177" s="295"/>
      <c r="DA177" s="295"/>
      <c r="DB177" s="295"/>
      <c r="DC177" s="295"/>
      <c r="DD177" s="295"/>
      <c r="DE177" s="295"/>
      <c r="DF177" s="295"/>
      <c r="DG177" s="295"/>
      <c r="DH177" s="295"/>
      <c r="DI177" s="295"/>
      <c r="DJ177" s="295"/>
      <c r="DK177" s="295"/>
      <c r="DL177" s="295"/>
      <c r="DM177" s="295"/>
      <c r="DN177" s="295"/>
      <c r="DO177" s="295"/>
      <c r="DP177" s="295"/>
      <c r="DQ177" s="295"/>
      <c r="DR177" s="295"/>
      <c r="DS177" s="295"/>
      <c r="DT177" s="295"/>
      <c r="DU177" s="295"/>
      <c r="DV177" s="295"/>
      <c r="DW177" s="295"/>
      <c r="DX177" s="295"/>
      <c r="DY177" s="295"/>
      <c r="DZ177" s="295"/>
      <c r="EA177" s="295"/>
      <c r="EB177" s="295"/>
      <c r="EC177" s="295"/>
      <c r="ED177" s="295"/>
      <c r="EE177" s="295"/>
      <c r="EF177" s="295"/>
      <c r="EG177" s="295"/>
      <c r="EH177" s="295"/>
      <c r="EI177" s="295"/>
      <c r="EJ177" s="295"/>
      <c r="EK177" s="295"/>
      <c r="EL177" s="295"/>
      <c r="EM177" s="295"/>
      <c r="EN177" s="295"/>
      <c r="EO177" s="295"/>
      <c r="EP177" s="295"/>
      <c r="EQ177" s="295"/>
      <c r="ER177" s="295"/>
      <c r="ES177" s="295"/>
      <c r="ET177" s="295"/>
      <c r="EU177" s="295"/>
      <c r="EV177" s="295"/>
      <c r="EW177" s="295"/>
      <c r="EX177" s="295"/>
      <c r="EY177" s="295"/>
      <c r="EZ177" s="295"/>
      <c r="FA177" s="295"/>
      <c r="FB177" s="295"/>
      <c r="FC177" s="295"/>
      <c r="FD177" s="295"/>
      <c r="FE177" s="295"/>
      <c r="FF177" s="295"/>
      <c r="FG177" s="295"/>
      <c r="FH177" s="295"/>
      <c r="FI177" s="295"/>
      <c r="FJ177" s="295"/>
      <c r="FK177" s="295"/>
      <c r="FL177" s="295"/>
      <c r="FM177" s="295"/>
      <c r="FN177" s="295"/>
      <c r="FO177" s="295"/>
      <c r="FP177" s="295"/>
      <c r="FQ177" s="295"/>
      <c r="FR177" s="295"/>
      <c r="FS177" s="295"/>
      <c r="FT177" s="295"/>
      <c r="FU177" s="295"/>
      <c r="FV177" s="295"/>
      <c r="FW177" s="295"/>
      <c r="FX177" s="295"/>
      <c r="FY177" s="295"/>
      <c r="FZ177" s="295"/>
      <c r="GA177" s="295"/>
      <c r="GB177" s="295"/>
      <c r="GC177" s="295"/>
      <c r="GD177" s="295"/>
      <c r="GE177" s="295"/>
      <c r="GF177" s="295"/>
      <c r="GG177" s="295"/>
      <c r="GH177" s="295"/>
      <c r="GI177" s="295"/>
      <c r="GJ177" s="295"/>
      <c r="GK177" s="295"/>
      <c r="GL177" s="295"/>
      <c r="GM177" s="295"/>
      <c r="GN177" s="295"/>
      <c r="GO177" s="295"/>
      <c r="GP177" s="295"/>
      <c r="GQ177" s="295"/>
      <c r="GR177" s="295"/>
      <c r="GS177" s="295"/>
      <c r="GT177" s="295"/>
      <c r="GU177" s="295"/>
      <c r="GV177" s="295"/>
      <c r="GW177" s="295"/>
      <c r="GX177" s="295"/>
      <c r="GY177" s="295"/>
      <c r="GZ177" s="295"/>
    </row>
    <row r="178" spans="1:208" ht="15">
      <c r="A178" s="282">
        <v>40</v>
      </c>
      <c r="B178" s="332">
        <v>44833</v>
      </c>
      <c r="C178" s="333">
        <v>1114249</v>
      </c>
      <c r="D178" s="342" t="s">
        <v>4471</v>
      </c>
      <c r="E178" s="333" t="s">
        <v>4352</v>
      </c>
      <c r="F178" s="333" t="s">
        <v>4275</v>
      </c>
      <c r="G178" s="333">
        <v>3158</v>
      </c>
      <c r="H178" s="333">
        <v>28</v>
      </c>
      <c r="I178" s="342">
        <v>4502421181</v>
      </c>
      <c r="J178" s="352">
        <v>3025459</v>
      </c>
      <c r="K178" s="282">
        <v>4902356376</v>
      </c>
      <c r="L178" s="282" t="s">
        <v>4252</v>
      </c>
      <c r="M178" s="283">
        <v>14780</v>
      </c>
      <c r="N178" s="333">
        <v>7850</v>
      </c>
      <c r="O178" s="284">
        <f t="shared" si="24"/>
        <v>116023000</v>
      </c>
      <c r="P178" s="285">
        <f t="shared" si="30"/>
        <v>2</v>
      </c>
      <c r="Q178" s="321" t="s">
        <v>3455</v>
      </c>
      <c r="R178" s="282">
        <v>1040968</v>
      </c>
      <c r="S178" s="285">
        <v>7395900</v>
      </c>
      <c r="T178" s="285"/>
      <c r="U178" s="285"/>
      <c r="V178" s="285"/>
      <c r="W178" s="285"/>
      <c r="X178" s="285"/>
      <c r="Y178" s="285"/>
      <c r="Z178" s="285"/>
      <c r="AA178" s="285"/>
      <c r="AB178" s="285"/>
      <c r="AC178" s="285"/>
      <c r="AD178" s="285"/>
      <c r="AE178" s="285"/>
      <c r="AF178" s="285"/>
      <c r="AG178" s="285"/>
      <c r="AH178" s="285"/>
      <c r="AI178" s="285"/>
      <c r="AJ178" s="285"/>
      <c r="AK178" s="285"/>
      <c r="AL178" s="285"/>
      <c r="AM178" s="285"/>
      <c r="AN178" s="285"/>
      <c r="AO178" s="285"/>
      <c r="AP178" s="285"/>
      <c r="AQ178" s="285"/>
      <c r="AR178" s="285"/>
      <c r="AS178" s="285"/>
      <c r="AT178" s="285"/>
      <c r="AU178" s="285"/>
      <c r="AV178" s="285"/>
      <c r="AW178" s="285"/>
      <c r="AX178" s="285"/>
      <c r="AY178" s="285"/>
      <c r="AZ178" s="285"/>
      <c r="BA178" s="285"/>
      <c r="BB178" s="285"/>
      <c r="BC178" s="285"/>
      <c r="BD178" s="285"/>
      <c r="BE178" s="285"/>
      <c r="BF178" s="285"/>
      <c r="BG178" s="285"/>
      <c r="BH178" s="285"/>
      <c r="BI178" s="285"/>
      <c r="BJ178" s="285"/>
      <c r="BK178" s="285"/>
      <c r="BL178" s="285"/>
      <c r="BM178" s="285"/>
      <c r="BN178" s="285"/>
      <c r="BO178" s="285"/>
      <c r="BP178" s="285"/>
      <c r="BQ178" s="285"/>
      <c r="BR178" s="285"/>
      <c r="BS178" s="285"/>
      <c r="BT178" s="285"/>
      <c r="BU178" s="285"/>
      <c r="BV178" s="285"/>
      <c r="BW178" s="285"/>
      <c r="BX178" s="285"/>
      <c r="BY178" s="285"/>
      <c r="BZ178" s="285"/>
      <c r="CA178" s="285"/>
      <c r="CB178" s="285"/>
      <c r="CC178" s="285"/>
      <c r="CD178" s="285"/>
      <c r="CE178" s="285"/>
      <c r="CF178" s="285"/>
      <c r="CG178" s="285"/>
      <c r="CH178" s="285"/>
      <c r="CI178" s="285"/>
      <c r="CJ178" s="285"/>
      <c r="CK178" s="285"/>
      <c r="CL178" s="285"/>
      <c r="CM178" s="285"/>
      <c r="CN178" s="285"/>
      <c r="CO178" s="285"/>
      <c r="CP178" s="285"/>
      <c r="CQ178" s="285"/>
      <c r="CR178" s="285"/>
      <c r="CS178" s="285"/>
      <c r="CT178" s="285"/>
      <c r="CU178" s="285"/>
      <c r="CV178" s="285"/>
      <c r="CW178" s="285"/>
      <c r="CX178" s="285"/>
      <c r="CY178" s="285"/>
      <c r="CZ178" s="285"/>
      <c r="DA178" s="285"/>
      <c r="DB178" s="285"/>
      <c r="DC178" s="285"/>
      <c r="DD178" s="285"/>
      <c r="DE178" s="285"/>
      <c r="DF178" s="285"/>
      <c r="DG178" s="285"/>
      <c r="DH178" s="285"/>
      <c r="DI178" s="285"/>
      <c r="DJ178" s="285"/>
      <c r="DK178" s="285"/>
      <c r="DL178" s="285"/>
      <c r="DM178" s="285"/>
      <c r="DN178" s="285"/>
      <c r="DO178" s="285"/>
      <c r="DP178" s="285"/>
      <c r="DQ178" s="285"/>
      <c r="DR178" s="285"/>
      <c r="DS178" s="285"/>
      <c r="DT178" s="285"/>
      <c r="DU178" s="285"/>
      <c r="DV178" s="285"/>
      <c r="DW178" s="285"/>
      <c r="DX178" s="285"/>
      <c r="DY178" s="285"/>
      <c r="DZ178" s="285"/>
      <c r="EA178" s="285"/>
      <c r="EB178" s="285"/>
      <c r="EC178" s="285"/>
      <c r="ED178" s="285"/>
      <c r="EE178" s="285"/>
      <c r="EF178" s="285"/>
      <c r="EG178" s="285"/>
      <c r="EH178" s="285"/>
      <c r="EI178" s="285"/>
      <c r="EJ178" s="285"/>
      <c r="EK178" s="285"/>
      <c r="EL178" s="285"/>
      <c r="EM178" s="285"/>
      <c r="EN178" s="285"/>
      <c r="EO178" s="285"/>
      <c r="EP178" s="285"/>
      <c r="EQ178" s="285"/>
      <c r="ER178" s="285"/>
      <c r="ES178" s="285"/>
      <c r="ET178" s="285"/>
      <c r="EU178" s="285"/>
      <c r="EV178" s="285"/>
      <c r="EW178" s="285"/>
      <c r="EX178" s="285"/>
      <c r="EY178" s="285"/>
      <c r="EZ178" s="285"/>
      <c r="FA178" s="285"/>
      <c r="FB178" s="285"/>
      <c r="FC178" s="285"/>
      <c r="FD178" s="285"/>
      <c r="FE178" s="285"/>
      <c r="FF178" s="285"/>
      <c r="FG178" s="285"/>
      <c r="FH178" s="285"/>
      <c r="FI178" s="285"/>
      <c r="FJ178" s="285"/>
      <c r="FK178" s="285"/>
      <c r="FL178" s="285"/>
      <c r="FM178" s="285"/>
      <c r="FN178" s="285"/>
      <c r="FO178" s="285"/>
      <c r="FP178" s="285"/>
      <c r="FQ178" s="285"/>
      <c r="FR178" s="285"/>
      <c r="FS178" s="285"/>
      <c r="FT178" s="285"/>
      <c r="FU178" s="285"/>
      <c r="FV178" s="285"/>
      <c r="FW178" s="285"/>
      <c r="FX178" s="285"/>
      <c r="FY178" s="285"/>
      <c r="FZ178" s="285"/>
      <c r="GA178" s="285"/>
      <c r="GB178" s="285"/>
      <c r="GC178" s="285"/>
      <c r="GD178" s="285"/>
      <c r="GE178" s="285"/>
      <c r="GF178" s="285"/>
      <c r="GG178" s="285"/>
      <c r="GH178" s="285"/>
      <c r="GI178" s="285"/>
      <c r="GJ178" s="285"/>
      <c r="GK178" s="285"/>
      <c r="GL178" s="285"/>
      <c r="GM178" s="285"/>
      <c r="GN178" s="285"/>
      <c r="GO178" s="285"/>
      <c r="GP178" s="285"/>
      <c r="GQ178" s="285"/>
      <c r="GR178" s="285"/>
      <c r="GS178" s="285"/>
      <c r="GT178" s="285"/>
      <c r="GU178" s="285"/>
      <c r="GV178" s="285"/>
      <c r="GW178" s="285"/>
      <c r="GX178" s="285"/>
      <c r="GY178" s="285"/>
      <c r="GZ178" s="285"/>
    </row>
    <row r="179" spans="1:208" ht="15">
      <c r="A179" s="282">
        <v>40</v>
      </c>
      <c r="B179" s="332">
        <v>44834</v>
      </c>
      <c r="C179" s="333">
        <v>1106184</v>
      </c>
      <c r="D179" s="342" t="s">
        <v>4472</v>
      </c>
      <c r="E179" s="333" t="s">
        <v>4250</v>
      </c>
      <c r="F179" s="333" t="s">
        <v>4251</v>
      </c>
      <c r="G179" s="333">
        <v>3185</v>
      </c>
      <c r="H179" s="333">
        <v>70</v>
      </c>
      <c r="I179" s="342">
        <v>4502421203</v>
      </c>
      <c r="J179" s="333">
        <v>3025457</v>
      </c>
      <c r="K179" s="282">
        <v>4902356797</v>
      </c>
      <c r="L179" s="282" t="s">
        <v>4252</v>
      </c>
      <c r="M179" s="283">
        <v>36340</v>
      </c>
      <c r="N179" s="333">
        <v>7900</v>
      </c>
      <c r="O179" s="284">
        <f t="shared" si="24"/>
        <v>287086000</v>
      </c>
      <c r="P179" s="285">
        <f t="shared" si="30"/>
        <v>5</v>
      </c>
      <c r="Q179" s="321" t="s">
        <v>3455</v>
      </c>
      <c r="R179" s="282">
        <v>1040968</v>
      </c>
      <c r="S179" s="282">
        <v>15442400</v>
      </c>
      <c r="T179" s="285"/>
      <c r="U179" s="285"/>
      <c r="V179" s="285"/>
      <c r="W179" s="285"/>
      <c r="X179" s="285"/>
      <c r="Y179" s="285"/>
      <c r="Z179" s="285"/>
      <c r="AA179" s="285"/>
      <c r="AB179" s="285"/>
      <c r="AC179" s="285"/>
      <c r="AD179" s="285"/>
      <c r="AE179" s="285"/>
      <c r="AF179" s="285"/>
      <c r="AG179" s="285"/>
      <c r="AH179" s="285"/>
      <c r="AI179" s="285"/>
      <c r="AJ179" s="285"/>
      <c r="AK179" s="285"/>
      <c r="AL179" s="285"/>
      <c r="AM179" s="285"/>
      <c r="AN179" s="285"/>
      <c r="AO179" s="285"/>
      <c r="AP179" s="285"/>
      <c r="AQ179" s="285"/>
      <c r="AR179" s="285"/>
      <c r="AS179" s="285"/>
      <c r="AT179" s="285"/>
      <c r="AU179" s="285"/>
      <c r="AV179" s="285"/>
      <c r="AW179" s="285"/>
      <c r="AX179" s="285"/>
      <c r="AY179" s="285"/>
      <c r="AZ179" s="285"/>
      <c r="BA179" s="285"/>
      <c r="BB179" s="285"/>
      <c r="BC179" s="285"/>
      <c r="BD179" s="285"/>
      <c r="BE179" s="285"/>
      <c r="BF179" s="285"/>
      <c r="BG179" s="285"/>
      <c r="BH179" s="285"/>
      <c r="BI179" s="285"/>
      <c r="BJ179" s="285"/>
      <c r="BK179" s="285"/>
      <c r="BL179" s="285"/>
      <c r="BM179" s="285"/>
      <c r="BN179" s="285"/>
      <c r="BO179" s="285"/>
      <c r="BP179" s="285"/>
      <c r="BQ179" s="285"/>
      <c r="BR179" s="285"/>
      <c r="BS179" s="285"/>
      <c r="BT179" s="285"/>
      <c r="BU179" s="285"/>
      <c r="BV179" s="285"/>
      <c r="BW179" s="285"/>
      <c r="BX179" s="285"/>
      <c r="BY179" s="285"/>
      <c r="BZ179" s="285"/>
      <c r="CA179" s="285"/>
      <c r="CB179" s="285"/>
      <c r="CC179" s="285"/>
      <c r="CD179" s="285"/>
      <c r="CE179" s="285"/>
      <c r="CF179" s="285"/>
      <c r="CG179" s="285"/>
      <c r="CH179" s="285"/>
      <c r="CI179" s="285"/>
      <c r="CJ179" s="285"/>
      <c r="CK179" s="285"/>
      <c r="CL179" s="285"/>
      <c r="CM179" s="285"/>
      <c r="CN179" s="285"/>
      <c r="CO179" s="285"/>
      <c r="CP179" s="285"/>
      <c r="CQ179" s="285"/>
      <c r="CR179" s="285"/>
      <c r="CS179" s="285"/>
      <c r="CT179" s="285"/>
      <c r="CU179" s="285"/>
      <c r="CV179" s="285"/>
      <c r="CW179" s="285"/>
      <c r="CX179" s="285"/>
      <c r="CY179" s="285"/>
      <c r="CZ179" s="285"/>
      <c r="DA179" s="285"/>
      <c r="DB179" s="285"/>
      <c r="DC179" s="285"/>
      <c r="DD179" s="285"/>
      <c r="DE179" s="285"/>
      <c r="DF179" s="285"/>
      <c r="DG179" s="285"/>
      <c r="DH179" s="285"/>
      <c r="DI179" s="285"/>
      <c r="DJ179" s="285"/>
      <c r="DK179" s="285"/>
      <c r="DL179" s="285"/>
      <c r="DM179" s="285"/>
      <c r="DN179" s="285"/>
      <c r="DO179" s="285"/>
      <c r="DP179" s="285"/>
      <c r="DQ179" s="285"/>
      <c r="DR179" s="285"/>
      <c r="DS179" s="285"/>
      <c r="DT179" s="285"/>
      <c r="DU179" s="285"/>
      <c r="DV179" s="285"/>
      <c r="DW179" s="285"/>
      <c r="DX179" s="285"/>
      <c r="DY179" s="285"/>
      <c r="DZ179" s="285"/>
      <c r="EA179" s="285"/>
      <c r="EB179" s="285"/>
      <c r="EC179" s="285"/>
      <c r="ED179" s="285"/>
      <c r="EE179" s="285"/>
      <c r="EF179" s="285"/>
      <c r="EG179" s="285"/>
      <c r="EH179" s="285"/>
      <c r="EI179" s="285"/>
      <c r="EJ179" s="285"/>
      <c r="EK179" s="285"/>
      <c r="EL179" s="285"/>
      <c r="EM179" s="285"/>
      <c r="EN179" s="285"/>
      <c r="EO179" s="285"/>
      <c r="EP179" s="285"/>
      <c r="EQ179" s="285"/>
      <c r="ER179" s="285"/>
      <c r="ES179" s="285"/>
      <c r="ET179" s="285"/>
      <c r="EU179" s="285"/>
      <c r="EV179" s="285"/>
      <c r="EW179" s="285"/>
      <c r="EX179" s="285"/>
      <c r="EY179" s="285"/>
      <c r="EZ179" s="285"/>
      <c r="FA179" s="285"/>
      <c r="FB179" s="285"/>
      <c r="FC179" s="285"/>
      <c r="FD179" s="285"/>
      <c r="FE179" s="285"/>
      <c r="FF179" s="285"/>
      <c r="FG179" s="285"/>
      <c r="FH179" s="285"/>
      <c r="FI179" s="285"/>
      <c r="FJ179" s="285"/>
      <c r="FK179" s="285"/>
      <c r="FL179" s="285"/>
      <c r="FM179" s="285"/>
      <c r="FN179" s="285"/>
      <c r="FO179" s="285"/>
      <c r="FP179" s="285"/>
      <c r="FQ179" s="285"/>
      <c r="FR179" s="285"/>
      <c r="FS179" s="285"/>
      <c r="FT179" s="285"/>
      <c r="FU179" s="285"/>
      <c r="FV179" s="285"/>
      <c r="FW179" s="285"/>
      <c r="FX179" s="285"/>
      <c r="FY179" s="285"/>
      <c r="FZ179" s="285"/>
      <c r="GA179" s="285"/>
      <c r="GB179" s="285"/>
      <c r="GC179" s="285"/>
      <c r="GD179" s="285"/>
      <c r="GE179" s="285"/>
      <c r="GF179" s="285"/>
      <c r="GG179" s="285"/>
      <c r="GH179" s="285"/>
      <c r="GI179" s="285"/>
      <c r="GJ179" s="285"/>
      <c r="GK179" s="285"/>
      <c r="GL179" s="285"/>
      <c r="GM179" s="285"/>
      <c r="GN179" s="285"/>
      <c r="GO179" s="285"/>
      <c r="GP179" s="285"/>
      <c r="GQ179" s="285"/>
      <c r="GR179" s="285"/>
      <c r="GS179" s="285"/>
      <c r="GT179" s="285"/>
      <c r="GU179" s="285"/>
      <c r="GV179" s="285"/>
      <c r="GW179" s="285"/>
      <c r="GX179" s="285"/>
      <c r="GY179" s="285"/>
      <c r="GZ179" s="285"/>
    </row>
    <row r="180" spans="1:208" ht="15">
      <c r="A180" s="280">
        <v>40</v>
      </c>
      <c r="B180" s="362">
        <v>44834</v>
      </c>
      <c r="C180" s="356">
        <v>1036751</v>
      </c>
      <c r="D180" s="341" t="s">
        <v>4473</v>
      </c>
      <c r="E180" s="356" t="s">
        <v>4450</v>
      </c>
      <c r="F180" s="356" t="s">
        <v>4474</v>
      </c>
      <c r="G180" s="356">
        <v>3180</v>
      </c>
      <c r="H180" s="356">
        <v>56</v>
      </c>
      <c r="I180" s="341">
        <v>4502411300</v>
      </c>
      <c r="J180" s="357">
        <v>3025459</v>
      </c>
      <c r="K180" s="280">
        <v>4902356799</v>
      </c>
      <c r="L180" s="280" t="s">
        <v>4252</v>
      </c>
      <c r="M180" s="363">
        <v>29000.7</v>
      </c>
      <c r="N180" s="356">
        <v>9035</v>
      </c>
      <c r="O180" s="317">
        <f t="shared" si="24"/>
        <v>262021324.5</v>
      </c>
      <c r="P180" s="295">
        <f t="shared" si="30"/>
        <v>4</v>
      </c>
      <c r="Q180" s="323" t="s">
        <v>3455</v>
      </c>
      <c r="R180" s="280">
        <v>1040968</v>
      </c>
      <c r="S180" s="295">
        <v>7000000</v>
      </c>
      <c r="T180" s="365" t="s">
        <v>4475</v>
      </c>
      <c r="U180" s="280"/>
      <c r="V180" s="295"/>
      <c r="W180" s="295"/>
      <c r="X180" s="295"/>
      <c r="Y180" s="295"/>
      <c r="Z180" s="295"/>
      <c r="AA180" s="295"/>
      <c r="AB180" s="295"/>
      <c r="AC180" s="295"/>
      <c r="AD180" s="295"/>
      <c r="AE180" s="295"/>
      <c r="AF180" s="295"/>
      <c r="AG180" s="295"/>
      <c r="AH180" s="295"/>
      <c r="AI180" s="295"/>
      <c r="AJ180" s="295"/>
      <c r="AK180" s="295"/>
      <c r="AL180" s="295"/>
      <c r="AM180" s="295"/>
      <c r="AN180" s="295"/>
      <c r="AO180" s="295"/>
      <c r="AP180" s="295"/>
      <c r="AQ180" s="295"/>
      <c r="AR180" s="295"/>
      <c r="AS180" s="295"/>
      <c r="AT180" s="295"/>
      <c r="AU180" s="295"/>
      <c r="AV180" s="295"/>
      <c r="AW180" s="295"/>
      <c r="AX180" s="295"/>
      <c r="AY180" s="295"/>
      <c r="AZ180" s="295"/>
      <c r="BA180" s="295"/>
      <c r="BB180" s="295"/>
      <c r="BC180" s="295"/>
      <c r="BD180" s="295"/>
      <c r="BE180" s="295"/>
      <c r="BF180" s="295"/>
      <c r="BG180" s="295"/>
      <c r="BH180" s="295"/>
      <c r="BI180" s="295"/>
      <c r="BJ180" s="295"/>
      <c r="BK180" s="295"/>
      <c r="BL180" s="295"/>
      <c r="BM180" s="295"/>
      <c r="BN180" s="295"/>
      <c r="BO180" s="295"/>
      <c r="BP180" s="295"/>
      <c r="BQ180" s="295"/>
      <c r="BR180" s="295"/>
      <c r="BS180" s="295"/>
      <c r="BT180" s="295"/>
      <c r="BU180" s="295"/>
      <c r="BV180" s="295"/>
      <c r="BW180" s="295"/>
      <c r="BX180" s="295"/>
      <c r="BY180" s="295"/>
      <c r="BZ180" s="295"/>
      <c r="CA180" s="295"/>
      <c r="CB180" s="295"/>
      <c r="CC180" s="295"/>
      <c r="CD180" s="295"/>
      <c r="CE180" s="295"/>
      <c r="CF180" s="295"/>
      <c r="CG180" s="295"/>
      <c r="CH180" s="295"/>
      <c r="CI180" s="295"/>
      <c r="CJ180" s="295"/>
      <c r="CK180" s="295"/>
      <c r="CL180" s="295"/>
      <c r="CM180" s="295"/>
      <c r="CN180" s="295"/>
      <c r="CO180" s="295"/>
      <c r="CP180" s="295"/>
      <c r="CQ180" s="295"/>
      <c r="CR180" s="295"/>
      <c r="CS180" s="295"/>
      <c r="CT180" s="295"/>
      <c r="CU180" s="295"/>
      <c r="CV180" s="295"/>
      <c r="CW180" s="295"/>
      <c r="CX180" s="295"/>
      <c r="CY180" s="295"/>
      <c r="CZ180" s="295"/>
      <c r="DA180" s="295"/>
      <c r="DB180" s="295"/>
      <c r="DC180" s="295"/>
      <c r="DD180" s="295"/>
      <c r="DE180" s="295"/>
      <c r="DF180" s="295"/>
      <c r="DG180" s="295"/>
      <c r="DH180" s="295"/>
      <c r="DI180" s="295"/>
      <c r="DJ180" s="295"/>
      <c r="DK180" s="295"/>
      <c r="DL180" s="295"/>
      <c r="DM180" s="295"/>
      <c r="DN180" s="295"/>
      <c r="DO180" s="295"/>
      <c r="DP180" s="295"/>
      <c r="DQ180" s="295"/>
      <c r="DR180" s="295"/>
      <c r="DS180" s="295"/>
      <c r="DT180" s="295"/>
      <c r="DU180" s="295"/>
      <c r="DV180" s="295"/>
      <c r="DW180" s="295"/>
      <c r="DX180" s="295"/>
      <c r="DY180" s="295"/>
      <c r="DZ180" s="295"/>
      <c r="EA180" s="295"/>
      <c r="EB180" s="295"/>
      <c r="EC180" s="295"/>
      <c r="ED180" s="295"/>
      <c r="EE180" s="295"/>
      <c r="EF180" s="295"/>
      <c r="EG180" s="295"/>
      <c r="EH180" s="295"/>
      <c r="EI180" s="295"/>
      <c r="EJ180" s="295"/>
      <c r="EK180" s="295"/>
      <c r="EL180" s="295"/>
      <c r="EM180" s="295"/>
      <c r="EN180" s="295"/>
      <c r="EO180" s="295"/>
      <c r="EP180" s="295"/>
      <c r="EQ180" s="295"/>
      <c r="ER180" s="295"/>
      <c r="ES180" s="295"/>
      <c r="ET180" s="295"/>
      <c r="EU180" s="295"/>
      <c r="EV180" s="295"/>
      <c r="EW180" s="295"/>
      <c r="EX180" s="295"/>
      <c r="EY180" s="295"/>
      <c r="EZ180" s="295"/>
      <c r="FA180" s="295"/>
      <c r="FB180" s="295"/>
      <c r="FC180" s="295"/>
      <c r="FD180" s="295"/>
      <c r="FE180" s="295"/>
      <c r="FF180" s="295"/>
      <c r="FG180" s="295"/>
      <c r="FH180" s="295"/>
      <c r="FI180" s="295"/>
      <c r="FJ180" s="295"/>
      <c r="FK180" s="295"/>
      <c r="FL180" s="295"/>
      <c r="FM180" s="295"/>
      <c r="FN180" s="295"/>
      <c r="FO180" s="295"/>
      <c r="FP180" s="295"/>
      <c r="FQ180" s="295"/>
      <c r="FR180" s="295"/>
      <c r="FS180" s="295"/>
      <c r="FT180" s="295"/>
      <c r="FU180" s="295"/>
      <c r="FV180" s="295"/>
      <c r="FW180" s="295"/>
      <c r="FX180" s="295"/>
      <c r="FY180" s="295"/>
      <c r="FZ180" s="295"/>
      <c r="GA180" s="295"/>
      <c r="GB180" s="295"/>
      <c r="GC180" s="295"/>
      <c r="GD180" s="295"/>
      <c r="GE180" s="295"/>
      <c r="GF180" s="295"/>
      <c r="GG180" s="295"/>
      <c r="GH180" s="295"/>
      <c r="GI180" s="295"/>
      <c r="GJ180" s="295"/>
      <c r="GK180" s="295"/>
      <c r="GL180" s="295"/>
      <c r="GM180" s="295"/>
      <c r="GN180" s="295"/>
      <c r="GO180" s="295"/>
      <c r="GP180" s="295"/>
      <c r="GQ180" s="295"/>
      <c r="GR180" s="295"/>
      <c r="GS180" s="295"/>
      <c r="GT180" s="295"/>
      <c r="GU180" s="295"/>
      <c r="GV180" s="295"/>
      <c r="GW180" s="295"/>
      <c r="GX180" s="295"/>
      <c r="GY180" s="295"/>
      <c r="GZ180" s="295"/>
    </row>
    <row r="181" spans="1:208" ht="15">
      <c r="A181" s="282">
        <v>40</v>
      </c>
      <c r="B181" s="332">
        <v>44834</v>
      </c>
      <c r="C181" s="333">
        <v>1053331</v>
      </c>
      <c r="D181" s="342" t="s">
        <v>4476</v>
      </c>
      <c r="E181" s="333" t="s">
        <v>4416</v>
      </c>
      <c r="F181" s="333" t="s">
        <v>4275</v>
      </c>
      <c r="G181" s="333">
        <v>3178</v>
      </c>
      <c r="H181" s="333">
        <v>42</v>
      </c>
      <c r="I181" s="342">
        <v>4502421205</v>
      </c>
      <c r="J181" s="352">
        <v>3025459</v>
      </c>
      <c r="K181" s="282">
        <v>4902356800</v>
      </c>
      <c r="L181" s="282" t="s">
        <v>4252</v>
      </c>
      <c r="M181" s="283">
        <v>19362</v>
      </c>
      <c r="N181" s="333">
        <v>8000</v>
      </c>
      <c r="O181" s="284">
        <f t="shared" si="24"/>
        <v>154896000</v>
      </c>
      <c r="P181" s="285">
        <f t="shared" si="30"/>
        <v>3</v>
      </c>
      <c r="Q181" s="321" t="s">
        <v>3455</v>
      </c>
      <c r="R181" s="282">
        <v>1040968</v>
      </c>
      <c r="S181" s="285">
        <v>5381700</v>
      </c>
      <c r="T181" s="285"/>
      <c r="U181" s="285"/>
      <c r="V181" s="285"/>
      <c r="W181" s="285"/>
      <c r="X181" s="285"/>
      <c r="Y181" s="285"/>
      <c r="Z181" s="285"/>
      <c r="AA181" s="285"/>
      <c r="AB181" s="285"/>
      <c r="AC181" s="285"/>
      <c r="AD181" s="285"/>
      <c r="AE181" s="285"/>
      <c r="AF181" s="285"/>
      <c r="AG181" s="285"/>
      <c r="AH181" s="285"/>
      <c r="AI181" s="285"/>
      <c r="AJ181" s="285"/>
      <c r="AK181" s="285"/>
      <c r="AL181" s="285"/>
      <c r="AM181" s="285"/>
      <c r="AN181" s="285"/>
      <c r="AO181" s="285"/>
      <c r="AP181" s="285"/>
      <c r="AQ181" s="285"/>
      <c r="AR181" s="285"/>
      <c r="AS181" s="285"/>
      <c r="AT181" s="285"/>
      <c r="AU181" s="285"/>
      <c r="AV181" s="285"/>
      <c r="AW181" s="285"/>
      <c r="AX181" s="285"/>
      <c r="AY181" s="285"/>
      <c r="AZ181" s="285"/>
      <c r="BA181" s="285"/>
      <c r="BB181" s="285"/>
      <c r="BC181" s="285"/>
      <c r="BD181" s="285"/>
      <c r="BE181" s="285"/>
      <c r="BF181" s="285"/>
      <c r="BG181" s="285"/>
      <c r="BH181" s="285"/>
      <c r="BI181" s="285"/>
      <c r="BJ181" s="285"/>
      <c r="BK181" s="285"/>
      <c r="BL181" s="285"/>
      <c r="BM181" s="285"/>
      <c r="BN181" s="285"/>
      <c r="BO181" s="285"/>
      <c r="BP181" s="285"/>
      <c r="BQ181" s="285"/>
      <c r="BR181" s="285"/>
      <c r="BS181" s="285"/>
      <c r="BT181" s="285"/>
      <c r="BU181" s="285"/>
      <c r="BV181" s="285"/>
      <c r="BW181" s="285"/>
      <c r="BX181" s="285"/>
      <c r="BY181" s="285"/>
      <c r="BZ181" s="285"/>
      <c r="CA181" s="285"/>
      <c r="CB181" s="285"/>
      <c r="CC181" s="285"/>
      <c r="CD181" s="285"/>
      <c r="CE181" s="285"/>
      <c r="CF181" s="285"/>
      <c r="CG181" s="285"/>
      <c r="CH181" s="285"/>
      <c r="CI181" s="285"/>
      <c r="CJ181" s="285"/>
      <c r="CK181" s="285"/>
      <c r="CL181" s="285"/>
      <c r="CM181" s="285"/>
      <c r="CN181" s="285"/>
      <c r="CO181" s="285"/>
      <c r="CP181" s="285"/>
      <c r="CQ181" s="285"/>
      <c r="CR181" s="285"/>
      <c r="CS181" s="285"/>
      <c r="CT181" s="285"/>
      <c r="CU181" s="285"/>
      <c r="CV181" s="285"/>
      <c r="CW181" s="285"/>
      <c r="CX181" s="285"/>
      <c r="CY181" s="285"/>
      <c r="CZ181" s="285"/>
      <c r="DA181" s="285"/>
      <c r="DB181" s="285"/>
      <c r="DC181" s="285"/>
      <c r="DD181" s="285"/>
      <c r="DE181" s="285"/>
      <c r="DF181" s="285"/>
      <c r="DG181" s="285"/>
      <c r="DH181" s="285"/>
      <c r="DI181" s="285"/>
      <c r="DJ181" s="285"/>
      <c r="DK181" s="285"/>
      <c r="DL181" s="285"/>
      <c r="DM181" s="285"/>
      <c r="DN181" s="285"/>
      <c r="DO181" s="285"/>
      <c r="DP181" s="285"/>
      <c r="DQ181" s="285"/>
      <c r="DR181" s="285"/>
      <c r="DS181" s="285"/>
      <c r="DT181" s="285"/>
      <c r="DU181" s="285"/>
      <c r="DV181" s="285"/>
      <c r="DW181" s="285"/>
      <c r="DX181" s="285"/>
      <c r="DY181" s="285"/>
      <c r="DZ181" s="285"/>
      <c r="EA181" s="285"/>
      <c r="EB181" s="285"/>
      <c r="EC181" s="285"/>
      <c r="ED181" s="285"/>
      <c r="EE181" s="285"/>
      <c r="EF181" s="285"/>
      <c r="EG181" s="285"/>
      <c r="EH181" s="285"/>
      <c r="EI181" s="285"/>
      <c r="EJ181" s="285"/>
      <c r="EK181" s="285"/>
      <c r="EL181" s="285"/>
      <c r="EM181" s="285"/>
      <c r="EN181" s="285"/>
      <c r="EO181" s="285"/>
      <c r="EP181" s="285"/>
      <c r="EQ181" s="285"/>
      <c r="ER181" s="285"/>
      <c r="ES181" s="285"/>
      <c r="ET181" s="285"/>
      <c r="EU181" s="285"/>
      <c r="EV181" s="285"/>
      <c r="EW181" s="285"/>
      <c r="EX181" s="285"/>
      <c r="EY181" s="285"/>
      <c r="EZ181" s="285"/>
      <c r="FA181" s="285"/>
      <c r="FB181" s="285"/>
      <c r="FC181" s="285"/>
      <c r="FD181" s="285"/>
      <c r="FE181" s="285"/>
      <c r="FF181" s="285"/>
      <c r="FG181" s="285"/>
      <c r="FH181" s="285"/>
      <c r="FI181" s="285"/>
      <c r="FJ181" s="285"/>
      <c r="FK181" s="285"/>
      <c r="FL181" s="285"/>
      <c r="FM181" s="285"/>
      <c r="FN181" s="285"/>
      <c r="FO181" s="285"/>
      <c r="FP181" s="285"/>
      <c r="FQ181" s="285"/>
      <c r="FR181" s="285"/>
      <c r="FS181" s="285"/>
      <c r="FT181" s="285"/>
      <c r="FU181" s="285"/>
      <c r="FV181" s="285"/>
      <c r="FW181" s="285"/>
      <c r="FX181" s="285"/>
      <c r="FY181" s="285"/>
      <c r="FZ181" s="285"/>
      <c r="GA181" s="285"/>
      <c r="GB181" s="285"/>
      <c r="GC181" s="285"/>
      <c r="GD181" s="285"/>
      <c r="GE181" s="285"/>
      <c r="GF181" s="285"/>
      <c r="GG181" s="285"/>
      <c r="GH181" s="285"/>
      <c r="GI181" s="285"/>
      <c r="GJ181" s="285"/>
      <c r="GK181" s="285"/>
      <c r="GL181" s="285"/>
      <c r="GM181" s="285"/>
      <c r="GN181" s="285"/>
      <c r="GO181" s="285"/>
      <c r="GP181" s="285"/>
      <c r="GQ181" s="285"/>
      <c r="GR181" s="285"/>
      <c r="GS181" s="285"/>
      <c r="GT181" s="285"/>
      <c r="GU181" s="285"/>
      <c r="GV181" s="285"/>
      <c r="GW181" s="285"/>
      <c r="GX181" s="285"/>
      <c r="GY181" s="285"/>
      <c r="GZ181" s="285"/>
    </row>
    <row r="182" spans="1:208" ht="15">
      <c r="A182" s="282">
        <v>40</v>
      </c>
      <c r="B182" s="332">
        <v>44837</v>
      </c>
      <c r="C182" s="333">
        <v>1053331</v>
      </c>
      <c r="D182" s="342" t="s">
        <v>4477</v>
      </c>
      <c r="E182" s="333" t="s">
        <v>4416</v>
      </c>
      <c r="F182" s="333" t="s">
        <v>4275</v>
      </c>
      <c r="G182" s="333">
        <v>3178</v>
      </c>
      <c r="H182" s="333">
        <v>42</v>
      </c>
      <c r="I182" s="342">
        <v>4502422762</v>
      </c>
      <c r="J182" s="352">
        <v>3025459</v>
      </c>
      <c r="K182" s="282">
        <v>4902356802</v>
      </c>
      <c r="L182" s="282" t="s">
        <v>4252</v>
      </c>
      <c r="M182" s="283">
        <v>20213</v>
      </c>
      <c r="N182" s="333">
        <v>8000</v>
      </c>
      <c r="O182" s="284">
        <f t="shared" si="24"/>
        <v>161704000</v>
      </c>
      <c r="P182" s="282" t="s">
        <v>4265</v>
      </c>
      <c r="Q182" s="321" t="s">
        <v>4266</v>
      </c>
      <c r="R182" s="282">
        <v>1004892</v>
      </c>
      <c r="S182" s="312">
        <v>4792500</v>
      </c>
      <c r="T182" s="285"/>
      <c r="U182" s="285"/>
      <c r="V182" s="285"/>
      <c r="W182" s="285"/>
      <c r="X182" s="285"/>
      <c r="Y182" s="285"/>
      <c r="Z182" s="285"/>
      <c r="AA182" s="285"/>
      <c r="AB182" s="285"/>
      <c r="AC182" s="285"/>
      <c r="AD182" s="285"/>
      <c r="AE182" s="285"/>
      <c r="AF182" s="285"/>
      <c r="AG182" s="285"/>
      <c r="AH182" s="285"/>
      <c r="AI182" s="285"/>
      <c r="AJ182" s="285"/>
      <c r="AK182" s="285"/>
      <c r="AL182" s="285"/>
      <c r="AM182" s="285"/>
      <c r="AN182" s="285"/>
      <c r="AO182" s="285"/>
      <c r="AP182" s="285"/>
      <c r="AQ182" s="285"/>
      <c r="AR182" s="285"/>
      <c r="AS182" s="285"/>
      <c r="AT182" s="285"/>
      <c r="AU182" s="285"/>
      <c r="AV182" s="285"/>
      <c r="AW182" s="285"/>
      <c r="AX182" s="285"/>
      <c r="AY182" s="285"/>
      <c r="AZ182" s="285"/>
      <c r="BA182" s="285"/>
      <c r="BB182" s="285"/>
      <c r="BC182" s="285"/>
      <c r="BD182" s="285"/>
      <c r="BE182" s="285"/>
      <c r="BF182" s="285"/>
      <c r="BG182" s="285"/>
      <c r="BH182" s="285"/>
      <c r="BI182" s="285"/>
      <c r="BJ182" s="285"/>
      <c r="BK182" s="285"/>
      <c r="BL182" s="285"/>
      <c r="BM182" s="285"/>
      <c r="BN182" s="285"/>
      <c r="BO182" s="285"/>
      <c r="BP182" s="285"/>
      <c r="BQ182" s="285"/>
      <c r="BR182" s="285"/>
      <c r="BS182" s="285"/>
      <c r="BT182" s="285"/>
      <c r="BU182" s="285"/>
      <c r="BV182" s="285"/>
      <c r="BW182" s="285"/>
      <c r="BX182" s="285"/>
      <c r="BY182" s="285"/>
      <c r="BZ182" s="285"/>
      <c r="CA182" s="285"/>
      <c r="CB182" s="285"/>
      <c r="CC182" s="285"/>
      <c r="CD182" s="285"/>
      <c r="CE182" s="285"/>
      <c r="CF182" s="285"/>
      <c r="CG182" s="285"/>
      <c r="CH182" s="285"/>
      <c r="CI182" s="285"/>
      <c r="CJ182" s="285"/>
      <c r="CK182" s="285"/>
      <c r="CL182" s="285"/>
      <c r="CM182" s="285"/>
      <c r="CN182" s="285"/>
      <c r="CO182" s="285"/>
      <c r="CP182" s="285"/>
      <c r="CQ182" s="285"/>
      <c r="CR182" s="285"/>
      <c r="CS182" s="285"/>
      <c r="CT182" s="285"/>
      <c r="CU182" s="285"/>
      <c r="CV182" s="285"/>
      <c r="CW182" s="285"/>
      <c r="CX182" s="285"/>
      <c r="CY182" s="285"/>
      <c r="CZ182" s="285"/>
      <c r="DA182" s="285"/>
      <c r="DB182" s="285"/>
      <c r="DC182" s="285"/>
      <c r="DD182" s="285"/>
      <c r="DE182" s="285"/>
      <c r="DF182" s="285"/>
      <c r="DG182" s="285"/>
      <c r="DH182" s="285"/>
      <c r="DI182" s="285"/>
      <c r="DJ182" s="285"/>
      <c r="DK182" s="285"/>
      <c r="DL182" s="285"/>
      <c r="DM182" s="285"/>
      <c r="DN182" s="285"/>
      <c r="DO182" s="285"/>
      <c r="DP182" s="285"/>
      <c r="DQ182" s="285"/>
      <c r="DR182" s="285"/>
      <c r="DS182" s="285"/>
      <c r="DT182" s="285"/>
      <c r="DU182" s="285"/>
      <c r="DV182" s="285"/>
      <c r="DW182" s="285"/>
      <c r="DX182" s="285"/>
      <c r="DY182" s="285"/>
      <c r="DZ182" s="285"/>
      <c r="EA182" s="285"/>
      <c r="EB182" s="285"/>
      <c r="EC182" s="285"/>
      <c r="ED182" s="285"/>
      <c r="EE182" s="285"/>
      <c r="EF182" s="285"/>
      <c r="EG182" s="285"/>
      <c r="EH182" s="285"/>
      <c r="EI182" s="285"/>
      <c r="EJ182" s="285"/>
      <c r="EK182" s="285"/>
      <c r="EL182" s="285"/>
      <c r="EM182" s="285"/>
      <c r="EN182" s="285"/>
      <c r="EO182" s="285"/>
      <c r="EP182" s="285"/>
      <c r="EQ182" s="285"/>
      <c r="ER182" s="285"/>
      <c r="ES182" s="285"/>
      <c r="ET182" s="285"/>
      <c r="EU182" s="285"/>
      <c r="EV182" s="285"/>
      <c r="EW182" s="285"/>
      <c r="EX182" s="285"/>
      <c r="EY182" s="285"/>
      <c r="EZ182" s="285"/>
      <c r="FA182" s="285"/>
      <c r="FB182" s="285"/>
      <c r="FC182" s="285"/>
      <c r="FD182" s="285"/>
      <c r="FE182" s="285"/>
      <c r="FF182" s="285"/>
      <c r="FG182" s="285"/>
      <c r="FH182" s="285"/>
      <c r="FI182" s="285"/>
      <c r="FJ182" s="285"/>
      <c r="FK182" s="285"/>
      <c r="FL182" s="285"/>
      <c r="FM182" s="285"/>
      <c r="FN182" s="285"/>
      <c r="FO182" s="285"/>
      <c r="FP182" s="285"/>
      <c r="FQ182" s="285"/>
      <c r="FR182" s="285"/>
      <c r="FS182" s="285"/>
      <c r="FT182" s="285"/>
      <c r="FU182" s="285"/>
      <c r="FV182" s="285"/>
      <c r="FW182" s="285"/>
      <c r="FX182" s="285"/>
      <c r="FY182" s="285"/>
      <c r="FZ182" s="285"/>
      <c r="GA182" s="285"/>
      <c r="GB182" s="285"/>
      <c r="GC182" s="285"/>
      <c r="GD182" s="285"/>
      <c r="GE182" s="285"/>
      <c r="GF182" s="285"/>
      <c r="GG182" s="285"/>
      <c r="GH182" s="285"/>
      <c r="GI182" s="285"/>
      <c r="GJ182" s="285"/>
      <c r="GK182" s="285"/>
      <c r="GL182" s="285"/>
      <c r="GM182" s="285"/>
      <c r="GN182" s="285"/>
      <c r="GO182" s="285"/>
      <c r="GP182" s="285"/>
      <c r="GQ182" s="285"/>
      <c r="GR182" s="285"/>
      <c r="GS182" s="285"/>
      <c r="GT182" s="285"/>
      <c r="GU182" s="285"/>
      <c r="GV182" s="285"/>
      <c r="GW182" s="285"/>
      <c r="GX182" s="285"/>
      <c r="GY182" s="285"/>
      <c r="GZ182" s="285"/>
    </row>
    <row r="183" spans="1:208" ht="15">
      <c r="A183" s="282">
        <v>40</v>
      </c>
      <c r="B183" s="332">
        <v>44838</v>
      </c>
      <c r="C183" s="333">
        <v>1084015</v>
      </c>
      <c r="D183" s="342" t="s">
        <v>4478</v>
      </c>
      <c r="E183" s="333" t="s">
        <v>4479</v>
      </c>
      <c r="F183" s="333" t="s">
        <v>4251</v>
      </c>
      <c r="G183" s="333">
        <v>3148</v>
      </c>
      <c r="H183" s="333">
        <v>28</v>
      </c>
      <c r="I183" s="342">
        <v>4502424536</v>
      </c>
      <c r="J183" s="333">
        <v>3025457</v>
      </c>
      <c r="K183" s="282">
        <v>4902356804</v>
      </c>
      <c r="L183" s="282" t="s">
        <v>4252</v>
      </c>
      <c r="M183" s="283">
        <v>13042</v>
      </c>
      <c r="N183" s="333">
        <v>7950</v>
      </c>
      <c r="O183" s="284">
        <f t="shared" si="24"/>
        <v>103683900</v>
      </c>
      <c r="P183" s="285">
        <f t="shared" ref="P183:P184" si="31">H183/14</f>
        <v>2</v>
      </c>
      <c r="Q183" s="321" t="s">
        <v>3455</v>
      </c>
      <c r="R183" s="282">
        <v>1040968</v>
      </c>
      <c r="S183" s="285">
        <v>3247800</v>
      </c>
      <c r="T183" s="285"/>
      <c r="U183" s="285"/>
      <c r="V183" s="285"/>
      <c r="W183" s="285"/>
      <c r="X183" s="285"/>
      <c r="Y183" s="285"/>
      <c r="Z183" s="285"/>
      <c r="AA183" s="285"/>
      <c r="AB183" s="285"/>
      <c r="AC183" s="285"/>
      <c r="AD183" s="285"/>
      <c r="AE183" s="285"/>
      <c r="AF183" s="285"/>
      <c r="AG183" s="285"/>
      <c r="AH183" s="285"/>
      <c r="AI183" s="285"/>
      <c r="AJ183" s="285"/>
      <c r="AK183" s="285"/>
      <c r="AL183" s="285"/>
      <c r="AM183" s="285"/>
      <c r="AN183" s="285"/>
      <c r="AO183" s="285"/>
      <c r="AP183" s="285"/>
      <c r="AQ183" s="285"/>
      <c r="AR183" s="285"/>
      <c r="AS183" s="285"/>
      <c r="AT183" s="285"/>
      <c r="AU183" s="285"/>
      <c r="AV183" s="285"/>
      <c r="AW183" s="285"/>
      <c r="AX183" s="285"/>
      <c r="AY183" s="285"/>
      <c r="AZ183" s="285"/>
      <c r="BA183" s="285"/>
      <c r="BB183" s="285"/>
      <c r="BC183" s="285"/>
      <c r="BD183" s="285"/>
      <c r="BE183" s="285"/>
      <c r="BF183" s="285"/>
      <c r="BG183" s="285"/>
      <c r="BH183" s="285"/>
      <c r="BI183" s="285"/>
      <c r="BJ183" s="285"/>
      <c r="BK183" s="285"/>
      <c r="BL183" s="285"/>
      <c r="BM183" s="285"/>
      <c r="BN183" s="285"/>
      <c r="BO183" s="285"/>
      <c r="BP183" s="285"/>
      <c r="BQ183" s="285"/>
      <c r="BR183" s="285"/>
      <c r="BS183" s="285"/>
      <c r="BT183" s="285"/>
      <c r="BU183" s="285"/>
      <c r="BV183" s="285"/>
      <c r="BW183" s="285"/>
      <c r="BX183" s="285"/>
      <c r="BY183" s="285"/>
      <c r="BZ183" s="285"/>
      <c r="CA183" s="285"/>
      <c r="CB183" s="285"/>
      <c r="CC183" s="285"/>
      <c r="CD183" s="285"/>
      <c r="CE183" s="285"/>
      <c r="CF183" s="285"/>
      <c r="CG183" s="285"/>
      <c r="CH183" s="285"/>
      <c r="CI183" s="285"/>
      <c r="CJ183" s="285"/>
      <c r="CK183" s="285"/>
      <c r="CL183" s="285"/>
      <c r="CM183" s="285"/>
      <c r="CN183" s="285"/>
      <c r="CO183" s="285"/>
      <c r="CP183" s="285"/>
      <c r="CQ183" s="285"/>
      <c r="CR183" s="285"/>
      <c r="CS183" s="285"/>
      <c r="CT183" s="285"/>
      <c r="CU183" s="285"/>
      <c r="CV183" s="285"/>
      <c r="CW183" s="285"/>
      <c r="CX183" s="285"/>
      <c r="CY183" s="285"/>
      <c r="CZ183" s="285"/>
      <c r="DA183" s="285"/>
      <c r="DB183" s="285"/>
      <c r="DC183" s="285"/>
      <c r="DD183" s="285"/>
      <c r="DE183" s="285"/>
      <c r="DF183" s="285"/>
      <c r="DG183" s="285"/>
      <c r="DH183" s="285"/>
      <c r="DI183" s="285"/>
      <c r="DJ183" s="285"/>
      <c r="DK183" s="285"/>
      <c r="DL183" s="285"/>
      <c r="DM183" s="285"/>
      <c r="DN183" s="285"/>
      <c r="DO183" s="285"/>
      <c r="DP183" s="285"/>
      <c r="DQ183" s="285"/>
      <c r="DR183" s="285"/>
      <c r="DS183" s="285"/>
      <c r="DT183" s="285"/>
      <c r="DU183" s="285"/>
      <c r="DV183" s="285"/>
      <c r="DW183" s="285"/>
      <c r="DX183" s="285"/>
      <c r="DY183" s="285"/>
      <c r="DZ183" s="285"/>
      <c r="EA183" s="285"/>
      <c r="EB183" s="285"/>
      <c r="EC183" s="285"/>
      <c r="ED183" s="285"/>
      <c r="EE183" s="285"/>
      <c r="EF183" s="285"/>
      <c r="EG183" s="285"/>
      <c r="EH183" s="285"/>
      <c r="EI183" s="285"/>
      <c r="EJ183" s="285"/>
      <c r="EK183" s="285"/>
      <c r="EL183" s="285"/>
      <c r="EM183" s="285"/>
      <c r="EN183" s="285"/>
      <c r="EO183" s="285"/>
      <c r="EP183" s="285"/>
      <c r="EQ183" s="285"/>
      <c r="ER183" s="285"/>
      <c r="ES183" s="285"/>
      <c r="ET183" s="285"/>
      <c r="EU183" s="285"/>
      <c r="EV183" s="285"/>
      <c r="EW183" s="285"/>
      <c r="EX183" s="285"/>
      <c r="EY183" s="285"/>
      <c r="EZ183" s="285"/>
      <c r="FA183" s="285"/>
      <c r="FB183" s="285"/>
      <c r="FC183" s="285"/>
      <c r="FD183" s="285"/>
      <c r="FE183" s="285"/>
      <c r="FF183" s="285"/>
      <c r="FG183" s="285"/>
      <c r="FH183" s="285"/>
      <c r="FI183" s="285"/>
      <c r="FJ183" s="285"/>
      <c r="FK183" s="285"/>
      <c r="FL183" s="285"/>
      <c r="FM183" s="285"/>
      <c r="FN183" s="285"/>
      <c r="FO183" s="285"/>
      <c r="FP183" s="285"/>
      <c r="FQ183" s="285"/>
      <c r="FR183" s="285"/>
      <c r="FS183" s="285"/>
      <c r="FT183" s="285"/>
      <c r="FU183" s="285"/>
      <c r="FV183" s="285"/>
      <c r="FW183" s="285"/>
      <c r="FX183" s="285"/>
      <c r="FY183" s="285"/>
      <c r="FZ183" s="285"/>
      <c r="GA183" s="285"/>
      <c r="GB183" s="285"/>
      <c r="GC183" s="285"/>
      <c r="GD183" s="285"/>
      <c r="GE183" s="285"/>
      <c r="GF183" s="285"/>
      <c r="GG183" s="285"/>
      <c r="GH183" s="285"/>
      <c r="GI183" s="285"/>
      <c r="GJ183" s="285"/>
      <c r="GK183" s="285"/>
      <c r="GL183" s="285"/>
      <c r="GM183" s="285"/>
      <c r="GN183" s="285"/>
      <c r="GO183" s="285"/>
      <c r="GP183" s="285"/>
      <c r="GQ183" s="285"/>
      <c r="GR183" s="285"/>
      <c r="GS183" s="285"/>
      <c r="GT183" s="285"/>
      <c r="GU183" s="285"/>
      <c r="GV183" s="285"/>
      <c r="GW183" s="285"/>
      <c r="GX183" s="285"/>
      <c r="GY183" s="285"/>
      <c r="GZ183" s="285"/>
    </row>
    <row r="184" spans="1:208" ht="15">
      <c r="A184" s="282">
        <v>40</v>
      </c>
      <c r="B184" s="332">
        <v>44838</v>
      </c>
      <c r="C184" s="333">
        <v>1076469</v>
      </c>
      <c r="D184" s="342" t="s">
        <v>4480</v>
      </c>
      <c r="E184" s="333" t="s">
        <v>4408</v>
      </c>
      <c r="F184" s="333" t="s">
        <v>4275</v>
      </c>
      <c r="G184" s="333">
        <v>3179</v>
      </c>
      <c r="H184" s="333">
        <v>56</v>
      </c>
      <c r="I184" s="342">
        <v>4502424542</v>
      </c>
      <c r="J184" s="352">
        <v>3025459</v>
      </c>
      <c r="K184" s="282">
        <v>4902356805</v>
      </c>
      <c r="L184" s="282" t="s">
        <v>4252</v>
      </c>
      <c r="M184" s="283">
        <v>28613</v>
      </c>
      <c r="N184" s="333">
        <v>8000</v>
      </c>
      <c r="O184" s="284">
        <f t="shared" si="24"/>
        <v>228904000</v>
      </c>
      <c r="P184" s="285">
        <f t="shared" si="31"/>
        <v>4</v>
      </c>
      <c r="Q184" s="321" t="s">
        <v>3455</v>
      </c>
      <c r="R184" s="282">
        <v>1040968</v>
      </c>
      <c r="S184" s="285">
        <v>7084400</v>
      </c>
      <c r="T184" s="285"/>
      <c r="U184" s="285"/>
      <c r="V184" s="285"/>
      <c r="W184" s="285"/>
      <c r="X184" s="285"/>
      <c r="Y184" s="285"/>
      <c r="Z184" s="285"/>
      <c r="AA184" s="285"/>
      <c r="AB184" s="285"/>
      <c r="AC184" s="285"/>
      <c r="AD184" s="285"/>
      <c r="AE184" s="285"/>
      <c r="AF184" s="285"/>
      <c r="AG184" s="285"/>
      <c r="AH184" s="285"/>
      <c r="AI184" s="285"/>
      <c r="AJ184" s="285"/>
      <c r="AK184" s="285"/>
      <c r="AL184" s="285"/>
      <c r="AM184" s="285"/>
      <c r="AN184" s="285"/>
      <c r="AO184" s="285"/>
      <c r="AP184" s="285"/>
      <c r="AQ184" s="285"/>
      <c r="AR184" s="285"/>
      <c r="AS184" s="285"/>
      <c r="AT184" s="285"/>
      <c r="AU184" s="285"/>
      <c r="AV184" s="285"/>
      <c r="AW184" s="285"/>
      <c r="AX184" s="285"/>
      <c r="AY184" s="285"/>
      <c r="AZ184" s="285"/>
      <c r="BA184" s="285"/>
      <c r="BB184" s="285"/>
      <c r="BC184" s="285"/>
      <c r="BD184" s="285"/>
      <c r="BE184" s="285"/>
      <c r="BF184" s="285"/>
      <c r="BG184" s="285"/>
      <c r="BH184" s="285"/>
      <c r="BI184" s="285"/>
      <c r="BJ184" s="285"/>
      <c r="BK184" s="285"/>
      <c r="BL184" s="285"/>
      <c r="BM184" s="285"/>
      <c r="BN184" s="285"/>
      <c r="BO184" s="285"/>
      <c r="BP184" s="285"/>
      <c r="BQ184" s="285"/>
      <c r="BR184" s="285"/>
      <c r="BS184" s="285"/>
      <c r="BT184" s="285"/>
      <c r="BU184" s="285"/>
      <c r="BV184" s="285"/>
      <c r="BW184" s="285"/>
      <c r="BX184" s="285"/>
      <c r="BY184" s="285"/>
      <c r="BZ184" s="285"/>
      <c r="CA184" s="285"/>
      <c r="CB184" s="285"/>
      <c r="CC184" s="285"/>
      <c r="CD184" s="285"/>
      <c r="CE184" s="285"/>
      <c r="CF184" s="285"/>
      <c r="CG184" s="285"/>
      <c r="CH184" s="285"/>
      <c r="CI184" s="285"/>
      <c r="CJ184" s="285"/>
      <c r="CK184" s="285"/>
      <c r="CL184" s="285"/>
      <c r="CM184" s="285"/>
      <c r="CN184" s="285"/>
      <c r="CO184" s="285"/>
      <c r="CP184" s="285"/>
      <c r="CQ184" s="285"/>
      <c r="CR184" s="285"/>
      <c r="CS184" s="285"/>
      <c r="CT184" s="285"/>
      <c r="CU184" s="285"/>
      <c r="CV184" s="285"/>
      <c r="CW184" s="285"/>
      <c r="CX184" s="285"/>
      <c r="CY184" s="285"/>
      <c r="CZ184" s="285"/>
      <c r="DA184" s="285"/>
      <c r="DB184" s="285"/>
      <c r="DC184" s="285"/>
      <c r="DD184" s="285"/>
      <c r="DE184" s="285"/>
      <c r="DF184" s="285"/>
      <c r="DG184" s="285"/>
      <c r="DH184" s="285"/>
      <c r="DI184" s="285"/>
      <c r="DJ184" s="285"/>
      <c r="DK184" s="285"/>
      <c r="DL184" s="285"/>
      <c r="DM184" s="285"/>
      <c r="DN184" s="285"/>
      <c r="DO184" s="285"/>
      <c r="DP184" s="285"/>
      <c r="DQ184" s="285"/>
      <c r="DR184" s="285"/>
      <c r="DS184" s="285"/>
      <c r="DT184" s="285"/>
      <c r="DU184" s="285"/>
      <c r="DV184" s="285"/>
      <c r="DW184" s="285"/>
      <c r="DX184" s="285"/>
      <c r="DY184" s="285"/>
      <c r="DZ184" s="285"/>
      <c r="EA184" s="285"/>
      <c r="EB184" s="285"/>
      <c r="EC184" s="285"/>
      <c r="ED184" s="285"/>
      <c r="EE184" s="285"/>
      <c r="EF184" s="285"/>
      <c r="EG184" s="285"/>
      <c r="EH184" s="285"/>
      <c r="EI184" s="285"/>
      <c r="EJ184" s="285"/>
      <c r="EK184" s="285"/>
      <c r="EL184" s="285"/>
      <c r="EM184" s="285"/>
      <c r="EN184" s="285"/>
      <c r="EO184" s="285"/>
      <c r="EP184" s="285"/>
      <c r="EQ184" s="285"/>
      <c r="ER184" s="285"/>
      <c r="ES184" s="285"/>
      <c r="ET184" s="285"/>
      <c r="EU184" s="285"/>
      <c r="EV184" s="285"/>
      <c r="EW184" s="285"/>
      <c r="EX184" s="285"/>
      <c r="EY184" s="285"/>
      <c r="EZ184" s="285"/>
      <c r="FA184" s="285"/>
      <c r="FB184" s="285"/>
      <c r="FC184" s="285"/>
      <c r="FD184" s="285"/>
      <c r="FE184" s="285"/>
      <c r="FF184" s="285"/>
      <c r="FG184" s="285"/>
      <c r="FH184" s="285"/>
      <c r="FI184" s="285"/>
      <c r="FJ184" s="285"/>
      <c r="FK184" s="285"/>
      <c r="FL184" s="285"/>
      <c r="FM184" s="285"/>
      <c r="FN184" s="285"/>
      <c r="FO184" s="285"/>
      <c r="FP184" s="285"/>
      <c r="FQ184" s="285"/>
      <c r="FR184" s="285"/>
      <c r="FS184" s="285"/>
      <c r="FT184" s="285"/>
      <c r="FU184" s="285"/>
      <c r="FV184" s="285"/>
      <c r="FW184" s="285"/>
      <c r="FX184" s="285"/>
      <c r="FY184" s="285"/>
      <c r="FZ184" s="285"/>
      <c r="GA184" s="285"/>
      <c r="GB184" s="285"/>
      <c r="GC184" s="285"/>
      <c r="GD184" s="285"/>
      <c r="GE184" s="285"/>
      <c r="GF184" s="285"/>
      <c r="GG184" s="285"/>
      <c r="GH184" s="285"/>
      <c r="GI184" s="285"/>
      <c r="GJ184" s="285"/>
      <c r="GK184" s="285"/>
      <c r="GL184" s="285"/>
      <c r="GM184" s="285"/>
      <c r="GN184" s="285"/>
      <c r="GO184" s="285"/>
      <c r="GP184" s="285"/>
      <c r="GQ184" s="285"/>
      <c r="GR184" s="285"/>
      <c r="GS184" s="285"/>
      <c r="GT184" s="285"/>
      <c r="GU184" s="285"/>
      <c r="GV184" s="285"/>
      <c r="GW184" s="285"/>
      <c r="GX184" s="285"/>
      <c r="GY184" s="285"/>
      <c r="GZ184" s="285"/>
    </row>
    <row r="185" spans="1:208" ht="15">
      <c r="A185" s="304">
        <v>41</v>
      </c>
      <c r="B185" s="328">
        <v>44840</v>
      </c>
      <c r="C185" s="329">
        <v>1053331</v>
      </c>
      <c r="D185" s="337" t="s">
        <v>4481</v>
      </c>
      <c r="E185" s="329" t="s">
        <v>4416</v>
      </c>
      <c r="F185" s="329" t="s">
        <v>4251</v>
      </c>
      <c r="G185" s="329">
        <v>3178</v>
      </c>
      <c r="H185" s="329">
        <v>42</v>
      </c>
      <c r="I185" s="337">
        <v>4502427042</v>
      </c>
      <c r="J185" s="329">
        <v>3025457</v>
      </c>
      <c r="K185" s="304">
        <v>4902361241</v>
      </c>
      <c r="L185" s="337" t="s">
        <v>4252</v>
      </c>
      <c r="M185" s="309">
        <v>20305</v>
      </c>
      <c r="N185" s="329">
        <v>8050</v>
      </c>
      <c r="O185" s="306">
        <f t="shared" si="24"/>
        <v>163455250</v>
      </c>
      <c r="P185" s="304" t="s">
        <v>4265</v>
      </c>
      <c r="Q185" s="304" t="s">
        <v>4266</v>
      </c>
      <c r="R185" s="304">
        <v>1004892</v>
      </c>
      <c r="S185" s="311">
        <v>4150000</v>
      </c>
      <c r="T185" s="307"/>
      <c r="U185" s="307"/>
      <c r="V185" s="307"/>
      <c r="W185" s="307"/>
      <c r="X185" s="307"/>
      <c r="Y185" s="307"/>
      <c r="Z185" s="307"/>
      <c r="AA185" s="307"/>
      <c r="AB185" s="307"/>
      <c r="AC185" s="307"/>
      <c r="AD185" s="307"/>
      <c r="AE185" s="307"/>
      <c r="AF185" s="307"/>
      <c r="AG185" s="307"/>
      <c r="AH185" s="307"/>
      <c r="AI185" s="307"/>
      <c r="AJ185" s="307"/>
      <c r="AK185" s="307"/>
      <c r="AL185" s="307"/>
      <c r="AM185" s="307"/>
      <c r="AN185" s="307"/>
      <c r="AO185" s="307"/>
      <c r="AP185" s="307"/>
      <c r="AQ185" s="307"/>
      <c r="AR185" s="307"/>
      <c r="AS185" s="307"/>
      <c r="AT185" s="307"/>
      <c r="AU185" s="307"/>
      <c r="AV185" s="307"/>
      <c r="AW185" s="307"/>
      <c r="AX185" s="307"/>
      <c r="AY185" s="307"/>
      <c r="AZ185" s="307"/>
      <c r="BA185" s="307"/>
      <c r="BB185" s="307"/>
      <c r="BC185" s="307"/>
      <c r="BD185" s="307"/>
      <c r="BE185" s="307"/>
      <c r="BF185" s="307"/>
      <c r="BG185" s="307"/>
      <c r="BH185" s="307"/>
      <c r="BI185" s="307"/>
      <c r="BJ185" s="307"/>
      <c r="BK185" s="307"/>
      <c r="BL185" s="307"/>
      <c r="BM185" s="307"/>
      <c r="BN185" s="307"/>
      <c r="BO185" s="307"/>
      <c r="BP185" s="307"/>
      <c r="BQ185" s="307"/>
      <c r="BR185" s="307"/>
      <c r="BS185" s="307"/>
      <c r="BT185" s="307"/>
      <c r="BU185" s="307"/>
      <c r="BV185" s="307"/>
      <c r="BW185" s="307"/>
      <c r="BX185" s="307"/>
      <c r="BY185" s="307"/>
      <c r="BZ185" s="307"/>
      <c r="CA185" s="307"/>
      <c r="CB185" s="307"/>
      <c r="CC185" s="307"/>
      <c r="CD185" s="307"/>
      <c r="CE185" s="307"/>
      <c r="CF185" s="307"/>
      <c r="CG185" s="307"/>
      <c r="CH185" s="307"/>
      <c r="CI185" s="307"/>
      <c r="CJ185" s="307"/>
      <c r="CK185" s="307"/>
      <c r="CL185" s="307"/>
      <c r="CM185" s="307"/>
      <c r="CN185" s="307"/>
      <c r="CO185" s="307"/>
      <c r="CP185" s="307"/>
      <c r="CQ185" s="307"/>
      <c r="CR185" s="307"/>
      <c r="CS185" s="307"/>
      <c r="CT185" s="307"/>
      <c r="CU185" s="307"/>
      <c r="CV185" s="307"/>
      <c r="CW185" s="307"/>
      <c r="CX185" s="307"/>
      <c r="CY185" s="307"/>
      <c r="CZ185" s="307"/>
      <c r="DA185" s="307"/>
      <c r="DB185" s="307"/>
      <c r="DC185" s="307"/>
      <c r="DD185" s="307"/>
      <c r="DE185" s="307"/>
      <c r="DF185" s="307"/>
      <c r="DG185" s="307"/>
      <c r="DH185" s="307"/>
      <c r="DI185" s="307"/>
      <c r="DJ185" s="307"/>
      <c r="DK185" s="307"/>
      <c r="DL185" s="307"/>
      <c r="DM185" s="307"/>
      <c r="DN185" s="307"/>
      <c r="DO185" s="307"/>
      <c r="DP185" s="307"/>
      <c r="DQ185" s="307"/>
      <c r="DR185" s="307"/>
      <c r="DS185" s="307"/>
      <c r="DT185" s="307"/>
      <c r="DU185" s="307"/>
      <c r="DV185" s="307"/>
      <c r="DW185" s="307"/>
      <c r="DX185" s="307"/>
      <c r="DY185" s="307"/>
      <c r="DZ185" s="307"/>
      <c r="EA185" s="307"/>
      <c r="EB185" s="307"/>
      <c r="EC185" s="307"/>
      <c r="ED185" s="307"/>
      <c r="EE185" s="307"/>
      <c r="EF185" s="307"/>
      <c r="EG185" s="307"/>
      <c r="EH185" s="307"/>
      <c r="EI185" s="307"/>
      <c r="EJ185" s="307"/>
      <c r="EK185" s="307"/>
      <c r="EL185" s="307"/>
      <c r="EM185" s="307"/>
      <c r="EN185" s="307"/>
      <c r="EO185" s="307"/>
      <c r="EP185" s="307"/>
      <c r="EQ185" s="307"/>
      <c r="ER185" s="307"/>
      <c r="ES185" s="307"/>
      <c r="ET185" s="307"/>
      <c r="EU185" s="307"/>
      <c r="EV185" s="307"/>
      <c r="EW185" s="307"/>
      <c r="EX185" s="307"/>
      <c r="EY185" s="307"/>
      <c r="EZ185" s="307"/>
      <c r="FA185" s="307"/>
      <c r="FB185" s="307"/>
      <c r="FC185" s="307"/>
      <c r="FD185" s="307"/>
      <c r="FE185" s="307"/>
      <c r="FF185" s="307"/>
      <c r="FG185" s="307"/>
      <c r="FH185" s="307"/>
      <c r="FI185" s="307"/>
      <c r="FJ185" s="307"/>
      <c r="FK185" s="307"/>
      <c r="FL185" s="307"/>
      <c r="FM185" s="307"/>
      <c r="FN185" s="307"/>
      <c r="FO185" s="307"/>
      <c r="FP185" s="307"/>
      <c r="FQ185" s="307"/>
      <c r="FR185" s="307"/>
      <c r="FS185" s="307"/>
      <c r="FT185" s="307"/>
      <c r="FU185" s="307"/>
      <c r="FV185" s="307"/>
      <c r="FW185" s="307"/>
      <c r="FX185" s="307"/>
      <c r="FY185" s="307"/>
      <c r="FZ185" s="307"/>
      <c r="GA185" s="307"/>
      <c r="GB185" s="307"/>
      <c r="GC185" s="307"/>
      <c r="GD185" s="307"/>
      <c r="GE185" s="307"/>
      <c r="GF185" s="307"/>
      <c r="GG185" s="307"/>
      <c r="GH185" s="307"/>
      <c r="GI185" s="307"/>
      <c r="GJ185" s="307"/>
      <c r="GK185" s="307"/>
      <c r="GL185" s="307"/>
      <c r="GM185" s="307"/>
      <c r="GN185" s="307"/>
      <c r="GO185" s="307"/>
      <c r="GP185" s="307"/>
      <c r="GQ185" s="307"/>
      <c r="GR185" s="307"/>
      <c r="GS185" s="307"/>
      <c r="GT185" s="307"/>
      <c r="GU185" s="307"/>
      <c r="GV185" s="307"/>
      <c r="GW185" s="307"/>
      <c r="GX185" s="307"/>
      <c r="GY185" s="307"/>
      <c r="GZ185" s="307"/>
    </row>
    <row r="186" spans="1:208" ht="15">
      <c r="A186" s="304">
        <v>41</v>
      </c>
      <c r="B186" s="328">
        <v>44841</v>
      </c>
      <c r="C186" s="329">
        <v>1036751</v>
      </c>
      <c r="D186" s="304" t="s">
        <v>4462</v>
      </c>
      <c r="E186" s="329" t="s">
        <v>4450</v>
      </c>
      <c r="F186" s="360" t="s">
        <v>4464</v>
      </c>
      <c r="G186" s="329">
        <v>3180</v>
      </c>
      <c r="H186" s="329">
        <v>14</v>
      </c>
      <c r="I186" s="337">
        <v>4502411300</v>
      </c>
      <c r="J186" s="353">
        <v>3025460</v>
      </c>
      <c r="K186" s="304">
        <v>4902361245</v>
      </c>
      <c r="L186" s="337" t="s">
        <v>4252</v>
      </c>
      <c r="M186" s="309">
        <v>7250.2120000000004</v>
      </c>
      <c r="N186" s="329">
        <v>9035</v>
      </c>
      <c r="O186" s="306">
        <f t="shared" si="24"/>
        <v>65505665.420000002</v>
      </c>
      <c r="P186" s="304">
        <f t="shared" ref="P186:P189" si="32">H186/14</f>
        <v>1</v>
      </c>
      <c r="Q186" s="304" t="s">
        <v>3455</v>
      </c>
      <c r="R186" s="304">
        <v>1040968</v>
      </c>
      <c r="S186" s="307">
        <v>1750000</v>
      </c>
      <c r="T186" s="307"/>
      <c r="U186" s="307"/>
      <c r="V186" s="307"/>
      <c r="W186" s="307"/>
      <c r="X186" s="307"/>
      <c r="Y186" s="307"/>
      <c r="Z186" s="307"/>
      <c r="AA186" s="307"/>
      <c r="AB186" s="307"/>
      <c r="AC186" s="307"/>
      <c r="AD186" s="307"/>
      <c r="AE186" s="307"/>
      <c r="AF186" s="307"/>
      <c r="AG186" s="307"/>
      <c r="AH186" s="307"/>
      <c r="AI186" s="307"/>
      <c r="AJ186" s="307"/>
      <c r="AK186" s="307"/>
      <c r="AL186" s="307"/>
      <c r="AM186" s="307"/>
      <c r="AN186" s="307"/>
      <c r="AO186" s="307"/>
      <c r="AP186" s="307"/>
      <c r="AQ186" s="307"/>
      <c r="AR186" s="307"/>
      <c r="AS186" s="307"/>
      <c r="AT186" s="307"/>
      <c r="AU186" s="307"/>
      <c r="AV186" s="307"/>
      <c r="AW186" s="307"/>
      <c r="AX186" s="307"/>
      <c r="AY186" s="307"/>
      <c r="AZ186" s="307"/>
      <c r="BA186" s="307"/>
      <c r="BB186" s="307"/>
      <c r="BC186" s="307"/>
      <c r="BD186" s="307"/>
      <c r="BE186" s="307"/>
      <c r="BF186" s="307"/>
      <c r="BG186" s="307"/>
      <c r="BH186" s="307"/>
      <c r="BI186" s="307"/>
      <c r="BJ186" s="307"/>
      <c r="BK186" s="307"/>
      <c r="BL186" s="307"/>
      <c r="BM186" s="307"/>
      <c r="BN186" s="307"/>
      <c r="BO186" s="307"/>
      <c r="BP186" s="307"/>
      <c r="BQ186" s="307"/>
      <c r="BR186" s="307"/>
      <c r="BS186" s="307"/>
      <c r="BT186" s="307"/>
      <c r="BU186" s="307"/>
      <c r="BV186" s="307"/>
      <c r="BW186" s="307"/>
      <c r="BX186" s="307"/>
      <c r="BY186" s="307"/>
      <c r="BZ186" s="307"/>
      <c r="CA186" s="307"/>
      <c r="CB186" s="307"/>
      <c r="CC186" s="307"/>
      <c r="CD186" s="307"/>
      <c r="CE186" s="307"/>
      <c r="CF186" s="307"/>
      <c r="CG186" s="307"/>
      <c r="CH186" s="307"/>
      <c r="CI186" s="307"/>
      <c r="CJ186" s="307"/>
      <c r="CK186" s="307"/>
      <c r="CL186" s="307"/>
      <c r="CM186" s="307"/>
      <c r="CN186" s="307"/>
      <c r="CO186" s="307"/>
      <c r="CP186" s="307"/>
      <c r="CQ186" s="307"/>
      <c r="CR186" s="307"/>
      <c r="CS186" s="307"/>
      <c r="CT186" s="307"/>
      <c r="CU186" s="307"/>
      <c r="CV186" s="307"/>
      <c r="CW186" s="307"/>
      <c r="CX186" s="307"/>
      <c r="CY186" s="307"/>
      <c r="CZ186" s="307"/>
      <c r="DA186" s="307"/>
      <c r="DB186" s="307"/>
      <c r="DC186" s="307"/>
      <c r="DD186" s="307"/>
      <c r="DE186" s="307"/>
      <c r="DF186" s="307"/>
      <c r="DG186" s="307"/>
      <c r="DH186" s="307"/>
      <c r="DI186" s="307"/>
      <c r="DJ186" s="307"/>
      <c r="DK186" s="307"/>
      <c r="DL186" s="307"/>
      <c r="DM186" s="307"/>
      <c r="DN186" s="307"/>
      <c r="DO186" s="307"/>
      <c r="DP186" s="307"/>
      <c r="DQ186" s="307"/>
      <c r="DR186" s="307"/>
      <c r="DS186" s="307"/>
      <c r="DT186" s="307"/>
      <c r="DU186" s="307"/>
      <c r="DV186" s="307"/>
      <c r="DW186" s="307"/>
      <c r="DX186" s="307"/>
      <c r="DY186" s="307"/>
      <c r="DZ186" s="307"/>
      <c r="EA186" s="307"/>
      <c r="EB186" s="307"/>
      <c r="EC186" s="307"/>
      <c r="ED186" s="307"/>
      <c r="EE186" s="307"/>
      <c r="EF186" s="307"/>
      <c r="EG186" s="307"/>
      <c r="EH186" s="307"/>
      <c r="EI186" s="307"/>
      <c r="EJ186" s="307"/>
      <c r="EK186" s="307"/>
      <c r="EL186" s="307"/>
      <c r="EM186" s="307"/>
      <c r="EN186" s="307"/>
      <c r="EO186" s="307"/>
      <c r="EP186" s="307"/>
      <c r="EQ186" s="307"/>
      <c r="ER186" s="307"/>
      <c r="ES186" s="307"/>
      <c r="ET186" s="307"/>
      <c r="EU186" s="307"/>
      <c r="EV186" s="307"/>
      <c r="EW186" s="307"/>
      <c r="EX186" s="307"/>
      <c r="EY186" s="307"/>
      <c r="EZ186" s="307"/>
      <c r="FA186" s="307"/>
      <c r="FB186" s="307"/>
      <c r="FC186" s="307"/>
      <c r="FD186" s="307"/>
      <c r="FE186" s="307"/>
      <c r="FF186" s="307"/>
      <c r="FG186" s="307"/>
      <c r="FH186" s="307"/>
      <c r="FI186" s="307"/>
      <c r="FJ186" s="307"/>
      <c r="FK186" s="307"/>
      <c r="FL186" s="307"/>
      <c r="FM186" s="307"/>
      <c r="FN186" s="307"/>
      <c r="FO186" s="307"/>
      <c r="FP186" s="307"/>
      <c r="FQ186" s="307"/>
      <c r="FR186" s="307"/>
      <c r="FS186" s="307"/>
      <c r="FT186" s="307"/>
      <c r="FU186" s="307"/>
      <c r="FV186" s="307"/>
      <c r="FW186" s="307"/>
      <c r="FX186" s="307"/>
      <c r="FY186" s="307"/>
      <c r="FZ186" s="307"/>
      <c r="GA186" s="307"/>
      <c r="GB186" s="307"/>
      <c r="GC186" s="307"/>
      <c r="GD186" s="307"/>
      <c r="GE186" s="307"/>
      <c r="GF186" s="307"/>
      <c r="GG186" s="307"/>
      <c r="GH186" s="307"/>
      <c r="GI186" s="307"/>
      <c r="GJ186" s="307"/>
      <c r="GK186" s="307"/>
      <c r="GL186" s="307"/>
      <c r="GM186" s="307"/>
      <c r="GN186" s="307"/>
      <c r="GO186" s="307"/>
      <c r="GP186" s="307"/>
      <c r="GQ186" s="307"/>
      <c r="GR186" s="307"/>
      <c r="GS186" s="307"/>
      <c r="GT186" s="307"/>
      <c r="GU186" s="307"/>
      <c r="GV186" s="307"/>
      <c r="GW186" s="307"/>
      <c r="GX186" s="307"/>
      <c r="GY186" s="307"/>
      <c r="GZ186" s="307"/>
    </row>
    <row r="187" spans="1:208" ht="15">
      <c r="A187" s="304">
        <v>41</v>
      </c>
      <c r="B187" s="328">
        <v>44841</v>
      </c>
      <c r="C187" s="329">
        <v>1102323</v>
      </c>
      <c r="D187" s="337" t="s">
        <v>4482</v>
      </c>
      <c r="E187" s="329" t="s">
        <v>4330</v>
      </c>
      <c r="F187" s="329" t="s">
        <v>4483</v>
      </c>
      <c r="G187" s="329">
        <v>3199</v>
      </c>
      <c r="H187" s="329">
        <v>28</v>
      </c>
      <c r="I187" s="337">
        <v>4502427387</v>
      </c>
      <c r="J187" s="353">
        <v>3025460</v>
      </c>
      <c r="K187" s="304">
        <v>4902363814</v>
      </c>
      <c r="L187" s="337" t="s">
        <v>4252</v>
      </c>
      <c r="M187" s="309">
        <v>14772</v>
      </c>
      <c r="N187" s="329">
        <v>8100</v>
      </c>
      <c r="O187" s="306">
        <f t="shared" si="24"/>
        <v>119653200</v>
      </c>
      <c r="P187" s="304">
        <f t="shared" si="32"/>
        <v>2</v>
      </c>
      <c r="Q187" s="304" t="s">
        <v>3455</v>
      </c>
      <c r="R187" s="304">
        <v>1040968</v>
      </c>
      <c r="S187" s="307">
        <v>5965200</v>
      </c>
      <c r="T187" s="354" t="s">
        <v>4484</v>
      </c>
      <c r="U187" s="307"/>
      <c r="V187" s="307"/>
      <c r="W187" s="307"/>
      <c r="X187" s="307"/>
      <c r="Y187" s="307"/>
      <c r="Z187" s="307"/>
      <c r="AA187" s="307"/>
      <c r="AB187" s="307"/>
      <c r="AC187" s="307"/>
      <c r="AD187" s="307"/>
      <c r="AE187" s="307"/>
      <c r="AF187" s="307"/>
      <c r="AG187" s="307"/>
      <c r="AH187" s="307"/>
      <c r="AI187" s="307"/>
      <c r="AJ187" s="307"/>
      <c r="AK187" s="307"/>
      <c r="AL187" s="307"/>
      <c r="AM187" s="307"/>
      <c r="AN187" s="307"/>
      <c r="AO187" s="307"/>
      <c r="AP187" s="307"/>
      <c r="AQ187" s="307"/>
      <c r="AR187" s="307"/>
      <c r="AS187" s="307"/>
      <c r="AT187" s="307"/>
      <c r="AU187" s="307"/>
      <c r="AV187" s="307"/>
      <c r="AW187" s="307"/>
      <c r="AX187" s="307"/>
      <c r="AY187" s="307"/>
      <c r="AZ187" s="307"/>
      <c r="BA187" s="307"/>
      <c r="BB187" s="307"/>
      <c r="BC187" s="307"/>
      <c r="BD187" s="307"/>
      <c r="BE187" s="307"/>
      <c r="BF187" s="307"/>
      <c r="BG187" s="307"/>
      <c r="BH187" s="307"/>
      <c r="BI187" s="307"/>
      <c r="BJ187" s="307"/>
      <c r="BK187" s="307"/>
      <c r="BL187" s="307"/>
      <c r="BM187" s="307"/>
      <c r="BN187" s="307"/>
      <c r="BO187" s="307"/>
      <c r="BP187" s="307"/>
      <c r="BQ187" s="307"/>
      <c r="BR187" s="307"/>
      <c r="BS187" s="307"/>
      <c r="BT187" s="307"/>
      <c r="BU187" s="307"/>
      <c r="BV187" s="307"/>
      <c r="BW187" s="307"/>
      <c r="BX187" s="307"/>
      <c r="BY187" s="307"/>
      <c r="BZ187" s="307"/>
      <c r="CA187" s="307"/>
      <c r="CB187" s="307"/>
      <c r="CC187" s="307"/>
      <c r="CD187" s="307"/>
      <c r="CE187" s="307"/>
      <c r="CF187" s="307"/>
      <c r="CG187" s="307"/>
      <c r="CH187" s="307"/>
      <c r="CI187" s="307"/>
      <c r="CJ187" s="307"/>
      <c r="CK187" s="307"/>
      <c r="CL187" s="307"/>
      <c r="CM187" s="307"/>
      <c r="CN187" s="307"/>
      <c r="CO187" s="307"/>
      <c r="CP187" s="307"/>
      <c r="CQ187" s="307"/>
      <c r="CR187" s="307"/>
      <c r="CS187" s="307"/>
      <c r="CT187" s="307"/>
      <c r="CU187" s="307"/>
      <c r="CV187" s="307"/>
      <c r="CW187" s="307"/>
      <c r="CX187" s="307"/>
      <c r="CY187" s="307"/>
      <c r="CZ187" s="307"/>
      <c r="DA187" s="307"/>
      <c r="DB187" s="307"/>
      <c r="DC187" s="307"/>
      <c r="DD187" s="307"/>
      <c r="DE187" s="307"/>
      <c r="DF187" s="307"/>
      <c r="DG187" s="307"/>
      <c r="DH187" s="307"/>
      <c r="DI187" s="307"/>
      <c r="DJ187" s="307"/>
      <c r="DK187" s="307"/>
      <c r="DL187" s="307"/>
      <c r="DM187" s="307"/>
      <c r="DN187" s="307"/>
      <c r="DO187" s="307"/>
      <c r="DP187" s="307"/>
      <c r="DQ187" s="307"/>
      <c r="DR187" s="307"/>
      <c r="DS187" s="307"/>
      <c r="DT187" s="307"/>
      <c r="DU187" s="307"/>
      <c r="DV187" s="307"/>
      <c r="DW187" s="307"/>
      <c r="DX187" s="307"/>
      <c r="DY187" s="307"/>
      <c r="DZ187" s="307"/>
      <c r="EA187" s="307"/>
      <c r="EB187" s="307"/>
      <c r="EC187" s="307"/>
      <c r="ED187" s="307"/>
      <c r="EE187" s="307"/>
      <c r="EF187" s="307"/>
      <c r="EG187" s="307"/>
      <c r="EH187" s="307"/>
      <c r="EI187" s="307"/>
      <c r="EJ187" s="307"/>
      <c r="EK187" s="307"/>
      <c r="EL187" s="307"/>
      <c r="EM187" s="307"/>
      <c r="EN187" s="307"/>
      <c r="EO187" s="307"/>
      <c r="EP187" s="307"/>
      <c r="EQ187" s="307"/>
      <c r="ER187" s="307"/>
      <c r="ES187" s="307"/>
      <c r="ET187" s="307"/>
      <c r="EU187" s="307"/>
      <c r="EV187" s="307"/>
      <c r="EW187" s="307"/>
      <c r="EX187" s="307"/>
      <c r="EY187" s="307"/>
      <c r="EZ187" s="307"/>
      <c r="FA187" s="307"/>
      <c r="FB187" s="307"/>
      <c r="FC187" s="307"/>
      <c r="FD187" s="307"/>
      <c r="FE187" s="307"/>
      <c r="FF187" s="307"/>
      <c r="FG187" s="307"/>
      <c r="FH187" s="307"/>
      <c r="FI187" s="307"/>
      <c r="FJ187" s="307"/>
      <c r="FK187" s="307"/>
      <c r="FL187" s="307"/>
      <c r="FM187" s="307"/>
      <c r="FN187" s="307"/>
      <c r="FO187" s="307"/>
      <c r="FP187" s="307"/>
      <c r="FQ187" s="307"/>
      <c r="FR187" s="307"/>
      <c r="FS187" s="307"/>
      <c r="FT187" s="307"/>
      <c r="FU187" s="307"/>
      <c r="FV187" s="307"/>
      <c r="FW187" s="307"/>
      <c r="FX187" s="307"/>
      <c r="FY187" s="307"/>
      <c r="FZ187" s="307"/>
      <c r="GA187" s="307"/>
      <c r="GB187" s="307"/>
      <c r="GC187" s="307"/>
      <c r="GD187" s="307"/>
      <c r="GE187" s="307"/>
      <c r="GF187" s="307"/>
      <c r="GG187" s="307"/>
      <c r="GH187" s="307"/>
      <c r="GI187" s="307"/>
      <c r="GJ187" s="307"/>
      <c r="GK187" s="307"/>
      <c r="GL187" s="307"/>
      <c r="GM187" s="307"/>
      <c r="GN187" s="307"/>
      <c r="GO187" s="307"/>
      <c r="GP187" s="307"/>
      <c r="GQ187" s="307"/>
      <c r="GR187" s="307"/>
      <c r="GS187" s="307"/>
      <c r="GT187" s="307"/>
      <c r="GU187" s="307"/>
      <c r="GV187" s="307"/>
      <c r="GW187" s="307"/>
      <c r="GX187" s="307"/>
      <c r="GY187" s="307"/>
      <c r="GZ187" s="307"/>
    </row>
    <row r="188" spans="1:208" ht="15">
      <c r="A188" s="304">
        <v>41</v>
      </c>
      <c r="B188" s="328">
        <v>44841</v>
      </c>
      <c r="C188" s="329">
        <v>1036751</v>
      </c>
      <c r="D188" s="304" t="s">
        <v>4462</v>
      </c>
      <c r="E188" s="329" t="s">
        <v>4450</v>
      </c>
      <c r="F188" s="360" t="s">
        <v>4464</v>
      </c>
      <c r="G188" s="329">
        <v>3180</v>
      </c>
      <c r="H188" s="329">
        <v>28</v>
      </c>
      <c r="I188" s="337">
        <v>4502411300</v>
      </c>
      <c r="J188" s="353">
        <v>3025460</v>
      </c>
      <c r="K188" s="304">
        <v>4902361715</v>
      </c>
      <c r="L188" s="337" t="s">
        <v>4252</v>
      </c>
      <c r="M188" s="309">
        <v>14500.3</v>
      </c>
      <c r="N188" s="329">
        <v>9035</v>
      </c>
      <c r="O188" s="306">
        <f t="shared" si="24"/>
        <v>131010210.5</v>
      </c>
      <c r="P188" s="304">
        <f t="shared" si="32"/>
        <v>2</v>
      </c>
      <c r="Q188" s="304" t="s">
        <v>3455</v>
      </c>
      <c r="R188" s="304">
        <v>1040968</v>
      </c>
      <c r="S188" s="307">
        <v>3500000</v>
      </c>
      <c r="T188" s="307"/>
      <c r="U188" s="307"/>
      <c r="V188" s="307"/>
      <c r="W188" s="307"/>
      <c r="X188" s="307"/>
      <c r="Y188" s="307"/>
      <c r="Z188" s="307"/>
      <c r="AA188" s="307"/>
      <c r="AB188" s="307"/>
      <c r="AC188" s="307"/>
      <c r="AD188" s="307"/>
      <c r="AE188" s="307"/>
      <c r="AF188" s="307"/>
      <c r="AG188" s="307"/>
      <c r="AH188" s="307"/>
      <c r="AI188" s="307"/>
      <c r="AJ188" s="307"/>
      <c r="AK188" s="307"/>
      <c r="AL188" s="307"/>
      <c r="AM188" s="307"/>
      <c r="AN188" s="307"/>
      <c r="AO188" s="307"/>
      <c r="AP188" s="307"/>
      <c r="AQ188" s="307"/>
      <c r="AR188" s="307"/>
      <c r="AS188" s="307"/>
      <c r="AT188" s="307"/>
      <c r="AU188" s="307"/>
      <c r="AV188" s="307"/>
      <c r="AW188" s="307"/>
      <c r="AX188" s="307"/>
      <c r="AY188" s="307"/>
      <c r="AZ188" s="307"/>
      <c r="BA188" s="307"/>
      <c r="BB188" s="307"/>
      <c r="BC188" s="307"/>
      <c r="BD188" s="307"/>
      <c r="BE188" s="307"/>
      <c r="BF188" s="307"/>
      <c r="BG188" s="307"/>
      <c r="BH188" s="307"/>
      <c r="BI188" s="307"/>
      <c r="BJ188" s="307"/>
      <c r="BK188" s="307"/>
      <c r="BL188" s="307"/>
      <c r="BM188" s="307"/>
      <c r="BN188" s="307"/>
      <c r="BO188" s="307"/>
      <c r="BP188" s="307"/>
      <c r="BQ188" s="307"/>
      <c r="BR188" s="307"/>
      <c r="BS188" s="307"/>
      <c r="BT188" s="307"/>
      <c r="BU188" s="307"/>
      <c r="BV188" s="307"/>
      <c r="BW188" s="307"/>
      <c r="BX188" s="307"/>
      <c r="BY188" s="307"/>
      <c r="BZ188" s="307"/>
      <c r="CA188" s="307"/>
      <c r="CB188" s="307"/>
      <c r="CC188" s="307"/>
      <c r="CD188" s="307"/>
      <c r="CE188" s="307"/>
      <c r="CF188" s="307"/>
      <c r="CG188" s="307"/>
      <c r="CH188" s="307"/>
      <c r="CI188" s="307"/>
      <c r="CJ188" s="307"/>
      <c r="CK188" s="307"/>
      <c r="CL188" s="307"/>
      <c r="CM188" s="307"/>
      <c r="CN188" s="307"/>
      <c r="CO188" s="307"/>
      <c r="CP188" s="307"/>
      <c r="CQ188" s="307"/>
      <c r="CR188" s="307"/>
      <c r="CS188" s="307"/>
      <c r="CT188" s="307"/>
      <c r="CU188" s="307"/>
      <c r="CV188" s="307"/>
      <c r="CW188" s="307"/>
      <c r="CX188" s="307"/>
      <c r="CY188" s="307"/>
      <c r="CZ188" s="307"/>
      <c r="DA188" s="307"/>
      <c r="DB188" s="307"/>
      <c r="DC188" s="307"/>
      <c r="DD188" s="307"/>
      <c r="DE188" s="307"/>
      <c r="DF188" s="307"/>
      <c r="DG188" s="307"/>
      <c r="DH188" s="307"/>
      <c r="DI188" s="307"/>
      <c r="DJ188" s="307"/>
      <c r="DK188" s="307"/>
      <c r="DL188" s="307"/>
      <c r="DM188" s="307"/>
      <c r="DN188" s="307"/>
      <c r="DO188" s="307"/>
      <c r="DP188" s="307"/>
      <c r="DQ188" s="307"/>
      <c r="DR188" s="307"/>
      <c r="DS188" s="307"/>
      <c r="DT188" s="307"/>
      <c r="DU188" s="307"/>
      <c r="DV188" s="307"/>
      <c r="DW188" s="307"/>
      <c r="DX188" s="307"/>
      <c r="DY188" s="307"/>
      <c r="DZ188" s="307"/>
      <c r="EA188" s="307"/>
      <c r="EB188" s="307"/>
      <c r="EC188" s="307"/>
      <c r="ED188" s="307"/>
      <c r="EE188" s="307"/>
      <c r="EF188" s="307"/>
      <c r="EG188" s="307"/>
      <c r="EH188" s="307"/>
      <c r="EI188" s="307"/>
      <c r="EJ188" s="307"/>
      <c r="EK188" s="307"/>
      <c r="EL188" s="307"/>
      <c r="EM188" s="307"/>
      <c r="EN188" s="307"/>
      <c r="EO188" s="307"/>
      <c r="EP188" s="307"/>
      <c r="EQ188" s="307"/>
      <c r="ER188" s="307"/>
      <c r="ES188" s="307"/>
      <c r="ET188" s="307"/>
      <c r="EU188" s="307"/>
      <c r="EV188" s="307"/>
      <c r="EW188" s="307"/>
      <c r="EX188" s="307"/>
      <c r="EY188" s="307"/>
      <c r="EZ188" s="307"/>
      <c r="FA188" s="307"/>
      <c r="FB188" s="307"/>
      <c r="FC188" s="307"/>
      <c r="FD188" s="307"/>
      <c r="FE188" s="307"/>
      <c r="FF188" s="307"/>
      <c r="FG188" s="307"/>
      <c r="FH188" s="307"/>
      <c r="FI188" s="307"/>
      <c r="FJ188" s="307"/>
      <c r="FK188" s="307"/>
      <c r="FL188" s="307"/>
      <c r="FM188" s="307"/>
      <c r="FN188" s="307"/>
      <c r="FO188" s="307"/>
      <c r="FP188" s="307"/>
      <c r="FQ188" s="307"/>
      <c r="FR188" s="307"/>
      <c r="FS188" s="307"/>
      <c r="FT188" s="307"/>
      <c r="FU188" s="307"/>
      <c r="FV188" s="307"/>
      <c r="FW188" s="307"/>
      <c r="FX188" s="307"/>
      <c r="FY188" s="307"/>
      <c r="FZ188" s="307"/>
      <c r="GA188" s="307"/>
      <c r="GB188" s="307"/>
      <c r="GC188" s="307"/>
      <c r="GD188" s="307"/>
      <c r="GE188" s="307"/>
      <c r="GF188" s="307"/>
      <c r="GG188" s="307"/>
      <c r="GH188" s="307"/>
      <c r="GI188" s="307"/>
      <c r="GJ188" s="307"/>
      <c r="GK188" s="307"/>
      <c r="GL188" s="307"/>
      <c r="GM188" s="307"/>
      <c r="GN188" s="307"/>
      <c r="GO188" s="307"/>
      <c r="GP188" s="307"/>
      <c r="GQ188" s="307"/>
      <c r="GR188" s="307"/>
      <c r="GS188" s="307"/>
      <c r="GT188" s="307"/>
      <c r="GU188" s="307"/>
      <c r="GV188" s="307"/>
      <c r="GW188" s="307"/>
      <c r="GX188" s="307"/>
      <c r="GY188" s="307"/>
      <c r="GZ188" s="307"/>
    </row>
    <row r="189" spans="1:208" ht="15">
      <c r="A189" s="304">
        <v>41</v>
      </c>
      <c r="B189" s="328">
        <v>44842</v>
      </c>
      <c r="C189" s="329">
        <v>1106184</v>
      </c>
      <c r="D189" s="337" t="s">
        <v>4485</v>
      </c>
      <c r="E189" s="329" t="s">
        <v>4250</v>
      </c>
      <c r="F189" s="366" t="s">
        <v>4251</v>
      </c>
      <c r="G189" s="329">
        <v>3185</v>
      </c>
      <c r="H189" s="329">
        <v>112</v>
      </c>
      <c r="I189" s="304">
        <v>4502427410</v>
      </c>
      <c r="J189" s="329">
        <v>3025457</v>
      </c>
      <c r="K189" s="304">
        <v>4902361248</v>
      </c>
      <c r="L189" s="337" t="s">
        <v>4252</v>
      </c>
      <c r="M189" s="309">
        <v>58667</v>
      </c>
      <c r="N189" s="329">
        <v>8050</v>
      </c>
      <c r="O189" s="306">
        <f t="shared" si="24"/>
        <v>472269350</v>
      </c>
      <c r="P189" s="304">
        <f t="shared" si="32"/>
        <v>8</v>
      </c>
      <c r="Q189" s="304" t="s">
        <v>3455</v>
      </c>
      <c r="R189" s="304">
        <v>1040968</v>
      </c>
      <c r="S189" s="311">
        <v>23921180</v>
      </c>
      <c r="T189" s="307"/>
      <c r="U189" s="307"/>
      <c r="V189" s="307"/>
      <c r="W189" s="307"/>
      <c r="X189" s="307"/>
      <c r="Y189" s="307"/>
      <c r="Z189" s="307"/>
      <c r="AA189" s="307"/>
      <c r="AB189" s="307"/>
      <c r="AC189" s="307"/>
      <c r="AD189" s="307"/>
      <c r="AE189" s="307"/>
      <c r="AF189" s="307"/>
      <c r="AG189" s="307"/>
      <c r="AH189" s="307"/>
      <c r="AI189" s="307"/>
      <c r="AJ189" s="307"/>
      <c r="AK189" s="307"/>
      <c r="AL189" s="307"/>
      <c r="AM189" s="307"/>
      <c r="AN189" s="307"/>
      <c r="AO189" s="307"/>
      <c r="AP189" s="307"/>
      <c r="AQ189" s="307"/>
      <c r="AR189" s="307"/>
      <c r="AS189" s="307"/>
      <c r="AT189" s="307"/>
      <c r="AU189" s="307"/>
      <c r="AV189" s="307"/>
      <c r="AW189" s="307"/>
      <c r="AX189" s="307"/>
      <c r="AY189" s="307"/>
      <c r="AZ189" s="307"/>
      <c r="BA189" s="307"/>
      <c r="BB189" s="307"/>
      <c r="BC189" s="307"/>
      <c r="BD189" s="307"/>
      <c r="BE189" s="307"/>
      <c r="BF189" s="307"/>
      <c r="BG189" s="307"/>
      <c r="BH189" s="307"/>
      <c r="BI189" s="307"/>
      <c r="BJ189" s="307"/>
      <c r="BK189" s="307"/>
      <c r="BL189" s="307"/>
      <c r="BM189" s="307"/>
      <c r="BN189" s="307"/>
      <c r="BO189" s="307"/>
      <c r="BP189" s="307"/>
      <c r="BQ189" s="307"/>
      <c r="BR189" s="307"/>
      <c r="BS189" s="307"/>
      <c r="BT189" s="307"/>
      <c r="BU189" s="307"/>
      <c r="BV189" s="307"/>
      <c r="BW189" s="307"/>
      <c r="BX189" s="307"/>
      <c r="BY189" s="307"/>
      <c r="BZ189" s="307"/>
      <c r="CA189" s="307"/>
      <c r="CB189" s="307"/>
      <c r="CC189" s="307"/>
      <c r="CD189" s="307"/>
      <c r="CE189" s="307"/>
      <c r="CF189" s="307"/>
      <c r="CG189" s="307"/>
      <c r="CH189" s="307"/>
      <c r="CI189" s="307"/>
      <c r="CJ189" s="307"/>
      <c r="CK189" s="307"/>
      <c r="CL189" s="307"/>
      <c r="CM189" s="307"/>
      <c r="CN189" s="307"/>
      <c r="CO189" s="307"/>
      <c r="CP189" s="307"/>
      <c r="CQ189" s="307"/>
      <c r="CR189" s="307"/>
      <c r="CS189" s="307"/>
      <c r="CT189" s="307"/>
      <c r="CU189" s="307"/>
      <c r="CV189" s="307"/>
      <c r="CW189" s="307"/>
      <c r="CX189" s="307"/>
      <c r="CY189" s="307"/>
      <c r="CZ189" s="307"/>
      <c r="DA189" s="307"/>
      <c r="DB189" s="307"/>
      <c r="DC189" s="307"/>
      <c r="DD189" s="307"/>
      <c r="DE189" s="307"/>
      <c r="DF189" s="307"/>
      <c r="DG189" s="307"/>
      <c r="DH189" s="307"/>
      <c r="DI189" s="307"/>
      <c r="DJ189" s="307"/>
      <c r="DK189" s="307"/>
      <c r="DL189" s="307"/>
      <c r="DM189" s="307"/>
      <c r="DN189" s="307"/>
      <c r="DO189" s="307"/>
      <c r="DP189" s="307"/>
      <c r="DQ189" s="307"/>
      <c r="DR189" s="307"/>
      <c r="DS189" s="307"/>
      <c r="DT189" s="307"/>
      <c r="DU189" s="307"/>
      <c r="DV189" s="307"/>
      <c r="DW189" s="307"/>
      <c r="DX189" s="307"/>
      <c r="DY189" s="307"/>
      <c r="DZ189" s="307"/>
      <c r="EA189" s="307"/>
      <c r="EB189" s="307"/>
      <c r="EC189" s="307"/>
      <c r="ED189" s="307"/>
      <c r="EE189" s="307"/>
      <c r="EF189" s="307"/>
      <c r="EG189" s="307"/>
      <c r="EH189" s="307"/>
      <c r="EI189" s="307"/>
      <c r="EJ189" s="307"/>
      <c r="EK189" s="307"/>
      <c r="EL189" s="307"/>
      <c r="EM189" s="307"/>
      <c r="EN189" s="307"/>
      <c r="EO189" s="307"/>
      <c r="EP189" s="307"/>
      <c r="EQ189" s="307"/>
      <c r="ER189" s="307"/>
      <c r="ES189" s="307"/>
      <c r="ET189" s="307"/>
      <c r="EU189" s="307"/>
      <c r="EV189" s="307"/>
      <c r="EW189" s="307"/>
      <c r="EX189" s="307"/>
      <c r="EY189" s="307"/>
      <c r="EZ189" s="307"/>
      <c r="FA189" s="307"/>
      <c r="FB189" s="307"/>
      <c r="FC189" s="307"/>
      <c r="FD189" s="307"/>
      <c r="FE189" s="307"/>
      <c r="FF189" s="307"/>
      <c r="FG189" s="307"/>
      <c r="FH189" s="307"/>
      <c r="FI189" s="307"/>
      <c r="FJ189" s="307"/>
      <c r="FK189" s="307"/>
      <c r="FL189" s="307"/>
      <c r="FM189" s="307"/>
      <c r="FN189" s="307"/>
      <c r="FO189" s="307"/>
      <c r="FP189" s="307"/>
      <c r="FQ189" s="307"/>
      <c r="FR189" s="307"/>
      <c r="FS189" s="307"/>
      <c r="FT189" s="307"/>
      <c r="FU189" s="307"/>
      <c r="FV189" s="307"/>
      <c r="FW189" s="307"/>
      <c r="FX189" s="307"/>
      <c r="FY189" s="307"/>
      <c r="FZ189" s="307"/>
      <c r="GA189" s="307"/>
      <c r="GB189" s="307"/>
      <c r="GC189" s="307"/>
      <c r="GD189" s="307"/>
      <c r="GE189" s="307"/>
      <c r="GF189" s="307"/>
      <c r="GG189" s="307"/>
      <c r="GH189" s="307"/>
      <c r="GI189" s="307"/>
      <c r="GJ189" s="307"/>
      <c r="GK189" s="307"/>
      <c r="GL189" s="307"/>
      <c r="GM189" s="307"/>
      <c r="GN189" s="307"/>
      <c r="GO189" s="307"/>
      <c r="GP189" s="307"/>
      <c r="GQ189" s="307"/>
      <c r="GR189" s="307"/>
      <c r="GS189" s="307"/>
      <c r="GT189" s="307"/>
      <c r="GU189" s="307"/>
      <c r="GV189" s="307"/>
      <c r="GW189" s="307"/>
      <c r="GX189" s="307"/>
      <c r="GY189" s="307"/>
      <c r="GZ189" s="307"/>
    </row>
    <row r="190" spans="1:208" ht="15">
      <c r="A190" s="304">
        <v>41</v>
      </c>
      <c r="B190" s="328">
        <v>44843</v>
      </c>
      <c r="C190" s="329">
        <v>1053331</v>
      </c>
      <c r="D190" s="337" t="s">
        <v>4486</v>
      </c>
      <c r="E190" s="329" t="s">
        <v>4416</v>
      </c>
      <c r="F190" s="366" t="s">
        <v>4251</v>
      </c>
      <c r="G190" s="329">
        <v>3178</v>
      </c>
      <c r="H190" s="329">
        <v>42</v>
      </c>
      <c r="I190" s="337">
        <v>4502427411</v>
      </c>
      <c r="J190" s="329">
        <v>3025457</v>
      </c>
      <c r="K190" s="304">
        <v>4902361249</v>
      </c>
      <c r="L190" s="337" t="s">
        <v>4252</v>
      </c>
      <c r="M190" s="309">
        <v>20349</v>
      </c>
      <c r="N190" s="329">
        <v>8050</v>
      </c>
      <c r="O190" s="306">
        <f t="shared" si="24"/>
        <v>163809450</v>
      </c>
      <c r="P190" s="304" t="s">
        <v>4265</v>
      </c>
      <c r="Q190" s="304" t="s">
        <v>4266</v>
      </c>
      <c r="R190" s="304">
        <v>1004892</v>
      </c>
      <c r="S190" s="304">
        <v>4792500</v>
      </c>
      <c r="T190" s="307"/>
      <c r="U190" s="307"/>
      <c r="V190" s="307"/>
      <c r="W190" s="307"/>
      <c r="X190" s="307"/>
      <c r="Y190" s="307"/>
      <c r="Z190" s="307"/>
      <c r="AA190" s="307"/>
      <c r="AB190" s="307"/>
      <c r="AC190" s="307"/>
      <c r="AD190" s="307"/>
      <c r="AE190" s="307"/>
      <c r="AF190" s="307"/>
      <c r="AG190" s="307"/>
      <c r="AH190" s="307"/>
      <c r="AI190" s="307"/>
      <c r="AJ190" s="307"/>
      <c r="AK190" s="307"/>
      <c r="AL190" s="307"/>
      <c r="AM190" s="307"/>
      <c r="AN190" s="307"/>
      <c r="AO190" s="307"/>
      <c r="AP190" s="307"/>
      <c r="AQ190" s="307"/>
      <c r="AR190" s="307"/>
      <c r="AS190" s="307"/>
      <c r="AT190" s="307"/>
      <c r="AU190" s="307"/>
      <c r="AV190" s="307"/>
      <c r="AW190" s="307"/>
      <c r="AX190" s="307"/>
      <c r="AY190" s="307"/>
      <c r="AZ190" s="307"/>
      <c r="BA190" s="307"/>
      <c r="BB190" s="307"/>
      <c r="BC190" s="307"/>
      <c r="BD190" s="307"/>
      <c r="BE190" s="307"/>
      <c r="BF190" s="307"/>
      <c r="BG190" s="307"/>
      <c r="BH190" s="307"/>
      <c r="BI190" s="307"/>
      <c r="BJ190" s="307"/>
      <c r="BK190" s="307"/>
      <c r="BL190" s="307"/>
      <c r="BM190" s="307"/>
      <c r="BN190" s="307"/>
      <c r="BO190" s="307"/>
      <c r="BP190" s="307"/>
      <c r="BQ190" s="307"/>
      <c r="BR190" s="307"/>
      <c r="BS190" s="307"/>
      <c r="BT190" s="307"/>
      <c r="BU190" s="307"/>
      <c r="BV190" s="307"/>
      <c r="BW190" s="307"/>
      <c r="BX190" s="307"/>
      <c r="BY190" s="307"/>
      <c r="BZ190" s="307"/>
      <c r="CA190" s="307"/>
      <c r="CB190" s="307"/>
      <c r="CC190" s="307"/>
      <c r="CD190" s="307"/>
      <c r="CE190" s="307"/>
      <c r="CF190" s="307"/>
      <c r="CG190" s="307"/>
      <c r="CH190" s="307"/>
      <c r="CI190" s="307"/>
      <c r="CJ190" s="307"/>
      <c r="CK190" s="307"/>
      <c r="CL190" s="307"/>
      <c r="CM190" s="307"/>
      <c r="CN190" s="307"/>
      <c r="CO190" s="307"/>
      <c r="CP190" s="307"/>
      <c r="CQ190" s="307"/>
      <c r="CR190" s="307"/>
      <c r="CS190" s="307"/>
      <c r="CT190" s="307"/>
      <c r="CU190" s="307"/>
      <c r="CV190" s="307"/>
      <c r="CW190" s="307"/>
      <c r="CX190" s="307"/>
      <c r="CY190" s="307"/>
      <c r="CZ190" s="307"/>
      <c r="DA190" s="307"/>
      <c r="DB190" s="307"/>
      <c r="DC190" s="307"/>
      <c r="DD190" s="307"/>
      <c r="DE190" s="307"/>
      <c r="DF190" s="307"/>
      <c r="DG190" s="307"/>
      <c r="DH190" s="307"/>
      <c r="DI190" s="307"/>
      <c r="DJ190" s="307"/>
      <c r="DK190" s="307"/>
      <c r="DL190" s="307"/>
      <c r="DM190" s="307"/>
      <c r="DN190" s="307"/>
      <c r="DO190" s="307"/>
      <c r="DP190" s="307"/>
      <c r="DQ190" s="307"/>
      <c r="DR190" s="307"/>
      <c r="DS190" s="307"/>
      <c r="DT190" s="307"/>
      <c r="DU190" s="307"/>
      <c r="DV190" s="307"/>
      <c r="DW190" s="307"/>
      <c r="DX190" s="307"/>
      <c r="DY190" s="307"/>
      <c r="DZ190" s="307"/>
      <c r="EA190" s="307"/>
      <c r="EB190" s="307"/>
      <c r="EC190" s="307"/>
      <c r="ED190" s="307"/>
      <c r="EE190" s="307"/>
      <c r="EF190" s="307"/>
      <c r="EG190" s="307"/>
      <c r="EH190" s="307"/>
      <c r="EI190" s="307"/>
      <c r="EJ190" s="307"/>
      <c r="EK190" s="307"/>
      <c r="EL190" s="307"/>
      <c r="EM190" s="307"/>
      <c r="EN190" s="307"/>
      <c r="EO190" s="307"/>
      <c r="EP190" s="307"/>
      <c r="EQ190" s="307"/>
      <c r="ER190" s="307"/>
      <c r="ES190" s="307"/>
      <c r="ET190" s="307"/>
      <c r="EU190" s="307"/>
      <c r="EV190" s="307"/>
      <c r="EW190" s="307"/>
      <c r="EX190" s="307"/>
      <c r="EY190" s="307"/>
      <c r="EZ190" s="307"/>
      <c r="FA190" s="307"/>
      <c r="FB190" s="307"/>
      <c r="FC190" s="307"/>
      <c r="FD190" s="307"/>
      <c r="FE190" s="307"/>
      <c r="FF190" s="307"/>
      <c r="FG190" s="307"/>
      <c r="FH190" s="307"/>
      <c r="FI190" s="307"/>
      <c r="FJ190" s="307"/>
      <c r="FK190" s="307"/>
      <c r="FL190" s="307"/>
      <c r="FM190" s="307"/>
      <c r="FN190" s="307"/>
      <c r="FO190" s="307"/>
      <c r="FP190" s="307"/>
      <c r="FQ190" s="307"/>
      <c r="FR190" s="307"/>
      <c r="FS190" s="307"/>
      <c r="FT190" s="307"/>
      <c r="FU190" s="307"/>
      <c r="FV190" s="307"/>
      <c r="FW190" s="307"/>
      <c r="FX190" s="307"/>
      <c r="FY190" s="307"/>
      <c r="FZ190" s="307"/>
      <c r="GA190" s="307"/>
      <c r="GB190" s="307"/>
      <c r="GC190" s="307"/>
      <c r="GD190" s="307"/>
      <c r="GE190" s="307"/>
      <c r="GF190" s="307"/>
      <c r="GG190" s="307"/>
      <c r="GH190" s="307"/>
      <c r="GI190" s="307"/>
      <c r="GJ190" s="307"/>
      <c r="GK190" s="307"/>
      <c r="GL190" s="307"/>
      <c r="GM190" s="307"/>
      <c r="GN190" s="307"/>
      <c r="GO190" s="307"/>
      <c r="GP190" s="307"/>
      <c r="GQ190" s="307"/>
      <c r="GR190" s="307"/>
      <c r="GS190" s="307"/>
      <c r="GT190" s="307"/>
      <c r="GU190" s="307"/>
      <c r="GV190" s="307"/>
      <c r="GW190" s="307"/>
      <c r="GX190" s="307"/>
      <c r="GY190" s="307"/>
      <c r="GZ190" s="307"/>
    </row>
    <row r="191" spans="1:208" ht="15">
      <c r="A191" s="282">
        <v>42</v>
      </c>
      <c r="B191" s="332">
        <v>44848</v>
      </c>
      <c r="C191" s="333">
        <v>1106184</v>
      </c>
      <c r="D191" s="342" t="s">
        <v>4487</v>
      </c>
      <c r="E191" s="333" t="s">
        <v>4250</v>
      </c>
      <c r="F191" s="333" t="s">
        <v>4251</v>
      </c>
      <c r="G191" s="333">
        <v>3185</v>
      </c>
      <c r="H191" s="333">
        <v>70</v>
      </c>
      <c r="I191" s="282">
        <v>4502432245</v>
      </c>
      <c r="J191" s="333">
        <v>3025457</v>
      </c>
      <c r="K191" s="282">
        <v>4902366622</v>
      </c>
      <c r="L191" s="282" t="s">
        <v>4252</v>
      </c>
      <c r="M191" s="283">
        <v>35716</v>
      </c>
      <c r="N191" s="367">
        <v>8150</v>
      </c>
      <c r="O191" s="284">
        <f t="shared" si="24"/>
        <v>291085400</v>
      </c>
      <c r="P191" s="285">
        <f t="shared" ref="P191:P192" si="33">H191/14</f>
        <v>5</v>
      </c>
      <c r="Q191" s="321" t="s">
        <v>3455</v>
      </c>
      <c r="R191" s="282">
        <v>1040968</v>
      </c>
      <c r="S191" s="334">
        <f>2982600*5</f>
        <v>14913000</v>
      </c>
      <c r="T191" s="282"/>
      <c r="U191" s="285"/>
      <c r="V191" s="285"/>
      <c r="W191" s="285"/>
      <c r="X191" s="285"/>
      <c r="Y191" s="285"/>
      <c r="Z191" s="285"/>
      <c r="AA191" s="285"/>
      <c r="AB191" s="285"/>
      <c r="AC191" s="285"/>
      <c r="AD191" s="285"/>
      <c r="AE191" s="285"/>
      <c r="AF191" s="285"/>
      <c r="AG191" s="285"/>
      <c r="AH191" s="285"/>
      <c r="AI191" s="285"/>
      <c r="AJ191" s="285"/>
      <c r="AK191" s="285"/>
      <c r="AL191" s="285"/>
      <c r="AM191" s="285"/>
      <c r="AN191" s="285"/>
      <c r="AO191" s="285"/>
      <c r="AP191" s="285"/>
      <c r="AQ191" s="285"/>
      <c r="AR191" s="285"/>
      <c r="AS191" s="285"/>
      <c r="AT191" s="285"/>
      <c r="AU191" s="285"/>
      <c r="AV191" s="285"/>
      <c r="AW191" s="285"/>
      <c r="AX191" s="285"/>
      <c r="AY191" s="285"/>
      <c r="AZ191" s="285"/>
      <c r="BA191" s="285"/>
      <c r="BB191" s="285"/>
      <c r="BC191" s="285"/>
      <c r="BD191" s="285"/>
      <c r="BE191" s="285"/>
      <c r="BF191" s="285"/>
      <c r="BG191" s="285"/>
      <c r="BH191" s="285"/>
      <c r="BI191" s="285"/>
      <c r="BJ191" s="285"/>
      <c r="BK191" s="285"/>
      <c r="BL191" s="285"/>
      <c r="BM191" s="285"/>
      <c r="BN191" s="285"/>
      <c r="BO191" s="285"/>
      <c r="BP191" s="285"/>
      <c r="BQ191" s="285"/>
      <c r="BR191" s="285"/>
      <c r="BS191" s="285"/>
      <c r="BT191" s="285"/>
      <c r="BU191" s="285"/>
      <c r="BV191" s="285"/>
      <c r="BW191" s="285"/>
      <c r="BX191" s="285"/>
      <c r="BY191" s="285"/>
      <c r="BZ191" s="285"/>
      <c r="CA191" s="285"/>
      <c r="CB191" s="285"/>
      <c r="CC191" s="285"/>
      <c r="CD191" s="285"/>
      <c r="CE191" s="285"/>
      <c r="CF191" s="285"/>
      <c r="CG191" s="285"/>
      <c r="CH191" s="285"/>
      <c r="CI191" s="285"/>
      <c r="CJ191" s="285"/>
      <c r="CK191" s="285"/>
      <c r="CL191" s="285"/>
      <c r="CM191" s="285"/>
      <c r="CN191" s="285"/>
      <c r="CO191" s="285"/>
      <c r="CP191" s="285"/>
      <c r="CQ191" s="285"/>
      <c r="CR191" s="285"/>
      <c r="CS191" s="285"/>
      <c r="CT191" s="285"/>
      <c r="CU191" s="285"/>
      <c r="CV191" s="285"/>
      <c r="CW191" s="285"/>
      <c r="CX191" s="285"/>
      <c r="CY191" s="285"/>
      <c r="CZ191" s="285"/>
      <c r="DA191" s="285"/>
      <c r="DB191" s="285"/>
      <c r="DC191" s="285"/>
      <c r="DD191" s="285"/>
      <c r="DE191" s="285"/>
      <c r="DF191" s="285"/>
      <c r="DG191" s="285"/>
      <c r="DH191" s="285"/>
      <c r="DI191" s="285"/>
      <c r="DJ191" s="285"/>
      <c r="DK191" s="285"/>
      <c r="DL191" s="285"/>
      <c r="DM191" s="285"/>
      <c r="DN191" s="285"/>
      <c r="DO191" s="285"/>
      <c r="DP191" s="285"/>
      <c r="DQ191" s="285"/>
      <c r="DR191" s="285"/>
      <c r="DS191" s="285"/>
      <c r="DT191" s="285"/>
      <c r="DU191" s="285"/>
      <c r="DV191" s="285"/>
      <c r="DW191" s="285"/>
      <c r="DX191" s="285"/>
      <c r="DY191" s="285"/>
      <c r="DZ191" s="285"/>
      <c r="EA191" s="285"/>
      <c r="EB191" s="285"/>
      <c r="EC191" s="285"/>
      <c r="ED191" s="285"/>
      <c r="EE191" s="285"/>
      <c r="EF191" s="285"/>
      <c r="EG191" s="285"/>
      <c r="EH191" s="285"/>
      <c r="EI191" s="285"/>
      <c r="EJ191" s="285"/>
      <c r="EK191" s="285"/>
      <c r="EL191" s="285"/>
      <c r="EM191" s="285"/>
      <c r="EN191" s="285"/>
      <c r="EO191" s="285"/>
      <c r="EP191" s="285"/>
      <c r="EQ191" s="285"/>
      <c r="ER191" s="285"/>
      <c r="ES191" s="285"/>
      <c r="ET191" s="285"/>
      <c r="EU191" s="285"/>
      <c r="EV191" s="285"/>
      <c r="EW191" s="285"/>
      <c r="EX191" s="285"/>
      <c r="EY191" s="285"/>
      <c r="EZ191" s="285"/>
      <c r="FA191" s="285"/>
      <c r="FB191" s="285"/>
      <c r="FC191" s="285"/>
      <c r="FD191" s="285"/>
      <c r="FE191" s="285"/>
      <c r="FF191" s="285"/>
      <c r="FG191" s="285"/>
      <c r="FH191" s="285"/>
      <c r="FI191" s="285"/>
      <c r="FJ191" s="285"/>
      <c r="FK191" s="285"/>
      <c r="FL191" s="285"/>
      <c r="FM191" s="285"/>
      <c r="FN191" s="285"/>
      <c r="FO191" s="285"/>
      <c r="FP191" s="285"/>
      <c r="FQ191" s="285"/>
      <c r="FR191" s="285"/>
      <c r="FS191" s="285"/>
      <c r="FT191" s="285"/>
      <c r="FU191" s="285"/>
      <c r="FV191" s="285"/>
      <c r="FW191" s="285"/>
      <c r="FX191" s="285"/>
      <c r="FY191" s="285"/>
      <c r="FZ191" s="285"/>
      <c r="GA191" s="285"/>
      <c r="GB191" s="285"/>
      <c r="GC191" s="285"/>
      <c r="GD191" s="285"/>
      <c r="GE191" s="285"/>
      <c r="GF191" s="285"/>
      <c r="GG191" s="285"/>
      <c r="GH191" s="285"/>
      <c r="GI191" s="285"/>
      <c r="GJ191" s="285"/>
      <c r="GK191" s="285"/>
      <c r="GL191" s="285"/>
      <c r="GM191" s="285"/>
      <c r="GN191" s="285"/>
      <c r="GO191" s="285"/>
      <c r="GP191" s="285"/>
      <c r="GQ191" s="285"/>
      <c r="GR191" s="285"/>
      <c r="GS191" s="285"/>
      <c r="GT191" s="285"/>
      <c r="GU191" s="285"/>
      <c r="GV191" s="285"/>
      <c r="GW191" s="285"/>
      <c r="GX191" s="285"/>
      <c r="GY191" s="285"/>
      <c r="GZ191" s="285"/>
    </row>
    <row r="192" spans="1:208" ht="15">
      <c r="A192" s="282">
        <v>42</v>
      </c>
      <c r="B192" s="332">
        <v>44848</v>
      </c>
      <c r="C192" s="333">
        <v>1076469</v>
      </c>
      <c r="D192" s="342" t="s">
        <v>4488</v>
      </c>
      <c r="E192" s="333" t="s">
        <v>4408</v>
      </c>
      <c r="F192" s="333" t="s">
        <v>4275</v>
      </c>
      <c r="G192" s="333">
        <v>3179</v>
      </c>
      <c r="H192" s="333">
        <v>56</v>
      </c>
      <c r="I192" s="342">
        <v>4502432246</v>
      </c>
      <c r="J192" s="333">
        <v>3025459</v>
      </c>
      <c r="K192" s="282">
        <v>4902366624</v>
      </c>
      <c r="L192" s="282" t="s">
        <v>4252</v>
      </c>
      <c r="M192" s="283">
        <v>28807</v>
      </c>
      <c r="N192" s="367">
        <v>8150</v>
      </c>
      <c r="O192" s="284">
        <f t="shared" si="24"/>
        <v>234777050</v>
      </c>
      <c r="P192" s="285">
        <f t="shared" si="33"/>
        <v>4</v>
      </c>
      <c r="Q192" s="321" t="s">
        <v>3455</v>
      </c>
      <c r="R192" s="282">
        <v>1040968</v>
      </c>
      <c r="S192" s="334">
        <f>1771100*4</f>
        <v>7084400</v>
      </c>
      <c r="T192" s="285"/>
      <c r="U192" s="285"/>
      <c r="V192" s="285"/>
      <c r="W192" s="285"/>
      <c r="X192" s="285"/>
      <c r="Y192" s="285"/>
      <c r="Z192" s="285"/>
      <c r="AA192" s="285"/>
      <c r="AB192" s="285"/>
      <c r="AC192" s="285"/>
      <c r="AD192" s="285"/>
      <c r="AE192" s="285"/>
      <c r="AF192" s="285"/>
      <c r="AG192" s="285"/>
      <c r="AH192" s="285"/>
      <c r="AI192" s="285"/>
      <c r="AJ192" s="285"/>
      <c r="AK192" s="285"/>
      <c r="AL192" s="285"/>
      <c r="AM192" s="285"/>
      <c r="AN192" s="285"/>
      <c r="AO192" s="285"/>
      <c r="AP192" s="285"/>
      <c r="AQ192" s="285"/>
      <c r="AR192" s="285"/>
      <c r="AS192" s="285"/>
      <c r="AT192" s="285"/>
      <c r="AU192" s="285"/>
      <c r="AV192" s="285"/>
      <c r="AW192" s="285"/>
      <c r="AX192" s="285"/>
      <c r="AY192" s="285"/>
      <c r="AZ192" s="285"/>
      <c r="BA192" s="285"/>
      <c r="BB192" s="285"/>
      <c r="BC192" s="285"/>
      <c r="BD192" s="285"/>
      <c r="BE192" s="285"/>
      <c r="BF192" s="285"/>
      <c r="BG192" s="285"/>
      <c r="BH192" s="285"/>
      <c r="BI192" s="285"/>
      <c r="BJ192" s="285"/>
      <c r="BK192" s="285"/>
      <c r="BL192" s="285"/>
      <c r="BM192" s="285"/>
      <c r="BN192" s="285"/>
      <c r="BO192" s="285"/>
      <c r="BP192" s="285"/>
      <c r="BQ192" s="285"/>
      <c r="BR192" s="285"/>
      <c r="BS192" s="285"/>
      <c r="BT192" s="285"/>
      <c r="BU192" s="285"/>
      <c r="BV192" s="285"/>
      <c r="BW192" s="285"/>
      <c r="BX192" s="285"/>
      <c r="BY192" s="285"/>
      <c r="BZ192" s="285"/>
      <c r="CA192" s="285"/>
      <c r="CB192" s="285"/>
      <c r="CC192" s="285"/>
      <c r="CD192" s="285"/>
      <c r="CE192" s="285"/>
      <c r="CF192" s="285"/>
      <c r="CG192" s="285"/>
      <c r="CH192" s="285"/>
      <c r="CI192" s="285"/>
      <c r="CJ192" s="285"/>
      <c r="CK192" s="285"/>
      <c r="CL192" s="285"/>
      <c r="CM192" s="285"/>
      <c r="CN192" s="285"/>
      <c r="CO192" s="285"/>
      <c r="CP192" s="285"/>
      <c r="CQ192" s="285"/>
      <c r="CR192" s="285"/>
      <c r="CS192" s="285"/>
      <c r="CT192" s="285"/>
      <c r="CU192" s="285"/>
      <c r="CV192" s="285"/>
      <c r="CW192" s="285"/>
      <c r="CX192" s="285"/>
      <c r="CY192" s="285"/>
      <c r="CZ192" s="285"/>
      <c r="DA192" s="285"/>
      <c r="DB192" s="285"/>
      <c r="DC192" s="285"/>
      <c r="DD192" s="285"/>
      <c r="DE192" s="285"/>
      <c r="DF192" s="285"/>
      <c r="DG192" s="285"/>
      <c r="DH192" s="285"/>
      <c r="DI192" s="285"/>
      <c r="DJ192" s="285"/>
      <c r="DK192" s="285"/>
      <c r="DL192" s="285"/>
      <c r="DM192" s="285"/>
      <c r="DN192" s="285"/>
      <c r="DO192" s="285"/>
      <c r="DP192" s="285"/>
      <c r="DQ192" s="285"/>
      <c r="DR192" s="285"/>
      <c r="DS192" s="285"/>
      <c r="DT192" s="285"/>
      <c r="DU192" s="285"/>
      <c r="DV192" s="285"/>
      <c r="DW192" s="285"/>
      <c r="DX192" s="285"/>
      <c r="DY192" s="285"/>
      <c r="DZ192" s="285"/>
      <c r="EA192" s="285"/>
      <c r="EB192" s="285"/>
      <c r="EC192" s="285"/>
      <c r="ED192" s="285"/>
      <c r="EE192" s="285"/>
      <c r="EF192" s="285"/>
      <c r="EG192" s="285"/>
      <c r="EH192" s="285"/>
      <c r="EI192" s="285"/>
      <c r="EJ192" s="285"/>
      <c r="EK192" s="285"/>
      <c r="EL192" s="285"/>
      <c r="EM192" s="285"/>
      <c r="EN192" s="285"/>
      <c r="EO192" s="285"/>
      <c r="EP192" s="285"/>
      <c r="EQ192" s="285"/>
      <c r="ER192" s="285"/>
      <c r="ES192" s="285"/>
      <c r="ET192" s="285"/>
      <c r="EU192" s="285"/>
      <c r="EV192" s="285"/>
      <c r="EW192" s="285"/>
      <c r="EX192" s="285"/>
      <c r="EY192" s="285"/>
      <c r="EZ192" s="285"/>
      <c r="FA192" s="285"/>
      <c r="FB192" s="285"/>
      <c r="FC192" s="285"/>
      <c r="FD192" s="285"/>
      <c r="FE192" s="285"/>
      <c r="FF192" s="285"/>
      <c r="FG192" s="285"/>
      <c r="FH192" s="285"/>
      <c r="FI192" s="285"/>
      <c r="FJ192" s="285"/>
      <c r="FK192" s="285"/>
      <c r="FL192" s="285"/>
      <c r="FM192" s="285"/>
      <c r="FN192" s="285"/>
      <c r="FO192" s="285"/>
      <c r="FP192" s="285"/>
      <c r="FQ192" s="285"/>
      <c r="FR192" s="285"/>
      <c r="FS192" s="285"/>
      <c r="FT192" s="285"/>
      <c r="FU192" s="285"/>
      <c r="FV192" s="285"/>
      <c r="FW192" s="285"/>
      <c r="FX192" s="285"/>
      <c r="FY192" s="285"/>
      <c r="FZ192" s="285"/>
      <c r="GA192" s="285"/>
      <c r="GB192" s="285"/>
      <c r="GC192" s="285"/>
      <c r="GD192" s="285"/>
      <c r="GE192" s="285"/>
      <c r="GF192" s="285"/>
      <c r="GG192" s="285"/>
      <c r="GH192" s="285"/>
      <c r="GI192" s="285"/>
      <c r="GJ192" s="285"/>
      <c r="GK192" s="285"/>
      <c r="GL192" s="285"/>
      <c r="GM192" s="285"/>
      <c r="GN192" s="285"/>
      <c r="GO192" s="285"/>
      <c r="GP192" s="285"/>
      <c r="GQ192" s="285"/>
      <c r="GR192" s="285"/>
      <c r="GS192" s="285"/>
      <c r="GT192" s="285"/>
      <c r="GU192" s="285"/>
      <c r="GV192" s="285"/>
      <c r="GW192" s="285"/>
      <c r="GX192" s="285"/>
      <c r="GY192" s="285"/>
      <c r="GZ192" s="285"/>
    </row>
    <row r="193" spans="1:208" ht="15">
      <c r="A193" s="282">
        <v>42</v>
      </c>
      <c r="B193" s="332">
        <v>44849</v>
      </c>
      <c r="C193" s="333">
        <v>1053331</v>
      </c>
      <c r="D193" s="342" t="s">
        <v>4489</v>
      </c>
      <c r="E193" s="333" t="s">
        <v>4416</v>
      </c>
      <c r="F193" s="333" t="s">
        <v>4251</v>
      </c>
      <c r="G193" s="333">
        <v>3178</v>
      </c>
      <c r="H193" s="333">
        <v>42</v>
      </c>
      <c r="I193" s="282">
        <v>4502432247</v>
      </c>
      <c r="J193" s="333">
        <v>3025457</v>
      </c>
      <c r="K193" s="282">
        <v>4902366627</v>
      </c>
      <c r="L193" s="282" t="s">
        <v>4252</v>
      </c>
      <c r="M193" s="283">
        <v>20058</v>
      </c>
      <c r="N193" s="367">
        <v>8150</v>
      </c>
      <c r="O193" s="284">
        <f t="shared" si="24"/>
        <v>163472700</v>
      </c>
      <c r="P193" s="282" t="s">
        <v>4265</v>
      </c>
      <c r="Q193" s="321" t="s">
        <v>4266</v>
      </c>
      <c r="R193" s="282">
        <v>1004892</v>
      </c>
      <c r="S193" s="342">
        <v>4792500</v>
      </c>
      <c r="T193" s="285"/>
      <c r="U193" s="285"/>
      <c r="V193" s="285"/>
      <c r="W193" s="285"/>
      <c r="X193" s="285"/>
      <c r="Y193" s="285"/>
      <c r="Z193" s="285"/>
      <c r="AA193" s="285"/>
      <c r="AB193" s="285"/>
      <c r="AC193" s="285"/>
      <c r="AD193" s="285"/>
      <c r="AE193" s="285"/>
      <c r="AF193" s="285"/>
      <c r="AG193" s="285"/>
      <c r="AH193" s="285"/>
      <c r="AI193" s="285"/>
      <c r="AJ193" s="285"/>
      <c r="AK193" s="285"/>
      <c r="AL193" s="285"/>
      <c r="AM193" s="285"/>
      <c r="AN193" s="285"/>
      <c r="AO193" s="285"/>
      <c r="AP193" s="285"/>
      <c r="AQ193" s="285"/>
      <c r="AR193" s="285"/>
      <c r="AS193" s="285"/>
      <c r="AT193" s="285"/>
      <c r="AU193" s="285"/>
      <c r="AV193" s="285"/>
      <c r="AW193" s="285"/>
      <c r="AX193" s="285"/>
      <c r="AY193" s="285"/>
      <c r="AZ193" s="285"/>
      <c r="BA193" s="285"/>
      <c r="BB193" s="285"/>
      <c r="BC193" s="285"/>
      <c r="BD193" s="285"/>
      <c r="BE193" s="285"/>
      <c r="BF193" s="285"/>
      <c r="BG193" s="285"/>
      <c r="BH193" s="285"/>
      <c r="BI193" s="285"/>
      <c r="BJ193" s="285"/>
      <c r="BK193" s="285"/>
      <c r="BL193" s="285"/>
      <c r="BM193" s="285"/>
      <c r="BN193" s="285"/>
      <c r="BO193" s="285"/>
      <c r="BP193" s="285"/>
      <c r="BQ193" s="285"/>
      <c r="BR193" s="285"/>
      <c r="BS193" s="285"/>
      <c r="BT193" s="285"/>
      <c r="BU193" s="285"/>
      <c r="BV193" s="285"/>
      <c r="BW193" s="285"/>
      <c r="BX193" s="285"/>
      <c r="BY193" s="285"/>
      <c r="BZ193" s="285"/>
      <c r="CA193" s="285"/>
      <c r="CB193" s="285"/>
      <c r="CC193" s="285"/>
      <c r="CD193" s="285"/>
      <c r="CE193" s="285"/>
      <c r="CF193" s="285"/>
      <c r="CG193" s="285"/>
      <c r="CH193" s="285"/>
      <c r="CI193" s="285"/>
      <c r="CJ193" s="285"/>
      <c r="CK193" s="285"/>
      <c r="CL193" s="285"/>
      <c r="CM193" s="285"/>
      <c r="CN193" s="285"/>
      <c r="CO193" s="285"/>
      <c r="CP193" s="285"/>
      <c r="CQ193" s="285"/>
      <c r="CR193" s="285"/>
      <c r="CS193" s="285"/>
      <c r="CT193" s="285"/>
      <c r="CU193" s="285"/>
      <c r="CV193" s="285"/>
      <c r="CW193" s="285"/>
      <c r="CX193" s="285"/>
      <c r="CY193" s="285"/>
      <c r="CZ193" s="285"/>
      <c r="DA193" s="285"/>
      <c r="DB193" s="285"/>
      <c r="DC193" s="285"/>
      <c r="DD193" s="285"/>
      <c r="DE193" s="285"/>
      <c r="DF193" s="285"/>
      <c r="DG193" s="285"/>
      <c r="DH193" s="285"/>
      <c r="DI193" s="285"/>
      <c r="DJ193" s="285"/>
      <c r="DK193" s="285"/>
      <c r="DL193" s="285"/>
      <c r="DM193" s="285"/>
      <c r="DN193" s="285"/>
      <c r="DO193" s="285"/>
      <c r="DP193" s="285"/>
      <c r="DQ193" s="285"/>
      <c r="DR193" s="285"/>
      <c r="DS193" s="285"/>
      <c r="DT193" s="285"/>
      <c r="DU193" s="285"/>
      <c r="DV193" s="285"/>
      <c r="DW193" s="285"/>
      <c r="DX193" s="285"/>
      <c r="DY193" s="285"/>
      <c r="DZ193" s="285"/>
      <c r="EA193" s="285"/>
      <c r="EB193" s="285"/>
      <c r="EC193" s="285"/>
      <c r="ED193" s="285"/>
      <c r="EE193" s="285"/>
      <c r="EF193" s="285"/>
      <c r="EG193" s="285"/>
      <c r="EH193" s="285"/>
      <c r="EI193" s="285"/>
      <c r="EJ193" s="285"/>
      <c r="EK193" s="285"/>
      <c r="EL193" s="285"/>
      <c r="EM193" s="285"/>
      <c r="EN193" s="285"/>
      <c r="EO193" s="285"/>
      <c r="EP193" s="285"/>
      <c r="EQ193" s="285"/>
      <c r="ER193" s="285"/>
      <c r="ES193" s="285"/>
      <c r="ET193" s="285"/>
      <c r="EU193" s="285"/>
      <c r="EV193" s="285"/>
      <c r="EW193" s="285"/>
      <c r="EX193" s="285"/>
      <c r="EY193" s="285"/>
      <c r="EZ193" s="285"/>
      <c r="FA193" s="285"/>
      <c r="FB193" s="285"/>
      <c r="FC193" s="285"/>
      <c r="FD193" s="285"/>
      <c r="FE193" s="285"/>
      <c r="FF193" s="285"/>
      <c r="FG193" s="285"/>
      <c r="FH193" s="285"/>
      <c r="FI193" s="285"/>
      <c r="FJ193" s="285"/>
      <c r="FK193" s="285"/>
      <c r="FL193" s="285"/>
      <c r="FM193" s="285"/>
      <c r="FN193" s="285"/>
      <c r="FO193" s="285"/>
      <c r="FP193" s="285"/>
      <c r="FQ193" s="285"/>
      <c r="FR193" s="285"/>
      <c r="FS193" s="285"/>
      <c r="FT193" s="285"/>
      <c r="FU193" s="285"/>
      <c r="FV193" s="285"/>
      <c r="FW193" s="285"/>
      <c r="FX193" s="285"/>
      <c r="FY193" s="285"/>
      <c r="FZ193" s="285"/>
      <c r="GA193" s="285"/>
      <c r="GB193" s="285"/>
      <c r="GC193" s="285"/>
      <c r="GD193" s="285"/>
      <c r="GE193" s="285"/>
      <c r="GF193" s="285"/>
      <c r="GG193" s="285"/>
      <c r="GH193" s="285"/>
      <c r="GI193" s="285"/>
      <c r="GJ193" s="285"/>
      <c r="GK193" s="285"/>
      <c r="GL193" s="285"/>
      <c r="GM193" s="285"/>
      <c r="GN193" s="285"/>
      <c r="GO193" s="285"/>
      <c r="GP193" s="285"/>
      <c r="GQ193" s="285"/>
      <c r="GR193" s="285"/>
      <c r="GS193" s="285"/>
      <c r="GT193" s="285"/>
      <c r="GU193" s="285"/>
      <c r="GV193" s="285"/>
      <c r="GW193" s="285"/>
      <c r="GX193" s="285"/>
      <c r="GY193" s="285"/>
      <c r="GZ193" s="285"/>
    </row>
    <row r="194" spans="1:208" ht="15">
      <c r="A194" s="282">
        <v>42</v>
      </c>
      <c r="B194" s="332">
        <v>44850</v>
      </c>
      <c r="C194" s="333">
        <v>1093247</v>
      </c>
      <c r="D194" s="342" t="s">
        <v>4490</v>
      </c>
      <c r="E194" s="333" t="s">
        <v>4412</v>
      </c>
      <c r="F194" s="333" t="s">
        <v>4251</v>
      </c>
      <c r="G194" s="333">
        <v>3190</v>
      </c>
      <c r="H194" s="333">
        <v>56</v>
      </c>
      <c r="I194" s="342">
        <v>4502432249</v>
      </c>
      <c r="J194" s="333">
        <v>3025457</v>
      </c>
      <c r="K194" s="282">
        <v>4902366628</v>
      </c>
      <c r="L194" s="282" t="s">
        <v>4252</v>
      </c>
      <c r="M194" s="283">
        <v>26990</v>
      </c>
      <c r="N194" s="367">
        <v>8150</v>
      </c>
      <c r="O194" s="284">
        <f t="shared" si="24"/>
        <v>219968500</v>
      </c>
      <c r="P194" s="285">
        <f>H194/14</f>
        <v>4</v>
      </c>
      <c r="Q194" s="321" t="s">
        <v>3455</v>
      </c>
      <c r="R194" s="282">
        <v>1040968</v>
      </c>
      <c r="S194" s="334">
        <f>1793900*4</f>
        <v>7175600</v>
      </c>
      <c r="T194" s="285"/>
      <c r="U194" s="285"/>
      <c r="V194" s="285"/>
      <c r="W194" s="285"/>
      <c r="X194" s="285"/>
      <c r="Y194" s="285"/>
      <c r="Z194" s="285"/>
      <c r="AA194" s="285"/>
      <c r="AB194" s="285"/>
      <c r="AC194" s="285"/>
      <c r="AD194" s="285"/>
      <c r="AE194" s="285"/>
      <c r="AF194" s="285"/>
      <c r="AG194" s="285"/>
      <c r="AH194" s="285"/>
      <c r="AI194" s="285"/>
      <c r="AJ194" s="285"/>
      <c r="AK194" s="285"/>
      <c r="AL194" s="285"/>
      <c r="AM194" s="285"/>
      <c r="AN194" s="285"/>
      <c r="AO194" s="285"/>
      <c r="AP194" s="285"/>
      <c r="AQ194" s="285"/>
      <c r="AR194" s="285"/>
      <c r="AS194" s="285"/>
      <c r="AT194" s="285"/>
      <c r="AU194" s="285"/>
      <c r="AV194" s="285"/>
      <c r="AW194" s="285"/>
      <c r="AX194" s="285"/>
      <c r="AY194" s="285"/>
      <c r="AZ194" s="285"/>
      <c r="BA194" s="285"/>
      <c r="BB194" s="285"/>
      <c r="BC194" s="285"/>
      <c r="BD194" s="285"/>
      <c r="BE194" s="285"/>
      <c r="BF194" s="285"/>
      <c r="BG194" s="285"/>
      <c r="BH194" s="285"/>
      <c r="BI194" s="285"/>
      <c r="BJ194" s="285"/>
      <c r="BK194" s="285"/>
      <c r="BL194" s="285"/>
      <c r="BM194" s="285"/>
      <c r="BN194" s="285"/>
      <c r="BO194" s="285"/>
      <c r="BP194" s="285"/>
      <c r="BQ194" s="285"/>
      <c r="BR194" s="285"/>
      <c r="BS194" s="285"/>
      <c r="BT194" s="285"/>
      <c r="BU194" s="285"/>
      <c r="BV194" s="285"/>
      <c r="BW194" s="285"/>
      <c r="BX194" s="285"/>
      <c r="BY194" s="285"/>
      <c r="BZ194" s="285"/>
      <c r="CA194" s="285"/>
      <c r="CB194" s="285"/>
      <c r="CC194" s="285"/>
      <c r="CD194" s="285"/>
      <c r="CE194" s="285"/>
      <c r="CF194" s="285"/>
      <c r="CG194" s="285"/>
      <c r="CH194" s="285"/>
      <c r="CI194" s="285"/>
      <c r="CJ194" s="285"/>
      <c r="CK194" s="285"/>
      <c r="CL194" s="285"/>
      <c r="CM194" s="285"/>
      <c r="CN194" s="285"/>
      <c r="CO194" s="285"/>
      <c r="CP194" s="285"/>
      <c r="CQ194" s="285"/>
      <c r="CR194" s="285"/>
      <c r="CS194" s="285"/>
      <c r="CT194" s="285"/>
      <c r="CU194" s="285"/>
      <c r="CV194" s="285"/>
      <c r="CW194" s="285"/>
      <c r="CX194" s="285"/>
      <c r="CY194" s="285"/>
      <c r="CZ194" s="285"/>
      <c r="DA194" s="285"/>
      <c r="DB194" s="285"/>
      <c r="DC194" s="285"/>
      <c r="DD194" s="285"/>
      <c r="DE194" s="285"/>
      <c r="DF194" s="285"/>
      <c r="DG194" s="285"/>
      <c r="DH194" s="285"/>
      <c r="DI194" s="285"/>
      <c r="DJ194" s="285"/>
      <c r="DK194" s="285"/>
      <c r="DL194" s="285"/>
      <c r="DM194" s="285"/>
      <c r="DN194" s="285"/>
      <c r="DO194" s="285"/>
      <c r="DP194" s="285"/>
      <c r="DQ194" s="285"/>
      <c r="DR194" s="285"/>
      <c r="DS194" s="285"/>
      <c r="DT194" s="285"/>
      <c r="DU194" s="285"/>
      <c r="DV194" s="285"/>
      <c r="DW194" s="285"/>
      <c r="DX194" s="285"/>
      <c r="DY194" s="285"/>
      <c r="DZ194" s="285"/>
      <c r="EA194" s="285"/>
      <c r="EB194" s="285"/>
      <c r="EC194" s="285"/>
      <c r="ED194" s="285"/>
      <c r="EE194" s="285"/>
      <c r="EF194" s="285"/>
      <c r="EG194" s="285"/>
      <c r="EH194" s="285"/>
      <c r="EI194" s="285"/>
      <c r="EJ194" s="285"/>
      <c r="EK194" s="285"/>
      <c r="EL194" s="285"/>
      <c r="EM194" s="285"/>
      <c r="EN194" s="285"/>
      <c r="EO194" s="285"/>
      <c r="EP194" s="285"/>
      <c r="EQ194" s="285"/>
      <c r="ER194" s="285"/>
      <c r="ES194" s="285"/>
      <c r="ET194" s="285"/>
      <c r="EU194" s="285"/>
      <c r="EV194" s="285"/>
      <c r="EW194" s="285"/>
      <c r="EX194" s="285"/>
      <c r="EY194" s="285"/>
      <c r="EZ194" s="285"/>
      <c r="FA194" s="285"/>
      <c r="FB194" s="285"/>
      <c r="FC194" s="285"/>
      <c r="FD194" s="285"/>
      <c r="FE194" s="285"/>
      <c r="FF194" s="285"/>
      <c r="FG194" s="285"/>
      <c r="FH194" s="285"/>
      <c r="FI194" s="285"/>
      <c r="FJ194" s="285"/>
      <c r="FK194" s="285"/>
      <c r="FL194" s="285"/>
      <c r="FM194" s="285"/>
      <c r="FN194" s="285"/>
      <c r="FO194" s="285"/>
      <c r="FP194" s="285"/>
      <c r="FQ194" s="285"/>
      <c r="FR194" s="285"/>
      <c r="FS194" s="285"/>
      <c r="FT194" s="285"/>
      <c r="FU194" s="285"/>
      <c r="FV194" s="285"/>
      <c r="FW194" s="285"/>
      <c r="FX194" s="285"/>
      <c r="FY194" s="285"/>
      <c r="FZ194" s="285"/>
      <c r="GA194" s="285"/>
      <c r="GB194" s="285"/>
      <c r="GC194" s="285"/>
      <c r="GD194" s="285"/>
      <c r="GE194" s="285"/>
      <c r="GF194" s="285"/>
      <c r="GG194" s="285"/>
      <c r="GH194" s="285"/>
      <c r="GI194" s="285"/>
      <c r="GJ194" s="285"/>
      <c r="GK194" s="285"/>
      <c r="GL194" s="285"/>
      <c r="GM194" s="285"/>
      <c r="GN194" s="285"/>
      <c r="GO194" s="285"/>
      <c r="GP194" s="285"/>
      <c r="GQ194" s="285"/>
      <c r="GR194" s="285"/>
      <c r="GS194" s="285"/>
      <c r="GT194" s="285"/>
      <c r="GU194" s="285"/>
      <c r="GV194" s="285"/>
      <c r="GW194" s="285"/>
      <c r="GX194" s="285"/>
      <c r="GY194" s="285"/>
      <c r="GZ194" s="285"/>
    </row>
    <row r="195" spans="1:208" ht="15">
      <c r="A195" s="282">
        <v>42</v>
      </c>
      <c r="B195" s="332">
        <v>44850</v>
      </c>
      <c r="C195" s="333">
        <v>1116838</v>
      </c>
      <c r="D195" s="342" t="s">
        <v>4491</v>
      </c>
      <c r="E195" s="333" t="s">
        <v>4492</v>
      </c>
      <c r="F195" s="333" t="s">
        <v>4275</v>
      </c>
      <c r="G195" s="333">
        <v>3173</v>
      </c>
      <c r="H195" s="333">
        <v>13</v>
      </c>
      <c r="I195" s="282">
        <v>4502432253</v>
      </c>
      <c r="J195" s="333">
        <v>3025459</v>
      </c>
      <c r="K195" s="282">
        <v>4902366630</v>
      </c>
      <c r="L195" s="282" t="s">
        <v>4252</v>
      </c>
      <c r="M195" s="283">
        <v>8171</v>
      </c>
      <c r="N195" s="367">
        <v>8050</v>
      </c>
      <c r="O195" s="284">
        <f t="shared" si="24"/>
        <v>65776550</v>
      </c>
      <c r="P195" s="282">
        <v>1</v>
      </c>
      <c r="Q195" s="321" t="s">
        <v>3455</v>
      </c>
      <c r="R195" s="282">
        <v>1040968</v>
      </c>
      <c r="S195" s="358">
        <v>2860900</v>
      </c>
      <c r="T195" s="285"/>
      <c r="U195" s="285"/>
      <c r="V195" s="285"/>
      <c r="W195" s="285"/>
      <c r="X195" s="285"/>
      <c r="Y195" s="285"/>
      <c r="Z195" s="285"/>
      <c r="AA195" s="285"/>
      <c r="AB195" s="285"/>
      <c r="AC195" s="285"/>
      <c r="AD195" s="285"/>
      <c r="AE195" s="285"/>
      <c r="AF195" s="285"/>
      <c r="AG195" s="285"/>
      <c r="AH195" s="285"/>
      <c r="AI195" s="285"/>
      <c r="AJ195" s="285"/>
      <c r="AK195" s="285"/>
      <c r="AL195" s="285"/>
      <c r="AM195" s="285"/>
      <c r="AN195" s="285"/>
      <c r="AO195" s="285"/>
      <c r="AP195" s="285"/>
      <c r="AQ195" s="285"/>
      <c r="AR195" s="285"/>
      <c r="AS195" s="285"/>
      <c r="AT195" s="285"/>
      <c r="AU195" s="285"/>
      <c r="AV195" s="285"/>
      <c r="AW195" s="285"/>
      <c r="AX195" s="285"/>
      <c r="AY195" s="285"/>
      <c r="AZ195" s="285"/>
      <c r="BA195" s="285"/>
      <c r="BB195" s="285"/>
      <c r="BC195" s="285"/>
      <c r="BD195" s="285"/>
      <c r="BE195" s="285"/>
      <c r="BF195" s="285"/>
      <c r="BG195" s="285"/>
      <c r="BH195" s="285"/>
      <c r="BI195" s="285"/>
      <c r="BJ195" s="285"/>
      <c r="BK195" s="285"/>
      <c r="BL195" s="285"/>
      <c r="BM195" s="285"/>
      <c r="BN195" s="285"/>
      <c r="BO195" s="285"/>
      <c r="BP195" s="285"/>
      <c r="BQ195" s="285"/>
      <c r="BR195" s="285"/>
      <c r="BS195" s="285"/>
      <c r="BT195" s="285"/>
      <c r="BU195" s="285"/>
      <c r="BV195" s="285"/>
      <c r="BW195" s="285"/>
      <c r="BX195" s="285"/>
      <c r="BY195" s="285"/>
      <c r="BZ195" s="285"/>
      <c r="CA195" s="285"/>
      <c r="CB195" s="285"/>
      <c r="CC195" s="285"/>
      <c r="CD195" s="285"/>
      <c r="CE195" s="285"/>
      <c r="CF195" s="285"/>
      <c r="CG195" s="285"/>
      <c r="CH195" s="285"/>
      <c r="CI195" s="285"/>
      <c r="CJ195" s="285"/>
      <c r="CK195" s="285"/>
      <c r="CL195" s="285"/>
      <c r="CM195" s="285"/>
      <c r="CN195" s="285"/>
      <c r="CO195" s="285"/>
      <c r="CP195" s="285"/>
      <c r="CQ195" s="285"/>
      <c r="CR195" s="285"/>
      <c r="CS195" s="285"/>
      <c r="CT195" s="285"/>
      <c r="CU195" s="285"/>
      <c r="CV195" s="285"/>
      <c r="CW195" s="285"/>
      <c r="CX195" s="285"/>
      <c r="CY195" s="285"/>
      <c r="CZ195" s="285"/>
      <c r="DA195" s="285"/>
      <c r="DB195" s="285"/>
      <c r="DC195" s="285"/>
      <c r="DD195" s="285"/>
      <c r="DE195" s="285"/>
      <c r="DF195" s="285"/>
      <c r="DG195" s="285"/>
      <c r="DH195" s="285"/>
      <c r="DI195" s="285"/>
      <c r="DJ195" s="285"/>
      <c r="DK195" s="285"/>
      <c r="DL195" s="285"/>
      <c r="DM195" s="285"/>
      <c r="DN195" s="285"/>
      <c r="DO195" s="285"/>
      <c r="DP195" s="285"/>
      <c r="DQ195" s="285"/>
      <c r="DR195" s="285"/>
      <c r="DS195" s="285"/>
      <c r="DT195" s="285"/>
      <c r="DU195" s="285"/>
      <c r="DV195" s="285"/>
      <c r="DW195" s="285"/>
      <c r="DX195" s="285"/>
      <c r="DY195" s="285"/>
      <c r="DZ195" s="285"/>
      <c r="EA195" s="285"/>
      <c r="EB195" s="285"/>
      <c r="EC195" s="285"/>
      <c r="ED195" s="285"/>
      <c r="EE195" s="285"/>
      <c r="EF195" s="285"/>
      <c r="EG195" s="285"/>
      <c r="EH195" s="285"/>
      <c r="EI195" s="285"/>
      <c r="EJ195" s="285"/>
      <c r="EK195" s="285"/>
      <c r="EL195" s="285"/>
      <c r="EM195" s="285"/>
      <c r="EN195" s="285"/>
      <c r="EO195" s="285"/>
      <c r="EP195" s="285"/>
      <c r="EQ195" s="285"/>
      <c r="ER195" s="285"/>
      <c r="ES195" s="285"/>
      <c r="ET195" s="285"/>
      <c r="EU195" s="285"/>
      <c r="EV195" s="285"/>
      <c r="EW195" s="285"/>
      <c r="EX195" s="285"/>
      <c r="EY195" s="285"/>
      <c r="EZ195" s="285"/>
      <c r="FA195" s="285"/>
      <c r="FB195" s="285"/>
      <c r="FC195" s="285"/>
      <c r="FD195" s="285"/>
      <c r="FE195" s="285"/>
      <c r="FF195" s="285"/>
      <c r="FG195" s="285"/>
      <c r="FH195" s="285"/>
      <c r="FI195" s="285"/>
      <c r="FJ195" s="285"/>
      <c r="FK195" s="285"/>
      <c r="FL195" s="285"/>
      <c r="FM195" s="285"/>
      <c r="FN195" s="285"/>
      <c r="FO195" s="285"/>
      <c r="FP195" s="285"/>
      <c r="FQ195" s="285"/>
      <c r="FR195" s="285"/>
      <c r="FS195" s="285"/>
      <c r="FT195" s="285"/>
      <c r="FU195" s="285"/>
      <c r="FV195" s="285"/>
      <c r="FW195" s="285"/>
      <c r="FX195" s="285"/>
      <c r="FY195" s="285"/>
      <c r="FZ195" s="285"/>
      <c r="GA195" s="285"/>
      <c r="GB195" s="285"/>
      <c r="GC195" s="285"/>
      <c r="GD195" s="285"/>
      <c r="GE195" s="285"/>
      <c r="GF195" s="285"/>
      <c r="GG195" s="285"/>
      <c r="GH195" s="285"/>
      <c r="GI195" s="285"/>
      <c r="GJ195" s="285"/>
      <c r="GK195" s="285"/>
      <c r="GL195" s="285"/>
      <c r="GM195" s="285"/>
      <c r="GN195" s="285"/>
      <c r="GO195" s="285"/>
      <c r="GP195" s="285"/>
      <c r="GQ195" s="285"/>
      <c r="GR195" s="285"/>
      <c r="GS195" s="285"/>
      <c r="GT195" s="285"/>
      <c r="GU195" s="285"/>
      <c r="GV195" s="285"/>
      <c r="GW195" s="285"/>
      <c r="GX195" s="285"/>
      <c r="GY195" s="285"/>
      <c r="GZ195" s="285"/>
    </row>
    <row r="196" spans="1:208" ht="15">
      <c r="A196" s="282">
        <v>42</v>
      </c>
      <c r="B196" s="332">
        <v>44850</v>
      </c>
      <c r="C196" s="333">
        <v>1102323</v>
      </c>
      <c r="D196" s="342" t="s">
        <v>4493</v>
      </c>
      <c r="E196" s="333" t="s">
        <v>4330</v>
      </c>
      <c r="F196" s="333" t="s">
        <v>4275</v>
      </c>
      <c r="G196" s="333">
        <v>3199</v>
      </c>
      <c r="H196" s="333">
        <v>28</v>
      </c>
      <c r="I196" s="342">
        <v>4502432265</v>
      </c>
      <c r="J196" s="333">
        <v>3025459</v>
      </c>
      <c r="K196" s="282">
        <v>4902366631</v>
      </c>
      <c r="L196" s="282" t="s">
        <v>4252</v>
      </c>
      <c r="M196" s="283">
        <v>14549</v>
      </c>
      <c r="N196" s="367">
        <v>8050</v>
      </c>
      <c r="O196" s="284">
        <f t="shared" si="24"/>
        <v>117119450</v>
      </c>
      <c r="P196" s="285">
        <f>H196/14</f>
        <v>2</v>
      </c>
      <c r="Q196" s="321" t="s">
        <v>3455</v>
      </c>
      <c r="R196" s="282">
        <v>1040968</v>
      </c>
      <c r="S196" s="358">
        <v>2982600</v>
      </c>
      <c r="T196" s="285"/>
      <c r="U196" s="285"/>
      <c r="V196" s="285"/>
      <c r="W196" s="285"/>
      <c r="X196" s="285"/>
      <c r="Y196" s="285"/>
      <c r="Z196" s="285"/>
      <c r="AA196" s="285"/>
      <c r="AB196" s="285"/>
      <c r="AC196" s="285"/>
      <c r="AD196" s="285"/>
      <c r="AE196" s="285"/>
      <c r="AF196" s="285"/>
      <c r="AG196" s="285"/>
      <c r="AH196" s="285"/>
      <c r="AI196" s="285"/>
      <c r="AJ196" s="285"/>
      <c r="AK196" s="285"/>
      <c r="AL196" s="285"/>
      <c r="AM196" s="285"/>
      <c r="AN196" s="285"/>
      <c r="AO196" s="285"/>
      <c r="AP196" s="285"/>
      <c r="AQ196" s="285"/>
      <c r="AR196" s="285"/>
      <c r="AS196" s="285"/>
      <c r="AT196" s="285"/>
      <c r="AU196" s="285"/>
      <c r="AV196" s="285"/>
      <c r="AW196" s="285"/>
      <c r="AX196" s="285"/>
      <c r="AY196" s="285"/>
      <c r="AZ196" s="285"/>
      <c r="BA196" s="285"/>
      <c r="BB196" s="285"/>
      <c r="BC196" s="285"/>
      <c r="BD196" s="285"/>
      <c r="BE196" s="285"/>
      <c r="BF196" s="285"/>
      <c r="BG196" s="285"/>
      <c r="BH196" s="285"/>
      <c r="BI196" s="285"/>
      <c r="BJ196" s="285"/>
      <c r="BK196" s="285"/>
      <c r="BL196" s="285"/>
      <c r="BM196" s="285"/>
      <c r="BN196" s="285"/>
      <c r="BO196" s="285"/>
      <c r="BP196" s="285"/>
      <c r="BQ196" s="285"/>
      <c r="BR196" s="285"/>
      <c r="BS196" s="285"/>
      <c r="BT196" s="285"/>
      <c r="BU196" s="285"/>
      <c r="BV196" s="285"/>
      <c r="BW196" s="285"/>
      <c r="BX196" s="285"/>
      <c r="BY196" s="285"/>
      <c r="BZ196" s="285"/>
      <c r="CA196" s="285"/>
      <c r="CB196" s="285"/>
      <c r="CC196" s="285"/>
      <c r="CD196" s="285"/>
      <c r="CE196" s="285"/>
      <c r="CF196" s="285"/>
      <c r="CG196" s="285"/>
      <c r="CH196" s="285"/>
      <c r="CI196" s="285"/>
      <c r="CJ196" s="285"/>
      <c r="CK196" s="285"/>
      <c r="CL196" s="285"/>
      <c r="CM196" s="285"/>
      <c r="CN196" s="285"/>
      <c r="CO196" s="285"/>
      <c r="CP196" s="285"/>
      <c r="CQ196" s="285"/>
      <c r="CR196" s="285"/>
      <c r="CS196" s="285"/>
      <c r="CT196" s="285"/>
      <c r="CU196" s="285"/>
      <c r="CV196" s="285"/>
      <c r="CW196" s="285"/>
      <c r="CX196" s="285"/>
      <c r="CY196" s="285"/>
      <c r="CZ196" s="285"/>
      <c r="DA196" s="285"/>
      <c r="DB196" s="285"/>
      <c r="DC196" s="285"/>
      <c r="DD196" s="285"/>
      <c r="DE196" s="285"/>
      <c r="DF196" s="285"/>
      <c r="DG196" s="285"/>
      <c r="DH196" s="285"/>
      <c r="DI196" s="285"/>
      <c r="DJ196" s="285"/>
      <c r="DK196" s="285"/>
      <c r="DL196" s="285"/>
      <c r="DM196" s="285"/>
      <c r="DN196" s="285"/>
      <c r="DO196" s="285"/>
      <c r="DP196" s="285"/>
      <c r="DQ196" s="285"/>
      <c r="DR196" s="285"/>
      <c r="DS196" s="285"/>
      <c r="DT196" s="285"/>
      <c r="DU196" s="285"/>
      <c r="DV196" s="285"/>
      <c r="DW196" s="285"/>
      <c r="DX196" s="285"/>
      <c r="DY196" s="285"/>
      <c r="DZ196" s="285"/>
      <c r="EA196" s="285"/>
      <c r="EB196" s="285"/>
      <c r="EC196" s="285"/>
      <c r="ED196" s="285"/>
      <c r="EE196" s="285"/>
      <c r="EF196" s="285"/>
      <c r="EG196" s="285"/>
      <c r="EH196" s="285"/>
      <c r="EI196" s="285"/>
      <c r="EJ196" s="285"/>
      <c r="EK196" s="285"/>
      <c r="EL196" s="285"/>
      <c r="EM196" s="285"/>
      <c r="EN196" s="285"/>
      <c r="EO196" s="285"/>
      <c r="EP196" s="285"/>
      <c r="EQ196" s="285"/>
      <c r="ER196" s="285"/>
      <c r="ES196" s="285"/>
      <c r="ET196" s="285"/>
      <c r="EU196" s="285"/>
      <c r="EV196" s="285"/>
      <c r="EW196" s="285"/>
      <c r="EX196" s="285"/>
      <c r="EY196" s="285"/>
      <c r="EZ196" s="285"/>
      <c r="FA196" s="285"/>
      <c r="FB196" s="285"/>
      <c r="FC196" s="285"/>
      <c r="FD196" s="285"/>
      <c r="FE196" s="285"/>
      <c r="FF196" s="285"/>
      <c r="FG196" s="285"/>
      <c r="FH196" s="285"/>
      <c r="FI196" s="285"/>
      <c r="FJ196" s="285"/>
      <c r="FK196" s="285"/>
      <c r="FL196" s="285"/>
      <c r="FM196" s="285"/>
      <c r="FN196" s="285"/>
      <c r="FO196" s="285"/>
      <c r="FP196" s="285"/>
      <c r="FQ196" s="285"/>
      <c r="FR196" s="285"/>
      <c r="FS196" s="285"/>
      <c r="FT196" s="285"/>
      <c r="FU196" s="285"/>
      <c r="FV196" s="285"/>
      <c r="FW196" s="285"/>
      <c r="FX196" s="285"/>
      <c r="FY196" s="285"/>
      <c r="FZ196" s="285"/>
      <c r="GA196" s="285"/>
      <c r="GB196" s="285"/>
      <c r="GC196" s="285"/>
      <c r="GD196" s="285"/>
      <c r="GE196" s="285"/>
      <c r="GF196" s="285"/>
      <c r="GG196" s="285"/>
      <c r="GH196" s="285"/>
      <c r="GI196" s="285"/>
      <c r="GJ196" s="285"/>
      <c r="GK196" s="285"/>
      <c r="GL196" s="285"/>
      <c r="GM196" s="285"/>
      <c r="GN196" s="285"/>
      <c r="GO196" s="285"/>
      <c r="GP196" s="285"/>
      <c r="GQ196" s="285"/>
      <c r="GR196" s="285"/>
      <c r="GS196" s="285"/>
      <c r="GT196" s="285"/>
      <c r="GU196" s="285"/>
      <c r="GV196" s="285"/>
      <c r="GW196" s="285"/>
      <c r="GX196" s="285"/>
      <c r="GY196" s="285"/>
      <c r="GZ196" s="285"/>
    </row>
    <row r="197" spans="1:208" ht="15">
      <c r="A197" s="282">
        <v>42</v>
      </c>
      <c r="B197" s="332">
        <v>44852</v>
      </c>
      <c r="C197" s="333">
        <v>1084015</v>
      </c>
      <c r="D197" s="342" t="s">
        <v>4494</v>
      </c>
      <c r="E197" s="333" t="s">
        <v>4479</v>
      </c>
      <c r="F197" s="333" t="s">
        <v>4251</v>
      </c>
      <c r="G197" s="333">
        <v>3148</v>
      </c>
      <c r="H197" s="356">
        <v>28</v>
      </c>
      <c r="I197" s="282">
        <v>4502432268</v>
      </c>
      <c r="J197" s="333">
        <v>3025457</v>
      </c>
      <c r="K197" s="282">
        <v>4902366632</v>
      </c>
      <c r="L197" s="282" t="s">
        <v>4252</v>
      </c>
      <c r="M197" s="283">
        <v>12758</v>
      </c>
      <c r="N197" s="367">
        <v>8150</v>
      </c>
      <c r="O197" s="284">
        <f t="shared" si="24"/>
        <v>103977700</v>
      </c>
      <c r="P197" s="282">
        <v>2</v>
      </c>
      <c r="Q197" s="321" t="s">
        <v>3455</v>
      </c>
      <c r="R197" s="282">
        <v>1040968</v>
      </c>
      <c r="S197" s="334">
        <f>1623900*2</f>
        <v>3247800</v>
      </c>
      <c r="T197" s="285"/>
      <c r="U197" s="285"/>
      <c r="V197" s="285"/>
      <c r="W197" s="285"/>
      <c r="X197" s="285"/>
      <c r="Y197" s="285"/>
      <c r="Z197" s="285"/>
      <c r="AA197" s="285"/>
      <c r="AB197" s="285"/>
      <c r="AC197" s="285"/>
      <c r="AD197" s="285"/>
      <c r="AE197" s="285"/>
      <c r="AF197" s="285"/>
      <c r="AG197" s="285"/>
      <c r="AH197" s="285"/>
      <c r="AI197" s="285"/>
      <c r="AJ197" s="285"/>
      <c r="AK197" s="285"/>
      <c r="AL197" s="285"/>
      <c r="AM197" s="285"/>
      <c r="AN197" s="285"/>
      <c r="AO197" s="285"/>
      <c r="AP197" s="285"/>
      <c r="AQ197" s="285"/>
      <c r="AR197" s="285"/>
      <c r="AS197" s="285"/>
      <c r="AT197" s="285"/>
      <c r="AU197" s="285"/>
      <c r="AV197" s="285"/>
      <c r="AW197" s="285"/>
      <c r="AX197" s="285"/>
      <c r="AY197" s="285"/>
      <c r="AZ197" s="285"/>
      <c r="BA197" s="285"/>
      <c r="BB197" s="285"/>
      <c r="BC197" s="285"/>
      <c r="BD197" s="285"/>
      <c r="BE197" s="285"/>
      <c r="BF197" s="285"/>
      <c r="BG197" s="285"/>
      <c r="BH197" s="285"/>
      <c r="BI197" s="285"/>
      <c r="BJ197" s="285"/>
      <c r="BK197" s="285"/>
      <c r="BL197" s="285"/>
      <c r="BM197" s="285"/>
      <c r="BN197" s="285"/>
      <c r="BO197" s="285"/>
      <c r="BP197" s="285"/>
      <c r="BQ197" s="285"/>
      <c r="BR197" s="285"/>
      <c r="BS197" s="285"/>
      <c r="BT197" s="285"/>
      <c r="BU197" s="285"/>
      <c r="BV197" s="285"/>
      <c r="BW197" s="285"/>
      <c r="BX197" s="285"/>
      <c r="BY197" s="285"/>
      <c r="BZ197" s="285"/>
      <c r="CA197" s="285"/>
      <c r="CB197" s="285"/>
      <c r="CC197" s="285"/>
      <c r="CD197" s="285"/>
      <c r="CE197" s="285"/>
      <c r="CF197" s="285"/>
      <c r="CG197" s="285"/>
      <c r="CH197" s="285"/>
      <c r="CI197" s="285"/>
      <c r="CJ197" s="285"/>
      <c r="CK197" s="285"/>
      <c r="CL197" s="285"/>
      <c r="CM197" s="285"/>
      <c r="CN197" s="285"/>
      <c r="CO197" s="285"/>
      <c r="CP197" s="285"/>
      <c r="CQ197" s="285"/>
      <c r="CR197" s="285"/>
      <c r="CS197" s="285"/>
      <c r="CT197" s="285"/>
      <c r="CU197" s="285"/>
      <c r="CV197" s="285"/>
      <c r="CW197" s="285"/>
      <c r="CX197" s="285"/>
      <c r="CY197" s="285"/>
      <c r="CZ197" s="285"/>
      <c r="DA197" s="285"/>
      <c r="DB197" s="285"/>
      <c r="DC197" s="285"/>
      <c r="DD197" s="285"/>
      <c r="DE197" s="285"/>
      <c r="DF197" s="285"/>
      <c r="DG197" s="285"/>
      <c r="DH197" s="285"/>
      <c r="DI197" s="285"/>
      <c r="DJ197" s="285"/>
      <c r="DK197" s="285"/>
      <c r="DL197" s="285"/>
      <c r="DM197" s="285"/>
      <c r="DN197" s="285"/>
      <c r="DO197" s="285"/>
      <c r="DP197" s="285"/>
      <c r="DQ197" s="285"/>
      <c r="DR197" s="285"/>
      <c r="DS197" s="285"/>
      <c r="DT197" s="285"/>
      <c r="DU197" s="285"/>
      <c r="DV197" s="285"/>
      <c r="DW197" s="285"/>
      <c r="DX197" s="285"/>
      <c r="DY197" s="285"/>
      <c r="DZ197" s="285"/>
      <c r="EA197" s="285"/>
      <c r="EB197" s="285"/>
      <c r="EC197" s="285"/>
      <c r="ED197" s="285"/>
      <c r="EE197" s="285"/>
      <c r="EF197" s="285"/>
      <c r="EG197" s="285"/>
      <c r="EH197" s="285"/>
      <c r="EI197" s="285"/>
      <c r="EJ197" s="285"/>
      <c r="EK197" s="285"/>
      <c r="EL197" s="285"/>
      <c r="EM197" s="285"/>
      <c r="EN197" s="285"/>
      <c r="EO197" s="285"/>
      <c r="EP197" s="285"/>
      <c r="EQ197" s="285"/>
      <c r="ER197" s="285"/>
      <c r="ES197" s="285"/>
      <c r="ET197" s="285"/>
      <c r="EU197" s="285"/>
      <c r="EV197" s="285"/>
      <c r="EW197" s="285"/>
      <c r="EX197" s="285"/>
      <c r="EY197" s="285"/>
      <c r="EZ197" s="285"/>
      <c r="FA197" s="285"/>
      <c r="FB197" s="285"/>
      <c r="FC197" s="285"/>
      <c r="FD197" s="285"/>
      <c r="FE197" s="285"/>
      <c r="FF197" s="285"/>
      <c r="FG197" s="285"/>
      <c r="FH197" s="285"/>
      <c r="FI197" s="285"/>
      <c r="FJ197" s="285"/>
      <c r="FK197" s="285"/>
      <c r="FL197" s="285"/>
      <c r="FM197" s="285"/>
      <c r="FN197" s="285"/>
      <c r="FO197" s="285"/>
      <c r="FP197" s="285"/>
      <c r="FQ197" s="285"/>
      <c r="FR197" s="285"/>
      <c r="FS197" s="285"/>
      <c r="FT197" s="285"/>
      <c r="FU197" s="285"/>
      <c r="FV197" s="285"/>
      <c r="FW197" s="285"/>
      <c r="FX197" s="285"/>
      <c r="FY197" s="285"/>
      <c r="FZ197" s="285"/>
      <c r="GA197" s="285"/>
      <c r="GB197" s="285"/>
      <c r="GC197" s="285"/>
      <c r="GD197" s="285"/>
      <c r="GE197" s="285"/>
      <c r="GF197" s="285"/>
      <c r="GG197" s="285"/>
      <c r="GH197" s="285"/>
      <c r="GI197" s="285"/>
      <c r="GJ197" s="285"/>
      <c r="GK197" s="285"/>
      <c r="GL197" s="285"/>
      <c r="GM197" s="285"/>
      <c r="GN197" s="285"/>
      <c r="GO197" s="285"/>
      <c r="GP197" s="285"/>
      <c r="GQ197" s="285"/>
      <c r="GR197" s="285"/>
      <c r="GS197" s="285"/>
      <c r="GT197" s="285"/>
      <c r="GU197" s="285"/>
      <c r="GV197" s="285"/>
      <c r="GW197" s="285"/>
      <c r="GX197" s="285"/>
      <c r="GY197" s="285"/>
      <c r="GZ197" s="285"/>
    </row>
    <row r="198" spans="1:208" ht="15">
      <c r="A198" s="520">
        <v>42</v>
      </c>
      <c r="B198" s="521">
        <v>44852</v>
      </c>
      <c r="C198" s="517">
        <v>1036751</v>
      </c>
      <c r="D198" s="342" t="s">
        <v>4495</v>
      </c>
      <c r="E198" s="517" t="s">
        <v>4450</v>
      </c>
      <c r="F198" s="517" t="s">
        <v>4251</v>
      </c>
      <c r="G198" s="517">
        <v>3180</v>
      </c>
      <c r="H198" s="333">
        <v>42</v>
      </c>
      <c r="I198" s="517">
        <v>4502428887</v>
      </c>
      <c r="J198" s="333">
        <v>3025457</v>
      </c>
      <c r="K198" s="517">
        <v>4902366643</v>
      </c>
      <c r="L198" s="520" t="s">
        <v>4252</v>
      </c>
      <c r="M198" s="283">
        <v>21808.799999999999</v>
      </c>
      <c r="N198" s="367">
        <v>9335</v>
      </c>
      <c r="O198" s="284">
        <f t="shared" si="24"/>
        <v>203585148</v>
      </c>
      <c r="P198" s="285">
        <f t="shared" ref="P198:P200" si="34">H198/14</f>
        <v>3</v>
      </c>
      <c r="Q198" s="517" t="s">
        <v>3455</v>
      </c>
      <c r="R198" s="520">
        <v>1040968</v>
      </c>
      <c r="S198" s="517">
        <v>11690000</v>
      </c>
      <c r="T198" s="285"/>
      <c r="U198" s="285"/>
      <c r="V198" s="285"/>
      <c r="W198" s="285"/>
      <c r="X198" s="285"/>
      <c r="Y198" s="285"/>
      <c r="Z198" s="285"/>
      <c r="AA198" s="285"/>
      <c r="AB198" s="285"/>
      <c r="AC198" s="285"/>
      <c r="AD198" s="285"/>
      <c r="AE198" s="285"/>
      <c r="AF198" s="285"/>
      <c r="AG198" s="285"/>
      <c r="AH198" s="285"/>
      <c r="AI198" s="285"/>
      <c r="AJ198" s="285"/>
      <c r="AK198" s="285"/>
      <c r="AL198" s="285"/>
      <c r="AM198" s="285"/>
      <c r="AN198" s="285"/>
      <c r="AO198" s="285"/>
      <c r="AP198" s="285"/>
      <c r="AQ198" s="285"/>
      <c r="AR198" s="285"/>
      <c r="AS198" s="285"/>
      <c r="AT198" s="285"/>
      <c r="AU198" s="285"/>
      <c r="AV198" s="285"/>
      <c r="AW198" s="285"/>
      <c r="AX198" s="285"/>
      <c r="AY198" s="285"/>
      <c r="AZ198" s="285"/>
      <c r="BA198" s="285"/>
      <c r="BB198" s="285"/>
      <c r="BC198" s="285"/>
      <c r="BD198" s="285"/>
      <c r="BE198" s="285"/>
      <c r="BF198" s="285"/>
      <c r="BG198" s="285"/>
      <c r="BH198" s="285"/>
      <c r="BI198" s="285"/>
      <c r="BJ198" s="285"/>
      <c r="BK198" s="285"/>
      <c r="BL198" s="285"/>
      <c r="BM198" s="285"/>
      <c r="BN198" s="285"/>
      <c r="BO198" s="285"/>
      <c r="BP198" s="285"/>
      <c r="BQ198" s="285"/>
      <c r="BR198" s="285"/>
      <c r="BS198" s="285"/>
      <c r="BT198" s="285"/>
      <c r="BU198" s="285"/>
      <c r="BV198" s="285"/>
      <c r="BW198" s="285"/>
      <c r="BX198" s="285"/>
      <c r="BY198" s="285"/>
      <c r="BZ198" s="285"/>
      <c r="CA198" s="285"/>
      <c r="CB198" s="285"/>
      <c r="CC198" s="285"/>
      <c r="CD198" s="285"/>
      <c r="CE198" s="285"/>
      <c r="CF198" s="285"/>
      <c r="CG198" s="285"/>
      <c r="CH198" s="285"/>
      <c r="CI198" s="285"/>
      <c r="CJ198" s="285"/>
      <c r="CK198" s="285"/>
      <c r="CL198" s="285"/>
      <c r="CM198" s="285"/>
      <c r="CN198" s="285"/>
      <c r="CO198" s="285"/>
      <c r="CP198" s="285"/>
      <c r="CQ198" s="285"/>
      <c r="CR198" s="285"/>
      <c r="CS198" s="285"/>
      <c r="CT198" s="285"/>
      <c r="CU198" s="285"/>
      <c r="CV198" s="285"/>
      <c r="CW198" s="285"/>
      <c r="CX198" s="285"/>
      <c r="CY198" s="285"/>
      <c r="CZ198" s="285"/>
      <c r="DA198" s="285"/>
      <c r="DB198" s="285"/>
      <c r="DC198" s="285"/>
      <c r="DD198" s="285"/>
      <c r="DE198" s="285"/>
      <c r="DF198" s="285"/>
      <c r="DG198" s="285"/>
      <c r="DH198" s="285"/>
      <c r="DI198" s="285"/>
      <c r="DJ198" s="285"/>
      <c r="DK198" s="285"/>
      <c r="DL198" s="285"/>
      <c r="DM198" s="285"/>
      <c r="DN198" s="285"/>
      <c r="DO198" s="285"/>
      <c r="DP198" s="285"/>
      <c r="DQ198" s="285"/>
      <c r="DR198" s="285"/>
      <c r="DS198" s="285"/>
      <c r="DT198" s="285"/>
      <c r="DU198" s="285"/>
      <c r="DV198" s="285"/>
      <c r="DW198" s="285"/>
      <c r="DX198" s="285"/>
      <c r="DY198" s="285"/>
      <c r="DZ198" s="285"/>
      <c r="EA198" s="285"/>
      <c r="EB198" s="285"/>
      <c r="EC198" s="285"/>
      <c r="ED198" s="285"/>
      <c r="EE198" s="285"/>
      <c r="EF198" s="285"/>
      <c r="EG198" s="285"/>
      <c r="EH198" s="285"/>
      <c r="EI198" s="285"/>
      <c r="EJ198" s="285"/>
      <c r="EK198" s="285"/>
      <c r="EL198" s="285"/>
      <c r="EM198" s="285"/>
      <c r="EN198" s="285"/>
      <c r="EO198" s="285"/>
      <c r="EP198" s="285"/>
      <c r="EQ198" s="285"/>
      <c r="ER198" s="285"/>
      <c r="ES198" s="285"/>
      <c r="ET198" s="285"/>
      <c r="EU198" s="285"/>
      <c r="EV198" s="285"/>
      <c r="EW198" s="285"/>
      <c r="EX198" s="285"/>
      <c r="EY198" s="285"/>
      <c r="EZ198" s="285"/>
      <c r="FA198" s="285"/>
      <c r="FB198" s="285"/>
      <c r="FC198" s="285"/>
      <c r="FD198" s="285"/>
      <c r="FE198" s="285"/>
      <c r="FF198" s="285"/>
      <c r="FG198" s="285"/>
      <c r="FH198" s="285"/>
      <c r="FI198" s="285"/>
      <c r="FJ198" s="285"/>
      <c r="FK198" s="285"/>
      <c r="FL198" s="285"/>
      <c r="FM198" s="285"/>
      <c r="FN198" s="285"/>
      <c r="FO198" s="285"/>
      <c r="FP198" s="285"/>
      <c r="FQ198" s="285"/>
      <c r="FR198" s="285"/>
      <c r="FS198" s="285"/>
      <c r="FT198" s="285"/>
      <c r="FU198" s="285"/>
      <c r="FV198" s="285"/>
      <c r="FW198" s="285"/>
      <c r="FX198" s="285"/>
      <c r="FY198" s="285"/>
      <c r="FZ198" s="285"/>
      <c r="GA198" s="285"/>
      <c r="GB198" s="285"/>
      <c r="GC198" s="285"/>
      <c r="GD198" s="285"/>
      <c r="GE198" s="285"/>
      <c r="GF198" s="285"/>
      <c r="GG198" s="285"/>
      <c r="GH198" s="285"/>
      <c r="GI198" s="285"/>
      <c r="GJ198" s="285"/>
      <c r="GK198" s="285"/>
      <c r="GL198" s="285"/>
      <c r="GM198" s="285"/>
      <c r="GN198" s="285"/>
      <c r="GO198" s="285"/>
      <c r="GP198" s="285"/>
      <c r="GQ198" s="285"/>
      <c r="GR198" s="285"/>
      <c r="GS198" s="285"/>
      <c r="GT198" s="285"/>
      <c r="GU198" s="285"/>
      <c r="GV198" s="285"/>
      <c r="GW198" s="285"/>
      <c r="GX198" s="285"/>
      <c r="GY198" s="285"/>
      <c r="GZ198" s="285"/>
    </row>
    <row r="199" spans="1:208" ht="15">
      <c r="A199" s="518"/>
      <c r="B199" s="518"/>
      <c r="C199" s="518"/>
      <c r="D199" s="342" t="s">
        <v>4496</v>
      </c>
      <c r="E199" s="518"/>
      <c r="F199" s="518"/>
      <c r="G199" s="518"/>
      <c r="H199" s="333">
        <v>42</v>
      </c>
      <c r="I199" s="518"/>
      <c r="J199" s="333">
        <v>3025457</v>
      </c>
      <c r="K199" s="518"/>
      <c r="L199" s="518"/>
      <c r="M199" s="283">
        <v>21808.799999999999</v>
      </c>
      <c r="N199" s="367">
        <v>9335</v>
      </c>
      <c r="O199" s="284">
        <f t="shared" si="24"/>
        <v>203585148</v>
      </c>
      <c r="P199" s="285">
        <f t="shared" si="34"/>
        <v>3</v>
      </c>
      <c r="Q199" s="518"/>
      <c r="R199" s="518"/>
      <c r="S199" s="518"/>
      <c r="T199" s="285"/>
      <c r="U199" s="285"/>
      <c r="V199" s="285"/>
      <c r="W199" s="285"/>
      <c r="X199" s="285"/>
      <c r="Y199" s="285"/>
      <c r="Z199" s="285"/>
      <c r="AA199" s="285"/>
      <c r="AB199" s="285"/>
      <c r="AC199" s="285"/>
      <c r="AD199" s="285"/>
      <c r="AE199" s="285"/>
      <c r="AF199" s="285"/>
      <c r="AG199" s="285"/>
      <c r="AH199" s="285"/>
      <c r="AI199" s="285"/>
      <c r="AJ199" s="285"/>
      <c r="AK199" s="285"/>
      <c r="AL199" s="285"/>
      <c r="AM199" s="285"/>
      <c r="AN199" s="285"/>
      <c r="AO199" s="285"/>
      <c r="AP199" s="285"/>
      <c r="AQ199" s="285"/>
      <c r="AR199" s="285"/>
      <c r="AS199" s="285"/>
      <c r="AT199" s="285"/>
      <c r="AU199" s="285"/>
      <c r="AV199" s="285"/>
      <c r="AW199" s="285"/>
      <c r="AX199" s="285"/>
      <c r="AY199" s="285"/>
      <c r="AZ199" s="285"/>
      <c r="BA199" s="285"/>
      <c r="BB199" s="285"/>
      <c r="BC199" s="285"/>
      <c r="BD199" s="285"/>
      <c r="BE199" s="285"/>
      <c r="BF199" s="285"/>
      <c r="BG199" s="285"/>
      <c r="BH199" s="285"/>
      <c r="BI199" s="285"/>
      <c r="BJ199" s="285"/>
      <c r="BK199" s="285"/>
      <c r="BL199" s="285"/>
      <c r="BM199" s="285"/>
      <c r="BN199" s="285"/>
      <c r="BO199" s="285"/>
      <c r="BP199" s="285"/>
      <c r="BQ199" s="285"/>
      <c r="BR199" s="285"/>
      <c r="BS199" s="285"/>
      <c r="BT199" s="285"/>
      <c r="BU199" s="285"/>
      <c r="BV199" s="285"/>
      <c r="BW199" s="285"/>
      <c r="BX199" s="285"/>
      <c r="BY199" s="285"/>
      <c r="BZ199" s="285"/>
      <c r="CA199" s="285"/>
      <c r="CB199" s="285"/>
      <c r="CC199" s="285"/>
      <c r="CD199" s="285"/>
      <c r="CE199" s="285"/>
      <c r="CF199" s="285"/>
      <c r="CG199" s="285"/>
      <c r="CH199" s="285"/>
      <c r="CI199" s="285"/>
      <c r="CJ199" s="285"/>
      <c r="CK199" s="285"/>
      <c r="CL199" s="285"/>
      <c r="CM199" s="285"/>
      <c r="CN199" s="285"/>
      <c r="CO199" s="285"/>
      <c r="CP199" s="285"/>
      <c r="CQ199" s="285"/>
      <c r="CR199" s="285"/>
      <c r="CS199" s="285"/>
      <c r="CT199" s="285"/>
      <c r="CU199" s="285"/>
      <c r="CV199" s="285"/>
      <c r="CW199" s="285"/>
      <c r="CX199" s="285"/>
      <c r="CY199" s="285"/>
      <c r="CZ199" s="285"/>
      <c r="DA199" s="285"/>
      <c r="DB199" s="285"/>
      <c r="DC199" s="285"/>
      <c r="DD199" s="285"/>
      <c r="DE199" s="285"/>
      <c r="DF199" s="285"/>
      <c r="DG199" s="285"/>
      <c r="DH199" s="285"/>
      <c r="DI199" s="285"/>
      <c r="DJ199" s="285"/>
      <c r="DK199" s="285"/>
      <c r="DL199" s="285"/>
      <c r="DM199" s="285"/>
      <c r="DN199" s="285"/>
      <c r="DO199" s="285"/>
      <c r="DP199" s="285"/>
      <c r="DQ199" s="285"/>
      <c r="DR199" s="285"/>
      <c r="DS199" s="285"/>
      <c r="DT199" s="285"/>
      <c r="DU199" s="285"/>
      <c r="DV199" s="285"/>
      <c r="DW199" s="285"/>
      <c r="DX199" s="285"/>
      <c r="DY199" s="285"/>
      <c r="DZ199" s="285"/>
      <c r="EA199" s="285"/>
      <c r="EB199" s="285"/>
      <c r="EC199" s="285"/>
      <c r="ED199" s="285"/>
      <c r="EE199" s="285"/>
      <c r="EF199" s="285"/>
      <c r="EG199" s="285"/>
      <c r="EH199" s="285"/>
      <c r="EI199" s="285"/>
      <c r="EJ199" s="285"/>
      <c r="EK199" s="285"/>
      <c r="EL199" s="285"/>
      <c r="EM199" s="285"/>
      <c r="EN199" s="285"/>
      <c r="EO199" s="285"/>
      <c r="EP199" s="285"/>
      <c r="EQ199" s="285"/>
      <c r="ER199" s="285"/>
      <c r="ES199" s="285"/>
      <c r="ET199" s="285"/>
      <c r="EU199" s="285"/>
      <c r="EV199" s="285"/>
      <c r="EW199" s="285"/>
      <c r="EX199" s="285"/>
      <c r="EY199" s="285"/>
      <c r="EZ199" s="285"/>
      <c r="FA199" s="285"/>
      <c r="FB199" s="285"/>
      <c r="FC199" s="285"/>
      <c r="FD199" s="285"/>
      <c r="FE199" s="285"/>
      <c r="FF199" s="285"/>
      <c r="FG199" s="285"/>
      <c r="FH199" s="285"/>
      <c r="FI199" s="285"/>
      <c r="FJ199" s="285"/>
      <c r="FK199" s="285"/>
      <c r="FL199" s="285"/>
      <c r="FM199" s="285"/>
      <c r="FN199" s="285"/>
      <c r="FO199" s="285"/>
      <c r="FP199" s="285"/>
      <c r="FQ199" s="285"/>
      <c r="FR199" s="285"/>
      <c r="FS199" s="285"/>
      <c r="FT199" s="285"/>
      <c r="FU199" s="285"/>
      <c r="FV199" s="285"/>
      <c r="FW199" s="285"/>
      <c r="FX199" s="285"/>
      <c r="FY199" s="285"/>
      <c r="FZ199" s="285"/>
      <c r="GA199" s="285"/>
      <c r="GB199" s="285"/>
      <c r="GC199" s="285"/>
      <c r="GD199" s="285"/>
      <c r="GE199" s="285"/>
      <c r="GF199" s="285"/>
      <c r="GG199" s="285"/>
      <c r="GH199" s="285"/>
      <c r="GI199" s="285"/>
      <c r="GJ199" s="285"/>
      <c r="GK199" s="285"/>
      <c r="GL199" s="285"/>
      <c r="GM199" s="285"/>
      <c r="GN199" s="285"/>
      <c r="GO199" s="285"/>
      <c r="GP199" s="285"/>
      <c r="GQ199" s="285"/>
      <c r="GR199" s="285"/>
      <c r="GS199" s="285"/>
      <c r="GT199" s="285"/>
      <c r="GU199" s="285"/>
      <c r="GV199" s="285"/>
      <c r="GW199" s="285"/>
      <c r="GX199" s="285"/>
      <c r="GY199" s="285"/>
      <c r="GZ199" s="285"/>
    </row>
    <row r="200" spans="1:208" ht="15">
      <c r="A200" s="519"/>
      <c r="B200" s="519"/>
      <c r="C200" s="519"/>
      <c r="D200" s="342" t="s">
        <v>4497</v>
      </c>
      <c r="E200" s="519"/>
      <c r="F200" s="519"/>
      <c r="G200" s="519"/>
      <c r="H200" s="333">
        <v>14</v>
      </c>
      <c r="I200" s="519"/>
      <c r="J200" s="333">
        <v>3025457</v>
      </c>
      <c r="K200" s="519"/>
      <c r="L200" s="519"/>
      <c r="M200" s="283">
        <v>7269.6</v>
      </c>
      <c r="N200" s="367">
        <v>9335</v>
      </c>
      <c r="O200" s="284">
        <f t="shared" si="24"/>
        <v>67861716</v>
      </c>
      <c r="P200" s="285">
        <f t="shared" si="34"/>
        <v>1</v>
      </c>
      <c r="Q200" s="519"/>
      <c r="R200" s="519"/>
      <c r="S200" s="519"/>
      <c r="T200" s="285"/>
      <c r="U200" s="285"/>
      <c r="V200" s="285"/>
      <c r="W200" s="285"/>
      <c r="X200" s="285"/>
      <c r="Y200" s="285"/>
      <c r="Z200" s="285"/>
      <c r="AA200" s="285"/>
      <c r="AB200" s="285"/>
      <c r="AC200" s="285"/>
      <c r="AD200" s="285"/>
      <c r="AE200" s="285"/>
      <c r="AF200" s="285"/>
      <c r="AG200" s="285"/>
      <c r="AH200" s="285"/>
      <c r="AI200" s="285"/>
      <c r="AJ200" s="285"/>
      <c r="AK200" s="285"/>
      <c r="AL200" s="285"/>
      <c r="AM200" s="285"/>
      <c r="AN200" s="285"/>
      <c r="AO200" s="285"/>
      <c r="AP200" s="285"/>
      <c r="AQ200" s="285"/>
      <c r="AR200" s="285"/>
      <c r="AS200" s="285"/>
      <c r="AT200" s="285"/>
      <c r="AU200" s="285"/>
      <c r="AV200" s="285"/>
      <c r="AW200" s="285"/>
      <c r="AX200" s="285"/>
      <c r="AY200" s="285"/>
      <c r="AZ200" s="285"/>
      <c r="BA200" s="285"/>
      <c r="BB200" s="285"/>
      <c r="BC200" s="285"/>
      <c r="BD200" s="285"/>
      <c r="BE200" s="285"/>
      <c r="BF200" s="285"/>
      <c r="BG200" s="285"/>
      <c r="BH200" s="285"/>
      <c r="BI200" s="285"/>
      <c r="BJ200" s="285"/>
      <c r="BK200" s="285"/>
      <c r="BL200" s="285"/>
      <c r="BM200" s="285"/>
      <c r="BN200" s="285"/>
      <c r="BO200" s="285"/>
      <c r="BP200" s="285"/>
      <c r="BQ200" s="285"/>
      <c r="BR200" s="285"/>
      <c r="BS200" s="285"/>
      <c r="BT200" s="285"/>
      <c r="BU200" s="285"/>
      <c r="BV200" s="285"/>
      <c r="BW200" s="285"/>
      <c r="BX200" s="285"/>
      <c r="BY200" s="285"/>
      <c r="BZ200" s="285"/>
      <c r="CA200" s="285"/>
      <c r="CB200" s="285"/>
      <c r="CC200" s="285"/>
      <c r="CD200" s="285"/>
      <c r="CE200" s="285"/>
      <c r="CF200" s="285"/>
      <c r="CG200" s="285"/>
      <c r="CH200" s="285"/>
      <c r="CI200" s="285"/>
      <c r="CJ200" s="285"/>
      <c r="CK200" s="285"/>
      <c r="CL200" s="285"/>
      <c r="CM200" s="285"/>
      <c r="CN200" s="285"/>
      <c r="CO200" s="285"/>
      <c r="CP200" s="285"/>
      <c r="CQ200" s="285"/>
      <c r="CR200" s="285"/>
      <c r="CS200" s="285"/>
      <c r="CT200" s="285"/>
      <c r="CU200" s="285"/>
      <c r="CV200" s="285"/>
      <c r="CW200" s="285"/>
      <c r="CX200" s="285"/>
      <c r="CY200" s="285"/>
      <c r="CZ200" s="285"/>
      <c r="DA200" s="285"/>
      <c r="DB200" s="285"/>
      <c r="DC200" s="285"/>
      <c r="DD200" s="285"/>
      <c r="DE200" s="285"/>
      <c r="DF200" s="285"/>
      <c r="DG200" s="285"/>
      <c r="DH200" s="285"/>
      <c r="DI200" s="285"/>
      <c r="DJ200" s="285"/>
      <c r="DK200" s="285"/>
      <c r="DL200" s="285"/>
      <c r="DM200" s="285"/>
      <c r="DN200" s="285"/>
      <c r="DO200" s="285"/>
      <c r="DP200" s="285"/>
      <c r="DQ200" s="285"/>
      <c r="DR200" s="285"/>
      <c r="DS200" s="285"/>
      <c r="DT200" s="285"/>
      <c r="DU200" s="285"/>
      <c r="DV200" s="285"/>
      <c r="DW200" s="285"/>
      <c r="DX200" s="285"/>
      <c r="DY200" s="285"/>
      <c r="DZ200" s="285"/>
      <c r="EA200" s="285"/>
      <c r="EB200" s="285"/>
      <c r="EC200" s="285"/>
      <c r="ED200" s="285"/>
      <c r="EE200" s="285"/>
      <c r="EF200" s="285"/>
      <c r="EG200" s="285"/>
      <c r="EH200" s="285"/>
      <c r="EI200" s="285"/>
      <c r="EJ200" s="285"/>
      <c r="EK200" s="285"/>
      <c r="EL200" s="285"/>
      <c r="EM200" s="285"/>
      <c r="EN200" s="285"/>
      <c r="EO200" s="285"/>
      <c r="EP200" s="285"/>
      <c r="EQ200" s="285"/>
      <c r="ER200" s="285"/>
      <c r="ES200" s="285"/>
      <c r="ET200" s="285"/>
      <c r="EU200" s="285"/>
      <c r="EV200" s="285"/>
      <c r="EW200" s="285"/>
      <c r="EX200" s="285"/>
      <c r="EY200" s="285"/>
      <c r="EZ200" s="285"/>
      <c r="FA200" s="285"/>
      <c r="FB200" s="285"/>
      <c r="FC200" s="285"/>
      <c r="FD200" s="285"/>
      <c r="FE200" s="285"/>
      <c r="FF200" s="285"/>
      <c r="FG200" s="285"/>
      <c r="FH200" s="285"/>
      <c r="FI200" s="285"/>
      <c r="FJ200" s="285"/>
      <c r="FK200" s="285"/>
      <c r="FL200" s="285"/>
      <c r="FM200" s="285"/>
      <c r="FN200" s="285"/>
      <c r="FO200" s="285"/>
      <c r="FP200" s="285"/>
      <c r="FQ200" s="285"/>
      <c r="FR200" s="285"/>
      <c r="FS200" s="285"/>
      <c r="FT200" s="285"/>
      <c r="FU200" s="285"/>
      <c r="FV200" s="285"/>
      <c r="FW200" s="285"/>
      <c r="FX200" s="285"/>
      <c r="FY200" s="285"/>
      <c r="FZ200" s="285"/>
      <c r="GA200" s="285"/>
      <c r="GB200" s="285"/>
      <c r="GC200" s="285"/>
      <c r="GD200" s="285"/>
      <c r="GE200" s="285"/>
      <c r="GF200" s="285"/>
      <c r="GG200" s="285"/>
      <c r="GH200" s="285"/>
      <c r="GI200" s="285"/>
      <c r="GJ200" s="285"/>
      <c r="GK200" s="285"/>
      <c r="GL200" s="285"/>
      <c r="GM200" s="285"/>
      <c r="GN200" s="285"/>
      <c r="GO200" s="285"/>
      <c r="GP200" s="285"/>
      <c r="GQ200" s="285"/>
      <c r="GR200" s="285"/>
      <c r="GS200" s="285"/>
      <c r="GT200" s="285"/>
      <c r="GU200" s="285"/>
      <c r="GV200" s="285"/>
      <c r="GW200" s="285"/>
      <c r="GX200" s="285"/>
      <c r="GY200" s="285"/>
      <c r="GZ200" s="285"/>
    </row>
    <row r="201" spans="1:208" ht="15">
      <c r="A201" s="282">
        <v>42</v>
      </c>
      <c r="B201" s="332">
        <v>44852</v>
      </c>
      <c r="C201" s="333">
        <v>1053331</v>
      </c>
      <c r="D201" s="342" t="s">
        <v>4498</v>
      </c>
      <c r="E201" s="333" t="s">
        <v>4416</v>
      </c>
      <c r="F201" s="333" t="s">
        <v>4275</v>
      </c>
      <c r="G201" s="333">
        <v>3178</v>
      </c>
      <c r="H201" s="333">
        <v>42</v>
      </c>
      <c r="I201" s="282">
        <v>4502432269</v>
      </c>
      <c r="J201" s="333">
        <v>3025459</v>
      </c>
      <c r="K201" s="282">
        <v>4902366645</v>
      </c>
      <c r="L201" s="282" t="s">
        <v>4252</v>
      </c>
      <c r="M201" s="283">
        <v>19966</v>
      </c>
      <c r="N201" s="367">
        <v>8150</v>
      </c>
      <c r="O201" s="284">
        <f t="shared" si="24"/>
        <v>162722900</v>
      </c>
      <c r="P201" s="282" t="s">
        <v>4265</v>
      </c>
      <c r="Q201" s="321" t="s">
        <v>4266</v>
      </c>
      <c r="R201" s="282">
        <v>1004892</v>
      </c>
      <c r="S201" s="342">
        <v>4792500</v>
      </c>
      <c r="T201" s="285"/>
      <c r="U201" s="285"/>
      <c r="V201" s="285"/>
      <c r="W201" s="285"/>
      <c r="X201" s="285"/>
      <c r="Y201" s="285"/>
      <c r="Z201" s="285"/>
      <c r="AA201" s="285"/>
      <c r="AB201" s="285"/>
      <c r="AC201" s="285"/>
      <c r="AD201" s="285"/>
      <c r="AE201" s="285"/>
      <c r="AF201" s="285"/>
      <c r="AG201" s="285"/>
      <c r="AH201" s="285"/>
      <c r="AI201" s="285"/>
      <c r="AJ201" s="285"/>
      <c r="AK201" s="285"/>
      <c r="AL201" s="285"/>
      <c r="AM201" s="285"/>
      <c r="AN201" s="285"/>
      <c r="AO201" s="285"/>
      <c r="AP201" s="285"/>
      <c r="AQ201" s="285"/>
      <c r="AR201" s="285"/>
      <c r="AS201" s="285"/>
      <c r="AT201" s="285"/>
      <c r="AU201" s="285"/>
      <c r="AV201" s="285"/>
      <c r="AW201" s="285"/>
      <c r="AX201" s="285"/>
      <c r="AY201" s="285"/>
      <c r="AZ201" s="285"/>
      <c r="BA201" s="285"/>
      <c r="BB201" s="285"/>
      <c r="BC201" s="285"/>
      <c r="BD201" s="285"/>
      <c r="BE201" s="285"/>
      <c r="BF201" s="285"/>
      <c r="BG201" s="285"/>
      <c r="BH201" s="285"/>
      <c r="BI201" s="285"/>
      <c r="BJ201" s="285"/>
      <c r="BK201" s="285"/>
      <c r="BL201" s="285"/>
      <c r="BM201" s="285"/>
      <c r="BN201" s="285"/>
      <c r="BO201" s="285"/>
      <c r="BP201" s="285"/>
      <c r="BQ201" s="285"/>
      <c r="BR201" s="285"/>
      <c r="BS201" s="285"/>
      <c r="BT201" s="285"/>
      <c r="BU201" s="285"/>
      <c r="BV201" s="285"/>
      <c r="BW201" s="285"/>
      <c r="BX201" s="285"/>
      <c r="BY201" s="285"/>
      <c r="BZ201" s="285"/>
      <c r="CA201" s="285"/>
      <c r="CB201" s="285"/>
      <c r="CC201" s="285"/>
      <c r="CD201" s="285"/>
      <c r="CE201" s="285"/>
      <c r="CF201" s="285"/>
      <c r="CG201" s="285"/>
      <c r="CH201" s="285"/>
      <c r="CI201" s="285"/>
      <c r="CJ201" s="285"/>
      <c r="CK201" s="285"/>
      <c r="CL201" s="285"/>
      <c r="CM201" s="285"/>
      <c r="CN201" s="285"/>
      <c r="CO201" s="285"/>
      <c r="CP201" s="285"/>
      <c r="CQ201" s="285"/>
      <c r="CR201" s="285"/>
      <c r="CS201" s="285"/>
      <c r="CT201" s="285"/>
      <c r="CU201" s="285"/>
      <c r="CV201" s="285"/>
      <c r="CW201" s="285"/>
      <c r="CX201" s="285"/>
      <c r="CY201" s="285"/>
      <c r="CZ201" s="285"/>
      <c r="DA201" s="285"/>
      <c r="DB201" s="285"/>
      <c r="DC201" s="285"/>
      <c r="DD201" s="285"/>
      <c r="DE201" s="285"/>
      <c r="DF201" s="285"/>
      <c r="DG201" s="285"/>
      <c r="DH201" s="285"/>
      <c r="DI201" s="285"/>
      <c r="DJ201" s="285"/>
      <c r="DK201" s="285"/>
      <c r="DL201" s="285"/>
      <c r="DM201" s="285"/>
      <c r="DN201" s="285"/>
      <c r="DO201" s="285"/>
      <c r="DP201" s="285"/>
      <c r="DQ201" s="285"/>
      <c r="DR201" s="285"/>
      <c r="DS201" s="285"/>
      <c r="DT201" s="285"/>
      <c r="DU201" s="285"/>
      <c r="DV201" s="285"/>
      <c r="DW201" s="285"/>
      <c r="DX201" s="285"/>
      <c r="DY201" s="285"/>
      <c r="DZ201" s="285"/>
      <c r="EA201" s="285"/>
      <c r="EB201" s="285"/>
      <c r="EC201" s="285"/>
      <c r="ED201" s="285"/>
      <c r="EE201" s="285"/>
      <c r="EF201" s="285"/>
      <c r="EG201" s="285"/>
      <c r="EH201" s="285"/>
      <c r="EI201" s="285"/>
      <c r="EJ201" s="285"/>
      <c r="EK201" s="285"/>
      <c r="EL201" s="285"/>
      <c r="EM201" s="285"/>
      <c r="EN201" s="285"/>
      <c r="EO201" s="285"/>
      <c r="EP201" s="285"/>
      <c r="EQ201" s="285"/>
      <c r="ER201" s="285"/>
      <c r="ES201" s="285"/>
      <c r="ET201" s="285"/>
      <c r="EU201" s="285"/>
      <c r="EV201" s="285"/>
      <c r="EW201" s="285"/>
      <c r="EX201" s="285"/>
      <c r="EY201" s="285"/>
      <c r="EZ201" s="285"/>
      <c r="FA201" s="285"/>
      <c r="FB201" s="285"/>
      <c r="FC201" s="285"/>
      <c r="FD201" s="285"/>
      <c r="FE201" s="285"/>
      <c r="FF201" s="285"/>
      <c r="FG201" s="285"/>
      <c r="FH201" s="285"/>
      <c r="FI201" s="285"/>
      <c r="FJ201" s="285"/>
      <c r="FK201" s="285"/>
      <c r="FL201" s="285"/>
      <c r="FM201" s="285"/>
      <c r="FN201" s="285"/>
      <c r="FO201" s="285"/>
      <c r="FP201" s="285"/>
      <c r="FQ201" s="285"/>
      <c r="FR201" s="285"/>
      <c r="FS201" s="285"/>
      <c r="FT201" s="285"/>
      <c r="FU201" s="285"/>
      <c r="FV201" s="285"/>
      <c r="FW201" s="285"/>
      <c r="FX201" s="285"/>
      <c r="FY201" s="285"/>
      <c r="FZ201" s="285"/>
      <c r="GA201" s="285"/>
      <c r="GB201" s="285"/>
      <c r="GC201" s="285"/>
      <c r="GD201" s="285"/>
      <c r="GE201" s="285"/>
      <c r="GF201" s="285"/>
      <c r="GG201" s="285"/>
      <c r="GH201" s="285"/>
      <c r="GI201" s="285"/>
      <c r="GJ201" s="285"/>
      <c r="GK201" s="285"/>
      <c r="GL201" s="285"/>
      <c r="GM201" s="285"/>
      <c r="GN201" s="285"/>
      <c r="GO201" s="285"/>
      <c r="GP201" s="285"/>
      <c r="GQ201" s="285"/>
      <c r="GR201" s="285"/>
      <c r="GS201" s="285"/>
      <c r="GT201" s="285"/>
      <c r="GU201" s="285"/>
      <c r="GV201" s="285"/>
      <c r="GW201" s="285"/>
      <c r="GX201" s="285"/>
      <c r="GY201" s="285"/>
      <c r="GZ201" s="285"/>
    </row>
    <row r="202" spans="1:208" ht="15">
      <c r="A202" s="304">
        <v>43</v>
      </c>
      <c r="B202" s="328">
        <v>44854</v>
      </c>
      <c r="C202" s="361">
        <v>1102323</v>
      </c>
      <c r="D202" s="337" t="s">
        <v>4499</v>
      </c>
      <c r="E202" s="329" t="s">
        <v>4330</v>
      </c>
      <c r="F202" s="311" t="s">
        <v>4275</v>
      </c>
      <c r="G202" s="361">
        <v>3199</v>
      </c>
      <c r="H202" s="329">
        <v>28</v>
      </c>
      <c r="I202" s="337">
        <v>4502435350</v>
      </c>
      <c r="J202" s="329">
        <v>3025459</v>
      </c>
      <c r="K202" s="304">
        <v>4902370636</v>
      </c>
      <c r="L202" s="304" t="s">
        <v>4252</v>
      </c>
      <c r="M202" s="309">
        <v>14682</v>
      </c>
      <c r="N202" s="329">
        <v>8050</v>
      </c>
      <c r="O202" s="306">
        <f t="shared" si="24"/>
        <v>118190100</v>
      </c>
      <c r="P202" s="304">
        <f t="shared" ref="P202:P238" si="35">H202/14</f>
        <v>2</v>
      </c>
      <c r="Q202" s="304" t="s">
        <v>3455</v>
      </c>
      <c r="R202" s="304">
        <v>1040968</v>
      </c>
      <c r="S202" s="307">
        <v>5965200</v>
      </c>
      <c r="T202" s="307"/>
      <c r="U202" s="307"/>
      <c r="V202" s="307"/>
      <c r="W202" s="307"/>
      <c r="X202" s="307"/>
      <c r="Y202" s="307"/>
      <c r="Z202" s="307"/>
      <c r="AA202" s="307"/>
      <c r="AB202" s="307"/>
      <c r="AC202" s="307"/>
      <c r="AD202" s="307"/>
      <c r="AE202" s="307"/>
      <c r="AF202" s="307"/>
      <c r="AG202" s="307"/>
      <c r="AH202" s="307"/>
      <c r="AI202" s="307"/>
      <c r="AJ202" s="307"/>
      <c r="AK202" s="307"/>
      <c r="AL202" s="307"/>
      <c r="AM202" s="307"/>
      <c r="AN202" s="307"/>
      <c r="AO202" s="307"/>
      <c r="AP202" s="307"/>
      <c r="AQ202" s="307"/>
      <c r="AR202" s="307"/>
      <c r="AS202" s="307"/>
      <c r="AT202" s="307"/>
      <c r="AU202" s="307"/>
      <c r="AV202" s="307"/>
      <c r="AW202" s="307"/>
      <c r="AX202" s="307"/>
      <c r="AY202" s="307"/>
      <c r="AZ202" s="307"/>
      <c r="BA202" s="307"/>
      <c r="BB202" s="307"/>
      <c r="BC202" s="307"/>
      <c r="BD202" s="307"/>
      <c r="BE202" s="307"/>
      <c r="BF202" s="307"/>
      <c r="BG202" s="307"/>
      <c r="BH202" s="307"/>
      <c r="BI202" s="307"/>
      <c r="BJ202" s="307"/>
      <c r="BK202" s="307"/>
      <c r="BL202" s="307"/>
      <c r="BM202" s="307"/>
      <c r="BN202" s="307"/>
      <c r="BO202" s="307"/>
      <c r="BP202" s="307"/>
      <c r="BQ202" s="307"/>
      <c r="BR202" s="307"/>
      <c r="BS202" s="307"/>
      <c r="BT202" s="307"/>
      <c r="BU202" s="307"/>
      <c r="BV202" s="307"/>
      <c r="BW202" s="307"/>
      <c r="BX202" s="307"/>
      <c r="BY202" s="307"/>
      <c r="BZ202" s="307"/>
      <c r="CA202" s="307"/>
      <c r="CB202" s="307"/>
      <c r="CC202" s="307"/>
      <c r="CD202" s="307"/>
      <c r="CE202" s="307"/>
      <c r="CF202" s="307"/>
      <c r="CG202" s="307"/>
      <c r="CH202" s="307"/>
      <c r="CI202" s="307"/>
      <c r="CJ202" s="307"/>
      <c r="CK202" s="307"/>
      <c r="CL202" s="307"/>
      <c r="CM202" s="307"/>
      <c r="CN202" s="307"/>
      <c r="CO202" s="307"/>
      <c r="CP202" s="307"/>
      <c r="CQ202" s="307"/>
      <c r="CR202" s="307"/>
      <c r="CS202" s="307"/>
      <c r="CT202" s="307"/>
      <c r="CU202" s="307"/>
      <c r="CV202" s="307"/>
      <c r="CW202" s="307"/>
      <c r="CX202" s="307"/>
      <c r="CY202" s="307"/>
      <c r="CZ202" s="307"/>
      <c r="DA202" s="307"/>
      <c r="DB202" s="307"/>
      <c r="DC202" s="307"/>
      <c r="DD202" s="307"/>
      <c r="DE202" s="307"/>
      <c r="DF202" s="307"/>
      <c r="DG202" s="307"/>
      <c r="DH202" s="307"/>
      <c r="DI202" s="307"/>
      <c r="DJ202" s="307"/>
      <c r="DK202" s="307"/>
      <c r="DL202" s="307"/>
      <c r="DM202" s="307"/>
      <c r="DN202" s="307"/>
      <c r="DO202" s="307"/>
      <c r="DP202" s="307"/>
      <c r="DQ202" s="307"/>
      <c r="DR202" s="307"/>
      <c r="DS202" s="307"/>
      <c r="DT202" s="307"/>
      <c r="DU202" s="307"/>
      <c r="DV202" s="307"/>
      <c r="DW202" s="307"/>
      <c r="DX202" s="307"/>
      <c r="DY202" s="307"/>
      <c r="DZ202" s="307"/>
      <c r="EA202" s="307"/>
      <c r="EB202" s="307"/>
      <c r="EC202" s="307"/>
      <c r="ED202" s="307"/>
      <c r="EE202" s="307"/>
      <c r="EF202" s="307"/>
      <c r="EG202" s="307"/>
      <c r="EH202" s="307"/>
      <c r="EI202" s="307"/>
      <c r="EJ202" s="307"/>
      <c r="EK202" s="307"/>
      <c r="EL202" s="307"/>
      <c r="EM202" s="307"/>
      <c r="EN202" s="307"/>
      <c r="EO202" s="307"/>
      <c r="EP202" s="307"/>
      <c r="EQ202" s="307"/>
      <c r="ER202" s="307"/>
      <c r="ES202" s="307"/>
      <c r="ET202" s="307"/>
      <c r="EU202" s="307"/>
      <c r="EV202" s="307"/>
      <c r="EW202" s="307"/>
      <c r="EX202" s="307"/>
      <c r="EY202" s="307"/>
      <c r="EZ202" s="307"/>
      <c r="FA202" s="307"/>
      <c r="FB202" s="307"/>
      <c r="FC202" s="307"/>
      <c r="FD202" s="307"/>
      <c r="FE202" s="307"/>
      <c r="FF202" s="307"/>
      <c r="FG202" s="307"/>
      <c r="FH202" s="307"/>
      <c r="FI202" s="307"/>
      <c r="FJ202" s="307"/>
      <c r="FK202" s="307"/>
      <c r="FL202" s="307"/>
      <c r="FM202" s="307"/>
      <c r="FN202" s="307"/>
      <c r="FO202" s="307"/>
      <c r="FP202" s="307"/>
      <c r="FQ202" s="307"/>
      <c r="FR202" s="307"/>
      <c r="FS202" s="307"/>
      <c r="FT202" s="307"/>
      <c r="FU202" s="307"/>
      <c r="FV202" s="307"/>
      <c r="FW202" s="307"/>
      <c r="FX202" s="307"/>
      <c r="FY202" s="307"/>
      <c r="FZ202" s="307"/>
      <c r="GA202" s="307"/>
      <c r="GB202" s="307"/>
      <c r="GC202" s="307"/>
      <c r="GD202" s="307"/>
      <c r="GE202" s="307"/>
      <c r="GF202" s="307"/>
      <c r="GG202" s="307"/>
      <c r="GH202" s="307"/>
      <c r="GI202" s="307"/>
      <c r="GJ202" s="307"/>
      <c r="GK202" s="307"/>
      <c r="GL202" s="307"/>
      <c r="GM202" s="307"/>
      <c r="GN202" s="307"/>
      <c r="GO202" s="307"/>
      <c r="GP202" s="307"/>
      <c r="GQ202" s="307"/>
      <c r="GR202" s="307"/>
      <c r="GS202" s="307"/>
      <c r="GT202" s="307"/>
      <c r="GU202" s="307"/>
      <c r="GV202" s="307"/>
      <c r="GW202" s="307"/>
      <c r="GX202" s="307"/>
      <c r="GY202" s="307"/>
      <c r="GZ202" s="307"/>
    </row>
    <row r="203" spans="1:208" ht="30">
      <c r="A203" s="522">
        <v>43</v>
      </c>
      <c r="B203" s="523">
        <v>44857</v>
      </c>
      <c r="C203" s="522">
        <v>1036751</v>
      </c>
      <c r="D203" s="337" t="s">
        <v>4497</v>
      </c>
      <c r="E203" s="524" t="s">
        <v>4450</v>
      </c>
      <c r="F203" s="304" t="s">
        <v>4251</v>
      </c>
      <c r="G203" s="522">
        <v>3180</v>
      </c>
      <c r="H203" s="329">
        <v>28</v>
      </c>
      <c r="I203" s="522">
        <v>4502428887</v>
      </c>
      <c r="J203" s="522">
        <v>3025457</v>
      </c>
      <c r="K203" s="522">
        <v>4902370634</v>
      </c>
      <c r="L203" s="522" t="s">
        <v>4252</v>
      </c>
      <c r="M203" s="309">
        <v>14539.2</v>
      </c>
      <c r="N203" s="329">
        <v>9335</v>
      </c>
      <c r="O203" s="306">
        <f t="shared" si="24"/>
        <v>135723432</v>
      </c>
      <c r="P203" s="304">
        <f t="shared" si="35"/>
        <v>2</v>
      </c>
      <c r="Q203" s="522" t="s">
        <v>3455</v>
      </c>
      <c r="R203" s="522">
        <v>1040968</v>
      </c>
      <c r="S203" s="522">
        <v>9154500</v>
      </c>
      <c r="T203" s="307"/>
      <c r="U203" s="307"/>
      <c r="V203" s="307"/>
      <c r="W203" s="307"/>
      <c r="X203" s="307"/>
      <c r="Y203" s="307"/>
      <c r="Z203" s="307"/>
      <c r="AA203" s="307"/>
      <c r="AB203" s="307"/>
      <c r="AC203" s="307"/>
      <c r="AD203" s="307"/>
      <c r="AE203" s="307"/>
      <c r="AF203" s="307"/>
      <c r="AG203" s="307"/>
      <c r="AH203" s="307"/>
      <c r="AI203" s="307"/>
      <c r="AJ203" s="307"/>
      <c r="AK203" s="307"/>
      <c r="AL203" s="307"/>
      <c r="AM203" s="307"/>
      <c r="AN203" s="307"/>
      <c r="AO203" s="307"/>
      <c r="AP203" s="307"/>
      <c r="AQ203" s="307"/>
      <c r="AR203" s="307"/>
      <c r="AS203" s="307"/>
      <c r="AT203" s="307"/>
      <c r="AU203" s="307"/>
      <c r="AV203" s="307"/>
      <c r="AW203" s="307"/>
      <c r="AX203" s="307"/>
      <c r="AY203" s="307"/>
      <c r="AZ203" s="307"/>
      <c r="BA203" s="307"/>
      <c r="BB203" s="307"/>
      <c r="BC203" s="307"/>
      <c r="BD203" s="307"/>
      <c r="BE203" s="307"/>
      <c r="BF203" s="307"/>
      <c r="BG203" s="307"/>
      <c r="BH203" s="307"/>
      <c r="BI203" s="307"/>
      <c r="BJ203" s="307"/>
      <c r="BK203" s="307"/>
      <c r="BL203" s="307"/>
      <c r="BM203" s="307"/>
      <c r="BN203" s="307"/>
      <c r="BO203" s="307"/>
      <c r="BP203" s="307"/>
      <c r="BQ203" s="307"/>
      <c r="BR203" s="307"/>
      <c r="BS203" s="307"/>
      <c r="BT203" s="307"/>
      <c r="BU203" s="307"/>
      <c r="BV203" s="307"/>
      <c r="BW203" s="307"/>
      <c r="BX203" s="307"/>
      <c r="BY203" s="307"/>
      <c r="BZ203" s="307"/>
      <c r="CA203" s="307"/>
      <c r="CB203" s="307"/>
      <c r="CC203" s="307"/>
      <c r="CD203" s="307"/>
      <c r="CE203" s="307"/>
      <c r="CF203" s="307"/>
      <c r="CG203" s="307"/>
      <c r="CH203" s="307"/>
      <c r="CI203" s="307"/>
      <c r="CJ203" s="307"/>
      <c r="CK203" s="307"/>
      <c r="CL203" s="307"/>
      <c r="CM203" s="307"/>
      <c r="CN203" s="307"/>
      <c r="CO203" s="307"/>
      <c r="CP203" s="307"/>
      <c r="CQ203" s="307"/>
      <c r="CR203" s="307"/>
      <c r="CS203" s="307"/>
      <c r="CT203" s="307"/>
      <c r="CU203" s="307"/>
      <c r="CV203" s="307"/>
      <c r="CW203" s="307"/>
      <c r="CX203" s="307"/>
      <c r="CY203" s="307"/>
      <c r="CZ203" s="307"/>
      <c r="DA203" s="307"/>
      <c r="DB203" s="307"/>
      <c r="DC203" s="307"/>
      <c r="DD203" s="307"/>
      <c r="DE203" s="307"/>
      <c r="DF203" s="307"/>
      <c r="DG203" s="307"/>
      <c r="DH203" s="307"/>
      <c r="DI203" s="307"/>
      <c r="DJ203" s="307"/>
      <c r="DK203" s="307"/>
      <c r="DL203" s="307"/>
      <c r="DM203" s="307"/>
      <c r="DN203" s="307"/>
      <c r="DO203" s="307"/>
      <c r="DP203" s="307"/>
      <c r="DQ203" s="307"/>
      <c r="DR203" s="307"/>
      <c r="DS203" s="307"/>
      <c r="DT203" s="307"/>
      <c r="DU203" s="307"/>
      <c r="DV203" s="307"/>
      <c r="DW203" s="307"/>
      <c r="DX203" s="307"/>
      <c r="DY203" s="307"/>
      <c r="DZ203" s="307"/>
      <c r="EA203" s="307"/>
      <c r="EB203" s="307"/>
      <c r="EC203" s="307"/>
      <c r="ED203" s="307"/>
      <c r="EE203" s="307"/>
      <c r="EF203" s="307"/>
      <c r="EG203" s="307"/>
      <c r="EH203" s="307"/>
      <c r="EI203" s="307"/>
      <c r="EJ203" s="307"/>
      <c r="EK203" s="307"/>
      <c r="EL203" s="307"/>
      <c r="EM203" s="307"/>
      <c r="EN203" s="307"/>
      <c r="EO203" s="307"/>
      <c r="EP203" s="307"/>
      <c r="EQ203" s="307"/>
      <c r="ER203" s="307"/>
      <c r="ES203" s="307"/>
      <c r="ET203" s="307"/>
      <c r="EU203" s="307"/>
      <c r="EV203" s="307"/>
      <c r="EW203" s="307"/>
      <c r="EX203" s="307"/>
      <c r="EY203" s="307"/>
      <c r="EZ203" s="307"/>
      <c r="FA203" s="307"/>
      <c r="FB203" s="307"/>
      <c r="FC203" s="307"/>
      <c r="FD203" s="307"/>
      <c r="FE203" s="307"/>
      <c r="FF203" s="307"/>
      <c r="FG203" s="307"/>
      <c r="FH203" s="307"/>
      <c r="FI203" s="307"/>
      <c r="FJ203" s="307"/>
      <c r="FK203" s="307"/>
      <c r="FL203" s="307"/>
      <c r="FM203" s="307"/>
      <c r="FN203" s="307"/>
      <c r="FO203" s="307"/>
      <c r="FP203" s="307"/>
      <c r="FQ203" s="307"/>
      <c r="FR203" s="307"/>
      <c r="FS203" s="307"/>
      <c r="FT203" s="307"/>
      <c r="FU203" s="307"/>
      <c r="FV203" s="307"/>
      <c r="FW203" s="307"/>
      <c r="FX203" s="307"/>
      <c r="FY203" s="307"/>
      <c r="FZ203" s="307"/>
      <c r="GA203" s="307"/>
      <c r="GB203" s="307"/>
      <c r="GC203" s="307"/>
      <c r="GD203" s="307"/>
      <c r="GE203" s="307"/>
      <c r="GF203" s="307"/>
      <c r="GG203" s="307"/>
      <c r="GH203" s="307"/>
      <c r="GI203" s="307"/>
      <c r="GJ203" s="307"/>
      <c r="GK203" s="307"/>
      <c r="GL203" s="307"/>
      <c r="GM203" s="307"/>
      <c r="GN203" s="307"/>
      <c r="GO203" s="307"/>
      <c r="GP203" s="307"/>
      <c r="GQ203" s="307"/>
      <c r="GR203" s="307"/>
      <c r="GS203" s="307"/>
      <c r="GT203" s="307"/>
      <c r="GU203" s="307"/>
      <c r="GV203" s="307"/>
      <c r="GW203" s="307"/>
      <c r="GX203" s="307"/>
      <c r="GY203" s="307"/>
      <c r="GZ203" s="307"/>
    </row>
    <row r="204" spans="1:208" ht="30">
      <c r="A204" s="519"/>
      <c r="B204" s="519"/>
      <c r="C204" s="519"/>
      <c r="D204" s="337" t="s">
        <v>4500</v>
      </c>
      <c r="E204" s="519"/>
      <c r="F204" s="304" t="s">
        <v>4251</v>
      </c>
      <c r="G204" s="519"/>
      <c r="H204" s="329">
        <v>42</v>
      </c>
      <c r="I204" s="519"/>
      <c r="J204" s="519"/>
      <c r="K204" s="519"/>
      <c r="L204" s="519"/>
      <c r="M204" s="368">
        <v>21808.799999999999</v>
      </c>
      <c r="N204" s="329">
        <v>9335</v>
      </c>
      <c r="O204" s="306">
        <f t="shared" si="24"/>
        <v>203585148</v>
      </c>
      <c r="P204" s="304">
        <f t="shared" si="35"/>
        <v>3</v>
      </c>
      <c r="Q204" s="519"/>
      <c r="R204" s="519"/>
      <c r="S204" s="519"/>
      <c r="T204" s="307"/>
      <c r="U204" s="307"/>
      <c r="V204" s="307"/>
      <c r="W204" s="307"/>
      <c r="X204" s="307"/>
      <c r="Y204" s="307"/>
      <c r="Z204" s="307"/>
      <c r="AA204" s="307"/>
      <c r="AB204" s="307"/>
      <c r="AC204" s="307"/>
      <c r="AD204" s="307"/>
      <c r="AE204" s="307"/>
      <c r="AF204" s="307"/>
      <c r="AG204" s="307"/>
      <c r="AH204" s="307"/>
      <c r="AI204" s="307"/>
      <c r="AJ204" s="307"/>
      <c r="AK204" s="307"/>
      <c r="AL204" s="307"/>
      <c r="AM204" s="307"/>
      <c r="AN204" s="307"/>
      <c r="AO204" s="307"/>
      <c r="AP204" s="307"/>
      <c r="AQ204" s="307"/>
      <c r="AR204" s="307"/>
      <c r="AS204" s="307"/>
      <c r="AT204" s="307"/>
      <c r="AU204" s="307"/>
      <c r="AV204" s="307"/>
      <c r="AW204" s="307"/>
      <c r="AX204" s="307"/>
      <c r="AY204" s="307"/>
      <c r="AZ204" s="307"/>
      <c r="BA204" s="307"/>
      <c r="BB204" s="307"/>
      <c r="BC204" s="307"/>
      <c r="BD204" s="307"/>
      <c r="BE204" s="307"/>
      <c r="BF204" s="307"/>
      <c r="BG204" s="307"/>
      <c r="BH204" s="307"/>
      <c r="BI204" s="307"/>
      <c r="BJ204" s="307"/>
      <c r="BK204" s="307"/>
      <c r="BL204" s="307"/>
      <c r="BM204" s="307"/>
      <c r="BN204" s="307"/>
      <c r="BO204" s="307"/>
      <c r="BP204" s="307"/>
      <c r="BQ204" s="307"/>
      <c r="BR204" s="307"/>
      <c r="BS204" s="307"/>
      <c r="BT204" s="307"/>
      <c r="BU204" s="307"/>
      <c r="BV204" s="307"/>
      <c r="BW204" s="307"/>
      <c r="BX204" s="307"/>
      <c r="BY204" s="307"/>
      <c r="BZ204" s="307"/>
      <c r="CA204" s="307"/>
      <c r="CB204" s="307"/>
      <c r="CC204" s="307"/>
      <c r="CD204" s="307"/>
      <c r="CE204" s="307"/>
      <c r="CF204" s="307"/>
      <c r="CG204" s="307"/>
      <c r="CH204" s="307"/>
      <c r="CI204" s="307"/>
      <c r="CJ204" s="307"/>
      <c r="CK204" s="307"/>
      <c r="CL204" s="307"/>
      <c r="CM204" s="307"/>
      <c r="CN204" s="307"/>
      <c r="CO204" s="307"/>
      <c r="CP204" s="307"/>
      <c r="CQ204" s="307"/>
      <c r="CR204" s="307"/>
      <c r="CS204" s="307"/>
      <c r="CT204" s="307"/>
      <c r="CU204" s="307"/>
      <c r="CV204" s="307"/>
      <c r="CW204" s="307"/>
      <c r="CX204" s="307"/>
      <c r="CY204" s="307"/>
      <c r="CZ204" s="307"/>
      <c r="DA204" s="307"/>
      <c r="DB204" s="307"/>
      <c r="DC204" s="307"/>
      <c r="DD204" s="307"/>
      <c r="DE204" s="307"/>
      <c r="DF204" s="307"/>
      <c r="DG204" s="307"/>
      <c r="DH204" s="307"/>
      <c r="DI204" s="307"/>
      <c r="DJ204" s="307"/>
      <c r="DK204" s="307"/>
      <c r="DL204" s="307"/>
      <c r="DM204" s="307"/>
      <c r="DN204" s="307"/>
      <c r="DO204" s="307"/>
      <c r="DP204" s="307"/>
      <c r="DQ204" s="307"/>
      <c r="DR204" s="307"/>
      <c r="DS204" s="307"/>
      <c r="DT204" s="307"/>
      <c r="DU204" s="307"/>
      <c r="DV204" s="307"/>
      <c r="DW204" s="307"/>
      <c r="DX204" s="307"/>
      <c r="DY204" s="307"/>
      <c r="DZ204" s="307"/>
      <c r="EA204" s="307"/>
      <c r="EB204" s="307"/>
      <c r="EC204" s="307"/>
      <c r="ED204" s="307"/>
      <c r="EE204" s="307"/>
      <c r="EF204" s="307"/>
      <c r="EG204" s="307"/>
      <c r="EH204" s="307"/>
      <c r="EI204" s="307"/>
      <c r="EJ204" s="307"/>
      <c r="EK204" s="307"/>
      <c r="EL204" s="307"/>
      <c r="EM204" s="307"/>
      <c r="EN204" s="307"/>
      <c r="EO204" s="307"/>
      <c r="EP204" s="307"/>
      <c r="EQ204" s="307"/>
      <c r="ER204" s="307"/>
      <c r="ES204" s="307"/>
      <c r="ET204" s="307"/>
      <c r="EU204" s="307"/>
      <c r="EV204" s="307"/>
      <c r="EW204" s="307"/>
      <c r="EX204" s="307"/>
      <c r="EY204" s="307"/>
      <c r="EZ204" s="307"/>
      <c r="FA204" s="307"/>
      <c r="FB204" s="307"/>
      <c r="FC204" s="307"/>
      <c r="FD204" s="307"/>
      <c r="FE204" s="307"/>
      <c r="FF204" s="307"/>
      <c r="FG204" s="307"/>
      <c r="FH204" s="307"/>
      <c r="FI204" s="307"/>
      <c r="FJ204" s="307"/>
      <c r="FK204" s="307"/>
      <c r="FL204" s="307"/>
      <c r="FM204" s="307"/>
      <c r="FN204" s="307"/>
      <c r="FO204" s="307"/>
      <c r="FP204" s="307"/>
      <c r="FQ204" s="307"/>
      <c r="FR204" s="307"/>
      <c r="FS204" s="307"/>
      <c r="FT204" s="307"/>
      <c r="FU204" s="307"/>
      <c r="FV204" s="307"/>
      <c r="FW204" s="307"/>
      <c r="FX204" s="307"/>
      <c r="FY204" s="307"/>
      <c r="FZ204" s="307"/>
      <c r="GA204" s="307"/>
      <c r="GB204" s="307"/>
      <c r="GC204" s="307"/>
      <c r="GD204" s="307"/>
      <c r="GE204" s="307"/>
      <c r="GF204" s="307"/>
      <c r="GG204" s="307"/>
      <c r="GH204" s="307"/>
      <c r="GI204" s="307"/>
      <c r="GJ204" s="307"/>
      <c r="GK204" s="307"/>
      <c r="GL204" s="307"/>
      <c r="GM204" s="307"/>
      <c r="GN204" s="307"/>
      <c r="GO204" s="307"/>
      <c r="GP204" s="307"/>
      <c r="GQ204" s="307"/>
      <c r="GR204" s="307"/>
      <c r="GS204" s="307"/>
      <c r="GT204" s="307"/>
      <c r="GU204" s="307"/>
      <c r="GV204" s="307"/>
      <c r="GW204" s="307"/>
      <c r="GX204" s="307"/>
      <c r="GY204" s="307"/>
      <c r="GZ204" s="307"/>
    </row>
    <row r="205" spans="1:208" ht="15">
      <c r="A205" s="304">
        <v>43</v>
      </c>
      <c r="B205" s="328">
        <v>44858</v>
      </c>
      <c r="C205" s="361">
        <v>1106184</v>
      </c>
      <c r="D205" s="337" t="s">
        <v>4501</v>
      </c>
      <c r="E205" s="329" t="s">
        <v>4250</v>
      </c>
      <c r="F205" s="361" t="s">
        <v>4251</v>
      </c>
      <c r="G205" s="361">
        <v>3185</v>
      </c>
      <c r="H205" s="329">
        <v>112</v>
      </c>
      <c r="I205" s="304">
        <v>4502436418</v>
      </c>
      <c r="J205" s="361">
        <v>3025457</v>
      </c>
      <c r="K205" s="337">
        <v>4902370637</v>
      </c>
      <c r="L205" s="337" t="s">
        <v>4252</v>
      </c>
      <c r="M205" s="304">
        <v>58967</v>
      </c>
      <c r="N205" s="329">
        <v>8200</v>
      </c>
      <c r="O205" s="306">
        <f t="shared" si="24"/>
        <v>483529400</v>
      </c>
      <c r="P205" s="304">
        <f t="shared" si="35"/>
        <v>8</v>
      </c>
      <c r="Q205" s="304" t="s">
        <v>3455</v>
      </c>
      <c r="R205" s="304">
        <v>1040968</v>
      </c>
      <c r="S205" s="304">
        <v>24499200</v>
      </c>
      <c r="T205" s="307"/>
      <c r="U205" s="307"/>
      <c r="V205" s="307"/>
      <c r="W205" s="307"/>
      <c r="X205" s="307"/>
      <c r="Y205" s="307"/>
      <c r="Z205" s="307"/>
      <c r="AA205" s="307"/>
      <c r="AB205" s="307"/>
      <c r="AC205" s="307"/>
      <c r="AD205" s="307"/>
      <c r="AE205" s="307"/>
      <c r="AF205" s="307"/>
      <c r="AG205" s="307"/>
      <c r="AH205" s="307"/>
      <c r="AI205" s="307"/>
      <c r="AJ205" s="307"/>
      <c r="AK205" s="307"/>
      <c r="AL205" s="307"/>
      <c r="AM205" s="307"/>
      <c r="AN205" s="307"/>
      <c r="AO205" s="307"/>
      <c r="AP205" s="307"/>
      <c r="AQ205" s="307"/>
      <c r="AR205" s="307"/>
      <c r="AS205" s="307"/>
      <c r="AT205" s="307"/>
      <c r="AU205" s="307"/>
      <c r="AV205" s="307"/>
      <c r="AW205" s="307"/>
      <c r="AX205" s="307"/>
      <c r="AY205" s="307"/>
      <c r="AZ205" s="307"/>
      <c r="BA205" s="307"/>
      <c r="BB205" s="307"/>
      <c r="BC205" s="307"/>
      <c r="BD205" s="307"/>
      <c r="BE205" s="307"/>
      <c r="BF205" s="307"/>
      <c r="BG205" s="307"/>
      <c r="BH205" s="307"/>
      <c r="BI205" s="307"/>
      <c r="BJ205" s="307"/>
      <c r="BK205" s="307"/>
      <c r="BL205" s="307"/>
      <c r="BM205" s="307"/>
      <c r="BN205" s="307"/>
      <c r="BO205" s="307"/>
      <c r="BP205" s="307"/>
      <c r="BQ205" s="307"/>
      <c r="BR205" s="307"/>
      <c r="BS205" s="307"/>
      <c r="BT205" s="307"/>
      <c r="BU205" s="307"/>
      <c r="BV205" s="307"/>
      <c r="BW205" s="307"/>
      <c r="BX205" s="307"/>
      <c r="BY205" s="307"/>
      <c r="BZ205" s="307"/>
      <c r="CA205" s="307"/>
      <c r="CB205" s="307"/>
      <c r="CC205" s="307"/>
      <c r="CD205" s="307"/>
      <c r="CE205" s="307"/>
      <c r="CF205" s="307"/>
      <c r="CG205" s="307"/>
      <c r="CH205" s="307"/>
      <c r="CI205" s="307"/>
      <c r="CJ205" s="307"/>
      <c r="CK205" s="307"/>
      <c r="CL205" s="307"/>
      <c r="CM205" s="307"/>
      <c r="CN205" s="307"/>
      <c r="CO205" s="307"/>
      <c r="CP205" s="307"/>
      <c r="CQ205" s="307"/>
      <c r="CR205" s="307"/>
      <c r="CS205" s="307"/>
      <c r="CT205" s="307"/>
      <c r="CU205" s="307"/>
      <c r="CV205" s="307"/>
      <c r="CW205" s="307"/>
      <c r="CX205" s="307"/>
      <c r="CY205" s="307"/>
      <c r="CZ205" s="307"/>
      <c r="DA205" s="307"/>
      <c r="DB205" s="307"/>
      <c r="DC205" s="307"/>
      <c r="DD205" s="307"/>
      <c r="DE205" s="307"/>
      <c r="DF205" s="307"/>
      <c r="DG205" s="307"/>
      <c r="DH205" s="307"/>
      <c r="DI205" s="307"/>
      <c r="DJ205" s="307"/>
      <c r="DK205" s="307"/>
      <c r="DL205" s="307"/>
      <c r="DM205" s="307"/>
      <c r="DN205" s="307"/>
      <c r="DO205" s="307"/>
      <c r="DP205" s="307"/>
      <c r="DQ205" s="307"/>
      <c r="DR205" s="307"/>
      <c r="DS205" s="307"/>
      <c r="DT205" s="307"/>
      <c r="DU205" s="307"/>
      <c r="DV205" s="307"/>
      <c r="DW205" s="307"/>
      <c r="DX205" s="307"/>
      <c r="DY205" s="307"/>
      <c r="DZ205" s="307"/>
      <c r="EA205" s="307"/>
      <c r="EB205" s="307"/>
      <c r="EC205" s="307"/>
      <c r="ED205" s="307"/>
      <c r="EE205" s="307"/>
      <c r="EF205" s="307"/>
      <c r="EG205" s="307"/>
      <c r="EH205" s="307"/>
      <c r="EI205" s="307"/>
      <c r="EJ205" s="307"/>
      <c r="EK205" s="307"/>
      <c r="EL205" s="307"/>
      <c r="EM205" s="307"/>
      <c r="EN205" s="307"/>
      <c r="EO205" s="307"/>
      <c r="EP205" s="307"/>
      <c r="EQ205" s="307"/>
      <c r="ER205" s="307"/>
      <c r="ES205" s="307"/>
      <c r="ET205" s="307"/>
      <c r="EU205" s="307"/>
      <c r="EV205" s="307"/>
      <c r="EW205" s="307"/>
      <c r="EX205" s="307"/>
      <c r="EY205" s="307"/>
      <c r="EZ205" s="307"/>
      <c r="FA205" s="307"/>
      <c r="FB205" s="307"/>
      <c r="FC205" s="307"/>
      <c r="FD205" s="307"/>
      <c r="FE205" s="307"/>
      <c r="FF205" s="307"/>
      <c r="FG205" s="307"/>
      <c r="FH205" s="307"/>
      <c r="FI205" s="307"/>
      <c r="FJ205" s="307"/>
      <c r="FK205" s="307"/>
      <c r="FL205" s="307"/>
      <c r="FM205" s="307"/>
      <c r="FN205" s="307"/>
      <c r="FO205" s="307"/>
      <c r="FP205" s="307"/>
      <c r="FQ205" s="307"/>
      <c r="FR205" s="307"/>
      <c r="FS205" s="307"/>
      <c r="FT205" s="307"/>
      <c r="FU205" s="307"/>
      <c r="FV205" s="307"/>
      <c r="FW205" s="307"/>
      <c r="FX205" s="307"/>
      <c r="FY205" s="307"/>
      <c r="FZ205" s="307"/>
      <c r="GA205" s="307"/>
      <c r="GB205" s="307"/>
      <c r="GC205" s="307"/>
      <c r="GD205" s="307"/>
      <c r="GE205" s="307"/>
      <c r="GF205" s="307"/>
      <c r="GG205" s="307"/>
      <c r="GH205" s="307"/>
      <c r="GI205" s="307"/>
      <c r="GJ205" s="307"/>
      <c r="GK205" s="307"/>
      <c r="GL205" s="307"/>
      <c r="GM205" s="307"/>
      <c r="GN205" s="307"/>
      <c r="GO205" s="307"/>
      <c r="GP205" s="307"/>
      <c r="GQ205" s="307"/>
      <c r="GR205" s="307"/>
      <c r="GS205" s="307"/>
      <c r="GT205" s="307"/>
      <c r="GU205" s="307"/>
      <c r="GV205" s="307"/>
      <c r="GW205" s="307"/>
      <c r="GX205" s="307"/>
      <c r="GY205" s="307"/>
      <c r="GZ205" s="307"/>
    </row>
    <row r="206" spans="1:208" ht="15">
      <c r="A206" s="304">
        <v>43</v>
      </c>
      <c r="B206" s="328">
        <v>44859</v>
      </c>
      <c r="C206" s="361">
        <v>1036751</v>
      </c>
      <c r="D206" s="337" t="s">
        <v>4502</v>
      </c>
      <c r="E206" s="329" t="s">
        <v>4450</v>
      </c>
      <c r="F206" s="360" t="s">
        <v>4474</v>
      </c>
      <c r="G206" s="361">
        <v>3180</v>
      </c>
      <c r="H206" s="329">
        <v>28</v>
      </c>
      <c r="I206" s="337">
        <v>4502428887</v>
      </c>
      <c r="J206" s="329">
        <v>3025459</v>
      </c>
      <c r="K206" s="337">
        <v>4902370638</v>
      </c>
      <c r="L206" s="337" t="s">
        <v>4252</v>
      </c>
      <c r="M206" s="368">
        <v>14539.2</v>
      </c>
      <c r="N206" s="329">
        <v>9335</v>
      </c>
      <c r="O206" s="306">
        <f t="shared" si="24"/>
        <v>135723432</v>
      </c>
      <c r="P206" s="304">
        <f t="shared" si="35"/>
        <v>2</v>
      </c>
      <c r="Q206" s="304" t="s">
        <v>3455</v>
      </c>
      <c r="R206" s="304">
        <v>1040968</v>
      </c>
      <c r="S206" s="307">
        <v>3341800</v>
      </c>
      <c r="T206" s="307"/>
      <c r="U206" s="307"/>
      <c r="V206" s="307"/>
      <c r="W206" s="307"/>
      <c r="X206" s="307"/>
      <c r="Y206" s="307"/>
      <c r="Z206" s="307"/>
      <c r="AA206" s="307"/>
      <c r="AB206" s="307"/>
      <c r="AC206" s="307"/>
      <c r="AD206" s="307"/>
      <c r="AE206" s="307"/>
      <c r="AF206" s="307"/>
      <c r="AG206" s="307"/>
      <c r="AH206" s="307"/>
      <c r="AI206" s="307"/>
      <c r="AJ206" s="307"/>
      <c r="AK206" s="307"/>
      <c r="AL206" s="307"/>
      <c r="AM206" s="307"/>
      <c r="AN206" s="307"/>
      <c r="AO206" s="307"/>
      <c r="AP206" s="307"/>
      <c r="AQ206" s="307"/>
      <c r="AR206" s="307"/>
      <c r="AS206" s="307"/>
      <c r="AT206" s="307"/>
      <c r="AU206" s="307"/>
      <c r="AV206" s="307"/>
      <c r="AW206" s="307"/>
      <c r="AX206" s="307"/>
      <c r="AY206" s="307"/>
      <c r="AZ206" s="307"/>
      <c r="BA206" s="307"/>
      <c r="BB206" s="307"/>
      <c r="BC206" s="307"/>
      <c r="BD206" s="307"/>
      <c r="BE206" s="307"/>
      <c r="BF206" s="307"/>
      <c r="BG206" s="307"/>
      <c r="BH206" s="307"/>
      <c r="BI206" s="307"/>
      <c r="BJ206" s="307"/>
      <c r="BK206" s="307"/>
      <c r="BL206" s="307"/>
      <c r="BM206" s="307"/>
      <c r="BN206" s="307"/>
      <c r="BO206" s="307"/>
      <c r="BP206" s="307"/>
      <c r="BQ206" s="307"/>
      <c r="BR206" s="307"/>
      <c r="BS206" s="307"/>
      <c r="BT206" s="307"/>
      <c r="BU206" s="307"/>
      <c r="BV206" s="307"/>
      <c r="BW206" s="307"/>
      <c r="BX206" s="307"/>
      <c r="BY206" s="307"/>
      <c r="BZ206" s="307"/>
      <c r="CA206" s="307"/>
      <c r="CB206" s="307"/>
      <c r="CC206" s="307"/>
      <c r="CD206" s="307"/>
      <c r="CE206" s="307"/>
      <c r="CF206" s="307"/>
      <c r="CG206" s="307"/>
      <c r="CH206" s="307"/>
      <c r="CI206" s="307"/>
      <c r="CJ206" s="307"/>
      <c r="CK206" s="307"/>
      <c r="CL206" s="307"/>
      <c r="CM206" s="307"/>
      <c r="CN206" s="307"/>
      <c r="CO206" s="307"/>
      <c r="CP206" s="307"/>
      <c r="CQ206" s="307"/>
      <c r="CR206" s="307"/>
      <c r="CS206" s="307"/>
      <c r="CT206" s="307"/>
      <c r="CU206" s="307"/>
      <c r="CV206" s="307"/>
      <c r="CW206" s="307"/>
      <c r="CX206" s="307"/>
      <c r="CY206" s="307"/>
      <c r="CZ206" s="307"/>
      <c r="DA206" s="307"/>
      <c r="DB206" s="307"/>
      <c r="DC206" s="307"/>
      <c r="DD206" s="307"/>
      <c r="DE206" s="307"/>
      <c r="DF206" s="307"/>
      <c r="DG206" s="307"/>
      <c r="DH206" s="307"/>
      <c r="DI206" s="307"/>
      <c r="DJ206" s="307"/>
      <c r="DK206" s="307"/>
      <c r="DL206" s="307"/>
      <c r="DM206" s="307"/>
      <c r="DN206" s="307"/>
      <c r="DO206" s="307"/>
      <c r="DP206" s="307"/>
      <c r="DQ206" s="307"/>
      <c r="DR206" s="307"/>
      <c r="DS206" s="307"/>
      <c r="DT206" s="307"/>
      <c r="DU206" s="307"/>
      <c r="DV206" s="307"/>
      <c r="DW206" s="307"/>
      <c r="DX206" s="307"/>
      <c r="DY206" s="307"/>
      <c r="DZ206" s="307"/>
      <c r="EA206" s="307"/>
      <c r="EB206" s="307"/>
      <c r="EC206" s="307"/>
      <c r="ED206" s="307"/>
      <c r="EE206" s="307"/>
      <c r="EF206" s="307"/>
      <c r="EG206" s="307"/>
      <c r="EH206" s="307"/>
      <c r="EI206" s="307"/>
      <c r="EJ206" s="307"/>
      <c r="EK206" s="307"/>
      <c r="EL206" s="307"/>
      <c r="EM206" s="307"/>
      <c r="EN206" s="307"/>
      <c r="EO206" s="307"/>
      <c r="EP206" s="307"/>
      <c r="EQ206" s="307"/>
      <c r="ER206" s="307"/>
      <c r="ES206" s="307"/>
      <c r="ET206" s="307"/>
      <c r="EU206" s="307"/>
      <c r="EV206" s="307"/>
      <c r="EW206" s="307"/>
      <c r="EX206" s="307"/>
      <c r="EY206" s="307"/>
      <c r="EZ206" s="307"/>
      <c r="FA206" s="307"/>
      <c r="FB206" s="307"/>
      <c r="FC206" s="307"/>
      <c r="FD206" s="307"/>
      <c r="FE206" s="307"/>
      <c r="FF206" s="307"/>
      <c r="FG206" s="307"/>
      <c r="FH206" s="307"/>
      <c r="FI206" s="307"/>
      <c r="FJ206" s="307"/>
      <c r="FK206" s="307"/>
      <c r="FL206" s="307"/>
      <c r="FM206" s="307"/>
      <c r="FN206" s="307"/>
      <c r="FO206" s="307"/>
      <c r="FP206" s="307"/>
      <c r="FQ206" s="307"/>
      <c r="FR206" s="307"/>
      <c r="FS206" s="307"/>
      <c r="FT206" s="307"/>
      <c r="FU206" s="307"/>
      <c r="FV206" s="307"/>
      <c r="FW206" s="307"/>
      <c r="FX206" s="307"/>
      <c r="FY206" s="307"/>
      <c r="FZ206" s="307"/>
      <c r="GA206" s="307"/>
      <c r="GB206" s="307"/>
      <c r="GC206" s="307"/>
      <c r="GD206" s="307"/>
      <c r="GE206" s="307"/>
      <c r="GF206" s="307"/>
      <c r="GG206" s="307"/>
      <c r="GH206" s="307"/>
      <c r="GI206" s="307"/>
      <c r="GJ206" s="307"/>
      <c r="GK206" s="307"/>
      <c r="GL206" s="307"/>
      <c r="GM206" s="307"/>
      <c r="GN206" s="307"/>
      <c r="GO206" s="307"/>
      <c r="GP206" s="307"/>
      <c r="GQ206" s="307"/>
      <c r="GR206" s="307"/>
      <c r="GS206" s="307"/>
      <c r="GT206" s="307"/>
      <c r="GU206" s="307"/>
      <c r="GV206" s="307"/>
      <c r="GW206" s="307"/>
      <c r="GX206" s="307"/>
      <c r="GY206" s="307"/>
      <c r="GZ206" s="307"/>
    </row>
    <row r="207" spans="1:208" ht="15">
      <c r="A207" s="282">
        <v>44</v>
      </c>
      <c r="B207" s="332">
        <v>44861</v>
      </c>
      <c r="C207" s="333">
        <v>1076469</v>
      </c>
      <c r="D207" s="342" t="s">
        <v>4503</v>
      </c>
      <c r="E207" s="333" t="s">
        <v>4408</v>
      </c>
      <c r="F207" s="333" t="s">
        <v>4275</v>
      </c>
      <c r="G207" s="333">
        <v>3179</v>
      </c>
      <c r="H207" s="333">
        <v>56</v>
      </c>
      <c r="I207" s="342">
        <v>4502440327</v>
      </c>
      <c r="J207" s="333">
        <v>3025459</v>
      </c>
      <c r="K207" s="342">
        <v>4902375225</v>
      </c>
      <c r="L207" s="282" t="s">
        <v>4252</v>
      </c>
      <c r="M207" s="342">
        <v>28731</v>
      </c>
      <c r="N207" s="333">
        <v>8500</v>
      </c>
      <c r="O207" s="284">
        <f t="shared" si="24"/>
        <v>244213500</v>
      </c>
      <c r="P207" s="285">
        <f t="shared" si="35"/>
        <v>4</v>
      </c>
      <c r="Q207" s="321" t="s">
        <v>3455</v>
      </c>
      <c r="R207" s="282">
        <v>1040968</v>
      </c>
      <c r="S207" s="334">
        <f>1771100*4</f>
        <v>7084400</v>
      </c>
      <c r="T207" s="285"/>
      <c r="U207" s="285"/>
      <c r="V207" s="285"/>
      <c r="W207" s="285"/>
      <c r="X207" s="285"/>
      <c r="Y207" s="285"/>
      <c r="Z207" s="285"/>
      <c r="AA207" s="285"/>
      <c r="AB207" s="285"/>
      <c r="AC207" s="285"/>
      <c r="AD207" s="285"/>
      <c r="AE207" s="285"/>
      <c r="AF207" s="285"/>
      <c r="AG207" s="285"/>
      <c r="AH207" s="285"/>
      <c r="AI207" s="285"/>
      <c r="AJ207" s="285"/>
      <c r="AK207" s="285"/>
      <c r="AL207" s="285"/>
      <c r="AM207" s="285"/>
      <c r="AN207" s="285"/>
      <c r="AO207" s="285"/>
      <c r="AP207" s="285"/>
      <c r="AQ207" s="285"/>
      <c r="AR207" s="285"/>
      <c r="AS207" s="285"/>
      <c r="AT207" s="285"/>
      <c r="AU207" s="285"/>
      <c r="AV207" s="285"/>
      <c r="AW207" s="285"/>
      <c r="AX207" s="285"/>
      <c r="AY207" s="285"/>
      <c r="AZ207" s="285"/>
      <c r="BA207" s="285"/>
      <c r="BB207" s="285"/>
      <c r="BC207" s="285"/>
      <c r="BD207" s="285"/>
      <c r="BE207" s="285"/>
      <c r="BF207" s="285"/>
      <c r="BG207" s="285"/>
      <c r="BH207" s="285"/>
      <c r="BI207" s="285"/>
      <c r="BJ207" s="285"/>
      <c r="BK207" s="285"/>
      <c r="BL207" s="285"/>
      <c r="BM207" s="285"/>
      <c r="BN207" s="285"/>
      <c r="BO207" s="285"/>
      <c r="BP207" s="285"/>
      <c r="BQ207" s="285"/>
      <c r="BR207" s="285"/>
      <c r="BS207" s="285"/>
      <c r="BT207" s="285"/>
      <c r="BU207" s="285"/>
      <c r="BV207" s="285"/>
      <c r="BW207" s="285"/>
      <c r="BX207" s="285"/>
      <c r="BY207" s="285"/>
      <c r="BZ207" s="285"/>
      <c r="CA207" s="285"/>
      <c r="CB207" s="285"/>
      <c r="CC207" s="285"/>
      <c r="CD207" s="285"/>
      <c r="CE207" s="285"/>
      <c r="CF207" s="285"/>
      <c r="CG207" s="285"/>
      <c r="CH207" s="285"/>
      <c r="CI207" s="285"/>
      <c r="CJ207" s="285"/>
      <c r="CK207" s="285"/>
      <c r="CL207" s="285"/>
      <c r="CM207" s="285"/>
      <c r="CN207" s="285"/>
      <c r="CO207" s="285"/>
      <c r="CP207" s="285"/>
      <c r="CQ207" s="285"/>
      <c r="CR207" s="285"/>
      <c r="CS207" s="285"/>
      <c r="CT207" s="285"/>
      <c r="CU207" s="285"/>
      <c r="CV207" s="285"/>
      <c r="CW207" s="285"/>
      <c r="CX207" s="285"/>
      <c r="CY207" s="285"/>
      <c r="CZ207" s="285"/>
      <c r="DA207" s="285"/>
      <c r="DB207" s="285"/>
      <c r="DC207" s="285"/>
      <c r="DD207" s="285"/>
      <c r="DE207" s="285"/>
      <c r="DF207" s="285"/>
      <c r="DG207" s="285"/>
      <c r="DH207" s="285"/>
      <c r="DI207" s="285"/>
      <c r="DJ207" s="285"/>
      <c r="DK207" s="285"/>
      <c r="DL207" s="285"/>
      <c r="DM207" s="285"/>
      <c r="DN207" s="285"/>
      <c r="DO207" s="285"/>
      <c r="DP207" s="285"/>
      <c r="DQ207" s="285"/>
      <c r="DR207" s="285"/>
      <c r="DS207" s="285"/>
      <c r="DT207" s="285"/>
      <c r="DU207" s="285"/>
      <c r="DV207" s="285"/>
      <c r="DW207" s="285"/>
      <c r="DX207" s="285"/>
      <c r="DY207" s="285"/>
      <c r="DZ207" s="285"/>
      <c r="EA207" s="285"/>
      <c r="EB207" s="285"/>
      <c r="EC207" s="285"/>
      <c r="ED207" s="285"/>
      <c r="EE207" s="285"/>
      <c r="EF207" s="285"/>
      <c r="EG207" s="285"/>
      <c r="EH207" s="285"/>
      <c r="EI207" s="285"/>
      <c r="EJ207" s="285"/>
      <c r="EK207" s="285"/>
      <c r="EL207" s="285"/>
      <c r="EM207" s="285"/>
      <c r="EN207" s="285"/>
      <c r="EO207" s="285"/>
      <c r="EP207" s="285"/>
      <c r="EQ207" s="285"/>
      <c r="ER207" s="285"/>
      <c r="ES207" s="285"/>
      <c r="ET207" s="285"/>
      <c r="EU207" s="285"/>
      <c r="EV207" s="285"/>
      <c r="EW207" s="285"/>
      <c r="EX207" s="285"/>
      <c r="EY207" s="285"/>
      <c r="EZ207" s="285"/>
      <c r="FA207" s="285"/>
      <c r="FB207" s="285"/>
      <c r="FC207" s="285"/>
      <c r="FD207" s="285"/>
      <c r="FE207" s="285"/>
      <c r="FF207" s="285"/>
      <c r="FG207" s="285"/>
      <c r="FH207" s="285"/>
      <c r="FI207" s="285"/>
      <c r="FJ207" s="285"/>
      <c r="FK207" s="285"/>
      <c r="FL207" s="285"/>
      <c r="FM207" s="285"/>
      <c r="FN207" s="285"/>
      <c r="FO207" s="285"/>
      <c r="FP207" s="285"/>
      <c r="FQ207" s="285"/>
      <c r="FR207" s="285"/>
      <c r="FS207" s="285"/>
      <c r="FT207" s="285"/>
      <c r="FU207" s="285"/>
      <c r="FV207" s="285"/>
      <c r="FW207" s="285"/>
      <c r="FX207" s="285"/>
      <c r="FY207" s="285"/>
      <c r="FZ207" s="285"/>
      <c r="GA207" s="285"/>
      <c r="GB207" s="285"/>
      <c r="GC207" s="285"/>
      <c r="GD207" s="285"/>
      <c r="GE207" s="285"/>
      <c r="GF207" s="285"/>
      <c r="GG207" s="285"/>
      <c r="GH207" s="285"/>
      <c r="GI207" s="285"/>
      <c r="GJ207" s="285"/>
      <c r="GK207" s="285"/>
      <c r="GL207" s="285"/>
      <c r="GM207" s="285"/>
      <c r="GN207" s="285"/>
      <c r="GO207" s="285"/>
      <c r="GP207" s="285"/>
      <c r="GQ207" s="285"/>
      <c r="GR207" s="285"/>
      <c r="GS207" s="285"/>
      <c r="GT207" s="285"/>
      <c r="GU207" s="285"/>
      <c r="GV207" s="285"/>
      <c r="GW207" s="285"/>
      <c r="GX207" s="285"/>
      <c r="GY207" s="285"/>
      <c r="GZ207" s="285"/>
    </row>
    <row r="208" spans="1:208" ht="15">
      <c r="A208" s="282">
        <v>44</v>
      </c>
      <c r="B208" s="332">
        <v>44862</v>
      </c>
      <c r="C208" s="333">
        <v>1093247</v>
      </c>
      <c r="D208" s="342" t="s">
        <v>4504</v>
      </c>
      <c r="E208" s="333" t="s">
        <v>4412</v>
      </c>
      <c r="F208" s="333" t="s">
        <v>4275</v>
      </c>
      <c r="G208" s="333">
        <v>3190</v>
      </c>
      <c r="H208" s="333">
        <v>56</v>
      </c>
      <c r="I208" s="342">
        <v>4502440330</v>
      </c>
      <c r="J208" s="333">
        <v>3025459</v>
      </c>
      <c r="K208" s="342">
        <v>4902375228</v>
      </c>
      <c r="L208" s="282" t="s">
        <v>4252</v>
      </c>
      <c r="M208" s="342">
        <v>27769</v>
      </c>
      <c r="N208" s="367">
        <v>8500</v>
      </c>
      <c r="O208" s="284">
        <f t="shared" si="24"/>
        <v>236036500</v>
      </c>
      <c r="P208" s="285">
        <f t="shared" si="35"/>
        <v>4</v>
      </c>
      <c r="Q208" s="321" t="s">
        <v>3455</v>
      </c>
      <c r="R208" s="282">
        <v>1040968</v>
      </c>
      <c r="S208" s="334">
        <f>1793900*4</f>
        <v>7175600</v>
      </c>
      <c r="T208" s="285"/>
      <c r="U208" s="285"/>
      <c r="V208" s="285"/>
      <c r="W208" s="285"/>
      <c r="X208" s="285"/>
      <c r="Y208" s="285"/>
      <c r="Z208" s="285"/>
      <c r="AA208" s="285"/>
      <c r="AB208" s="285"/>
      <c r="AC208" s="285"/>
      <c r="AD208" s="285"/>
      <c r="AE208" s="285"/>
      <c r="AF208" s="285"/>
      <c r="AG208" s="285"/>
      <c r="AH208" s="285"/>
      <c r="AI208" s="285"/>
      <c r="AJ208" s="285"/>
      <c r="AK208" s="285"/>
      <c r="AL208" s="285"/>
      <c r="AM208" s="285"/>
      <c r="AN208" s="285"/>
      <c r="AO208" s="285"/>
      <c r="AP208" s="285"/>
      <c r="AQ208" s="285"/>
      <c r="AR208" s="285"/>
      <c r="AS208" s="285"/>
      <c r="AT208" s="285"/>
      <c r="AU208" s="285"/>
      <c r="AV208" s="285"/>
      <c r="AW208" s="285"/>
      <c r="AX208" s="285"/>
      <c r="AY208" s="285"/>
      <c r="AZ208" s="285"/>
      <c r="BA208" s="285"/>
      <c r="BB208" s="285"/>
      <c r="BC208" s="285"/>
      <c r="BD208" s="285"/>
      <c r="BE208" s="285"/>
      <c r="BF208" s="285"/>
      <c r="BG208" s="285"/>
      <c r="BH208" s="285"/>
      <c r="BI208" s="285"/>
      <c r="BJ208" s="285"/>
      <c r="BK208" s="285"/>
      <c r="BL208" s="285"/>
      <c r="BM208" s="285"/>
      <c r="BN208" s="285"/>
      <c r="BO208" s="285"/>
      <c r="BP208" s="285"/>
      <c r="BQ208" s="285"/>
      <c r="BR208" s="285"/>
      <c r="BS208" s="285"/>
      <c r="BT208" s="285"/>
      <c r="BU208" s="285"/>
      <c r="BV208" s="285"/>
      <c r="BW208" s="285"/>
      <c r="BX208" s="285"/>
      <c r="BY208" s="285"/>
      <c r="BZ208" s="285"/>
      <c r="CA208" s="285"/>
      <c r="CB208" s="285"/>
      <c r="CC208" s="285"/>
      <c r="CD208" s="285"/>
      <c r="CE208" s="285"/>
      <c r="CF208" s="285"/>
      <c r="CG208" s="285"/>
      <c r="CH208" s="285"/>
      <c r="CI208" s="285"/>
      <c r="CJ208" s="285"/>
      <c r="CK208" s="285"/>
      <c r="CL208" s="285"/>
      <c r="CM208" s="285"/>
      <c r="CN208" s="285"/>
      <c r="CO208" s="285"/>
      <c r="CP208" s="285"/>
      <c r="CQ208" s="285"/>
      <c r="CR208" s="285"/>
      <c r="CS208" s="285"/>
      <c r="CT208" s="285"/>
      <c r="CU208" s="285"/>
      <c r="CV208" s="285"/>
      <c r="CW208" s="285"/>
      <c r="CX208" s="285"/>
      <c r="CY208" s="285"/>
      <c r="CZ208" s="285"/>
      <c r="DA208" s="285"/>
      <c r="DB208" s="285"/>
      <c r="DC208" s="285"/>
      <c r="DD208" s="285"/>
      <c r="DE208" s="285"/>
      <c r="DF208" s="285"/>
      <c r="DG208" s="285"/>
      <c r="DH208" s="285"/>
      <c r="DI208" s="285"/>
      <c r="DJ208" s="285"/>
      <c r="DK208" s="285"/>
      <c r="DL208" s="285"/>
      <c r="DM208" s="285"/>
      <c r="DN208" s="285"/>
      <c r="DO208" s="285"/>
      <c r="DP208" s="285"/>
      <c r="DQ208" s="285"/>
      <c r="DR208" s="285"/>
      <c r="DS208" s="285"/>
      <c r="DT208" s="285"/>
      <c r="DU208" s="285"/>
      <c r="DV208" s="285"/>
      <c r="DW208" s="285"/>
      <c r="DX208" s="285"/>
      <c r="DY208" s="285"/>
      <c r="DZ208" s="285"/>
      <c r="EA208" s="285"/>
      <c r="EB208" s="285"/>
      <c r="EC208" s="285"/>
      <c r="ED208" s="285"/>
      <c r="EE208" s="285"/>
      <c r="EF208" s="285"/>
      <c r="EG208" s="285"/>
      <c r="EH208" s="285"/>
      <c r="EI208" s="285"/>
      <c r="EJ208" s="285"/>
      <c r="EK208" s="285"/>
      <c r="EL208" s="285"/>
      <c r="EM208" s="285"/>
      <c r="EN208" s="285"/>
      <c r="EO208" s="285"/>
      <c r="EP208" s="285"/>
      <c r="EQ208" s="285"/>
      <c r="ER208" s="285"/>
      <c r="ES208" s="285"/>
      <c r="ET208" s="285"/>
      <c r="EU208" s="285"/>
      <c r="EV208" s="285"/>
      <c r="EW208" s="285"/>
      <c r="EX208" s="285"/>
      <c r="EY208" s="285"/>
      <c r="EZ208" s="285"/>
      <c r="FA208" s="285"/>
      <c r="FB208" s="285"/>
      <c r="FC208" s="285"/>
      <c r="FD208" s="285"/>
      <c r="FE208" s="285"/>
      <c r="FF208" s="285"/>
      <c r="FG208" s="285"/>
      <c r="FH208" s="285"/>
      <c r="FI208" s="285"/>
      <c r="FJ208" s="285"/>
      <c r="FK208" s="285"/>
      <c r="FL208" s="285"/>
      <c r="FM208" s="285"/>
      <c r="FN208" s="285"/>
      <c r="FO208" s="285"/>
      <c r="FP208" s="285"/>
      <c r="FQ208" s="285"/>
      <c r="FR208" s="285"/>
      <c r="FS208" s="285"/>
      <c r="FT208" s="285"/>
      <c r="FU208" s="285"/>
      <c r="FV208" s="285"/>
      <c r="FW208" s="285"/>
      <c r="FX208" s="285"/>
      <c r="FY208" s="285"/>
      <c r="FZ208" s="285"/>
      <c r="GA208" s="285"/>
      <c r="GB208" s="285"/>
      <c r="GC208" s="285"/>
      <c r="GD208" s="285"/>
      <c r="GE208" s="285"/>
      <c r="GF208" s="285"/>
      <c r="GG208" s="285"/>
      <c r="GH208" s="285"/>
      <c r="GI208" s="285"/>
      <c r="GJ208" s="285"/>
      <c r="GK208" s="285"/>
      <c r="GL208" s="285"/>
      <c r="GM208" s="285"/>
      <c r="GN208" s="285"/>
      <c r="GO208" s="285"/>
      <c r="GP208" s="285"/>
      <c r="GQ208" s="285"/>
      <c r="GR208" s="285"/>
      <c r="GS208" s="285"/>
      <c r="GT208" s="285"/>
      <c r="GU208" s="285"/>
      <c r="GV208" s="285"/>
      <c r="GW208" s="285"/>
      <c r="GX208" s="285"/>
      <c r="GY208" s="285"/>
      <c r="GZ208" s="285"/>
    </row>
    <row r="209" spans="1:208" ht="15">
      <c r="A209" s="282">
        <v>44</v>
      </c>
      <c r="B209" s="332">
        <v>44863</v>
      </c>
      <c r="C209" s="333">
        <v>1076473</v>
      </c>
      <c r="D209" s="342" t="s">
        <v>4505</v>
      </c>
      <c r="E209" s="333" t="s">
        <v>199</v>
      </c>
      <c r="F209" s="333" t="s">
        <v>4251</v>
      </c>
      <c r="G209" s="333">
        <v>3165</v>
      </c>
      <c r="H209" s="333">
        <v>14</v>
      </c>
      <c r="I209" s="282">
        <v>4502440391</v>
      </c>
      <c r="J209" s="333">
        <v>3025457</v>
      </c>
      <c r="K209" s="282">
        <v>4902376619</v>
      </c>
      <c r="L209" s="282" t="s">
        <v>4252</v>
      </c>
      <c r="M209" s="283">
        <v>7255</v>
      </c>
      <c r="N209" s="367">
        <v>8400</v>
      </c>
      <c r="O209" s="284">
        <f t="shared" si="24"/>
        <v>60942000</v>
      </c>
      <c r="P209" s="285">
        <f t="shared" si="35"/>
        <v>1</v>
      </c>
      <c r="Q209" s="321" t="s">
        <v>3455</v>
      </c>
      <c r="R209" s="282">
        <v>1040968</v>
      </c>
      <c r="S209" s="282">
        <v>1648800</v>
      </c>
      <c r="T209" s="285"/>
      <c r="U209" s="285"/>
      <c r="V209" s="285"/>
      <c r="W209" s="285"/>
      <c r="X209" s="285"/>
      <c r="Y209" s="285"/>
      <c r="Z209" s="285"/>
      <c r="AA209" s="285"/>
      <c r="AB209" s="285"/>
      <c r="AC209" s="285"/>
      <c r="AD209" s="285"/>
      <c r="AE209" s="285"/>
      <c r="AF209" s="285"/>
      <c r="AG209" s="285"/>
      <c r="AH209" s="285"/>
      <c r="AI209" s="285"/>
      <c r="AJ209" s="285"/>
      <c r="AK209" s="285"/>
      <c r="AL209" s="285"/>
      <c r="AM209" s="285"/>
      <c r="AN209" s="285"/>
      <c r="AO209" s="285"/>
      <c r="AP209" s="285"/>
      <c r="AQ209" s="285"/>
      <c r="AR209" s="285"/>
      <c r="AS209" s="285"/>
      <c r="AT209" s="285"/>
      <c r="AU209" s="285"/>
      <c r="AV209" s="285"/>
      <c r="AW209" s="285"/>
      <c r="AX209" s="285"/>
      <c r="AY209" s="285"/>
      <c r="AZ209" s="285"/>
      <c r="BA209" s="285"/>
      <c r="BB209" s="285"/>
      <c r="BC209" s="285"/>
      <c r="BD209" s="285"/>
      <c r="BE209" s="285"/>
      <c r="BF209" s="285"/>
      <c r="BG209" s="285"/>
      <c r="BH209" s="285"/>
      <c r="BI209" s="285"/>
      <c r="BJ209" s="285"/>
      <c r="BK209" s="285"/>
      <c r="BL209" s="285"/>
      <c r="BM209" s="285"/>
      <c r="BN209" s="285"/>
      <c r="BO209" s="285"/>
      <c r="BP209" s="285"/>
      <c r="BQ209" s="285"/>
      <c r="BR209" s="285"/>
      <c r="BS209" s="285"/>
      <c r="BT209" s="285"/>
      <c r="BU209" s="285"/>
      <c r="BV209" s="285"/>
      <c r="BW209" s="285"/>
      <c r="BX209" s="285"/>
      <c r="BY209" s="285"/>
      <c r="BZ209" s="285"/>
      <c r="CA209" s="285"/>
      <c r="CB209" s="285"/>
      <c r="CC209" s="285"/>
      <c r="CD209" s="285"/>
      <c r="CE209" s="285"/>
      <c r="CF209" s="285"/>
      <c r="CG209" s="285"/>
      <c r="CH209" s="285"/>
      <c r="CI209" s="285"/>
      <c r="CJ209" s="285"/>
      <c r="CK209" s="285"/>
      <c r="CL209" s="285"/>
      <c r="CM209" s="285"/>
      <c r="CN209" s="285"/>
      <c r="CO209" s="285"/>
      <c r="CP209" s="285"/>
      <c r="CQ209" s="285"/>
      <c r="CR209" s="285"/>
      <c r="CS209" s="285"/>
      <c r="CT209" s="285"/>
      <c r="CU209" s="285"/>
      <c r="CV209" s="285"/>
      <c r="CW209" s="285"/>
      <c r="CX209" s="285"/>
      <c r="CY209" s="285"/>
      <c r="CZ209" s="285"/>
      <c r="DA209" s="285"/>
      <c r="DB209" s="285"/>
      <c r="DC209" s="285"/>
      <c r="DD209" s="285"/>
      <c r="DE209" s="285"/>
      <c r="DF209" s="285"/>
      <c r="DG209" s="285"/>
      <c r="DH209" s="285"/>
      <c r="DI209" s="285"/>
      <c r="DJ209" s="285"/>
      <c r="DK209" s="285"/>
      <c r="DL209" s="285"/>
      <c r="DM209" s="285"/>
      <c r="DN209" s="285"/>
      <c r="DO209" s="285"/>
      <c r="DP209" s="285"/>
      <c r="DQ209" s="285"/>
      <c r="DR209" s="285"/>
      <c r="DS209" s="285"/>
      <c r="DT209" s="285"/>
      <c r="DU209" s="285"/>
      <c r="DV209" s="285"/>
      <c r="DW209" s="285"/>
      <c r="DX209" s="285"/>
      <c r="DY209" s="285"/>
      <c r="DZ209" s="285"/>
      <c r="EA209" s="285"/>
      <c r="EB209" s="285"/>
      <c r="EC209" s="285"/>
      <c r="ED209" s="285"/>
      <c r="EE209" s="285"/>
      <c r="EF209" s="285"/>
      <c r="EG209" s="285"/>
      <c r="EH209" s="285"/>
      <c r="EI209" s="285"/>
      <c r="EJ209" s="285"/>
      <c r="EK209" s="285"/>
      <c r="EL209" s="285"/>
      <c r="EM209" s="285"/>
      <c r="EN209" s="285"/>
      <c r="EO209" s="285"/>
      <c r="EP209" s="285"/>
      <c r="EQ209" s="285"/>
      <c r="ER209" s="285"/>
      <c r="ES209" s="285"/>
      <c r="ET209" s="285"/>
      <c r="EU209" s="285"/>
      <c r="EV209" s="285"/>
      <c r="EW209" s="285"/>
      <c r="EX209" s="285"/>
      <c r="EY209" s="285"/>
      <c r="EZ209" s="285"/>
      <c r="FA209" s="285"/>
      <c r="FB209" s="285"/>
      <c r="FC209" s="285"/>
      <c r="FD209" s="285"/>
      <c r="FE209" s="285"/>
      <c r="FF209" s="285"/>
      <c r="FG209" s="285"/>
      <c r="FH209" s="285"/>
      <c r="FI209" s="285"/>
      <c r="FJ209" s="285"/>
      <c r="FK209" s="285"/>
      <c r="FL209" s="285"/>
      <c r="FM209" s="285"/>
      <c r="FN209" s="285"/>
      <c r="FO209" s="285"/>
      <c r="FP209" s="285"/>
      <c r="FQ209" s="285"/>
      <c r="FR209" s="285"/>
      <c r="FS209" s="285"/>
      <c r="FT209" s="285"/>
      <c r="FU209" s="285"/>
      <c r="FV209" s="285"/>
      <c r="FW209" s="285"/>
      <c r="FX209" s="285"/>
      <c r="FY209" s="285"/>
      <c r="FZ209" s="285"/>
      <c r="GA209" s="285"/>
      <c r="GB209" s="285"/>
      <c r="GC209" s="285"/>
      <c r="GD209" s="285"/>
      <c r="GE209" s="285"/>
      <c r="GF209" s="285"/>
      <c r="GG209" s="285"/>
      <c r="GH209" s="285"/>
      <c r="GI209" s="285"/>
      <c r="GJ209" s="285"/>
      <c r="GK209" s="285"/>
      <c r="GL209" s="285"/>
      <c r="GM209" s="285"/>
      <c r="GN209" s="285"/>
      <c r="GO209" s="285"/>
      <c r="GP209" s="285"/>
      <c r="GQ209" s="285"/>
      <c r="GR209" s="285"/>
      <c r="GS209" s="285"/>
      <c r="GT209" s="285"/>
      <c r="GU209" s="285"/>
      <c r="GV209" s="285"/>
      <c r="GW209" s="285"/>
      <c r="GX209" s="285"/>
      <c r="GY209" s="285"/>
      <c r="GZ209" s="285"/>
    </row>
    <row r="210" spans="1:208" ht="15">
      <c r="A210" s="282">
        <v>44</v>
      </c>
      <c r="B210" s="332">
        <v>44863</v>
      </c>
      <c r="C210" s="333">
        <v>1113670</v>
      </c>
      <c r="D210" s="342" t="s">
        <v>4506</v>
      </c>
      <c r="E210" s="333" t="s">
        <v>4507</v>
      </c>
      <c r="F210" s="333" t="s">
        <v>4251</v>
      </c>
      <c r="G210" s="333">
        <v>3164</v>
      </c>
      <c r="H210" s="333">
        <v>14</v>
      </c>
      <c r="I210" s="282">
        <v>4502441276</v>
      </c>
      <c r="J210" s="333">
        <v>3025457</v>
      </c>
      <c r="K210" s="282">
        <v>4902375231</v>
      </c>
      <c r="L210" s="282" t="s">
        <v>4252</v>
      </c>
      <c r="M210" s="283">
        <v>7077</v>
      </c>
      <c r="N210" s="367">
        <v>8200</v>
      </c>
      <c r="O210" s="284">
        <f t="shared" si="24"/>
        <v>58031400</v>
      </c>
      <c r="P210" s="285">
        <f t="shared" si="35"/>
        <v>1</v>
      </c>
      <c r="Q210" s="321" t="s">
        <v>3455</v>
      </c>
      <c r="R210" s="282">
        <v>1040968</v>
      </c>
      <c r="S210" s="342">
        <v>2988600</v>
      </c>
      <c r="T210" s="334"/>
      <c r="U210" s="334"/>
      <c r="V210" s="285"/>
      <c r="W210" s="285"/>
      <c r="X210" s="285"/>
      <c r="Y210" s="285"/>
      <c r="Z210" s="285"/>
      <c r="AA210" s="285"/>
      <c r="AB210" s="285"/>
      <c r="AC210" s="285"/>
      <c r="AD210" s="285"/>
      <c r="AE210" s="285"/>
      <c r="AF210" s="285"/>
      <c r="AG210" s="285"/>
      <c r="AH210" s="285"/>
      <c r="AI210" s="285"/>
      <c r="AJ210" s="285"/>
      <c r="AK210" s="285"/>
      <c r="AL210" s="285"/>
      <c r="AM210" s="285"/>
      <c r="AN210" s="285"/>
      <c r="AO210" s="285"/>
      <c r="AP210" s="285"/>
      <c r="AQ210" s="285"/>
      <c r="AR210" s="285"/>
      <c r="AS210" s="285"/>
      <c r="AT210" s="285"/>
      <c r="AU210" s="285"/>
      <c r="AV210" s="285"/>
      <c r="AW210" s="285"/>
      <c r="AX210" s="285"/>
      <c r="AY210" s="285"/>
      <c r="AZ210" s="285"/>
      <c r="BA210" s="285"/>
      <c r="BB210" s="285"/>
      <c r="BC210" s="285"/>
      <c r="BD210" s="285"/>
      <c r="BE210" s="285"/>
      <c r="BF210" s="285"/>
      <c r="BG210" s="285"/>
      <c r="BH210" s="285"/>
      <c r="BI210" s="285"/>
      <c r="BJ210" s="285"/>
      <c r="BK210" s="285"/>
      <c r="BL210" s="285"/>
      <c r="BM210" s="285"/>
      <c r="BN210" s="285"/>
      <c r="BO210" s="285"/>
      <c r="BP210" s="285"/>
      <c r="BQ210" s="285"/>
      <c r="BR210" s="285"/>
      <c r="BS210" s="285"/>
      <c r="BT210" s="285"/>
      <c r="BU210" s="285"/>
      <c r="BV210" s="285"/>
      <c r="BW210" s="285"/>
      <c r="BX210" s="285"/>
      <c r="BY210" s="285"/>
      <c r="BZ210" s="285"/>
      <c r="CA210" s="285"/>
      <c r="CB210" s="285"/>
      <c r="CC210" s="285"/>
      <c r="CD210" s="285"/>
      <c r="CE210" s="285"/>
      <c r="CF210" s="285"/>
      <c r="CG210" s="285"/>
      <c r="CH210" s="285"/>
      <c r="CI210" s="285"/>
      <c r="CJ210" s="285"/>
      <c r="CK210" s="285"/>
      <c r="CL210" s="285"/>
      <c r="CM210" s="285"/>
      <c r="CN210" s="285"/>
      <c r="CO210" s="285"/>
      <c r="CP210" s="285"/>
      <c r="CQ210" s="285"/>
      <c r="CR210" s="285"/>
      <c r="CS210" s="285"/>
      <c r="CT210" s="285"/>
      <c r="CU210" s="285"/>
      <c r="CV210" s="285"/>
      <c r="CW210" s="285"/>
      <c r="CX210" s="285"/>
      <c r="CY210" s="285"/>
      <c r="CZ210" s="285"/>
      <c r="DA210" s="285"/>
      <c r="DB210" s="285"/>
      <c r="DC210" s="285"/>
      <c r="DD210" s="285"/>
      <c r="DE210" s="285"/>
      <c r="DF210" s="285"/>
      <c r="DG210" s="285"/>
      <c r="DH210" s="285"/>
      <c r="DI210" s="285"/>
      <c r="DJ210" s="285"/>
      <c r="DK210" s="285"/>
      <c r="DL210" s="285"/>
      <c r="DM210" s="285"/>
      <c r="DN210" s="285"/>
      <c r="DO210" s="285"/>
      <c r="DP210" s="285"/>
      <c r="DQ210" s="285"/>
      <c r="DR210" s="285"/>
      <c r="DS210" s="285"/>
      <c r="DT210" s="285"/>
      <c r="DU210" s="285"/>
      <c r="DV210" s="285"/>
      <c r="DW210" s="285"/>
      <c r="DX210" s="285"/>
      <c r="DY210" s="285"/>
      <c r="DZ210" s="285"/>
      <c r="EA210" s="285"/>
      <c r="EB210" s="285"/>
      <c r="EC210" s="285"/>
      <c r="ED210" s="285"/>
      <c r="EE210" s="285"/>
      <c r="EF210" s="285"/>
      <c r="EG210" s="285"/>
      <c r="EH210" s="285"/>
      <c r="EI210" s="285"/>
      <c r="EJ210" s="285"/>
      <c r="EK210" s="285"/>
      <c r="EL210" s="285"/>
      <c r="EM210" s="285"/>
      <c r="EN210" s="285"/>
      <c r="EO210" s="285"/>
      <c r="EP210" s="285"/>
      <c r="EQ210" s="285"/>
      <c r="ER210" s="285"/>
      <c r="ES210" s="285"/>
      <c r="ET210" s="285"/>
      <c r="EU210" s="285"/>
      <c r="EV210" s="285"/>
      <c r="EW210" s="285"/>
      <c r="EX210" s="285"/>
      <c r="EY210" s="285"/>
      <c r="EZ210" s="285"/>
      <c r="FA210" s="285"/>
      <c r="FB210" s="285"/>
      <c r="FC210" s="285"/>
      <c r="FD210" s="285"/>
      <c r="FE210" s="285"/>
      <c r="FF210" s="285"/>
      <c r="FG210" s="285"/>
      <c r="FH210" s="285"/>
      <c r="FI210" s="285"/>
      <c r="FJ210" s="285"/>
      <c r="FK210" s="285"/>
      <c r="FL210" s="285"/>
      <c r="FM210" s="285"/>
      <c r="FN210" s="285"/>
      <c r="FO210" s="285"/>
      <c r="FP210" s="285"/>
      <c r="FQ210" s="285"/>
      <c r="FR210" s="285"/>
      <c r="FS210" s="285"/>
      <c r="FT210" s="285"/>
      <c r="FU210" s="285"/>
      <c r="FV210" s="285"/>
      <c r="FW210" s="285"/>
      <c r="FX210" s="285"/>
      <c r="FY210" s="285"/>
      <c r="FZ210" s="285"/>
      <c r="GA210" s="285"/>
      <c r="GB210" s="285"/>
      <c r="GC210" s="285"/>
      <c r="GD210" s="285"/>
      <c r="GE210" s="285"/>
      <c r="GF210" s="285"/>
      <c r="GG210" s="285"/>
      <c r="GH210" s="285"/>
      <c r="GI210" s="285"/>
      <c r="GJ210" s="285"/>
      <c r="GK210" s="285"/>
      <c r="GL210" s="285"/>
      <c r="GM210" s="285"/>
      <c r="GN210" s="285"/>
      <c r="GO210" s="285"/>
      <c r="GP210" s="285"/>
      <c r="GQ210" s="285"/>
      <c r="GR210" s="285"/>
      <c r="GS210" s="285"/>
      <c r="GT210" s="285"/>
      <c r="GU210" s="285"/>
      <c r="GV210" s="285"/>
      <c r="GW210" s="285"/>
      <c r="GX210" s="285"/>
      <c r="GY210" s="285"/>
      <c r="GZ210" s="285"/>
    </row>
    <row r="211" spans="1:208" ht="15">
      <c r="A211" s="282">
        <v>44</v>
      </c>
      <c r="B211" s="332">
        <v>44864</v>
      </c>
      <c r="C211" s="333">
        <v>1053331</v>
      </c>
      <c r="D211" s="342" t="s">
        <v>4508</v>
      </c>
      <c r="E211" s="333" t="s">
        <v>4416</v>
      </c>
      <c r="F211" s="333" t="s">
        <v>4275</v>
      </c>
      <c r="G211" s="333">
        <v>3178</v>
      </c>
      <c r="H211" s="333">
        <v>42</v>
      </c>
      <c r="I211" s="282">
        <v>4502441277</v>
      </c>
      <c r="J211" s="333">
        <v>3025459</v>
      </c>
      <c r="K211" s="282">
        <v>4902375233</v>
      </c>
      <c r="L211" s="282" t="s">
        <v>4252</v>
      </c>
      <c r="M211" s="283">
        <v>19752</v>
      </c>
      <c r="N211" s="367">
        <v>8400</v>
      </c>
      <c r="O211" s="284">
        <f t="shared" si="24"/>
        <v>165916800</v>
      </c>
      <c r="P211" s="285">
        <f t="shared" si="35"/>
        <v>3</v>
      </c>
      <c r="Q211" s="321" t="s">
        <v>4266</v>
      </c>
      <c r="R211" s="342">
        <v>1004892</v>
      </c>
      <c r="S211" s="342">
        <v>4792500</v>
      </c>
      <c r="T211" s="334"/>
      <c r="U211" s="334"/>
      <c r="V211" s="285"/>
      <c r="W211" s="285"/>
      <c r="X211" s="285"/>
      <c r="Y211" s="285"/>
      <c r="Z211" s="285"/>
      <c r="AA211" s="285"/>
      <c r="AB211" s="285"/>
      <c r="AC211" s="285"/>
      <c r="AD211" s="285"/>
      <c r="AE211" s="285"/>
      <c r="AF211" s="285"/>
      <c r="AG211" s="285"/>
      <c r="AH211" s="285"/>
      <c r="AI211" s="285"/>
      <c r="AJ211" s="285"/>
      <c r="AK211" s="285"/>
      <c r="AL211" s="285"/>
      <c r="AM211" s="285"/>
      <c r="AN211" s="285"/>
      <c r="AO211" s="285"/>
      <c r="AP211" s="285"/>
      <c r="AQ211" s="285"/>
      <c r="AR211" s="285"/>
      <c r="AS211" s="285"/>
      <c r="AT211" s="285"/>
      <c r="AU211" s="285"/>
      <c r="AV211" s="285"/>
      <c r="AW211" s="285"/>
      <c r="AX211" s="285"/>
      <c r="AY211" s="285"/>
      <c r="AZ211" s="285"/>
      <c r="BA211" s="285"/>
      <c r="BB211" s="285"/>
      <c r="BC211" s="285"/>
      <c r="BD211" s="285"/>
      <c r="BE211" s="285"/>
      <c r="BF211" s="285"/>
      <c r="BG211" s="285"/>
      <c r="BH211" s="285"/>
      <c r="BI211" s="285"/>
      <c r="BJ211" s="285"/>
      <c r="BK211" s="285"/>
      <c r="BL211" s="285"/>
      <c r="BM211" s="285"/>
      <c r="BN211" s="285"/>
      <c r="BO211" s="285"/>
      <c r="BP211" s="285"/>
      <c r="BQ211" s="285"/>
      <c r="BR211" s="285"/>
      <c r="BS211" s="285"/>
      <c r="BT211" s="285"/>
      <c r="BU211" s="285"/>
      <c r="BV211" s="285"/>
      <c r="BW211" s="285"/>
      <c r="BX211" s="285"/>
      <c r="BY211" s="285"/>
      <c r="BZ211" s="285"/>
      <c r="CA211" s="285"/>
      <c r="CB211" s="285"/>
      <c r="CC211" s="285"/>
      <c r="CD211" s="285"/>
      <c r="CE211" s="285"/>
      <c r="CF211" s="285"/>
      <c r="CG211" s="285"/>
      <c r="CH211" s="285"/>
      <c r="CI211" s="285"/>
      <c r="CJ211" s="285"/>
      <c r="CK211" s="285"/>
      <c r="CL211" s="285"/>
      <c r="CM211" s="285"/>
      <c r="CN211" s="285"/>
      <c r="CO211" s="285"/>
      <c r="CP211" s="285"/>
      <c r="CQ211" s="285"/>
      <c r="CR211" s="285"/>
      <c r="CS211" s="285"/>
      <c r="CT211" s="285"/>
      <c r="CU211" s="285"/>
      <c r="CV211" s="285"/>
      <c r="CW211" s="285"/>
      <c r="CX211" s="285"/>
      <c r="CY211" s="285"/>
      <c r="CZ211" s="285"/>
      <c r="DA211" s="285"/>
      <c r="DB211" s="285"/>
      <c r="DC211" s="285"/>
      <c r="DD211" s="285"/>
      <c r="DE211" s="285"/>
      <c r="DF211" s="285"/>
      <c r="DG211" s="285"/>
      <c r="DH211" s="285"/>
      <c r="DI211" s="285"/>
      <c r="DJ211" s="285"/>
      <c r="DK211" s="285"/>
      <c r="DL211" s="285"/>
      <c r="DM211" s="285"/>
      <c r="DN211" s="285"/>
      <c r="DO211" s="285"/>
      <c r="DP211" s="285"/>
      <c r="DQ211" s="285"/>
      <c r="DR211" s="285"/>
      <c r="DS211" s="285"/>
      <c r="DT211" s="285"/>
      <c r="DU211" s="285"/>
      <c r="DV211" s="285"/>
      <c r="DW211" s="285"/>
      <c r="DX211" s="285"/>
      <c r="DY211" s="285"/>
      <c r="DZ211" s="285"/>
      <c r="EA211" s="285"/>
      <c r="EB211" s="285"/>
      <c r="EC211" s="285"/>
      <c r="ED211" s="285"/>
      <c r="EE211" s="285"/>
      <c r="EF211" s="285"/>
      <c r="EG211" s="285"/>
      <c r="EH211" s="285"/>
      <c r="EI211" s="285"/>
      <c r="EJ211" s="285"/>
      <c r="EK211" s="285"/>
      <c r="EL211" s="285"/>
      <c r="EM211" s="285"/>
      <c r="EN211" s="285"/>
      <c r="EO211" s="285"/>
      <c r="EP211" s="285"/>
      <c r="EQ211" s="285"/>
      <c r="ER211" s="285"/>
      <c r="ES211" s="285"/>
      <c r="ET211" s="285"/>
      <c r="EU211" s="285"/>
      <c r="EV211" s="285"/>
      <c r="EW211" s="285"/>
      <c r="EX211" s="285"/>
      <c r="EY211" s="285"/>
      <c r="EZ211" s="285"/>
      <c r="FA211" s="285"/>
      <c r="FB211" s="285"/>
      <c r="FC211" s="285"/>
      <c r="FD211" s="285"/>
      <c r="FE211" s="285"/>
      <c r="FF211" s="285"/>
      <c r="FG211" s="285"/>
      <c r="FH211" s="285"/>
      <c r="FI211" s="285"/>
      <c r="FJ211" s="285"/>
      <c r="FK211" s="285"/>
      <c r="FL211" s="285"/>
      <c r="FM211" s="285"/>
      <c r="FN211" s="285"/>
      <c r="FO211" s="285"/>
      <c r="FP211" s="285"/>
      <c r="FQ211" s="285"/>
      <c r="FR211" s="285"/>
      <c r="FS211" s="285"/>
      <c r="FT211" s="285"/>
      <c r="FU211" s="285"/>
      <c r="FV211" s="285"/>
      <c r="FW211" s="285"/>
      <c r="FX211" s="285"/>
      <c r="FY211" s="285"/>
      <c r="FZ211" s="285"/>
      <c r="GA211" s="285"/>
      <c r="GB211" s="285"/>
      <c r="GC211" s="285"/>
      <c r="GD211" s="285"/>
      <c r="GE211" s="285"/>
      <c r="GF211" s="285"/>
      <c r="GG211" s="285"/>
      <c r="GH211" s="285"/>
      <c r="GI211" s="285"/>
      <c r="GJ211" s="285"/>
      <c r="GK211" s="285"/>
      <c r="GL211" s="285"/>
      <c r="GM211" s="285"/>
      <c r="GN211" s="285"/>
      <c r="GO211" s="285"/>
      <c r="GP211" s="285"/>
      <c r="GQ211" s="285"/>
      <c r="GR211" s="285"/>
      <c r="GS211" s="285"/>
      <c r="GT211" s="285"/>
      <c r="GU211" s="285"/>
      <c r="GV211" s="285"/>
      <c r="GW211" s="285"/>
      <c r="GX211" s="285"/>
      <c r="GY211" s="285"/>
      <c r="GZ211" s="285"/>
    </row>
    <row r="212" spans="1:208" ht="15">
      <c r="A212" s="282">
        <v>44</v>
      </c>
      <c r="B212" s="332">
        <v>44865</v>
      </c>
      <c r="C212" s="333">
        <v>1106184</v>
      </c>
      <c r="D212" s="342" t="s">
        <v>4509</v>
      </c>
      <c r="E212" s="333" t="s">
        <v>4250</v>
      </c>
      <c r="F212" s="333" t="s">
        <v>4251</v>
      </c>
      <c r="G212" s="333">
        <v>3185</v>
      </c>
      <c r="H212" s="333">
        <v>112</v>
      </c>
      <c r="I212" s="282">
        <v>4502443402</v>
      </c>
      <c r="J212" s="333">
        <v>3025457</v>
      </c>
      <c r="K212" s="282">
        <v>4902375234</v>
      </c>
      <c r="L212" s="282" t="s">
        <v>4252</v>
      </c>
      <c r="M212" s="283">
        <v>54939</v>
      </c>
      <c r="N212" s="367">
        <v>8200</v>
      </c>
      <c r="O212" s="284">
        <f t="shared" si="24"/>
        <v>450499800</v>
      </c>
      <c r="P212" s="285">
        <f t="shared" si="35"/>
        <v>8</v>
      </c>
      <c r="Q212" s="321" t="s">
        <v>3455</v>
      </c>
      <c r="R212" s="282">
        <v>1040968</v>
      </c>
      <c r="S212" s="334">
        <f>2982600*8</f>
        <v>23860800</v>
      </c>
      <c r="T212" s="334"/>
      <c r="U212" s="334"/>
      <c r="V212" s="285"/>
      <c r="W212" s="285"/>
      <c r="X212" s="285"/>
      <c r="Y212" s="285"/>
      <c r="Z212" s="285"/>
      <c r="AA212" s="285"/>
      <c r="AB212" s="285"/>
      <c r="AC212" s="285"/>
      <c r="AD212" s="285"/>
      <c r="AE212" s="285"/>
      <c r="AF212" s="285"/>
      <c r="AG212" s="285"/>
      <c r="AH212" s="285"/>
      <c r="AI212" s="285"/>
      <c r="AJ212" s="285"/>
      <c r="AK212" s="285"/>
      <c r="AL212" s="285"/>
      <c r="AM212" s="285"/>
      <c r="AN212" s="285"/>
      <c r="AO212" s="285"/>
      <c r="AP212" s="285"/>
      <c r="AQ212" s="285"/>
      <c r="AR212" s="285"/>
      <c r="AS212" s="285"/>
      <c r="AT212" s="285"/>
      <c r="AU212" s="285"/>
      <c r="AV212" s="285"/>
      <c r="AW212" s="285"/>
      <c r="AX212" s="285"/>
      <c r="AY212" s="285"/>
      <c r="AZ212" s="285"/>
      <c r="BA212" s="285"/>
      <c r="BB212" s="285"/>
      <c r="BC212" s="285"/>
      <c r="BD212" s="285"/>
      <c r="BE212" s="285"/>
      <c r="BF212" s="285"/>
      <c r="BG212" s="285"/>
      <c r="BH212" s="285"/>
      <c r="BI212" s="285"/>
      <c r="BJ212" s="285"/>
      <c r="BK212" s="285"/>
      <c r="BL212" s="285"/>
      <c r="BM212" s="285"/>
      <c r="BN212" s="285"/>
      <c r="BO212" s="285"/>
      <c r="BP212" s="285"/>
      <c r="BQ212" s="285"/>
      <c r="BR212" s="285"/>
      <c r="BS212" s="285"/>
      <c r="BT212" s="285"/>
      <c r="BU212" s="285"/>
      <c r="BV212" s="285"/>
      <c r="BW212" s="285"/>
      <c r="BX212" s="285"/>
      <c r="BY212" s="285"/>
      <c r="BZ212" s="285"/>
      <c r="CA212" s="285"/>
      <c r="CB212" s="285"/>
      <c r="CC212" s="285"/>
      <c r="CD212" s="285"/>
      <c r="CE212" s="285"/>
      <c r="CF212" s="285"/>
      <c r="CG212" s="285"/>
      <c r="CH212" s="285"/>
      <c r="CI212" s="285"/>
      <c r="CJ212" s="285"/>
      <c r="CK212" s="285"/>
      <c r="CL212" s="285"/>
      <c r="CM212" s="285"/>
      <c r="CN212" s="285"/>
      <c r="CO212" s="285"/>
      <c r="CP212" s="285"/>
      <c r="CQ212" s="285"/>
      <c r="CR212" s="285"/>
      <c r="CS212" s="285"/>
      <c r="CT212" s="285"/>
      <c r="CU212" s="285"/>
      <c r="CV212" s="285"/>
      <c r="CW212" s="285"/>
      <c r="CX212" s="285"/>
      <c r="CY212" s="285"/>
      <c r="CZ212" s="285"/>
      <c r="DA212" s="285"/>
      <c r="DB212" s="285"/>
      <c r="DC212" s="285"/>
      <c r="DD212" s="285"/>
      <c r="DE212" s="285"/>
      <c r="DF212" s="285"/>
      <c r="DG212" s="285"/>
      <c r="DH212" s="285"/>
      <c r="DI212" s="285"/>
      <c r="DJ212" s="285"/>
      <c r="DK212" s="285"/>
      <c r="DL212" s="285"/>
      <c r="DM212" s="285"/>
      <c r="DN212" s="285"/>
      <c r="DO212" s="285"/>
      <c r="DP212" s="285"/>
      <c r="DQ212" s="285"/>
      <c r="DR212" s="285"/>
      <c r="DS212" s="285"/>
      <c r="DT212" s="285"/>
      <c r="DU212" s="285"/>
      <c r="DV212" s="285"/>
      <c r="DW212" s="285"/>
      <c r="DX212" s="285"/>
      <c r="DY212" s="285"/>
      <c r="DZ212" s="285"/>
      <c r="EA212" s="285"/>
      <c r="EB212" s="285"/>
      <c r="EC212" s="285"/>
      <c r="ED212" s="285"/>
      <c r="EE212" s="285"/>
      <c r="EF212" s="285"/>
      <c r="EG212" s="285"/>
      <c r="EH212" s="285"/>
      <c r="EI212" s="285"/>
      <c r="EJ212" s="285"/>
      <c r="EK212" s="285"/>
      <c r="EL212" s="285"/>
      <c r="EM212" s="285"/>
      <c r="EN212" s="285"/>
      <c r="EO212" s="285"/>
      <c r="EP212" s="285"/>
      <c r="EQ212" s="285"/>
      <c r="ER212" s="285"/>
      <c r="ES212" s="285"/>
      <c r="ET212" s="285"/>
      <c r="EU212" s="285"/>
      <c r="EV212" s="285"/>
      <c r="EW212" s="285"/>
      <c r="EX212" s="285"/>
      <c r="EY212" s="285"/>
      <c r="EZ212" s="285"/>
      <c r="FA212" s="285"/>
      <c r="FB212" s="285"/>
      <c r="FC212" s="285"/>
      <c r="FD212" s="285"/>
      <c r="FE212" s="285"/>
      <c r="FF212" s="285"/>
      <c r="FG212" s="285"/>
      <c r="FH212" s="285"/>
      <c r="FI212" s="285"/>
      <c r="FJ212" s="285"/>
      <c r="FK212" s="285"/>
      <c r="FL212" s="285"/>
      <c r="FM212" s="285"/>
      <c r="FN212" s="285"/>
      <c r="FO212" s="285"/>
      <c r="FP212" s="285"/>
      <c r="FQ212" s="285"/>
      <c r="FR212" s="285"/>
      <c r="FS212" s="285"/>
      <c r="FT212" s="285"/>
      <c r="FU212" s="285"/>
      <c r="FV212" s="285"/>
      <c r="FW212" s="285"/>
      <c r="FX212" s="285"/>
      <c r="FY212" s="285"/>
      <c r="FZ212" s="285"/>
      <c r="GA212" s="285"/>
      <c r="GB212" s="285"/>
      <c r="GC212" s="285"/>
      <c r="GD212" s="285"/>
      <c r="GE212" s="285"/>
      <c r="GF212" s="285"/>
      <c r="GG212" s="285"/>
      <c r="GH212" s="285"/>
      <c r="GI212" s="285"/>
      <c r="GJ212" s="285"/>
      <c r="GK212" s="285"/>
      <c r="GL212" s="285"/>
      <c r="GM212" s="285"/>
      <c r="GN212" s="285"/>
      <c r="GO212" s="285"/>
      <c r="GP212" s="285"/>
      <c r="GQ212" s="285"/>
      <c r="GR212" s="285"/>
      <c r="GS212" s="285"/>
      <c r="GT212" s="285"/>
      <c r="GU212" s="285"/>
      <c r="GV212" s="285"/>
      <c r="GW212" s="285"/>
      <c r="GX212" s="285"/>
      <c r="GY212" s="285"/>
      <c r="GZ212" s="285"/>
    </row>
    <row r="213" spans="1:208" ht="15">
      <c r="A213" s="282">
        <v>44</v>
      </c>
      <c r="B213" s="332">
        <v>44866</v>
      </c>
      <c r="C213" s="333">
        <v>1075808</v>
      </c>
      <c r="D213" s="342" t="s">
        <v>4510</v>
      </c>
      <c r="E213" s="333" t="s">
        <v>4511</v>
      </c>
      <c r="F213" s="333" t="s">
        <v>4251</v>
      </c>
      <c r="G213" s="352">
        <v>3149</v>
      </c>
      <c r="H213" s="333">
        <v>14</v>
      </c>
      <c r="I213" s="282">
        <v>4502443405</v>
      </c>
      <c r="J213" s="333">
        <v>3025457</v>
      </c>
      <c r="K213" s="282">
        <v>4902375239</v>
      </c>
      <c r="L213" s="282" t="s">
        <v>4252</v>
      </c>
      <c r="M213" s="283">
        <v>7786</v>
      </c>
      <c r="N213" s="367">
        <v>8400</v>
      </c>
      <c r="O213" s="284">
        <f t="shared" si="24"/>
        <v>65402400</v>
      </c>
      <c r="P213" s="285">
        <f t="shared" si="35"/>
        <v>1</v>
      </c>
      <c r="Q213" s="321" t="s">
        <v>3455</v>
      </c>
      <c r="R213" s="282">
        <v>1040968</v>
      </c>
      <c r="S213" s="358">
        <v>1648800</v>
      </c>
      <c r="T213" s="342" t="s">
        <v>4512</v>
      </c>
      <c r="U213" s="334"/>
      <c r="V213" s="285"/>
      <c r="W213" s="285"/>
      <c r="X213" s="285"/>
      <c r="Y213" s="285"/>
      <c r="Z213" s="285"/>
      <c r="AA213" s="285"/>
      <c r="AB213" s="285"/>
      <c r="AC213" s="285"/>
      <c r="AD213" s="285"/>
      <c r="AE213" s="285"/>
      <c r="AF213" s="285"/>
      <c r="AG213" s="285"/>
      <c r="AH213" s="285"/>
      <c r="AI213" s="285"/>
      <c r="AJ213" s="285"/>
      <c r="AK213" s="285"/>
      <c r="AL213" s="285"/>
      <c r="AM213" s="285"/>
      <c r="AN213" s="285"/>
      <c r="AO213" s="285"/>
      <c r="AP213" s="285"/>
      <c r="AQ213" s="285"/>
      <c r="AR213" s="285"/>
      <c r="AS213" s="285"/>
      <c r="AT213" s="285"/>
      <c r="AU213" s="285"/>
      <c r="AV213" s="285"/>
      <c r="AW213" s="285"/>
      <c r="AX213" s="285"/>
      <c r="AY213" s="285"/>
      <c r="AZ213" s="285"/>
      <c r="BA213" s="285"/>
      <c r="BB213" s="285"/>
      <c r="BC213" s="285"/>
      <c r="BD213" s="285"/>
      <c r="BE213" s="285"/>
      <c r="BF213" s="285"/>
      <c r="BG213" s="285"/>
      <c r="BH213" s="285"/>
      <c r="BI213" s="285"/>
      <c r="BJ213" s="285"/>
      <c r="BK213" s="285"/>
      <c r="BL213" s="285"/>
      <c r="BM213" s="285"/>
      <c r="BN213" s="285"/>
      <c r="BO213" s="285"/>
      <c r="BP213" s="285"/>
      <c r="BQ213" s="285"/>
      <c r="BR213" s="285"/>
      <c r="BS213" s="285"/>
      <c r="BT213" s="285"/>
      <c r="BU213" s="285"/>
      <c r="BV213" s="285"/>
      <c r="BW213" s="285"/>
      <c r="BX213" s="285"/>
      <c r="BY213" s="285"/>
      <c r="BZ213" s="285"/>
      <c r="CA213" s="285"/>
      <c r="CB213" s="285"/>
      <c r="CC213" s="285"/>
      <c r="CD213" s="285"/>
      <c r="CE213" s="285"/>
      <c r="CF213" s="285"/>
      <c r="CG213" s="285"/>
      <c r="CH213" s="285"/>
      <c r="CI213" s="285"/>
      <c r="CJ213" s="285"/>
      <c r="CK213" s="285"/>
      <c r="CL213" s="285"/>
      <c r="CM213" s="285"/>
      <c r="CN213" s="285"/>
      <c r="CO213" s="285"/>
      <c r="CP213" s="285"/>
      <c r="CQ213" s="285"/>
      <c r="CR213" s="285"/>
      <c r="CS213" s="285"/>
      <c r="CT213" s="285"/>
      <c r="CU213" s="285"/>
      <c r="CV213" s="285"/>
      <c r="CW213" s="285"/>
      <c r="CX213" s="285"/>
      <c r="CY213" s="285"/>
      <c r="CZ213" s="285"/>
      <c r="DA213" s="285"/>
      <c r="DB213" s="285"/>
      <c r="DC213" s="285"/>
      <c r="DD213" s="285"/>
      <c r="DE213" s="285"/>
      <c r="DF213" s="285"/>
      <c r="DG213" s="285"/>
      <c r="DH213" s="285"/>
      <c r="DI213" s="285"/>
      <c r="DJ213" s="285"/>
      <c r="DK213" s="285"/>
      <c r="DL213" s="285"/>
      <c r="DM213" s="285"/>
      <c r="DN213" s="285"/>
      <c r="DO213" s="285"/>
      <c r="DP213" s="285"/>
      <c r="DQ213" s="285"/>
      <c r="DR213" s="285"/>
      <c r="DS213" s="285"/>
      <c r="DT213" s="285"/>
      <c r="DU213" s="285"/>
      <c r="DV213" s="285"/>
      <c r="DW213" s="285"/>
      <c r="DX213" s="285"/>
      <c r="DY213" s="285"/>
      <c r="DZ213" s="285"/>
      <c r="EA213" s="285"/>
      <c r="EB213" s="285"/>
      <c r="EC213" s="285"/>
      <c r="ED213" s="285"/>
      <c r="EE213" s="285"/>
      <c r="EF213" s="285"/>
      <c r="EG213" s="285"/>
      <c r="EH213" s="285"/>
      <c r="EI213" s="285"/>
      <c r="EJ213" s="285"/>
      <c r="EK213" s="285"/>
      <c r="EL213" s="285"/>
      <c r="EM213" s="285"/>
      <c r="EN213" s="285"/>
      <c r="EO213" s="285"/>
      <c r="EP213" s="285"/>
      <c r="EQ213" s="285"/>
      <c r="ER213" s="285"/>
      <c r="ES213" s="285"/>
      <c r="ET213" s="285"/>
      <c r="EU213" s="285"/>
      <c r="EV213" s="285"/>
      <c r="EW213" s="285"/>
      <c r="EX213" s="285"/>
      <c r="EY213" s="285"/>
      <c r="EZ213" s="285"/>
      <c r="FA213" s="285"/>
      <c r="FB213" s="285"/>
      <c r="FC213" s="285"/>
      <c r="FD213" s="285"/>
      <c r="FE213" s="285"/>
      <c r="FF213" s="285"/>
      <c r="FG213" s="285"/>
      <c r="FH213" s="285"/>
      <c r="FI213" s="285"/>
      <c r="FJ213" s="285"/>
      <c r="FK213" s="285"/>
      <c r="FL213" s="285"/>
      <c r="FM213" s="285"/>
      <c r="FN213" s="285"/>
      <c r="FO213" s="285"/>
      <c r="FP213" s="285"/>
      <c r="FQ213" s="285"/>
      <c r="FR213" s="285"/>
      <c r="FS213" s="285"/>
      <c r="FT213" s="285"/>
      <c r="FU213" s="285"/>
      <c r="FV213" s="285"/>
      <c r="FW213" s="285"/>
      <c r="FX213" s="285"/>
      <c r="FY213" s="285"/>
      <c r="FZ213" s="285"/>
      <c r="GA213" s="285"/>
      <c r="GB213" s="285"/>
      <c r="GC213" s="285"/>
      <c r="GD213" s="285"/>
      <c r="GE213" s="285"/>
      <c r="GF213" s="285"/>
      <c r="GG213" s="285"/>
      <c r="GH213" s="285"/>
      <c r="GI213" s="285"/>
      <c r="GJ213" s="285"/>
      <c r="GK213" s="285"/>
      <c r="GL213" s="285"/>
      <c r="GM213" s="285"/>
      <c r="GN213" s="285"/>
      <c r="GO213" s="285"/>
      <c r="GP213" s="285"/>
      <c r="GQ213" s="285"/>
      <c r="GR213" s="285"/>
      <c r="GS213" s="285"/>
      <c r="GT213" s="285"/>
      <c r="GU213" s="285"/>
      <c r="GV213" s="285"/>
      <c r="GW213" s="285"/>
      <c r="GX213" s="285"/>
      <c r="GY213" s="285"/>
      <c r="GZ213" s="285"/>
    </row>
    <row r="214" spans="1:208" ht="15">
      <c r="A214" s="282">
        <v>44</v>
      </c>
      <c r="B214" s="332">
        <v>44866</v>
      </c>
      <c r="C214" s="333">
        <v>1084015</v>
      </c>
      <c r="D214" s="342" t="s">
        <v>4513</v>
      </c>
      <c r="E214" s="333" t="s">
        <v>4479</v>
      </c>
      <c r="F214" s="333" t="s">
        <v>4251</v>
      </c>
      <c r="G214" s="333">
        <v>3148</v>
      </c>
      <c r="H214" s="333">
        <v>14</v>
      </c>
      <c r="I214" s="282">
        <v>4502443408</v>
      </c>
      <c r="J214" s="333">
        <v>3025457</v>
      </c>
      <c r="K214" s="282">
        <v>4902375242</v>
      </c>
      <c r="L214" s="282" t="s">
        <v>4252</v>
      </c>
      <c r="M214" s="283">
        <v>6343</v>
      </c>
      <c r="N214" s="367">
        <v>8400</v>
      </c>
      <c r="O214" s="284">
        <f t="shared" si="24"/>
        <v>53281200</v>
      </c>
      <c r="P214" s="285">
        <f t="shared" si="35"/>
        <v>1</v>
      </c>
      <c r="Q214" s="321" t="s">
        <v>3455</v>
      </c>
      <c r="R214" s="282">
        <v>1040968</v>
      </c>
      <c r="S214" s="358">
        <v>1623900</v>
      </c>
      <c r="T214" s="312">
        <v>18688</v>
      </c>
      <c r="U214" s="285"/>
      <c r="V214" s="312" t="s">
        <v>4514</v>
      </c>
      <c r="W214" s="312" t="s">
        <v>4515</v>
      </c>
      <c r="X214" s="285"/>
      <c r="Y214" s="285"/>
      <c r="Z214" s="285"/>
      <c r="AA214" s="285"/>
      <c r="AB214" s="285"/>
      <c r="AC214" s="285"/>
      <c r="AD214" s="285"/>
      <c r="AE214" s="285"/>
      <c r="AF214" s="285"/>
      <c r="AG214" s="285"/>
      <c r="AH214" s="285"/>
      <c r="AI214" s="285"/>
      <c r="AJ214" s="285"/>
      <c r="AK214" s="285"/>
      <c r="AL214" s="285"/>
      <c r="AM214" s="285"/>
      <c r="AN214" s="285"/>
      <c r="AO214" s="285"/>
      <c r="AP214" s="285"/>
      <c r="AQ214" s="285"/>
      <c r="AR214" s="285"/>
      <c r="AS214" s="285"/>
      <c r="AT214" s="285"/>
      <c r="AU214" s="285"/>
      <c r="AV214" s="285"/>
      <c r="AW214" s="285"/>
      <c r="AX214" s="285"/>
      <c r="AY214" s="285"/>
      <c r="AZ214" s="285"/>
      <c r="BA214" s="285"/>
      <c r="BB214" s="285"/>
      <c r="BC214" s="285"/>
      <c r="BD214" s="285"/>
      <c r="BE214" s="285"/>
      <c r="BF214" s="285"/>
      <c r="BG214" s="285"/>
      <c r="BH214" s="285"/>
      <c r="BI214" s="285"/>
      <c r="BJ214" s="285"/>
      <c r="BK214" s="285"/>
      <c r="BL214" s="285"/>
      <c r="BM214" s="285"/>
      <c r="BN214" s="285"/>
      <c r="BO214" s="285"/>
      <c r="BP214" s="285"/>
      <c r="BQ214" s="285"/>
      <c r="BR214" s="285"/>
      <c r="BS214" s="285"/>
      <c r="BT214" s="285"/>
      <c r="BU214" s="285"/>
      <c r="BV214" s="285"/>
      <c r="BW214" s="285"/>
      <c r="BX214" s="285"/>
      <c r="BY214" s="285"/>
      <c r="BZ214" s="285"/>
      <c r="CA214" s="285"/>
      <c r="CB214" s="285"/>
      <c r="CC214" s="285"/>
      <c r="CD214" s="285"/>
      <c r="CE214" s="285"/>
      <c r="CF214" s="285"/>
      <c r="CG214" s="285"/>
      <c r="CH214" s="285"/>
      <c r="CI214" s="285"/>
      <c r="CJ214" s="285"/>
      <c r="CK214" s="285"/>
      <c r="CL214" s="285"/>
      <c r="CM214" s="285"/>
      <c r="CN214" s="285"/>
      <c r="CO214" s="285"/>
      <c r="CP214" s="285"/>
      <c r="CQ214" s="285"/>
      <c r="CR214" s="285"/>
      <c r="CS214" s="285"/>
      <c r="CT214" s="285"/>
      <c r="CU214" s="285"/>
      <c r="CV214" s="285"/>
      <c r="CW214" s="285"/>
      <c r="CX214" s="285"/>
      <c r="CY214" s="285"/>
      <c r="CZ214" s="285"/>
      <c r="DA214" s="285"/>
      <c r="DB214" s="285"/>
      <c r="DC214" s="285"/>
      <c r="DD214" s="285"/>
      <c r="DE214" s="285"/>
      <c r="DF214" s="285"/>
      <c r="DG214" s="285"/>
      <c r="DH214" s="285"/>
      <c r="DI214" s="285"/>
      <c r="DJ214" s="285"/>
      <c r="DK214" s="285"/>
      <c r="DL214" s="285"/>
      <c r="DM214" s="285"/>
      <c r="DN214" s="285"/>
      <c r="DO214" s="285"/>
      <c r="DP214" s="285"/>
      <c r="DQ214" s="285"/>
      <c r="DR214" s="285"/>
      <c r="DS214" s="285"/>
      <c r="DT214" s="285"/>
      <c r="DU214" s="285"/>
      <c r="DV214" s="285"/>
      <c r="DW214" s="285"/>
      <c r="DX214" s="285"/>
      <c r="DY214" s="285"/>
      <c r="DZ214" s="285"/>
      <c r="EA214" s="285"/>
      <c r="EB214" s="285"/>
      <c r="EC214" s="285"/>
      <c r="ED214" s="285"/>
      <c r="EE214" s="285"/>
      <c r="EF214" s="285"/>
      <c r="EG214" s="285"/>
      <c r="EH214" s="285"/>
      <c r="EI214" s="285"/>
      <c r="EJ214" s="285"/>
      <c r="EK214" s="285"/>
      <c r="EL214" s="285"/>
      <c r="EM214" s="285"/>
      <c r="EN214" s="285"/>
      <c r="EO214" s="285"/>
      <c r="EP214" s="285"/>
      <c r="EQ214" s="285"/>
      <c r="ER214" s="285"/>
      <c r="ES214" s="285"/>
      <c r="ET214" s="285"/>
      <c r="EU214" s="285"/>
      <c r="EV214" s="285"/>
      <c r="EW214" s="285"/>
      <c r="EX214" s="285"/>
      <c r="EY214" s="285"/>
      <c r="EZ214" s="285"/>
      <c r="FA214" s="285"/>
      <c r="FB214" s="285"/>
      <c r="FC214" s="285"/>
      <c r="FD214" s="285"/>
      <c r="FE214" s="285"/>
      <c r="FF214" s="285"/>
      <c r="FG214" s="285"/>
      <c r="FH214" s="285"/>
      <c r="FI214" s="285"/>
      <c r="FJ214" s="285"/>
      <c r="FK214" s="285"/>
      <c r="FL214" s="285"/>
      <c r="FM214" s="285"/>
      <c r="FN214" s="285"/>
      <c r="FO214" s="285"/>
      <c r="FP214" s="285"/>
      <c r="FQ214" s="285"/>
      <c r="FR214" s="285"/>
      <c r="FS214" s="285"/>
      <c r="FT214" s="285"/>
      <c r="FU214" s="285"/>
      <c r="FV214" s="285"/>
      <c r="FW214" s="285"/>
      <c r="FX214" s="285"/>
      <c r="FY214" s="285"/>
      <c r="FZ214" s="285"/>
      <c r="GA214" s="285"/>
      <c r="GB214" s="285"/>
      <c r="GC214" s="285"/>
      <c r="GD214" s="285"/>
      <c r="GE214" s="285"/>
      <c r="GF214" s="285"/>
      <c r="GG214" s="285"/>
      <c r="GH214" s="285"/>
      <c r="GI214" s="285"/>
      <c r="GJ214" s="285"/>
      <c r="GK214" s="285"/>
      <c r="GL214" s="285"/>
      <c r="GM214" s="285"/>
      <c r="GN214" s="285"/>
      <c r="GO214" s="285"/>
      <c r="GP214" s="285"/>
      <c r="GQ214" s="285"/>
      <c r="GR214" s="285"/>
      <c r="GS214" s="285"/>
      <c r="GT214" s="285"/>
      <c r="GU214" s="285"/>
      <c r="GV214" s="285"/>
      <c r="GW214" s="285"/>
      <c r="GX214" s="285"/>
      <c r="GY214" s="285"/>
      <c r="GZ214" s="285"/>
    </row>
    <row r="215" spans="1:208" ht="15">
      <c r="A215" s="282">
        <v>44</v>
      </c>
      <c r="B215" s="332">
        <v>44866</v>
      </c>
      <c r="C215" s="333">
        <v>1053331</v>
      </c>
      <c r="D215" s="342" t="s">
        <v>4516</v>
      </c>
      <c r="E215" s="333" t="s">
        <v>4416</v>
      </c>
      <c r="F215" s="333" t="s">
        <v>4275</v>
      </c>
      <c r="G215" s="333">
        <v>3178</v>
      </c>
      <c r="H215" s="333">
        <v>42</v>
      </c>
      <c r="I215" s="282">
        <v>4502443410</v>
      </c>
      <c r="J215" s="333">
        <v>3025459</v>
      </c>
      <c r="K215" s="282">
        <v>4902375245</v>
      </c>
      <c r="L215" s="282" t="s">
        <v>4252</v>
      </c>
      <c r="M215" s="283">
        <v>20288</v>
      </c>
      <c r="N215" s="367">
        <v>8400</v>
      </c>
      <c r="O215" s="284">
        <f t="shared" si="24"/>
        <v>170419200</v>
      </c>
      <c r="P215" s="285">
        <f t="shared" si="35"/>
        <v>3</v>
      </c>
      <c r="Q215" s="321" t="s">
        <v>3455</v>
      </c>
      <c r="R215" s="282">
        <v>1040968</v>
      </c>
      <c r="S215" s="342">
        <v>5381700</v>
      </c>
      <c r="T215" s="312">
        <v>1064</v>
      </c>
      <c r="U215" s="296">
        <f>M215-T214</f>
        <v>1600</v>
      </c>
      <c r="V215" s="285">
        <v>536</v>
      </c>
      <c r="W215" s="312">
        <v>19752</v>
      </c>
      <c r="X215" s="285"/>
      <c r="Y215" s="285"/>
      <c r="Z215" s="285"/>
      <c r="AA215" s="285"/>
      <c r="AB215" s="285"/>
      <c r="AC215" s="285"/>
      <c r="AD215" s="285"/>
      <c r="AE215" s="285"/>
      <c r="AF215" s="285"/>
      <c r="AG215" s="285"/>
      <c r="AH215" s="285"/>
      <c r="AI215" s="285"/>
      <c r="AJ215" s="285"/>
      <c r="AK215" s="285"/>
      <c r="AL215" s="285"/>
      <c r="AM215" s="285"/>
      <c r="AN215" s="285"/>
      <c r="AO215" s="285"/>
      <c r="AP215" s="285"/>
      <c r="AQ215" s="285"/>
      <c r="AR215" s="285"/>
      <c r="AS215" s="285"/>
      <c r="AT215" s="285"/>
      <c r="AU215" s="285"/>
      <c r="AV215" s="285"/>
      <c r="AW215" s="285"/>
      <c r="AX215" s="285"/>
      <c r="AY215" s="285"/>
      <c r="AZ215" s="285"/>
      <c r="BA215" s="285"/>
      <c r="BB215" s="285"/>
      <c r="BC215" s="285"/>
      <c r="BD215" s="285"/>
      <c r="BE215" s="285"/>
      <c r="BF215" s="285"/>
      <c r="BG215" s="285"/>
      <c r="BH215" s="285"/>
      <c r="BI215" s="285"/>
      <c r="BJ215" s="285"/>
      <c r="BK215" s="285"/>
      <c r="BL215" s="285"/>
      <c r="BM215" s="285"/>
      <c r="BN215" s="285"/>
      <c r="BO215" s="285"/>
      <c r="BP215" s="285"/>
      <c r="BQ215" s="285"/>
      <c r="BR215" s="285"/>
      <c r="BS215" s="285"/>
      <c r="BT215" s="285"/>
      <c r="BU215" s="285"/>
      <c r="BV215" s="285"/>
      <c r="BW215" s="285"/>
      <c r="BX215" s="285"/>
      <c r="BY215" s="285"/>
      <c r="BZ215" s="285"/>
      <c r="CA215" s="285"/>
      <c r="CB215" s="285"/>
      <c r="CC215" s="285"/>
      <c r="CD215" s="285"/>
      <c r="CE215" s="285"/>
      <c r="CF215" s="285"/>
      <c r="CG215" s="285"/>
      <c r="CH215" s="285"/>
      <c r="CI215" s="285"/>
      <c r="CJ215" s="285"/>
      <c r="CK215" s="285"/>
      <c r="CL215" s="285"/>
      <c r="CM215" s="285"/>
      <c r="CN215" s="285"/>
      <c r="CO215" s="285"/>
      <c r="CP215" s="285"/>
      <c r="CQ215" s="285"/>
      <c r="CR215" s="285"/>
      <c r="CS215" s="285"/>
      <c r="CT215" s="285"/>
      <c r="CU215" s="285"/>
      <c r="CV215" s="285"/>
      <c r="CW215" s="285"/>
      <c r="CX215" s="285"/>
      <c r="CY215" s="285"/>
      <c r="CZ215" s="285"/>
      <c r="DA215" s="285"/>
      <c r="DB215" s="285"/>
      <c r="DC215" s="285"/>
      <c r="DD215" s="285"/>
      <c r="DE215" s="285"/>
      <c r="DF215" s="285"/>
      <c r="DG215" s="285"/>
      <c r="DH215" s="285"/>
      <c r="DI215" s="285"/>
      <c r="DJ215" s="285"/>
      <c r="DK215" s="285"/>
      <c r="DL215" s="285"/>
      <c r="DM215" s="285"/>
      <c r="DN215" s="285"/>
      <c r="DO215" s="285"/>
      <c r="DP215" s="285"/>
      <c r="DQ215" s="285"/>
      <c r="DR215" s="285"/>
      <c r="DS215" s="285"/>
      <c r="DT215" s="285"/>
      <c r="DU215" s="285"/>
      <c r="DV215" s="285"/>
      <c r="DW215" s="285"/>
      <c r="DX215" s="285"/>
      <c r="DY215" s="285"/>
      <c r="DZ215" s="285"/>
      <c r="EA215" s="285"/>
      <c r="EB215" s="285"/>
      <c r="EC215" s="285"/>
      <c r="ED215" s="285"/>
      <c r="EE215" s="285"/>
      <c r="EF215" s="285"/>
      <c r="EG215" s="285"/>
      <c r="EH215" s="285"/>
      <c r="EI215" s="285"/>
      <c r="EJ215" s="285"/>
      <c r="EK215" s="285"/>
      <c r="EL215" s="285"/>
      <c r="EM215" s="285"/>
      <c r="EN215" s="285"/>
      <c r="EO215" s="285"/>
      <c r="EP215" s="285"/>
      <c r="EQ215" s="285"/>
      <c r="ER215" s="285"/>
      <c r="ES215" s="285"/>
      <c r="ET215" s="285"/>
      <c r="EU215" s="285"/>
      <c r="EV215" s="285"/>
      <c r="EW215" s="285"/>
      <c r="EX215" s="285"/>
      <c r="EY215" s="285"/>
      <c r="EZ215" s="285"/>
      <c r="FA215" s="285"/>
      <c r="FB215" s="285"/>
      <c r="FC215" s="285"/>
      <c r="FD215" s="285"/>
      <c r="FE215" s="285"/>
      <c r="FF215" s="285"/>
      <c r="FG215" s="285"/>
      <c r="FH215" s="285"/>
      <c r="FI215" s="285"/>
      <c r="FJ215" s="285"/>
      <c r="FK215" s="285"/>
      <c r="FL215" s="285"/>
      <c r="FM215" s="285"/>
      <c r="FN215" s="285"/>
      <c r="FO215" s="285"/>
      <c r="FP215" s="285"/>
      <c r="FQ215" s="285"/>
      <c r="FR215" s="285"/>
      <c r="FS215" s="285"/>
      <c r="FT215" s="285"/>
      <c r="FU215" s="285"/>
      <c r="FV215" s="285"/>
      <c r="FW215" s="285"/>
      <c r="FX215" s="285"/>
      <c r="FY215" s="285"/>
      <c r="FZ215" s="285"/>
      <c r="GA215" s="285"/>
      <c r="GB215" s="285"/>
      <c r="GC215" s="285"/>
      <c r="GD215" s="285"/>
      <c r="GE215" s="285"/>
      <c r="GF215" s="285"/>
      <c r="GG215" s="285"/>
      <c r="GH215" s="285"/>
      <c r="GI215" s="285"/>
      <c r="GJ215" s="285"/>
      <c r="GK215" s="285"/>
      <c r="GL215" s="285"/>
      <c r="GM215" s="285"/>
      <c r="GN215" s="285"/>
      <c r="GO215" s="285"/>
      <c r="GP215" s="285"/>
      <c r="GQ215" s="285"/>
      <c r="GR215" s="285"/>
      <c r="GS215" s="285"/>
      <c r="GT215" s="285"/>
      <c r="GU215" s="285"/>
      <c r="GV215" s="285"/>
      <c r="GW215" s="285"/>
      <c r="GX215" s="285"/>
      <c r="GY215" s="285"/>
      <c r="GZ215" s="285"/>
    </row>
    <row r="216" spans="1:208" ht="15">
      <c r="A216" s="304">
        <v>46</v>
      </c>
      <c r="B216" s="328">
        <v>44876</v>
      </c>
      <c r="C216" s="329">
        <v>1053331</v>
      </c>
      <c r="D216" s="304" t="s">
        <v>4517</v>
      </c>
      <c r="E216" s="329" t="s">
        <v>4416</v>
      </c>
      <c r="F216" s="329" t="s">
        <v>4275</v>
      </c>
      <c r="G216" s="329">
        <v>3178</v>
      </c>
      <c r="H216" s="329">
        <v>42</v>
      </c>
      <c r="I216" s="304">
        <v>4502450559</v>
      </c>
      <c r="J216" s="329">
        <v>3025459</v>
      </c>
      <c r="K216" s="304">
        <v>4902385118</v>
      </c>
      <c r="L216" s="304" t="s">
        <v>4252</v>
      </c>
      <c r="M216" s="304">
        <v>19741</v>
      </c>
      <c r="N216" s="329">
        <v>8550</v>
      </c>
      <c r="O216" s="306">
        <f t="shared" si="24"/>
        <v>168785550</v>
      </c>
      <c r="P216" s="304">
        <f t="shared" si="35"/>
        <v>3</v>
      </c>
      <c r="Q216" s="331" t="s">
        <v>3455</v>
      </c>
      <c r="R216" s="304">
        <v>1040968</v>
      </c>
      <c r="S216" s="330">
        <f>1793900*3</f>
        <v>5381700</v>
      </c>
      <c r="T216" s="307"/>
      <c r="U216" s="307"/>
      <c r="V216" s="307"/>
      <c r="W216" s="307"/>
      <c r="X216" s="307"/>
      <c r="Y216" s="307"/>
      <c r="Z216" s="307"/>
      <c r="AA216" s="307"/>
      <c r="AB216" s="307"/>
      <c r="AC216" s="307"/>
      <c r="AD216" s="307"/>
      <c r="AE216" s="307"/>
      <c r="AF216" s="307"/>
      <c r="AG216" s="307"/>
      <c r="AH216" s="307"/>
      <c r="AI216" s="307"/>
      <c r="AJ216" s="307"/>
      <c r="AK216" s="307"/>
      <c r="AL216" s="307"/>
      <c r="AM216" s="307"/>
      <c r="AN216" s="307"/>
      <c r="AO216" s="307"/>
      <c r="AP216" s="307"/>
      <c r="AQ216" s="307"/>
      <c r="AR216" s="307"/>
      <c r="AS216" s="307"/>
      <c r="AT216" s="307"/>
      <c r="AU216" s="307"/>
      <c r="AV216" s="307"/>
      <c r="AW216" s="307"/>
      <c r="AX216" s="307"/>
      <c r="AY216" s="307"/>
      <c r="AZ216" s="307"/>
      <c r="BA216" s="307"/>
      <c r="BB216" s="307"/>
      <c r="BC216" s="307"/>
      <c r="BD216" s="307"/>
      <c r="BE216" s="307"/>
      <c r="BF216" s="307"/>
      <c r="BG216" s="307"/>
      <c r="BH216" s="307"/>
      <c r="BI216" s="307"/>
      <c r="BJ216" s="307"/>
      <c r="BK216" s="307"/>
      <c r="BL216" s="307"/>
      <c r="BM216" s="307"/>
      <c r="BN216" s="307"/>
      <c r="BO216" s="307"/>
      <c r="BP216" s="307"/>
      <c r="BQ216" s="307"/>
      <c r="BR216" s="307"/>
      <c r="BS216" s="307"/>
      <c r="BT216" s="307"/>
      <c r="BU216" s="307"/>
      <c r="BV216" s="307"/>
      <c r="BW216" s="307"/>
      <c r="BX216" s="307"/>
      <c r="BY216" s="307"/>
      <c r="BZ216" s="307"/>
      <c r="CA216" s="307"/>
      <c r="CB216" s="307"/>
      <c r="CC216" s="307"/>
      <c r="CD216" s="307"/>
      <c r="CE216" s="307"/>
      <c r="CF216" s="307"/>
      <c r="CG216" s="307"/>
      <c r="CH216" s="307"/>
      <c r="CI216" s="307"/>
      <c r="CJ216" s="307"/>
      <c r="CK216" s="307"/>
      <c r="CL216" s="307"/>
      <c r="CM216" s="307"/>
      <c r="CN216" s="307"/>
      <c r="CO216" s="307"/>
      <c r="CP216" s="307"/>
      <c r="CQ216" s="307"/>
      <c r="CR216" s="307"/>
      <c r="CS216" s="307"/>
      <c r="CT216" s="307"/>
      <c r="CU216" s="307"/>
      <c r="CV216" s="307"/>
      <c r="CW216" s="307"/>
      <c r="CX216" s="307"/>
      <c r="CY216" s="307"/>
      <c r="CZ216" s="307"/>
      <c r="DA216" s="307"/>
      <c r="DB216" s="307"/>
      <c r="DC216" s="307"/>
      <c r="DD216" s="307"/>
      <c r="DE216" s="307"/>
      <c r="DF216" s="307"/>
      <c r="DG216" s="307"/>
      <c r="DH216" s="307"/>
      <c r="DI216" s="307"/>
      <c r="DJ216" s="307"/>
      <c r="DK216" s="307"/>
      <c r="DL216" s="307"/>
      <c r="DM216" s="307"/>
      <c r="DN216" s="307"/>
      <c r="DO216" s="307"/>
      <c r="DP216" s="307"/>
      <c r="DQ216" s="307"/>
      <c r="DR216" s="307"/>
      <c r="DS216" s="307"/>
      <c r="DT216" s="307"/>
      <c r="DU216" s="307"/>
      <c r="DV216" s="307"/>
      <c r="DW216" s="307"/>
      <c r="DX216" s="307"/>
      <c r="DY216" s="307"/>
      <c r="DZ216" s="307"/>
      <c r="EA216" s="307"/>
      <c r="EB216" s="307"/>
      <c r="EC216" s="307"/>
      <c r="ED216" s="307"/>
      <c r="EE216" s="307"/>
      <c r="EF216" s="307"/>
      <c r="EG216" s="307"/>
      <c r="EH216" s="307"/>
      <c r="EI216" s="307"/>
      <c r="EJ216" s="307"/>
      <c r="EK216" s="307"/>
      <c r="EL216" s="307"/>
      <c r="EM216" s="307"/>
      <c r="EN216" s="307"/>
      <c r="EO216" s="307"/>
      <c r="EP216" s="307"/>
      <c r="EQ216" s="307"/>
      <c r="ER216" s="307"/>
      <c r="ES216" s="307"/>
      <c r="ET216" s="307"/>
      <c r="EU216" s="307"/>
      <c r="EV216" s="307"/>
      <c r="EW216" s="307"/>
      <c r="EX216" s="307"/>
      <c r="EY216" s="307"/>
      <c r="EZ216" s="307"/>
      <c r="FA216" s="307"/>
      <c r="FB216" s="307"/>
      <c r="FC216" s="307"/>
      <c r="FD216" s="307"/>
      <c r="FE216" s="307"/>
      <c r="FF216" s="307"/>
      <c r="FG216" s="307"/>
      <c r="FH216" s="307"/>
      <c r="FI216" s="307"/>
      <c r="FJ216" s="307"/>
      <c r="FK216" s="307"/>
      <c r="FL216" s="307"/>
      <c r="FM216" s="307"/>
      <c r="FN216" s="307"/>
      <c r="FO216" s="307"/>
      <c r="FP216" s="307"/>
      <c r="FQ216" s="307"/>
      <c r="FR216" s="307"/>
      <c r="FS216" s="307"/>
      <c r="FT216" s="307"/>
      <c r="FU216" s="307"/>
      <c r="FV216" s="307"/>
      <c r="FW216" s="307"/>
      <c r="FX216" s="307"/>
      <c r="FY216" s="307"/>
      <c r="FZ216" s="307"/>
      <c r="GA216" s="307"/>
      <c r="GB216" s="307"/>
      <c r="GC216" s="307"/>
      <c r="GD216" s="307"/>
      <c r="GE216" s="307"/>
      <c r="GF216" s="307"/>
      <c r="GG216" s="307"/>
      <c r="GH216" s="307"/>
      <c r="GI216" s="307"/>
      <c r="GJ216" s="307"/>
      <c r="GK216" s="307"/>
      <c r="GL216" s="307"/>
      <c r="GM216" s="307"/>
      <c r="GN216" s="307"/>
      <c r="GO216" s="307"/>
      <c r="GP216" s="307"/>
      <c r="GQ216" s="307"/>
      <c r="GR216" s="307"/>
      <c r="GS216" s="307"/>
      <c r="GT216" s="307"/>
      <c r="GU216" s="307"/>
      <c r="GV216" s="307"/>
      <c r="GW216" s="307"/>
      <c r="GX216" s="307"/>
      <c r="GY216" s="307"/>
      <c r="GZ216" s="307"/>
    </row>
    <row r="217" spans="1:208" ht="15">
      <c r="A217" s="304">
        <v>46</v>
      </c>
      <c r="B217" s="328">
        <v>44878</v>
      </c>
      <c r="C217" s="329">
        <v>1053331</v>
      </c>
      <c r="D217" s="304" t="s">
        <v>4518</v>
      </c>
      <c r="E217" s="329" t="s">
        <v>4416</v>
      </c>
      <c r="F217" s="329" t="s">
        <v>4251</v>
      </c>
      <c r="G217" s="329">
        <v>3178</v>
      </c>
      <c r="H217" s="329">
        <v>42</v>
      </c>
      <c r="I217" s="304">
        <v>4502450560</v>
      </c>
      <c r="J217" s="329">
        <v>3025457</v>
      </c>
      <c r="K217" s="304">
        <v>4902385120</v>
      </c>
      <c r="L217" s="304" t="s">
        <v>4252</v>
      </c>
      <c r="M217" s="304">
        <v>19596</v>
      </c>
      <c r="N217" s="329">
        <v>8550</v>
      </c>
      <c r="O217" s="306">
        <f t="shared" si="24"/>
        <v>167545800</v>
      </c>
      <c r="P217" s="304">
        <f t="shared" si="35"/>
        <v>3</v>
      </c>
      <c r="Q217" s="331" t="s">
        <v>4266</v>
      </c>
      <c r="R217" s="304">
        <v>1004892</v>
      </c>
      <c r="S217" s="337">
        <v>4792500</v>
      </c>
      <c r="T217" s="307"/>
      <c r="U217" s="307"/>
      <c r="V217" s="307"/>
      <c r="W217" s="307"/>
      <c r="X217" s="307"/>
      <c r="Y217" s="307"/>
      <c r="Z217" s="307"/>
      <c r="AA217" s="307"/>
      <c r="AB217" s="307"/>
      <c r="AC217" s="307"/>
      <c r="AD217" s="307"/>
      <c r="AE217" s="307"/>
      <c r="AF217" s="307"/>
      <c r="AG217" s="307"/>
      <c r="AH217" s="307"/>
      <c r="AI217" s="307"/>
      <c r="AJ217" s="307"/>
      <c r="AK217" s="307"/>
      <c r="AL217" s="307"/>
      <c r="AM217" s="307"/>
      <c r="AN217" s="307"/>
      <c r="AO217" s="307"/>
      <c r="AP217" s="307"/>
      <c r="AQ217" s="307"/>
      <c r="AR217" s="307"/>
      <c r="AS217" s="307"/>
      <c r="AT217" s="307"/>
      <c r="AU217" s="307"/>
      <c r="AV217" s="307"/>
      <c r="AW217" s="307"/>
      <c r="AX217" s="307"/>
      <c r="AY217" s="307"/>
      <c r="AZ217" s="307"/>
      <c r="BA217" s="307"/>
      <c r="BB217" s="307"/>
      <c r="BC217" s="307"/>
      <c r="BD217" s="307"/>
      <c r="BE217" s="307"/>
      <c r="BF217" s="307"/>
      <c r="BG217" s="307"/>
      <c r="BH217" s="307"/>
      <c r="BI217" s="307"/>
      <c r="BJ217" s="307"/>
      <c r="BK217" s="307"/>
      <c r="BL217" s="307"/>
      <c r="BM217" s="307"/>
      <c r="BN217" s="307"/>
      <c r="BO217" s="307"/>
      <c r="BP217" s="307"/>
      <c r="BQ217" s="307"/>
      <c r="BR217" s="307"/>
      <c r="BS217" s="307"/>
      <c r="BT217" s="307"/>
      <c r="BU217" s="307"/>
      <c r="BV217" s="307"/>
      <c r="BW217" s="307"/>
      <c r="BX217" s="307"/>
      <c r="BY217" s="307"/>
      <c r="BZ217" s="307"/>
      <c r="CA217" s="307"/>
      <c r="CB217" s="307"/>
      <c r="CC217" s="307"/>
      <c r="CD217" s="307"/>
      <c r="CE217" s="307"/>
      <c r="CF217" s="307"/>
      <c r="CG217" s="307"/>
      <c r="CH217" s="307"/>
      <c r="CI217" s="307"/>
      <c r="CJ217" s="307"/>
      <c r="CK217" s="307"/>
      <c r="CL217" s="307"/>
      <c r="CM217" s="307"/>
      <c r="CN217" s="307"/>
      <c r="CO217" s="307"/>
      <c r="CP217" s="307"/>
      <c r="CQ217" s="307"/>
      <c r="CR217" s="307"/>
      <c r="CS217" s="307"/>
      <c r="CT217" s="307"/>
      <c r="CU217" s="307"/>
      <c r="CV217" s="307"/>
      <c r="CW217" s="307"/>
      <c r="CX217" s="307"/>
      <c r="CY217" s="307"/>
      <c r="CZ217" s="307"/>
      <c r="DA217" s="307"/>
      <c r="DB217" s="307"/>
      <c r="DC217" s="307"/>
      <c r="DD217" s="307"/>
      <c r="DE217" s="307"/>
      <c r="DF217" s="307"/>
      <c r="DG217" s="307"/>
      <c r="DH217" s="307"/>
      <c r="DI217" s="307"/>
      <c r="DJ217" s="307"/>
      <c r="DK217" s="307"/>
      <c r="DL217" s="307"/>
      <c r="DM217" s="307"/>
      <c r="DN217" s="307"/>
      <c r="DO217" s="307"/>
      <c r="DP217" s="307"/>
      <c r="DQ217" s="307"/>
      <c r="DR217" s="307"/>
      <c r="DS217" s="307"/>
      <c r="DT217" s="307"/>
      <c r="DU217" s="307"/>
      <c r="DV217" s="307"/>
      <c r="DW217" s="307"/>
      <c r="DX217" s="307"/>
      <c r="DY217" s="307"/>
      <c r="DZ217" s="307"/>
      <c r="EA217" s="307"/>
      <c r="EB217" s="307"/>
      <c r="EC217" s="307"/>
      <c r="ED217" s="307"/>
      <c r="EE217" s="307"/>
      <c r="EF217" s="307"/>
      <c r="EG217" s="307"/>
      <c r="EH217" s="307"/>
      <c r="EI217" s="307"/>
      <c r="EJ217" s="307"/>
      <c r="EK217" s="307"/>
      <c r="EL217" s="307"/>
      <c r="EM217" s="307"/>
      <c r="EN217" s="307"/>
      <c r="EO217" s="307"/>
      <c r="EP217" s="307"/>
      <c r="EQ217" s="307"/>
      <c r="ER217" s="307"/>
      <c r="ES217" s="307"/>
      <c r="ET217" s="307"/>
      <c r="EU217" s="307"/>
      <c r="EV217" s="307"/>
      <c r="EW217" s="307"/>
      <c r="EX217" s="307"/>
      <c r="EY217" s="307"/>
      <c r="EZ217" s="307"/>
      <c r="FA217" s="307"/>
      <c r="FB217" s="307"/>
      <c r="FC217" s="307"/>
      <c r="FD217" s="307"/>
      <c r="FE217" s="307"/>
      <c r="FF217" s="307"/>
      <c r="FG217" s="307"/>
      <c r="FH217" s="307"/>
      <c r="FI217" s="307"/>
      <c r="FJ217" s="307"/>
      <c r="FK217" s="307"/>
      <c r="FL217" s="307"/>
      <c r="FM217" s="307"/>
      <c r="FN217" s="307"/>
      <c r="FO217" s="307"/>
      <c r="FP217" s="307"/>
      <c r="FQ217" s="307"/>
      <c r="FR217" s="307"/>
      <c r="FS217" s="307"/>
      <c r="FT217" s="307"/>
      <c r="FU217" s="307"/>
      <c r="FV217" s="307"/>
      <c r="FW217" s="307"/>
      <c r="FX217" s="307"/>
      <c r="FY217" s="307"/>
      <c r="FZ217" s="307"/>
      <c r="GA217" s="307"/>
      <c r="GB217" s="307"/>
      <c r="GC217" s="307"/>
      <c r="GD217" s="307"/>
      <c r="GE217" s="307"/>
      <c r="GF217" s="307"/>
      <c r="GG217" s="307"/>
      <c r="GH217" s="307"/>
      <c r="GI217" s="307"/>
      <c r="GJ217" s="307"/>
      <c r="GK217" s="307"/>
      <c r="GL217" s="307"/>
      <c r="GM217" s="307"/>
      <c r="GN217" s="307"/>
      <c r="GO217" s="307"/>
      <c r="GP217" s="307"/>
      <c r="GQ217" s="307"/>
      <c r="GR217" s="307"/>
      <c r="GS217" s="307"/>
      <c r="GT217" s="307"/>
      <c r="GU217" s="307"/>
      <c r="GV217" s="307"/>
      <c r="GW217" s="307"/>
      <c r="GX217" s="307"/>
      <c r="GY217" s="307"/>
      <c r="GZ217" s="307"/>
    </row>
    <row r="218" spans="1:208" ht="15.75" customHeight="1">
      <c r="A218" s="304">
        <v>46</v>
      </c>
      <c r="B218" s="328">
        <v>44878</v>
      </c>
      <c r="C218" s="329">
        <v>1057331</v>
      </c>
      <c r="D218" s="304" t="s">
        <v>4519</v>
      </c>
      <c r="E218" s="329" t="s">
        <v>4328</v>
      </c>
      <c r="F218" s="329" t="s">
        <v>4251</v>
      </c>
      <c r="G218" s="329" t="s">
        <v>4320</v>
      </c>
      <c r="H218" s="329">
        <v>14</v>
      </c>
      <c r="I218" s="304">
        <v>4502450319</v>
      </c>
      <c r="J218" s="329">
        <v>3025457</v>
      </c>
      <c r="K218" s="304" t="s">
        <v>4320</v>
      </c>
      <c r="L218" s="304" t="s">
        <v>4320</v>
      </c>
      <c r="M218" s="304">
        <v>6702</v>
      </c>
      <c r="N218" s="369">
        <v>8339</v>
      </c>
      <c r="O218" s="306">
        <f t="shared" si="24"/>
        <v>55887978</v>
      </c>
      <c r="P218" s="304">
        <f t="shared" si="35"/>
        <v>1</v>
      </c>
      <c r="Q218" s="331" t="s">
        <v>3429</v>
      </c>
      <c r="R218" s="304">
        <v>1070641</v>
      </c>
      <c r="S218" s="370">
        <v>1152250</v>
      </c>
      <c r="T218" s="304" t="s">
        <v>4520</v>
      </c>
      <c r="U218" s="307"/>
      <c r="V218" s="307"/>
      <c r="W218" s="307"/>
      <c r="X218" s="307"/>
      <c r="Y218" s="307"/>
      <c r="Z218" s="307"/>
      <c r="AA218" s="307"/>
      <c r="AB218" s="307"/>
      <c r="AC218" s="307"/>
      <c r="AD218" s="307"/>
      <c r="AE218" s="307"/>
      <c r="AF218" s="307"/>
      <c r="AG218" s="307"/>
      <c r="AH218" s="307"/>
      <c r="AI218" s="307"/>
      <c r="AJ218" s="307"/>
      <c r="AK218" s="307"/>
      <c r="AL218" s="307"/>
      <c r="AM218" s="307"/>
      <c r="AN218" s="307"/>
      <c r="AO218" s="307"/>
      <c r="AP218" s="307"/>
      <c r="AQ218" s="307"/>
      <c r="AR218" s="307"/>
      <c r="AS218" s="307"/>
      <c r="AT218" s="307"/>
      <c r="AU218" s="307"/>
      <c r="AV218" s="307"/>
      <c r="AW218" s="307"/>
      <c r="AX218" s="307"/>
      <c r="AY218" s="307"/>
      <c r="AZ218" s="307"/>
      <c r="BA218" s="307"/>
      <c r="BB218" s="307"/>
      <c r="BC218" s="307"/>
      <c r="BD218" s="307"/>
      <c r="BE218" s="307"/>
      <c r="BF218" s="307"/>
      <c r="BG218" s="307"/>
      <c r="BH218" s="307"/>
      <c r="BI218" s="307"/>
      <c r="BJ218" s="307"/>
      <c r="BK218" s="307"/>
      <c r="BL218" s="307"/>
      <c r="BM218" s="307"/>
      <c r="BN218" s="307"/>
      <c r="BO218" s="307"/>
      <c r="BP218" s="307"/>
      <c r="BQ218" s="307"/>
      <c r="BR218" s="307"/>
      <c r="BS218" s="307"/>
      <c r="BT218" s="307"/>
      <c r="BU218" s="307"/>
      <c r="BV218" s="307"/>
      <c r="BW218" s="307"/>
      <c r="BX218" s="307"/>
      <c r="BY218" s="307"/>
      <c r="BZ218" s="307"/>
      <c r="CA218" s="307"/>
      <c r="CB218" s="307"/>
      <c r="CC218" s="307"/>
      <c r="CD218" s="307"/>
      <c r="CE218" s="307"/>
      <c r="CF218" s="307"/>
      <c r="CG218" s="307"/>
      <c r="CH218" s="307"/>
      <c r="CI218" s="307"/>
      <c r="CJ218" s="307"/>
      <c r="CK218" s="307"/>
      <c r="CL218" s="307"/>
      <c r="CM218" s="307"/>
      <c r="CN218" s="307"/>
      <c r="CO218" s="307"/>
      <c r="CP218" s="307"/>
      <c r="CQ218" s="307"/>
      <c r="CR218" s="307"/>
      <c r="CS218" s="307"/>
      <c r="CT218" s="307"/>
      <c r="CU218" s="307"/>
      <c r="CV218" s="307"/>
      <c r="CW218" s="307"/>
      <c r="CX218" s="307"/>
      <c r="CY218" s="307"/>
      <c r="CZ218" s="307"/>
      <c r="DA218" s="307"/>
      <c r="DB218" s="307"/>
      <c r="DC218" s="307"/>
      <c r="DD218" s="307"/>
      <c r="DE218" s="307"/>
      <c r="DF218" s="307"/>
      <c r="DG218" s="307"/>
      <c r="DH218" s="307"/>
      <c r="DI218" s="307"/>
      <c r="DJ218" s="307"/>
      <c r="DK218" s="307"/>
      <c r="DL218" s="307"/>
      <c r="DM218" s="307"/>
      <c r="DN218" s="307"/>
      <c r="DO218" s="307"/>
      <c r="DP218" s="307"/>
      <c r="DQ218" s="307"/>
      <c r="DR218" s="307"/>
      <c r="DS218" s="307"/>
      <c r="DT218" s="307"/>
      <c r="DU218" s="307"/>
      <c r="DV218" s="307"/>
      <c r="DW218" s="307"/>
      <c r="DX218" s="307"/>
      <c r="DY218" s="307"/>
      <c r="DZ218" s="307"/>
      <c r="EA218" s="307"/>
      <c r="EB218" s="307"/>
      <c r="EC218" s="307"/>
      <c r="ED218" s="307"/>
      <c r="EE218" s="307"/>
      <c r="EF218" s="307"/>
      <c r="EG218" s="307"/>
      <c r="EH218" s="307"/>
      <c r="EI218" s="307"/>
      <c r="EJ218" s="307"/>
      <c r="EK218" s="307"/>
      <c r="EL218" s="307"/>
      <c r="EM218" s="307"/>
      <c r="EN218" s="307"/>
      <c r="EO218" s="307"/>
      <c r="EP218" s="307"/>
      <c r="EQ218" s="307"/>
      <c r="ER218" s="307"/>
      <c r="ES218" s="307"/>
      <c r="ET218" s="307"/>
      <c r="EU218" s="307"/>
      <c r="EV218" s="307"/>
      <c r="EW218" s="307"/>
      <c r="EX218" s="307"/>
      <c r="EY218" s="307"/>
      <c r="EZ218" s="307"/>
      <c r="FA218" s="307"/>
      <c r="FB218" s="307"/>
      <c r="FC218" s="307"/>
      <c r="FD218" s="307"/>
      <c r="FE218" s="307"/>
      <c r="FF218" s="307"/>
      <c r="FG218" s="307"/>
      <c r="FH218" s="307"/>
      <c r="FI218" s="307"/>
      <c r="FJ218" s="307"/>
      <c r="FK218" s="307"/>
      <c r="FL218" s="307"/>
      <c r="FM218" s="307"/>
      <c r="FN218" s="307"/>
      <c r="FO218" s="307"/>
      <c r="FP218" s="307"/>
      <c r="FQ218" s="307"/>
      <c r="FR218" s="307"/>
      <c r="FS218" s="307"/>
      <c r="FT218" s="307"/>
      <c r="FU218" s="307"/>
      <c r="FV218" s="307"/>
      <c r="FW218" s="307"/>
      <c r="FX218" s="307"/>
      <c r="FY218" s="307"/>
      <c r="FZ218" s="307"/>
      <c r="GA218" s="307"/>
      <c r="GB218" s="307"/>
      <c r="GC218" s="307"/>
      <c r="GD218" s="307"/>
      <c r="GE218" s="307"/>
      <c r="GF218" s="307"/>
      <c r="GG218" s="307"/>
      <c r="GH218" s="307"/>
      <c r="GI218" s="307"/>
      <c r="GJ218" s="307"/>
      <c r="GK218" s="307"/>
      <c r="GL218" s="307"/>
      <c r="GM218" s="307"/>
      <c r="GN218" s="307"/>
      <c r="GO218" s="307"/>
      <c r="GP218" s="307"/>
      <c r="GQ218" s="307"/>
      <c r="GR218" s="307"/>
      <c r="GS218" s="307"/>
      <c r="GT218" s="307"/>
      <c r="GU218" s="307"/>
      <c r="GV218" s="307"/>
      <c r="GW218" s="307"/>
      <c r="GX218" s="307"/>
      <c r="GY218" s="307"/>
      <c r="GZ218" s="307"/>
    </row>
    <row r="219" spans="1:208" ht="15">
      <c r="A219" s="304">
        <v>46</v>
      </c>
      <c r="B219" s="328">
        <v>44880</v>
      </c>
      <c r="C219" s="329">
        <v>1084015</v>
      </c>
      <c r="D219" s="304" t="s">
        <v>4521</v>
      </c>
      <c r="E219" s="329" t="s">
        <v>4479</v>
      </c>
      <c r="F219" s="329" t="s">
        <v>4251</v>
      </c>
      <c r="G219" s="329">
        <v>3148</v>
      </c>
      <c r="H219" s="329">
        <v>28</v>
      </c>
      <c r="I219" s="304">
        <v>4502452142</v>
      </c>
      <c r="J219" s="329">
        <v>3025457</v>
      </c>
      <c r="K219" s="304">
        <v>4902385122</v>
      </c>
      <c r="L219" s="304" t="s">
        <v>4252</v>
      </c>
      <c r="M219" s="309">
        <v>12624</v>
      </c>
      <c r="N219" s="329">
        <v>8500</v>
      </c>
      <c r="O219" s="306">
        <f t="shared" si="24"/>
        <v>107304000</v>
      </c>
      <c r="P219" s="304">
        <f t="shared" si="35"/>
        <v>2</v>
      </c>
      <c r="Q219" s="331" t="s">
        <v>3455</v>
      </c>
      <c r="R219" s="304">
        <v>1040968</v>
      </c>
      <c r="S219" s="330">
        <f>1623900*2</f>
        <v>3247800</v>
      </c>
      <c r="T219" s="307"/>
      <c r="U219" s="307"/>
      <c r="V219" s="307"/>
      <c r="W219" s="307"/>
      <c r="X219" s="307"/>
      <c r="Y219" s="307"/>
      <c r="Z219" s="307"/>
      <c r="AA219" s="307"/>
      <c r="AB219" s="307"/>
      <c r="AC219" s="307"/>
      <c r="AD219" s="307"/>
      <c r="AE219" s="307"/>
      <c r="AF219" s="307"/>
      <c r="AG219" s="307"/>
      <c r="AH219" s="307"/>
      <c r="AI219" s="307"/>
      <c r="AJ219" s="307"/>
      <c r="AK219" s="307"/>
      <c r="AL219" s="307"/>
      <c r="AM219" s="307"/>
      <c r="AN219" s="307"/>
      <c r="AO219" s="307"/>
      <c r="AP219" s="307"/>
      <c r="AQ219" s="307"/>
      <c r="AR219" s="307"/>
      <c r="AS219" s="307"/>
      <c r="AT219" s="307"/>
      <c r="AU219" s="307"/>
      <c r="AV219" s="307"/>
      <c r="AW219" s="307"/>
      <c r="AX219" s="307"/>
      <c r="AY219" s="307"/>
      <c r="AZ219" s="307"/>
      <c r="BA219" s="307"/>
      <c r="BB219" s="307"/>
      <c r="BC219" s="307"/>
      <c r="BD219" s="307"/>
      <c r="BE219" s="307"/>
      <c r="BF219" s="307"/>
      <c r="BG219" s="307"/>
      <c r="BH219" s="307"/>
      <c r="BI219" s="307"/>
      <c r="BJ219" s="307"/>
      <c r="BK219" s="307"/>
      <c r="BL219" s="307"/>
      <c r="BM219" s="307"/>
      <c r="BN219" s="307"/>
      <c r="BO219" s="307"/>
      <c r="BP219" s="307"/>
      <c r="BQ219" s="307"/>
      <c r="BR219" s="307"/>
      <c r="BS219" s="307"/>
      <c r="BT219" s="307"/>
      <c r="BU219" s="307"/>
      <c r="BV219" s="307"/>
      <c r="BW219" s="307"/>
      <c r="BX219" s="307"/>
      <c r="BY219" s="307"/>
      <c r="BZ219" s="307"/>
      <c r="CA219" s="307"/>
      <c r="CB219" s="307"/>
      <c r="CC219" s="307"/>
      <c r="CD219" s="307"/>
      <c r="CE219" s="307"/>
      <c r="CF219" s="307"/>
      <c r="CG219" s="307"/>
      <c r="CH219" s="307"/>
      <c r="CI219" s="307"/>
      <c r="CJ219" s="307"/>
      <c r="CK219" s="307"/>
      <c r="CL219" s="307"/>
      <c r="CM219" s="307"/>
      <c r="CN219" s="307"/>
      <c r="CO219" s="307"/>
      <c r="CP219" s="307"/>
      <c r="CQ219" s="307"/>
      <c r="CR219" s="307"/>
      <c r="CS219" s="307"/>
      <c r="CT219" s="307"/>
      <c r="CU219" s="307"/>
      <c r="CV219" s="307"/>
      <c r="CW219" s="307"/>
      <c r="CX219" s="307"/>
      <c r="CY219" s="307"/>
      <c r="CZ219" s="307"/>
      <c r="DA219" s="307"/>
      <c r="DB219" s="307"/>
      <c r="DC219" s="307"/>
      <c r="DD219" s="307"/>
      <c r="DE219" s="307"/>
      <c r="DF219" s="307"/>
      <c r="DG219" s="307"/>
      <c r="DH219" s="307"/>
      <c r="DI219" s="307"/>
      <c r="DJ219" s="307"/>
      <c r="DK219" s="307"/>
      <c r="DL219" s="307"/>
      <c r="DM219" s="307"/>
      <c r="DN219" s="307"/>
      <c r="DO219" s="307"/>
      <c r="DP219" s="307"/>
      <c r="DQ219" s="307"/>
      <c r="DR219" s="307"/>
      <c r="DS219" s="307"/>
      <c r="DT219" s="307"/>
      <c r="DU219" s="307"/>
      <c r="DV219" s="307"/>
      <c r="DW219" s="307"/>
      <c r="DX219" s="307"/>
      <c r="DY219" s="307"/>
      <c r="DZ219" s="307"/>
      <c r="EA219" s="307"/>
      <c r="EB219" s="307"/>
      <c r="EC219" s="307"/>
      <c r="ED219" s="307"/>
      <c r="EE219" s="307"/>
      <c r="EF219" s="307"/>
      <c r="EG219" s="307"/>
      <c r="EH219" s="307"/>
      <c r="EI219" s="307"/>
      <c r="EJ219" s="307"/>
      <c r="EK219" s="307"/>
      <c r="EL219" s="307"/>
      <c r="EM219" s="307"/>
      <c r="EN219" s="307"/>
      <c r="EO219" s="307"/>
      <c r="EP219" s="307"/>
      <c r="EQ219" s="307"/>
      <c r="ER219" s="307"/>
      <c r="ES219" s="307"/>
      <c r="ET219" s="307"/>
      <c r="EU219" s="307"/>
      <c r="EV219" s="307"/>
      <c r="EW219" s="307"/>
      <c r="EX219" s="307"/>
      <c r="EY219" s="307"/>
      <c r="EZ219" s="307"/>
      <c r="FA219" s="307"/>
      <c r="FB219" s="307"/>
      <c r="FC219" s="307"/>
      <c r="FD219" s="307"/>
      <c r="FE219" s="307"/>
      <c r="FF219" s="307"/>
      <c r="FG219" s="307"/>
      <c r="FH219" s="307"/>
      <c r="FI219" s="307"/>
      <c r="FJ219" s="307"/>
      <c r="FK219" s="307"/>
      <c r="FL219" s="307"/>
      <c r="FM219" s="307"/>
      <c r="FN219" s="307"/>
      <c r="FO219" s="307"/>
      <c r="FP219" s="307"/>
      <c r="FQ219" s="307"/>
      <c r="FR219" s="307"/>
      <c r="FS219" s="307"/>
      <c r="FT219" s="307"/>
      <c r="FU219" s="307"/>
      <c r="FV219" s="307"/>
      <c r="FW219" s="307"/>
      <c r="FX219" s="307"/>
      <c r="FY219" s="307"/>
      <c r="FZ219" s="307"/>
      <c r="GA219" s="307"/>
      <c r="GB219" s="307"/>
      <c r="GC219" s="307"/>
      <c r="GD219" s="307"/>
      <c r="GE219" s="307"/>
      <c r="GF219" s="307"/>
      <c r="GG219" s="307"/>
      <c r="GH219" s="307"/>
      <c r="GI219" s="307"/>
      <c r="GJ219" s="307"/>
      <c r="GK219" s="307"/>
      <c r="GL219" s="307"/>
      <c r="GM219" s="307"/>
      <c r="GN219" s="307"/>
      <c r="GO219" s="307"/>
      <c r="GP219" s="307"/>
      <c r="GQ219" s="307"/>
      <c r="GR219" s="307"/>
      <c r="GS219" s="307"/>
      <c r="GT219" s="307"/>
      <c r="GU219" s="307"/>
      <c r="GV219" s="307"/>
      <c r="GW219" s="307"/>
      <c r="GX219" s="307"/>
      <c r="GY219" s="307"/>
      <c r="GZ219" s="307"/>
    </row>
    <row r="220" spans="1:208" ht="15">
      <c r="A220" s="304">
        <v>46</v>
      </c>
      <c r="B220" s="328">
        <v>44880</v>
      </c>
      <c r="C220" s="329">
        <v>1106184</v>
      </c>
      <c r="D220" s="304" t="s">
        <v>4522</v>
      </c>
      <c r="E220" s="329" t="s">
        <v>4250</v>
      </c>
      <c r="F220" s="329" t="s">
        <v>4251</v>
      </c>
      <c r="G220" s="329">
        <v>3185</v>
      </c>
      <c r="H220" s="329">
        <v>28</v>
      </c>
      <c r="I220" s="304">
        <v>4502452143</v>
      </c>
      <c r="J220" s="329">
        <v>3025457</v>
      </c>
      <c r="K220" s="304">
        <v>4902385124</v>
      </c>
      <c r="L220" s="304" t="s">
        <v>4252</v>
      </c>
      <c r="M220" s="309">
        <v>13956</v>
      </c>
      <c r="N220" s="329">
        <v>8200</v>
      </c>
      <c r="O220" s="306">
        <f t="shared" si="24"/>
        <v>114439200</v>
      </c>
      <c r="P220" s="304">
        <f t="shared" si="35"/>
        <v>2</v>
      </c>
      <c r="Q220" s="331" t="s">
        <v>3455</v>
      </c>
      <c r="R220" s="304">
        <v>1040968</v>
      </c>
      <c r="S220" s="330">
        <f>1980900*2</f>
        <v>3961800</v>
      </c>
      <c r="T220" s="307"/>
      <c r="U220" s="307"/>
      <c r="V220" s="307"/>
      <c r="W220" s="307"/>
      <c r="X220" s="307"/>
      <c r="Y220" s="307"/>
      <c r="Z220" s="307"/>
      <c r="AA220" s="307"/>
      <c r="AB220" s="307"/>
      <c r="AC220" s="307"/>
      <c r="AD220" s="307"/>
      <c r="AE220" s="307"/>
      <c r="AF220" s="307"/>
      <c r="AG220" s="307"/>
      <c r="AH220" s="307"/>
      <c r="AI220" s="307"/>
      <c r="AJ220" s="307"/>
      <c r="AK220" s="307"/>
      <c r="AL220" s="307"/>
      <c r="AM220" s="307"/>
      <c r="AN220" s="307"/>
      <c r="AO220" s="307"/>
      <c r="AP220" s="307"/>
      <c r="AQ220" s="307"/>
      <c r="AR220" s="307"/>
      <c r="AS220" s="307"/>
      <c r="AT220" s="307"/>
      <c r="AU220" s="307"/>
      <c r="AV220" s="307"/>
      <c r="AW220" s="307"/>
      <c r="AX220" s="307"/>
      <c r="AY220" s="307"/>
      <c r="AZ220" s="307"/>
      <c r="BA220" s="307"/>
      <c r="BB220" s="307"/>
      <c r="BC220" s="307"/>
      <c r="BD220" s="307"/>
      <c r="BE220" s="307"/>
      <c r="BF220" s="307"/>
      <c r="BG220" s="307"/>
      <c r="BH220" s="307"/>
      <c r="BI220" s="307"/>
      <c r="BJ220" s="307"/>
      <c r="BK220" s="307"/>
      <c r="BL220" s="307"/>
      <c r="BM220" s="307"/>
      <c r="BN220" s="307"/>
      <c r="BO220" s="307"/>
      <c r="BP220" s="307"/>
      <c r="BQ220" s="307"/>
      <c r="BR220" s="307"/>
      <c r="BS220" s="307"/>
      <c r="BT220" s="307"/>
      <c r="BU220" s="307"/>
      <c r="BV220" s="307"/>
      <c r="BW220" s="307"/>
      <c r="BX220" s="307"/>
      <c r="BY220" s="307"/>
      <c r="BZ220" s="307"/>
      <c r="CA220" s="307"/>
      <c r="CB220" s="307"/>
      <c r="CC220" s="307"/>
      <c r="CD220" s="307"/>
      <c r="CE220" s="307"/>
      <c r="CF220" s="307"/>
      <c r="CG220" s="307"/>
      <c r="CH220" s="307"/>
      <c r="CI220" s="307"/>
      <c r="CJ220" s="307"/>
      <c r="CK220" s="307"/>
      <c r="CL220" s="307"/>
      <c r="CM220" s="307"/>
      <c r="CN220" s="307"/>
      <c r="CO220" s="307"/>
      <c r="CP220" s="307"/>
      <c r="CQ220" s="307"/>
      <c r="CR220" s="307"/>
      <c r="CS220" s="307"/>
      <c r="CT220" s="307"/>
      <c r="CU220" s="307"/>
      <c r="CV220" s="307"/>
      <c r="CW220" s="307"/>
      <c r="CX220" s="307"/>
      <c r="CY220" s="307"/>
      <c r="CZ220" s="307"/>
      <c r="DA220" s="307"/>
      <c r="DB220" s="307"/>
      <c r="DC220" s="307"/>
      <c r="DD220" s="307"/>
      <c r="DE220" s="307"/>
      <c r="DF220" s="307"/>
      <c r="DG220" s="307"/>
      <c r="DH220" s="307"/>
      <c r="DI220" s="307"/>
      <c r="DJ220" s="307"/>
      <c r="DK220" s="307"/>
      <c r="DL220" s="307"/>
      <c r="DM220" s="307"/>
      <c r="DN220" s="307"/>
      <c r="DO220" s="307"/>
      <c r="DP220" s="307"/>
      <c r="DQ220" s="307"/>
      <c r="DR220" s="307"/>
      <c r="DS220" s="307"/>
      <c r="DT220" s="307"/>
      <c r="DU220" s="307"/>
      <c r="DV220" s="307"/>
      <c r="DW220" s="307"/>
      <c r="DX220" s="307"/>
      <c r="DY220" s="307"/>
      <c r="DZ220" s="307"/>
      <c r="EA220" s="307"/>
      <c r="EB220" s="307"/>
      <c r="EC220" s="307"/>
      <c r="ED220" s="307"/>
      <c r="EE220" s="307"/>
      <c r="EF220" s="307"/>
      <c r="EG220" s="307"/>
      <c r="EH220" s="307"/>
      <c r="EI220" s="307"/>
      <c r="EJ220" s="307"/>
      <c r="EK220" s="307"/>
      <c r="EL220" s="307"/>
      <c r="EM220" s="307"/>
      <c r="EN220" s="307"/>
      <c r="EO220" s="307"/>
      <c r="EP220" s="307"/>
      <c r="EQ220" s="307"/>
      <c r="ER220" s="307"/>
      <c r="ES220" s="307"/>
      <c r="ET220" s="307"/>
      <c r="EU220" s="307"/>
      <c r="EV220" s="307"/>
      <c r="EW220" s="307"/>
      <c r="EX220" s="307"/>
      <c r="EY220" s="307"/>
      <c r="EZ220" s="307"/>
      <c r="FA220" s="307"/>
      <c r="FB220" s="307"/>
      <c r="FC220" s="307"/>
      <c r="FD220" s="307"/>
      <c r="FE220" s="307"/>
      <c r="FF220" s="307"/>
      <c r="FG220" s="307"/>
      <c r="FH220" s="307"/>
      <c r="FI220" s="307"/>
      <c r="FJ220" s="307"/>
      <c r="FK220" s="307"/>
      <c r="FL220" s="307"/>
      <c r="FM220" s="307"/>
      <c r="FN220" s="307"/>
      <c r="FO220" s="307"/>
      <c r="FP220" s="307"/>
      <c r="FQ220" s="307"/>
      <c r="FR220" s="307"/>
      <c r="FS220" s="307"/>
      <c r="FT220" s="307"/>
      <c r="FU220" s="307"/>
      <c r="FV220" s="307"/>
      <c r="FW220" s="307"/>
      <c r="FX220" s="307"/>
      <c r="FY220" s="307"/>
      <c r="FZ220" s="307"/>
      <c r="GA220" s="307"/>
      <c r="GB220" s="307"/>
      <c r="GC220" s="307"/>
      <c r="GD220" s="307"/>
      <c r="GE220" s="307"/>
      <c r="GF220" s="307"/>
      <c r="GG220" s="307"/>
      <c r="GH220" s="307"/>
      <c r="GI220" s="307"/>
      <c r="GJ220" s="307"/>
      <c r="GK220" s="307"/>
      <c r="GL220" s="307"/>
      <c r="GM220" s="307"/>
      <c r="GN220" s="307"/>
      <c r="GO220" s="307"/>
      <c r="GP220" s="307"/>
      <c r="GQ220" s="307"/>
      <c r="GR220" s="307"/>
      <c r="GS220" s="307"/>
      <c r="GT220" s="307"/>
      <c r="GU220" s="307"/>
      <c r="GV220" s="307"/>
      <c r="GW220" s="307"/>
      <c r="GX220" s="307"/>
      <c r="GY220" s="307"/>
      <c r="GZ220" s="307"/>
    </row>
    <row r="221" spans="1:208" ht="15">
      <c r="A221" s="304">
        <v>46</v>
      </c>
      <c r="B221" s="328">
        <v>44880</v>
      </c>
      <c r="C221" s="329">
        <v>1096824</v>
      </c>
      <c r="D221" s="304" t="s">
        <v>4523</v>
      </c>
      <c r="E221" s="329" t="s">
        <v>4254</v>
      </c>
      <c r="F221" s="329" t="s">
        <v>4251</v>
      </c>
      <c r="G221" s="329">
        <v>3187</v>
      </c>
      <c r="H221" s="329">
        <v>14</v>
      </c>
      <c r="I221" s="304">
        <v>4502452145</v>
      </c>
      <c r="J221" s="329">
        <v>3025457</v>
      </c>
      <c r="K221" s="304">
        <v>4902385125</v>
      </c>
      <c r="L221" s="304" t="s">
        <v>4252</v>
      </c>
      <c r="M221" s="309">
        <v>7416</v>
      </c>
      <c r="N221" s="329">
        <v>8200</v>
      </c>
      <c r="O221" s="306">
        <f t="shared" si="24"/>
        <v>60811200</v>
      </c>
      <c r="P221" s="304">
        <f t="shared" si="35"/>
        <v>1</v>
      </c>
      <c r="Q221" s="331" t="s">
        <v>3455</v>
      </c>
      <c r="R221" s="304">
        <v>1040968</v>
      </c>
      <c r="S221" s="330">
        <f>2979200*2</f>
        <v>5958400</v>
      </c>
      <c r="T221" s="307"/>
      <c r="U221" s="307"/>
      <c r="V221" s="307"/>
      <c r="W221" s="307"/>
      <c r="X221" s="307"/>
      <c r="Y221" s="307"/>
      <c r="Z221" s="307"/>
      <c r="AA221" s="307"/>
      <c r="AB221" s="307"/>
      <c r="AC221" s="307"/>
      <c r="AD221" s="307"/>
      <c r="AE221" s="307"/>
      <c r="AF221" s="307"/>
      <c r="AG221" s="307"/>
      <c r="AH221" s="307"/>
      <c r="AI221" s="307"/>
      <c r="AJ221" s="307"/>
      <c r="AK221" s="307"/>
      <c r="AL221" s="307"/>
      <c r="AM221" s="307"/>
      <c r="AN221" s="307"/>
      <c r="AO221" s="307"/>
      <c r="AP221" s="307"/>
      <c r="AQ221" s="307"/>
      <c r="AR221" s="307"/>
      <c r="AS221" s="307"/>
      <c r="AT221" s="307"/>
      <c r="AU221" s="307"/>
      <c r="AV221" s="307"/>
      <c r="AW221" s="307"/>
      <c r="AX221" s="307"/>
      <c r="AY221" s="307"/>
      <c r="AZ221" s="307"/>
      <c r="BA221" s="307"/>
      <c r="BB221" s="307"/>
      <c r="BC221" s="307"/>
      <c r="BD221" s="307"/>
      <c r="BE221" s="307"/>
      <c r="BF221" s="307"/>
      <c r="BG221" s="307"/>
      <c r="BH221" s="307"/>
      <c r="BI221" s="307"/>
      <c r="BJ221" s="307"/>
      <c r="BK221" s="307"/>
      <c r="BL221" s="307"/>
      <c r="BM221" s="307"/>
      <c r="BN221" s="307"/>
      <c r="BO221" s="307"/>
      <c r="BP221" s="307"/>
      <c r="BQ221" s="307"/>
      <c r="BR221" s="307"/>
      <c r="BS221" s="307"/>
      <c r="BT221" s="307"/>
      <c r="BU221" s="307"/>
      <c r="BV221" s="307"/>
      <c r="BW221" s="307"/>
      <c r="BX221" s="307"/>
      <c r="BY221" s="307"/>
      <c r="BZ221" s="307"/>
      <c r="CA221" s="307"/>
      <c r="CB221" s="307"/>
      <c r="CC221" s="307"/>
      <c r="CD221" s="307"/>
      <c r="CE221" s="307"/>
      <c r="CF221" s="307"/>
      <c r="CG221" s="307"/>
      <c r="CH221" s="307"/>
      <c r="CI221" s="307"/>
      <c r="CJ221" s="307"/>
      <c r="CK221" s="307"/>
      <c r="CL221" s="307"/>
      <c r="CM221" s="307"/>
      <c r="CN221" s="307"/>
      <c r="CO221" s="307"/>
      <c r="CP221" s="307"/>
      <c r="CQ221" s="307"/>
      <c r="CR221" s="307"/>
      <c r="CS221" s="307"/>
      <c r="CT221" s="307"/>
      <c r="CU221" s="307"/>
      <c r="CV221" s="307"/>
      <c r="CW221" s="307"/>
      <c r="CX221" s="307"/>
      <c r="CY221" s="307"/>
      <c r="CZ221" s="307"/>
      <c r="DA221" s="307"/>
      <c r="DB221" s="307"/>
      <c r="DC221" s="307"/>
      <c r="DD221" s="307"/>
      <c r="DE221" s="307"/>
      <c r="DF221" s="307"/>
      <c r="DG221" s="307"/>
      <c r="DH221" s="307"/>
      <c r="DI221" s="307"/>
      <c r="DJ221" s="307"/>
      <c r="DK221" s="307"/>
      <c r="DL221" s="307"/>
      <c r="DM221" s="307"/>
      <c r="DN221" s="307"/>
      <c r="DO221" s="307"/>
      <c r="DP221" s="307"/>
      <c r="DQ221" s="307"/>
      <c r="DR221" s="307"/>
      <c r="DS221" s="307"/>
      <c r="DT221" s="307"/>
      <c r="DU221" s="307"/>
      <c r="DV221" s="307"/>
      <c r="DW221" s="307"/>
      <c r="DX221" s="307"/>
      <c r="DY221" s="307"/>
      <c r="DZ221" s="307"/>
      <c r="EA221" s="307"/>
      <c r="EB221" s="307"/>
      <c r="EC221" s="307"/>
      <c r="ED221" s="307"/>
      <c r="EE221" s="307"/>
      <c r="EF221" s="307"/>
      <c r="EG221" s="307"/>
      <c r="EH221" s="307"/>
      <c r="EI221" s="307"/>
      <c r="EJ221" s="307"/>
      <c r="EK221" s="307"/>
      <c r="EL221" s="307"/>
      <c r="EM221" s="307"/>
      <c r="EN221" s="307"/>
      <c r="EO221" s="307"/>
      <c r="EP221" s="307"/>
      <c r="EQ221" s="307"/>
      <c r="ER221" s="307"/>
      <c r="ES221" s="307"/>
      <c r="ET221" s="307"/>
      <c r="EU221" s="307"/>
      <c r="EV221" s="307"/>
      <c r="EW221" s="307"/>
      <c r="EX221" s="307"/>
      <c r="EY221" s="307"/>
      <c r="EZ221" s="307"/>
      <c r="FA221" s="307"/>
      <c r="FB221" s="307"/>
      <c r="FC221" s="307"/>
      <c r="FD221" s="307"/>
      <c r="FE221" s="307"/>
      <c r="FF221" s="307"/>
      <c r="FG221" s="307"/>
      <c r="FH221" s="307"/>
      <c r="FI221" s="307"/>
      <c r="FJ221" s="307"/>
      <c r="FK221" s="307"/>
      <c r="FL221" s="307"/>
      <c r="FM221" s="307"/>
      <c r="FN221" s="307"/>
      <c r="FO221" s="307"/>
      <c r="FP221" s="307"/>
      <c r="FQ221" s="307"/>
      <c r="FR221" s="307"/>
      <c r="FS221" s="307"/>
      <c r="FT221" s="307"/>
      <c r="FU221" s="307"/>
      <c r="FV221" s="307"/>
      <c r="FW221" s="307"/>
      <c r="FX221" s="307"/>
      <c r="FY221" s="307"/>
      <c r="FZ221" s="307"/>
      <c r="GA221" s="307"/>
      <c r="GB221" s="307"/>
      <c r="GC221" s="307"/>
      <c r="GD221" s="307"/>
      <c r="GE221" s="307"/>
      <c r="GF221" s="307"/>
      <c r="GG221" s="307"/>
      <c r="GH221" s="307"/>
      <c r="GI221" s="307"/>
      <c r="GJ221" s="307"/>
      <c r="GK221" s="307"/>
      <c r="GL221" s="307"/>
      <c r="GM221" s="307"/>
      <c r="GN221" s="307"/>
      <c r="GO221" s="307"/>
      <c r="GP221" s="307"/>
      <c r="GQ221" s="307"/>
      <c r="GR221" s="307"/>
      <c r="GS221" s="307"/>
      <c r="GT221" s="307"/>
      <c r="GU221" s="307"/>
      <c r="GV221" s="307"/>
      <c r="GW221" s="307"/>
      <c r="GX221" s="307"/>
      <c r="GY221" s="307"/>
      <c r="GZ221" s="307"/>
    </row>
    <row r="222" spans="1:208" ht="15">
      <c r="A222" s="282">
        <v>47</v>
      </c>
      <c r="B222" s="332">
        <v>44886</v>
      </c>
      <c r="C222" s="333">
        <v>1003100</v>
      </c>
      <c r="D222" s="282" t="s">
        <v>4524</v>
      </c>
      <c r="E222" s="333" t="s">
        <v>4344</v>
      </c>
      <c r="F222" s="333" t="s">
        <v>4251</v>
      </c>
      <c r="G222" s="333">
        <v>3152</v>
      </c>
      <c r="H222" s="344">
        <v>28</v>
      </c>
      <c r="I222" s="520">
        <v>4502455394</v>
      </c>
      <c r="J222" s="333">
        <v>3025457</v>
      </c>
      <c r="K222" s="282">
        <v>4902389075</v>
      </c>
      <c r="L222" s="282" t="s">
        <v>4252</v>
      </c>
      <c r="M222" s="283">
        <v>13486</v>
      </c>
      <c r="N222" s="333">
        <v>8650</v>
      </c>
      <c r="O222" s="284">
        <f t="shared" si="24"/>
        <v>116653900</v>
      </c>
      <c r="P222" s="285">
        <f t="shared" si="35"/>
        <v>2</v>
      </c>
      <c r="Q222" s="321" t="s">
        <v>3429</v>
      </c>
      <c r="R222" s="282">
        <v>1070641</v>
      </c>
      <c r="S222" s="342">
        <f>920000*P222</f>
        <v>1840000</v>
      </c>
      <c r="T222" s="285"/>
      <c r="U222" s="285"/>
      <c r="V222" s="285"/>
      <c r="W222" s="285"/>
      <c r="X222" s="285"/>
      <c r="Y222" s="285"/>
      <c r="Z222" s="285"/>
      <c r="AA222" s="285"/>
      <c r="AB222" s="285"/>
      <c r="AC222" s="285"/>
      <c r="AD222" s="285"/>
      <c r="AE222" s="285"/>
      <c r="AF222" s="285"/>
      <c r="AG222" s="285"/>
      <c r="AH222" s="285"/>
      <c r="AI222" s="285"/>
      <c r="AJ222" s="285"/>
      <c r="AK222" s="285"/>
      <c r="AL222" s="285"/>
      <c r="AM222" s="285"/>
      <c r="AN222" s="285"/>
      <c r="AO222" s="285"/>
      <c r="AP222" s="285"/>
      <c r="AQ222" s="285"/>
      <c r="AR222" s="285"/>
      <c r="AS222" s="285"/>
      <c r="AT222" s="285"/>
      <c r="AU222" s="285"/>
      <c r="AV222" s="285"/>
      <c r="AW222" s="285"/>
      <c r="AX222" s="285"/>
      <c r="AY222" s="285"/>
      <c r="AZ222" s="285"/>
      <c r="BA222" s="285"/>
      <c r="BB222" s="285"/>
      <c r="BC222" s="285"/>
      <c r="BD222" s="285"/>
      <c r="BE222" s="285"/>
      <c r="BF222" s="285"/>
      <c r="BG222" s="285"/>
      <c r="BH222" s="285"/>
      <c r="BI222" s="285"/>
      <c r="BJ222" s="285"/>
      <c r="BK222" s="285"/>
      <c r="BL222" s="285"/>
      <c r="BM222" s="285"/>
      <c r="BN222" s="285"/>
      <c r="BO222" s="285"/>
      <c r="BP222" s="285"/>
      <c r="BQ222" s="285"/>
      <c r="BR222" s="285"/>
      <c r="BS222" s="285"/>
      <c r="BT222" s="285"/>
      <c r="BU222" s="285"/>
      <c r="BV222" s="285"/>
      <c r="BW222" s="285"/>
      <c r="BX222" s="285"/>
      <c r="BY222" s="285"/>
      <c r="BZ222" s="285"/>
      <c r="CA222" s="285"/>
      <c r="CB222" s="285"/>
      <c r="CC222" s="285"/>
      <c r="CD222" s="285"/>
      <c r="CE222" s="285"/>
      <c r="CF222" s="285"/>
      <c r="CG222" s="285"/>
      <c r="CH222" s="285"/>
      <c r="CI222" s="285"/>
      <c r="CJ222" s="285"/>
      <c r="CK222" s="285"/>
      <c r="CL222" s="285"/>
      <c r="CM222" s="285"/>
      <c r="CN222" s="285"/>
      <c r="CO222" s="285"/>
      <c r="CP222" s="285"/>
      <c r="CQ222" s="285"/>
      <c r="CR222" s="285"/>
      <c r="CS222" s="285"/>
      <c r="CT222" s="285"/>
      <c r="CU222" s="285"/>
      <c r="CV222" s="285"/>
      <c r="CW222" s="285"/>
      <c r="CX222" s="285"/>
      <c r="CY222" s="285"/>
      <c r="CZ222" s="285"/>
      <c r="DA222" s="285"/>
      <c r="DB222" s="285"/>
      <c r="DC222" s="285"/>
      <c r="DD222" s="285"/>
      <c r="DE222" s="285"/>
      <c r="DF222" s="285"/>
      <c r="DG222" s="285"/>
      <c r="DH222" s="285"/>
      <c r="DI222" s="285"/>
      <c r="DJ222" s="285"/>
      <c r="DK222" s="285"/>
      <c r="DL222" s="285"/>
      <c r="DM222" s="285"/>
      <c r="DN222" s="285"/>
      <c r="DO222" s="285"/>
      <c r="DP222" s="285"/>
      <c r="DQ222" s="285"/>
      <c r="DR222" s="285"/>
      <c r="DS222" s="285"/>
      <c r="DT222" s="285"/>
      <c r="DU222" s="285"/>
      <c r="DV222" s="285"/>
      <c r="DW222" s="285"/>
      <c r="DX222" s="285"/>
      <c r="DY222" s="285"/>
      <c r="DZ222" s="285"/>
      <c r="EA222" s="285"/>
      <c r="EB222" s="285"/>
      <c r="EC222" s="285"/>
      <c r="ED222" s="285"/>
      <c r="EE222" s="285"/>
      <c r="EF222" s="285"/>
      <c r="EG222" s="285"/>
      <c r="EH222" s="285"/>
      <c r="EI222" s="285"/>
      <c r="EJ222" s="285"/>
      <c r="EK222" s="285"/>
      <c r="EL222" s="285"/>
      <c r="EM222" s="285"/>
      <c r="EN222" s="285"/>
      <c r="EO222" s="285"/>
      <c r="EP222" s="285"/>
      <c r="EQ222" s="285"/>
      <c r="ER222" s="285"/>
      <c r="ES222" s="285"/>
      <c r="ET222" s="285"/>
      <c r="EU222" s="285"/>
      <c r="EV222" s="285"/>
      <c r="EW222" s="285"/>
      <c r="EX222" s="285"/>
      <c r="EY222" s="285"/>
      <c r="EZ222" s="285"/>
      <c r="FA222" s="285"/>
      <c r="FB222" s="285"/>
      <c r="FC222" s="285"/>
      <c r="FD222" s="285"/>
      <c r="FE222" s="285"/>
      <c r="FF222" s="285"/>
      <c r="FG222" s="285"/>
      <c r="FH222" s="285"/>
      <c r="FI222" s="285"/>
      <c r="FJ222" s="285"/>
      <c r="FK222" s="285"/>
      <c r="FL222" s="285"/>
      <c r="FM222" s="285"/>
      <c r="FN222" s="285"/>
      <c r="FO222" s="285"/>
      <c r="FP222" s="285"/>
      <c r="FQ222" s="285"/>
      <c r="FR222" s="285"/>
      <c r="FS222" s="285"/>
      <c r="FT222" s="285"/>
      <c r="FU222" s="285"/>
      <c r="FV222" s="285"/>
      <c r="FW222" s="285"/>
      <c r="FX222" s="285"/>
      <c r="FY222" s="285"/>
      <c r="FZ222" s="285"/>
      <c r="GA222" s="285"/>
      <c r="GB222" s="285"/>
      <c r="GC222" s="285"/>
      <c r="GD222" s="285"/>
      <c r="GE222" s="285"/>
      <c r="GF222" s="285"/>
      <c r="GG222" s="285"/>
      <c r="GH222" s="285"/>
      <c r="GI222" s="285"/>
      <c r="GJ222" s="285"/>
      <c r="GK222" s="285"/>
      <c r="GL222" s="285"/>
      <c r="GM222" s="285"/>
      <c r="GN222" s="285"/>
      <c r="GO222" s="285"/>
      <c r="GP222" s="285"/>
      <c r="GQ222" s="285"/>
      <c r="GR222" s="285"/>
      <c r="GS222" s="285"/>
      <c r="GT222" s="285"/>
      <c r="GU222" s="285"/>
      <c r="GV222" s="285"/>
      <c r="GW222" s="285"/>
      <c r="GX222" s="285"/>
      <c r="GY222" s="285"/>
      <c r="GZ222" s="285"/>
    </row>
    <row r="223" spans="1:208" ht="15">
      <c r="A223" s="282">
        <v>47</v>
      </c>
      <c r="B223" s="332">
        <v>44886</v>
      </c>
      <c r="C223" s="333">
        <v>1003100</v>
      </c>
      <c r="D223" s="282" t="s">
        <v>4525</v>
      </c>
      <c r="E223" s="333" t="s">
        <v>4344</v>
      </c>
      <c r="F223" s="333" t="s">
        <v>4275</v>
      </c>
      <c r="G223" s="333">
        <v>3152</v>
      </c>
      <c r="H223" s="344">
        <v>56</v>
      </c>
      <c r="I223" s="519"/>
      <c r="J223" s="333">
        <v>3025459</v>
      </c>
      <c r="K223" s="282">
        <v>4902389076</v>
      </c>
      <c r="L223" s="282" t="s">
        <v>4252</v>
      </c>
      <c r="M223" s="283">
        <v>26972</v>
      </c>
      <c r="N223" s="333">
        <v>8650</v>
      </c>
      <c r="O223" s="284">
        <f t="shared" si="24"/>
        <v>233307800</v>
      </c>
      <c r="P223" s="285">
        <f t="shared" si="35"/>
        <v>4</v>
      </c>
      <c r="Q223" s="321" t="s">
        <v>3429</v>
      </c>
      <c r="R223" s="282">
        <v>1070641</v>
      </c>
      <c r="S223" s="334">
        <f>920000*4</f>
        <v>3680000</v>
      </c>
      <c r="T223" s="285"/>
      <c r="U223" s="285"/>
      <c r="V223" s="285"/>
      <c r="W223" s="285"/>
      <c r="X223" s="285"/>
      <c r="Y223" s="285"/>
      <c r="Z223" s="285"/>
      <c r="AA223" s="285"/>
      <c r="AB223" s="285"/>
      <c r="AC223" s="285"/>
      <c r="AD223" s="285"/>
      <c r="AE223" s="285"/>
      <c r="AF223" s="285"/>
      <c r="AG223" s="285"/>
      <c r="AH223" s="285"/>
      <c r="AI223" s="285"/>
      <c r="AJ223" s="285"/>
      <c r="AK223" s="285"/>
      <c r="AL223" s="285"/>
      <c r="AM223" s="285"/>
      <c r="AN223" s="285"/>
      <c r="AO223" s="285"/>
      <c r="AP223" s="285"/>
      <c r="AQ223" s="285"/>
      <c r="AR223" s="285"/>
      <c r="AS223" s="285"/>
      <c r="AT223" s="285"/>
      <c r="AU223" s="285"/>
      <c r="AV223" s="285"/>
      <c r="AW223" s="285"/>
      <c r="AX223" s="285"/>
      <c r="AY223" s="285"/>
      <c r="AZ223" s="285"/>
      <c r="BA223" s="285"/>
      <c r="BB223" s="285"/>
      <c r="BC223" s="285"/>
      <c r="BD223" s="285"/>
      <c r="BE223" s="285"/>
      <c r="BF223" s="285"/>
      <c r="BG223" s="285"/>
      <c r="BH223" s="285"/>
      <c r="BI223" s="285"/>
      <c r="BJ223" s="285"/>
      <c r="BK223" s="285"/>
      <c r="BL223" s="285"/>
      <c r="BM223" s="285"/>
      <c r="BN223" s="285"/>
      <c r="BO223" s="285"/>
      <c r="BP223" s="285"/>
      <c r="BQ223" s="285"/>
      <c r="BR223" s="285"/>
      <c r="BS223" s="285"/>
      <c r="BT223" s="285"/>
      <c r="BU223" s="285"/>
      <c r="BV223" s="285"/>
      <c r="BW223" s="285"/>
      <c r="BX223" s="285"/>
      <c r="BY223" s="285"/>
      <c r="BZ223" s="285"/>
      <c r="CA223" s="285"/>
      <c r="CB223" s="285"/>
      <c r="CC223" s="285"/>
      <c r="CD223" s="285"/>
      <c r="CE223" s="285"/>
      <c r="CF223" s="285"/>
      <c r="CG223" s="285"/>
      <c r="CH223" s="285"/>
      <c r="CI223" s="285"/>
      <c r="CJ223" s="285"/>
      <c r="CK223" s="285"/>
      <c r="CL223" s="285"/>
      <c r="CM223" s="285"/>
      <c r="CN223" s="285"/>
      <c r="CO223" s="285"/>
      <c r="CP223" s="285"/>
      <c r="CQ223" s="285"/>
      <c r="CR223" s="285"/>
      <c r="CS223" s="285"/>
      <c r="CT223" s="285"/>
      <c r="CU223" s="285"/>
      <c r="CV223" s="285"/>
      <c r="CW223" s="285"/>
      <c r="CX223" s="285"/>
      <c r="CY223" s="285"/>
      <c r="CZ223" s="285"/>
      <c r="DA223" s="285"/>
      <c r="DB223" s="285"/>
      <c r="DC223" s="285"/>
      <c r="DD223" s="285"/>
      <c r="DE223" s="285"/>
      <c r="DF223" s="285"/>
      <c r="DG223" s="285"/>
      <c r="DH223" s="285"/>
      <c r="DI223" s="285"/>
      <c r="DJ223" s="285"/>
      <c r="DK223" s="285"/>
      <c r="DL223" s="285"/>
      <c r="DM223" s="285"/>
      <c r="DN223" s="285"/>
      <c r="DO223" s="285"/>
      <c r="DP223" s="285"/>
      <c r="DQ223" s="285"/>
      <c r="DR223" s="285"/>
      <c r="DS223" s="285"/>
      <c r="DT223" s="285"/>
      <c r="DU223" s="285"/>
      <c r="DV223" s="285"/>
      <c r="DW223" s="285"/>
      <c r="DX223" s="285"/>
      <c r="DY223" s="285"/>
      <c r="DZ223" s="285"/>
      <c r="EA223" s="285"/>
      <c r="EB223" s="285"/>
      <c r="EC223" s="285"/>
      <c r="ED223" s="285"/>
      <c r="EE223" s="285"/>
      <c r="EF223" s="285"/>
      <c r="EG223" s="285"/>
      <c r="EH223" s="285"/>
      <c r="EI223" s="285"/>
      <c r="EJ223" s="285"/>
      <c r="EK223" s="285"/>
      <c r="EL223" s="285"/>
      <c r="EM223" s="285"/>
      <c r="EN223" s="285"/>
      <c r="EO223" s="285"/>
      <c r="EP223" s="285"/>
      <c r="EQ223" s="285"/>
      <c r="ER223" s="285"/>
      <c r="ES223" s="285"/>
      <c r="ET223" s="285"/>
      <c r="EU223" s="285"/>
      <c r="EV223" s="285"/>
      <c r="EW223" s="285"/>
      <c r="EX223" s="285"/>
      <c r="EY223" s="285"/>
      <c r="EZ223" s="285"/>
      <c r="FA223" s="285"/>
      <c r="FB223" s="285"/>
      <c r="FC223" s="285"/>
      <c r="FD223" s="285"/>
      <c r="FE223" s="285"/>
      <c r="FF223" s="285"/>
      <c r="FG223" s="285"/>
      <c r="FH223" s="285"/>
      <c r="FI223" s="285"/>
      <c r="FJ223" s="285"/>
      <c r="FK223" s="285"/>
      <c r="FL223" s="285"/>
      <c r="FM223" s="285"/>
      <c r="FN223" s="285"/>
      <c r="FO223" s="285"/>
      <c r="FP223" s="285"/>
      <c r="FQ223" s="285"/>
      <c r="FR223" s="285"/>
      <c r="FS223" s="285"/>
      <c r="FT223" s="285"/>
      <c r="FU223" s="285"/>
      <c r="FV223" s="285"/>
      <c r="FW223" s="285"/>
      <c r="FX223" s="285"/>
      <c r="FY223" s="285"/>
      <c r="FZ223" s="285"/>
      <c r="GA223" s="285"/>
      <c r="GB223" s="285"/>
      <c r="GC223" s="285"/>
      <c r="GD223" s="285"/>
      <c r="GE223" s="285"/>
      <c r="GF223" s="285"/>
      <c r="GG223" s="285"/>
      <c r="GH223" s="285"/>
      <c r="GI223" s="285"/>
      <c r="GJ223" s="285"/>
      <c r="GK223" s="285"/>
      <c r="GL223" s="285"/>
      <c r="GM223" s="285"/>
      <c r="GN223" s="285"/>
      <c r="GO223" s="285"/>
      <c r="GP223" s="285"/>
      <c r="GQ223" s="285"/>
      <c r="GR223" s="285"/>
      <c r="GS223" s="285"/>
      <c r="GT223" s="285"/>
      <c r="GU223" s="285"/>
      <c r="GV223" s="285"/>
      <c r="GW223" s="285"/>
      <c r="GX223" s="285"/>
      <c r="GY223" s="285"/>
      <c r="GZ223" s="285"/>
    </row>
    <row r="224" spans="1:208" ht="15">
      <c r="A224" s="304">
        <v>48</v>
      </c>
      <c r="B224" s="328">
        <v>44889</v>
      </c>
      <c r="C224" s="329">
        <v>1109027</v>
      </c>
      <c r="D224" s="304" t="s">
        <v>4526</v>
      </c>
      <c r="E224" s="329" t="s">
        <v>4287</v>
      </c>
      <c r="F224" s="329" t="s">
        <v>4251</v>
      </c>
      <c r="G224" s="329">
        <v>3193</v>
      </c>
      <c r="H224" s="329">
        <v>56</v>
      </c>
      <c r="I224" s="304">
        <v>4502457606</v>
      </c>
      <c r="J224" s="329">
        <v>3025457</v>
      </c>
      <c r="K224" s="304">
        <v>4902394205</v>
      </c>
      <c r="L224" s="304" t="s">
        <v>4252</v>
      </c>
      <c r="M224" s="309">
        <v>24721</v>
      </c>
      <c r="N224" s="329">
        <v>8500</v>
      </c>
      <c r="O224" s="306">
        <f t="shared" si="24"/>
        <v>210128500</v>
      </c>
      <c r="P224" s="304">
        <f t="shared" si="35"/>
        <v>4</v>
      </c>
      <c r="Q224" s="331" t="s">
        <v>3455</v>
      </c>
      <c r="R224" s="304">
        <v>1040968</v>
      </c>
      <c r="S224" s="361">
        <v>7081400</v>
      </c>
      <c r="T224" s="307"/>
      <c r="U224" s="307"/>
      <c r="V224" s="307"/>
      <c r="W224" s="307"/>
      <c r="X224" s="307"/>
      <c r="Y224" s="307"/>
      <c r="Z224" s="307"/>
      <c r="AA224" s="307"/>
      <c r="AB224" s="307"/>
      <c r="AC224" s="307"/>
      <c r="AD224" s="307"/>
      <c r="AE224" s="307"/>
      <c r="AF224" s="307"/>
      <c r="AG224" s="307"/>
      <c r="AH224" s="307"/>
      <c r="AI224" s="307"/>
      <c r="AJ224" s="307"/>
      <c r="AK224" s="307"/>
      <c r="AL224" s="307"/>
      <c r="AM224" s="307"/>
      <c r="AN224" s="307"/>
      <c r="AO224" s="307"/>
      <c r="AP224" s="307"/>
      <c r="AQ224" s="307"/>
      <c r="AR224" s="307"/>
      <c r="AS224" s="307"/>
      <c r="AT224" s="307"/>
      <c r="AU224" s="307"/>
      <c r="AV224" s="307"/>
      <c r="AW224" s="307"/>
      <c r="AX224" s="307"/>
      <c r="AY224" s="307"/>
      <c r="AZ224" s="307"/>
      <c r="BA224" s="307"/>
      <c r="BB224" s="307"/>
      <c r="BC224" s="307"/>
      <c r="BD224" s="307"/>
      <c r="BE224" s="307"/>
      <c r="BF224" s="307"/>
      <c r="BG224" s="307"/>
      <c r="BH224" s="307"/>
      <c r="BI224" s="307"/>
      <c r="BJ224" s="307"/>
      <c r="BK224" s="307"/>
      <c r="BL224" s="307"/>
      <c r="BM224" s="307"/>
      <c r="BN224" s="307"/>
      <c r="BO224" s="307"/>
      <c r="BP224" s="307"/>
      <c r="BQ224" s="307"/>
      <c r="BR224" s="307"/>
      <c r="BS224" s="307"/>
      <c r="BT224" s="307"/>
      <c r="BU224" s="307"/>
      <c r="BV224" s="307"/>
      <c r="BW224" s="307"/>
      <c r="BX224" s="307"/>
      <c r="BY224" s="307"/>
      <c r="BZ224" s="307"/>
      <c r="CA224" s="307"/>
      <c r="CB224" s="307"/>
      <c r="CC224" s="307"/>
      <c r="CD224" s="307"/>
      <c r="CE224" s="307"/>
      <c r="CF224" s="307"/>
      <c r="CG224" s="307"/>
      <c r="CH224" s="307"/>
      <c r="CI224" s="307"/>
      <c r="CJ224" s="307"/>
      <c r="CK224" s="307"/>
      <c r="CL224" s="307"/>
      <c r="CM224" s="307"/>
      <c r="CN224" s="307"/>
      <c r="CO224" s="307"/>
      <c r="CP224" s="307"/>
      <c r="CQ224" s="307"/>
      <c r="CR224" s="307"/>
      <c r="CS224" s="307"/>
      <c r="CT224" s="307"/>
      <c r="CU224" s="307"/>
      <c r="CV224" s="307"/>
      <c r="CW224" s="307"/>
      <c r="CX224" s="307"/>
      <c r="CY224" s="307"/>
      <c r="CZ224" s="307"/>
      <c r="DA224" s="307"/>
      <c r="DB224" s="307"/>
      <c r="DC224" s="307"/>
      <c r="DD224" s="307"/>
      <c r="DE224" s="307"/>
      <c r="DF224" s="307"/>
      <c r="DG224" s="307"/>
      <c r="DH224" s="307"/>
      <c r="DI224" s="307"/>
      <c r="DJ224" s="307"/>
      <c r="DK224" s="307"/>
      <c r="DL224" s="307"/>
      <c r="DM224" s="307"/>
      <c r="DN224" s="307"/>
      <c r="DO224" s="307"/>
      <c r="DP224" s="307"/>
      <c r="DQ224" s="307"/>
      <c r="DR224" s="307"/>
      <c r="DS224" s="307"/>
      <c r="DT224" s="307"/>
      <c r="DU224" s="307"/>
      <c r="DV224" s="307"/>
      <c r="DW224" s="307"/>
      <c r="DX224" s="307"/>
      <c r="DY224" s="307"/>
      <c r="DZ224" s="307"/>
      <c r="EA224" s="307"/>
      <c r="EB224" s="307"/>
      <c r="EC224" s="307"/>
      <c r="ED224" s="307"/>
      <c r="EE224" s="307"/>
      <c r="EF224" s="307"/>
      <c r="EG224" s="307"/>
      <c r="EH224" s="307"/>
      <c r="EI224" s="307"/>
      <c r="EJ224" s="307"/>
      <c r="EK224" s="307"/>
      <c r="EL224" s="307"/>
      <c r="EM224" s="307"/>
      <c r="EN224" s="307"/>
      <c r="EO224" s="307"/>
      <c r="EP224" s="307"/>
      <c r="EQ224" s="307"/>
      <c r="ER224" s="307"/>
      <c r="ES224" s="307"/>
      <c r="ET224" s="307"/>
      <c r="EU224" s="307"/>
      <c r="EV224" s="307"/>
      <c r="EW224" s="307"/>
      <c r="EX224" s="307"/>
      <c r="EY224" s="307"/>
      <c r="EZ224" s="307"/>
      <c r="FA224" s="307"/>
      <c r="FB224" s="307"/>
      <c r="FC224" s="307"/>
      <c r="FD224" s="307"/>
      <c r="FE224" s="307"/>
      <c r="FF224" s="307"/>
      <c r="FG224" s="307"/>
      <c r="FH224" s="307"/>
      <c r="FI224" s="307"/>
      <c r="FJ224" s="307"/>
      <c r="FK224" s="307"/>
      <c r="FL224" s="307"/>
      <c r="FM224" s="307"/>
      <c r="FN224" s="307"/>
      <c r="FO224" s="307"/>
      <c r="FP224" s="307"/>
      <c r="FQ224" s="307"/>
      <c r="FR224" s="307"/>
      <c r="FS224" s="307"/>
      <c r="FT224" s="307"/>
      <c r="FU224" s="307"/>
      <c r="FV224" s="307"/>
      <c r="FW224" s="307"/>
      <c r="FX224" s="307"/>
      <c r="FY224" s="307"/>
      <c r="FZ224" s="307"/>
      <c r="GA224" s="307"/>
      <c r="GB224" s="307"/>
      <c r="GC224" s="307"/>
      <c r="GD224" s="307"/>
      <c r="GE224" s="307"/>
      <c r="GF224" s="307"/>
      <c r="GG224" s="307"/>
      <c r="GH224" s="307"/>
      <c r="GI224" s="307"/>
      <c r="GJ224" s="307"/>
      <c r="GK224" s="307"/>
      <c r="GL224" s="307"/>
      <c r="GM224" s="307"/>
      <c r="GN224" s="307"/>
      <c r="GO224" s="307"/>
      <c r="GP224" s="307"/>
      <c r="GQ224" s="307"/>
      <c r="GR224" s="307"/>
      <c r="GS224" s="307"/>
      <c r="GT224" s="307"/>
      <c r="GU224" s="307"/>
      <c r="GV224" s="307"/>
      <c r="GW224" s="307"/>
      <c r="GX224" s="307"/>
      <c r="GY224" s="307"/>
      <c r="GZ224" s="307"/>
    </row>
    <row r="225" spans="1:208" ht="15">
      <c r="A225" s="304">
        <v>48</v>
      </c>
      <c r="B225" s="328">
        <v>44891</v>
      </c>
      <c r="C225" s="329">
        <v>1053331</v>
      </c>
      <c r="D225" s="304" t="s">
        <v>4527</v>
      </c>
      <c r="E225" s="329" t="s">
        <v>4416</v>
      </c>
      <c r="F225" s="329" t="s">
        <v>4251</v>
      </c>
      <c r="G225" s="329">
        <v>3178</v>
      </c>
      <c r="H225" s="329">
        <v>14</v>
      </c>
      <c r="I225" s="304">
        <v>4502457609</v>
      </c>
      <c r="J225" s="329">
        <v>3025457</v>
      </c>
      <c r="K225" s="304">
        <v>4902394208</v>
      </c>
      <c r="L225" s="304" t="s">
        <v>4252</v>
      </c>
      <c r="M225" s="309">
        <v>6401</v>
      </c>
      <c r="N225" s="329">
        <v>8500</v>
      </c>
      <c r="O225" s="306">
        <f t="shared" si="24"/>
        <v>54408500</v>
      </c>
      <c r="P225" s="304">
        <f t="shared" si="35"/>
        <v>1</v>
      </c>
      <c r="Q225" s="331" t="s">
        <v>3455</v>
      </c>
      <c r="R225" s="304">
        <v>1040968</v>
      </c>
      <c r="S225" s="361">
        <v>1857700</v>
      </c>
      <c r="T225" s="307"/>
      <c r="U225" s="307"/>
      <c r="V225" s="307"/>
      <c r="W225" s="307"/>
      <c r="X225" s="307"/>
      <c r="Y225" s="307"/>
      <c r="Z225" s="307"/>
      <c r="AA225" s="307"/>
      <c r="AB225" s="307"/>
      <c r="AC225" s="307"/>
      <c r="AD225" s="307"/>
      <c r="AE225" s="307"/>
      <c r="AF225" s="307"/>
      <c r="AG225" s="307"/>
      <c r="AH225" s="307"/>
      <c r="AI225" s="307"/>
      <c r="AJ225" s="307"/>
      <c r="AK225" s="307"/>
      <c r="AL225" s="307"/>
      <c r="AM225" s="307"/>
      <c r="AN225" s="307"/>
      <c r="AO225" s="307"/>
      <c r="AP225" s="307"/>
      <c r="AQ225" s="307"/>
      <c r="AR225" s="307"/>
      <c r="AS225" s="307"/>
      <c r="AT225" s="307"/>
      <c r="AU225" s="307"/>
      <c r="AV225" s="307"/>
      <c r="AW225" s="307"/>
      <c r="AX225" s="307"/>
      <c r="AY225" s="307"/>
      <c r="AZ225" s="307"/>
      <c r="BA225" s="307"/>
      <c r="BB225" s="307"/>
      <c r="BC225" s="307"/>
      <c r="BD225" s="307"/>
      <c r="BE225" s="307"/>
      <c r="BF225" s="307"/>
      <c r="BG225" s="307"/>
      <c r="BH225" s="307"/>
      <c r="BI225" s="307"/>
      <c r="BJ225" s="307"/>
      <c r="BK225" s="307"/>
      <c r="BL225" s="307"/>
      <c r="BM225" s="307"/>
      <c r="BN225" s="307"/>
      <c r="BO225" s="307"/>
      <c r="BP225" s="307"/>
      <c r="BQ225" s="307"/>
      <c r="BR225" s="307"/>
      <c r="BS225" s="307"/>
      <c r="BT225" s="307"/>
      <c r="BU225" s="307"/>
      <c r="BV225" s="307"/>
      <c r="BW225" s="307"/>
      <c r="BX225" s="307"/>
      <c r="BY225" s="307"/>
      <c r="BZ225" s="307"/>
      <c r="CA225" s="307"/>
      <c r="CB225" s="307"/>
      <c r="CC225" s="307"/>
      <c r="CD225" s="307"/>
      <c r="CE225" s="307"/>
      <c r="CF225" s="307"/>
      <c r="CG225" s="307"/>
      <c r="CH225" s="307"/>
      <c r="CI225" s="307"/>
      <c r="CJ225" s="307"/>
      <c r="CK225" s="307"/>
      <c r="CL225" s="307"/>
      <c r="CM225" s="307"/>
      <c r="CN225" s="307"/>
      <c r="CO225" s="307"/>
      <c r="CP225" s="307"/>
      <c r="CQ225" s="307"/>
      <c r="CR225" s="307"/>
      <c r="CS225" s="307"/>
      <c r="CT225" s="307"/>
      <c r="CU225" s="307"/>
      <c r="CV225" s="307"/>
      <c r="CW225" s="307"/>
      <c r="CX225" s="307"/>
      <c r="CY225" s="307"/>
      <c r="CZ225" s="307"/>
      <c r="DA225" s="307"/>
      <c r="DB225" s="307"/>
      <c r="DC225" s="307"/>
      <c r="DD225" s="307"/>
      <c r="DE225" s="307"/>
      <c r="DF225" s="307"/>
      <c r="DG225" s="307"/>
      <c r="DH225" s="307"/>
      <c r="DI225" s="307"/>
      <c r="DJ225" s="307"/>
      <c r="DK225" s="307"/>
      <c r="DL225" s="307"/>
      <c r="DM225" s="307"/>
      <c r="DN225" s="307"/>
      <c r="DO225" s="307"/>
      <c r="DP225" s="307"/>
      <c r="DQ225" s="307"/>
      <c r="DR225" s="307"/>
      <c r="DS225" s="307"/>
      <c r="DT225" s="307"/>
      <c r="DU225" s="307"/>
      <c r="DV225" s="307"/>
      <c r="DW225" s="307"/>
      <c r="DX225" s="307"/>
      <c r="DY225" s="307"/>
      <c r="DZ225" s="307"/>
      <c r="EA225" s="307"/>
      <c r="EB225" s="307"/>
      <c r="EC225" s="307"/>
      <c r="ED225" s="307"/>
      <c r="EE225" s="307"/>
      <c r="EF225" s="307"/>
      <c r="EG225" s="307"/>
      <c r="EH225" s="307"/>
      <c r="EI225" s="307"/>
      <c r="EJ225" s="307"/>
      <c r="EK225" s="307"/>
      <c r="EL225" s="307"/>
      <c r="EM225" s="307"/>
      <c r="EN225" s="307"/>
      <c r="EO225" s="307"/>
      <c r="EP225" s="307"/>
      <c r="EQ225" s="307"/>
      <c r="ER225" s="307"/>
      <c r="ES225" s="307"/>
      <c r="ET225" s="307"/>
      <c r="EU225" s="307"/>
      <c r="EV225" s="307"/>
      <c r="EW225" s="307"/>
      <c r="EX225" s="307"/>
      <c r="EY225" s="307"/>
      <c r="EZ225" s="307"/>
      <c r="FA225" s="307"/>
      <c r="FB225" s="307"/>
      <c r="FC225" s="307"/>
      <c r="FD225" s="307"/>
      <c r="FE225" s="307"/>
      <c r="FF225" s="307"/>
      <c r="FG225" s="307"/>
      <c r="FH225" s="307"/>
      <c r="FI225" s="307"/>
      <c r="FJ225" s="307"/>
      <c r="FK225" s="307"/>
      <c r="FL225" s="307"/>
      <c r="FM225" s="307"/>
      <c r="FN225" s="307"/>
      <c r="FO225" s="307"/>
      <c r="FP225" s="307"/>
      <c r="FQ225" s="307"/>
      <c r="FR225" s="307"/>
      <c r="FS225" s="307"/>
      <c r="FT225" s="307"/>
      <c r="FU225" s="307"/>
      <c r="FV225" s="307"/>
      <c r="FW225" s="307"/>
      <c r="FX225" s="307"/>
      <c r="FY225" s="307"/>
      <c r="FZ225" s="307"/>
      <c r="GA225" s="307"/>
      <c r="GB225" s="307"/>
      <c r="GC225" s="307"/>
      <c r="GD225" s="307"/>
      <c r="GE225" s="307"/>
      <c r="GF225" s="307"/>
      <c r="GG225" s="307"/>
      <c r="GH225" s="307"/>
      <c r="GI225" s="307"/>
      <c r="GJ225" s="307"/>
      <c r="GK225" s="307"/>
      <c r="GL225" s="307"/>
      <c r="GM225" s="307"/>
      <c r="GN225" s="307"/>
      <c r="GO225" s="307"/>
      <c r="GP225" s="307"/>
      <c r="GQ225" s="307"/>
      <c r="GR225" s="307"/>
      <c r="GS225" s="307"/>
      <c r="GT225" s="307"/>
      <c r="GU225" s="307"/>
      <c r="GV225" s="307"/>
      <c r="GW225" s="307"/>
      <c r="GX225" s="307"/>
      <c r="GY225" s="307"/>
      <c r="GZ225" s="307"/>
    </row>
    <row r="226" spans="1:208" ht="15">
      <c r="A226" s="304">
        <v>48</v>
      </c>
      <c r="B226" s="328">
        <v>44892</v>
      </c>
      <c r="C226" s="329">
        <v>1053331</v>
      </c>
      <c r="D226" s="304" t="s">
        <v>4528</v>
      </c>
      <c r="E226" s="329" t="s">
        <v>4416</v>
      </c>
      <c r="F226" s="329" t="s">
        <v>4275</v>
      </c>
      <c r="G226" s="329">
        <v>3178</v>
      </c>
      <c r="H226" s="329">
        <v>70</v>
      </c>
      <c r="I226" s="304">
        <v>4502457611</v>
      </c>
      <c r="J226" s="353">
        <v>3025459</v>
      </c>
      <c r="K226" s="304">
        <v>4902394211</v>
      </c>
      <c r="L226" s="304" t="s">
        <v>4252</v>
      </c>
      <c r="M226" s="309">
        <v>32999</v>
      </c>
      <c r="N226" s="329">
        <v>8500</v>
      </c>
      <c r="O226" s="306">
        <f t="shared" si="24"/>
        <v>280491500</v>
      </c>
      <c r="P226" s="304">
        <f t="shared" si="35"/>
        <v>5</v>
      </c>
      <c r="Q226" s="331" t="s">
        <v>3455</v>
      </c>
      <c r="R226" s="304">
        <v>1040968</v>
      </c>
      <c r="S226" s="361">
        <v>9097100</v>
      </c>
      <c r="T226" s="307"/>
      <c r="U226" s="307"/>
      <c r="V226" s="307"/>
      <c r="W226" s="307"/>
      <c r="X226" s="307"/>
      <c r="Y226" s="307"/>
      <c r="Z226" s="307"/>
      <c r="AA226" s="307"/>
      <c r="AB226" s="307"/>
      <c r="AC226" s="307"/>
      <c r="AD226" s="307"/>
      <c r="AE226" s="307"/>
      <c r="AF226" s="307"/>
      <c r="AG226" s="307"/>
      <c r="AH226" s="307"/>
      <c r="AI226" s="307"/>
      <c r="AJ226" s="307"/>
      <c r="AK226" s="307"/>
      <c r="AL226" s="307"/>
      <c r="AM226" s="307"/>
      <c r="AN226" s="307"/>
      <c r="AO226" s="307"/>
      <c r="AP226" s="307"/>
      <c r="AQ226" s="307"/>
      <c r="AR226" s="307"/>
      <c r="AS226" s="307"/>
      <c r="AT226" s="307"/>
      <c r="AU226" s="307"/>
      <c r="AV226" s="307"/>
      <c r="AW226" s="307"/>
      <c r="AX226" s="307"/>
      <c r="AY226" s="307"/>
      <c r="AZ226" s="307"/>
      <c r="BA226" s="307"/>
      <c r="BB226" s="307"/>
      <c r="BC226" s="307"/>
      <c r="BD226" s="307"/>
      <c r="BE226" s="307"/>
      <c r="BF226" s="307"/>
      <c r="BG226" s="307"/>
      <c r="BH226" s="307"/>
      <c r="BI226" s="307"/>
      <c r="BJ226" s="307"/>
      <c r="BK226" s="307"/>
      <c r="BL226" s="307"/>
      <c r="BM226" s="307"/>
      <c r="BN226" s="307"/>
      <c r="BO226" s="307"/>
      <c r="BP226" s="307"/>
      <c r="BQ226" s="307"/>
      <c r="BR226" s="307"/>
      <c r="BS226" s="307"/>
      <c r="BT226" s="307"/>
      <c r="BU226" s="307"/>
      <c r="BV226" s="307"/>
      <c r="BW226" s="307"/>
      <c r="BX226" s="307"/>
      <c r="BY226" s="307"/>
      <c r="BZ226" s="307"/>
      <c r="CA226" s="307"/>
      <c r="CB226" s="307"/>
      <c r="CC226" s="307"/>
      <c r="CD226" s="307"/>
      <c r="CE226" s="307"/>
      <c r="CF226" s="307"/>
      <c r="CG226" s="307"/>
      <c r="CH226" s="307"/>
      <c r="CI226" s="307"/>
      <c r="CJ226" s="307"/>
      <c r="CK226" s="307"/>
      <c r="CL226" s="307"/>
      <c r="CM226" s="307"/>
      <c r="CN226" s="307"/>
      <c r="CO226" s="307"/>
      <c r="CP226" s="307"/>
      <c r="CQ226" s="307"/>
      <c r="CR226" s="307"/>
      <c r="CS226" s="307"/>
      <c r="CT226" s="307"/>
      <c r="CU226" s="307"/>
      <c r="CV226" s="307"/>
      <c r="CW226" s="307"/>
      <c r="CX226" s="307"/>
      <c r="CY226" s="307"/>
      <c r="CZ226" s="307"/>
      <c r="DA226" s="307"/>
      <c r="DB226" s="307"/>
      <c r="DC226" s="307"/>
      <c r="DD226" s="307"/>
      <c r="DE226" s="307"/>
      <c r="DF226" s="307"/>
      <c r="DG226" s="307"/>
      <c r="DH226" s="307"/>
      <c r="DI226" s="307"/>
      <c r="DJ226" s="307"/>
      <c r="DK226" s="307"/>
      <c r="DL226" s="307"/>
      <c r="DM226" s="307"/>
      <c r="DN226" s="307"/>
      <c r="DO226" s="307"/>
      <c r="DP226" s="307"/>
      <c r="DQ226" s="307"/>
      <c r="DR226" s="307"/>
      <c r="DS226" s="307"/>
      <c r="DT226" s="307"/>
      <c r="DU226" s="307"/>
      <c r="DV226" s="307"/>
      <c r="DW226" s="307"/>
      <c r="DX226" s="307"/>
      <c r="DY226" s="307"/>
      <c r="DZ226" s="307"/>
      <c r="EA226" s="307"/>
      <c r="EB226" s="307"/>
      <c r="EC226" s="307"/>
      <c r="ED226" s="307"/>
      <c r="EE226" s="307"/>
      <c r="EF226" s="307"/>
      <c r="EG226" s="307"/>
      <c r="EH226" s="307"/>
      <c r="EI226" s="307"/>
      <c r="EJ226" s="307"/>
      <c r="EK226" s="307"/>
      <c r="EL226" s="307"/>
      <c r="EM226" s="307"/>
      <c r="EN226" s="307"/>
      <c r="EO226" s="307"/>
      <c r="EP226" s="307"/>
      <c r="EQ226" s="307"/>
      <c r="ER226" s="307"/>
      <c r="ES226" s="307"/>
      <c r="ET226" s="307"/>
      <c r="EU226" s="307"/>
      <c r="EV226" s="307"/>
      <c r="EW226" s="307"/>
      <c r="EX226" s="307"/>
      <c r="EY226" s="307"/>
      <c r="EZ226" s="307"/>
      <c r="FA226" s="307"/>
      <c r="FB226" s="307"/>
      <c r="FC226" s="307"/>
      <c r="FD226" s="307"/>
      <c r="FE226" s="307"/>
      <c r="FF226" s="307"/>
      <c r="FG226" s="307"/>
      <c r="FH226" s="307"/>
      <c r="FI226" s="307"/>
      <c r="FJ226" s="307"/>
      <c r="FK226" s="307"/>
      <c r="FL226" s="307"/>
      <c r="FM226" s="307"/>
      <c r="FN226" s="307"/>
      <c r="FO226" s="307"/>
      <c r="FP226" s="307"/>
      <c r="FQ226" s="307"/>
      <c r="FR226" s="307"/>
      <c r="FS226" s="307"/>
      <c r="FT226" s="307"/>
      <c r="FU226" s="307"/>
      <c r="FV226" s="307"/>
      <c r="FW226" s="307"/>
      <c r="FX226" s="307"/>
      <c r="FY226" s="307"/>
      <c r="FZ226" s="307"/>
      <c r="GA226" s="307"/>
      <c r="GB226" s="307"/>
      <c r="GC226" s="307"/>
      <c r="GD226" s="307"/>
      <c r="GE226" s="307"/>
      <c r="GF226" s="307"/>
      <c r="GG226" s="307"/>
      <c r="GH226" s="307"/>
      <c r="GI226" s="307"/>
      <c r="GJ226" s="307"/>
      <c r="GK226" s="307"/>
      <c r="GL226" s="307"/>
      <c r="GM226" s="307"/>
      <c r="GN226" s="307"/>
      <c r="GO226" s="307"/>
      <c r="GP226" s="307"/>
      <c r="GQ226" s="307"/>
      <c r="GR226" s="307"/>
      <c r="GS226" s="307"/>
      <c r="GT226" s="307"/>
      <c r="GU226" s="307"/>
      <c r="GV226" s="307"/>
      <c r="GW226" s="307"/>
      <c r="GX226" s="307"/>
      <c r="GY226" s="307"/>
      <c r="GZ226" s="307"/>
    </row>
    <row r="227" spans="1:208" ht="15">
      <c r="A227" s="304">
        <v>48</v>
      </c>
      <c r="B227" s="328">
        <v>44894</v>
      </c>
      <c r="C227" s="329">
        <v>1084015</v>
      </c>
      <c r="D227" s="304" t="s">
        <v>4529</v>
      </c>
      <c r="E227" s="329" t="s">
        <v>4479</v>
      </c>
      <c r="F227" s="329" t="s">
        <v>4275</v>
      </c>
      <c r="G227" s="329">
        <v>3148</v>
      </c>
      <c r="H227" s="329">
        <v>14</v>
      </c>
      <c r="I227" s="304">
        <v>4502457613</v>
      </c>
      <c r="J227" s="353">
        <v>3025459</v>
      </c>
      <c r="K227" s="304">
        <v>4902394213</v>
      </c>
      <c r="L227" s="304" t="s">
        <v>4252</v>
      </c>
      <c r="M227" s="309">
        <v>6086</v>
      </c>
      <c r="N227" s="329">
        <v>8450</v>
      </c>
      <c r="O227" s="306">
        <f t="shared" si="24"/>
        <v>51426700</v>
      </c>
      <c r="P227" s="304">
        <f t="shared" si="35"/>
        <v>1</v>
      </c>
      <c r="Q227" s="331" t="s">
        <v>3455</v>
      </c>
      <c r="R227" s="304">
        <v>1040968</v>
      </c>
      <c r="S227" s="361">
        <v>1623900</v>
      </c>
      <c r="T227" s="307"/>
      <c r="U227" s="307"/>
      <c r="V227" s="307"/>
      <c r="W227" s="307"/>
      <c r="X227" s="307"/>
      <c r="Y227" s="307"/>
      <c r="Z227" s="307"/>
      <c r="AA227" s="307"/>
      <c r="AB227" s="307"/>
      <c r="AC227" s="307"/>
      <c r="AD227" s="307"/>
      <c r="AE227" s="307"/>
      <c r="AF227" s="307"/>
      <c r="AG227" s="307"/>
      <c r="AH227" s="307"/>
      <c r="AI227" s="307"/>
      <c r="AJ227" s="307"/>
      <c r="AK227" s="307"/>
      <c r="AL227" s="307"/>
      <c r="AM227" s="307"/>
      <c r="AN227" s="307"/>
      <c r="AO227" s="307"/>
      <c r="AP227" s="307"/>
      <c r="AQ227" s="307"/>
      <c r="AR227" s="307"/>
      <c r="AS227" s="307"/>
      <c r="AT227" s="307"/>
      <c r="AU227" s="307"/>
      <c r="AV227" s="307"/>
      <c r="AW227" s="307"/>
      <c r="AX227" s="307"/>
      <c r="AY227" s="307"/>
      <c r="AZ227" s="307"/>
      <c r="BA227" s="307"/>
      <c r="BB227" s="307"/>
      <c r="BC227" s="307"/>
      <c r="BD227" s="307"/>
      <c r="BE227" s="307"/>
      <c r="BF227" s="307"/>
      <c r="BG227" s="307"/>
      <c r="BH227" s="307"/>
      <c r="BI227" s="307"/>
      <c r="BJ227" s="307"/>
      <c r="BK227" s="307"/>
      <c r="BL227" s="307"/>
      <c r="BM227" s="307"/>
      <c r="BN227" s="307"/>
      <c r="BO227" s="307"/>
      <c r="BP227" s="307"/>
      <c r="BQ227" s="307"/>
      <c r="BR227" s="307"/>
      <c r="BS227" s="307"/>
      <c r="BT227" s="307"/>
      <c r="BU227" s="307"/>
      <c r="BV227" s="307"/>
      <c r="BW227" s="307"/>
      <c r="BX227" s="307"/>
      <c r="BY227" s="307"/>
      <c r="BZ227" s="307"/>
      <c r="CA227" s="307"/>
      <c r="CB227" s="307"/>
      <c r="CC227" s="307"/>
      <c r="CD227" s="307"/>
      <c r="CE227" s="307"/>
      <c r="CF227" s="307"/>
      <c r="CG227" s="307"/>
      <c r="CH227" s="307"/>
      <c r="CI227" s="307"/>
      <c r="CJ227" s="307"/>
      <c r="CK227" s="307"/>
      <c r="CL227" s="307"/>
      <c r="CM227" s="307"/>
      <c r="CN227" s="307"/>
      <c r="CO227" s="307"/>
      <c r="CP227" s="307"/>
      <c r="CQ227" s="307"/>
      <c r="CR227" s="307"/>
      <c r="CS227" s="307"/>
      <c r="CT227" s="307"/>
      <c r="CU227" s="307"/>
      <c r="CV227" s="307"/>
      <c r="CW227" s="307"/>
      <c r="CX227" s="307"/>
      <c r="CY227" s="307"/>
      <c r="CZ227" s="307"/>
      <c r="DA227" s="307"/>
      <c r="DB227" s="307"/>
      <c r="DC227" s="307"/>
      <c r="DD227" s="307"/>
      <c r="DE227" s="307"/>
      <c r="DF227" s="307"/>
      <c r="DG227" s="307"/>
      <c r="DH227" s="307"/>
      <c r="DI227" s="307"/>
      <c r="DJ227" s="307"/>
      <c r="DK227" s="307"/>
      <c r="DL227" s="307"/>
      <c r="DM227" s="307"/>
      <c r="DN227" s="307"/>
      <c r="DO227" s="307"/>
      <c r="DP227" s="307"/>
      <c r="DQ227" s="307"/>
      <c r="DR227" s="307"/>
      <c r="DS227" s="307"/>
      <c r="DT227" s="307"/>
      <c r="DU227" s="307"/>
      <c r="DV227" s="307"/>
      <c r="DW227" s="307"/>
      <c r="DX227" s="307"/>
      <c r="DY227" s="307"/>
      <c r="DZ227" s="307"/>
      <c r="EA227" s="307"/>
      <c r="EB227" s="307"/>
      <c r="EC227" s="307"/>
      <c r="ED227" s="307"/>
      <c r="EE227" s="307"/>
      <c r="EF227" s="307"/>
      <c r="EG227" s="307"/>
      <c r="EH227" s="307"/>
      <c r="EI227" s="307"/>
      <c r="EJ227" s="307"/>
      <c r="EK227" s="307"/>
      <c r="EL227" s="307"/>
      <c r="EM227" s="307"/>
      <c r="EN227" s="307"/>
      <c r="EO227" s="307"/>
      <c r="EP227" s="307"/>
      <c r="EQ227" s="307"/>
      <c r="ER227" s="307"/>
      <c r="ES227" s="307"/>
      <c r="ET227" s="307"/>
      <c r="EU227" s="307"/>
      <c r="EV227" s="307"/>
      <c r="EW227" s="307"/>
      <c r="EX227" s="307"/>
      <c r="EY227" s="307"/>
      <c r="EZ227" s="307"/>
      <c r="FA227" s="307"/>
      <c r="FB227" s="307"/>
      <c r="FC227" s="307"/>
      <c r="FD227" s="307"/>
      <c r="FE227" s="307"/>
      <c r="FF227" s="307"/>
      <c r="FG227" s="307"/>
      <c r="FH227" s="307"/>
      <c r="FI227" s="307"/>
      <c r="FJ227" s="307"/>
      <c r="FK227" s="307"/>
      <c r="FL227" s="307"/>
      <c r="FM227" s="307"/>
      <c r="FN227" s="307"/>
      <c r="FO227" s="307"/>
      <c r="FP227" s="307"/>
      <c r="FQ227" s="307"/>
      <c r="FR227" s="307"/>
      <c r="FS227" s="307"/>
      <c r="FT227" s="307"/>
      <c r="FU227" s="307"/>
      <c r="FV227" s="307"/>
      <c r="FW227" s="307"/>
      <c r="FX227" s="307"/>
      <c r="FY227" s="307"/>
      <c r="FZ227" s="307"/>
      <c r="GA227" s="307"/>
      <c r="GB227" s="307"/>
      <c r="GC227" s="307"/>
      <c r="GD227" s="307"/>
      <c r="GE227" s="307"/>
      <c r="GF227" s="307"/>
      <c r="GG227" s="307"/>
      <c r="GH227" s="307"/>
      <c r="GI227" s="307"/>
      <c r="GJ227" s="307"/>
      <c r="GK227" s="307"/>
      <c r="GL227" s="307"/>
      <c r="GM227" s="307"/>
      <c r="GN227" s="307"/>
      <c r="GO227" s="307"/>
      <c r="GP227" s="307"/>
      <c r="GQ227" s="307"/>
      <c r="GR227" s="307"/>
      <c r="GS227" s="307"/>
      <c r="GT227" s="307"/>
      <c r="GU227" s="307"/>
      <c r="GV227" s="307"/>
      <c r="GW227" s="307"/>
      <c r="GX227" s="307"/>
      <c r="GY227" s="307"/>
      <c r="GZ227" s="307"/>
    </row>
    <row r="228" spans="1:208" ht="15">
      <c r="A228" s="282">
        <v>50</v>
      </c>
      <c r="B228" s="332">
        <v>44903</v>
      </c>
      <c r="C228" s="333">
        <v>1071279</v>
      </c>
      <c r="D228" s="282" t="s">
        <v>4530</v>
      </c>
      <c r="E228" s="333" t="s">
        <v>4531</v>
      </c>
      <c r="F228" s="333" t="s">
        <v>4275</v>
      </c>
      <c r="G228" s="333">
        <v>3153</v>
      </c>
      <c r="H228" s="333">
        <v>28</v>
      </c>
      <c r="I228" s="282">
        <v>4502467543</v>
      </c>
      <c r="J228" s="333">
        <v>3025459</v>
      </c>
      <c r="K228" s="282">
        <v>4902404094</v>
      </c>
      <c r="L228" s="282" t="s">
        <v>4252</v>
      </c>
      <c r="M228" s="283">
        <v>14683</v>
      </c>
      <c r="N228" s="333">
        <v>8650</v>
      </c>
      <c r="O228" s="284">
        <f t="shared" si="24"/>
        <v>127007950</v>
      </c>
      <c r="P228" s="285">
        <f t="shared" si="35"/>
        <v>2</v>
      </c>
      <c r="Q228" s="321" t="s">
        <v>3429</v>
      </c>
      <c r="R228" s="282">
        <v>1070641</v>
      </c>
      <c r="S228" s="282">
        <v>1325600</v>
      </c>
      <c r="T228" s="285"/>
      <c r="U228" s="285"/>
      <c r="V228" s="285"/>
      <c r="W228" s="285"/>
      <c r="X228" s="285"/>
      <c r="Y228" s="285"/>
      <c r="Z228" s="285"/>
      <c r="AA228" s="285"/>
      <c r="AB228" s="285"/>
      <c r="AC228" s="285"/>
      <c r="AD228" s="285"/>
      <c r="AE228" s="285"/>
      <c r="AF228" s="285"/>
      <c r="AG228" s="285"/>
      <c r="AH228" s="285"/>
      <c r="AI228" s="285"/>
      <c r="AJ228" s="285"/>
      <c r="AK228" s="285"/>
      <c r="AL228" s="285"/>
      <c r="AM228" s="285"/>
      <c r="AN228" s="285"/>
      <c r="AO228" s="285"/>
      <c r="AP228" s="285"/>
      <c r="AQ228" s="285"/>
      <c r="AR228" s="285"/>
      <c r="AS228" s="285"/>
      <c r="AT228" s="285"/>
      <c r="AU228" s="285"/>
      <c r="AV228" s="285"/>
      <c r="AW228" s="285"/>
      <c r="AX228" s="285"/>
      <c r="AY228" s="285"/>
      <c r="AZ228" s="285"/>
      <c r="BA228" s="285"/>
      <c r="BB228" s="285"/>
      <c r="BC228" s="285"/>
      <c r="BD228" s="285"/>
      <c r="BE228" s="285"/>
      <c r="BF228" s="285"/>
      <c r="BG228" s="285"/>
      <c r="BH228" s="285"/>
      <c r="BI228" s="285"/>
      <c r="BJ228" s="285"/>
      <c r="BK228" s="285"/>
      <c r="BL228" s="285"/>
      <c r="BM228" s="285"/>
      <c r="BN228" s="285"/>
      <c r="BO228" s="285"/>
      <c r="BP228" s="285"/>
      <c r="BQ228" s="285"/>
      <c r="BR228" s="285"/>
      <c r="BS228" s="285"/>
      <c r="BT228" s="285"/>
      <c r="BU228" s="285"/>
      <c r="BV228" s="285"/>
      <c r="BW228" s="285"/>
      <c r="BX228" s="285"/>
      <c r="BY228" s="285"/>
      <c r="BZ228" s="285"/>
      <c r="CA228" s="285"/>
      <c r="CB228" s="285"/>
      <c r="CC228" s="285"/>
      <c r="CD228" s="285"/>
      <c r="CE228" s="285"/>
      <c r="CF228" s="285"/>
      <c r="CG228" s="285"/>
      <c r="CH228" s="285"/>
      <c r="CI228" s="285"/>
      <c r="CJ228" s="285"/>
      <c r="CK228" s="285"/>
      <c r="CL228" s="285"/>
      <c r="CM228" s="285"/>
      <c r="CN228" s="285"/>
      <c r="CO228" s="285"/>
      <c r="CP228" s="285"/>
      <c r="CQ228" s="285"/>
      <c r="CR228" s="285"/>
      <c r="CS228" s="285"/>
      <c r="CT228" s="285"/>
      <c r="CU228" s="285"/>
      <c r="CV228" s="285"/>
      <c r="CW228" s="285"/>
      <c r="CX228" s="285"/>
      <c r="CY228" s="285"/>
      <c r="CZ228" s="285"/>
      <c r="DA228" s="285"/>
      <c r="DB228" s="285"/>
      <c r="DC228" s="285"/>
      <c r="DD228" s="285"/>
      <c r="DE228" s="285"/>
      <c r="DF228" s="285"/>
      <c r="DG228" s="285"/>
      <c r="DH228" s="285"/>
      <c r="DI228" s="285"/>
      <c r="DJ228" s="285"/>
      <c r="DK228" s="285"/>
      <c r="DL228" s="285"/>
      <c r="DM228" s="285"/>
      <c r="DN228" s="285"/>
      <c r="DO228" s="285"/>
      <c r="DP228" s="285"/>
      <c r="DQ228" s="285"/>
      <c r="DR228" s="285"/>
      <c r="DS228" s="285"/>
      <c r="DT228" s="285"/>
      <c r="DU228" s="285"/>
      <c r="DV228" s="285"/>
      <c r="DW228" s="285"/>
      <c r="DX228" s="285"/>
      <c r="DY228" s="285"/>
      <c r="DZ228" s="285"/>
      <c r="EA228" s="285"/>
      <c r="EB228" s="285"/>
      <c r="EC228" s="285"/>
      <c r="ED228" s="285"/>
      <c r="EE228" s="285"/>
      <c r="EF228" s="285"/>
      <c r="EG228" s="285"/>
      <c r="EH228" s="285"/>
      <c r="EI228" s="285"/>
      <c r="EJ228" s="285"/>
      <c r="EK228" s="285"/>
      <c r="EL228" s="285"/>
      <c r="EM228" s="285"/>
      <c r="EN228" s="285"/>
      <c r="EO228" s="285"/>
      <c r="EP228" s="285"/>
      <c r="EQ228" s="285"/>
      <c r="ER228" s="285"/>
      <c r="ES228" s="285"/>
      <c r="ET228" s="285"/>
      <c r="EU228" s="285"/>
      <c r="EV228" s="285"/>
      <c r="EW228" s="285"/>
      <c r="EX228" s="285"/>
      <c r="EY228" s="285"/>
      <c r="EZ228" s="285"/>
      <c r="FA228" s="285"/>
      <c r="FB228" s="285"/>
      <c r="FC228" s="285"/>
      <c r="FD228" s="285"/>
      <c r="FE228" s="285"/>
      <c r="FF228" s="285"/>
      <c r="FG228" s="285"/>
      <c r="FH228" s="285"/>
      <c r="FI228" s="285"/>
      <c r="FJ228" s="285"/>
      <c r="FK228" s="285"/>
      <c r="FL228" s="285"/>
      <c r="FM228" s="285"/>
      <c r="FN228" s="285"/>
      <c r="FO228" s="285"/>
      <c r="FP228" s="285"/>
      <c r="FQ228" s="285"/>
      <c r="FR228" s="285"/>
      <c r="FS228" s="285"/>
      <c r="FT228" s="285"/>
      <c r="FU228" s="285"/>
      <c r="FV228" s="285"/>
      <c r="FW228" s="285"/>
      <c r="FX228" s="285"/>
      <c r="FY228" s="285"/>
      <c r="FZ228" s="285"/>
      <c r="GA228" s="285"/>
      <c r="GB228" s="285"/>
      <c r="GC228" s="285"/>
      <c r="GD228" s="285"/>
      <c r="GE228" s="285"/>
      <c r="GF228" s="285"/>
      <c r="GG228" s="285"/>
      <c r="GH228" s="285"/>
      <c r="GI228" s="285"/>
      <c r="GJ228" s="285"/>
      <c r="GK228" s="285"/>
      <c r="GL228" s="285"/>
      <c r="GM228" s="285"/>
      <c r="GN228" s="285"/>
      <c r="GO228" s="285"/>
      <c r="GP228" s="285"/>
      <c r="GQ228" s="285"/>
      <c r="GR228" s="285"/>
      <c r="GS228" s="285"/>
      <c r="GT228" s="285"/>
      <c r="GU228" s="285"/>
      <c r="GV228" s="285"/>
      <c r="GW228" s="285"/>
      <c r="GX228" s="285"/>
      <c r="GY228" s="285"/>
      <c r="GZ228" s="285"/>
    </row>
    <row r="229" spans="1:208" ht="30">
      <c r="A229" s="282">
        <v>50</v>
      </c>
      <c r="B229" s="332">
        <v>44906</v>
      </c>
      <c r="C229" s="333">
        <v>1106186</v>
      </c>
      <c r="D229" s="282" t="s">
        <v>4532</v>
      </c>
      <c r="E229" s="333" t="s">
        <v>4533</v>
      </c>
      <c r="F229" s="333" t="s">
        <v>4251</v>
      </c>
      <c r="G229" s="333">
        <v>3115</v>
      </c>
      <c r="H229" s="333">
        <v>28</v>
      </c>
      <c r="I229" s="282">
        <v>4502467558</v>
      </c>
      <c r="J229" s="333">
        <v>3025457</v>
      </c>
      <c r="K229" s="280" t="s">
        <v>4320</v>
      </c>
      <c r="L229" s="280" t="s">
        <v>4320</v>
      </c>
      <c r="M229" s="283">
        <v>14083</v>
      </c>
      <c r="N229" s="333">
        <v>8400</v>
      </c>
      <c r="O229" s="284">
        <f t="shared" si="24"/>
        <v>118297200</v>
      </c>
      <c r="P229" s="285">
        <f t="shared" si="35"/>
        <v>2</v>
      </c>
      <c r="Q229" s="282" t="s">
        <v>3455</v>
      </c>
      <c r="R229" s="282">
        <v>1040968</v>
      </c>
      <c r="S229" s="282">
        <v>2992700</v>
      </c>
      <c r="T229" s="282" t="s">
        <v>4534</v>
      </c>
      <c r="U229" s="285"/>
      <c r="V229" s="285"/>
      <c r="W229" s="285"/>
      <c r="X229" s="285"/>
      <c r="Y229" s="285"/>
      <c r="Z229" s="285"/>
      <c r="AA229" s="285"/>
      <c r="AB229" s="285"/>
      <c r="AC229" s="285"/>
      <c r="AD229" s="285"/>
      <c r="AE229" s="285"/>
      <c r="AF229" s="285"/>
      <c r="AG229" s="285"/>
      <c r="AH229" s="285"/>
      <c r="AI229" s="285"/>
      <c r="AJ229" s="285"/>
      <c r="AK229" s="285"/>
      <c r="AL229" s="285"/>
      <c r="AM229" s="285"/>
      <c r="AN229" s="285"/>
      <c r="AO229" s="285"/>
      <c r="AP229" s="285"/>
      <c r="AQ229" s="285"/>
      <c r="AR229" s="285"/>
      <c r="AS229" s="285"/>
      <c r="AT229" s="285"/>
      <c r="AU229" s="285"/>
      <c r="AV229" s="285"/>
      <c r="AW229" s="285"/>
      <c r="AX229" s="285"/>
      <c r="AY229" s="285"/>
      <c r="AZ229" s="285"/>
      <c r="BA229" s="285"/>
      <c r="BB229" s="285"/>
      <c r="BC229" s="285"/>
      <c r="BD229" s="285"/>
      <c r="BE229" s="285"/>
      <c r="BF229" s="285"/>
      <c r="BG229" s="285"/>
      <c r="BH229" s="285"/>
      <c r="BI229" s="285"/>
      <c r="BJ229" s="285"/>
      <c r="BK229" s="285"/>
      <c r="BL229" s="285"/>
      <c r="BM229" s="285"/>
      <c r="BN229" s="285"/>
      <c r="BO229" s="285"/>
      <c r="BP229" s="285"/>
      <c r="BQ229" s="285"/>
      <c r="BR229" s="285"/>
      <c r="BS229" s="285"/>
      <c r="BT229" s="285"/>
      <c r="BU229" s="285"/>
      <c r="BV229" s="285"/>
      <c r="BW229" s="285"/>
      <c r="BX229" s="285"/>
      <c r="BY229" s="285"/>
      <c r="BZ229" s="285"/>
      <c r="CA229" s="285"/>
      <c r="CB229" s="285"/>
      <c r="CC229" s="285"/>
      <c r="CD229" s="285"/>
      <c r="CE229" s="285"/>
      <c r="CF229" s="285"/>
      <c r="CG229" s="285"/>
      <c r="CH229" s="285"/>
      <c r="CI229" s="285"/>
      <c r="CJ229" s="285"/>
      <c r="CK229" s="285"/>
      <c r="CL229" s="285"/>
      <c r="CM229" s="285"/>
      <c r="CN229" s="285"/>
      <c r="CO229" s="285"/>
      <c r="CP229" s="285"/>
      <c r="CQ229" s="285"/>
      <c r="CR229" s="285"/>
      <c r="CS229" s="285"/>
      <c r="CT229" s="285"/>
      <c r="CU229" s="285"/>
      <c r="CV229" s="285"/>
      <c r="CW229" s="285"/>
      <c r="CX229" s="285"/>
      <c r="CY229" s="285"/>
      <c r="CZ229" s="285"/>
      <c r="DA229" s="285"/>
      <c r="DB229" s="285"/>
      <c r="DC229" s="285"/>
      <c r="DD229" s="285"/>
      <c r="DE229" s="285"/>
      <c r="DF229" s="285"/>
      <c r="DG229" s="285"/>
      <c r="DH229" s="285"/>
      <c r="DI229" s="285"/>
      <c r="DJ229" s="285"/>
      <c r="DK229" s="285"/>
      <c r="DL229" s="285"/>
      <c r="DM229" s="285"/>
      <c r="DN229" s="285"/>
      <c r="DO229" s="285"/>
      <c r="DP229" s="285"/>
      <c r="DQ229" s="285"/>
      <c r="DR229" s="285"/>
      <c r="DS229" s="285"/>
      <c r="DT229" s="285"/>
      <c r="DU229" s="285"/>
      <c r="DV229" s="285"/>
      <c r="DW229" s="285"/>
      <c r="DX229" s="285"/>
      <c r="DY229" s="285"/>
      <c r="DZ229" s="285"/>
      <c r="EA229" s="285"/>
      <c r="EB229" s="285"/>
      <c r="EC229" s="285"/>
      <c r="ED229" s="285"/>
      <c r="EE229" s="285"/>
      <c r="EF229" s="285"/>
      <c r="EG229" s="285"/>
      <c r="EH229" s="285"/>
      <c r="EI229" s="285"/>
      <c r="EJ229" s="285"/>
      <c r="EK229" s="285"/>
      <c r="EL229" s="285"/>
      <c r="EM229" s="285"/>
      <c r="EN229" s="285"/>
      <c r="EO229" s="285"/>
      <c r="EP229" s="285"/>
      <c r="EQ229" s="285"/>
      <c r="ER229" s="285"/>
      <c r="ES229" s="285"/>
      <c r="ET229" s="285"/>
      <c r="EU229" s="285"/>
      <c r="EV229" s="285"/>
      <c r="EW229" s="285"/>
      <c r="EX229" s="285"/>
      <c r="EY229" s="285"/>
      <c r="EZ229" s="285"/>
      <c r="FA229" s="285"/>
      <c r="FB229" s="285"/>
      <c r="FC229" s="285"/>
      <c r="FD229" s="285"/>
      <c r="FE229" s="285"/>
      <c r="FF229" s="285"/>
      <c r="FG229" s="285"/>
      <c r="FH229" s="285"/>
      <c r="FI229" s="285"/>
      <c r="FJ229" s="285"/>
      <c r="FK229" s="285"/>
      <c r="FL229" s="285"/>
      <c r="FM229" s="285"/>
      <c r="FN229" s="285"/>
      <c r="FO229" s="285"/>
      <c r="FP229" s="285"/>
      <c r="FQ229" s="285"/>
      <c r="FR229" s="285"/>
      <c r="FS229" s="285"/>
      <c r="FT229" s="285"/>
      <c r="FU229" s="285"/>
      <c r="FV229" s="285"/>
      <c r="FW229" s="285"/>
      <c r="FX229" s="285"/>
      <c r="FY229" s="285"/>
      <c r="FZ229" s="285"/>
      <c r="GA229" s="285"/>
      <c r="GB229" s="285"/>
      <c r="GC229" s="285"/>
      <c r="GD229" s="285"/>
      <c r="GE229" s="285"/>
      <c r="GF229" s="285"/>
      <c r="GG229" s="285"/>
      <c r="GH229" s="285"/>
      <c r="GI229" s="285"/>
      <c r="GJ229" s="285"/>
      <c r="GK229" s="285"/>
      <c r="GL229" s="285"/>
      <c r="GM229" s="285"/>
      <c r="GN229" s="285"/>
      <c r="GO229" s="285"/>
      <c r="GP229" s="285"/>
      <c r="GQ229" s="285"/>
      <c r="GR229" s="285"/>
      <c r="GS229" s="285"/>
      <c r="GT229" s="285"/>
      <c r="GU229" s="285"/>
      <c r="GV229" s="285"/>
      <c r="GW229" s="285"/>
      <c r="GX229" s="285"/>
      <c r="GY229" s="285"/>
      <c r="GZ229" s="285"/>
    </row>
    <row r="230" spans="1:208" ht="15">
      <c r="A230" s="282">
        <v>50</v>
      </c>
      <c r="B230" s="332">
        <v>44906</v>
      </c>
      <c r="C230" s="333">
        <v>1073331</v>
      </c>
      <c r="D230" s="282" t="s">
        <v>4535</v>
      </c>
      <c r="E230" s="333" t="s">
        <v>4536</v>
      </c>
      <c r="F230" s="333" t="s">
        <v>4251</v>
      </c>
      <c r="G230" s="333">
        <v>3114</v>
      </c>
      <c r="H230" s="333">
        <v>28</v>
      </c>
      <c r="I230" s="282">
        <v>4502468545</v>
      </c>
      <c r="J230" s="333">
        <v>3025457</v>
      </c>
      <c r="K230" s="282">
        <v>4902404096</v>
      </c>
      <c r="L230" s="282" t="s">
        <v>4252</v>
      </c>
      <c r="M230" s="283">
        <v>13581.4</v>
      </c>
      <c r="N230" s="333">
        <v>8650</v>
      </c>
      <c r="O230" s="284">
        <f t="shared" si="24"/>
        <v>117479110</v>
      </c>
      <c r="P230" s="285">
        <f t="shared" si="35"/>
        <v>2</v>
      </c>
      <c r="Q230" s="282" t="s">
        <v>3455</v>
      </c>
      <c r="R230" s="282">
        <v>1040968</v>
      </c>
      <c r="S230" s="282">
        <v>1325600</v>
      </c>
      <c r="T230" s="285"/>
      <c r="U230" s="285"/>
      <c r="V230" s="285"/>
      <c r="W230" s="285"/>
      <c r="X230" s="285"/>
      <c r="Y230" s="285"/>
      <c r="Z230" s="285"/>
      <c r="AA230" s="285"/>
      <c r="AB230" s="285"/>
      <c r="AC230" s="285"/>
      <c r="AD230" s="285"/>
      <c r="AE230" s="285"/>
      <c r="AF230" s="285"/>
      <c r="AG230" s="285"/>
      <c r="AH230" s="285"/>
      <c r="AI230" s="285"/>
      <c r="AJ230" s="285"/>
      <c r="AK230" s="285"/>
      <c r="AL230" s="285"/>
      <c r="AM230" s="285"/>
      <c r="AN230" s="285"/>
      <c r="AO230" s="285"/>
      <c r="AP230" s="285"/>
      <c r="AQ230" s="285"/>
      <c r="AR230" s="285"/>
      <c r="AS230" s="285"/>
      <c r="AT230" s="285"/>
      <c r="AU230" s="285"/>
      <c r="AV230" s="285"/>
      <c r="AW230" s="285"/>
      <c r="AX230" s="285"/>
      <c r="AY230" s="285"/>
      <c r="AZ230" s="285"/>
      <c r="BA230" s="285"/>
      <c r="BB230" s="285"/>
      <c r="BC230" s="285"/>
      <c r="BD230" s="285"/>
      <c r="BE230" s="285"/>
      <c r="BF230" s="285"/>
      <c r="BG230" s="285"/>
      <c r="BH230" s="285"/>
      <c r="BI230" s="285"/>
      <c r="BJ230" s="285"/>
      <c r="BK230" s="285"/>
      <c r="BL230" s="285"/>
      <c r="BM230" s="285"/>
      <c r="BN230" s="285"/>
      <c r="BO230" s="285"/>
      <c r="BP230" s="285"/>
      <c r="BQ230" s="285"/>
      <c r="BR230" s="285"/>
      <c r="BS230" s="285"/>
      <c r="BT230" s="285"/>
      <c r="BU230" s="285"/>
      <c r="BV230" s="285"/>
      <c r="BW230" s="285"/>
      <c r="BX230" s="285"/>
      <c r="BY230" s="285"/>
      <c r="BZ230" s="285"/>
      <c r="CA230" s="285"/>
      <c r="CB230" s="285"/>
      <c r="CC230" s="285"/>
      <c r="CD230" s="285"/>
      <c r="CE230" s="285"/>
      <c r="CF230" s="285"/>
      <c r="CG230" s="285"/>
      <c r="CH230" s="285"/>
      <c r="CI230" s="285"/>
      <c r="CJ230" s="285"/>
      <c r="CK230" s="285"/>
      <c r="CL230" s="285"/>
      <c r="CM230" s="285"/>
      <c r="CN230" s="285"/>
      <c r="CO230" s="285"/>
      <c r="CP230" s="285"/>
      <c r="CQ230" s="285"/>
      <c r="CR230" s="285"/>
      <c r="CS230" s="285"/>
      <c r="CT230" s="285"/>
      <c r="CU230" s="285"/>
      <c r="CV230" s="285"/>
      <c r="CW230" s="285"/>
      <c r="CX230" s="285"/>
      <c r="CY230" s="285"/>
      <c r="CZ230" s="285"/>
      <c r="DA230" s="285"/>
      <c r="DB230" s="285"/>
      <c r="DC230" s="285"/>
      <c r="DD230" s="285"/>
      <c r="DE230" s="285"/>
      <c r="DF230" s="285"/>
      <c r="DG230" s="285"/>
      <c r="DH230" s="285"/>
      <c r="DI230" s="285"/>
      <c r="DJ230" s="285"/>
      <c r="DK230" s="285"/>
      <c r="DL230" s="285"/>
      <c r="DM230" s="285"/>
      <c r="DN230" s="285"/>
      <c r="DO230" s="285"/>
      <c r="DP230" s="285"/>
      <c r="DQ230" s="285"/>
      <c r="DR230" s="285"/>
      <c r="DS230" s="285"/>
      <c r="DT230" s="285"/>
      <c r="DU230" s="285"/>
      <c r="DV230" s="285"/>
      <c r="DW230" s="285"/>
      <c r="DX230" s="285"/>
      <c r="DY230" s="285"/>
      <c r="DZ230" s="285"/>
      <c r="EA230" s="285"/>
      <c r="EB230" s="285"/>
      <c r="EC230" s="285"/>
      <c r="ED230" s="285"/>
      <c r="EE230" s="285"/>
      <c r="EF230" s="285"/>
      <c r="EG230" s="285"/>
      <c r="EH230" s="285"/>
      <c r="EI230" s="285"/>
      <c r="EJ230" s="285"/>
      <c r="EK230" s="285"/>
      <c r="EL230" s="285"/>
      <c r="EM230" s="285"/>
      <c r="EN230" s="285"/>
      <c r="EO230" s="285"/>
      <c r="EP230" s="285"/>
      <c r="EQ230" s="285"/>
      <c r="ER230" s="285"/>
      <c r="ES230" s="285"/>
      <c r="ET230" s="285"/>
      <c r="EU230" s="285"/>
      <c r="EV230" s="285"/>
      <c r="EW230" s="285"/>
      <c r="EX230" s="285"/>
      <c r="EY230" s="285"/>
      <c r="EZ230" s="285"/>
      <c r="FA230" s="285"/>
      <c r="FB230" s="285"/>
      <c r="FC230" s="285"/>
      <c r="FD230" s="285"/>
      <c r="FE230" s="285"/>
      <c r="FF230" s="285"/>
      <c r="FG230" s="285"/>
      <c r="FH230" s="285"/>
      <c r="FI230" s="285"/>
      <c r="FJ230" s="285"/>
      <c r="FK230" s="285"/>
      <c r="FL230" s="285"/>
      <c r="FM230" s="285"/>
      <c r="FN230" s="285"/>
      <c r="FO230" s="285"/>
      <c r="FP230" s="285"/>
      <c r="FQ230" s="285"/>
      <c r="FR230" s="285"/>
      <c r="FS230" s="285"/>
      <c r="FT230" s="285"/>
      <c r="FU230" s="285"/>
      <c r="FV230" s="285"/>
      <c r="FW230" s="285"/>
      <c r="FX230" s="285"/>
      <c r="FY230" s="285"/>
      <c r="FZ230" s="285"/>
      <c r="GA230" s="285"/>
      <c r="GB230" s="285"/>
      <c r="GC230" s="285"/>
      <c r="GD230" s="285"/>
      <c r="GE230" s="285"/>
      <c r="GF230" s="285"/>
      <c r="GG230" s="285"/>
      <c r="GH230" s="285"/>
      <c r="GI230" s="285"/>
      <c r="GJ230" s="285"/>
      <c r="GK230" s="285"/>
      <c r="GL230" s="285"/>
      <c r="GM230" s="285"/>
      <c r="GN230" s="285"/>
      <c r="GO230" s="285"/>
      <c r="GP230" s="285"/>
      <c r="GQ230" s="285"/>
      <c r="GR230" s="285"/>
      <c r="GS230" s="285"/>
      <c r="GT230" s="285"/>
      <c r="GU230" s="285"/>
      <c r="GV230" s="285"/>
      <c r="GW230" s="285"/>
      <c r="GX230" s="285"/>
      <c r="GY230" s="285"/>
      <c r="GZ230" s="285"/>
    </row>
    <row r="231" spans="1:208" ht="15">
      <c r="A231" s="304">
        <v>51</v>
      </c>
      <c r="B231" s="328">
        <v>44910</v>
      </c>
      <c r="C231" s="329">
        <v>1093247</v>
      </c>
      <c r="D231" s="304" t="s">
        <v>4537</v>
      </c>
      <c r="E231" s="337" t="s">
        <v>4412</v>
      </c>
      <c r="F231" s="329" t="s">
        <v>4275</v>
      </c>
      <c r="G231" s="353">
        <v>3190</v>
      </c>
      <c r="H231" s="329">
        <v>70</v>
      </c>
      <c r="I231" s="304">
        <v>4502473255</v>
      </c>
      <c r="J231" s="329">
        <v>3025459</v>
      </c>
      <c r="K231" s="304">
        <v>4902408524</v>
      </c>
      <c r="L231" s="304" t="s">
        <v>4252</v>
      </c>
      <c r="M231" s="309">
        <v>32967</v>
      </c>
      <c r="N231" s="329">
        <v>8500</v>
      </c>
      <c r="O231" s="306">
        <f t="shared" si="24"/>
        <v>280219500</v>
      </c>
      <c r="P231" s="304">
        <f t="shared" si="35"/>
        <v>5</v>
      </c>
      <c r="Q231" s="371" t="s">
        <v>3455</v>
      </c>
      <c r="R231" s="304">
        <v>1040968</v>
      </c>
      <c r="S231" s="330">
        <f>1793900*5</f>
        <v>8969500</v>
      </c>
      <c r="T231" s="307"/>
      <c r="U231" s="307"/>
      <c r="V231" s="307"/>
      <c r="W231" s="307"/>
      <c r="X231" s="307"/>
      <c r="Y231" s="307"/>
      <c r="Z231" s="307"/>
      <c r="AA231" s="307"/>
      <c r="AB231" s="307"/>
      <c r="AC231" s="307"/>
      <c r="AD231" s="307"/>
      <c r="AE231" s="307"/>
      <c r="AF231" s="307"/>
      <c r="AG231" s="307"/>
      <c r="AH231" s="307"/>
      <c r="AI231" s="307"/>
      <c r="AJ231" s="307"/>
      <c r="AK231" s="307"/>
      <c r="AL231" s="307"/>
      <c r="AM231" s="307"/>
      <c r="AN231" s="307"/>
      <c r="AO231" s="307"/>
      <c r="AP231" s="307"/>
      <c r="AQ231" s="307"/>
      <c r="AR231" s="307"/>
      <c r="AS231" s="307"/>
      <c r="AT231" s="307"/>
      <c r="AU231" s="307"/>
      <c r="AV231" s="307"/>
      <c r="AW231" s="307"/>
      <c r="AX231" s="307"/>
      <c r="AY231" s="307"/>
      <c r="AZ231" s="307"/>
      <c r="BA231" s="307"/>
      <c r="BB231" s="307"/>
      <c r="BC231" s="307"/>
      <c r="BD231" s="307"/>
      <c r="BE231" s="307"/>
      <c r="BF231" s="307"/>
      <c r="BG231" s="307"/>
      <c r="BH231" s="307"/>
      <c r="BI231" s="307"/>
      <c r="BJ231" s="307"/>
      <c r="BK231" s="307"/>
      <c r="BL231" s="307"/>
      <c r="BM231" s="307"/>
      <c r="BN231" s="307"/>
      <c r="BO231" s="307"/>
      <c r="BP231" s="307"/>
      <c r="BQ231" s="307"/>
      <c r="BR231" s="307"/>
      <c r="BS231" s="307"/>
      <c r="BT231" s="307"/>
      <c r="BU231" s="307"/>
      <c r="BV231" s="307"/>
      <c r="BW231" s="307"/>
      <c r="BX231" s="307"/>
      <c r="BY231" s="307"/>
      <c r="BZ231" s="307"/>
      <c r="CA231" s="307"/>
      <c r="CB231" s="307"/>
      <c r="CC231" s="307"/>
      <c r="CD231" s="307"/>
      <c r="CE231" s="307"/>
      <c r="CF231" s="307"/>
      <c r="CG231" s="307"/>
      <c r="CH231" s="307"/>
      <c r="CI231" s="307"/>
      <c r="CJ231" s="307"/>
      <c r="CK231" s="307"/>
      <c r="CL231" s="307"/>
      <c r="CM231" s="307"/>
      <c r="CN231" s="307"/>
      <c r="CO231" s="307"/>
      <c r="CP231" s="307"/>
      <c r="CQ231" s="307"/>
      <c r="CR231" s="307"/>
      <c r="CS231" s="307"/>
      <c r="CT231" s="307"/>
      <c r="CU231" s="307"/>
      <c r="CV231" s="307"/>
      <c r="CW231" s="307"/>
      <c r="CX231" s="307"/>
      <c r="CY231" s="307"/>
      <c r="CZ231" s="307"/>
      <c r="DA231" s="307"/>
      <c r="DB231" s="307"/>
      <c r="DC231" s="307"/>
      <c r="DD231" s="307"/>
      <c r="DE231" s="307"/>
      <c r="DF231" s="307"/>
      <c r="DG231" s="307"/>
      <c r="DH231" s="307"/>
      <c r="DI231" s="307"/>
      <c r="DJ231" s="307"/>
      <c r="DK231" s="307"/>
      <c r="DL231" s="307"/>
      <c r="DM231" s="307"/>
      <c r="DN231" s="307"/>
      <c r="DO231" s="307"/>
      <c r="DP231" s="307"/>
      <c r="DQ231" s="307"/>
      <c r="DR231" s="307"/>
      <c r="DS231" s="307"/>
      <c r="DT231" s="307"/>
      <c r="DU231" s="307"/>
      <c r="DV231" s="307"/>
      <c r="DW231" s="307"/>
      <c r="DX231" s="307"/>
      <c r="DY231" s="307"/>
      <c r="DZ231" s="307"/>
      <c r="EA231" s="307"/>
      <c r="EB231" s="307"/>
      <c r="EC231" s="307"/>
      <c r="ED231" s="307"/>
      <c r="EE231" s="307"/>
      <c r="EF231" s="307"/>
      <c r="EG231" s="307"/>
      <c r="EH231" s="307"/>
      <c r="EI231" s="307"/>
      <c r="EJ231" s="307"/>
      <c r="EK231" s="307"/>
      <c r="EL231" s="307"/>
      <c r="EM231" s="307"/>
      <c r="EN231" s="307"/>
      <c r="EO231" s="307"/>
      <c r="EP231" s="307"/>
      <c r="EQ231" s="307"/>
      <c r="ER231" s="307"/>
      <c r="ES231" s="307"/>
      <c r="ET231" s="307"/>
      <c r="EU231" s="307"/>
      <c r="EV231" s="307"/>
      <c r="EW231" s="307"/>
      <c r="EX231" s="307"/>
      <c r="EY231" s="307"/>
      <c r="EZ231" s="307"/>
      <c r="FA231" s="307"/>
      <c r="FB231" s="307"/>
      <c r="FC231" s="307"/>
      <c r="FD231" s="307"/>
      <c r="FE231" s="307"/>
      <c r="FF231" s="307"/>
      <c r="FG231" s="307"/>
      <c r="FH231" s="307"/>
      <c r="FI231" s="307"/>
      <c r="FJ231" s="307"/>
      <c r="FK231" s="307"/>
      <c r="FL231" s="307"/>
      <c r="FM231" s="307"/>
      <c r="FN231" s="307"/>
      <c r="FO231" s="307"/>
      <c r="FP231" s="307"/>
      <c r="FQ231" s="307"/>
      <c r="FR231" s="307"/>
      <c r="FS231" s="307"/>
      <c r="FT231" s="307"/>
      <c r="FU231" s="307"/>
      <c r="FV231" s="307"/>
      <c r="FW231" s="307"/>
      <c r="FX231" s="307"/>
      <c r="FY231" s="307"/>
      <c r="FZ231" s="307"/>
      <c r="GA231" s="307"/>
      <c r="GB231" s="307"/>
      <c r="GC231" s="307"/>
      <c r="GD231" s="307"/>
      <c r="GE231" s="307"/>
      <c r="GF231" s="307"/>
      <c r="GG231" s="307"/>
      <c r="GH231" s="307"/>
      <c r="GI231" s="307"/>
      <c r="GJ231" s="307"/>
      <c r="GK231" s="307"/>
      <c r="GL231" s="307"/>
      <c r="GM231" s="307"/>
      <c r="GN231" s="307"/>
      <c r="GO231" s="307"/>
      <c r="GP231" s="307"/>
      <c r="GQ231" s="307"/>
      <c r="GR231" s="307"/>
      <c r="GS231" s="307"/>
      <c r="GT231" s="307"/>
      <c r="GU231" s="307"/>
      <c r="GV231" s="307"/>
      <c r="GW231" s="307"/>
      <c r="GX231" s="307"/>
      <c r="GY231" s="307"/>
      <c r="GZ231" s="307"/>
    </row>
    <row r="232" spans="1:208" ht="15">
      <c r="A232" s="304">
        <v>51</v>
      </c>
      <c r="B232" s="328">
        <v>44910</v>
      </c>
      <c r="C232" s="329">
        <v>1053331</v>
      </c>
      <c r="D232" s="304" t="s">
        <v>4538</v>
      </c>
      <c r="E232" s="329" t="s">
        <v>4416</v>
      </c>
      <c r="F232" s="329" t="s">
        <v>4275</v>
      </c>
      <c r="G232" s="353">
        <v>3178</v>
      </c>
      <c r="H232" s="329">
        <v>42</v>
      </c>
      <c r="I232" s="304">
        <v>4502473259</v>
      </c>
      <c r="J232" s="329">
        <v>3025459</v>
      </c>
      <c r="K232" s="304">
        <v>4902408527</v>
      </c>
      <c r="L232" s="304" t="s">
        <v>4252</v>
      </c>
      <c r="M232" s="309">
        <v>19945</v>
      </c>
      <c r="N232" s="329">
        <v>8500</v>
      </c>
      <c r="O232" s="306">
        <f t="shared" si="24"/>
        <v>169532500</v>
      </c>
      <c r="P232" s="304">
        <f t="shared" si="35"/>
        <v>3</v>
      </c>
      <c r="Q232" s="371" t="s">
        <v>4266</v>
      </c>
      <c r="R232" s="304">
        <v>1004892</v>
      </c>
      <c r="S232" s="330">
        <f>1793900*3</f>
        <v>5381700</v>
      </c>
      <c r="T232" s="307"/>
      <c r="U232" s="307"/>
      <c r="V232" s="307"/>
      <c r="W232" s="307"/>
      <c r="X232" s="307"/>
      <c r="Y232" s="307"/>
      <c r="Z232" s="307"/>
      <c r="AA232" s="307"/>
      <c r="AB232" s="307"/>
      <c r="AC232" s="307"/>
      <c r="AD232" s="307"/>
      <c r="AE232" s="307"/>
      <c r="AF232" s="307"/>
      <c r="AG232" s="307"/>
      <c r="AH232" s="307"/>
      <c r="AI232" s="307"/>
      <c r="AJ232" s="307"/>
      <c r="AK232" s="307"/>
      <c r="AL232" s="307"/>
      <c r="AM232" s="307"/>
      <c r="AN232" s="307"/>
      <c r="AO232" s="307"/>
      <c r="AP232" s="307"/>
      <c r="AQ232" s="307"/>
      <c r="AR232" s="307"/>
      <c r="AS232" s="307"/>
      <c r="AT232" s="307"/>
      <c r="AU232" s="307"/>
      <c r="AV232" s="307"/>
      <c r="AW232" s="307"/>
      <c r="AX232" s="307"/>
      <c r="AY232" s="307"/>
      <c r="AZ232" s="307"/>
      <c r="BA232" s="307"/>
      <c r="BB232" s="307"/>
      <c r="BC232" s="307"/>
      <c r="BD232" s="307"/>
      <c r="BE232" s="307"/>
      <c r="BF232" s="307"/>
      <c r="BG232" s="307"/>
      <c r="BH232" s="307"/>
      <c r="BI232" s="307"/>
      <c r="BJ232" s="307"/>
      <c r="BK232" s="307"/>
      <c r="BL232" s="307"/>
      <c r="BM232" s="307"/>
      <c r="BN232" s="307"/>
      <c r="BO232" s="307"/>
      <c r="BP232" s="307"/>
      <c r="BQ232" s="307"/>
      <c r="BR232" s="307"/>
      <c r="BS232" s="307"/>
      <c r="BT232" s="307"/>
      <c r="BU232" s="307"/>
      <c r="BV232" s="307"/>
      <c r="BW232" s="307"/>
      <c r="BX232" s="307"/>
      <c r="BY232" s="307"/>
      <c r="BZ232" s="307"/>
      <c r="CA232" s="307"/>
      <c r="CB232" s="307"/>
      <c r="CC232" s="307"/>
      <c r="CD232" s="307"/>
      <c r="CE232" s="307"/>
      <c r="CF232" s="307"/>
      <c r="CG232" s="307"/>
      <c r="CH232" s="307"/>
      <c r="CI232" s="307"/>
      <c r="CJ232" s="307"/>
      <c r="CK232" s="307"/>
      <c r="CL232" s="307"/>
      <c r="CM232" s="307"/>
      <c r="CN232" s="307"/>
      <c r="CO232" s="307"/>
      <c r="CP232" s="307"/>
      <c r="CQ232" s="307"/>
      <c r="CR232" s="307"/>
      <c r="CS232" s="307"/>
      <c r="CT232" s="307"/>
      <c r="CU232" s="307"/>
      <c r="CV232" s="307"/>
      <c r="CW232" s="307"/>
      <c r="CX232" s="307"/>
      <c r="CY232" s="307"/>
      <c r="CZ232" s="307"/>
      <c r="DA232" s="307"/>
      <c r="DB232" s="307"/>
      <c r="DC232" s="307"/>
      <c r="DD232" s="307"/>
      <c r="DE232" s="307"/>
      <c r="DF232" s="307"/>
      <c r="DG232" s="307"/>
      <c r="DH232" s="307"/>
      <c r="DI232" s="307"/>
      <c r="DJ232" s="307"/>
      <c r="DK232" s="307"/>
      <c r="DL232" s="307"/>
      <c r="DM232" s="307"/>
      <c r="DN232" s="307"/>
      <c r="DO232" s="307"/>
      <c r="DP232" s="307"/>
      <c r="DQ232" s="307"/>
      <c r="DR232" s="307"/>
      <c r="DS232" s="307"/>
      <c r="DT232" s="307"/>
      <c r="DU232" s="307"/>
      <c r="DV232" s="307"/>
      <c r="DW232" s="307"/>
      <c r="DX232" s="307"/>
      <c r="DY232" s="307"/>
      <c r="DZ232" s="307"/>
      <c r="EA232" s="307"/>
      <c r="EB232" s="307"/>
      <c r="EC232" s="307"/>
      <c r="ED232" s="307"/>
      <c r="EE232" s="307"/>
      <c r="EF232" s="307"/>
      <c r="EG232" s="307"/>
      <c r="EH232" s="307"/>
      <c r="EI232" s="307"/>
      <c r="EJ232" s="307"/>
      <c r="EK232" s="307"/>
      <c r="EL232" s="307"/>
      <c r="EM232" s="307"/>
      <c r="EN232" s="307"/>
      <c r="EO232" s="307"/>
      <c r="EP232" s="307"/>
      <c r="EQ232" s="307"/>
      <c r="ER232" s="307"/>
      <c r="ES232" s="307"/>
      <c r="ET232" s="307"/>
      <c r="EU232" s="307"/>
      <c r="EV232" s="307"/>
      <c r="EW232" s="307"/>
      <c r="EX232" s="307"/>
      <c r="EY232" s="307"/>
      <c r="EZ232" s="307"/>
      <c r="FA232" s="307"/>
      <c r="FB232" s="307"/>
      <c r="FC232" s="307"/>
      <c r="FD232" s="307"/>
      <c r="FE232" s="307"/>
      <c r="FF232" s="307"/>
      <c r="FG232" s="307"/>
      <c r="FH232" s="307"/>
      <c r="FI232" s="307"/>
      <c r="FJ232" s="307"/>
      <c r="FK232" s="307"/>
      <c r="FL232" s="307"/>
      <c r="FM232" s="307"/>
      <c r="FN232" s="307"/>
      <c r="FO232" s="307"/>
      <c r="FP232" s="307"/>
      <c r="FQ232" s="307"/>
      <c r="FR232" s="307"/>
      <c r="FS232" s="307"/>
      <c r="FT232" s="307"/>
      <c r="FU232" s="307"/>
      <c r="FV232" s="307"/>
      <c r="FW232" s="307"/>
      <c r="FX232" s="307"/>
      <c r="FY232" s="307"/>
      <c r="FZ232" s="307"/>
      <c r="GA232" s="307"/>
      <c r="GB232" s="307"/>
      <c r="GC232" s="307"/>
      <c r="GD232" s="307"/>
      <c r="GE232" s="307"/>
      <c r="GF232" s="307"/>
      <c r="GG232" s="307"/>
      <c r="GH232" s="307"/>
      <c r="GI232" s="307"/>
      <c r="GJ232" s="307"/>
      <c r="GK232" s="307"/>
      <c r="GL232" s="307"/>
      <c r="GM232" s="307"/>
      <c r="GN232" s="307"/>
      <c r="GO232" s="307"/>
      <c r="GP232" s="307"/>
      <c r="GQ232" s="307"/>
      <c r="GR232" s="307"/>
      <c r="GS232" s="307"/>
      <c r="GT232" s="307"/>
      <c r="GU232" s="307"/>
      <c r="GV232" s="307"/>
      <c r="GW232" s="307"/>
      <c r="GX232" s="307"/>
      <c r="GY232" s="307"/>
      <c r="GZ232" s="307"/>
    </row>
    <row r="233" spans="1:208" ht="15">
      <c r="A233" s="304">
        <v>51</v>
      </c>
      <c r="B233" s="328">
        <v>44912</v>
      </c>
      <c r="C233" s="329">
        <v>1106184</v>
      </c>
      <c r="D233" s="304" t="s">
        <v>4539</v>
      </c>
      <c r="E233" s="329" t="s">
        <v>4250</v>
      </c>
      <c r="F233" s="329" t="s">
        <v>4251</v>
      </c>
      <c r="G233" s="353">
        <v>3185</v>
      </c>
      <c r="H233" s="329">
        <v>140</v>
      </c>
      <c r="I233" s="304">
        <v>4502473262</v>
      </c>
      <c r="J233" s="329">
        <v>3025457</v>
      </c>
      <c r="K233" s="304">
        <v>4902408528</v>
      </c>
      <c r="L233" s="304" t="s">
        <v>4252</v>
      </c>
      <c r="M233" s="309">
        <v>69722</v>
      </c>
      <c r="N233" s="329">
        <v>8300</v>
      </c>
      <c r="O233" s="306">
        <f t="shared" si="24"/>
        <v>578692600</v>
      </c>
      <c r="P233" s="304">
        <f t="shared" si="35"/>
        <v>10</v>
      </c>
      <c r="Q233" s="372" t="s">
        <v>3455</v>
      </c>
      <c r="R233" s="304">
        <v>1040968</v>
      </c>
      <c r="S233" s="330">
        <f>2982600*10</f>
        <v>29826000</v>
      </c>
      <c r="T233" s="307"/>
      <c r="U233" s="307"/>
      <c r="V233" s="307"/>
      <c r="W233" s="307"/>
      <c r="X233" s="307"/>
      <c r="Y233" s="307"/>
      <c r="Z233" s="307"/>
      <c r="AA233" s="307"/>
      <c r="AB233" s="307"/>
      <c r="AC233" s="307"/>
      <c r="AD233" s="307"/>
      <c r="AE233" s="307"/>
      <c r="AF233" s="307"/>
      <c r="AG233" s="307"/>
      <c r="AH233" s="307"/>
      <c r="AI233" s="307"/>
      <c r="AJ233" s="307"/>
      <c r="AK233" s="307"/>
      <c r="AL233" s="307"/>
      <c r="AM233" s="307"/>
      <c r="AN233" s="307"/>
      <c r="AO233" s="307"/>
      <c r="AP233" s="307"/>
      <c r="AQ233" s="307"/>
      <c r="AR233" s="307"/>
      <c r="AS233" s="307"/>
      <c r="AT233" s="307"/>
      <c r="AU233" s="307"/>
      <c r="AV233" s="307"/>
      <c r="AW233" s="307"/>
      <c r="AX233" s="307"/>
      <c r="AY233" s="307"/>
      <c r="AZ233" s="307"/>
      <c r="BA233" s="307"/>
      <c r="BB233" s="307"/>
      <c r="BC233" s="307"/>
      <c r="BD233" s="307"/>
      <c r="BE233" s="307"/>
      <c r="BF233" s="307"/>
      <c r="BG233" s="307"/>
      <c r="BH233" s="307"/>
      <c r="BI233" s="307"/>
      <c r="BJ233" s="307"/>
      <c r="BK233" s="307"/>
      <c r="BL233" s="307"/>
      <c r="BM233" s="307"/>
      <c r="BN233" s="307"/>
      <c r="BO233" s="307"/>
      <c r="BP233" s="307"/>
      <c r="BQ233" s="307"/>
      <c r="BR233" s="307"/>
      <c r="BS233" s="307"/>
      <c r="BT233" s="307"/>
      <c r="BU233" s="307"/>
      <c r="BV233" s="307"/>
      <c r="BW233" s="307"/>
      <c r="BX233" s="307"/>
      <c r="BY233" s="307"/>
      <c r="BZ233" s="307"/>
      <c r="CA233" s="307"/>
      <c r="CB233" s="307"/>
      <c r="CC233" s="307"/>
      <c r="CD233" s="307"/>
      <c r="CE233" s="307"/>
      <c r="CF233" s="307"/>
      <c r="CG233" s="307"/>
      <c r="CH233" s="307"/>
      <c r="CI233" s="307"/>
      <c r="CJ233" s="307"/>
      <c r="CK233" s="307"/>
      <c r="CL233" s="307"/>
      <c r="CM233" s="307"/>
      <c r="CN233" s="307"/>
      <c r="CO233" s="307"/>
      <c r="CP233" s="307"/>
      <c r="CQ233" s="307"/>
      <c r="CR233" s="307"/>
      <c r="CS233" s="307"/>
      <c r="CT233" s="307"/>
      <c r="CU233" s="307"/>
      <c r="CV233" s="307"/>
      <c r="CW233" s="307"/>
      <c r="CX233" s="307"/>
      <c r="CY233" s="307"/>
      <c r="CZ233" s="307"/>
      <c r="DA233" s="307"/>
      <c r="DB233" s="307"/>
      <c r="DC233" s="307"/>
      <c r="DD233" s="307"/>
      <c r="DE233" s="307"/>
      <c r="DF233" s="307"/>
      <c r="DG233" s="307"/>
      <c r="DH233" s="307"/>
      <c r="DI233" s="307"/>
      <c r="DJ233" s="307"/>
      <c r="DK233" s="307"/>
      <c r="DL233" s="307"/>
      <c r="DM233" s="307"/>
      <c r="DN233" s="307"/>
      <c r="DO233" s="307"/>
      <c r="DP233" s="307"/>
      <c r="DQ233" s="307"/>
      <c r="DR233" s="307"/>
      <c r="DS233" s="307"/>
      <c r="DT233" s="307"/>
      <c r="DU233" s="307"/>
      <c r="DV233" s="307"/>
      <c r="DW233" s="307"/>
      <c r="DX233" s="307"/>
      <c r="DY233" s="307"/>
      <c r="DZ233" s="307"/>
      <c r="EA233" s="307"/>
      <c r="EB233" s="307"/>
      <c r="EC233" s="307"/>
      <c r="ED233" s="307"/>
      <c r="EE233" s="307"/>
      <c r="EF233" s="307"/>
      <c r="EG233" s="307"/>
      <c r="EH233" s="307"/>
      <c r="EI233" s="307"/>
      <c r="EJ233" s="307"/>
      <c r="EK233" s="307"/>
      <c r="EL233" s="307"/>
      <c r="EM233" s="307"/>
      <c r="EN233" s="307"/>
      <c r="EO233" s="307"/>
      <c r="EP233" s="307"/>
      <c r="EQ233" s="307"/>
      <c r="ER233" s="307"/>
      <c r="ES233" s="307"/>
      <c r="ET233" s="307"/>
      <c r="EU233" s="307"/>
      <c r="EV233" s="307"/>
      <c r="EW233" s="307"/>
      <c r="EX233" s="307"/>
      <c r="EY233" s="307"/>
      <c r="EZ233" s="307"/>
      <c r="FA233" s="307"/>
      <c r="FB233" s="307"/>
      <c r="FC233" s="307"/>
      <c r="FD233" s="307"/>
      <c r="FE233" s="307"/>
      <c r="FF233" s="307"/>
      <c r="FG233" s="307"/>
      <c r="FH233" s="307"/>
      <c r="FI233" s="307"/>
      <c r="FJ233" s="307"/>
      <c r="FK233" s="307"/>
      <c r="FL233" s="307"/>
      <c r="FM233" s="307"/>
      <c r="FN233" s="307"/>
      <c r="FO233" s="307"/>
      <c r="FP233" s="307"/>
      <c r="FQ233" s="307"/>
      <c r="FR233" s="307"/>
      <c r="FS233" s="307"/>
      <c r="FT233" s="307"/>
      <c r="FU233" s="307"/>
      <c r="FV233" s="307"/>
      <c r="FW233" s="307"/>
      <c r="FX233" s="307"/>
      <c r="FY233" s="307"/>
      <c r="FZ233" s="307"/>
      <c r="GA233" s="307"/>
      <c r="GB233" s="307"/>
      <c r="GC233" s="307"/>
      <c r="GD233" s="307"/>
      <c r="GE233" s="307"/>
      <c r="GF233" s="307"/>
      <c r="GG233" s="307"/>
      <c r="GH233" s="307"/>
      <c r="GI233" s="307"/>
      <c r="GJ233" s="307"/>
      <c r="GK233" s="307"/>
      <c r="GL233" s="307"/>
      <c r="GM233" s="307"/>
      <c r="GN233" s="307"/>
      <c r="GO233" s="307"/>
      <c r="GP233" s="307"/>
      <c r="GQ233" s="307"/>
      <c r="GR233" s="307"/>
      <c r="GS233" s="307"/>
      <c r="GT233" s="307"/>
      <c r="GU233" s="307"/>
      <c r="GV233" s="307"/>
      <c r="GW233" s="307"/>
      <c r="GX233" s="307"/>
      <c r="GY233" s="307"/>
      <c r="GZ233" s="307"/>
    </row>
    <row r="234" spans="1:208" ht="15">
      <c r="A234" s="304">
        <v>51</v>
      </c>
      <c r="B234" s="328">
        <v>44913</v>
      </c>
      <c r="C234" s="329">
        <v>1053331</v>
      </c>
      <c r="D234" s="304" t="s">
        <v>4540</v>
      </c>
      <c r="E234" s="329" t="s">
        <v>4416</v>
      </c>
      <c r="F234" s="329" t="s">
        <v>4275</v>
      </c>
      <c r="G234" s="353">
        <v>3178</v>
      </c>
      <c r="H234" s="329">
        <v>42</v>
      </c>
      <c r="I234" s="304">
        <v>4502473264</v>
      </c>
      <c r="J234" s="329">
        <v>3025459</v>
      </c>
      <c r="K234" s="304">
        <v>4902408530</v>
      </c>
      <c r="L234" s="304" t="s">
        <v>4252</v>
      </c>
      <c r="M234" s="309">
        <v>19390</v>
      </c>
      <c r="N234" s="329">
        <v>8500</v>
      </c>
      <c r="O234" s="306">
        <f t="shared" si="24"/>
        <v>164815000</v>
      </c>
      <c r="P234" s="304">
        <f t="shared" si="35"/>
        <v>3</v>
      </c>
      <c r="Q234" s="373" t="s">
        <v>3455</v>
      </c>
      <c r="R234" s="304">
        <v>1040968</v>
      </c>
      <c r="S234" s="330">
        <f>1793900*3</f>
        <v>5381700</v>
      </c>
      <c r="T234" s="307"/>
      <c r="U234" s="307"/>
      <c r="V234" s="307"/>
      <c r="W234" s="307"/>
      <c r="X234" s="307"/>
      <c r="Y234" s="307"/>
      <c r="Z234" s="307"/>
      <c r="AA234" s="307"/>
      <c r="AB234" s="307"/>
      <c r="AC234" s="307"/>
      <c r="AD234" s="307"/>
      <c r="AE234" s="307"/>
      <c r="AF234" s="307"/>
      <c r="AG234" s="307"/>
      <c r="AH234" s="307"/>
      <c r="AI234" s="307"/>
      <c r="AJ234" s="307"/>
      <c r="AK234" s="307"/>
      <c r="AL234" s="307"/>
      <c r="AM234" s="307"/>
      <c r="AN234" s="307"/>
      <c r="AO234" s="307"/>
      <c r="AP234" s="307"/>
      <c r="AQ234" s="307"/>
      <c r="AR234" s="307"/>
      <c r="AS234" s="307"/>
      <c r="AT234" s="307"/>
      <c r="AU234" s="307"/>
      <c r="AV234" s="307"/>
      <c r="AW234" s="307"/>
      <c r="AX234" s="307"/>
      <c r="AY234" s="307"/>
      <c r="AZ234" s="307"/>
      <c r="BA234" s="307"/>
      <c r="BB234" s="307"/>
      <c r="BC234" s="307"/>
      <c r="BD234" s="307"/>
      <c r="BE234" s="307"/>
      <c r="BF234" s="307"/>
      <c r="BG234" s="307"/>
      <c r="BH234" s="307"/>
      <c r="BI234" s="307"/>
      <c r="BJ234" s="307"/>
      <c r="BK234" s="307"/>
      <c r="BL234" s="307"/>
      <c r="BM234" s="307"/>
      <c r="BN234" s="307"/>
      <c r="BO234" s="307"/>
      <c r="BP234" s="307"/>
      <c r="BQ234" s="307"/>
      <c r="BR234" s="307"/>
      <c r="BS234" s="307"/>
      <c r="BT234" s="307"/>
      <c r="BU234" s="307"/>
      <c r="BV234" s="307"/>
      <c r="BW234" s="307"/>
      <c r="BX234" s="307"/>
      <c r="BY234" s="307"/>
      <c r="BZ234" s="307"/>
      <c r="CA234" s="307"/>
      <c r="CB234" s="307"/>
      <c r="CC234" s="307"/>
      <c r="CD234" s="307"/>
      <c r="CE234" s="307"/>
      <c r="CF234" s="307"/>
      <c r="CG234" s="307"/>
      <c r="CH234" s="307"/>
      <c r="CI234" s="307"/>
      <c r="CJ234" s="307"/>
      <c r="CK234" s="307"/>
      <c r="CL234" s="307"/>
      <c r="CM234" s="307"/>
      <c r="CN234" s="307"/>
      <c r="CO234" s="307"/>
      <c r="CP234" s="307"/>
      <c r="CQ234" s="307"/>
      <c r="CR234" s="307"/>
      <c r="CS234" s="307"/>
      <c r="CT234" s="307"/>
      <c r="CU234" s="307"/>
      <c r="CV234" s="307"/>
      <c r="CW234" s="307"/>
      <c r="CX234" s="307"/>
      <c r="CY234" s="307"/>
      <c r="CZ234" s="307"/>
      <c r="DA234" s="307"/>
      <c r="DB234" s="307"/>
      <c r="DC234" s="307"/>
      <c r="DD234" s="307"/>
      <c r="DE234" s="307"/>
      <c r="DF234" s="307"/>
      <c r="DG234" s="307"/>
      <c r="DH234" s="307"/>
      <c r="DI234" s="307"/>
      <c r="DJ234" s="307"/>
      <c r="DK234" s="307"/>
      <c r="DL234" s="307"/>
      <c r="DM234" s="307"/>
      <c r="DN234" s="307"/>
      <c r="DO234" s="307"/>
      <c r="DP234" s="307"/>
      <c r="DQ234" s="307"/>
      <c r="DR234" s="307"/>
      <c r="DS234" s="307"/>
      <c r="DT234" s="307"/>
      <c r="DU234" s="307"/>
      <c r="DV234" s="307"/>
      <c r="DW234" s="307"/>
      <c r="DX234" s="307"/>
      <c r="DY234" s="307"/>
      <c r="DZ234" s="307"/>
      <c r="EA234" s="307"/>
      <c r="EB234" s="307"/>
      <c r="EC234" s="307"/>
      <c r="ED234" s="307"/>
      <c r="EE234" s="307"/>
      <c r="EF234" s="307"/>
      <c r="EG234" s="307"/>
      <c r="EH234" s="307"/>
      <c r="EI234" s="307"/>
      <c r="EJ234" s="307"/>
      <c r="EK234" s="307"/>
      <c r="EL234" s="307"/>
      <c r="EM234" s="307"/>
      <c r="EN234" s="307"/>
      <c r="EO234" s="307"/>
      <c r="EP234" s="307"/>
      <c r="EQ234" s="307"/>
      <c r="ER234" s="307"/>
      <c r="ES234" s="307"/>
      <c r="ET234" s="307"/>
      <c r="EU234" s="307"/>
      <c r="EV234" s="307"/>
      <c r="EW234" s="307"/>
      <c r="EX234" s="307"/>
      <c r="EY234" s="307"/>
      <c r="EZ234" s="307"/>
      <c r="FA234" s="307"/>
      <c r="FB234" s="307"/>
      <c r="FC234" s="307"/>
      <c r="FD234" s="307"/>
      <c r="FE234" s="307"/>
      <c r="FF234" s="307"/>
      <c r="FG234" s="307"/>
      <c r="FH234" s="307"/>
      <c r="FI234" s="307"/>
      <c r="FJ234" s="307"/>
      <c r="FK234" s="307"/>
      <c r="FL234" s="307"/>
      <c r="FM234" s="307"/>
      <c r="FN234" s="307"/>
      <c r="FO234" s="307"/>
      <c r="FP234" s="307"/>
      <c r="FQ234" s="307"/>
      <c r="FR234" s="307"/>
      <c r="FS234" s="307"/>
      <c r="FT234" s="307"/>
      <c r="FU234" s="307"/>
      <c r="FV234" s="307"/>
      <c r="FW234" s="307"/>
      <c r="FX234" s="307"/>
      <c r="FY234" s="307"/>
      <c r="FZ234" s="307"/>
      <c r="GA234" s="307"/>
      <c r="GB234" s="307"/>
      <c r="GC234" s="307"/>
      <c r="GD234" s="307"/>
      <c r="GE234" s="307"/>
      <c r="GF234" s="307"/>
      <c r="GG234" s="307"/>
      <c r="GH234" s="307"/>
      <c r="GI234" s="307"/>
      <c r="GJ234" s="307"/>
      <c r="GK234" s="307"/>
      <c r="GL234" s="307"/>
      <c r="GM234" s="307"/>
      <c r="GN234" s="307"/>
      <c r="GO234" s="307"/>
      <c r="GP234" s="307"/>
      <c r="GQ234" s="307"/>
      <c r="GR234" s="307"/>
      <c r="GS234" s="307"/>
      <c r="GT234" s="307"/>
      <c r="GU234" s="307"/>
      <c r="GV234" s="307"/>
      <c r="GW234" s="307"/>
      <c r="GX234" s="307"/>
      <c r="GY234" s="307"/>
      <c r="GZ234" s="307"/>
    </row>
    <row r="235" spans="1:208" ht="15">
      <c r="A235" s="304">
        <v>51</v>
      </c>
      <c r="B235" s="328">
        <v>44915</v>
      </c>
      <c r="C235" s="329">
        <v>1116503</v>
      </c>
      <c r="D235" s="304" t="s">
        <v>4541</v>
      </c>
      <c r="E235" s="329" t="s">
        <v>4542</v>
      </c>
      <c r="F235" s="329" t="s">
        <v>4275</v>
      </c>
      <c r="G235" s="353">
        <v>3116</v>
      </c>
      <c r="H235" s="329">
        <v>42</v>
      </c>
      <c r="I235" s="304">
        <v>4502473269</v>
      </c>
      <c r="J235" s="329">
        <v>3025459</v>
      </c>
      <c r="K235" s="304">
        <v>4902408533</v>
      </c>
      <c r="L235" s="304" t="s">
        <v>4252</v>
      </c>
      <c r="M235" s="309">
        <v>21314</v>
      </c>
      <c r="N235" s="329">
        <v>8650</v>
      </c>
      <c r="O235" s="306">
        <f t="shared" si="24"/>
        <v>184366100</v>
      </c>
      <c r="P235" s="304">
        <f t="shared" si="35"/>
        <v>3</v>
      </c>
      <c r="Q235" s="371" t="s">
        <v>3429</v>
      </c>
      <c r="R235" s="304">
        <v>1070641</v>
      </c>
      <c r="S235" s="337">
        <v>1498680</v>
      </c>
      <c r="T235" s="307"/>
      <c r="U235" s="307"/>
      <c r="V235" s="307"/>
      <c r="W235" s="307"/>
      <c r="X235" s="307"/>
      <c r="Y235" s="307"/>
      <c r="Z235" s="307"/>
      <c r="AA235" s="307"/>
      <c r="AB235" s="307"/>
      <c r="AC235" s="307"/>
      <c r="AD235" s="307"/>
      <c r="AE235" s="307"/>
      <c r="AF235" s="307"/>
      <c r="AG235" s="307"/>
      <c r="AH235" s="307"/>
      <c r="AI235" s="307"/>
      <c r="AJ235" s="307"/>
      <c r="AK235" s="307"/>
      <c r="AL235" s="307"/>
      <c r="AM235" s="307"/>
      <c r="AN235" s="307"/>
      <c r="AO235" s="307"/>
      <c r="AP235" s="307"/>
      <c r="AQ235" s="307"/>
      <c r="AR235" s="307"/>
      <c r="AS235" s="307"/>
      <c r="AT235" s="307"/>
      <c r="AU235" s="307"/>
      <c r="AV235" s="307"/>
      <c r="AW235" s="307"/>
      <c r="AX235" s="307"/>
      <c r="AY235" s="307"/>
      <c r="AZ235" s="307"/>
      <c r="BA235" s="307"/>
      <c r="BB235" s="307"/>
      <c r="BC235" s="307"/>
      <c r="BD235" s="307"/>
      <c r="BE235" s="307"/>
      <c r="BF235" s="307"/>
      <c r="BG235" s="307"/>
      <c r="BH235" s="307"/>
      <c r="BI235" s="307"/>
      <c r="BJ235" s="307"/>
      <c r="BK235" s="307"/>
      <c r="BL235" s="307"/>
      <c r="BM235" s="307"/>
      <c r="BN235" s="307"/>
      <c r="BO235" s="307"/>
      <c r="BP235" s="307"/>
      <c r="BQ235" s="307"/>
      <c r="BR235" s="307"/>
      <c r="BS235" s="307"/>
      <c r="BT235" s="307"/>
      <c r="BU235" s="307"/>
      <c r="BV235" s="307"/>
      <c r="BW235" s="307"/>
      <c r="BX235" s="307"/>
      <c r="BY235" s="307"/>
      <c r="BZ235" s="307"/>
      <c r="CA235" s="307"/>
      <c r="CB235" s="307"/>
      <c r="CC235" s="307"/>
      <c r="CD235" s="307"/>
      <c r="CE235" s="307"/>
      <c r="CF235" s="307"/>
      <c r="CG235" s="307"/>
      <c r="CH235" s="307"/>
      <c r="CI235" s="307"/>
      <c r="CJ235" s="307"/>
      <c r="CK235" s="307"/>
      <c r="CL235" s="307"/>
      <c r="CM235" s="307"/>
      <c r="CN235" s="307"/>
      <c r="CO235" s="307"/>
      <c r="CP235" s="307"/>
      <c r="CQ235" s="307"/>
      <c r="CR235" s="307"/>
      <c r="CS235" s="307"/>
      <c r="CT235" s="307"/>
      <c r="CU235" s="307"/>
      <c r="CV235" s="307"/>
      <c r="CW235" s="307"/>
      <c r="CX235" s="307"/>
      <c r="CY235" s="307"/>
      <c r="CZ235" s="307"/>
      <c r="DA235" s="307"/>
      <c r="DB235" s="307"/>
      <c r="DC235" s="307"/>
      <c r="DD235" s="307"/>
      <c r="DE235" s="307"/>
      <c r="DF235" s="307"/>
      <c r="DG235" s="307"/>
      <c r="DH235" s="307"/>
      <c r="DI235" s="307"/>
      <c r="DJ235" s="307"/>
      <c r="DK235" s="307"/>
      <c r="DL235" s="307"/>
      <c r="DM235" s="307"/>
      <c r="DN235" s="307"/>
      <c r="DO235" s="307"/>
      <c r="DP235" s="307"/>
      <c r="DQ235" s="307"/>
      <c r="DR235" s="307"/>
      <c r="DS235" s="307"/>
      <c r="DT235" s="307"/>
      <c r="DU235" s="307"/>
      <c r="DV235" s="307"/>
      <c r="DW235" s="307"/>
      <c r="DX235" s="307"/>
      <c r="DY235" s="307"/>
      <c r="DZ235" s="307"/>
      <c r="EA235" s="307"/>
      <c r="EB235" s="307"/>
      <c r="EC235" s="307"/>
      <c r="ED235" s="307"/>
      <c r="EE235" s="307"/>
      <c r="EF235" s="307"/>
      <c r="EG235" s="307"/>
      <c r="EH235" s="307"/>
      <c r="EI235" s="307"/>
      <c r="EJ235" s="307"/>
      <c r="EK235" s="307"/>
      <c r="EL235" s="307"/>
      <c r="EM235" s="307"/>
      <c r="EN235" s="307"/>
      <c r="EO235" s="307"/>
      <c r="EP235" s="307"/>
      <c r="EQ235" s="307"/>
      <c r="ER235" s="307"/>
      <c r="ES235" s="307"/>
      <c r="ET235" s="307"/>
      <c r="EU235" s="307"/>
      <c r="EV235" s="307"/>
      <c r="EW235" s="307"/>
      <c r="EX235" s="307"/>
      <c r="EY235" s="307"/>
      <c r="EZ235" s="307"/>
      <c r="FA235" s="307"/>
      <c r="FB235" s="307"/>
      <c r="FC235" s="307"/>
      <c r="FD235" s="307"/>
      <c r="FE235" s="307"/>
      <c r="FF235" s="307"/>
      <c r="FG235" s="307"/>
      <c r="FH235" s="307"/>
      <c r="FI235" s="307"/>
      <c r="FJ235" s="307"/>
      <c r="FK235" s="307"/>
      <c r="FL235" s="307"/>
      <c r="FM235" s="307"/>
      <c r="FN235" s="307"/>
      <c r="FO235" s="307"/>
      <c r="FP235" s="307"/>
      <c r="FQ235" s="307"/>
      <c r="FR235" s="307"/>
      <c r="FS235" s="307"/>
      <c r="FT235" s="307"/>
      <c r="FU235" s="307"/>
      <c r="FV235" s="307"/>
      <c r="FW235" s="307"/>
      <c r="FX235" s="307"/>
      <c r="FY235" s="307"/>
      <c r="FZ235" s="307"/>
      <c r="GA235" s="307"/>
      <c r="GB235" s="307"/>
      <c r="GC235" s="307"/>
      <c r="GD235" s="307"/>
      <c r="GE235" s="307"/>
      <c r="GF235" s="307"/>
      <c r="GG235" s="307"/>
      <c r="GH235" s="307"/>
      <c r="GI235" s="307"/>
      <c r="GJ235" s="307"/>
      <c r="GK235" s="307"/>
      <c r="GL235" s="307"/>
      <c r="GM235" s="307"/>
      <c r="GN235" s="307"/>
      <c r="GO235" s="307"/>
      <c r="GP235" s="307"/>
      <c r="GQ235" s="307"/>
      <c r="GR235" s="307"/>
      <c r="GS235" s="307"/>
      <c r="GT235" s="307"/>
      <c r="GU235" s="307"/>
      <c r="GV235" s="307"/>
      <c r="GW235" s="307"/>
      <c r="GX235" s="307"/>
      <c r="GY235" s="307"/>
      <c r="GZ235" s="307"/>
    </row>
    <row r="236" spans="1:208" ht="15">
      <c r="A236" s="304">
        <v>51</v>
      </c>
      <c r="B236" s="328">
        <v>44915</v>
      </c>
      <c r="C236" s="329">
        <v>1102323</v>
      </c>
      <c r="D236" s="304" t="s">
        <v>4543</v>
      </c>
      <c r="E236" s="329" t="s">
        <v>4330</v>
      </c>
      <c r="F236" s="329" t="s">
        <v>4275</v>
      </c>
      <c r="G236" s="353">
        <v>3199</v>
      </c>
      <c r="H236" s="329">
        <v>42</v>
      </c>
      <c r="I236" s="304">
        <v>4502473272</v>
      </c>
      <c r="J236" s="329">
        <v>3025459</v>
      </c>
      <c r="K236" s="304">
        <v>4902408535</v>
      </c>
      <c r="L236" s="304" t="s">
        <v>4252</v>
      </c>
      <c r="M236" s="309">
        <v>20831</v>
      </c>
      <c r="N236" s="329">
        <v>8300</v>
      </c>
      <c r="O236" s="306">
        <f t="shared" si="24"/>
        <v>172897300</v>
      </c>
      <c r="P236" s="304">
        <f t="shared" si="35"/>
        <v>3</v>
      </c>
      <c r="Q236" s="374" t="s">
        <v>3455</v>
      </c>
      <c r="R236" s="304">
        <v>1040968</v>
      </c>
      <c r="S236" s="330">
        <f>2982600*3</f>
        <v>8947800</v>
      </c>
      <c r="T236" s="307"/>
      <c r="U236" s="307"/>
      <c r="V236" s="307"/>
      <c r="W236" s="307"/>
      <c r="X236" s="307"/>
      <c r="Y236" s="307"/>
      <c r="Z236" s="307"/>
      <c r="AA236" s="307"/>
      <c r="AB236" s="307"/>
      <c r="AC236" s="307"/>
      <c r="AD236" s="307"/>
      <c r="AE236" s="307"/>
      <c r="AF236" s="307"/>
      <c r="AG236" s="307"/>
      <c r="AH236" s="307"/>
      <c r="AI236" s="307"/>
      <c r="AJ236" s="307"/>
      <c r="AK236" s="307"/>
      <c r="AL236" s="307"/>
      <c r="AM236" s="307"/>
      <c r="AN236" s="307"/>
      <c r="AO236" s="307"/>
      <c r="AP236" s="307"/>
      <c r="AQ236" s="307"/>
      <c r="AR236" s="307"/>
      <c r="AS236" s="307"/>
      <c r="AT236" s="307"/>
      <c r="AU236" s="307"/>
      <c r="AV236" s="307"/>
      <c r="AW236" s="307"/>
      <c r="AX236" s="307"/>
      <c r="AY236" s="307"/>
      <c r="AZ236" s="307"/>
      <c r="BA236" s="307"/>
      <c r="BB236" s="307"/>
      <c r="BC236" s="307"/>
      <c r="BD236" s="307"/>
      <c r="BE236" s="307"/>
      <c r="BF236" s="307"/>
      <c r="BG236" s="307"/>
      <c r="BH236" s="307"/>
      <c r="BI236" s="307"/>
      <c r="BJ236" s="307"/>
      <c r="BK236" s="307"/>
      <c r="BL236" s="307"/>
      <c r="BM236" s="307"/>
      <c r="BN236" s="307"/>
      <c r="BO236" s="307"/>
      <c r="BP236" s="307"/>
      <c r="BQ236" s="307"/>
      <c r="BR236" s="307"/>
      <c r="BS236" s="307"/>
      <c r="BT236" s="307"/>
      <c r="BU236" s="307"/>
      <c r="BV236" s="307"/>
      <c r="BW236" s="307"/>
      <c r="BX236" s="307"/>
      <c r="BY236" s="307"/>
      <c r="BZ236" s="307"/>
      <c r="CA236" s="307"/>
      <c r="CB236" s="307"/>
      <c r="CC236" s="307"/>
      <c r="CD236" s="307"/>
      <c r="CE236" s="307"/>
      <c r="CF236" s="307"/>
      <c r="CG236" s="307"/>
      <c r="CH236" s="307"/>
      <c r="CI236" s="307"/>
      <c r="CJ236" s="307"/>
      <c r="CK236" s="307"/>
      <c r="CL236" s="307"/>
      <c r="CM236" s="307"/>
      <c r="CN236" s="307"/>
      <c r="CO236" s="307"/>
      <c r="CP236" s="307"/>
      <c r="CQ236" s="307"/>
      <c r="CR236" s="307"/>
      <c r="CS236" s="307"/>
      <c r="CT236" s="307"/>
      <c r="CU236" s="307"/>
      <c r="CV236" s="307"/>
      <c r="CW236" s="307"/>
      <c r="CX236" s="307"/>
      <c r="CY236" s="307"/>
      <c r="CZ236" s="307"/>
      <c r="DA236" s="307"/>
      <c r="DB236" s="307"/>
      <c r="DC236" s="307"/>
      <c r="DD236" s="307"/>
      <c r="DE236" s="307"/>
      <c r="DF236" s="307"/>
      <c r="DG236" s="307"/>
      <c r="DH236" s="307"/>
      <c r="DI236" s="307"/>
      <c r="DJ236" s="307"/>
      <c r="DK236" s="307"/>
      <c r="DL236" s="307"/>
      <c r="DM236" s="307"/>
      <c r="DN236" s="307"/>
      <c r="DO236" s="307"/>
      <c r="DP236" s="307"/>
      <c r="DQ236" s="307"/>
      <c r="DR236" s="307"/>
      <c r="DS236" s="307"/>
      <c r="DT236" s="307"/>
      <c r="DU236" s="307"/>
      <c r="DV236" s="307"/>
      <c r="DW236" s="307"/>
      <c r="DX236" s="307"/>
      <c r="DY236" s="307"/>
      <c r="DZ236" s="307"/>
      <c r="EA236" s="307"/>
      <c r="EB236" s="307"/>
      <c r="EC236" s="307"/>
      <c r="ED236" s="307"/>
      <c r="EE236" s="307"/>
      <c r="EF236" s="307"/>
      <c r="EG236" s="307"/>
      <c r="EH236" s="307"/>
      <c r="EI236" s="307"/>
      <c r="EJ236" s="307"/>
      <c r="EK236" s="307"/>
      <c r="EL236" s="307"/>
      <c r="EM236" s="307"/>
      <c r="EN236" s="307"/>
      <c r="EO236" s="307"/>
      <c r="EP236" s="307"/>
      <c r="EQ236" s="307"/>
      <c r="ER236" s="307"/>
      <c r="ES236" s="307"/>
      <c r="ET236" s="307"/>
      <c r="EU236" s="307"/>
      <c r="EV236" s="307"/>
      <c r="EW236" s="307"/>
      <c r="EX236" s="307"/>
      <c r="EY236" s="307"/>
      <c r="EZ236" s="307"/>
      <c r="FA236" s="307"/>
      <c r="FB236" s="307"/>
      <c r="FC236" s="307"/>
      <c r="FD236" s="307"/>
      <c r="FE236" s="307"/>
      <c r="FF236" s="307"/>
      <c r="FG236" s="307"/>
      <c r="FH236" s="307"/>
      <c r="FI236" s="307"/>
      <c r="FJ236" s="307"/>
      <c r="FK236" s="307"/>
      <c r="FL236" s="307"/>
      <c r="FM236" s="307"/>
      <c r="FN236" s="307"/>
      <c r="FO236" s="307"/>
      <c r="FP236" s="307"/>
      <c r="FQ236" s="307"/>
      <c r="FR236" s="307"/>
      <c r="FS236" s="307"/>
      <c r="FT236" s="307"/>
      <c r="FU236" s="307"/>
      <c r="FV236" s="307"/>
      <c r="FW236" s="307"/>
      <c r="FX236" s="307"/>
      <c r="FY236" s="307"/>
      <c r="FZ236" s="307"/>
      <c r="GA236" s="307"/>
      <c r="GB236" s="307"/>
      <c r="GC236" s="307"/>
      <c r="GD236" s="307"/>
      <c r="GE236" s="307"/>
      <c r="GF236" s="307"/>
      <c r="GG236" s="307"/>
      <c r="GH236" s="307"/>
      <c r="GI236" s="307"/>
      <c r="GJ236" s="307"/>
      <c r="GK236" s="307"/>
      <c r="GL236" s="307"/>
      <c r="GM236" s="307"/>
      <c r="GN236" s="307"/>
      <c r="GO236" s="307"/>
      <c r="GP236" s="307"/>
      <c r="GQ236" s="307"/>
      <c r="GR236" s="307"/>
      <c r="GS236" s="307"/>
      <c r="GT236" s="307"/>
      <c r="GU236" s="307"/>
      <c r="GV236" s="307"/>
      <c r="GW236" s="307"/>
      <c r="GX236" s="307"/>
      <c r="GY236" s="307"/>
      <c r="GZ236" s="307"/>
    </row>
    <row r="237" spans="1:208" ht="15">
      <c r="A237" s="282">
        <v>52</v>
      </c>
      <c r="B237" s="332">
        <v>44917</v>
      </c>
      <c r="C237" s="333">
        <v>1106186</v>
      </c>
      <c r="D237" s="282" t="s">
        <v>4544</v>
      </c>
      <c r="E237" s="333" t="s">
        <v>4533</v>
      </c>
      <c r="F237" s="333" t="s">
        <v>4251</v>
      </c>
      <c r="G237" s="333">
        <v>3115</v>
      </c>
      <c r="H237" s="333">
        <v>42</v>
      </c>
      <c r="I237" s="282">
        <v>4502476745</v>
      </c>
      <c r="J237" s="333">
        <v>3025457</v>
      </c>
      <c r="K237" s="282">
        <v>4902413309</v>
      </c>
      <c r="L237" s="282" t="s">
        <v>4252</v>
      </c>
      <c r="M237" s="283">
        <v>22591</v>
      </c>
      <c r="N237" s="333">
        <v>8350</v>
      </c>
      <c r="O237" s="284">
        <f t="shared" si="24"/>
        <v>188634850</v>
      </c>
      <c r="P237" s="285">
        <f t="shared" si="35"/>
        <v>3</v>
      </c>
      <c r="Q237" s="321" t="s">
        <v>3455</v>
      </c>
      <c r="R237" s="282">
        <v>1040968</v>
      </c>
      <c r="S237" s="334">
        <f>2979200*3</f>
        <v>8937600</v>
      </c>
      <c r="T237" s="285"/>
      <c r="U237" s="285"/>
      <c r="V237" s="285"/>
      <c r="W237" s="285"/>
      <c r="X237" s="285"/>
      <c r="Y237" s="285"/>
      <c r="Z237" s="285"/>
      <c r="AA237" s="285"/>
      <c r="AB237" s="285"/>
      <c r="AC237" s="285"/>
      <c r="AD237" s="285"/>
      <c r="AE237" s="285"/>
      <c r="AF237" s="285"/>
      <c r="AG237" s="285"/>
      <c r="AH237" s="285"/>
      <c r="AI237" s="285"/>
      <c r="AJ237" s="285"/>
      <c r="AK237" s="285"/>
      <c r="AL237" s="285"/>
      <c r="AM237" s="285"/>
      <c r="AN237" s="285"/>
      <c r="AO237" s="285"/>
      <c r="AP237" s="285"/>
      <c r="AQ237" s="285"/>
      <c r="AR237" s="285"/>
      <c r="AS237" s="285"/>
      <c r="AT237" s="285"/>
      <c r="AU237" s="285"/>
      <c r="AV237" s="285"/>
      <c r="AW237" s="285"/>
      <c r="AX237" s="285"/>
      <c r="AY237" s="285"/>
      <c r="AZ237" s="285"/>
      <c r="BA237" s="285"/>
      <c r="BB237" s="285"/>
      <c r="BC237" s="285"/>
      <c r="BD237" s="285"/>
      <c r="BE237" s="285"/>
      <c r="BF237" s="285"/>
      <c r="BG237" s="285"/>
      <c r="BH237" s="285"/>
      <c r="BI237" s="285"/>
      <c r="BJ237" s="285"/>
      <c r="BK237" s="285"/>
      <c r="BL237" s="285"/>
      <c r="BM237" s="285"/>
      <c r="BN237" s="285"/>
      <c r="BO237" s="285"/>
      <c r="BP237" s="285"/>
      <c r="BQ237" s="285"/>
      <c r="BR237" s="285"/>
      <c r="BS237" s="285"/>
      <c r="BT237" s="285"/>
      <c r="BU237" s="285"/>
      <c r="BV237" s="285"/>
      <c r="BW237" s="285"/>
      <c r="BX237" s="285"/>
      <c r="BY237" s="285"/>
      <c r="BZ237" s="285"/>
      <c r="CA237" s="285"/>
      <c r="CB237" s="285"/>
      <c r="CC237" s="285"/>
      <c r="CD237" s="285"/>
      <c r="CE237" s="285"/>
      <c r="CF237" s="285"/>
      <c r="CG237" s="285"/>
      <c r="CH237" s="285"/>
      <c r="CI237" s="285"/>
      <c r="CJ237" s="285"/>
      <c r="CK237" s="285"/>
      <c r="CL237" s="285"/>
      <c r="CM237" s="285"/>
      <c r="CN237" s="285"/>
      <c r="CO237" s="285"/>
      <c r="CP237" s="285"/>
      <c r="CQ237" s="285"/>
      <c r="CR237" s="285"/>
      <c r="CS237" s="285"/>
      <c r="CT237" s="285"/>
      <c r="CU237" s="285"/>
      <c r="CV237" s="285"/>
      <c r="CW237" s="285"/>
      <c r="CX237" s="285"/>
      <c r="CY237" s="285"/>
      <c r="CZ237" s="285"/>
      <c r="DA237" s="285"/>
      <c r="DB237" s="285"/>
      <c r="DC237" s="285"/>
      <c r="DD237" s="285"/>
      <c r="DE237" s="285"/>
      <c r="DF237" s="285"/>
      <c r="DG237" s="285"/>
      <c r="DH237" s="285"/>
      <c r="DI237" s="285"/>
      <c r="DJ237" s="285"/>
      <c r="DK237" s="285"/>
      <c r="DL237" s="285"/>
      <c r="DM237" s="285"/>
      <c r="DN237" s="285"/>
      <c r="DO237" s="285"/>
      <c r="DP237" s="285"/>
      <c r="DQ237" s="285"/>
      <c r="DR237" s="285"/>
      <c r="DS237" s="285"/>
      <c r="DT237" s="285"/>
      <c r="DU237" s="285"/>
      <c r="DV237" s="285"/>
      <c r="DW237" s="285"/>
      <c r="DX237" s="285"/>
      <c r="DY237" s="285"/>
      <c r="DZ237" s="285"/>
      <c r="EA237" s="285"/>
      <c r="EB237" s="285"/>
      <c r="EC237" s="285"/>
      <c r="ED237" s="285"/>
      <c r="EE237" s="285"/>
      <c r="EF237" s="285"/>
      <c r="EG237" s="285"/>
      <c r="EH237" s="285"/>
      <c r="EI237" s="285"/>
      <c r="EJ237" s="285"/>
      <c r="EK237" s="285"/>
      <c r="EL237" s="285"/>
      <c r="EM237" s="285"/>
      <c r="EN237" s="285"/>
      <c r="EO237" s="285"/>
      <c r="EP237" s="285"/>
      <c r="EQ237" s="285"/>
      <c r="ER237" s="285"/>
      <c r="ES237" s="285"/>
      <c r="ET237" s="285"/>
      <c r="EU237" s="285"/>
      <c r="EV237" s="285"/>
      <c r="EW237" s="285"/>
      <c r="EX237" s="285"/>
      <c r="EY237" s="285"/>
      <c r="EZ237" s="285"/>
      <c r="FA237" s="285"/>
      <c r="FB237" s="285"/>
      <c r="FC237" s="285"/>
      <c r="FD237" s="285"/>
      <c r="FE237" s="285"/>
      <c r="FF237" s="285"/>
      <c r="FG237" s="285"/>
      <c r="FH237" s="285"/>
      <c r="FI237" s="285"/>
      <c r="FJ237" s="285"/>
      <c r="FK237" s="285"/>
      <c r="FL237" s="285"/>
      <c r="FM237" s="285"/>
      <c r="FN237" s="285"/>
      <c r="FO237" s="285"/>
      <c r="FP237" s="285"/>
      <c r="FQ237" s="285"/>
      <c r="FR237" s="285"/>
      <c r="FS237" s="285"/>
      <c r="FT237" s="285"/>
      <c r="FU237" s="285"/>
      <c r="FV237" s="285"/>
      <c r="FW237" s="285"/>
      <c r="FX237" s="285"/>
      <c r="FY237" s="285"/>
      <c r="FZ237" s="285"/>
      <c r="GA237" s="285"/>
      <c r="GB237" s="285"/>
      <c r="GC237" s="285"/>
      <c r="GD237" s="285"/>
      <c r="GE237" s="285"/>
      <c r="GF237" s="285"/>
      <c r="GG237" s="285"/>
      <c r="GH237" s="285"/>
      <c r="GI237" s="285"/>
      <c r="GJ237" s="285"/>
      <c r="GK237" s="285"/>
      <c r="GL237" s="285"/>
      <c r="GM237" s="285"/>
      <c r="GN237" s="285"/>
      <c r="GO237" s="285"/>
      <c r="GP237" s="285"/>
      <c r="GQ237" s="285"/>
      <c r="GR237" s="285"/>
      <c r="GS237" s="285"/>
      <c r="GT237" s="285"/>
      <c r="GU237" s="285"/>
      <c r="GV237" s="285"/>
      <c r="GW237" s="285"/>
      <c r="GX237" s="285"/>
      <c r="GY237" s="285"/>
      <c r="GZ237" s="285"/>
    </row>
    <row r="238" spans="1:208" ht="15">
      <c r="A238" s="282">
        <v>52</v>
      </c>
      <c r="B238" s="332">
        <v>44918</v>
      </c>
      <c r="C238" s="333">
        <v>1053331</v>
      </c>
      <c r="D238" s="282" t="s">
        <v>4545</v>
      </c>
      <c r="E238" s="333" t="s">
        <v>4416</v>
      </c>
      <c r="F238" s="333" t="s">
        <v>4251</v>
      </c>
      <c r="G238" s="333">
        <v>3178</v>
      </c>
      <c r="H238" s="333">
        <v>84</v>
      </c>
      <c r="I238" s="282">
        <v>4502476751</v>
      </c>
      <c r="J238" s="333">
        <v>3025457</v>
      </c>
      <c r="K238" s="282">
        <v>4902413312</v>
      </c>
      <c r="L238" s="282" t="s">
        <v>4252</v>
      </c>
      <c r="M238" s="283">
        <v>39728</v>
      </c>
      <c r="N238" s="333">
        <v>8500</v>
      </c>
      <c r="O238" s="284">
        <f t="shared" si="24"/>
        <v>337688000</v>
      </c>
      <c r="P238" s="285">
        <f t="shared" si="35"/>
        <v>6</v>
      </c>
      <c r="Q238" s="321" t="s">
        <v>3455</v>
      </c>
      <c r="R238" s="282">
        <v>1040968</v>
      </c>
      <c r="S238" s="342">
        <v>5363900</v>
      </c>
      <c r="T238" s="285"/>
      <c r="U238" s="285"/>
      <c r="V238" s="285"/>
      <c r="W238" s="285"/>
      <c r="X238" s="285"/>
      <c r="Y238" s="285"/>
      <c r="Z238" s="285"/>
      <c r="AA238" s="285"/>
      <c r="AB238" s="285"/>
      <c r="AC238" s="285"/>
      <c r="AD238" s="285"/>
      <c r="AE238" s="285"/>
      <c r="AF238" s="285"/>
      <c r="AG238" s="285"/>
      <c r="AH238" s="285"/>
      <c r="AI238" s="285"/>
      <c r="AJ238" s="285"/>
      <c r="AK238" s="285"/>
      <c r="AL238" s="285"/>
      <c r="AM238" s="285"/>
      <c r="AN238" s="285"/>
      <c r="AO238" s="285"/>
      <c r="AP238" s="285"/>
      <c r="AQ238" s="285"/>
      <c r="AR238" s="285"/>
      <c r="AS238" s="285"/>
      <c r="AT238" s="285"/>
      <c r="AU238" s="285"/>
      <c r="AV238" s="285"/>
      <c r="AW238" s="285"/>
      <c r="AX238" s="285"/>
      <c r="AY238" s="285"/>
      <c r="AZ238" s="285"/>
      <c r="BA238" s="285"/>
      <c r="BB238" s="285"/>
      <c r="BC238" s="285"/>
      <c r="BD238" s="285"/>
      <c r="BE238" s="285"/>
      <c r="BF238" s="285"/>
      <c r="BG238" s="285"/>
      <c r="BH238" s="285"/>
      <c r="BI238" s="285"/>
      <c r="BJ238" s="285"/>
      <c r="BK238" s="285"/>
      <c r="BL238" s="285"/>
      <c r="BM238" s="285"/>
      <c r="BN238" s="285"/>
      <c r="BO238" s="285"/>
      <c r="BP238" s="285"/>
      <c r="BQ238" s="285"/>
      <c r="BR238" s="285"/>
      <c r="BS238" s="285"/>
      <c r="BT238" s="285"/>
      <c r="BU238" s="285"/>
      <c r="BV238" s="285"/>
      <c r="BW238" s="285"/>
      <c r="BX238" s="285"/>
      <c r="BY238" s="285"/>
      <c r="BZ238" s="285"/>
      <c r="CA238" s="285"/>
      <c r="CB238" s="285"/>
      <c r="CC238" s="285"/>
      <c r="CD238" s="285"/>
      <c r="CE238" s="285"/>
      <c r="CF238" s="285"/>
      <c r="CG238" s="285"/>
      <c r="CH238" s="285"/>
      <c r="CI238" s="285"/>
      <c r="CJ238" s="285"/>
      <c r="CK238" s="285"/>
      <c r="CL238" s="285"/>
      <c r="CM238" s="285"/>
      <c r="CN238" s="285"/>
      <c r="CO238" s="285"/>
      <c r="CP238" s="285"/>
      <c r="CQ238" s="285"/>
      <c r="CR238" s="285"/>
      <c r="CS238" s="285"/>
      <c r="CT238" s="285"/>
      <c r="CU238" s="285"/>
      <c r="CV238" s="285"/>
      <c r="CW238" s="285"/>
      <c r="CX238" s="285"/>
      <c r="CY238" s="285"/>
      <c r="CZ238" s="285"/>
      <c r="DA238" s="285"/>
      <c r="DB238" s="285"/>
      <c r="DC238" s="285"/>
      <c r="DD238" s="285"/>
      <c r="DE238" s="285"/>
      <c r="DF238" s="285"/>
      <c r="DG238" s="285"/>
      <c r="DH238" s="285"/>
      <c r="DI238" s="285"/>
      <c r="DJ238" s="285"/>
      <c r="DK238" s="285"/>
      <c r="DL238" s="285"/>
      <c r="DM238" s="285"/>
      <c r="DN238" s="285"/>
      <c r="DO238" s="285"/>
      <c r="DP238" s="285"/>
      <c r="DQ238" s="285"/>
      <c r="DR238" s="285"/>
      <c r="DS238" s="285"/>
      <c r="DT238" s="285"/>
      <c r="DU238" s="285"/>
      <c r="DV238" s="285"/>
      <c r="DW238" s="285"/>
      <c r="DX238" s="285"/>
      <c r="DY238" s="285"/>
      <c r="DZ238" s="285"/>
      <c r="EA238" s="285"/>
      <c r="EB238" s="285"/>
      <c r="EC238" s="285"/>
      <c r="ED238" s="285"/>
      <c r="EE238" s="285"/>
      <c r="EF238" s="285"/>
      <c r="EG238" s="285"/>
      <c r="EH238" s="285"/>
      <c r="EI238" s="285"/>
      <c r="EJ238" s="285"/>
      <c r="EK238" s="285"/>
      <c r="EL238" s="285"/>
      <c r="EM238" s="285"/>
      <c r="EN238" s="285"/>
      <c r="EO238" s="285"/>
      <c r="EP238" s="285"/>
      <c r="EQ238" s="285"/>
      <c r="ER238" s="285"/>
      <c r="ES238" s="285"/>
      <c r="ET238" s="285"/>
      <c r="EU238" s="285"/>
      <c r="EV238" s="285"/>
      <c r="EW238" s="285"/>
      <c r="EX238" s="285"/>
      <c r="EY238" s="285"/>
      <c r="EZ238" s="285"/>
      <c r="FA238" s="285"/>
      <c r="FB238" s="285"/>
      <c r="FC238" s="285"/>
      <c r="FD238" s="285"/>
      <c r="FE238" s="285"/>
      <c r="FF238" s="285"/>
      <c r="FG238" s="285"/>
      <c r="FH238" s="285"/>
      <c r="FI238" s="285"/>
      <c r="FJ238" s="285"/>
      <c r="FK238" s="285"/>
      <c r="FL238" s="285"/>
      <c r="FM238" s="285"/>
      <c r="FN238" s="285"/>
      <c r="FO238" s="285"/>
      <c r="FP238" s="285"/>
      <c r="FQ238" s="285"/>
      <c r="FR238" s="285"/>
      <c r="FS238" s="285"/>
      <c r="FT238" s="285"/>
      <c r="FU238" s="285"/>
      <c r="FV238" s="285"/>
      <c r="FW238" s="285"/>
      <c r="FX238" s="285"/>
      <c r="FY238" s="285"/>
      <c r="FZ238" s="285"/>
      <c r="GA238" s="285"/>
      <c r="GB238" s="285"/>
      <c r="GC238" s="285"/>
      <c r="GD238" s="285"/>
      <c r="GE238" s="285"/>
      <c r="GF238" s="285"/>
      <c r="GG238" s="285"/>
      <c r="GH238" s="285"/>
      <c r="GI238" s="285"/>
      <c r="GJ238" s="285"/>
      <c r="GK238" s="285"/>
      <c r="GL238" s="285"/>
      <c r="GM238" s="285"/>
      <c r="GN238" s="285"/>
      <c r="GO238" s="285"/>
      <c r="GP238" s="285"/>
      <c r="GQ238" s="285"/>
      <c r="GR238" s="285"/>
      <c r="GS238" s="285"/>
      <c r="GT238" s="285"/>
      <c r="GU238" s="285"/>
      <c r="GV238" s="285"/>
      <c r="GW238" s="285"/>
      <c r="GX238" s="285"/>
      <c r="GY238" s="285"/>
      <c r="GZ238" s="285"/>
    </row>
    <row r="239" spans="1:208" ht="15">
      <c r="A239" s="282"/>
      <c r="B239" s="332"/>
      <c r="C239" s="333"/>
      <c r="D239" s="282"/>
      <c r="E239" s="333"/>
      <c r="F239" s="333"/>
      <c r="G239" s="333"/>
      <c r="H239" s="333"/>
      <c r="I239" s="285"/>
      <c r="J239" s="333"/>
      <c r="K239" s="282"/>
      <c r="L239" s="285"/>
      <c r="M239" s="296"/>
      <c r="N239" s="333"/>
      <c r="O239" s="284"/>
      <c r="P239" s="285"/>
      <c r="Q239" s="321" t="s">
        <v>4266</v>
      </c>
      <c r="R239" s="282">
        <v>1004892</v>
      </c>
      <c r="S239" s="351">
        <v>4792500</v>
      </c>
      <c r="T239" s="285"/>
      <c r="U239" s="285"/>
      <c r="V239" s="285"/>
      <c r="W239" s="285"/>
      <c r="X239" s="285"/>
      <c r="Y239" s="285"/>
      <c r="Z239" s="285"/>
      <c r="AA239" s="285"/>
      <c r="AB239" s="285"/>
      <c r="AC239" s="285"/>
      <c r="AD239" s="285"/>
      <c r="AE239" s="285"/>
      <c r="AF239" s="285"/>
      <c r="AG239" s="285"/>
      <c r="AH239" s="285"/>
      <c r="AI239" s="285"/>
      <c r="AJ239" s="285"/>
      <c r="AK239" s="285"/>
      <c r="AL239" s="285"/>
      <c r="AM239" s="285"/>
      <c r="AN239" s="285"/>
      <c r="AO239" s="285"/>
      <c r="AP239" s="285"/>
      <c r="AQ239" s="285"/>
      <c r="AR239" s="285"/>
      <c r="AS239" s="285"/>
      <c r="AT239" s="285"/>
      <c r="AU239" s="285"/>
      <c r="AV239" s="285"/>
      <c r="AW239" s="285"/>
      <c r="AX239" s="285"/>
      <c r="AY239" s="285"/>
      <c r="AZ239" s="285"/>
      <c r="BA239" s="285"/>
      <c r="BB239" s="285"/>
      <c r="BC239" s="285"/>
      <c r="BD239" s="285"/>
      <c r="BE239" s="285"/>
      <c r="BF239" s="285"/>
      <c r="BG239" s="285"/>
      <c r="BH239" s="285"/>
      <c r="BI239" s="285"/>
      <c r="BJ239" s="285"/>
      <c r="BK239" s="285"/>
      <c r="BL239" s="285"/>
      <c r="BM239" s="285"/>
      <c r="BN239" s="285"/>
      <c r="BO239" s="285"/>
      <c r="BP239" s="285"/>
      <c r="BQ239" s="285"/>
      <c r="BR239" s="285"/>
      <c r="BS239" s="285"/>
      <c r="BT239" s="285"/>
      <c r="BU239" s="285"/>
      <c r="BV239" s="285"/>
      <c r="BW239" s="285"/>
      <c r="BX239" s="285"/>
      <c r="BY239" s="285"/>
      <c r="BZ239" s="285"/>
      <c r="CA239" s="285"/>
      <c r="CB239" s="285"/>
      <c r="CC239" s="285"/>
      <c r="CD239" s="285"/>
      <c r="CE239" s="285"/>
      <c r="CF239" s="285"/>
      <c r="CG239" s="285"/>
      <c r="CH239" s="285"/>
      <c r="CI239" s="285"/>
      <c r="CJ239" s="285"/>
      <c r="CK239" s="285"/>
      <c r="CL239" s="285"/>
      <c r="CM239" s="285"/>
      <c r="CN239" s="285"/>
      <c r="CO239" s="285"/>
      <c r="CP239" s="285"/>
      <c r="CQ239" s="285"/>
      <c r="CR239" s="285"/>
      <c r="CS239" s="285"/>
      <c r="CT239" s="285"/>
      <c r="CU239" s="285"/>
      <c r="CV239" s="285"/>
      <c r="CW239" s="285"/>
      <c r="CX239" s="285"/>
      <c r="CY239" s="285"/>
      <c r="CZ239" s="285"/>
      <c r="DA239" s="285"/>
      <c r="DB239" s="285"/>
      <c r="DC239" s="285"/>
      <c r="DD239" s="285"/>
      <c r="DE239" s="285"/>
      <c r="DF239" s="285"/>
      <c r="DG239" s="285"/>
      <c r="DH239" s="285"/>
      <c r="DI239" s="285"/>
      <c r="DJ239" s="285"/>
      <c r="DK239" s="285"/>
      <c r="DL239" s="285"/>
      <c r="DM239" s="285"/>
      <c r="DN239" s="285"/>
      <c r="DO239" s="285"/>
      <c r="DP239" s="285"/>
      <c r="DQ239" s="285"/>
      <c r="DR239" s="285"/>
      <c r="DS239" s="285"/>
      <c r="DT239" s="285"/>
      <c r="DU239" s="285"/>
      <c r="DV239" s="285"/>
      <c r="DW239" s="285"/>
      <c r="DX239" s="285"/>
      <c r="DY239" s="285"/>
      <c r="DZ239" s="285"/>
      <c r="EA239" s="285"/>
      <c r="EB239" s="285"/>
      <c r="EC239" s="285"/>
      <c r="ED239" s="285"/>
      <c r="EE239" s="285"/>
      <c r="EF239" s="285"/>
      <c r="EG239" s="285"/>
      <c r="EH239" s="285"/>
      <c r="EI239" s="285"/>
      <c r="EJ239" s="285"/>
      <c r="EK239" s="285"/>
      <c r="EL239" s="285"/>
      <c r="EM239" s="285"/>
      <c r="EN239" s="285"/>
      <c r="EO239" s="285"/>
      <c r="EP239" s="285"/>
      <c r="EQ239" s="285"/>
      <c r="ER239" s="285"/>
      <c r="ES239" s="285"/>
      <c r="ET239" s="285"/>
      <c r="EU239" s="285"/>
      <c r="EV239" s="285"/>
      <c r="EW239" s="285"/>
      <c r="EX239" s="285"/>
      <c r="EY239" s="285"/>
      <c r="EZ239" s="285"/>
      <c r="FA239" s="285"/>
      <c r="FB239" s="285"/>
      <c r="FC239" s="285"/>
      <c r="FD239" s="285"/>
      <c r="FE239" s="285"/>
      <c r="FF239" s="285"/>
      <c r="FG239" s="285"/>
      <c r="FH239" s="285"/>
      <c r="FI239" s="285"/>
      <c r="FJ239" s="285"/>
      <c r="FK239" s="285"/>
      <c r="FL239" s="285"/>
      <c r="FM239" s="285"/>
      <c r="FN239" s="285"/>
      <c r="FO239" s="285"/>
      <c r="FP239" s="285"/>
      <c r="FQ239" s="285"/>
      <c r="FR239" s="285"/>
      <c r="FS239" s="285"/>
      <c r="FT239" s="285"/>
      <c r="FU239" s="285"/>
      <c r="FV239" s="285"/>
      <c r="FW239" s="285"/>
      <c r="FX239" s="285"/>
      <c r="FY239" s="285"/>
      <c r="FZ239" s="285"/>
      <c r="GA239" s="285"/>
      <c r="GB239" s="285"/>
      <c r="GC239" s="285"/>
      <c r="GD239" s="285"/>
      <c r="GE239" s="285"/>
      <c r="GF239" s="285"/>
      <c r="GG239" s="285"/>
      <c r="GH239" s="285"/>
      <c r="GI239" s="285"/>
      <c r="GJ239" s="285"/>
      <c r="GK239" s="285"/>
      <c r="GL239" s="285"/>
      <c r="GM239" s="285"/>
      <c r="GN239" s="285"/>
      <c r="GO239" s="285"/>
      <c r="GP239" s="285"/>
      <c r="GQ239" s="285"/>
      <c r="GR239" s="285"/>
      <c r="GS239" s="285"/>
      <c r="GT239" s="285"/>
      <c r="GU239" s="285"/>
      <c r="GV239" s="285"/>
      <c r="GW239" s="285"/>
      <c r="GX239" s="285"/>
      <c r="GY239" s="285"/>
      <c r="GZ239" s="285"/>
    </row>
    <row r="240" spans="1:208" ht="15">
      <c r="A240" s="282">
        <v>52</v>
      </c>
      <c r="B240" s="332">
        <v>44918</v>
      </c>
      <c r="C240" s="333">
        <v>1106184</v>
      </c>
      <c r="D240" s="282" t="s">
        <v>4546</v>
      </c>
      <c r="E240" s="333" t="s">
        <v>4250</v>
      </c>
      <c r="F240" s="333" t="s">
        <v>4251</v>
      </c>
      <c r="G240" s="333">
        <v>3185</v>
      </c>
      <c r="H240" s="333">
        <v>140</v>
      </c>
      <c r="I240" s="282">
        <v>4502476754</v>
      </c>
      <c r="J240" s="333">
        <v>3025457</v>
      </c>
      <c r="K240" s="282">
        <v>4902413314</v>
      </c>
      <c r="L240" s="282" t="s">
        <v>4252</v>
      </c>
      <c r="M240" s="283">
        <v>71826</v>
      </c>
      <c r="N240" s="333">
        <v>8300</v>
      </c>
      <c r="O240" s="284">
        <f t="shared" ref="O240:O241" si="36">M240*N240</f>
        <v>596155800</v>
      </c>
      <c r="P240" s="285">
        <f t="shared" ref="P240:P241" si="37">H240/14</f>
        <v>10</v>
      </c>
      <c r="Q240" s="321" t="s">
        <v>3455</v>
      </c>
      <c r="R240" s="282">
        <v>1040968</v>
      </c>
      <c r="S240" s="334">
        <f>2979200*10</f>
        <v>29792000</v>
      </c>
      <c r="T240" s="285"/>
      <c r="U240" s="285"/>
      <c r="V240" s="285"/>
      <c r="W240" s="285"/>
      <c r="X240" s="285"/>
      <c r="Y240" s="285"/>
      <c r="Z240" s="285"/>
      <c r="AA240" s="285"/>
      <c r="AB240" s="285"/>
      <c r="AC240" s="285"/>
      <c r="AD240" s="285"/>
      <c r="AE240" s="285"/>
      <c r="AF240" s="285"/>
      <c r="AG240" s="285"/>
      <c r="AH240" s="285"/>
      <c r="AI240" s="285"/>
      <c r="AJ240" s="285"/>
      <c r="AK240" s="285"/>
      <c r="AL240" s="285"/>
      <c r="AM240" s="285"/>
      <c r="AN240" s="285"/>
      <c r="AO240" s="285"/>
      <c r="AP240" s="285"/>
      <c r="AQ240" s="285"/>
      <c r="AR240" s="285"/>
      <c r="AS240" s="285"/>
      <c r="AT240" s="285"/>
      <c r="AU240" s="285"/>
      <c r="AV240" s="285"/>
      <c r="AW240" s="285"/>
      <c r="AX240" s="285"/>
      <c r="AY240" s="285"/>
      <c r="AZ240" s="285"/>
      <c r="BA240" s="285"/>
      <c r="BB240" s="285"/>
      <c r="BC240" s="285"/>
      <c r="BD240" s="285"/>
      <c r="BE240" s="285"/>
      <c r="BF240" s="285"/>
      <c r="BG240" s="285"/>
      <c r="BH240" s="285"/>
      <c r="BI240" s="285"/>
      <c r="BJ240" s="285"/>
      <c r="BK240" s="285"/>
      <c r="BL240" s="285"/>
      <c r="BM240" s="285"/>
      <c r="BN240" s="285"/>
      <c r="BO240" s="285"/>
      <c r="BP240" s="285"/>
      <c r="BQ240" s="285"/>
      <c r="BR240" s="285"/>
      <c r="BS240" s="285"/>
      <c r="BT240" s="285"/>
      <c r="BU240" s="285"/>
      <c r="BV240" s="285"/>
      <c r="BW240" s="285"/>
      <c r="BX240" s="285"/>
      <c r="BY240" s="285"/>
      <c r="BZ240" s="285"/>
      <c r="CA240" s="285"/>
      <c r="CB240" s="285"/>
      <c r="CC240" s="285"/>
      <c r="CD240" s="285"/>
      <c r="CE240" s="285"/>
      <c r="CF240" s="285"/>
      <c r="CG240" s="285"/>
      <c r="CH240" s="285"/>
      <c r="CI240" s="285"/>
      <c r="CJ240" s="285"/>
      <c r="CK240" s="285"/>
      <c r="CL240" s="285"/>
      <c r="CM240" s="285"/>
      <c r="CN240" s="285"/>
      <c r="CO240" s="285"/>
      <c r="CP240" s="285"/>
      <c r="CQ240" s="285"/>
      <c r="CR240" s="285"/>
      <c r="CS240" s="285"/>
      <c r="CT240" s="285"/>
      <c r="CU240" s="285"/>
      <c r="CV240" s="285"/>
      <c r="CW240" s="285"/>
      <c r="CX240" s="285"/>
      <c r="CY240" s="285"/>
      <c r="CZ240" s="285"/>
      <c r="DA240" s="285"/>
      <c r="DB240" s="285"/>
      <c r="DC240" s="285"/>
      <c r="DD240" s="285"/>
      <c r="DE240" s="285"/>
      <c r="DF240" s="285"/>
      <c r="DG240" s="285"/>
      <c r="DH240" s="285"/>
      <c r="DI240" s="285"/>
      <c r="DJ240" s="285"/>
      <c r="DK240" s="285"/>
      <c r="DL240" s="285"/>
      <c r="DM240" s="285"/>
      <c r="DN240" s="285"/>
      <c r="DO240" s="285"/>
      <c r="DP240" s="285"/>
      <c r="DQ240" s="285"/>
      <c r="DR240" s="285"/>
      <c r="DS240" s="285"/>
      <c r="DT240" s="285"/>
      <c r="DU240" s="285"/>
      <c r="DV240" s="285"/>
      <c r="DW240" s="285"/>
      <c r="DX240" s="285"/>
      <c r="DY240" s="285"/>
      <c r="DZ240" s="285"/>
      <c r="EA240" s="285"/>
      <c r="EB240" s="285"/>
      <c r="EC240" s="285"/>
      <c r="ED240" s="285"/>
      <c r="EE240" s="285"/>
      <c r="EF240" s="285"/>
      <c r="EG240" s="285"/>
      <c r="EH240" s="285"/>
      <c r="EI240" s="285"/>
      <c r="EJ240" s="285"/>
      <c r="EK240" s="285"/>
      <c r="EL240" s="285"/>
      <c r="EM240" s="285"/>
      <c r="EN240" s="285"/>
      <c r="EO240" s="285"/>
      <c r="EP240" s="285"/>
      <c r="EQ240" s="285"/>
      <c r="ER240" s="285"/>
      <c r="ES240" s="285"/>
      <c r="ET240" s="285"/>
      <c r="EU240" s="285"/>
      <c r="EV240" s="285"/>
      <c r="EW240" s="285"/>
      <c r="EX240" s="285"/>
      <c r="EY240" s="285"/>
      <c r="EZ240" s="285"/>
      <c r="FA240" s="285"/>
      <c r="FB240" s="285"/>
      <c r="FC240" s="285"/>
      <c r="FD240" s="285"/>
      <c r="FE240" s="285"/>
      <c r="FF240" s="285"/>
      <c r="FG240" s="285"/>
      <c r="FH240" s="285"/>
      <c r="FI240" s="285"/>
      <c r="FJ240" s="285"/>
      <c r="FK240" s="285"/>
      <c r="FL240" s="285"/>
      <c r="FM240" s="285"/>
      <c r="FN240" s="285"/>
      <c r="FO240" s="285"/>
      <c r="FP240" s="285"/>
      <c r="FQ240" s="285"/>
      <c r="FR240" s="285"/>
      <c r="FS240" s="285"/>
      <c r="FT240" s="285"/>
      <c r="FU240" s="285"/>
      <c r="FV240" s="285"/>
      <c r="FW240" s="285"/>
      <c r="FX240" s="285"/>
      <c r="FY240" s="285"/>
      <c r="FZ240" s="285"/>
      <c r="GA240" s="285"/>
      <c r="GB240" s="285"/>
      <c r="GC240" s="285"/>
      <c r="GD240" s="285"/>
      <c r="GE240" s="285"/>
      <c r="GF240" s="285"/>
      <c r="GG240" s="285"/>
      <c r="GH240" s="285"/>
      <c r="GI240" s="285"/>
      <c r="GJ240" s="285"/>
      <c r="GK240" s="285"/>
      <c r="GL240" s="285"/>
      <c r="GM240" s="285"/>
      <c r="GN240" s="285"/>
      <c r="GO240" s="285"/>
      <c r="GP240" s="285"/>
      <c r="GQ240" s="285"/>
      <c r="GR240" s="285"/>
      <c r="GS240" s="285"/>
      <c r="GT240" s="285"/>
      <c r="GU240" s="285"/>
      <c r="GV240" s="285"/>
      <c r="GW240" s="285"/>
      <c r="GX240" s="285"/>
      <c r="GY240" s="285"/>
      <c r="GZ240" s="285"/>
    </row>
    <row r="241" spans="1:208" ht="15">
      <c r="A241" s="282">
        <v>52</v>
      </c>
      <c r="B241" s="332">
        <v>44918</v>
      </c>
      <c r="C241" s="333">
        <v>1102323</v>
      </c>
      <c r="D241" s="282" t="s">
        <v>4547</v>
      </c>
      <c r="E241" s="333" t="s">
        <v>4330</v>
      </c>
      <c r="F241" s="333" t="s">
        <v>4251</v>
      </c>
      <c r="G241" s="333">
        <v>3199</v>
      </c>
      <c r="H241" s="333">
        <v>42</v>
      </c>
      <c r="I241" s="282">
        <v>4502476756</v>
      </c>
      <c r="J241" s="333">
        <v>3025457</v>
      </c>
      <c r="K241" s="282">
        <v>4902413315</v>
      </c>
      <c r="L241" s="282" t="s">
        <v>4252</v>
      </c>
      <c r="M241" s="283">
        <v>20509</v>
      </c>
      <c r="N241" s="333">
        <v>8300</v>
      </c>
      <c r="O241" s="284">
        <f t="shared" si="36"/>
        <v>170224700</v>
      </c>
      <c r="P241" s="285">
        <f t="shared" si="37"/>
        <v>3</v>
      </c>
      <c r="Q241" s="321" t="s">
        <v>3455</v>
      </c>
      <c r="R241" s="282">
        <v>1040968</v>
      </c>
      <c r="S241" s="334">
        <f>2982600*3</f>
        <v>8947800</v>
      </c>
      <c r="T241" s="285"/>
      <c r="U241" s="285"/>
      <c r="V241" s="285"/>
      <c r="W241" s="285"/>
      <c r="X241" s="285"/>
      <c r="Y241" s="285"/>
      <c r="Z241" s="285"/>
      <c r="AA241" s="285"/>
      <c r="AB241" s="285"/>
      <c r="AC241" s="285"/>
      <c r="AD241" s="285"/>
      <c r="AE241" s="285"/>
      <c r="AF241" s="285"/>
      <c r="AG241" s="285"/>
      <c r="AH241" s="285"/>
      <c r="AI241" s="285"/>
      <c r="AJ241" s="285"/>
      <c r="AK241" s="285"/>
      <c r="AL241" s="285"/>
      <c r="AM241" s="285"/>
      <c r="AN241" s="285"/>
      <c r="AO241" s="285"/>
      <c r="AP241" s="285"/>
      <c r="AQ241" s="285"/>
      <c r="AR241" s="285"/>
      <c r="AS241" s="285"/>
      <c r="AT241" s="285"/>
      <c r="AU241" s="285"/>
      <c r="AV241" s="285"/>
      <c r="AW241" s="285"/>
      <c r="AX241" s="285"/>
      <c r="AY241" s="285"/>
      <c r="AZ241" s="285"/>
      <c r="BA241" s="285"/>
      <c r="BB241" s="285"/>
      <c r="BC241" s="285"/>
      <c r="BD241" s="285"/>
      <c r="BE241" s="285"/>
      <c r="BF241" s="285"/>
      <c r="BG241" s="285"/>
      <c r="BH241" s="285"/>
      <c r="BI241" s="285"/>
      <c r="BJ241" s="285"/>
      <c r="BK241" s="285"/>
      <c r="BL241" s="285"/>
      <c r="BM241" s="285"/>
      <c r="BN241" s="285"/>
      <c r="BO241" s="285"/>
      <c r="BP241" s="285"/>
      <c r="BQ241" s="285"/>
      <c r="BR241" s="285"/>
      <c r="BS241" s="285"/>
      <c r="BT241" s="285"/>
      <c r="BU241" s="285"/>
      <c r="BV241" s="285"/>
      <c r="BW241" s="285"/>
      <c r="BX241" s="285"/>
      <c r="BY241" s="285"/>
      <c r="BZ241" s="285"/>
      <c r="CA241" s="285"/>
      <c r="CB241" s="285"/>
      <c r="CC241" s="285"/>
      <c r="CD241" s="285"/>
      <c r="CE241" s="285"/>
      <c r="CF241" s="285"/>
      <c r="CG241" s="285"/>
      <c r="CH241" s="285"/>
      <c r="CI241" s="285"/>
      <c r="CJ241" s="285"/>
      <c r="CK241" s="285"/>
      <c r="CL241" s="285"/>
      <c r="CM241" s="285"/>
      <c r="CN241" s="285"/>
      <c r="CO241" s="285"/>
      <c r="CP241" s="285"/>
      <c r="CQ241" s="285"/>
      <c r="CR241" s="285"/>
      <c r="CS241" s="285"/>
      <c r="CT241" s="285"/>
      <c r="CU241" s="285"/>
      <c r="CV241" s="285"/>
      <c r="CW241" s="285"/>
      <c r="CX241" s="285"/>
      <c r="CY241" s="285"/>
      <c r="CZ241" s="285"/>
      <c r="DA241" s="285"/>
      <c r="DB241" s="285"/>
      <c r="DC241" s="285"/>
      <c r="DD241" s="285"/>
      <c r="DE241" s="285"/>
      <c r="DF241" s="285"/>
      <c r="DG241" s="285"/>
      <c r="DH241" s="285"/>
      <c r="DI241" s="285"/>
      <c r="DJ241" s="285"/>
      <c r="DK241" s="285"/>
      <c r="DL241" s="285"/>
      <c r="DM241" s="285"/>
      <c r="DN241" s="285"/>
      <c r="DO241" s="285"/>
      <c r="DP241" s="285"/>
      <c r="DQ241" s="285"/>
      <c r="DR241" s="285"/>
      <c r="DS241" s="285"/>
      <c r="DT241" s="285"/>
      <c r="DU241" s="285"/>
      <c r="DV241" s="285"/>
      <c r="DW241" s="285"/>
      <c r="DX241" s="285"/>
      <c r="DY241" s="285"/>
      <c r="DZ241" s="285"/>
      <c r="EA241" s="285"/>
      <c r="EB241" s="285"/>
      <c r="EC241" s="285"/>
      <c r="ED241" s="285"/>
      <c r="EE241" s="285"/>
      <c r="EF241" s="285"/>
      <c r="EG241" s="285"/>
      <c r="EH241" s="285"/>
      <c r="EI241" s="285"/>
      <c r="EJ241" s="285"/>
      <c r="EK241" s="285"/>
      <c r="EL241" s="285"/>
      <c r="EM241" s="285"/>
      <c r="EN241" s="285"/>
      <c r="EO241" s="285"/>
      <c r="EP241" s="285"/>
      <c r="EQ241" s="285"/>
      <c r="ER241" s="285"/>
      <c r="ES241" s="285"/>
      <c r="ET241" s="285"/>
      <c r="EU241" s="285"/>
      <c r="EV241" s="285"/>
      <c r="EW241" s="285"/>
      <c r="EX241" s="285"/>
      <c r="EY241" s="285"/>
      <c r="EZ241" s="285"/>
      <c r="FA241" s="285"/>
      <c r="FB241" s="285"/>
      <c r="FC241" s="285"/>
      <c r="FD241" s="285"/>
      <c r="FE241" s="285"/>
      <c r="FF241" s="285"/>
      <c r="FG241" s="285"/>
      <c r="FH241" s="285"/>
      <c r="FI241" s="285"/>
      <c r="FJ241" s="285"/>
      <c r="FK241" s="285"/>
      <c r="FL241" s="285"/>
      <c r="FM241" s="285"/>
      <c r="FN241" s="285"/>
      <c r="FO241" s="285"/>
      <c r="FP241" s="285"/>
      <c r="FQ241" s="285"/>
      <c r="FR241" s="285"/>
      <c r="FS241" s="285"/>
      <c r="FT241" s="285"/>
      <c r="FU241" s="285"/>
      <c r="FV241" s="285"/>
      <c r="FW241" s="285"/>
      <c r="FX241" s="285"/>
      <c r="FY241" s="285"/>
      <c r="FZ241" s="285"/>
      <c r="GA241" s="285"/>
      <c r="GB241" s="285"/>
      <c r="GC241" s="285"/>
      <c r="GD241" s="285"/>
      <c r="GE241" s="285"/>
      <c r="GF241" s="285"/>
      <c r="GG241" s="285"/>
      <c r="GH241" s="285"/>
      <c r="GI241" s="285"/>
      <c r="GJ241" s="285"/>
      <c r="GK241" s="285"/>
      <c r="GL241" s="285"/>
      <c r="GM241" s="285"/>
      <c r="GN241" s="285"/>
      <c r="GO241" s="285"/>
      <c r="GP241" s="285"/>
      <c r="GQ241" s="285"/>
      <c r="GR241" s="285"/>
      <c r="GS241" s="285"/>
      <c r="GT241" s="285"/>
      <c r="GU241" s="285"/>
      <c r="GV241" s="285"/>
      <c r="GW241" s="285"/>
      <c r="GX241" s="285"/>
      <c r="GY241" s="285"/>
      <c r="GZ241" s="285"/>
    </row>
    <row r="242" spans="1:208" ht="15">
      <c r="A242" s="335"/>
      <c r="B242" s="375"/>
      <c r="C242" s="335"/>
      <c r="D242" s="335"/>
      <c r="E242" s="335"/>
      <c r="F242" s="335"/>
      <c r="G242" s="335"/>
      <c r="H242" s="335"/>
      <c r="I242" s="335"/>
      <c r="J242" s="335"/>
      <c r="K242" s="335"/>
      <c r="L242" s="335"/>
      <c r="M242" s="376"/>
      <c r="N242" s="377"/>
      <c r="O242" s="378"/>
      <c r="P242" s="335"/>
      <c r="Q242" s="335"/>
      <c r="R242" s="335"/>
      <c r="S242" s="335"/>
      <c r="T242" s="335"/>
      <c r="U242" s="335"/>
      <c r="V242" s="335"/>
      <c r="W242" s="335"/>
      <c r="X242" s="335"/>
      <c r="Y242" s="335"/>
      <c r="Z242" s="335"/>
      <c r="AA242" s="335"/>
      <c r="AB242" s="335"/>
      <c r="AC242" s="335"/>
      <c r="AD242" s="335"/>
      <c r="AE242" s="335"/>
      <c r="AF242" s="335"/>
      <c r="AG242" s="335"/>
      <c r="AH242" s="335"/>
      <c r="AI242" s="335"/>
      <c r="AJ242" s="335"/>
      <c r="AK242" s="335"/>
      <c r="AL242" s="335"/>
      <c r="AM242" s="335"/>
      <c r="AN242" s="335"/>
      <c r="AO242" s="335"/>
      <c r="AP242" s="335"/>
      <c r="AQ242" s="335"/>
      <c r="AR242" s="335"/>
      <c r="AS242" s="335"/>
      <c r="AT242" s="335"/>
      <c r="AU242" s="335"/>
      <c r="AV242" s="335"/>
      <c r="AW242" s="335"/>
      <c r="AX242" s="335"/>
      <c r="AY242" s="335"/>
      <c r="AZ242" s="335"/>
      <c r="BA242" s="335"/>
      <c r="BB242" s="335"/>
      <c r="BC242" s="335"/>
      <c r="BD242" s="335"/>
      <c r="BE242" s="335"/>
      <c r="BF242" s="335"/>
      <c r="BG242" s="335"/>
      <c r="BH242" s="335"/>
      <c r="BI242" s="335"/>
      <c r="BJ242" s="335"/>
      <c r="BK242" s="335"/>
      <c r="BL242" s="335"/>
      <c r="BM242" s="335"/>
      <c r="BN242" s="335"/>
      <c r="BO242" s="335"/>
      <c r="BP242" s="335"/>
      <c r="BQ242" s="335"/>
      <c r="BR242" s="335"/>
      <c r="BS242" s="335"/>
      <c r="BT242" s="335"/>
      <c r="BU242" s="335"/>
      <c r="BV242" s="335"/>
      <c r="BW242" s="335"/>
      <c r="BX242" s="335"/>
      <c r="BY242" s="335"/>
      <c r="BZ242" s="335"/>
      <c r="CA242" s="335"/>
      <c r="CB242" s="335"/>
      <c r="CC242" s="335"/>
      <c r="CD242" s="335"/>
      <c r="CE242" s="335"/>
      <c r="CF242" s="335"/>
      <c r="CG242" s="335"/>
      <c r="CH242" s="335"/>
      <c r="CI242" s="335"/>
      <c r="CJ242" s="335"/>
      <c r="CK242" s="335"/>
      <c r="CL242" s="335"/>
      <c r="CM242" s="335"/>
      <c r="CN242" s="335"/>
      <c r="CO242" s="335"/>
      <c r="CP242" s="335"/>
      <c r="CQ242" s="335"/>
      <c r="CR242" s="335"/>
      <c r="CS242" s="335"/>
      <c r="CT242" s="335"/>
      <c r="CU242" s="335"/>
      <c r="CV242" s="335"/>
      <c r="CW242" s="335"/>
      <c r="CX242" s="335"/>
      <c r="CY242" s="335"/>
      <c r="CZ242" s="335"/>
      <c r="DA242" s="335"/>
      <c r="DB242" s="335"/>
      <c r="DC242" s="335"/>
      <c r="DD242" s="335"/>
      <c r="DE242" s="335"/>
      <c r="DF242" s="335"/>
      <c r="DG242" s="335"/>
      <c r="DH242" s="335"/>
      <c r="DI242" s="335"/>
      <c r="DJ242" s="335"/>
      <c r="DK242" s="335"/>
      <c r="DL242" s="335"/>
      <c r="DM242" s="335"/>
      <c r="DN242" s="335"/>
      <c r="DO242" s="335"/>
      <c r="DP242" s="335"/>
      <c r="DQ242" s="335"/>
      <c r="DR242" s="335"/>
      <c r="DS242" s="335"/>
      <c r="DT242" s="335"/>
      <c r="DU242" s="335"/>
      <c r="DV242" s="335"/>
      <c r="DW242" s="335"/>
      <c r="DX242" s="335"/>
      <c r="DY242" s="335"/>
      <c r="DZ242" s="335"/>
      <c r="EA242" s="335"/>
      <c r="EB242" s="335"/>
      <c r="EC242" s="335"/>
      <c r="ED242" s="335"/>
      <c r="EE242" s="335"/>
      <c r="EF242" s="335"/>
      <c r="EG242" s="335"/>
      <c r="EH242" s="335"/>
      <c r="EI242" s="335"/>
      <c r="EJ242" s="335"/>
      <c r="EK242" s="335"/>
      <c r="EL242" s="335"/>
      <c r="EM242" s="335"/>
      <c r="EN242" s="335"/>
      <c r="EO242" s="335"/>
      <c r="EP242" s="335"/>
      <c r="EQ242" s="335"/>
      <c r="ER242" s="335"/>
      <c r="ES242" s="335"/>
      <c r="ET242" s="335"/>
      <c r="EU242" s="335"/>
      <c r="EV242" s="335"/>
      <c r="EW242" s="335"/>
      <c r="EX242" s="335"/>
      <c r="EY242" s="335"/>
      <c r="EZ242" s="335"/>
      <c r="FA242" s="335"/>
      <c r="FB242" s="335"/>
      <c r="FC242" s="335"/>
      <c r="FD242" s="335"/>
      <c r="FE242" s="335"/>
      <c r="FF242" s="335"/>
      <c r="FG242" s="335"/>
      <c r="FH242" s="335"/>
      <c r="FI242" s="335"/>
      <c r="FJ242" s="335"/>
      <c r="FK242" s="335"/>
      <c r="FL242" s="335"/>
      <c r="FM242" s="335"/>
      <c r="FN242" s="335"/>
      <c r="FO242" s="335"/>
      <c r="FP242" s="335"/>
      <c r="FQ242" s="335"/>
      <c r="FR242" s="335"/>
      <c r="FS242" s="335"/>
      <c r="FT242" s="335"/>
      <c r="FU242" s="335"/>
      <c r="FV242" s="335"/>
      <c r="FW242" s="335"/>
      <c r="FX242" s="335"/>
      <c r="FY242" s="335"/>
      <c r="FZ242" s="335"/>
      <c r="GA242" s="335"/>
      <c r="GB242" s="335"/>
      <c r="GC242" s="335"/>
      <c r="GD242" s="335"/>
      <c r="GE242" s="335"/>
      <c r="GF242" s="335"/>
      <c r="GG242" s="335"/>
      <c r="GH242" s="335"/>
      <c r="GI242" s="335"/>
      <c r="GJ242" s="335"/>
      <c r="GK242" s="335"/>
      <c r="GL242" s="335"/>
      <c r="GM242" s="335"/>
      <c r="GN242" s="335"/>
      <c r="GO242" s="335"/>
      <c r="GP242" s="335"/>
      <c r="GQ242" s="335"/>
      <c r="GR242" s="335"/>
      <c r="GS242" s="335"/>
      <c r="GT242" s="335"/>
      <c r="GU242" s="335"/>
      <c r="GV242" s="335"/>
      <c r="GW242" s="335"/>
      <c r="GX242" s="335"/>
      <c r="GY242" s="335"/>
      <c r="GZ242" s="335"/>
    </row>
    <row r="243" spans="1:208" ht="15">
      <c r="A243" s="379"/>
      <c r="B243" s="335"/>
      <c r="C243" s="335"/>
      <c r="D243" s="335"/>
      <c r="E243" s="335"/>
      <c r="F243" s="335"/>
      <c r="G243" s="335"/>
      <c r="H243" s="335"/>
      <c r="I243" s="335"/>
      <c r="J243" s="335"/>
      <c r="K243" s="335"/>
      <c r="L243" s="335"/>
      <c r="M243" s="376"/>
      <c r="N243" s="335"/>
      <c r="O243" s="380"/>
      <c r="P243" s="335"/>
      <c r="Q243" s="335"/>
      <c r="R243" s="335"/>
      <c r="S243" s="335"/>
      <c r="T243" s="335"/>
      <c r="U243" s="335"/>
      <c r="V243" s="335"/>
      <c r="W243" s="335"/>
      <c r="X243" s="335"/>
      <c r="Y243" s="335"/>
      <c r="Z243" s="335"/>
      <c r="AA243" s="335"/>
      <c r="AB243" s="335"/>
      <c r="AC243" s="335"/>
      <c r="AD243" s="335"/>
      <c r="AE243" s="335"/>
      <c r="AF243" s="335"/>
      <c r="AG243" s="335"/>
      <c r="AH243" s="335"/>
      <c r="AI243" s="335"/>
      <c r="AJ243" s="335"/>
      <c r="AK243" s="335"/>
      <c r="AL243" s="335"/>
      <c r="AM243" s="335"/>
      <c r="AN243" s="335"/>
      <c r="AO243" s="335"/>
      <c r="AP243" s="335"/>
      <c r="AQ243" s="335"/>
      <c r="AR243" s="335"/>
      <c r="AS243" s="335"/>
      <c r="AT243" s="335"/>
      <c r="AU243" s="335"/>
      <c r="AV243" s="335"/>
      <c r="AW243" s="335"/>
      <c r="AX243" s="335"/>
      <c r="AY243" s="335"/>
      <c r="AZ243" s="335"/>
      <c r="BA243" s="335"/>
      <c r="BB243" s="335"/>
      <c r="BC243" s="335"/>
      <c r="BD243" s="335"/>
      <c r="BE243" s="335"/>
      <c r="BF243" s="335"/>
      <c r="BG243" s="335"/>
      <c r="BH243" s="335"/>
      <c r="BI243" s="335"/>
      <c r="BJ243" s="335"/>
      <c r="BK243" s="335"/>
      <c r="BL243" s="335"/>
      <c r="BM243" s="335"/>
      <c r="BN243" s="335"/>
      <c r="BO243" s="335"/>
      <c r="BP243" s="335"/>
      <c r="BQ243" s="335"/>
      <c r="BR243" s="335"/>
      <c r="BS243" s="335"/>
      <c r="BT243" s="335"/>
      <c r="BU243" s="335"/>
      <c r="BV243" s="335"/>
      <c r="BW243" s="335"/>
      <c r="BX243" s="335"/>
      <c r="BY243" s="335"/>
      <c r="BZ243" s="335"/>
      <c r="CA243" s="335"/>
      <c r="CB243" s="335"/>
      <c r="CC243" s="335"/>
      <c r="CD243" s="335"/>
      <c r="CE243" s="335"/>
      <c r="CF243" s="335"/>
      <c r="CG243" s="335"/>
      <c r="CH243" s="335"/>
      <c r="CI243" s="335"/>
      <c r="CJ243" s="335"/>
      <c r="CK243" s="335"/>
      <c r="CL243" s="335"/>
      <c r="CM243" s="335"/>
      <c r="CN243" s="335"/>
      <c r="CO243" s="335"/>
      <c r="CP243" s="335"/>
      <c r="CQ243" s="335"/>
      <c r="CR243" s="335"/>
      <c r="CS243" s="335"/>
      <c r="CT243" s="335"/>
      <c r="CU243" s="335"/>
      <c r="CV243" s="335"/>
      <c r="CW243" s="335"/>
      <c r="CX243" s="335"/>
      <c r="CY243" s="335"/>
      <c r="CZ243" s="335"/>
      <c r="DA243" s="335"/>
      <c r="DB243" s="335"/>
      <c r="DC243" s="335"/>
      <c r="DD243" s="335"/>
      <c r="DE243" s="335"/>
      <c r="DF243" s="335"/>
      <c r="DG243" s="335"/>
      <c r="DH243" s="335"/>
      <c r="DI243" s="335"/>
      <c r="DJ243" s="335"/>
      <c r="DK243" s="335"/>
      <c r="DL243" s="335"/>
      <c r="DM243" s="335"/>
      <c r="DN243" s="335"/>
      <c r="DO243" s="335"/>
      <c r="DP243" s="335"/>
      <c r="DQ243" s="335"/>
      <c r="DR243" s="335"/>
      <c r="DS243" s="335"/>
      <c r="DT243" s="335"/>
      <c r="DU243" s="335"/>
      <c r="DV243" s="335"/>
      <c r="DW243" s="335"/>
      <c r="DX243" s="335"/>
      <c r="DY243" s="335"/>
      <c r="DZ243" s="335"/>
      <c r="EA243" s="335"/>
      <c r="EB243" s="335"/>
      <c r="EC243" s="335"/>
      <c r="ED243" s="335"/>
      <c r="EE243" s="335"/>
      <c r="EF243" s="335"/>
      <c r="EG243" s="335"/>
      <c r="EH243" s="335"/>
      <c r="EI243" s="335"/>
      <c r="EJ243" s="335"/>
      <c r="EK243" s="335"/>
      <c r="EL243" s="335"/>
      <c r="EM243" s="335"/>
      <c r="EN243" s="335"/>
      <c r="EO243" s="335"/>
      <c r="EP243" s="335"/>
      <c r="EQ243" s="335"/>
      <c r="ER243" s="335"/>
      <c r="ES243" s="335"/>
      <c r="ET243" s="335"/>
      <c r="EU243" s="335"/>
      <c r="EV243" s="335"/>
      <c r="EW243" s="335"/>
      <c r="EX243" s="335"/>
      <c r="EY243" s="335"/>
      <c r="EZ243" s="335"/>
      <c r="FA243" s="335"/>
      <c r="FB243" s="335"/>
      <c r="FC243" s="335"/>
      <c r="FD243" s="335"/>
      <c r="FE243" s="335"/>
      <c r="FF243" s="335"/>
      <c r="FG243" s="335"/>
      <c r="FH243" s="335"/>
      <c r="FI243" s="335"/>
      <c r="FJ243" s="335"/>
      <c r="FK243" s="335"/>
      <c r="FL243" s="335"/>
      <c r="FM243" s="335"/>
      <c r="FN243" s="335"/>
      <c r="FO243" s="335"/>
      <c r="FP243" s="335"/>
      <c r="FQ243" s="335"/>
      <c r="FR243" s="335"/>
      <c r="FS243" s="335"/>
      <c r="FT243" s="335"/>
      <c r="FU243" s="335"/>
      <c r="FV243" s="335"/>
      <c r="FW243" s="335"/>
      <c r="FX243" s="335"/>
      <c r="FY243" s="335"/>
      <c r="FZ243" s="335"/>
      <c r="GA243" s="335"/>
      <c r="GB243" s="335"/>
      <c r="GC243" s="335"/>
      <c r="GD243" s="335"/>
      <c r="GE243" s="335"/>
      <c r="GF243" s="335"/>
      <c r="GG243" s="335"/>
      <c r="GH243" s="335"/>
      <c r="GI243" s="335"/>
      <c r="GJ243" s="335"/>
      <c r="GK243" s="335"/>
      <c r="GL243" s="335"/>
      <c r="GM243" s="335"/>
      <c r="GN243" s="335"/>
      <c r="GO243" s="335"/>
      <c r="GP243" s="335"/>
      <c r="GQ243" s="335"/>
      <c r="GR243" s="335"/>
      <c r="GS243" s="335"/>
      <c r="GT243" s="335"/>
      <c r="GU243" s="335"/>
      <c r="GV243" s="335"/>
      <c r="GW243" s="335"/>
      <c r="GX243" s="335"/>
      <c r="GY243" s="335"/>
      <c r="GZ243" s="335"/>
    </row>
    <row r="244" spans="1:208" ht="15">
      <c r="A244" s="379"/>
      <c r="B244" s="335"/>
      <c r="C244" s="335"/>
      <c r="D244" s="335"/>
      <c r="E244" s="335"/>
      <c r="F244" s="335"/>
      <c r="G244" s="335"/>
      <c r="H244" s="335"/>
      <c r="I244" s="335"/>
      <c r="J244" s="335"/>
      <c r="K244" s="335"/>
      <c r="L244" s="335"/>
      <c r="M244" s="376"/>
      <c r="N244" s="335"/>
      <c r="O244" s="380"/>
      <c r="P244" s="335"/>
      <c r="Q244" s="335"/>
      <c r="R244" s="335"/>
      <c r="S244" s="335"/>
      <c r="T244" s="335"/>
      <c r="U244" s="335"/>
      <c r="V244" s="335"/>
      <c r="W244" s="335"/>
      <c r="X244" s="335"/>
      <c r="Y244" s="335"/>
      <c r="Z244" s="335"/>
      <c r="AA244" s="335"/>
      <c r="AB244" s="335"/>
      <c r="AC244" s="335"/>
      <c r="AD244" s="335"/>
      <c r="AE244" s="335"/>
      <c r="AF244" s="335"/>
      <c r="AG244" s="335"/>
      <c r="AH244" s="335"/>
      <c r="AI244" s="335"/>
      <c r="AJ244" s="335"/>
      <c r="AK244" s="335"/>
      <c r="AL244" s="335"/>
      <c r="AM244" s="335"/>
      <c r="AN244" s="335"/>
      <c r="AO244" s="335"/>
      <c r="AP244" s="335"/>
      <c r="AQ244" s="335"/>
      <c r="AR244" s="335"/>
      <c r="AS244" s="335"/>
      <c r="AT244" s="335"/>
      <c r="AU244" s="335"/>
      <c r="AV244" s="335"/>
      <c r="AW244" s="335"/>
      <c r="AX244" s="335"/>
      <c r="AY244" s="335"/>
      <c r="AZ244" s="335"/>
      <c r="BA244" s="335"/>
      <c r="BB244" s="335"/>
      <c r="BC244" s="335"/>
      <c r="BD244" s="335"/>
      <c r="BE244" s="335"/>
      <c r="BF244" s="335"/>
      <c r="BG244" s="335"/>
      <c r="BH244" s="335"/>
      <c r="BI244" s="335"/>
      <c r="BJ244" s="335"/>
      <c r="BK244" s="335"/>
      <c r="BL244" s="335"/>
      <c r="BM244" s="335"/>
      <c r="BN244" s="335"/>
      <c r="BO244" s="335"/>
      <c r="BP244" s="335"/>
      <c r="BQ244" s="335"/>
      <c r="BR244" s="335"/>
      <c r="BS244" s="335"/>
      <c r="BT244" s="335"/>
      <c r="BU244" s="335"/>
      <c r="BV244" s="335"/>
      <c r="BW244" s="335"/>
      <c r="BX244" s="335"/>
      <c r="BY244" s="335"/>
      <c r="BZ244" s="335"/>
      <c r="CA244" s="335"/>
      <c r="CB244" s="335"/>
      <c r="CC244" s="335"/>
      <c r="CD244" s="335"/>
      <c r="CE244" s="335"/>
      <c r="CF244" s="335"/>
      <c r="CG244" s="335"/>
      <c r="CH244" s="335"/>
      <c r="CI244" s="335"/>
      <c r="CJ244" s="335"/>
      <c r="CK244" s="335"/>
      <c r="CL244" s="335"/>
      <c r="CM244" s="335"/>
      <c r="CN244" s="335"/>
      <c r="CO244" s="335"/>
      <c r="CP244" s="335"/>
      <c r="CQ244" s="335"/>
      <c r="CR244" s="335"/>
      <c r="CS244" s="335"/>
      <c r="CT244" s="335"/>
      <c r="CU244" s="335"/>
      <c r="CV244" s="335"/>
      <c r="CW244" s="335"/>
      <c r="CX244" s="335"/>
      <c r="CY244" s="335"/>
      <c r="CZ244" s="335"/>
      <c r="DA244" s="335"/>
      <c r="DB244" s="335"/>
      <c r="DC244" s="335"/>
      <c r="DD244" s="335"/>
      <c r="DE244" s="335"/>
      <c r="DF244" s="335"/>
      <c r="DG244" s="335"/>
      <c r="DH244" s="335"/>
      <c r="DI244" s="335"/>
      <c r="DJ244" s="335"/>
      <c r="DK244" s="335"/>
      <c r="DL244" s="335"/>
      <c r="DM244" s="335"/>
      <c r="DN244" s="335"/>
      <c r="DO244" s="335"/>
      <c r="DP244" s="335"/>
      <c r="DQ244" s="335"/>
      <c r="DR244" s="335"/>
      <c r="DS244" s="335"/>
      <c r="DT244" s="335"/>
      <c r="DU244" s="335"/>
      <c r="DV244" s="335"/>
      <c r="DW244" s="335"/>
      <c r="DX244" s="335"/>
      <c r="DY244" s="335"/>
      <c r="DZ244" s="335"/>
      <c r="EA244" s="335"/>
      <c r="EB244" s="335"/>
      <c r="EC244" s="335"/>
      <c r="ED244" s="335"/>
      <c r="EE244" s="335"/>
      <c r="EF244" s="335"/>
      <c r="EG244" s="335"/>
      <c r="EH244" s="335"/>
      <c r="EI244" s="335"/>
      <c r="EJ244" s="335"/>
      <c r="EK244" s="335"/>
      <c r="EL244" s="335"/>
      <c r="EM244" s="335"/>
      <c r="EN244" s="335"/>
      <c r="EO244" s="335"/>
      <c r="EP244" s="335"/>
      <c r="EQ244" s="335"/>
      <c r="ER244" s="335"/>
      <c r="ES244" s="335"/>
      <c r="ET244" s="335"/>
      <c r="EU244" s="335"/>
      <c r="EV244" s="335"/>
      <c r="EW244" s="335"/>
      <c r="EX244" s="335"/>
      <c r="EY244" s="335"/>
      <c r="EZ244" s="335"/>
      <c r="FA244" s="335"/>
      <c r="FB244" s="335"/>
      <c r="FC244" s="335"/>
      <c r="FD244" s="335"/>
      <c r="FE244" s="335"/>
      <c r="FF244" s="335"/>
      <c r="FG244" s="335"/>
      <c r="FH244" s="335"/>
      <c r="FI244" s="335"/>
      <c r="FJ244" s="335"/>
      <c r="FK244" s="335"/>
      <c r="FL244" s="335"/>
      <c r="FM244" s="335"/>
      <c r="FN244" s="335"/>
      <c r="FO244" s="335"/>
      <c r="FP244" s="335"/>
      <c r="FQ244" s="335"/>
      <c r="FR244" s="335"/>
      <c r="FS244" s="335"/>
      <c r="FT244" s="335"/>
      <c r="FU244" s="335"/>
      <c r="FV244" s="335"/>
      <c r="FW244" s="335"/>
      <c r="FX244" s="335"/>
      <c r="FY244" s="335"/>
      <c r="FZ244" s="335"/>
      <c r="GA244" s="335"/>
      <c r="GB244" s="335"/>
      <c r="GC244" s="335"/>
      <c r="GD244" s="335"/>
      <c r="GE244" s="335"/>
      <c r="GF244" s="335"/>
      <c r="GG244" s="335"/>
      <c r="GH244" s="335"/>
      <c r="GI244" s="335"/>
      <c r="GJ244" s="335"/>
      <c r="GK244" s="335"/>
      <c r="GL244" s="335"/>
      <c r="GM244" s="335"/>
      <c r="GN244" s="335"/>
      <c r="GO244" s="335"/>
      <c r="GP244" s="335"/>
      <c r="GQ244" s="335"/>
      <c r="GR244" s="335"/>
      <c r="GS244" s="335"/>
      <c r="GT244" s="335"/>
      <c r="GU244" s="335"/>
      <c r="GV244" s="335"/>
      <c r="GW244" s="335"/>
      <c r="GX244" s="335"/>
      <c r="GY244" s="335"/>
      <c r="GZ244" s="335"/>
    </row>
    <row r="245" spans="1:208" ht="15">
      <c r="A245" s="379"/>
      <c r="B245" s="335"/>
      <c r="C245" s="335"/>
      <c r="D245" s="335"/>
      <c r="E245" s="335"/>
      <c r="F245" s="335"/>
      <c r="G245" s="335"/>
      <c r="H245" s="335"/>
      <c r="I245" s="335"/>
      <c r="J245" s="335"/>
      <c r="K245" s="335"/>
      <c r="L245" s="335"/>
      <c r="M245" s="376"/>
      <c r="N245" s="335"/>
      <c r="O245" s="380"/>
      <c r="P245" s="335"/>
      <c r="Q245" s="335"/>
      <c r="R245" s="335"/>
      <c r="S245" s="335"/>
      <c r="T245" s="335"/>
      <c r="U245" s="335"/>
      <c r="V245" s="335"/>
      <c r="W245" s="335"/>
      <c r="X245" s="335"/>
      <c r="Y245" s="335"/>
      <c r="Z245" s="335"/>
      <c r="AA245" s="335"/>
      <c r="AB245" s="335"/>
      <c r="AC245" s="335"/>
      <c r="AD245" s="335"/>
      <c r="AE245" s="335"/>
      <c r="AF245" s="335"/>
      <c r="AG245" s="335"/>
      <c r="AH245" s="335"/>
      <c r="AI245" s="335"/>
      <c r="AJ245" s="335"/>
      <c r="AK245" s="335"/>
      <c r="AL245" s="335"/>
      <c r="AM245" s="335"/>
      <c r="AN245" s="335"/>
      <c r="AO245" s="335"/>
      <c r="AP245" s="335"/>
      <c r="AQ245" s="335"/>
      <c r="AR245" s="335"/>
      <c r="AS245" s="335"/>
      <c r="AT245" s="335"/>
      <c r="AU245" s="335"/>
      <c r="AV245" s="335"/>
      <c r="AW245" s="335"/>
      <c r="AX245" s="335"/>
      <c r="AY245" s="335"/>
      <c r="AZ245" s="335"/>
      <c r="BA245" s="335"/>
      <c r="BB245" s="335"/>
      <c r="BC245" s="335"/>
      <c r="BD245" s="335"/>
      <c r="BE245" s="335"/>
      <c r="BF245" s="335"/>
      <c r="BG245" s="335"/>
      <c r="BH245" s="335"/>
      <c r="BI245" s="335"/>
      <c r="BJ245" s="335"/>
      <c r="BK245" s="335"/>
      <c r="BL245" s="335"/>
      <c r="BM245" s="335"/>
      <c r="BN245" s="335"/>
      <c r="BO245" s="335"/>
      <c r="BP245" s="335"/>
      <c r="BQ245" s="335"/>
      <c r="BR245" s="335"/>
      <c r="BS245" s="335"/>
      <c r="BT245" s="335"/>
      <c r="BU245" s="335"/>
      <c r="BV245" s="335"/>
      <c r="BW245" s="335"/>
      <c r="BX245" s="335"/>
      <c r="BY245" s="335"/>
      <c r="BZ245" s="335"/>
      <c r="CA245" s="335"/>
      <c r="CB245" s="335"/>
      <c r="CC245" s="335"/>
      <c r="CD245" s="335"/>
      <c r="CE245" s="335"/>
      <c r="CF245" s="335"/>
      <c r="CG245" s="335"/>
      <c r="CH245" s="335"/>
      <c r="CI245" s="335"/>
      <c r="CJ245" s="335"/>
      <c r="CK245" s="335"/>
      <c r="CL245" s="335"/>
      <c r="CM245" s="335"/>
      <c r="CN245" s="335"/>
      <c r="CO245" s="335"/>
      <c r="CP245" s="335"/>
      <c r="CQ245" s="335"/>
      <c r="CR245" s="335"/>
      <c r="CS245" s="335"/>
      <c r="CT245" s="335"/>
      <c r="CU245" s="335"/>
      <c r="CV245" s="335"/>
      <c r="CW245" s="335"/>
      <c r="CX245" s="335"/>
      <c r="CY245" s="335"/>
      <c r="CZ245" s="335"/>
      <c r="DA245" s="335"/>
      <c r="DB245" s="335"/>
      <c r="DC245" s="335"/>
      <c r="DD245" s="335"/>
      <c r="DE245" s="335"/>
      <c r="DF245" s="335"/>
      <c r="DG245" s="335"/>
      <c r="DH245" s="335"/>
      <c r="DI245" s="335"/>
      <c r="DJ245" s="335"/>
      <c r="DK245" s="335"/>
      <c r="DL245" s="335"/>
      <c r="DM245" s="335"/>
      <c r="DN245" s="335"/>
      <c r="DO245" s="335"/>
      <c r="DP245" s="335"/>
      <c r="DQ245" s="335"/>
      <c r="DR245" s="335"/>
      <c r="DS245" s="335"/>
      <c r="DT245" s="335"/>
      <c r="DU245" s="335"/>
      <c r="DV245" s="335"/>
      <c r="DW245" s="335"/>
      <c r="DX245" s="335"/>
      <c r="DY245" s="335"/>
      <c r="DZ245" s="335"/>
      <c r="EA245" s="335"/>
      <c r="EB245" s="335"/>
      <c r="EC245" s="335"/>
      <c r="ED245" s="335"/>
      <c r="EE245" s="335"/>
      <c r="EF245" s="335"/>
      <c r="EG245" s="335"/>
      <c r="EH245" s="335"/>
      <c r="EI245" s="335"/>
      <c r="EJ245" s="335"/>
      <c r="EK245" s="335"/>
      <c r="EL245" s="335"/>
      <c r="EM245" s="335"/>
      <c r="EN245" s="335"/>
      <c r="EO245" s="335"/>
      <c r="EP245" s="335"/>
      <c r="EQ245" s="335"/>
      <c r="ER245" s="335"/>
      <c r="ES245" s="335"/>
      <c r="ET245" s="335"/>
      <c r="EU245" s="335"/>
      <c r="EV245" s="335"/>
      <c r="EW245" s="335"/>
      <c r="EX245" s="335"/>
      <c r="EY245" s="335"/>
      <c r="EZ245" s="335"/>
      <c r="FA245" s="335"/>
      <c r="FB245" s="335"/>
      <c r="FC245" s="335"/>
      <c r="FD245" s="335"/>
      <c r="FE245" s="335"/>
      <c r="FF245" s="335"/>
      <c r="FG245" s="335"/>
      <c r="FH245" s="335"/>
      <c r="FI245" s="335"/>
      <c r="FJ245" s="335"/>
      <c r="FK245" s="335"/>
      <c r="FL245" s="335"/>
      <c r="FM245" s="335"/>
      <c r="FN245" s="335"/>
      <c r="FO245" s="335"/>
      <c r="FP245" s="335"/>
      <c r="FQ245" s="335"/>
      <c r="FR245" s="335"/>
      <c r="FS245" s="335"/>
      <c r="FT245" s="335"/>
      <c r="FU245" s="335"/>
      <c r="FV245" s="335"/>
      <c r="FW245" s="335"/>
      <c r="FX245" s="335"/>
      <c r="FY245" s="335"/>
      <c r="FZ245" s="335"/>
      <c r="GA245" s="335"/>
      <c r="GB245" s="335"/>
      <c r="GC245" s="335"/>
      <c r="GD245" s="335"/>
      <c r="GE245" s="335"/>
      <c r="GF245" s="335"/>
      <c r="GG245" s="335"/>
      <c r="GH245" s="335"/>
      <c r="GI245" s="335"/>
      <c r="GJ245" s="335"/>
      <c r="GK245" s="335"/>
      <c r="GL245" s="335"/>
      <c r="GM245" s="335"/>
      <c r="GN245" s="335"/>
      <c r="GO245" s="335"/>
      <c r="GP245" s="335"/>
      <c r="GQ245" s="335"/>
      <c r="GR245" s="335"/>
      <c r="GS245" s="335"/>
      <c r="GT245" s="335"/>
      <c r="GU245" s="335"/>
      <c r="GV245" s="335"/>
      <c r="GW245" s="335"/>
      <c r="GX245" s="335"/>
      <c r="GY245" s="335"/>
      <c r="GZ245" s="335"/>
    </row>
    <row r="246" spans="1:208" ht="15">
      <c r="A246" s="379"/>
      <c r="B246" s="335"/>
      <c r="C246" s="335"/>
      <c r="D246" s="335"/>
      <c r="E246" s="335"/>
      <c r="F246" s="335"/>
      <c r="G246" s="335"/>
      <c r="H246" s="335"/>
      <c r="I246" s="335"/>
      <c r="J246" s="335"/>
      <c r="K246" s="335"/>
      <c r="L246" s="335"/>
      <c r="M246" s="376"/>
      <c r="N246" s="335"/>
      <c r="O246" s="380"/>
      <c r="P246" s="335"/>
      <c r="Q246" s="335"/>
      <c r="R246" s="335"/>
      <c r="S246" s="335"/>
      <c r="T246" s="335"/>
      <c r="U246" s="335"/>
      <c r="V246" s="335"/>
      <c r="W246" s="335"/>
      <c r="X246" s="335"/>
      <c r="Y246" s="335"/>
      <c r="Z246" s="335"/>
      <c r="AA246" s="335"/>
      <c r="AB246" s="335"/>
      <c r="AC246" s="335"/>
      <c r="AD246" s="335"/>
      <c r="AE246" s="335"/>
      <c r="AF246" s="335"/>
      <c r="AG246" s="335"/>
      <c r="AH246" s="335"/>
      <c r="AI246" s="335"/>
      <c r="AJ246" s="335"/>
      <c r="AK246" s="335"/>
      <c r="AL246" s="335"/>
      <c r="AM246" s="335"/>
      <c r="AN246" s="335"/>
      <c r="AO246" s="335"/>
      <c r="AP246" s="335"/>
      <c r="AQ246" s="335"/>
      <c r="AR246" s="335"/>
      <c r="AS246" s="335"/>
      <c r="AT246" s="335"/>
      <c r="AU246" s="335"/>
      <c r="AV246" s="335"/>
      <c r="AW246" s="335"/>
      <c r="AX246" s="335"/>
      <c r="AY246" s="335"/>
      <c r="AZ246" s="335"/>
      <c r="BA246" s="335"/>
      <c r="BB246" s="335"/>
      <c r="BC246" s="335"/>
      <c r="BD246" s="335"/>
      <c r="BE246" s="335"/>
      <c r="BF246" s="335"/>
      <c r="BG246" s="335"/>
      <c r="BH246" s="335"/>
      <c r="BI246" s="335"/>
      <c r="BJ246" s="335"/>
      <c r="BK246" s="335"/>
      <c r="BL246" s="335"/>
      <c r="BM246" s="335"/>
      <c r="BN246" s="335"/>
      <c r="BO246" s="335"/>
      <c r="BP246" s="335"/>
      <c r="BQ246" s="335"/>
      <c r="BR246" s="335"/>
      <c r="BS246" s="335"/>
      <c r="BT246" s="335"/>
      <c r="BU246" s="335"/>
      <c r="BV246" s="335"/>
      <c r="BW246" s="335"/>
      <c r="BX246" s="335"/>
      <c r="BY246" s="335"/>
      <c r="BZ246" s="335"/>
      <c r="CA246" s="335"/>
      <c r="CB246" s="335"/>
      <c r="CC246" s="335"/>
      <c r="CD246" s="335"/>
      <c r="CE246" s="335"/>
      <c r="CF246" s="335"/>
      <c r="CG246" s="335"/>
      <c r="CH246" s="335"/>
      <c r="CI246" s="335"/>
      <c r="CJ246" s="335"/>
      <c r="CK246" s="335"/>
      <c r="CL246" s="335"/>
      <c r="CM246" s="335"/>
      <c r="CN246" s="335"/>
      <c r="CO246" s="335"/>
      <c r="CP246" s="335"/>
      <c r="CQ246" s="335"/>
      <c r="CR246" s="335"/>
      <c r="CS246" s="335"/>
      <c r="CT246" s="335"/>
      <c r="CU246" s="335"/>
      <c r="CV246" s="335"/>
      <c r="CW246" s="335"/>
      <c r="CX246" s="335"/>
      <c r="CY246" s="335"/>
      <c r="CZ246" s="335"/>
      <c r="DA246" s="335"/>
      <c r="DB246" s="335"/>
      <c r="DC246" s="335"/>
      <c r="DD246" s="335"/>
      <c r="DE246" s="335"/>
      <c r="DF246" s="335"/>
      <c r="DG246" s="335"/>
      <c r="DH246" s="335"/>
      <c r="DI246" s="335"/>
      <c r="DJ246" s="335"/>
      <c r="DK246" s="335"/>
      <c r="DL246" s="335"/>
      <c r="DM246" s="335"/>
      <c r="DN246" s="335"/>
      <c r="DO246" s="335"/>
      <c r="DP246" s="335"/>
      <c r="DQ246" s="335"/>
      <c r="DR246" s="335"/>
      <c r="DS246" s="335"/>
      <c r="DT246" s="335"/>
      <c r="DU246" s="335"/>
      <c r="DV246" s="335"/>
      <c r="DW246" s="335"/>
      <c r="DX246" s="335"/>
      <c r="DY246" s="335"/>
      <c r="DZ246" s="335"/>
      <c r="EA246" s="335"/>
      <c r="EB246" s="335"/>
      <c r="EC246" s="335"/>
      <c r="ED246" s="335"/>
      <c r="EE246" s="335"/>
      <c r="EF246" s="335"/>
      <c r="EG246" s="335"/>
      <c r="EH246" s="335"/>
      <c r="EI246" s="335"/>
      <c r="EJ246" s="335"/>
      <c r="EK246" s="335"/>
      <c r="EL246" s="335"/>
      <c r="EM246" s="335"/>
      <c r="EN246" s="335"/>
      <c r="EO246" s="335"/>
      <c r="EP246" s="335"/>
      <c r="EQ246" s="335"/>
      <c r="ER246" s="335"/>
      <c r="ES246" s="335"/>
      <c r="ET246" s="335"/>
      <c r="EU246" s="335"/>
      <c r="EV246" s="335"/>
      <c r="EW246" s="335"/>
      <c r="EX246" s="335"/>
      <c r="EY246" s="335"/>
      <c r="EZ246" s="335"/>
      <c r="FA246" s="335"/>
      <c r="FB246" s="335"/>
      <c r="FC246" s="335"/>
      <c r="FD246" s="335"/>
      <c r="FE246" s="335"/>
      <c r="FF246" s="335"/>
      <c r="FG246" s="335"/>
      <c r="FH246" s="335"/>
      <c r="FI246" s="335"/>
      <c r="FJ246" s="335"/>
      <c r="FK246" s="335"/>
      <c r="FL246" s="335"/>
      <c r="FM246" s="335"/>
      <c r="FN246" s="335"/>
      <c r="FO246" s="335"/>
      <c r="FP246" s="335"/>
      <c r="FQ246" s="335"/>
      <c r="FR246" s="335"/>
      <c r="FS246" s="335"/>
      <c r="FT246" s="335"/>
      <c r="FU246" s="335"/>
      <c r="FV246" s="335"/>
      <c r="FW246" s="335"/>
      <c r="FX246" s="335"/>
      <c r="FY246" s="335"/>
      <c r="FZ246" s="335"/>
      <c r="GA246" s="335"/>
      <c r="GB246" s="335"/>
      <c r="GC246" s="335"/>
      <c r="GD246" s="335"/>
      <c r="GE246" s="335"/>
      <c r="GF246" s="335"/>
      <c r="GG246" s="335"/>
      <c r="GH246" s="335"/>
      <c r="GI246" s="335"/>
      <c r="GJ246" s="335"/>
      <c r="GK246" s="335"/>
      <c r="GL246" s="335"/>
      <c r="GM246" s="335"/>
      <c r="GN246" s="335"/>
      <c r="GO246" s="335"/>
      <c r="GP246" s="335"/>
      <c r="GQ246" s="335"/>
      <c r="GR246" s="335"/>
      <c r="GS246" s="335"/>
      <c r="GT246" s="335"/>
      <c r="GU246" s="335"/>
      <c r="GV246" s="335"/>
      <c r="GW246" s="335"/>
      <c r="GX246" s="335"/>
      <c r="GY246" s="335"/>
      <c r="GZ246" s="335"/>
    </row>
    <row r="247" spans="1:208" ht="15">
      <c r="A247" s="379"/>
      <c r="B247" s="335"/>
      <c r="C247" s="335"/>
      <c r="D247" s="335"/>
      <c r="E247" s="335"/>
      <c r="F247" s="335"/>
      <c r="G247" s="335"/>
      <c r="H247" s="335"/>
      <c r="I247" s="335"/>
      <c r="J247" s="335"/>
      <c r="K247" s="335"/>
      <c r="L247" s="335"/>
      <c r="M247" s="376"/>
      <c r="N247" s="335"/>
      <c r="O247" s="380"/>
      <c r="P247" s="335"/>
      <c r="Q247" s="335"/>
      <c r="R247" s="335"/>
      <c r="S247" s="335"/>
      <c r="T247" s="335"/>
      <c r="U247" s="335"/>
      <c r="V247" s="335"/>
      <c r="W247" s="335"/>
      <c r="X247" s="335"/>
      <c r="Y247" s="335"/>
      <c r="Z247" s="335"/>
      <c r="AA247" s="335"/>
      <c r="AB247" s="335"/>
      <c r="AC247" s="335"/>
      <c r="AD247" s="335"/>
      <c r="AE247" s="335"/>
      <c r="AF247" s="335"/>
      <c r="AG247" s="335"/>
      <c r="AH247" s="335"/>
      <c r="AI247" s="335"/>
      <c r="AJ247" s="335"/>
      <c r="AK247" s="335"/>
      <c r="AL247" s="335"/>
      <c r="AM247" s="335"/>
      <c r="AN247" s="335"/>
      <c r="AO247" s="335"/>
      <c r="AP247" s="335"/>
      <c r="AQ247" s="335"/>
      <c r="AR247" s="335"/>
      <c r="AS247" s="335"/>
      <c r="AT247" s="335"/>
      <c r="AU247" s="335"/>
      <c r="AV247" s="335"/>
      <c r="AW247" s="335"/>
      <c r="AX247" s="335"/>
      <c r="AY247" s="335"/>
      <c r="AZ247" s="335"/>
      <c r="BA247" s="335"/>
      <c r="BB247" s="335"/>
      <c r="BC247" s="335"/>
      <c r="BD247" s="335"/>
      <c r="BE247" s="335"/>
      <c r="BF247" s="335"/>
      <c r="BG247" s="335"/>
      <c r="BH247" s="335"/>
      <c r="BI247" s="335"/>
      <c r="BJ247" s="335"/>
      <c r="BK247" s="335"/>
      <c r="BL247" s="335"/>
      <c r="BM247" s="335"/>
      <c r="BN247" s="335"/>
      <c r="BO247" s="335"/>
      <c r="BP247" s="335"/>
      <c r="BQ247" s="335"/>
      <c r="BR247" s="335"/>
      <c r="BS247" s="335"/>
      <c r="BT247" s="335"/>
      <c r="BU247" s="335"/>
      <c r="BV247" s="335"/>
      <c r="BW247" s="335"/>
      <c r="BX247" s="335"/>
      <c r="BY247" s="335"/>
      <c r="BZ247" s="335"/>
      <c r="CA247" s="335"/>
      <c r="CB247" s="335"/>
      <c r="CC247" s="335"/>
      <c r="CD247" s="335"/>
      <c r="CE247" s="335"/>
      <c r="CF247" s="335"/>
      <c r="CG247" s="335"/>
      <c r="CH247" s="335"/>
      <c r="CI247" s="335"/>
      <c r="CJ247" s="335"/>
      <c r="CK247" s="335"/>
      <c r="CL247" s="335"/>
      <c r="CM247" s="335"/>
      <c r="CN247" s="335"/>
      <c r="CO247" s="335"/>
      <c r="CP247" s="335"/>
      <c r="CQ247" s="335"/>
      <c r="CR247" s="335"/>
      <c r="CS247" s="335"/>
      <c r="CT247" s="335"/>
      <c r="CU247" s="335"/>
      <c r="CV247" s="335"/>
      <c r="CW247" s="335"/>
      <c r="CX247" s="335"/>
      <c r="CY247" s="335"/>
      <c r="CZ247" s="335"/>
      <c r="DA247" s="335"/>
      <c r="DB247" s="335"/>
      <c r="DC247" s="335"/>
      <c r="DD247" s="335"/>
      <c r="DE247" s="335"/>
      <c r="DF247" s="335"/>
      <c r="DG247" s="335"/>
      <c r="DH247" s="335"/>
      <c r="DI247" s="335"/>
      <c r="DJ247" s="335"/>
      <c r="DK247" s="335"/>
      <c r="DL247" s="335"/>
      <c r="DM247" s="335"/>
      <c r="DN247" s="335"/>
      <c r="DO247" s="335"/>
      <c r="DP247" s="335"/>
      <c r="DQ247" s="335"/>
      <c r="DR247" s="335"/>
      <c r="DS247" s="335"/>
      <c r="DT247" s="335"/>
      <c r="DU247" s="335"/>
      <c r="DV247" s="335"/>
      <c r="DW247" s="335"/>
      <c r="DX247" s="335"/>
      <c r="DY247" s="335"/>
      <c r="DZ247" s="335"/>
      <c r="EA247" s="335"/>
      <c r="EB247" s="335"/>
      <c r="EC247" s="335"/>
      <c r="ED247" s="335"/>
      <c r="EE247" s="335"/>
      <c r="EF247" s="335"/>
      <c r="EG247" s="335"/>
      <c r="EH247" s="335"/>
      <c r="EI247" s="335"/>
      <c r="EJ247" s="335"/>
      <c r="EK247" s="335"/>
      <c r="EL247" s="335"/>
      <c r="EM247" s="335"/>
      <c r="EN247" s="335"/>
      <c r="EO247" s="335"/>
      <c r="EP247" s="335"/>
      <c r="EQ247" s="335"/>
      <c r="ER247" s="335"/>
      <c r="ES247" s="335"/>
      <c r="ET247" s="335"/>
      <c r="EU247" s="335"/>
      <c r="EV247" s="335"/>
      <c r="EW247" s="335"/>
      <c r="EX247" s="335"/>
      <c r="EY247" s="335"/>
      <c r="EZ247" s="335"/>
      <c r="FA247" s="335"/>
      <c r="FB247" s="335"/>
      <c r="FC247" s="335"/>
      <c r="FD247" s="335"/>
      <c r="FE247" s="335"/>
      <c r="FF247" s="335"/>
      <c r="FG247" s="335"/>
      <c r="FH247" s="335"/>
      <c r="FI247" s="335"/>
      <c r="FJ247" s="335"/>
      <c r="FK247" s="335"/>
      <c r="FL247" s="335"/>
      <c r="FM247" s="335"/>
      <c r="FN247" s="335"/>
      <c r="FO247" s="335"/>
      <c r="FP247" s="335"/>
      <c r="FQ247" s="335"/>
      <c r="FR247" s="335"/>
      <c r="FS247" s="335"/>
      <c r="FT247" s="335"/>
      <c r="FU247" s="335"/>
      <c r="FV247" s="335"/>
      <c r="FW247" s="335"/>
      <c r="FX247" s="335"/>
      <c r="FY247" s="335"/>
      <c r="FZ247" s="335"/>
      <c r="GA247" s="335"/>
      <c r="GB247" s="335"/>
      <c r="GC247" s="335"/>
      <c r="GD247" s="335"/>
      <c r="GE247" s="335"/>
      <c r="GF247" s="335"/>
      <c r="GG247" s="335"/>
      <c r="GH247" s="335"/>
      <c r="GI247" s="335"/>
      <c r="GJ247" s="335"/>
      <c r="GK247" s="335"/>
      <c r="GL247" s="335"/>
      <c r="GM247" s="335"/>
      <c r="GN247" s="335"/>
      <c r="GO247" s="335"/>
      <c r="GP247" s="335"/>
      <c r="GQ247" s="335"/>
      <c r="GR247" s="335"/>
      <c r="GS247" s="335"/>
      <c r="GT247" s="335"/>
      <c r="GU247" s="335"/>
      <c r="GV247" s="335"/>
      <c r="GW247" s="335"/>
      <c r="GX247" s="335"/>
      <c r="GY247" s="335"/>
      <c r="GZ247" s="335"/>
    </row>
    <row r="248" spans="1:208" ht="15">
      <c r="A248" s="379"/>
      <c r="B248" s="335"/>
      <c r="C248" s="335"/>
      <c r="D248" s="335"/>
      <c r="E248" s="335"/>
      <c r="F248" s="335"/>
      <c r="G248" s="335"/>
      <c r="H248" s="335"/>
      <c r="I248" s="335"/>
      <c r="J248" s="335"/>
      <c r="K248" s="335"/>
      <c r="L248" s="335"/>
      <c r="M248" s="376"/>
      <c r="N248" s="335"/>
      <c r="O248" s="380"/>
      <c r="P248" s="335"/>
      <c r="Q248" s="335"/>
      <c r="R248" s="335"/>
      <c r="S248" s="335"/>
      <c r="T248" s="335"/>
      <c r="U248" s="335"/>
      <c r="V248" s="335"/>
      <c r="W248" s="335"/>
      <c r="X248" s="335"/>
      <c r="Y248" s="335"/>
      <c r="Z248" s="335"/>
      <c r="AA248" s="335"/>
      <c r="AB248" s="335"/>
      <c r="AC248" s="335"/>
      <c r="AD248" s="335"/>
      <c r="AE248" s="335"/>
      <c r="AF248" s="335"/>
      <c r="AG248" s="335"/>
      <c r="AH248" s="335"/>
      <c r="AI248" s="335"/>
      <c r="AJ248" s="335"/>
      <c r="AK248" s="335"/>
      <c r="AL248" s="335"/>
      <c r="AM248" s="335"/>
      <c r="AN248" s="335"/>
      <c r="AO248" s="335"/>
      <c r="AP248" s="335"/>
      <c r="AQ248" s="335"/>
      <c r="AR248" s="335"/>
      <c r="AS248" s="335"/>
      <c r="AT248" s="335"/>
      <c r="AU248" s="335"/>
      <c r="AV248" s="335"/>
      <c r="AW248" s="335"/>
      <c r="AX248" s="335"/>
      <c r="AY248" s="335"/>
      <c r="AZ248" s="335"/>
      <c r="BA248" s="335"/>
      <c r="BB248" s="335"/>
      <c r="BC248" s="335"/>
      <c r="BD248" s="335"/>
      <c r="BE248" s="335"/>
      <c r="BF248" s="335"/>
      <c r="BG248" s="335"/>
      <c r="BH248" s="335"/>
      <c r="BI248" s="335"/>
      <c r="BJ248" s="335"/>
      <c r="BK248" s="335"/>
      <c r="BL248" s="335"/>
      <c r="BM248" s="335"/>
      <c r="BN248" s="335"/>
      <c r="BO248" s="335"/>
      <c r="BP248" s="335"/>
      <c r="BQ248" s="335"/>
      <c r="BR248" s="335"/>
      <c r="BS248" s="335"/>
      <c r="BT248" s="335"/>
      <c r="BU248" s="335"/>
      <c r="BV248" s="335"/>
      <c r="BW248" s="335"/>
      <c r="BX248" s="335"/>
      <c r="BY248" s="335"/>
      <c r="BZ248" s="335"/>
      <c r="CA248" s="335"/>
      <c r="CB248" s="335"/>
      <c r="CC248" s="335"/>
      <c r="CD248" s="335"/>
      <c r="CE248" s="335"/>
      <c r="CF248" s="335"/>
      <c r="CG248" s="335"/>
      <c r="CH248" s="335"/>
      <c r="CI248" s="335"/>
      <c r="CJ248" s="335"/>
      <c r="CK248" s="335"/>
      <c r="CL248" s="335"/>
      <c r="CM248" s="335"/>
      <c r="CN248" s="335"/>
      <c r="CO248" s="335"/>
      <c r="CP248" s="335"/>
      <c r="CQ248" s="335"/>
      <c r="CR248" s="335"/>
      <c r="CS248" s="335"/>
      <c r="CT248" s="335"/>
      <c r="CU248" s="335"/>
      <c r="CV248" s="335"/>
      <c r="CW248" s="335"/>
      <c r="CX248" s="335"/>
      <c r="CY248" s="335"/>
      <c r="CZ248" s="335"/>
      <c r="DA248" s="335"/>
      <c r="DB248" s="335"/>
      <c r="DC248" s="335"/>
      <c r="DD248" s="335"/>
      <c r="DE248" s="335"/>
      <c r="DF248" s="335"/>
      <c r="DG248" s="335"/>
      <c r="DH248" s="335"/>
      <c r="DI248" s="335"/>
      <c r="DJ248" s="335"/>
      <c r="DK248" s="335"/>
      <c r="DL248" s="335"/>
      <c r="DM248" s="335"/>
      <c r="DN248" s="335"/>
      <c r="DO248" s="335"/>
      <c r="DP248" s="335"/>
      <c r="DQ248" s="335"/>
      <c r="DR248" s="335"/>
      <c r="DS248" s="335"/>
      <c r="DT248" s="335"/>
      <c r="DU248" s="335"/>
      <c r="DV248" s="335"/>
      <c r="DW248" s="335"/>
      <c r="DX248" s="335"/>
      <c r="DY248" s="335"/>
      <c r="DZ248" s="335"/>
      <c r="EA248" s="335"/>
      <c r="EB248" s="335"/>
      <c r="EC248" s="335"/>
      <c r="ED248" s="335"/>
      <c r="EE248" s="335"/>
      <c r="EF248" s="335"/>
      <c r="EG248" s="335"/>
      <c r="EH248" s="335"/>
      <c r="EI248" s="335"/>
      <c r="EJ248" s="335"/>
      <c r="EK248" s="335"/>
      <c r="EL248" s="335"/>
      <c r="EM248" s="335"/>
      <c r="EN248" s="335"/>
      <c r="EO248" s="335"/>
      <c r="EP248" s="335"/>
      <c r="EQ248" s="335"/>
      <c r="ER248" s="335"/>
      <c r="ES248" s="335"/>
      <c r="ET248" s="335"/>
      <c r="EU248" s="335"/>
      <c r="EV248" s="335"/>
      <c r="EW248" s="335"/>
      <c r="EX248" s="335"/>
      <c r="EY248" s="335"/>
      <c r="EZ248" s="335"/>
      <c r="FA248" s="335"/>
      <c r="FB248" s="335"/>
      <c r="FC248" s="335"/>
      <c r="FD248" s="335"/>
      <c r="FE248" s="335"/>
      <c r="FF248" s="335"/>
      <c r="FG248" s="335"/>
      <c r="FH248" s="335"/>
      <c r="FI248" s="335"/>
      <c r="FJ248" s="335"/>
      <c r="FK248" s="335"/>
      <c r="FL248" s="335"/>
      <c r="FM248" s="335"/>
      <c r="FN248" s="335"/>
      <c r="FO248" s="335"/>
      <c r="FP248" s="335"/>
      <c r="FQ248" s="335"/>
      <c r="FR248" s="335"/>
      <c r="FS248" s="335"/>
      <c r="FT248" s="335"/>
      <c r="FU248" s="335"/>
      <c r="FV248" s="335"/>
      <c r="FW248" s="335"/>
      <c r="FX248" s="335"/>
      <c r="FY248" s="335"/>
      <c r="FZ248" s="335"/>
      <c r="GA248" s="335"/>
      <c r="GB248" s="335"/>
      <c r="GC248" s="335"/>
      <c r="GD248" s="335"/>
      <c r="GE248" s="335"/>
      <c r="GF248" s="335"/>
      <c r="GG248" s="335"/>
      <c r="GH248" s="335"/>
      <c r="GI248" s="335"/>
      <c r="GJ248" s="335"/>
      <c r="GK248" s="335"/>
      <c r="GL248" s="335"/>
      <c r="GM248" s="335"/>
      <c r="GN248" s="335"/>
      <c r="GO248" s="335"/>
      <c r="GP248" s="335"/>
      <c r="GQ248" s="335"/>
      <c r="GR248" s="335"/>
      <c r="GS248" s="335"/>
      <c r="GT248" s="335"/>
      <c r="GU248" s="335"/>
      <c r="GV248" s="335"/>
      <c r="GW248" s="335"/>
      <c r="GX248" s="335"/>
      <c r="GY248" s="335"/>
      <c r="GZ248" s="335"/>
    </row>
    <row r="249" spans="1:208" ht="15">
      <c r="A249" s="379"/>
      <c r="B249" s="335"/>
      <c r="C249" s="335"/>
      <c r="D249" s="335"/>
      <c r="E249" s="335"/>
      <c r="F249" s="335"/>
      <c r="G249" s="335"/>
      <c r="H249" s="335"/>
      <c r="I249" s="335"/>
      <c r="J249" s="335"/>
      <c r="K249" s="335"/>
      <c r="L249" s="335"/>
      <c r="M249" s="376"/>
      <c r="N249" s="335"/>
      <c r="O249" s="380"/>
      <c r="P249" s="335"/>
      <c r="Q249" s="335"/>
      <c r="R249" s="335"/>
      <c r="S249" s="335"/>
      <c r="T249" s="335"/>
      <c r="U249" s="335"/>
      <c r="V249" s="335"/>
      <c r="W249" s="335"/>
      <c r="X249" s="335"/>
      <c r="Y249" s="335"/>
      <c r="Z249" s="335"/>
      <c r="AA249" s="335"/>
      <c r="AB249" s="335"/>
      <c r="AC249" s="335"/>
      <c r="AD249" s="335"/>
      <c r="AE249" s="335"/>
      <c r="AF249" s="335"/>
      <c r="AG249" s="335"/>
      <c r="AH249" s="335"/>
      <c r="AI249" s="335"/>
      <c r="AJ249" s="335"/>
      <c r="AK249" s="335"/>
      <c r="AL249" s="335"/>
      <c r="AM249" s="335"/>
      <c r="AN249" s="335"/>
      <c r="AO249" s="335"/>
      <c r="AP249" s="335"/>
      <c r="AQ249" s="335"/>
      <c r="AR249" s="335"/>
      <c r="AS249" s="335"/>
      <c r="AT249" s="335"/>
      <c r="AU249" s="335"/>
      <c r="AV249" s="335"/>
      <c r="AW249" s="335"/>
      <c r="AX249" s="335"/>
      <c r="AY249" s="335"/>
      <c r="AZ249" s="335"/>
      <c r="BA249" s="335"/>
      <c r="BB249" s="335"/>
      <c r="BC249" s="335"/>
      <c r="BD249" s="335"/>
      <c r="BE249" s="335"/>
      <c r="BF249" s="335"/>
      <c r="BG249" s="335"/>
      <c r="BH249" s="335"/>
      <c r="BI249" s="335"/>
      <c r="BJ249" s="335"/>
      <c r="BK249" s="335"/>
      <c r="BL249" s="335"/>
      <c r="BM249" s="335"/>
      <c r="BN249" s="335"/>
      <c r="BO249" s="335"/>
      <c r="BP249" s="335"/>
      <c r="BQ249" s="335"/>
      <c r="BR249" s="335"/>
      <c r="BS249" s="335"/>
      <c r="BT249" s="335"/>
      <c r="BU249" s="335"/>
      <c r="BV249" s="335"/>
      <c r="BW249" s="335"/>
      <c r="BX249" s="335"/>
      <c r="BY249" s="335"/>
      <c r="BZ249" s="335"/>
      <c r="CA249" s="335"/>
      <c r="CB249" s="335"/>
      <c r="CC249" s="335"/>
      <c r="CD249" s="335"/>
      <c r="CE249" s="335"/>
      <c r="CF249" s="335"/>
      <c r="CG249" s="335"/>
      <c r="CH249" s="335"/>
      <c r="CI249" s="335"/>
      <c r="CJ249" s="335"/>
      <c r="CK249" s="335"/>
      <c r="CL249" s="335"/>
      <c r="CM249" s="335"/>
      <c r="CN249" s="335"/>
      <c r="CO249" s="335"/>
      <c r="CP249" s="335"/>
      <c r="CQ249" s="335"/>
      <c r="CR249" s="335"/>
      <c r="CS249" s="335"/>
      <c r="CT249" s="335"/>
      <c r="CU249" s="335"/>
      <c r="CV249" s="335"/>
      <c r="CW249" s="335"/>
      <c r="CX249" s="335"/>
      <c r="CY249" s="335"/>
      <c r="CZ249" s="335"/>
      <c r="DA249" s="335"/>
      <c r="DB249" s="335"/>
      <c r="DC249" s="335"/>
      <c r="DD249" s="335"/>
      <c r="DE249" s="335"/>
      <c r="DF249" s="335"/>
      <c r="DG249" s="335"/>
      <c r="DH249" s="335"/>
      <c r="DI249" s="335"/>
      <c r="DJ249" s="335"/>
      <c r="DK249" s="335"/>
      <c r="DL249" s="335"/>
      <c r="DM249" s="335"/>
      <c r="DN249" s="335"/>
      <c r="DO249" s="335"/>
      <c r="DP249" s="335"/>
      <c r="DQ249" s="335"/>
      <c r="DR249" s="335"/>
      <c r="DS249" s="335"/>
      <c r="DT249" s="335"/>
      <c r="DU249" s="335"/>
      <c r="DV249" s="335"/>
      <c r="DW249" s="335"/>
      <c r="DX249" s="335"/>
      <c r="DY249" s="335"/>
      <c r="DZ249" s="335"/>
      <c r="EA249" s="335"/>
      <c r="EB249" s="335"/>
      <c r="EC249" s="335"/>
      <c r="ED249" s="335"/>
      <c r="EE249" s="335"/>
      <c r="EF249" s="335"/>
      <c r="EG249" s="335"/>
      <c r="EH249" s="335"/>
      <c r="EI249" s="335"/>
      <c r="EJ249" s="335"/>
      <c r="EK249" s="335"/>
      <c r="EL249" s="335"/>
      <c r="EM249" s="335"/>
      <c r="EN249" s="335"/>
      <c r="EO249" s="335"/>
      <c r="EP249" s="335"/>
      <c r="EQ249" s="335"/>
      <c r="ER249" s="335"/>
      <c r="ES249" s="335"/>
      <c r="ET249" s="335"/>
      <c r="EU249" s="335"/>
      <c r="EV249" s="335"/>
      <c r="EW249" s="335"/>
      <c r="EX249" s="335"/>
      <c r="EY249" s="335"/>
      <c r="EZ249" s="335"/>
      <c r="FA249" s="335"/>
      <c r="FB249" s="335"/>
      <c r="FC249" s="335"/>
      <c r="FD249" s="335"/>
      <c r="FE249" s="335"/>
      <c r="FF249" s="335"/>
      <c r="FG249" s="335"/>
      <c r="FH249" s="335"/>
      <c r="FI249" s="335"/>
      <c r="FJ249" s="335"/>
      <c r="FK249" s="335"/>
      <c r="FL249" s="335"/>
      <c r="FM249" s="335"/>
      <c r="FN249" s="335"/>
      <c r="FO249" s="335"/>
      <c r="FP249" s="335"/>
      <c r="FQ249" s="335"/>
      <c r="FR249" s="335"/>
      <c r="FS249" s="335"/>
      <c r="FT249" s="335"/>
      <c r="FU249" s="335"/>
      <c r="FV249" s="335"/>
      <c r="FW249" s="335"/>
      <c r="FX249" s="335"/>
      <c r="FY249" s="335"/>
      <c r="FZ249" s="335"/>
      <c r="GA249" s="335"/>
      <c r="GB249" s="335"/>
      <c r="GC249" s="335"/>
      <c r="GD249" s="335"/>
      <c r="GE249" s="335"/>
      <c r="GF249" s="335"/>
      <c r="GG249" s="335"/>
      <c r="GH249" s="335"/>
      <c r="GI249" s="335"/>
      <c r="GJ249" s="335"/>
      <c r="GK249" s="335"/>
      <c r="GL249" s="335"/>
      <c r="GM249" s="335"/>
      <c r="GN249" s="335"/>
      <c r="GO249" s="335"/>
      <c r="GP249" s="335"/>
      <c r="GQ249" s="335"/>
      <c r="GR249" s="335"/>
      <c r="GS249" s="335"/>
      <c r="GT249" s="335"/>
      <c r="GU249" s="335"/>
      <c r="GV249" s="335"/>
      <c r="GW249" s="335"/>
      <c r="GX249" s="335"/>
      <c r="GY249" s="335"/>
      <c r="GZ249" s="335"/>
    </row>
    <row r="250" spans="1:208" ht="15">
      <c r="A250" s="379"/>
      <c r="B250" s="335"/>
      <c r="C250" s="335"/>
      <c r="D250" s="335"/>
      <c r="E250" s="335"/>
      <c r="F250" s="335"/>
      <c r="G250" s="335"/>
      <c r="H250" s="335"/>
      <c r="I250" s="335"/>
      <c r="J250" s="335"/>
      <c r="K250" s="335"/>
      <c r="L250" s="335"/>
      <c r="M250" s="376"/>
      <c r="N250" s="335"/>
      <c r="O250" s="380"/>
      <c r="P250" s="335"/>
      <c r="Q250" s="335"/>
      <c r="R250" s="335"/>
      <c r="S250" s="335"/>
      <c r="T250" s="335"/>
      <c r="U250" s="335"/>
      <c r="V250" s="335"/>
      <c r="W250" s="335"/>
      <c r="X250" s="335"/>
      <c r="Y250" s="335"/>
      <c r="Z250" s="335"/>
      <c r="AA250" s="335"/>
      <c r="AB250" s="335"/>
      <c r="AC250" s="335"/>
      <c r="AD250" s="335"/>
      <c r="AE250" s="335"/>
      <c r="AF250" s="335"/>
      <c r="AG250" s="335"/>
      <c r="AH250" s="335"/>
      <c r="AI250" s="335"/>
      <c r="AJ250" s="335"/>
      <c r="AK250" s="335"/>
      <c r="AL250" s="335"/>
      <c r="AM250" s="335"/>
      <c r="AN250" s="335"/>
      <c r="AO250" s="335"/>
      <c r="AP250" s="335"/>
      <c r="AQ250" s="335"/>
      <c r="AR250" s="335"/>
      <c r="AS250" s="335"/>
      <c r="AT250" s="335"/>
      <c r="AU250" s="335"/>
      <c r="AV250" s="335"/>
      <c r="AW250" s="335"/>
      <c r="AX250" s="335"/>
      <c r="AY250" s="335"/>
      <c r="AZ250" s="335"/>
      <c r="BA250" s="335"/>
      <c r="BB250" s="335"/>
      <c r="BC250" s="335"/>
      <c r="BD250" s="335"/>
      <c r="BE250" s="335"/>
      <c r="BF250" s="335"/>
      <c r="BG250" s="335"/>
      <c r="BH250" s="335"/>
      <c r="BI250" s="335"/>
      <c r="BJ250" s="335"/>
      <c r="BK250" s="335"/>
      <c r="BL250" s="335"/>
      <c r="BM250" s="335"/>
      <c r="BN250" s="335"/>
      <c r="BO250" s="335"/>
      <c r="BP250" s="335"/>
      <c r="BQ250" s="335"/>
      <c r="BR250" s="335"/>
      <c r="BS250" s="335"/>
      <c r="BT250" s="335"/>
      <c r="BU250" s="335"/>
      <c r="BV250" s="335"/>
      <c r="BW250" s="335"/>
      <c r="BX250" s="335"/>
      <c r="BY250" s="335"/>
      <c r="BZ250" s="335"/>
      <c r="CA250" s="335"/>
      <c r="CB250" s="335"/>
      <c r="CC250" s="335"/>
      <c r="CD250" s="335"/>
      <c r="CE250" s="335"/>
      <c r="CF250" s="335"/>
      <c r="CG250" s="335"/>
      <c r="CH250" s="335"/>
      <c r="CI250" s="335"/>
      <c r="CJ250" s="335"/>
      <c r="CK250" s="335"/>
      <c r="CL250" s="335"/>
      <c r="CM250" s="335"/>
      <c r="CN250" s="335"/>
      <c r="CO250" s="335"/>
      <c r="CP250" s="335"/>
      <c r="CQ250" s="335"/>
      <c r="CR250" s="335"/>
      <c r="CS250" s="335"/>
      <c r="CT250" s="335"/>
      <c r="CU250" s="335"/>
      <c r="CV250" s="335"/>
      <c r="CW250" s="335"/>
      <c r="CX250" s="335"/>
      <c r="CY250" s="335"/>
      <c r="CZ250" s="335"/>
      <c r="DA250" s="335"/>
      <c r="DB250" s="335"/>
      <c r="DC250" s="335"/>
      <c r="DD250" s="335"/>
      <c r="DE250" s="335"/>
      <c r="DF250" s="335"/>
      <c r="DG250" s="335"/>
      <c r="DH250" s="335"/>
      <c r="DI250" s="335"/>
      <c r="DJ250" s="335"/>
      <c r="DK250" s="335"/>
      <c r="DL250" s="335"/>
      <c r="DM250" s="335"/>
      <c r="DN250" s="335"/>
      <c r="DO250" s="335"/>
      <c r="DP250" s="335"/>
      <c r="DQ250" s="335"/>
      <c r="DR250" s="335"/>
      <c r="DS250" s="335"/>
      <c r="DT250" s="335"/>
      <c r="DU250" s="335"/>
      <c r="DV250" s="335"/>
      <c r="DW250" s="335"/>
      <c r="DX250" s="335"/>
      <c r="DY250" s="335"/>
      <c r="DZ250" s="335"/>
      <c r="EA250" s="335"/>
      <c r="EB250" s="335"/>
      <c r="EC250" s="335"/>
      <c r="ED250" s="335"/>
      <c r="EE250" s="335"/>
      <c r="EF250" s="335"/>
      <c r="EG250" s="335"/>
      <c r="EH250" s="335"/>
      <c r="EI250" s="335"/>
      <c r="EJ250" s="335"/>
      <c r="EK250" s="335"/>
      <c r="EL250" s="335"/>
      <c r="EM250" s="335"/>
      <c r="EN250" s="335"/>
      <c r="EO250" s="335"/>
      <c r="EP250" s="335"/>
      <c r="EQ250" s="335"/>
      <c r="ER250" s="335"/>
      <c r="ES250" s="335"/>
      <c r="ET250" s="335"/>
      <c r="EU250" s="335"/>
      <c r="EV250" s="335"/>
      <c r="EW250" s="335"/>
      <c r="EX250" s="335"/>
      <c r="EY250" s="335"/>
      <c r="EZ250" s="335"/>
      <c r="FA250" s="335"/>
      <c r="FB250" s="335"/>
      <c r="FC250" s="335"/>
      <c r="FD250" s="335"/>
      <c r="FE250" s="335"/>
      <c r="FF250" s="335"/>
      <c r="FG250" s="335"/>
      <c r="FH250" s="335"/>
      <c r="FI250" s="335"/>
      <c r="FJ250" s="335"/>
      <c r="FK250" s="335"/>
      <c r="FL250" s="335"/>
      <c r="FM250" s="335"/>
      <c r="FN250" s="335"/>
      <c r="FO250" s="335"/>
      <c r="FP250" s="335"/>
      <c r="FQ250" s="335"/>
      <c r="FR250" s="335"/>
      <c r="FS250" s="335"/>
      <c r="FT250" s="335"/>
      <c r="FU250" s="335"/>
      <c r="FV250" s="335"/>
      <c r="FW250" s="335"/>
      <c r="FX250" s="335"/>
      <c r="FY250" s="335"/>
      <c r="FZ250" s="335"/>
      <c r="GA250" s="335"/>
      <c r="GB250" s="335"/>
      <c r="GC250" s="335"/>
      <c r="GD250" s="335"/>
      <c r="GE250" s="335"/>
      <c r="GF250" s="335"/>
      <c r="GG250" s="335"/>
      <c r="GH250" s="335"/>
      <c r="GI250" s="335"/>
      <c r="GJ250" s="335"/>
      <c r="GK250" s="335"/>
      <c r="GL250" s="335"/>
      <c r="GM250" s="335"/>
      <c r="GN250" s="335"/>
      <c r="GO250" s="335"/>
      <c r="GP250" s="335"/>
      <c r="GQ250" s="335"/>
      <c r="GR250" s="335"/>
      <c r="GS250" s="335"/>
      <c r="GT250" s="335"/>
      <c r="GU250" s="335"/>
      <c r="GV250" s="335"/>
      <c r="GW250" s="335"/>
      <c r="GX250" s="335"/>
      <c r="GY250" s="335"/>
      <c r="GZ250" s="335"/>
    </row>
    <row r="251" spans="1:208" ht="15">
      <c r="A251" s="379"/>
      <c r="B251" s="335"/>
      <c r="C251" s="335"/>
      <c r="D251" s="335"/>
      <c r="E251" s="335"/>
      <c r="F251" s="335"/>
      <c r="G251" s="335"/>
      <c r="H251" s="335"/>
      <c r="I251" s="335"/>
      <c r="J251" s="335"/>
      <c r="K251" s="335"/>
      <c r="L251" s="335"/>
      <c r="M251" s="376"/>
      <c r="N251" s="335"/>
      <c r="O251" s="380"/>
      <c r="P251" s="335"/>
      <c r="Q251" s="335"/>
      <c r="R251" s="335"/>
      <c r="S251" s="335"/>
      <c r="T251" s="335"/>
      <c r="U251" s="335"/>
      <c r="V251" s="335"/>
      <c r="W251" s="335"/>
      <c r="X251" s="335"/>
      <c r="Y251" s="335"/>
      <c r="Z251" s="335"/>
      <c r="AA251" s="335"/>
      <c r="AB251" s="335"/>
      <c r="AC251" s="335"/>
      <c r="AD251" s="335"/>
      <c r="AE251" s="335"/>
      <c r="AF251" s="335"/>
      <c r="AG251" s="335"/>
      <c r="AH251" s="335"/>
      <c r="AI251" s="335"/>
      <c r="AJ251" s="335"/>
      <c r="AK251" s="335"/>
      <c r="AL251" s="335"/>
      <c r="AM251" s="335"/>
      <c r="AN251" s="335"/>
      <c r="AO251" s="335"/>
      <c r="AP251" s="335"/>
      <c r="AQ251" s="335"/>
      <c r="AR251" s="335"/>
      <c r="AS251" s="335"/>
      <c r="AT251" s="335"/>
      <c r="AU251" s="335"/>
      <c r="AV251" s="335"/>
      <c r="AW251" s="335"/>
      <c r="AX251" s="335"/>
      <c r="AY251" s="335"/>
      <c r="AZ251" s="335"/>
      <c r="BA251" s="335"/>
      <c r="BB251" s="335"/>
      <c r="BC251" s="335"/>
      <c r="BD251" s="335"/>
      <c r="BE251" s="335"/>
      <c r="BF251" s="335"/>
      <c r="BG251" s="335"/>
      <c r="BH251" s="335"/>
      <c r="BI251" s="335"/>
      <c r="BJ251" s="335"/>
      <c r="BK251" s="335"/>
      <c r="BL251" s="335"/>
      <c r="BM251" s="335"/>
      <c r="BN251" s="335"/>
      <c r="BO251" s="335"/>
      <c r="BP251" s="335"/>
      <c r="BQ251" s="335"/>
      <c r="BR251" s="335"/>
      <c r="BS251" s="335"/>
      <c r="BT251" s="335"/>
      <c r="BU251" s="335"/>
      <c r="BV251" s="335"/>
      <c r="BW251" s="335"/>
      <c r="BX251" s="335"/>
      <c r="BY251" s="335"/>
      <c r="BZ251" s="335"/>
      <c r="CA251" s="335"/>
      <c r="CB251" s="335"/>
      <c r="CC251" s="335"/>
      <c r="CD251" s="335"/>
      <c r="CE251" s="335"/>
      <c r="CF251" s="335"/>
      <c r="CG251" s="335"/>
      <c r="CH251" s="335"/>
      <c r="CI251" s="335"/>
      <c r="CJ251" s="335"/>
      <c r="CK251" s="335"/>
      <c r="CL251" s="335"/>
      <c r="CM251" s="335"/>
      <c r="CN251" s="335"/>
      <c r="CO251" s="335"/>
      <c r="CP251" s="335"/>
      <c r="CQ251" s="335"/>
      <c r="CR251" s="335"/>
      <c r="CS251" s="335"/>
      <c r="CT251" s="335"/>
      <c r="CU251" s="335"/>
      <c r="CV251" s="335"/>
      <c r="CW251" s="335"/>
      <c r="CX251" s="335"/>
      <c r="CY251" s="335"/>
      <c r="CZ251" s="335"/>
      <c r="DA251" s="335"/>
      <c r="DB251" s="335"/>
      <c r="DC251" s="335"/>
      <c r="DD251" s="335"/>
      <c r="DE251" s="335"/>
      <c r="DF251" s="335"/>
      <c r="DG251" s="335"/>
      <c r="DH251" s="335"/>
      <c r="DI251" s="335"/>
      <c r="DJ251" s="335"/>
      <c r="DK251" s="335"/>
      <c r="DL251" s="335"/>
      <c r="DM251" s="335"/>
      <c r="DN251" s="335"/>
      <c r="DO251" s="335"/>
      <c r="DP251" s="335"/>
      <c r="DQ251" s="335"/>
      <c r="DR251" s="335"/>
      <c r="DS251" s="335"/>
      <c r="DT251" s="335"/>
      <c r="DU251" s="335"/>
      <c r="DV251" s="335"/>
      <c r="DW251" s="335"/>
      <c r="DX251" s="335"/>
      <c r="DY251" s="335"/>
      <c r="DZ251" s="335"/>
      <c r="EA251" s="335"/>
      <c r="EB251" s="335"/>
      <c r="EC251" s="335"/>
      <c r="ED251" s="335"/>
      <c r="EE251" s="335"/>
      <c r="EF251" s="335"/>
      <c r="EG251" s="335"/>
      <c r="EH251" s="335"/>
      <c r="EI251" s="335"/>
      <c r="EJ251" s="335"/>
      <c r="EK251" s="335"/>
      <c r="EL251" s="335"/>
      <c r="EM251" s="335"/>
      <c r="EN251" s="335"/>
      <c r="EO251" s="335"/>
      <c r="EP251" s="335"/>
      <c r="EQ251" s="335"/>
      <c r="ER251" s="335"/>
      <c r="ES251" s="335"/>
      <c r="ET251" s="335"/>
      <c r="EU251" s="335"/>
      <c r="EV251" s="335"/>
      <c r="EW251" s="335"/>
      <c r="EX251" s="335"/>
      <c r="EY251" s="335"/>
      <c r="EZ251" s="335"/>
      <c r="FA251" s="335"/>
      <c r="FB251" s="335"/>
      <c r="FC251" s="335"/>
      <c r="FD251" s="335"/>
      <c r="FE251" s="335"/>
      <c r="FF251" s="335"/>
      <c r="FG251" s="335"/>
      <c r="FH251" s="335"/>
      <c r="FI251" s="335"/>
      <c r="FJ251" s="335"/>
      <c r="FK251" s="335"/>
      <c r="FL251" s="335"/>
      <c r="FM251" s="335"/>
      <c r="FN251" s="335"/>
      <c r="FO251" s="335"/>
      <c r="FP251" s="335"/>
      <c r="FQ251" s="335"/>
      <c r="FR251" s="335"/>
      <c r="FS251" s="335"/>
      <c r="FT251" s="335"/>
      <c r="FU251" s="335"/>
      <c r="FV251" s="335"/>
      <c r="FW251" s="335"/>
      <c r="FX251" s="335"/>
      <c r="FY251" s="335"/>
      <c r="FZ251" s="335"/>
      <c r="GA251" s="335"/>
      <c r="GB251" s="335"/>
      <c r="GC251" s="335"/>
      <c r="GD251" s="335"/>
      <c r="GE251" s="335"/>
      <c r="GF251" s="335"/>
      <c r="GG251" s="335"/>
      <c r="GH251" s="335"/>
      <c r="GI251" s="335"/>
      <c r="GJ251" s="335"/>
      <c r="GK251" s="335"/>
      <c r="GL251" s="335"/>
      <c r="GM251" s="335"/>
      <c r="GN251" s="335"/>
      <c r="GO251" s="335"/>
      <c r="GP251" s="335"/>
      <c r="GQ251" s="335"/>
      <c r="GR251" s="335"/>
      <c r="GS251" s="335"/>
      <c r="GT251" s="335"/>
      <c r="GU251" s="335"/>
      <c r="GV251" s="335"/>
      <c r="GW251" s="335"/>
      <c r="GX251" s="335"/>
      <c r="GY251" s="335"/>
      <c r="GZ251" s="335"/>
    </row>
    <row r="252" spans="1:208" ht="15">
      <c r="A252" s="379"/>
      <c r="B252" s="335"/>
      <c r="C252" s="335"/>
      <c r="D252" s="335"/>
      <c r="E252" s="335"/>
      <c r="F252" s="335"/>
      <c r="G252" s="335"/>
      <c r="H252" s="335"/>
      <c r="I252" s="335"/>
      <c r="J252" s="335"/>
      <c r="K252" s="335"/>
      <c r="L252" s="335"/>
      <c r="M252" s="376"/>
      <c r="N252" s="335"/>
      <c r="O252" s="380"/>
      <c r="P252" s="335"/>
      <c r="Q252" s="335"/>
      <c r="R252" s="335"/>
      <c r="S252" s="335"/>
      <c r="T252" s="335"/>
      <c r="U252" s="335"/>
      <c r="V252" s="335"/>
      <c r="W252" s="335"/>
      <c r="X252" s="335"/>
      <c r="Y252" s="335"/>
      <c r="Z252" s="335"/>
      <c r="AA252" s="335"/>
      <c r="AB252" s="335"/>
      <c r="AC252" s="335"/>
      <c r="AD252" s="335"/>
      <c r="AE252" s="335"/>
      <c r="AF252" s="335"/>
      <c r="AG252" s="335"/>
      <c r="AH252" s="335"/>
      <c r="AI252" s="335"/>
      <c r="AJ252" s="335"/>
      <c r="AK252" s="335"/>
      <c r="AL252" s="335"/>
      <c r="AM252" s="335"/>
      <c r="AN252" s="335"/>
      <c r="AO252" s="335"/>
      <c r="AP252" s="335"/>
      <c r="AQ252" s="335"/>
      <c r="AR252" s="335"/>
      <c r="AS252" s="335"/>
      <c r="AT252" s="335"/>
      <c r="AU252" s="335"/>
      <c r="AV252" s="335"/>
      <c r="AW252" s="335"/>
      <c r="AX252" s="335"/>
      <c r="AY252" s="335"/>
      <c r="AZ252" s="335"/>
      <c r="BA252" s="335"/>
      <c r="BB252" s="335"/>
      <c r="BC252" s="335"/>
      <c r="BD252" s="335"/>
      <c r="BE252" s="335"/>
      <c r="BF252" s="335"/>
      <c r="BG252" s="335"/>
      <c r="BH252" s="335"/>
      <c r="BI252" s="335"/>
      <c r="BJ252" s="335"/>
      <c r="BK252" s="335"/>
      <c r="BL252" s="335"/>
      <c r="BM252" s="335"/>
      <c r="BN252" s="335"/>
      <c r="BO252" s="335"/>
      <c r="BP252" s="335"/>
      <c r="BQ252" s="335"/>
      <c r="BR252" s="335"/>
      <c r="BS252" s="335"/>
      <c r="BT252" s="335"/>
      <c r="BU252" s="335"/>
      <c r="BV252" s="335"/>
      <c r="BW252" s="335"/>
      <c r="BX252" s="335"/>
      <c r="BY252" s="335"/>
      <c r="BZ252" s="335"/>
      <c r="CA252" s="335"/>
      <c r="CB252" s="335"/>
      <c r="CC252" s="335"/>
      <c r="CD252" s="335"/>
      <c r="CE252" s="335"/>
      <c r="CF252" s="335"/>
      <c r="CG252" s="335"/>
      <c r="CH252" s="335"/>
      <c r="CI252" s="335"/>
      <c r="CJ252" s="335"/>
      <c r="CK252" s="335"/>
      <c r="CL252" s="335"/>
      <c r="CM252" s="335"/>
      <c r="CN252" s="335"/>
      <c r="CO252" s="335"/>
      <c r="CP252" s="335"/>
      <c r="CQ252" s="335"/>
      <c r="CR252" s="335"/>
      <c r="CS252" s="335"/>
      <c r="CT252" s="335"/>
      <c r="CU252" s="335"/>
      <c r="CV252" s="335"/>
      <c r="CW252" s="335"/>
      <c r="CX252" s="335"/>
      <c r="CY252" s="335"/>
      <c r="CZ252" s="335"/>
      <c r="DA252" s="335"/>
      <c r="DB252" s="335"/>
      <c r="DC252" s="335"/>
      <c r="DD252" s="335"/>
      <c r="DE252" s="335"/>
      <c r="DF252" s="335"/>
      <c r="DG252" s="335"/>
      <c r="DH252" s="335"/>
      <c r="DI252" s="335"/>
      <c r="DJ252" s="335"/>
      <c r="DK252" s="335"/>
      <c r="DL252" s="335"/>
      <c r="DM252" s="335"/>
      <c r="DN252" s="335"/>
      <c r="DO252" s="335"/>
      <c r="DP252" s="335"/>
      <c r="DQ252" s="335"/>
      <c r="DR252" s="335"/>
      <c r="DS252" s="335"/>
      <c r="DT252" s="335"/>
      <c r="DU252" s="335"/>
      <c r="DV252" s="335"/>
      <c r="DW252" s="335"/>
      <c r="DX252" s="335"/>
      <c r="DY252" s="335"/>
      <c r="DZ252" s="335"/>
      <c r="EA252" s="335"/>
      <c r="EB252" s="335"/>
      <c r="EC252" s="335"/>
      <c r="ED252" s="335"/>
      <c r="EE252" s="335"/>
      <c r="EF252" s="335"/>
      <c r="EG252" s="335"/>
      <c r="EH252" s="335"/>
      <c r="EI252" s="335"/>
      <c r="EJ252" s="335"/>
      <c r="EK252" s="335"/>
      <c r="EL252" s="335"/>
      <c r="EM252" s="335"/>
      <c r="EN252" s="335"/>
      <c r="EO252" s="335"/>
      <c r="EP252" s="335"/>
      <c r="EQ252" s="335"/>
      <c r="ER252" s="335"/>
      <c r="ES252" s="335"/>
      <c r="ET252" s="335"/>
      <c r="EU252" s="335"/>
      <c r="EV252" s="335"/>
      <c r="EW252" s="335"/>
      <c r="EX252" s="335"/>
      <c r="EY252" s="335"/>
      <c r="EZ252" s="335"/>
      <c r="FA252" s="335"/>
      <c r="FB252" s="335"/>
      <c r="FC252" s="335"/>
      <c r="FD252" s="335"/>
      <c r="FE252" s="335"/>
      <c r="FF252" s="335"/>
      <c r="FG252" s="335"/>
      <c r="FH252" s="335"/>
      <c r="FI252" s="335"/>
      <c r="FJ252" s="335"/>
      <c r="FK252" s="335"/>
      <c r="FL252" s="335"/>
      <c r="FM252" s="335"/>
      <c r="FN252" s="335"/>
      <c r="FO252" s="335"/>
      <c r="FP252" s="335"/>
      <c r="FQ252" s="335"/>
      <c r="FR252" s="335"/>
      <c r="FS252" s="335"/>
      <c r="FT252" s="335"/>
      <c r="FU252" s="335"/>
      <c r="FV252" s="335"/>
      <c r="FW252" s="335"/>
      <c r="FX252" s="335"/>
      <c r="FY252" s="335"/>
      <c r="FZ252" s="335"/>
      <c r="GA252" s="335"/>
      <c r="GB252" s="335"/>
      <c r="GC252" s="335"/>
      <c r="GD252" s="335"/>
      <c r="GE252" s="335"/>
      <c r="GF252" s="335"/>
      <c r="GG252" s="335"/>
      <c r="GH252" s="335"/>
      <c r="GI252" s="335"/>
      <c r="GJ252" s="335"/>
      <c r="GK252" s="335"/>
      <c r="GL252" s="335"/>
      <c r="GM252" s="335"/>
      <c r="GN252" s="335"/>
      <c r="GO252" s="335"/>
      <c r="GP252" s="335"/>
      <c r="GQ252" s="335"/>
      <c r="GR252" s="335"/>
      <c r="GS252" s="335"/>
      <c r="GT252" s="335"/>
      <c r="GU252" s="335"/>
      <c r="GV252" s="335"/>
      <c r="GW252" s="335"/>
      <c r="GX252" s="335"/>
      <c r="GY252" s="335"/>
      <c r="GZ252" s="335"/>
    </row>
    <row r="253" spans="1:208" ht="15">
      <c r="A253" s="379"/>
      <c r="B253" s="335"/>
      <c r="C253" s="335"/>
      <c r="D253" s="335"/>
      <c r="E253" s="335"/>
      <c r="F253" s="335"/>
      <c r="G253" s="335"/>
      <c r="H253" s="335"/>
      <c r="I253" s="335"/>
      <c r="J253" s="335"/>
      <c r="K253" s="335"/>
      <c r="L253" s="335"/>
      <c r="M253" s="376"/>
      <c r="N253" s="335"/>
      <c r="O253" s="380"/>
      <c r="P253" s="335"/>
      <c r="Q253" s="335"/>
      <c r="R253" s="335"/>
      <c r="S253" s="335"/>
      <c r="T253" s="335"/>
      <c r="U253" s="335"/>
      <c r="V253" s="335"/>
      <c r="W253" s="335"/>
      <c r="X253" s="335"/>
      <c r="Y253" s="335"/>
      <c r="Z253" s="335"/>
      <c r="AA253" s="335"/>
      <c r="AB253" s="335"/>
      <c r="AC253" s="335"/>
      <c r="AD253" s="335"/>
      <c r="AE253" s="335"/>
      <c r="AF253" s="335"/>
      <c r="AG253" s="335"/>
      <c r="AH253" s="335"/>
      <c r="AI253" s="335"/>
      <c r="AJ253" s="335"/>
      <c r="AK253" s="335"/>
      <c r="AL253" s="335"/>
      <c r="AM253" s="335"/>
      <c r="AN253" s="335"/>
      <c r="AO253" s="335"/>
      <c r="AP253" s="335"/>
      <c r="AQ253" s="335"/>
      <c r="AR253" s="335"/>
      <c r="AS253" s="335"/>
      <c r="AT253" s="335"/>
      <c r="AU253" s="335"/>
      <c r="AV253" s="335"/>
      <c r="AW253" s="335"/>
      <c r="AX253" s="335"/>
      <c r="AY253" s="335"/>
      <c r="AZ253" s="335"/>
      <c r="BA253" s="335"/>
      <c r="BB253" s="335"/>
      <c r="BC253" s="335"/>
      <c r="BD253" s="335"/>
      <c r="BE253" s="335"/>
      <c r="BF253" s="335"/>
      <c r="BG253" s="335"/>
      <c r="BH253" s="335"/>
      <c r="BI253" s="335"/>
      <c r="BJ253" s="335"/>
      <c r="BK253" s="335"/>
      <c r="BL253" s="335"/>
      <c r="BM253" s="335"/>
      <c r="BN253" s="335"/>
      <c r="BO253" s="335"/>
      <c r="BP253" s="335"/>
      <c r="BQ253" s="335"/>
      <c r="BR253" s="335"/>
      <c r="BS253" s="335"/>
      <c r="BT253" s="335"/>
      <c r="BU253" s="335"/>
      <c r="BV253" s="335"/>
      <c r="BW253" s="335"/>
      <c r="BX253" s="335"/>
      <c r="BY253" s="335"/>
      <c r="BZ253" s="335"/>
      <c r="CA253" s="335"/>
      <c r="CB253" s="335"/>
      <c r="CC253" s="335"/>
      <c r="CD253" s="335"/>
      <c r="CE253" s="335"/>
      <c r="CF253" s="335"/>
      <c r="CG253" s="335"/>
      <c r="CH253" s="335"/>
      <c r="CI253" s="335"/>
      <c r="CJ253" s="335"/>
      <c r="CK253" s="335"/>
      <c r="CL253" s="335"/>
      <c r="CM253" s="335"/>
      <c r="CN253" s="335"/>
      <c r="CO253" s="335"/>
      <c r="CP253" s="335"/>
      <c r="CQ253" s="335"/>
      <c r="CR253" s="335"/>
      <c r="CS253" s="335"/>
      <c r="CT253" s="335"/>
      <c r="CU253" s="335"/>
      <c r="CV253" s="335"/>
      <c r="CW253" s="335"/>
      <c r="CX253" s="335"/>
      <c r="CY253" s="335"/>
      <c r="CZ253" s="335"/>
      <c r="DA253" s="335"/>
      <c r="DB253" s="335"/>
      <c r="DC253" s="335"/>
      <c r="DD253" s="335"/>
      <c r="DE253" s="335"/>
      <c r="DF253" s="335"/>
      <c r="DG253" s="335"/>
      <c r="DH253" s="335"/>
      <c r="DI253" s="335"/>
      <c r="DJ253" s="335"/>
      <c r="DK253" s="335"/>
      <c r="DL253" s="335"/>
      <c r="DM253" s="335"/>
      <c r="DN253" s="335"/>
      <c r="DO253" s="335"/>
      <c r="DP253" s="335"/>
      <c r="DQ253" s="335"/>
      <c r="DR253" s="335"/>
      <c r="DS253" s="335"/>
      <c r="DT253" s="335"/>
      <c r="DU253" s="335"/>
      <c r="DV253" s="335"/>
      <c r="DW253" s="335"/>
      <c r="DX253" s="335"/>
      <c r="DY253" s="335"/>
      <c r="DZ253" s="335"/>
      <c r="EA253" s="335"/>
      <c r="EB253" s="335"/>
      <c r="EC253" s="335"/>
      <c r="ED253" s="335"/>
      <c r="EE253" s="335"/>
      <c r="EF253" s="335"/>
      <c r="EG253" s="335"/>
      <c r="EH253" s="335"/>
      <c r="EI253" s="335"/>
      <c r="EJ253" s="335"/>
      <c r="EK253" s="335"/>
      <c r="EL253" s="335"/>
      <c r="EM253" s="335"/>
      <c r="EN253" s="335"/>
      <c r="EO253" s="335"/>
      <c r="EP253" s="335"/>
      <c r="EQ253" s="335"/>
      <c r="ER253" s="335"/>
      <c r="ES253" s="335"/>
      <c r="ET253" s="335"/>
      <c r="EU253" s="335"/>
      <c r="EV253" s="335"/>
      <c r="EW253" s="335"/>
      <c r="EX253" s="335"/>
      <c r="EY253" s="335"/>
      <c r="EZ253" s="335"/>
      <c r="FA253" s="335"/>
      <c r="FB253" s="335"/>
      <c r="FC253" s="335"/>
      <c r="FD253" s="335"/>
      <c r="FE253" s="335"/>
      <c r="FF253" s="335"/>
      <c r="FG253" s="335"/>
      <c r="FH253" s="335"/>
      <c r="FI253" s="335"/>
      <c r="FJ253" s="335"/>
      <c r="FK253" s="335"/>
      <c r="FL253" s="335"/>
      <c r="FM253" s="335"/>
      <c r="FN253" s="335"/>
      <c r="FO253" s="335"/>
      <c r="FP253" s="335"/>
      <c r="FQ253" s="335"/>
      <c r="FR253" s="335"/>
      <c r="FS253" s="335"/>
      <c r="FT253" s="335"/>
      <c r="FU253" s="335"/>
      <c r="FV253" s="335"/>
      <c r="FW253" s="335"/>
      <c r="FX253" s="335"/>
      <c r="FY253" s="335"/>
      <c r="FZ253" s="335"/>
      <c r="GA253" s="335"/>
      <c r="GB253" s="335"/>
      <c r="GC253" s="335"/>
      <c r="GD253" s="335"/>
      <c r="GE253" s="335"/>
      <c r="GF253" s="335"/>
      <c r="GG253" s="335"/>
      <c r="GH253" s="335"/>
      <c r="GI253" s="335"/>
      <c r="GJ253" s="335"/>
      <c r="GK253" s="335"/>
      <c r="GL253" s="335"/>
      <c r="GM253" s="335"/>
      <c r="GN253" s="335"/>
      <c r="GO253" s="335"/>
      <c r="GP253" s="335"/>
      <c r="GQ253" s="335"/>
      <c r="GR253" s="335"/>
      <c r="GS253" s="335"/>
      <c r="GT253" s="335"/>
      <c r="GU253" s="335"/>
      <c r="GV253" s="335"/>
      <c r="GW253" s="335"/>
      <c r="GX253" s="335"/>
      <c r="GY253" s="335"/>
      <c r="GZ253" s="335"/>
    </row>
    <row r="254" spans="1:208" ht="15">
      <c r="A254" s="379"/>
      <c r="B254" s="335"/>
      <c r="C254" s="335"/>
      <c r="D254" s="335"/>
      <c r="E254" s="335"/>
      <c r="F254" s="335"/>
      <c r="G254" s="335"/>
      <c r="H254" s="335"/>
      <c r="I254" s="335"/>
      <c r="J254" s="335"/>
      <c r="K254" s="335"/>
      <c r="L254" s="335"/>
      <c r="M254" s="376"/>
      <c r="N254" s="335"/>
      <c r="O254" s="380"/>
      <c r="P254" s="335"/>
      <c r="Q254" s="335"/>
      <c r="R254" s="335"/>
      <c r="S254" s="335"/>
      <c r="T254" s="335"/>
      <c r="U254" s="335"/>
      <c r="V254" s="335"/>
      <c r="W254" s="335"/>
      <c r="X254" s="335"/>
      <c r="Y254" s="335"/>
      <c r="Z254" s="335"/>
      <c r="AA254" s="335"/>
      <c r="AB254" s="335"/>
      <c r="AC254" s="335"/>
      <c r="AD254" s="335"/>
      <c r="AE254" s="335"/>
      <c r="AF254" s="335"/>
      <c r="AG254" s="335"/>
      <c r="AH254" s="335"/>
      <c r="AI254" s="335"/>
      <c r="AJ254" s="335"/>
      <c r="AK254" s="335"/>
      <c r="AL254" s="335"/>
      <c r="AM254" s="335"/>
      <c r="AN254" s="335"/>
      <c r="AO254" s="335"/>
      <c r="AP254" s="335"/>
      <c r="AQ254" s="335"/>
      <c r="AR254" s="335"/>
      <c r="AS254" s="335"/>
      <c r="AT254" s="335"/>
      <c r="AU254" s="335"/>
      <c r="AV254" s="335"/>
      <c r="AW254" s="335"/>
      <c r="AX254" s="335"/>
      <c r="AY254" s="335"/>
      <c r="AZ254" s="335"/>
      <c r="BA254" s="335"/>
      <c r="BB254" s="335"/>
      <c r="BC254" s="335"/>
      <c r="BD254" s="335"/>
      <c r="BE254" s="335"/>
      <c r="BF254" s="335"/>
      <c r="BG254" s="335"/>
      <c r="BH254" s="335"/>
      <c r="BI254" s="335"/>
      <c r="BJ254" s="335"/>
      <c r="BK254" s="335"/>
      <c r="BL254" s="335"/>
      <c r="BM254" s="335"/>
      <c r="BN254" s="335"/>
      <c r="BO254" s="335"/>
      <c r="BP254" s="335"/>
      <c r="BQ254" s="335"/>
      <c r="BR254" s="335"/>
      <c r="BS254" s="335"/>
      <c r="BT254" s="335"/>
      <c r="BU254" s="335"/>
      <c r="BV254" s="335"/>
      <c r="BW254" s="335"/>
      <c r="BX254" s="335"/>
      <c r="BY254" s="335"/>
      <c r="BZ254" s="335"/>
      <c r="CA254" s="335"/>
      <c r="CB254" s="335"/>
      <c r="CC254" s="335"/>
      <c r="CD254" s="335"/>
      <c r="CE254" s="335"/>
      <c r="CF254" s="335"/>
      <c r="CG254" s="335"/>
      <c r="CH254" s="335"/>
      <c r="CI254" s="335"/>
      <c r="CJ254" s="335"/>
      <c r="CK254" s="335"/>
      <c r="CL254" s="335"/>
      <c r="CM254" s="335"/>
      <c r="CN254" s="335"/>
      <c r="CO254" s="335"/>
      <c r="CP254" s="335"/>
      <c r="CQ254" s="335"/>
      <c r="CR254" s="335"/>
      <c r="CS254" s="335"/>
      <c r="CT254" s="335"/>
      <c r="CU254" s="335"/>
      <c r="CV254" s="335"/>
      <c r="CW254" s="335"/>
      <c r="CX254" s="335"/>
      <c r="CY254" s="335"/>
      <c r="CZ254" s="335"/>
      <c r="DA254" s="335"/>
      <c r="DB254" s="335"/>
      <c r="DC254" s="335"/>
      <c r="DD254" s="335"/>
      <c r="DE254" s="335"/>
      <c r="DF254" s="335"/>
      <c r="DG254" s="335"/>
      <c r="DH254" s="335"/>
      <c r="DI254" s="335"/>
      <c r="DJ254" s="335"/>
      <c r="DK254" s="335"/>
      <c r="DL254" s="335"/>
      <c r="DM254" s="335"/>
      <c r="DN254" s="335"/>
      <c r="DO254" s="335"/>
      <c r="DP254" s="335"/>
      <c r="DQ254" s="335"/>
      <c r="DR254" s="335"/>
      <c r="DS254" s="335"/>
      <c r="DT254" s="335"/>
      <c r="DU254" s="335"/>
      <c r="DV254" s="335"/>
      <c r="DW254" s="335"/>
      <c r="DX254" s="335"/>
      <c r="DY254" s="335"/>
      <c r="DZ254" s="335"/>
      <c r="EA254" s="335"/>
      <c r="EB254" s="335"/>
      <c r="EC254" s="335"/>
      <c r="ED254" s="335"/>
      <c r="EE254" s="335"/>
      <c r="EF254" s="335"/>
      <c r="EG254" s="335"/>
      <c r="EH254" s="335"/>
      <c r="EI254" s="335"/>
      <c r="EJ254" s="335"/>
      <c r="EK254" s="335"/>
      <c r="EL254" s="335"/>
      <c r="EM254" s="335"/>
      <c r="EN254" s="335"/>
      <c r="EO254" s="335"/>
      <c r="EP254" s="335"/>
      <c r="EQ254" s="335"/>
      <c r="ER254" s="335"/>
      <c r="ES254" s="335"/>
      <c r="ET254" s="335"/>
      <c r="EU254" s="335"/>
      <c r="EV254" s="335"/>
      <c r="EW254" s="335"/>
      <c r="EX254" s="335"/>
      <c r="EY254" s="335"/>
      <c r="EZ254" s="335"/>
      <c r="FA254" s="335"/>
      <c r="FB254" s="335"/>
      <c r="FC254" s="335"/>
      <c r="FD254" s="335"/>
      <c r="FE254" s="335"/>
      <c r="FF254" s="335"/>
      <c r="FG254" s="335"/>
      <c r="FH254" s="335"/>
      <c r="FI254" s="335"/>
      <c r="FJ254" s="335"/>
      <c r="FK254" s="335"/>
      <c r="FL254" s="335"/>
      <c r="FM254" s="335"/>
      <c r="FN254" s="335"/>
      <c r="FO254" s="335"/>
      <c r="FP254" s="335"/>
      <c r="FQ254" s="335"/>
      <c r="FR254" s="335"/>
      <c r="FS254" s="335"/>
      <c r="FT254" s="335"/>
      <c r="FU254" s="335"/>
      <c r="FV254" s="335"/>
      <c r="FW254" s="335"/>
      <c r="FX254" s="335"/>
      <c r="FY254" s="335"/>
      <c r="FZ254" s="335"/>
      <c r="GA254" s="335"/>
      <c r="GB254" s="335"/>
      <c r="GC254" s="335"/>
      <c r="GD254" s="335"/>
      <c r="GE254" s="335"/>
      <c r="GF254" s="335"/>
      <c r="GG254" s="335"/>
      <c r="GH254" s="335"/>
      <c r="GI254" s="335"/>
      <c r="GJ254" s="335"/>
      <c r="GK254" s="335"/>
      <c r="GL254" s="335"/>
      <c r="GM254" s="335"/>
      <c r="GN254" s="335"/>
      <c r="GO254" s="335"/>
      <c r="GP254" s="335"/>
      <c r="GQ254" s="335"/>
      <c r="GR254" s="335"/>
      <c r="GS254" s="335"/>
      <c r="GT254" s="335"/>
      <c r="GU254" s="335"/>
      <c r="GV254" s="335"/>
      <c r="GW254" s="335"/>
      <c r="GX254" s="335"/>
      <c r="GY254" s="335"/>
      <c r="GZ254" s="335"/>
    </row>
    <row r="255" spans="1:208" ht="15">
      <c r="A255" s="379"/>
      <c r="B255" s="335"/>
      <c r="C255" s="335"/>
      <c r="D255" s="335"/>
      <c r="E255" s="335"/>
      <c r="F255" s="335"/>
      <c r="G255" s="335"/>
      <c r="H255" s="335"/>
      <c r="I255" s="335"/>
      <c r="J255" s="335"/>
      <c r="K255" s="335"/>
      <c r="L255" s="335"/>
      <c r="M255" s="376"/>
      <c r="N255" s="335"/>
      <c r="O255" s="380"/>
      <c r="P255" s="335"/>
      <c r="Q255" s="335"/>
      <c r="R255" s="335"/>
      <c r="S255" s="335"/>
      <c r="T255" s="335"/>
      <c r="U255" s="335"/>
      <c r="V255" s="335"/>
      <c r="W255" s="335"/>
      <c r="X255" s="335"/>
      <c r="Y255" s="335"/>
      <c r="Z255" s="335"/>
      <c r="AA255" s="335"/>
      <c r="AB255" s="335"/>
      <c r="AC255" s="335"/>
      <c r="AD255" s="335"/>
      <c r="AE255" s="335"/>
      <c r="AF255" s="335"/>
      <c r="AG255" s="335"/>
      <c r="AH255" s="335"/>
      <c r="AI255" s="335"/>
      <c r="AJ255" s="335"/>
      <c r="AK255" s="335"/>
      <c r="AL255" s="335"/>
      <c r="AM255" s="335"/>
      <c r="AN255" s="335"/>
      <c r="AO255" s="335"/>
      <c r="AP255" s="335"/>
      <c r="AQ255" s="335"/>
      <c r="AR255" s="335"/>
      <c r="AS255" s="335"/>
      <c r="AT255" s="335"/>
      <c r="AU255" s="335"/>
      <c r="AV255" s="335"/>
      <c r="AW255" s="335"/>
      <c r="AX255" s="335"/>
      <c r="AY255" s="335"/>
      <c r="AZ255" s="335"/>
      <c r="BA255" s="335"/>
      <c r="BB255" s="335"/>
      <c r="BC255" s="335"/>
      <c r="BD255" s="335"/>
      <c r="BE255" s="335"/>
      <c r="BF255" s="335"/>
      <c r="BG255" s="335"/>
      <c r="BH255" s="335"/>
      <c r="BI255" s="335"/>
      <c r="BJ255" s="335"/>
      <c r="BK255" s="335"/>
      <c r="BL255" s="335"/>
      <c r="BM255" s="335"/>
      <c r="BN255" s="335"/>
      <c r="BO255" s="335"/>
      <c r="BP255" s="335"/>
      <c r="BQ255" s="335"/>
      <c r="BR255" s="335"/>
      <c r="BS255" s="335"/>
      <c r="BT255" s="335"/>
      <c r="BU255" s="335"/>
      <c r="BV255" s="335"/>
      <c r="BW255" s="335"/>
      <c r="BX255" s="335"/>
      <c r="BY255" s="335"/>
      <c r="BZ255" s="335"/>
      <c r="CA255" s="335"/>
      <c r="CB255" s="335"/>
      <c r="CC255" s="335"/>
      <c r="CD255" s="335"/>
      <c r="CE255" s="335"/>
      <c r="CF255" s="335"/>
      <c r="CG255" s="335"/>
      <c r="CH255" s="335"/>
      <c r="CI255" s="335"/>
      <c r="CJ255" s="335"/>
      <c r="CK255" s="335"/>
      <c r="CL255" s="335"/>
      <c r="CM255" s="335"/>
      <c r="CN255" s="335"/>
      <c r="CO255" s="335"/>
      <c r="CP255" s="335"/>
      <c r="CQ255" s="335"/>
      <c r="CR255" s="335"/>
      <c r="CS255" s="335"/>
      <c r="CT255" s="335"/>
      <c r="CU255" s="335"/>
      <c r="CV255" s="335"/>
      <c r="CW255" s="335"/>
      <c r="CX255" s="335"/>
      <c r="CY255" s="335"/>
      <c r="CZ255" s="335"/>
      <c r="DA255" s="335"/>
      <c r="DB255" s="335"/>
      <c r="DC255" s="335"/>
      <c r="DD255" s="335"/>
      <c r="DE255" s="335"/>
      <c r="DF255" s="335"/>
      <c r="DG255" s="335"/>
      <c r="DH255" s="335"/>
      <c r="DI255" s="335"/>
      <c r="DJ255" s="335"/>
      <c r="DK255" s="335"/>
      <c r="DL255" s="335"/>
      <c r="DM255" s="335"/>
      <c r="DN255" s="335"/>
      <c r="DO255" s="335"/>
      <c r="DP255" s="335"/>
      <c r="DQ255" s="335"/>
      <c r="DR255" s="335"/>
      <c r="DS255" s="335"/>
      <c r="DT255" s="335"/>
      <c r="DU255" s="335"/>
      <c r="DV255" s="335"/>
      <c r="DW255" s="335"/>
      <c r="DX255" s="335"/>
      <c r="DY255" s="335"/>
      <c r="DZ255" s="335"/>
      <c r="EA255" s="335"/>
      <c r="EB255" s="335"/>
      <c r="EC255" s="335"/>
      <c r="ED255" s="335"/>
      <c r="EE255" s="335"/>
      <c r="EF255" s="335"/>
      <c r="EG255" s="335"/>
      <c r="EH255" s="335"/>
      <c r="EI255" s="335"/>
      <c r="EJ255" s="335"/>
      <c r="EK255" s="335"/>
      <c r="EL255" s="335"/>
      <c r="EM255" s="335"/>
      <c r="EN255" s="335"/>
      <c r="EO255" s="335"/>
      <c r="EP255" s="335"/>
      <c r="EQ255" s="335"/>
      <c r="ER255" s="335"/>
      <c r="ES255" s="335"/>
      <c r="ET255" s="335"/>
      <c r="EU255" s="335"/>
      <c r="EV255" s="335"/>
      <c r="EW255" s="335"/>
      <c r="EX255" s="335"/>
      <c r="EY255" s="335"/>
      <c r="EZ255" s="335"/>
      <c r="FA255" s="335"/>
      <c r="FB255" s="335"/>
      <c r="FC255" s="335"/>
      <c r="FD255" s="335"/>
      <c r="FE255" s="335"/>
      <c r="FF255" s="335"/>
      <c r="FG255" s="335"/>
      <c r="FH255" s="335"/>
      <c r="FI255" s="335"/>
      <c r="FJ255" s="335"/>
      <c r="FK255" s="335"/>
      <c r="FL255" s="335"/>
      <c r="FM255" s="335"/>
      <c r="FN255" s="335"/>
      <c r="FO255" s="335"/>
      <c r="FP255" s="335"/>
      <c r="FQ255" s="335"/>
      <c r="FR255" s="335"/>
      <c r="FS255" s="335"/>
      <c r="FT255" s="335"/>
      <c r="FU255" s="335"/>
      <c r="FV255" s="335"/>
      <c r="FW255" s="335"/>
      <c r="FX255" s="335"/>
      <c r="FY255" s="335"/>
      <c r="FZ255" s="335"/>
      <c r="GA255" s="335"/>
      <c r="GB255" s="335"/>
      <c r="GC255" s="335"/>
      <c r="GD255" s="335"/>
      <c r="GE255" s="335"/>
      <c r="GF255" s="335"/>
      <c r="GG255" s="335"/>
      <c r="GH255" s="335"/>
      <c r="GI255" s="335"/>
      <c r="GJ255" s="335"/>
      <c r="GK255" s="335"/>
      <c r="GL255" s="335"/>
      <c r="GM255" s="335"/>
      <c r="GN255" s="335"/>
      <c r="GO255" s="335"/>
      <c r="GP255" s="335"/>
      <c r="GQ255" s="335"/>
      <c r="GR255" s="335"/>
      <c r="GS255" s="335"/>
      <c r="GT255" s="335"/>
      <c r="GU255" s="335"/>
      <c r="GV255" s="335"/>
      <c r="GW255" s="335"/>
      <c r="GX255" s="335"/>
      <c r="GY255" s="335"/>
      <c r="GZ255" s="335"/>
    </row>
    <row r="256" spans="1:208" ht="15">
      <c r="A256" s="379"/>
      <c r="B256" s="335"/>
      <c r="C256" s="335"/>
      <c r="D256" s="335"/>
      <c r="E256" s="335"/>
      <c r="F256" s="335"/>
      <c r="G256" s="335"/>
      <c r="H256" s="335"/>
      <c r="I256" s="335"/>
      <c r="J256" s="335"/>
      <c r="K256" s="335"/>
      <c r="L256" s="335"/>
      <c r="M256" s="376"/>
      <c r="N256" s="335"/>
      <c r="O256" s="380"/>
      <c r="P256" s="335"/>
      <c r="Q256" s="335"/>
      <c r="R256" s="335"/>
      <c r="S256" s="335"/>
      <c r="T256" s="335"/>
      <c r="U256" s="335"/>
      <c r="V256" s="335"/>
      <c r="W256" s="335"/>
      <c r="X256" s="335"/>
      <c r="Y256" s="335"/>
      <c r="Z256" s="335"/>
      <c r="AA256" s="335"/>
      <c r="AB256" s="335"/>
      <c r="AC256" s="335"/>
      <c r="AD256" s="335"/>
      <c r="AE256" s="335"/>
      <c r="AF256" s="335"/>
      <c r="AG256" s="335"/>
      <c r="AH256" s="335"/>
      <c r="AI256" s="335"/>
      <c r="AJ256" s="335"/>
      <c r="AK256" s="335"/>
      <c r="AL256" s="335"/>
      <c r="AM256" s="335"/>
      <c r="AN256" s="335"/>
      <c r="AO256" s="335"/>
      <c r="AP256" s="335"/>
      <c r="AQ256" s="335"/>
      <c r="AR256" s="335"/>
      <c r="AS256" s="335"/>
      <c r="AT256" s="335"/>
      <c r="AU256" s="335"/>
      <c r="AV256" s="335"/>
      <c r="AW256" s="335"/>
      <c r="AX256" s="335"/>
      <c r="AY256" s="335"/>
      <c r="AZ256" s="335"/>
      <c r="BA256" s="335"/>
      <c r="BB256" s="335"/>
      <c r="BC256" s="335"/>
      <c r="BD256" s="335"/>
      <c r="BE256" s="335"/>
      <c r="BF256" s="335"/>
      <c r="BG256" s="335"/>
      <c r="BH256" s="335"/>
      <c r="BI256" s="335"/>
      <c r="BJ256" s="335"/>
      <c r="BK256" s="335"/>
      <c r="BL256" s="335"/>
      <c r="BM256" s="335"/>
      <c r="BN256" s="335"/>
      <c r="BO256" s="335"/>
      <c r="BP256" s="335"/>
      <c r="BQ256" s="335"/>
      <c r="BR256" s="335"/>
      <c r="BS256" s="335"/>
      <c r="BT256" s="335"/>
      <c r="BU256" s="335"/>
      <c r="BV256" s="335"/>
      <c r="BW256" s="335"/>
      <c r="BX256" s="335"/>
      <c r="BY256" s="335"/>
      <c r="BZ256" s="335"/>
      <c r="CA256" s="335"/>
      <c r="CB256" s="335"/>
      <c r="CC256" s="335"/>
      <c r="CD256" s="335"/>
      <c r="CE256" s="335"/>
      <c r="CF256" s="335"/>
      <c r="CG256" s="335"/>
      <c r="CH256" s="335"/>
      <c r="CI256" s="335"/>
      <c r="CJ256" s="335"/>
      <c r="CK256" s="335"/>
      <c r="CL256" s="335"/>
      <c r="CM256" s="335"/>
      <c r="CN256" s="335"/>
      <c r="CO256" s="335"/>
      <c r="CP256" s="335"/>
      <c r="CQ256" s="335"/>
      <c r="CR256" s="335"/>
      <c r="CS256" s="335"/>
      <c r="CT256" s="335"/>
      <c r="CU256" s="335"/>
      <c r="CV256" s="335"/>
      <c r="CW256" s="335"/>
      <c r="CX256" s="335"/>
      <c r="CY256" s="335"/>
      <c r="CZ256" s="335"/>
      <c r="DA256" s="335"/>
      <c r="DB256" s="335"/>
      <c r="DC256" s="335"/>
      <c r="DD256" s="335"/>
      <c r="DE256" s="335"/>
      <c r="DF256" s="335"/>
      <c r="DG256" s="335"/>
      <c r="DH256" s="335"/>
      <c r="DI256" s="335"/>
      <c r="DJ256" s="335"/>
      <c r="DK256" s="335"/>
      <c r="DL256" s="335"/>
      <c r="DM256" s="335"/>
      <c r="DN256" s="335"/>
      <c r="DO256" s="335"/>
      <c r="DP256" s="335"/>
      <c r="DQ256" s="335"/>
      <c r="DR256" s="335"/>
      <c r="DS256" s="335"/>
      <c r="DT256" s="335"/>
      <c r="DU256" s="335"/>
      <c r="DV256" s="335"/>
      <c r="DW256" s="335"/>
      <c r="DX256" s="335"/>
      <c r="DY256" s="335"/>
      <c r="DZ256" s="335"/>
      <c r="EA256" s="335"/>
      <c r="EB256" s="335"/>
      <c r="EC256" s="335"/>
      <c r="ED256" s="335"/>
      <c r="EE256" s="335"/>
      <c r="EF256" s="335"/>
      <c r="EG256" s="335"/>
      <c r="EH256" s="335"/>
      <c r="EI256" s="335"/>
      <c r="EJ256" s="335"/>
      <c r="EK256" s="335"/>
      <c r="EL256" s="335"/>
      <c r="EM256" s="335"/>
      <c r="EN256" s="335"/>
      <c r="EO256" s="335"/>
      <c r="EP256" s="335"/>
      <c r="EQ256" s="335"/>
      <c r="ER256" s="335"/>
      <c r="ES256" s="335"/>
      <c r="ET256" s="335"/>
      <c r="EU256" s="335"/>
      <c r="EV256" s="335"/>
      <c r="EW256" s="335"/>
      <c r="EX256" s="335"/>
      <c r="EY256" s="335"/>
      <c r="EZ256" s="335"/>
      <c r="FA256" s="335"/>
      <c r="FB256" s="335"/>
      <c r="FC256" s="335"/>
      <c r="FD256" s="335"/>
      <c r="FE256" s="335"/>
      <c r="FF256" s="335"/>
      <c r="FG256" s="335"/>
      <c r="FH256" s="335"/>
      <c r="FI256" s="335"/>
      <c r="FJ256" s="335"/>
      <c r="FK256" s="335"/>
      <c r="FL256" s="335"/>
      <c r="FM256" s="335"/>
      <c r="FN256" s="335"/>
      <c r="FO256" s="335"/>
      <c r="FP256" s="335"/>
      <c r="FQ256" s="335"/>
      <c r="FR256" s="335"/>
      <c r="FS256" s="335"/>
      <c r="FT256" s="335"/>
      <c r="FU256" s="335"/>
      <c r="FV256" s="335"/>
      <c r="FW256" s="335"/>
      <c r="FX256" s="335"/>
      <c r="FY256" s="335"/>
      <c r="FZ256" s="335"/>
      <c r="GA256" s="335"/>
      <c r="GB256" s="335"/>
      <c r="GC256" s="335"/>
      <c r="GD256" s="335"/>
      <c r="GE256" s="335"/>
      <c r="GF256" s="335"/>
      <c r="GG256" s="335"/>
      <c r="GH256" s="335"/>
      <c r="GI256" s="335"/>
      <c r="GJ256" s="335"/>
      <c r="GK256" s="335"/>
      <c r="GL256" s="335"/>
      <c r="GM256" s="335"/>
      <c r="GN256" s="335"/>
      <c r="GO256" s="335"/>
      <c r="GP256" s="335"/>
      <c r="GQ256" s="335"/>
      <c r="GR256" s="335"/>
      <c r="GS256" s="335"/>
      <c r="GT256" s="335"/>
      <c r="GU256" s="335"/>
      <c r="GV256" s="335"/>
      <c r="GW256" s="335"/>
      <c r="GX256" s="335"/>
      <c r="GY256" s="335"/>
      <c r="GZ256" s="335"/>
    </row>
    <row r="257" spans="1:208" ht="15">
      <c r="A257" s="379"/>
      <c r="B257" s="335"/>
      <c r="C257" s="335"/>
      <c r="D257" s="335"/>
      <c r="E257" s="335"/>
      <c r="F257" s="335"/>
      <c r="G257" s="335"/>
      <c r="H257" s="335"/>
      <c r="I257" s="335"/>
      <c r="J257" s="335"/>
      <c r="K257" s="335"/>
      <c r="L257" s="335"/>
      <c r="M257" s="376"/>
      <c r="N257" s="335"/>
      <c r="O257" s="380"/>
      <c r="P257" s="335"/>
      <c r="Q257" s="335"/>
      <c r="R257" s="335"/>
      <c r="S257" s="335"/>
      <c r="T257" s="335"/>
      <c r="U257" s="335"/>
      <c r="V257" s="335"/>
      <c r="W257" s="335"/>
      <c r="X257" s="335"/>
      <c r="Y257" s="335"/>
      <c r="Z257" s="335"/>
      <c r="AA257" s="335"/>
      <c r="AB257" s="335"/>
      <c r="AC257" s="335"/>
      <c r="AD257" s="335"/>
      <c r="AE257" s="335"/>
      <c r="AF257" s="335"/>
      <c r="AG257" s="335"/>
      <c r="AH257" s="335"/>
      <c r="AI257" s="335"/>
      <c r="AJ257" s="335"/>
      <c r="AK257" s="335"/>
      <c r="AL257" s="335"/>
      <c r="AM257" s="335"/>
      <c r="AN257" s="335"/>
      <c r="AO257" s="335"/>
      <c r="AP257" s="335"/>
      <c r="AQ257" s="335"/>
      <c r="AR257" s="335"/>
      <c r="AS257" s="335"/>
      <c r="AT257" s="335"/>
      <c r="AU257" s="335"/>
      <c r="AV257" s="335"/>
      <c r="AW257" s="335"/>
      <c r="AX257" s="335"/>
      <c r="AY257" s="335"/>
      <c r="AZ257" s="335"/>
      <c r="BA257" s="335"/>
      <c r="BB257" s="335"/>
      <c r="BC257" s="335"/>
      <c r="BD257" s="335"/>
      <c r="BE257" s="335"/>
      <c r="BF257" s="335"/>
      <c r="BG257" s="335"/>
      <c r="BH257" s="335"/>
      <c r="BI257" s="335"/>
      <c r="BJ257" s="335"/>
      <c r="BK257" s="335"/>
      <c r="BL257" s="335"/>
      <c r="BM257" s="335"/>
      <c r="BN257" s="335"/>
      <c r="BO257" s="335"/>
      <c r="BP257" s="335"/>
      <c r="BQ257" s="335"/>
      <c r="BR257" s="335"/>
      <c r="BS257" s="335"/>
      <c r="BT257" s="335"/>
      <c r="BU257" s="335"/>
      <c r="BV257" s="335"/>
      <c r="BW257" s="335"/>
      <c r="BX257" s="335"/>
      <c r="BY257" s="335"/>
      <c r="BZ257" s="335"/>
      <c r="CA257" s="335"/>
      <c r="CB257" s="335"/>
      <c r="CC257" s="335"/>
      <c r="CD257" s="335"/>
      <c r="CE257" s="335"/>
      <c r="CF257" s="335"/>
      <c r="CG257" s="335"/>
      <c r="CH257" s="335"/>
      <c r="CI257" s="335"/>
      <c r="CJ257" s="335"/>
      <c r="CK257" s="335"/>
      <c r="CL257" s="335"/>
      <c r="CM257" s="335"/>
      <c r="CN257" s="335"/>
      <c r="CO257" s="335"/>
      <c r="CP257" s="335"/>
      <c r="CQ257" s="335"/>
      <c r="CR257" s="335"/>
      <c r="CS257" s="335"/>
      <c r="CT257" s="335"/>
      <c r="CU257" s="335"/>
      <c r="CV257" s="335"/>
      <c r="CW257" s="335"/>
      <c r="CX257" s="335"/>
      <c r="CY257" s="335"/>
      <c r="CZ257" s="335"/>
      <c r="DA257" s="335"/>
      <c r="DB257" s="335"/>
      <c r="DC257" s="335"/>
      <c r="DD257" s="335"/>
      <c r="DE257" s="335"/>
      <c r="DF257" s="335"/>
      <c r="DG257" s="335"/>
      <c r="DH257" s="335"/>
      <c r="DI257" s="335"/>
      <c r="DJ257" s="335"/>
      <c r="DK257" s="335"/>
      <c r="DL257" s="335"/>
      <c r="DM257" s="335"/>
      <c r="DN257" s="335"/>
      <c r="DO257" s="335"/>
      <c r="DP257" s="335"/>
      <c r="DQ257" s="335"/>
      <c r="DR257" s="335"/>
      <c r="DS257" s="335"/>
      <c r="DT257" s="335"/>
      <c r="DU257" s="335"/>
      <c r="DV257" s="335"/>
      <c r="DW257" s="335"/>
      <c r="DX257" s="335"/>
      <c r="DY257" s="335"/>
      <c r="DZ257" s="335"/>
      <c r="EA257" s="335"/>
      <c r="EB257" s="335"/>
      <c r="EC257" s="335"/>
      <c r="ED257" s="335"/>
      <c r="EE257" s="335"/>
      <c r="EF257" s="335"/>
      <c r="EG257" s="335"/>
      <c r="EH257" s="335"/>
      <c r="EI257" s="335"/>
      <c r="EJ257" s="335"/>
      <c r="EK257" s="335"/>
      <c r="EL257" s="335"/>
      <c r="EM257" s="335"/>
      <c r="EN257" s="335"/>
      <c r="EO257" s="335"/>
      <c r="EP257" s="335"/>
      <c r="EQ257" s="335"/>
      <c r="ER257" s="335"/>
      <c r="ES257" s="335"/>
      <c r="ET257" s="335"/>
      <c r="EU257" s="335"/>
      <c r="EV257" s="335"/>
      <c r="EW257" s="335"/>
      <c r="EX257" s="335"/>
      <c r="EY257" s="335"/>
      <c r="EZ257" s="335"/>
      <c r="FA257" s="335"/>
      <c r="FB257" s="335"/>
      <c r="FC257" s="335"/>
      <c r="FD257" s="335"/>
      <c r="FE257" s="335"/>
      <c r="FF257" s="335"/>
      <c r="FG257" s="335"/>
      <c r="FH257" s="335"/>
      <c r="FI257" s="335"/>
      <c r="FJ257" s="335"/>
      <c r="FK257" s="335"/>
      <c r="FL257" s="335"/>
      <c r="FM257" s="335"/>
      <c r="FN257" s="335"/>
      <c r="FO257" s="335"/>
      <c r="FP257" s="335"/>
      <c r="FQ257" s="335"/>
      <c r="FR257" s="335"/>
      <c r="FS257" s="335"/>
      <c r="FT257" s="335"/>
      <c r="FU257" s="335"/>
      <c r="FV257" s="335"/>
      <c r="FW257" s="335"/>
      <c r="FX257" s="335"/>
      <c r="FY257" s="335"/>
      <c r="FZ257" s="335"/>
      <c r="GA257" s="335"/>
      <c r="GB257" s="335"/>
      <c r="GC257" s="335"/>
      <c r="GD257" s="335"/>
      <c r="GE257" s="335"/>
      <c r="GF257" s="335"/>
      <c r="GG257" s="335"/>
      <c r="GH257" s="335"/>
      <c r="GI257" s="335"/>
      <c r="GJ257" s="335"/>
      <c r="GK257" s="335"/>
      <c r="GL257" s="335"/>
      <c r="GM257" s="335"/>
      <c r="GN257" s="335"/>
      <c r="GO257" s="335"/>
      <c r="GP257" s="335"/>
      <c r="GQ257" s="335"/>
      <c r="GR257" s="335"/>
      <c r="GS257" s="335"/>
      <c r="GT257" s="335"/>
      <c r="GU257" s="335"/>
      <c r="GV257" s="335"/>
      <c r="GW257" s="335"/>
      <c r="GX257" s="335"/>
      <c r="GY257" s="335"/>
      <c r="GZ257" s="335"/>
    </row>
    <row r="258" spans="1:208" ht="15">
      <c r="A258" s="379"/>
      <c r="B258" s="335"/>
      <c r="C258" s="335"/>
      <c r="D258" s="335"/>
      <c r="E258" s="335"/>
      <c r="F258" s="335"/>
      <c r="G258" s="335"/>
      <c r="H258" s="335"/>
      <c r="I258" s="335"/>
      <c r="J258" s="335"/>
      <c r="K258" s="335"/>
      <c r="L258" s="335"/>
      <c r="M258" s="376"/>
      <c r="N258" s="335"/>
      <c r="O258" s="380"/>
      <c r="P258" s="335"/>
      <c r="Q258" s="335"/>
      <c r="R258" s="335"/>
      <c r="S258" s="335"/>
      <c r="T258" s="335"/>
      <c r="U258" s="335"/>
      <c r="V258" s="335"/>
      <c r="W258" s="335"/>
      <c r="X258" s="335"/>
      <c r="Y258" s="335"/>
      <c r="Z258" s="335"/>
      <c r="AA258" s="335"/>
      <c r="AB258" s="335"/>
      <c r="AC258" s="335"/>
      <c r="AD258" s="335"/>
      <c r="AE258" s="335"/>
      <c r="AF258" s="335"/>
      <c r="AG258" s="335"/>
      <c r="AH258" s="335"/>
      <c r="AI258" s="335"/>
      <c r="AJ258" s="335"/>
      <c r="AK258" s="335"/>
      <c r="AL258" s="335"/>
      <c r="AM258" s="335"/>
      <c r="AN258" s="335"/>
      <c r="AO258" s="335"/>
      <c r="AP258" s="335"/>
      <c r="AQ258" s="335"/>
      <c r="AR258" s="335"/>
      <c r="AS258" s="335"/>
      <c r="AT258" s="335"/>
      <c r="AU258" s="335"/>
      <c r="AV258" s="335"/>
      <c r="AW258" s="335"/>
      <c r="AX258" s="335"/>
      <c r="AY258" s="335"/>
      <c r="AZ258" s="335"/>
      <c r="BA258" s="335"/>
      <c r="BB258" s="335"/>
      <c r="BC258" s="335"/>
      <c r="BD258" s="335"/>
      <c r="BE258" s="335"/>
      <c r="BF258" s="335"/>
      <c r="BG258" s="335"/>
      <c r="BH258" s="335"/>
      <c r="BI258" s="335"/>
      <c r="BJ258" s="335"/>
      <c r="BK258" s="335"/>
      <c r="BL258" s="335"/>
      <c r="BM258" s="335"/>
      <c r="BN258" s="335"/>
      <c r="BO258" s="335"/>
      <c r="BP258" s="335"/>
      <c r="BQ258" s="335"/>
      <c r="BR258" s="335"/>
      <c r="BS258" s="335"/>
      <c r="BT258" s="335"/>
      <c r="BU258" s="335"/>
      <c r="BV258" s="335"/>
      <c r="BW258" s="335"/>
      <c r="BX258" s="335"/>
      <c r="BY258" s="335"/>
      <c r="BZ258" s="335"/>
      <c r="CA258" s="335"/>
      <c r="CB258" s="335"/>
      <c r="CC258" s="335"/>
      <c r="CD258" s="335"/>
      <c r="CE258" s="335"/>
      <c r="CF258" s="335"/>
      <c r="CG258" s="335"/>
      <c r="CH258" s="335"/>
      <c r="CI258" s="335"/>
      <c r="CJ258" s="335"/>
      <c r="CK258" s="335"/>
      <c r="CL258" s="335"/>
      <c r="CM258" s="335"/>
      <c r="CN258" s="335"/>
      <c r="CO258" s="335"/>
      <c r="CP258" s="335"/>
      <c r="CQ258" s="335"/>
      <c r="CR258" s="335"/>
      <c r="CS258" s="335"/>
      <c r="CT258" s="335"/>
      <c r="CU258" s="335"/>
      <c r="CV258" s="335"/>
      <c r="CW258" s="335"/>
      <c r="CX258" s="335"/>
      <c r="CY258" s="335"/>
      <c r="CZ258" s="335"/>
      <c r="DA258" s="335"/>
      <c r="DB258" s="335"/>
      <c r="DC258" s="335"/>
      <c r="DD258" s="335"/>
      <c r="DE258" s="335"/>
      <c r="DF258" s="335"/>
      <c r="DG258" s="335"/>
      <c r="DH258" s="335"/>
      <c r="DI258" s="335"/>
      <c r="DJ258" s="335"/>
      <c r="DK258" s="335"/>
      <c r="DL258" s="335"/>
      <c r="DM258" s="335"/>
      <c r="DN258" s="335"/>
      <c r="DO258" s="335"/>
      <c r="DP258" s="335"/>
      <c r="DQ258" s="335"/>
      <c r="DR258" s="335"/>
      <c r="DS258" s="335"/>
      <c r="DT258" s="335"/>
      <c r="DU258" s="335"/>
      <c r="DV258" s="335"/>
      <c r="DW258" s="335"/>
      <c r="DX258" s="335"/>
      <c r="DY258" s="335"/>
      <c r="DZ258" s="335"/>
      <c r="EA258" s="335"/>
      <c r="EB258" s="335"/>
      <c r="EC258" s="335"/>
      <c r="ED258" s="335"/>
      <c r="EE258" s="335"/>
      <c r="EF258" s="335"/>
      <c r="EG258" s="335"/>
      <c r="EH258" s="335"/>
      <c r="EI258" s="335"/>
      <c r="EJ258" s="335"/>
      <c r="EK258" s="335"/>
      <c r="EL258" s="335"/>
      <c r="EM258" s="335"/>
      <c r="EN258" s="335"/>
      <c r="EO258" s="335"/>
      <c r="EP258" s="335"/>
      <c r="EQ258" s="335"/>
      <c r="ER258" s="335"/>
      <c r="ES258" s="335"/>
      <c r="ET258" s="335"/>
      <c r="EU258" s="335"/>
      <c r="EV258" s="335"/>
      <c r="EW258" s="335"/>
      <c r="EX258" s="335"/>
      <c r="EY258" s="335"/>
      <c r="EZ258" s="335"/>
      <c r="FA258" s="335"/>
      <c r="FB258" s="335"/>
      <c r="FC258" s="335"/>
      <c r="FD258" s="335"/>
      <c r="FE258" s="335"/>
      <c r="FF258" s="335"/>
      <c r="FG258" s="335"/>
      <c r="FH258" s="335"/>
      <c r="FI258" s="335"/>
      <c r="FJ258" s="335"/>
      <c r="FK258" s="335"/>
      <c r="FL258" s="335"/>
      <c r="FM258" s="335"/>
      <c r="FN258" s="335"/>
      <c r="FO258" s="335"/>
      <c r="FP258" s="335"/>
      <c r="FQ258" s="335"/>
      <c r="FR258" s="335"/>
      <c r="FS258" s="335"/>
      <c r="FT258" s="335"/>
      <c r="FU258" s="335"/>
      <c r="FV258" s="335"/>
      <c r="FW258" s="335"/>
      <c r="FX258" s="335"/>
      <c r="FY258" s="335"/>
      <c r="FZ258" s="335"/>
      <c r="GA258" s="335"/>
      <c r="GB258" s="335"/>
      <c r="GC258" s="335"/>
      <c r="GD258" s="335"/>
      <c r="GE258" s="335"/>
      <c r="GF258" s="335"/>
      <c r="GG258" s="335"/>
      <c r="GH258" s="335"/>
      <c r="GI258" s="335"/>
      <c r="GJ258" s="335"/>
      <c r="GK258" s="335"/>
      <c r="GL258" s="335"/>
      <c r="GM258" s="335"/>
      <c r="GN258" s="335"/>
      <c r="GO258" s="335"/>
      <c r="GP258" s="335"/>
      <c r="GQ258" s="335"/>
      <c r="GR258" s="335"/>
      <c r="GS258" s="335"/>
      <c r="GT258" s="335"/>
      <c r="GU258" s="335"/>
      <c r="GV258" s="335"/>
      <c r="GW258" s="335"/>
      <c r="GX258" s="335"/>
      <c r="GY258" s="335"/>
      <c r="GZ258" s="335"/>
    </row>
    <row r="259" spans="1:208" ht="15">
      <c r="A259" s="379"/>
      <c r="B259" s="335"/>
      <c r="C259" s="335"/>
      <c r="D259" s="335"/>
      <c r="E259" s="335"/>
      <c r="F259" s="335"/>
      <c r="G259" s="335"/>
      <c r="H259" s="335"/>
      <c r="I259" s="335"/>
      <c r="J259" s="335"/>
      <c r="K259" s="335"/>
      <c r="L259" s="335"/>
      <c r="M259" s="376"/>
      <c r="N259" s="335"/>
      <c r="O259" s="380"/>
      <c r="P259" s="335"/>
      <c r="Q259" s="335"/>
      <c r="R259" s="335"/>
      <c r="S259" s="335"/>
      <c r="T259" s="335"/>
      <c r="U259" s="335"/>
      <c r="V259" s="335"/>
      <c r="W259" s="335"/>
      <c r="X259" s="335"/>
      <c r="Y259" s="335"/>
      <c r="Z259" s="335"/>
      <c r="AA259" s="335"/>
      <c r="AB259" s="335"/>
      <c r="AC259" s="335"/>
      <c r="AD259" s="335"/>
      <c r="AE259" s="335"/>
      <c r="AF259" s="335"/>
      <c r="AG259" s="335"/>
      <c r="AH259" s="335"/>
      <c r="AI259" s="335"/>
      <c r="AJ259" s="335"/>
      <c r="AK259" s="335"/>
      <c r="AL259" s="335"/>
      <c r="AM259" s="335"/>
      <c r="AN259" s="335"/>
      <c r="AO259" s="335"/>
      <c r="AP259" s="335"/>
      <c r="AQ259" s="335"/>
      <c r="AR259" s="335"/>
      <c r="AS259" s="335"/>
      <c r="AT259" s="335"/>
      <c r="AU259" s="335"/>
      <c r="AV259" s="335"/>
      <c r="AW259" s="335"/>
      <c r="AX259" s="335"/>
      <c r="AY259" s="335"/>
      <c r="AZ259" s="335"/>
      <c r="BA259" s="335"/>
      <c r="BB259" s="335"/>
      <c r="BC259" s="335"/>
      <c r="BD259" s="335"/>
      <c r="BE259" s="335"/>
      <c r="BF259" s="335"/>
      <c r="BG259" s="335"/>
      <c r="BH259" s="335"/>
      <c r="BI259" s="335"/>
      <c r="BJ259" s="335"/>
      <c r="BK259" s="335"/>
      <c r="BL259" s="335"/>
      <c r="BM259" s="335"/>
      <c r="BN259" s="335"/>
      <c r="BO259" s="335"/>
      <c r="BP259" s="335"/>
      <c r="BQ259" s="335"/>
      <c r="BR259" s="335"/>
      <c r="BS259" s="335"/>
      <c r="BT259" s="335"/>
      <c r="BU259" s="335"/>
      <c r="BV259" s="335"/>
      <c r="BW259" s="335"/>
      <c r="BX259" s="335"/>
      <c r="BY259" s="335"/>
      <c r="BZ259" s="335"/>
      <c r="CA259" s="335"/>
      <c r="CB259" s="335"/>
      <c r="CC259" s="335"/>
      <c r="CD259" s="335"/>
      <c r="CE259" s="335"/>
      <c r="CF259" s="335"/>
      <c r="CG259" s="335"/>
      <c r="CH259" s="335"/>
      <c r="CI259" s="335"/>
      <c r="CJ259" s="335"/>
      <c r="CK259" s="335"/>
      <c r="CL259" s="335"/>
      <c r="CM259" s="335"/>
      <c r="CN259" s="335"/>
      <c r="CO259" s="335"/>
      <c r="CP259" s="335"/>
      <c r="CQ259" s="335"/>
      <c r="CR259" s="335"/>
      <c r="CS259" s="335"/>
      <c r="CT259" s="335"/>
      <c r="CU259" s="335"/>
      <c r="CV259" s="335"/>
      <c r="CW259" s="335"/>
      <c r="CX259" s="335"/>
      <c r="CY259" s="335"/>
      <c r="CZ259" s="335"/>
      <c r="DA259" s="335"/>
      <c r="DB259" s="335"/>
      <c r="DC259" s="335"/>
      <c r="DD259" s="335"/>
      <c r="DE259" s="335"/>
      <c r="DF259" s="335"/>
      <c r="DG259" s="335"/>
      <c r="DH259" s="335"/>
      <c r="DI259" s="335"/>
      <c r="DJ259" s="335"/>
      <c r="DK259" s="335"/>
      <c r="DL259" s="335"/>
      <c r="DM259" s="335"/>
      <c r="DN259" s="335"/>
      <c r="DO259" s="335"/>
      <c r="DP259" s="335"/>
      <c r="DQ259" s="335"/>
      <c r="DR259" s="335"/>
      <c r="DS259" s="335"/>
      <c r="DT259" s="335"/>
      <c r="DU259" s="335"/>
      <c r="DV259" s="335"/>
      <c r="DW259" s="335"/>
      <c r="DX259" s="335"/>
      <c r="DY259" s="335"/>
      <c r="DZ259" s="335"/>
      <c r="EA259" s="335"/>
      <c r="EB259" s="335"/>
      <c r="EC259" s="335"/>
      <c r="ED259" s="335"/>
      <c r="EE259" s="335"/>
      <c r="EF259" s="335"/>
      <c r="EG259" s="335"/>
      <c r="EH259" s="335"/>
      <c r="EI259" s="335"/>
      <c r="EJ259" s="335"/>
      <c r="EK259" s="335"/>
      <c r="EL259" s="335"/>
      <c r="EM259" s="335"/>
      <c r="EN259" s="335"/>
      <c r="EO259" s="335"/>
      <c r="EP259" s="335"/>
      <c r="EQ259" s="335"/>
      <c r="ER259" s="335"/>
      <c r="ES259" s="335"/>
      <c r="ET259" s="335"/>
      <c r="EU259" s="335"/>
      <c r="EV259" s="335"/>
      <c r="EW259" s="335"/>
      <c r="EX259" s="335"/>
      <c r="EY259" s="335"/>
      <c r="EZ259" s="335"/>
      <c r="FA259" s="335"/>
      <c r="FB259" s="335"/>
      <c r="FC259" s="335"/>
      <c r="FD259" s="335"/>
      <c r="FE259" s="335"/>
      <c r="FF259" s="335"/>
      <c r="FG259" s="335"/>
      <c r="FH259" s="335"/>
      <c r="FI259" s="335"/>
      <c r="FJ259" s="335"/>
      <c r="FK259" s="335"/>
      <c r="FL259" s="335"/>
      <c r="FM259" s="335"/>
      <c r="FN259" s="335"/>
      <c r="FO259" s="335"/>
      <c r="FP259" s="335"/>
      <c r="FQ259" s="335"/>
      <c r="FR259" s="335"/>
      <c r="FS259" s="335"/>
      <c r="FT259" s="335"/>
      <c r="FU259" s="335"/>
      <c r="FV259" s="335"/>
      <c r="FW259" s="335"/>
      <c r="FX259" s="335"/>
      <c r="FY259" s="335"/>
      <c r="FZ259" s="335"/>
      <c r="GA259" s="335"/>
      <c r="GB259" s="335"/>
      <c r="GC259" s="335"/>
      <c r="GD259" s="335"/>
      <c r="GE259" s="335"/>
      <c r="GF259" s="335"/>
      <c r="GG259" s="335"/>
      <c r="GH259" s="335"/>
      <c r="GI259" s="335"/>
      <c r="GJ259" s="335"/>
      <c r="GK259" s="335"/>
      <c r="GL259" s="335"/>
      <c r="GM259" s="335"/>
      <c r="GN259" s="335"/>
      <c r="GO259" s="335"/>
      <c r="GP259" s="335"/>
      <c r="GQ259" s="335"/>
      <c r="GR259" s="335"/>
      <c r="GS259" s="335"/>
      <c r="GT259" s="335"/>
      <c r="GU259" s="335"/>
      <c r="GV259" s="335"/>
      <c r="GW259" s="335"/>
      <c r="GX259" s="335"/>
      <c r="GY259" s="335"/>
      <c r="GZ259" s="335"/>
    </row>
    <row r="260" spans="1:208" ht="15">
      <c r="A260" s="379"/>
      <c r="B260" s="335"/>
      <c r="C260" s="335"/>
      <c r="D260" s="335"/>
      <c r="E260" s="335"/>
      <c r="F260" s="335"/>
      <c r="G260" s="335"/>
      <c r="H260" s="335"/>
      <c r="I260" s="335"/>
      <c r="J260" s="335"/>
      <c r="K260" s="335"/>
      <c r="L260" s="335"/>
      <c r="M260" s="376"/>
      <c r="N260" s="335"/>
      <c r="O260" s="380"/>
      <c r="P260" s="335"/>
      <c r="Q260" s="335"/>
      <c r="R260" s="335"/>
      <c r="S260" s="335"/>
      <c r="T260" s="335"/>
      <c r="U260" s="335"/>
      <c r="V260" s="335"/>
      <c r="W260" s="335"/>
      <c r="X260" s="335"/>
      <c r="Y260" s="335"/>
      <c r="Z260" s="335"/>
      <c r="AA260" s="335"/>
      <c r="AB260" s="335"/>
      <c r="AC260" s="335"/>
      <c r="AD260" s="335"/>
      <c r="AE260" s="335"/>
      <c r="AF260" s="335"/>
      <c r="AG260" s="335"/>
      <c r="AH260" s="335"/>
      <c r="AI260" s="335"/>
      <c r="AJ260" s="335"/>
      <c r="AK260" s="335"/>
      <c r="AL260" s="335"/>
      <c r="AM260" s="335"/>
      <c r="AN260" s="335"/>
      <c r="AO260" s="335"/>
      <c r="AP260" s="335"/>
      <c r="AQ260" s="335"/>
      <c r="AR260" s="335"/>
      <c r="AS260" s="335"/>
      <c r="AT260" s="335"/>
      <c r="AU260" s="335"/>
      <c r="AV260" s="335"/>
      <c r="AW260" s="335"/>
      <c r="AX260" s="335"/>
      <c r="AY260" s="335"/>
      <c r="AZ260" s="335"/>
      <c r="BA260" s="335"/>
      <c r="BB260" s="335"/>
      <c r="BC260" s="335"/>
      <c r="BD260" s="335"/>
      <c r="BE260" s="335"/>
      <c r="BF260" s="335"/>
      <c r="BG260" s="335"/>
      <c r="BH260" s="335"/>
      <c r="BI260" s="335"/>
      <c r="BJ260" s="335"/>
      <c r="BK260" s="335"/>
      <c r="BL260" s="335"/>
      <c r="BM260" s="335"/>
      <c r="BN260" s="335"/>
      <c r="BO260" s="335"/>
      <c r="BP260" s="335"/>
      <c r="BQ260" s="335"/>
      <c r="BR260" s="335"/>
      <c r="BS260" s="335"/>
      <c r="BT260" s="335"/>
      <c r="BU260" s="335"/>
      <c r="BV260" s="335"/>
      <c r="BW260" s="335"/>
      <c r="BX260" s="335"/>
      <c r="BY260" s="335"/>
      <c r="BZ260" s="335"/>
      <c r="CA260" s="335"/>
      <c r="CB260" s="335"/>
      <c r="CC260" s="335"/>
      <c r="CD260" s="335"/>
      <c r="CE260" s="335"/>
      <c r="CF260" s="335"/>
      <c r="CG260" s="335"/>
      <c r="CH260" s="335"/>
      <c r="CI260" s="335"/>
      <c r="CJ260" s="335"/>
      <c r="CK260" s="335"/>
      <c r="CL260" s="335"/>
      <c r="CM260" s="335"/>
      <c r="CN260" s="335"/>
      <c r="CO260" s="335"/>
      <c r="CP260" s="335"/>
      <c r="CQ260" s="335"/>
      <c r="CR260" s="335"/>
      <c r="CS260" s="335"/>
      <c r="CT260" s="335"/>
      <c r="CU260" s="335"/>
      <c r="CV260" s="335"/>
      <c r="CW260" s="335"/>
      <c r="CX260" s="335"/>
      <c r="CY260" s="335"/>
      <c r="CZ260" s="335"/>
      <c r="DA260" s="335"/>
      <c r="DB260" s="335"/>
      <c r="DC260" s="335"/>
      <c r="DD260" s="335"/>
      <c r="DE260" s="335"/>
      <c r="DF260" s="335"/>
      <c r="DG260" s="335"/>
      <c r="DH260" s="335"/>
      <c r="DI260" s="335"/>
      <c r="DJ260" s="335"/>
      <c r="DK260" s="335"/>
      <c r="DL260" s="335"/>
      <c r="DM260" s="335"/>
      <c r="DN260" s="335"/>
      <c r="DO260" s="335"/>
      <c r="DP260" s="335"/>
      <c r="DQ260" s="335"/>
      <c r="DR260" s="335"/>
      <c r="DS260" s="335"/>
      <c r="DT260" s="335"/>
      <c r="DU260" s="335"/>
      <c r="DV260" s="335"/>
      <c r="DW260" s="335"/>
      <c r="DX260" s="335"/>
      <c r="DY260" s="335"/>
      <c r="DZ260" s="335"/>
      <c r="EA260" s="335"/>
      <c r="EB260" s="335"/>
      <c r="EC260" s="335"/>
      <c r="ED260" s="335"/>
      <c r="EE260" s="335"/>
      <c r="EF260" s="335"/>
      <c r="EG260" s="335"/>
      <c r="EH260" s="335"/>
      <c r="EI260" s="335"/>
      <c r="EJ260" s="335"/>
      <c r="EK260" s="335"/>
      <c r="EL260" s="335"/>
      <c r="EM260" s="335"/>
      <c r="EN260" s="335"/>
      <c r="EO260" s="335"/>
      <c r="EP260" s="335"/>
      <c r="EQ260" s="335"/>
      <c r="ER260" s="335"/>
      <c r="ES260" s="335"/>
      <c r="ET260" s="335"/>
      <c r="EU260" s="335"/>
      <c r="EV260" s="335"/>
      <c r="EW260" s="335"/>
      <c r="EX260" s="335"/>
      <c r="EY260" s="335"/>
      <c r="EZ260" s="335"/>
      <c r="FA260" s="335"/>
      <c r="FB260" s="335"/>
      <c r="FC260" s="335"/>
      <c r="FD260" s="335"/>
      <c r="FE260" s="335"/>
      <c r="FF260" s="335"/>
      <c r="FG260" s="335"/>
      <c r="FH260" s="335"/>
      <c r="FI260" s="335"/>
      <c r="FJ260" s="335"/>
      <c r="FK260" s="335"/>
      <c r="FL260" s="335"/>
      <c r="FM260" s="335"/>
      <c r="FN260" s="335"/>
      <c r="FO260" s="335"/>
      <c r="FP260" s="335"/>
      <c r="FQ260" s="335"/>
      <c r="FR260" s="335"/>
      <c r="FS260" s="335"/>
      <c r="FT260" s="335"/>
      <c r="FU260" s="335"/>
      <c r="FV260" s="335"/>
      <c r="FW260" s="335"/>
      <c r="FX260" s="335"/>
      <c r="FY260" s="335"/>
      <c r="FZ260" s="335"/>
      <c r="GA260" s="335"/>
      <c r="GB260" s="335"/>
      <c r="GC260" s="335"/>
      <c r="GD260" s="335"/>
      <c r="GE260" s="335"/>
      <c r="GF260" s="335"/>
      <c r="GG260" s="335"/>
      <c r="GH260" s="335"/>
      <c r="GI260" s="335"/>
      <c r="GJ260" s="335"/>
      <c r="GK260" s="335"/>
      <c r="GL260" s="335"/>
      <c r="GM260" s="335"/>
      <c r="GN260" s="335"/>
      <c r="GO260" s="335"/>
      <c r="GP260" s="335"/>
      <c r="GQ260" s="335"/>
      <c r="GR260" s="335"/>
      <c r="GS260" s="335"/>
      <c r="GT260" s="335"/>
      <c r="GU260" s="335"/>
      <c r="GV260" s="335"/>
      <c r="GW260" s="335"/>
      <c r="GX260" s="335"/>
      <c r="GY260" s="335"/>
      <c r="GZ260" s="335"/>
    </row>
    <row r="261" spans="1:208" ht="15">
      <c r="A261" s="379"/>
      <c r="B261" s="335"/>
      <c r="C261" s="335"/>
      <c r="D261" s="335"/>
      <c r="E261" s="335"/>
      <c r="F261" s="335"/>
      <c r="G261" s="335"/>
      <c r="H261" s="335"/>
      <c r="I261" s="335"/>
      <c r="J261" s="335"/>
      <c r="K261" s="335"/>
      <c r="L261" s="335"/>
      <c r="M261" s="376"/>
      <c r="N261" s="335"/>
      <c r="O261" s="380"/>
      <c r="P261" s="335"/>
      <c r="Q261" s="335"/>
      <c r="R261" s="335"/>
      <c r="S261" s="335"/>
      <c r="T261" s="335"/>
      <c r="U261" s="335"/>
      <c r="V261" s="335"/>
      <c r="W261" s="335"/>
      <c r="X261" s="335"/>
      <c r="Y261" s="335"/>
      <c r="Z261" s="335"/>
      <c r="AA261" s="335"/>
      <c r="AB261" s="335"/>
      <c r="AC261" s="335"/>
      <c r="AD261" s="335"/>
      <c r="AE261" s="335"/>
      <c r="AF261" s="335"/>
      <c r="AG261" s="335"/>
      <c r="AH261" s="335"/>
      <c r="AI261" s="335"/>
      <c r="AJ261" s="335"/>
      <c r="AK261" s="335"/>
      <c r="AL261" s="335"/>
      <c r="AM261" s="335"/>
      <c r="AN261" s="335"/>
      <c r="AO261" s="335"/>
      <c r="AP261" s="335"/>
      <c r="AQ261" s="335"/>
      <c r="AR261" s="335"/>
      <c r="AS261" s="335"/>
      <c r="AT261" s="335"/>
      <c r="AU261" s="335"/>
      <c r="AV261" s="335"/>
      <c r="AW261" s="335"/>
      <c r="AX261" s="335"/>
      <c r="AY261" s="335"/>
      <c r="AZ261" s="335"/>
      <c r="BA261" s="335"/>
      <c r="BB261" s="335"/>
      <c r="BC261" s="335"/>
      <c r="BD261" s="335"/>
      <c r="BE261" s="335"/>
      <c r="BF261" s="335"/>
      <c r="BG261" s="335"/>
      <c r="BH261" s="335"/>
      <c r="BI261" s="335"/>
      <c r="BJ261" s="335"/>
      <c r="BK261" s="335"/>
      <c r="BL261" s="335"/>
      <c r="BM261" s="335"/>
      <c r="BN261" s="335"/>
      <c r="BO261" s="335"/>
      <c r="BP261" s="335"/>
      <c r="BQ261" s="335"/>
      <c r="BR261" s="335"/>
      <c r="BS261" s="335"/>
      <c r="BT261" s="335"/>
      <c r="BU261" s="335"/>
      <c r="BV261" s="335"/>
      <c r="BW261" s="335"/>
      <c r="BX261" s="335"/>
      <c r="BY261" s="335"/>
      <c r="BZ261" s="335"/>
      <c r="CA261" s="335"/>
      <c r="CB261" s="335"/>
      <c r="CC261" s="335"/>
      <c r="CD261" s="335"/>
      <c r="CE261" s="335"/>
      <c r="CF261" s="335"/>
      <c r="CG261" s="335"/>
      <c r="CH261" s="335"/>
      <c r="CI261" s="335"/>
      <c r="CJ261" s="335"/>
      <c r="CK261" s="335"/>
      <c r="CL261" s="335"/>
      <c r="CM261" s="335"/>
      <c r="CN261" s="335"/>
      <c r="CO261" s="335"/>
      <c r="CP261" s="335"/>
      <c r="CQ261" s="335"/>
      <c r="CR261" s="335"/>
      <c r="CS261" s="335"/>
      <c r="CT261" s="335"/>
      <c r="CU261" s="335"/>
      <c r="CV261" s="335"/>
      <c r="CW261" s="335"/>
      <c r="CX261" s="335"/>
      <c r="CY261" s="335"/>
      <c r="CZ261" s="335"/>
      <c r="DA261" s="335"/>
      <c r="DB261" s="335"/>
      <c r="DC261" s="335"/>
      <c r="DD261" s="335"/>
      <c r="DE261" s="335"/>
      <c r="DF261" s="335"/>
      <c r="DG261" s="335"/>
      <c r="DH261" s="335"/>
      <c r="DI261" s="335"/>
      <c r="DJ261" s="335"/>
      <c r="DK261" s="335"/>
      <c r="DL261" s="335"/>
      <c r="DM261" s="335"/>
      <c r="DN261" s="335"/>
      <c r="DO261" s="335"/>
      <c r="DP261" s="335"/>
      <c r="DQ261" s="335"/>
      <c r="DR261" s="335"/>
      <c r="DS261" s="335"/>
      <c r="DT261" s="335"/>
      <c r="DU261" s="335"/>
      <c r="DV261" s="335"/>
      <c r="DW261" s="335"/>
      <c r="DX261" s="335"/>
      <c r="DY261" s="335"/>
      <c r="DZ261" s="335"/>
      <c r="EA261" s="335"/>
      <c r="EB261" s="335"/>
      <c r="EC261" s="335"/>
      <c r="ED261" s="335"/>
      <c r="EE261" s="335"/>
      <c r="EF261" s="335"/>
      <c r="EG261" s="335"/>
      <c r="EH261" s="335"/>
      <c r="EI261" s="335"/>
      <c r="EJ261" s="335"/>
      <c r="EK261" s="335"/>
      <c r="EL261" s="335"/>
      <c r="EM261" s="335"/>
      <c r="EN261" s="335"/>
      <c r="EO261" s="335"/>
      <c r="EP261" s="335"/>
      <c r="EQ261" s="335"/>
      <c r="ER261" s="335"/>
      <c r="ES261" s="335"/>
      <c r="ET261" s="335"/>
      <c r="EU261" s="335"/>
      <c r="EV261" s="335"/>
      <c r="EW261" s="335"/>
      <c r="EX261" s="335"/>
      <c r="EY261" s="335"/>
      <c r="EZ261" s="335"/>
      <c r="FA261" s="335"/>
      <c r="FB261" s="335"/>
      <c r="FC261" s="335"/>
      <c r="FD261" s="335"/>
      <c r="FE261" s="335"/>
      <c r="FF261" s="335"/>
      <c r="FG261" s="335"/>
      <c r="FH261" s="335"/>
      <c r="FI261" s="335"/>
      <c r="FJ261" s="335"/>
      <c r="FK261" s="335"/>
      <c r="FL261" s="335"/>
      <c r="FM261" s="335"/>
      <c r="FN261" s="335"/>
      <c r="FO261" s="335"/>
      <c r="FP261" s="335"/>
      <c r="FQ261" s="335"/>
      <c r="FR261" s="335"/>
      <c r="FS261" s="335"/>
      <c r="FT261" s="335"/>
      <c r="FU261" s="335"/>
      <c r="FV261" s="335"/>
      <c r="FW261" s="335"/>
      <c r="FX261" s="335"/>
      <c r="FY261" s="335"/>
      <c r="FZ261" s="335"/>
      <c r="GA261" s="335"/>
      <c r="GB261" s="335"/>
      <c r="GC261" s="335"/>
      <c r="GD261" s="335"/>
      <c r="GE261" s="335"/>
      <c r="GF261" s="335"/>
      <c r="GG261" s="335"/>
      <c r="GH261" s="335"/>
      <c r="GI261" s="335"/>
      <c r="GJ261" s="335"/>
      <c r="GK261" s="335"/>
      <c r="GL261" s="335"/>
      <c r="GM261" s="335"/>
      <c r="GN261" s="335"/>
      <c r="GO261" s="335"/>
      <c r="GP261" s="335"/>
      <c r="GQ261" s="335"/>
      <c r="GR261" s="335"/>
      <c r="GS261" s="335"/>
      <c r="GT261" s="335"/>
      <c r="GU261" s="335"/>
      <c r="GV261" s="335"/>
      <c r="GW261" s="335"/>
      <c r="GX261" s="335"/>
      <c r="GY261" s="335"/>
      <c r="GZ261" s="335"/>
    </row>
    <row r="262" spans="1:208" ht="15">
      <c r="A262" s="379"/>
      <c r="B262" s="335"/>
      <c r="C262" s="335"/>
      <c r="D262" s="335"/>
      <c r="E262" s="335"/>
      <c r="F262" s="335"/>
      <c r="G262" s="335"/>
      <c r="H262" s="335"/>
      <c r="I262" s="335"/>
      <c r="J262" s="335"/>
      <c r="K262" s="335"/>
      <c r="L262" s="335"/>
      <c r="M262" s="376"/>
      <c r="N262" s="335"/>
      <c r="O262" s="380"/>
      <c r="P262" s="335"/>
      <c r="Q262" s="335"/>
      <c r="R262" s="335"/>
      <c r="S262" s="335"/>
      <c r="T262" s="335"/>
      <c r="U262" s="335"/>
      <c r="V262" s="335"/>
      <c r="W262" s="335"/>
      <c r="X262" s="335"/>
      <c r="Y262" s="335"/>
      <c r="Z262" s="335"/>
      <c r="AA262" s="335"/>
      <c r="AB262" s="335"/>
      <c r="AC262" s="335"/>
      <c r="AD262" s="335"/>
      <c r="AE262" s="335"/>
      <c r="AF262" s="335"/>
      <c r="AG262" s="335"/>
      <c r="AH262" s="335"/>
      <c r="AI262" s="335"/>
      <c r="AJ262" s="335"/>
      <c r="AK262" s="335"/>
      <c r="AL262" s="335"/>
      <c r="AM262" s="335"/>
      <c r="AN262" s="335"/>
      <c r="AO262" s="335"/>
      <c r="AP262" s="335"/>
      <c r="AQ262" s="335"/>
      <c r="AR262" s="335"/>
      <c r="AS262" s="335"/>
      <c r="AT262" s="335"/>
      <c r="AU262" s="335"/>
      <c r="AV262" s="335"/>
      <c r="AW262" s="335"/>
      <c r="AX262" s="335"/>
      <c r="AY262" s="335"/>
      <c r="AZ262" s="335"/>
      <c r="BA262" s="335"/>
      <c r="BB262" s="335"/>
      <c r="BC262" s="335"/>
      <c r="BD262" s="335"/>
      <c r="BE262" s="335"/>
      <c r="BF262" s="335"/>
      <c r="BG262" s="335"/>
      <c r="BH262" s="335"/>
      <c r="BI262" s="335"/>
      <c r="BJ262" s="335"/>
      <c r="BK262" s="335"/>
      <c r="BL262" s="335"/>
      <c r="BM262" s="335"/>
      <c r="BN262" s="335"/>
      <c r="BO262" s="335"/>
      <c r="BP262" s="335"/>
      <c r="BQ262" s="335"/>
      <c r="BR262" s="335"/>
      <c r="BS262" s="335"/>
      <c r="BT262" s="335"/>
      <c r="BU262" s="335"/>
      <c r="BV262" s="335"/>
      <c r="BW262" s="335"/>
      <c r="BX262" s="335"/>
      <c r="BY262" s="335"/>
      <c r="BZ262" s="335"/>
      <c r="CA262" s="335"/>
      <c r="CB262" s="335"/>
      <c r="CC262" s="335"/>
      <c r="CD262" s="335"/>
      <c r="CE262" s="335"/>
      <c r="CF262" s="335"/>
      <c r="CG262" s="335"/>
      <c r="CH262" s="335"/>
      <c r="CI262" s="335"/>
      <c r="CJ262" s="335"/>
      <c r="CK262" s="335"/>
      <c r="CL262" s="335"/>
      <c r="CM262" s="335"/>
      <c r="CN262" s="335"/>
      <c r="CO262" s="335"/>
      <c r="CP262" s="335"/>
      <c r="CQ262" s="335"/>
      <c r="CR262" s="335"/>
      <c r="CS262" s="335"/>
      <c r="CT262" s="335"/>
      <c r="CU262" s="335"/>
      <c r="CV262" s="335"/>
      <c r="CW262" s="335"/>
      <c r="CX262" s="335"/>
      <c r="CY262" s="335"/>
      <c r="CZ262" s="335"/>
      <c r="DA262" s="335"/>
      <c r="DB262" s="335"/>
      <c r="DC262" s="335"/>
      <c r="DD262" s="335"/>
      <c r="DE262" s="335"/>
      <c r="DF262" s="335"/>
      <c r="DG262" s="335"/>
      <c r="DH262" s="335"/>
      <c r="DI262" s="335"/>
      <c r="DJ262" s="335"/>
      <c r="DK262" s="335"/>
      <c r="DL262" s="335"/>
      <c r="DM262" s="335"/>
      <c r="DN262" s="335"/>
      <c r="DO262" s="335"/>
      <c r="DP262" s="335"/>
      <c r="DQ262" s="335"/>
      <c r="DR262" s="335"/>
      <c r="DS262" s="335"/>
      <c r="DT262" s="335"/>
      <c r="DU262" s="335"/>
      <c r="DV262" s="335"/>
      <c r="DW262" s="335"/>
      <c r="DX262" s="335"/>
      <c r="DY262" s="335"/>
      <c r="DZ262" s="335"/>
      <c r="EA262" s="335"/>
      <c r="EB262" s="335"/>
      <c r="EC262" s="335"/>
      <c r="ED262" s="335"/>
      <c r="EE262" s="335"/>
      <c r="EF262" s="335"/>
      <c r="EG262" s="335"/>
      <c r="EH262" s="335"/>
      <c r="EI262" s="335"/>
      <c r="EJ262" s="335"/>
      <c r="EK262" s="335"/>
      <c r="EL262" s="335"/>
      <c r="EM262" s="335"/>
      <c r="EN262" s="335"/>
      <c r="EO262" s="335"/>
      <c r="EP262" s="335"/>
      <c r="EQ262" s="335"/>
      <c r="ER262" s="335"/>
      <c r="ES262" s="335"/>
      <c r="ET262" s="335"/>
      <c r="EU262" s="335"/>
      <c r="EV262" s="335"/>
      <c r="EW262" s="335"/>
      <c r="EX262" s="335"/>
      <c r="EY262" s="335"/>
      <c r="EZ262" s="335"/>
      <c r="FA262" s="335"/>
      <c r="FB262" s="335"/>
      <c r="FC262" s="335"/>
      <c r="FD262" s="335"/>
      <c r="FE262" s="335"/>
      <c r="FF262" s="335"/>
      <c r="FG262" s="335"/>
      <c r="FH262" s="335"/>
      <c r="FI262" s="335"/>
      <c r="FJ262" s="335"/>
      <c r="FK262" s="335"/>
      <c r="FL262" s="335"/>
      <c r="FM262" s="335"/>
      <c r="FN262" s="335"/>
      <c r="FO262" s="335"/>
      <c r="FP262" s="335"/>
      <c r="FQ262" s="335"/>
      <c r="FR262" s="335"/>
      <c r="FS262" s="335"/>
      <c r="FT262" s="335"/>
      <c r="FU262" s="335"/>
      <c r="FV262" s="335"/>
      <c r="FW262" s="335"/>
      <c r="FX262" s="335"/>
      <c r="FY262" s="335"/>
      <c r="FZ262" s="335"/>
      <c r="GA262" s="335"/>
      <c r="GB262" s="335"/>
      <c r="GC262" s="335"/>
      <c r="GD262" s="335"/>
      <c r="GE262" s="335"/>
      <c r="GF262" s="335"/>
      <c r="GG262" s="335"/>
      <c r="GH262" s="335"/>
      <c r="GI262" s="335"/>
      <c r="GJ262" s="335"/>
      <c r="GK262" s="335"/>
      <c r="GL262" s="335"/>
      <c r="GM262" s="335"/>
      <c r="GN262" s="335"/>
      <c r="GO262" s="335"/>
      <c r="GP262" s="335"/>
      <c r="GQ262" s="335"/>
      <c r="GR262" s="335"/>
      <c r="GS262" s="335"/>
      <c r="GT262" s="335"/>
      <c r="GU262" s="335"/>
      <c r="GV262" s="335"/>
      <c r="GW262" s="335"/>
      <c r="GX262" s="335"/>
      <c r="GY262" s="335"/>
      <c r="GZ262" s="335"/>
    </row>
    <row r="263" spans="1:208" ht="15">
      <c r="A263" s="379"/>
      <c r="B263" s="335"/>
      <c r="C263" s="335"/>
      <c r="D263" s="335"/>
      <c r="E263" s="335"/>
      <c r="F263" s="335"/>
      <c r="G263" s="335"/>
      <c r="H263" s="335"/>
      <c r="I263" s="335"/>
      <c r="J263" s="335"/>
      <c r="K263" s="335"/>
      <c r="L263" s="335"/>
      <c r="M263" s="376"/>
      <c r="N263" s="335"/>
      <c r="O263" s="380"/>
      <c r="P263" s="335"/>
      <c r="Q263" s="335"/>
      <c r="R263" s="335"/>
      <c r="S263" s="335"/>
      <c r="T263" s="335"/>
      <c r="U263" s="335"/>
      <c r="V263" s="335"/>
      <c r="W263" s="335"/>
      <c r="X263" s="335"/>
      <c r="Y263" s="335"/>
      <c r="Z263" s="335"/>
      <c r="AA263" s="335"/>
      <c r="AB263" s="335"/>
      <c r="AC263" s="335"/>
      <c r="AD263" s="335"/>
      <c r="AE263" s="335"/>
      <c r="AF263" s="335"/>
      <c r="AG263" s="335"/>
      <c r="AH263" s="335"/>
      <c r="AI263" s="335"/>
      <c r="AJ263" s="335"/>
      <c r="AK263" s="335"/>
      <c r="AL263" s="335"/>
      <c r="AM263" s="335"/>
      <c r="AN263" s="335"/>
      <c r="AO263" s="335"/>
      <c r="AP263" s="335"/>
      <c r="AQ263" s="335"/>
      <c r="AR263" s="335"/>
      <c r="AS263" s="335"/>
      <c r="AT263" s="335"/>
      <c r="AU263" s="335"/>
      <c r="AV263" s="335"/>
      <c r="AW263" s="335"/>
      <c r="AX263" s="335"/>
      <c r="AY263" s="335"/>
      <c r="AZ263" s="335"/>
      <c r="BA263" s="335"/>
      <c r="BB263" s="335"/>
      <c r="BC263" s="335"/>
      <c r="BD263" s="335"/>
      <c r="BE263" s="335"/>
      <c r="BF263" s="335"/>
      <c r="BG263" s="335"/>
      <c r="BH263" s="335"/>
      <c r="BI263" s="335"/>
      <c r="BJ263" s="335"/>
      <c r="BK263" s="335"/>
      <c r="BL263" s="335"/>
      <c r="BM263" s="335"/>
      <c r="BN263" s="335"/>
      <c r="BO263" s="335"/>
      <c r="BP263" s="335"/>
      <c r="BQ263" s="335"/>
      <c r="BR263" s="335"/>
      <c r="BS263" s="335"/>
      <c r="BT263" s="335"/>
      <c r="BU263" s="335"/>
      <c r="BV263" s="335"/>
      <c r="BW263" s="335"/>
      <c r="BX263" s="335"/>
      <c r="BY263" s="335"/>
      <c r="BZ263" s="335"/>
      <c r="CA263" s="335"/>
      <c r="CB263" s="335"/>
      <c r="CC263" s="335"/>
      <c r="CD263" s="335"/>
      <c r="CE263" s="335"/>
      <c r="CF263" s="335"/>
      <c r="CG263" s="335"/>
      <c r="CH263" s="335"/>
      <c r="CI263" s="335"/>
      <c r="CJ263" s="335"/>
      <c r="CK263" s="335"/>
      <c r="CL263" s="335"/>
      <c r="CM263" s="335"/>
      <c r="CN263" s="335"/>
      <c r="CO263" s="335"/>
      <c r="CP263" s="335"/>
      <c r="CQ263" s="335"/>
      <c r="CR263" s="335"/>
      <c r="CS263" s="335"/>
      <c r="CT263" s="335"/>
      <c r="CU263" s="335"/>
      <c r="CV263" s="335"/>
      <c r="CW263" s="335"/>
      <c r="CX263" s="335"/>
      <c r="CY263" s="335"/>
      <c r="CZ263" s="335"/>
      <c r="DA263" s="335"/>
      <c r="DB263" s="335"/>
      <c r="DC263" s="335"/>
      <c r="DD263" s="335"/>
      <c r="DE263" s="335"/>
      <c r="DF263" s="335"/>
      <c r="DG263" s="335"/>
      <c r="DH263" s="335"/>
      <c r="DI263" s="335"/>
      <c r="DJ263" s="335"/>
      <c r="DK263" s="335"/>
      <c r="DL263" s="335"/>
      <c r="DM263" s="335"/>
      <c r="DN263" s="335"/>
      <c r="DO263" s="335"/>
      <c r="DP263" s="335"/>
      <c r="DQ263" s="335"/>
      <c r="DR263" s="335"/>
      <c r="DS263" s="335"/>
      <c r="DT263" s="335"/>
      <c r="DU263" s="335"/>
      <c r="DV263" s="335"/>
      <c r="DW263" s="335"/>
      <c r="DX263" s="335"/>
      <c r="DY263" s="335"/>
      <c r="DZ263" s="335"/>
      <c r="EA263" s="335"/>
      <c r="EB263" s="335"/>
      <c r="EC263" s="335"/>
      <c r="ED263" s="335"/>
      <c r="EE263" s="335"/>
      <c r="EF263" s="335"/>
      <c r="EG263" s="335"/>
      <c r="EH263" s="335"/>
      <c r="EI263" s="335"/>
      <c r="EJ263" s="335"/>
      <c r="EK263" s="335"/>
      <c r="EL263" s="335"/>
      <c r="EM263" s="335"/>
      <c r="EN263" s="335"/>
      <c r="EO263" s="335"/>
      <c r="EP263" s="335"/>
      <c r="EQ263" s="335"/>
      <c r="ER263" s="335"/>
      <c r="ES263" s="335"/>
      <c r="ET263" s="335"/>
      <c r="EU263" s="335"/>
      <c r="EV263" s="335"/>
      <c r="EW263" s="335"/>
      <c r="EX263" s="335"/>
      <c r="EY263" s="335"/>
      <c r="EZ263" s="335"/>
      <c r="FA263" s="335"/>
      <c r="FB263" s="335"/>
      <c r="FC263" s="335"/>
      <c r="FD263" s="335"/>
      <c r="FE263" s="335"/>
      <c r="FF263" s="335"/>
      <c r="FG263" s="335"/>
      <c r="FH263" s="335"/>
      <c r="FI263" s="335"/>
      <c r="FJ263" s="335"/>
      <c r="FK263" s="335"/>
      <c r="FL263" s="335"/>
      <c r="FM263" s="335"/>
      <c r="FN263" s="335"/>
      <c r="FO263" s="335"/>
      <c r="FP263" s="335"/>
      <c r="FQ263" s="335"/>
      <c r="FR263" s="335"/>
      <c r="FS263" s="335"/>
      <c r="FT263" s="335"/>
      <c r="FU263" s="335"/>
      <c r="FV263" s="335"/>
      <c r="FW263" s="335"/>
      <c r="FX263" s="335"/>
      <c r="FY263" s="335"/>
      <c r="FZ263" s="335"/>
      <c r="GA263" s="335"/>
      <c r="GB263" s="335"/>
      <c r="GC263" s="335"/>
      <c r="GD263" s="335"/>
      <c r="GE263" s="335"/>
      <c r="GF263" s="335"/>
      <c r="GG263" s="335"/>
      <c r="GH263" s="335"/>
      <c r="GI263" s="335"/>
      <c r="GJ263" s="335"/>
      <c r="GK263" s="335"/>
      <c r="GL263" s="335"/>
      <c r="GM263" s="335"/>
      <c r="GN263" s="335"/>
      <c r="GO263" s="335"/>
      <c r="GP263" s="335"/>
      <c r="GQ263" s="335"/>
      <c r="GR263" s="335"/>
      <c r="GS263" s="335"/>
      <c r="GT263" s="335"/>
      <c r="GU263" s="335"/>
      <c r="GV263" s="335"/>
      <c r="GW263" s="335"/>
      <c r="GX263" s="335"/>
      <c r="GY263" s="335"/>
      <c r="GZ263" s="335"/>
    </row>
    <row r="264" spans="1:208" ht="15">
      <c r="A264" s="379"/>
      <c r="B264" s="335"/>
      <c r="C264" s="335"/>
      <c r="D264" s="335"/>
      <c r="E264" s="335"/>
      <c r="F264" s="335"/>
      <c r="G264" s="335"/>
      <c r="H264" s="335"/>
      <c r="I264" s="335"/>
      <c r="J264" s="335"/>
      <c r="K264" s="335"/>
      <c r="L264" s="335"/>
      <c r="M264" s="376"/>
      <c r="N264" s="335"/>
      <c r="O264" s="380"/>
      <c r="P264" s="335"/>
      <c r="Q264" s="335"/>
      <c r="R264" s="335"/>
      <c r="S264" s="335"/>
      <c r="T264" s="335"/>
      <c r="U264" s="335"/>
      <c r="V264" s="335"/>
      <c r="W264" s="335"/>
      <c r="X264" s="335"/>
      <c r="Y264" s="335"/>
      <c r="Z264" s="335"/>
      <c r="AA264" s="335"/>
      <c r="AB264" s="335"/>
      <c r="AC264" s="335"/>
      <c r="AD264" s="335"/>
      <c r="AE264" s="335"/>
      <c r="AF264" s="335"/>
      <c r="AG264" s="335"/>
      <c r="AH264" s="335"/>
      <c r="AI264" s="335"/>
      <c r="AJ264" s="335"/>
      <c r="AK264" s="335"/>
      <c r="AL264" s="335"/>
      <c r="AM264" s="335"/>
      <c r="AN264" s="335"/>
      <c r="AO264" s="335"/>
      <c r="AP264" s="335"/>
      <c r="AQ264" s="335"/>
      <c r="AR264" s="335"/>
      <c r="AS264" s="335"/>
      <c r="AT264" s="335"/>
      <c r="AU264" s="335"/>
      <c r="AV264" s="335"/>
      <c r="AW264" s="335"/>
      <c r="AX264" s="335"/>
      <c r="AY264" s="335"/>
      <c r="AZ264" s="335"/>
      <c r="BA264" s="335"/>
      <c r="BB264" s="335"/>
      <c r="BC264" s="335"/>
      <c r="BD264" s="335"/>
      <c r="BE264" s="335"/>
      <c r="BF264" s="335"/>
      <c r="BG264" s="335"/>
      <c r="BH264" s="335"/>
      <c r="BI264" s="335"/>
      <c r="BJ264" s="335"/>
      <c r="BK264" s="335"/>
      <c r="BL264" s="335"/>
      <c r="BM264" s="335"/>
      <c r="BN264" s="335"/>
      <c r="BO264" s="335"/>
      <c r="BP264" s="335"/>
      <c r="BQ264" s="335"/>
      <c r="BR264" s="335"/>
      <c r="BS264" s="335"/>
      <c r="BT264" s="335"/>
      <c r="BU264" s="335"/>
      <c r="BV264" s="335"/>
      <c r="BW264" s="335"/>
      <c r="BX264" s="335"/>
      <c r="BY264" s="335"/>
      <c r="BZ264" s="335"/>
      <c r="CA264" s="335"/>
      <c r="CB264" s="335"/>
      <c r="CC264" s="335"/>
      <c r="CD264" s="335"/>
      <c r="CE264" s="335"/>
      <c r="CF264" s="335"/>
      <c r="CG264" s="335"/>
      <c r="CH264" s="335"/>
      <c r="CI264" s="335"/>
      <c r="CJ264" s="335"/>
      <c r="CK264" s="335"/>
      <c r="CL264" s="335"/>
      <c r="CM264" s="335"/>
      <c r="CN264" s="335"/>
      <c r="CO264" s="335"/>
      <c r="CP264" s="335"/>
      <c r="CQ264" s="335"/>
      <c r="CR264" s="335"/>
      <c r="CS264" s="335"/>
      <c r="CT264" s="335"/>
      <c r="CU264" s="335"/>
      <c r="CV264" s="335"/>
      <c r="CW264" s="335"/>
      <c r="CX264" s="335"/>
      <c r="CY264" s="335"/>
      <c r="CZ264" s="335"/>
      <c r="DA264" s="335"/>
      <c r="DB264" s="335"/>
      <c r="DC264" s="335"/>
      <c r="DD264" s="335"/>
      <c r="DE264" s="335"/>
      <c r="DF264" s="335"/>
      <c r="DG264" s="335"/>
      <c r="DH264" s="335"/>
      <c r="DI264" s="335"/>
      <c r="DJ264" s="335"/>
      <c r="DK264" s="335"/>
      <c r="DL264" s="335"/>
      <c r="DM264" s="335"/>
      <c r="DN264" s="335"/>
      <c r="DO264" s="335"/>
      <c r="DP264" s="335"/>
      <c r="DQ264" s="335"/>
      <c r="DR264" s="335"/>
      <c r="DS264" s="335"/>
      <c r="DT264" s="335"/>
      <c r="DU264" s="335"/>
      <c r="DV264" s="335"/>
      <c r="DW264" s="335"/>
      <c r="DX264" s="335"/>
      <c r="DY264" s="335"/>
      <c r="DZ264" s="335"/>
      <c r="EA264" s="335"/>
      <c r="EB264" s="335"/>
      <c r="EC264" s="335"/>
      <c r="ED264" s="335"/>
      <c r="EE264" s="335"/>
      <c r="EF264" s="335"/>
      <c r="EG264" s="335"/>
      <c r="EH264" s="335"/>
      <c r="EI264" s="335"/>
      <c r="EJ264" s="335"/>
      <c r="EK264" s="335"/>
      <c r="EL264" s="335"/>
      <c r="EM264" s="335"/>
      <c r="EN264" s="335"/>
      <c r="EO264" s="335"/>
      <c r="EP264" s="335"/>
      <c r="EQ264" s="335"/>
      <c r="ER264" s="335"/>
      <c r="ES264" s="335"/>
      <c r="ET264" s="335"/>
      <c r="EU264" s="335"/>
      <c r="EV264" s="335"/>
      <c r="EW264" s="335"/>
      <c r="EX264" s="335"/>
      <c r="EY264" s="335"/>
      <c r="EZ264" s="335"/>
      <c r="FA264" s="335"/>
      <c r="FB264" s="335"/>
      <c r="FC264" s="335"/>
      <c r="FD264" s="335"/>
      <c r="FE264" s="335"/>
      <c r="FF264" s="335"/>
      <c r="FG264" s="335"/>
      <c r="FH264" s="335"/>
      <c r="FI264" s="335"/>
      <c r="FJ264" s="335"/>
      <c r="FK264" s="335"/>
      <c r="FL264" s="335"/>
      <c r="FM264" s="335"/>
      <c r="FN264" s="335"/>
      <c r="FO264" s="335"/>
      <c r="FP264" s="335"/>
      <c r="FQ264" s="335"/>
      <c r="FR264" s="335"/>
      <c r="FS264" s="335"/>
      <c r="FT264" s="335"/>
      <c r="FU264" s="335"/>
      <c r="FV264" s="335"/>
      <c r="FW264" s="335"/>
      <c r="FX264" s="335"/>
      <c r="FY264" s="335"/>
      <c r="FZ264" s="335"/>
      <c r="GA264" s="335"/>
      <c r="GB264" s="335"/>
      <c r="GC264" s="335"/>
      <c r="GD264" s="335"/>
      <c r="GE264" s="335"/>
      <c r="GF264" s="335"/>
      <c r="GG264" s="335"/>
      <c r="GH264" s="335"/>
      <c r="GI264" s="335"/>
      <c r="GJ264" s="335"/>
      <c r="GK264" s="335"/>
      <c r="GL264" s="335"/>
      <c r="GM264" s="335"/>
      <c r="GN264" s="335"/>
      <c r="GO264" s="335"/>
      <c r="GP264" s="335"/>
      <c r="GQ264" s="335"/>
      <c r="GR264" s="335"/>
      <c r="GS264" s="335"/>
      <c r="GT264" s="335"/>
      <c r="GU264" s="335"/>
      <c r="GV264" s="335"/>
      <c r="GW264" s="335"/>
      <c r="GX264" s="335"/>
      <c r="GY264" s="335"/>
      <c r="GZ264" s="335"/>
    </row>
    <row r="265" spans="1:208" ht="15">
      <c r="A265" s="379"/>
      <c r="B265" s="335"/>
      <c r="C265" s="335"/>
      <c r="D265" s="335"/>
      <c r="E265" s="335"/>
      <c r="F265" s="335"/>
      <c r="G265" s="335"/>
      <c r="H265" s="335"/>
      <c r="I265" s="335"/>
      <c r="J265" s="335"/>
      <c r="K265" s="335"/>
      <c r="L265" s="335"/>
      <c r="M265" s="376"/>
      <c r="N265" s="335"/>
      <c r="O265" s="380"/>
      <c r="P265" s="335"/>
      <c r="Q265" s="335"/>
      <c r="R265" s="335"/>
      <c r="S265" s="335"/>
      <c r="T265" s="335"/>
      <c r="U265" s="335"/>
      <c r="V265" s="335"/>
      <c r="W265" s="335"/>
      <c r="X265" s="335"/>
      <c r="Y265" s="335"/>
      <c r="Z265" s="335"/>
      <c r="AA265" s="335"/>
      <c r="AB265" s="335"/>
      <c r="AC265" s="335"/>
      <c r="AD265" s="335"/>
      <c r="AE265" s="335"/>
      <c r="AF265" s="335"/>
      <c r="AG265" s="335"/>
      <c r="AH265" s="335"/>
      <c r="AI265" s="335"/>
      <c r="AJ265" s="335"/>
      <c r="AK265" s="335"/>
      <c r="AL265" s="335"/>
      <c r="AM265" s="335"/>
      <c r="AN265" s="335"/>
      <c r="AO265" s="335"/>
      <c r="AP265" s="335"/>
      <c r="AQ265" s="335"/>
      <c r="AR265" s="335"/>
      <c r="AS265" s="335"/>
      <c r="AT265" s="335"/>
      <c r="AU265" s="335"/>
      <c r="AV265" s="335"/>
      <c r="AW265" s="335"/>
      <c r="AX265" s="335"/>
      <c r="AY265" s="335"/>
      <c r="AZ265" s="335"/>
      <c r="BA265" s="335"/>
      <c r="BB265" s="335"/>
      <c r="BC265" s="335"/>
      <c r="BD265" s="335"/>
      <c r="BE265" s="335"/>
      <c r="BF265" s="335"/>
      <c r="BG265" s="335"/>
      <c r="BH265" s="335"/>
      <c r="BI265" s="335"/>
      <c r="BJ265" s="335"/>
      <c r="BK265" s="335"/>
      <c r="BL265" s="335"/>
      <c r="BM265" s="335"/>
      <c r="BN265" s="335"/>
      <c r="BO265" s="335"/>
      <c r="BP265" s="335"/>
      <c r="BQ265" s="335"/>
      <c r="BR265" s="335"/>
      <c r="BS265" s="335"/>
      <c r="BT265" s="335"/>
      <c r="BU265" s="335"/>
      <c r="BV265" s="335"/>
      <c r="BW265" s="335"/>
      <c r="BX265" s="335"/>
      <c r="BY265" s="335"/>
      <c r="BZ265" s="335"/>
      <c r="CA265" s="335"/>
      <c r="CB265" s="335"/>
      <c r="CC265" s="335"/>
      <c r="CD265" s="335"/>
      <c r="CE265" s="335"/>
      <c r="CF265" s="335"/>
      <c r="CG265" s="335"/>
      <c r="CH265" s="335"/>
      <c r="CI265" s="335"/>
      <c r="CJ265" s="335"/>
      <c r="CK265" s="335"/>
      <c r="CL265" s="335"/>
      <c r="CM265" s="335"/>
      <c r="CN265" s="335"/>
      <c r="CO265" s="335"/>
      <c r="CP265" s="335"/>
      <c r="CQ265" s="335"/>
      <c r="CR265" s="335"/>
      <c r="CS265" s="335"/>
      <c r="CT265" s="335"/>
      <c r="CU265" s="335"/>
      <c r="CV265" s="335"/>
      <c r="CW265" s="335"/>
      <c r="CX265" s="335"/>
      <c r="CY265" s="335"/>
      <c r="CZ265" s="335"/>
      <c r="DA265" s="335"/>
      <c r="DB265" s="335"/>
      <c r="DC265" s="335"/>
      <c r="DD265" s="335"/>
      <c r="DE265" s="335"/>
      <c r="DF265" s="335"/>
      <c r="DG265" s="335"/>
      <c r="DH265" s="335"/>
      <c r="DI265" s="335"/>
      <c r="DJ265" s="335"/>
      <c r="DK265" s="335"/>
      <c r="DL265" s="335"/>
      <c r="DM265" s="335"/>
      <c r="DN265" s="335"/>
      <c r="DO265" s="335"/>
      <c r="DP265" s="335"/>
      <c r="DQ265" s="335"/>
      <c r="DR265" s="335"/>
      <c r="DS265" s="335"/>
      <c r="DT265" s="335"/>
      <c r="DU265" s="335"/>
      <c r="DV265" s="335"/>
      <c r="DW265" s="335"/>
      <c r="DX265" s="335"/>
      <c r="DY265" s="335"/>
      <c r="DZ265" s="335"/>
      <c r="EA265" s="335"/>
      <c r="EB265" s="335"/>
      <c r="EC265" s="335"/>
      <c r="ED265" s="335"/>
      <c r="EE265" s="335"/>
      <c r="EF265" s="335"/>
      <c r="EG265" s="335"/>
      <c r="EH265" s="335"/>
      <c r="EI265" s="335"/>
      <c r="EJ265" s="335"/>
      <c r="EK265" s="335"/>
      <c r="EL265" s="335"/>
      <c r="EM265" s="335"/>
      <c r="EN265" s="335"/>
      <c r="EO265" s="335"/>
      <c r="EP265" s="335"/>
      <c r="EQ265" s="335"/>
      <c r="ER265" s="335"/>
      <c r="ES265" s="335"/>
      <c r="ET265" s="335"/>
      <c r="EU265" s="335"/>
      <c r="EV265" s="335"/>
      <c r="EW265" s="335"/>
      <c r="EX265" s="335"/>
      <c r="EY265" s="335"/>
      <c r="EZ265" s="335"/>
      <c r="FA265" s="335"/>
      <c r="FB265" s="335"/>
      <c r="FC265" s="335"/>
      <c r="FD265" s="335"/>
      <c r="FE265" s="335"/>
      <c r="FF265" s="335"/>
      <c r="FG265" s="335"/>
      <c r="FH265" s="335"/>
      <c r="FI265" s="335"/>
      <c r="FJ265" s="335"/>
      <c r="FK265" s="335"/>
      <c r="FL265" s="335"/>
      <c r="FM265" s="335"/>
      <c r="FN265" s="335"/>
      <c r="FO265" s="335"/>
      <c r="FP265" s="335"/>
      <c r="FQ265" s="335"/>
      <c r="FR265" s="335"/>
      <c r="FS265" s="335"/>
      <c r="FT265" s="335"/>
      <c r="FU265" s="335"/>
      <c r="FV265" s="335"/>
      <c r="FW265" s="335"/>
      <c r="FX265" s="335"/>
      <c r="FY265" s="335"/>
      <c r="FZ265" s="335"/>
      <c r="GA265" s="335"/>
      <c r="GB265" s="335"/>
      <c r="GC265" s="335"/>
      <c r="GD265" s="335"/>
      <c r="GE265" s="335"/>
      <c r="GF265" s="335"/>
      <c r="GG265" s="335"/>
      <c r="GH265" s="335"/>
      <c r="GI265" s="335"/>
      <c r="GJ265" s="335"/>
      <c r="GK265" s="335"/>
      <c r="GL265" s="335"/>
      <c r="GM265" s="335"/>
      <c r="GN265" s="335"/>
      <c r="GO265" s="335"/>
      <c r="GP265" s="335"/>
      <c r="GQ265" s="335"/>
      <c r="GR265" s="335"/>
      <c r="GS265" s="335"/>
      <c r="GT265" s="335"/>
      <c r="GU265" s="335"/>
      <c r="GV265" s="335"/>
      <c r="GW265" s="335"/>
      <c r="GX265" s="335"/>
      <c r="GY265" s="335"/>
      <c r="GZ265" s="335"/>
    </row>
    <row r="266" spans="1:208" ht="15">
      <c r="A266" s="379"/>
      <c r="B266" s="335"/>
      <c r="C266" s="335"/>
      <c r="D266" s="335"/>
      <c r="E266" s="335"/>
      <c r="F266" s="335"/>
      <c r="G266" s="335"/>
      <c r="H266" s="335"/>
      <c r="I266" s="335"/>
      <c r="J266" s="335"/>
      <c r="K266" s="335"/>
      <c r="L266" s="335"/>
      <c r="M266" s="376"/>
      <c r="N266" s="335"/>
      <c r="O266" s="380"/>
      <c r="P266" s="335"/>
      <c r="Q266" s="335"/>
      <c r="R266" s="335"/>
      <c r="S266" s="335"/>
      <c r="T266" s="335"/>
      <c r="U266" s="335"/>
      <c r="V266" s="335"/>
      <c r="W266" s="335"/>
      <c r="X266" s="335"/>
      <c r="Y266" s="335"/>
      <c r="Z266" s="335"/>
      <c r="AA266" s="335"/>
      <c r="AB266" s="335"/>
      <c r="AC266" s="335"/>
      <c r="AD266" s="335"/>
      <c r="AE266" s="335"/>
      <c r="AF266" s="335"/>
      <c r="AG266" s="335"/>
      <c r="AH266" s="335"/>
      <c r="AI266" s="335"/>
      <c r="AJ266" s="335"/>
      <c r="AK266" s="335"/>
      <c r="AL266" s="335"/>
      <c r="AM266" s="335"/>
      <c r="AN266" s="335"/>
      <c r="AO266" s="335"/>
      <c r="AP266" s="335"/>
      <c r="AQ266" s="335"/>
      <c r="AR266" s="335"/>
      <c r="AS266" s="335"/>
      <c r="AT266" s="335"/>
      <c r="AU266" s="335"/>
      <c r="AV266" s="335"/>
      <c r="AW266" s="335"/>
      <c r="AX266" s="335"/>
      <c r="AY266" s="335"/>
      <c r="AZ266" s="335"/>
      <c r="BA266" s="335"/>
      <c r="BB266" s="335"/>
      <c r="BC266" s="335"/>
      <c r="BD266" s="335"/>
      <c r="BE266" s="335"/>
      <c r="BF266" s="335"/>
      <c r="BG266" s="335"/>
      <c r="BH266" s="335"/>
      <c r="BI266" s="335"/>
      <c r="BJ266" s="335"/>
      <c r="BK266" s="335"/>
      <c r="BL266" s="335"/>
      <c r="BM266" s="335"/>
      <c r="BN266" s="335"/>
      <c r="BO266" s="335"/>
      <c r="BP266" s="335"/>
      <c r="BQ266" s="335"/>
      <c r="BR266" s="335"/>
      <c r="BS266" s="335"/>
      <c r="BT266" s="335"/>
      <c r="BU266" s="335"/>
      <c r="BV266" s="335"/>
      <c r="BW266" s="335"/>
      <c r="BX266" s="335"/>
      <c r="BY266" s="335"/>
      <c r="BZ266" s="335"/>
      <c r="CA266" s="335"/>
      <c r="CB266" s="335"/>
      <c r="CC266" s="335"/>
      <c r="CD266" s="335"/>
      <c r="CE266" s="335"/>
      <c r="CF266" s="335"/>
      <c r="CG266" s="335"/>
      <c r="CH266" s="335"/>
      <c r="CI266" s="335"/>
      <c r="CJ266" s="335"/>
      <c r="CK266" s="335"/>
      <c r="CL266" s="335"/>
      <c r="CM266" s="335"/>
      <c r="CN266" s="335"/>
      <c r="CO266" s="335"/>
      <c r="CP266" s="335"/>
      <c r="CQ266" s="335"/>
      <c r="CR266" s="335"/>
      <c r="CS266" s="335"/>
      <c r="CT266" s="335"/>
      <c r="CU266" s="335"/>
      <c r="CV266" s="335"/>
      <c r="CW266" s="335"/>
      <c r="CX266" s="335"/>
      <c r="CY266" s="335"/>
      <c r="CZ266" s="335"/>
      <c r="DA266" s="335"/>
      <c r="DB266" s="335"/>
      <c r="DC266" s="335"/>
      <c r="DD266" s="335"/>
      <c r="DE266" s="335"/>
      <c r="DF266" s="335"/>
      <c r="DG266" s="335"/>
      <c r="DH266" s="335"/>
      <c r="DI266" s="335"/>
      <c r="DJ266" s="335"/>
      <c r="DK266" s="335"/>
      <c r="DL266" s="335"/>
      <c r="DM266" s="335"/>
      <c r="DN266" s="335"/>
      <c r="DO266" s="335"/>
      <c r="DP266" s="335"/>
      <c r="DQ266" s="335"/>
      <c r="DR266" s="335"/>
      <c r="DS266" s="335"/>
      <c r="DT266" s="335"/>
      <c r="DU266" s="335"/>
      <c r="DV266" s="335"/>
      <c r="DW266" s="335"/>
      <c r="DX266" s="335"/>
      <c r="DY266" s="335"/>
      <c r="DZ266" s="335"/>
      <c r="EA266" s="335"/>
      <c r="EB266" s="335"/>
      <c r="EC266" s="335"/>
      <c r="ED266" s="335"/>
      <c r="EE266" s="335"/>
      <c r="EF266" s="335"/>
      <c r="EG266" s="335"/>
      <c r="EH266" s="335"/>
      <c r="EI266" s="335"/>
      <c r="EJ266" s="335"/>
      <c r="EK266" s="335"/>
      <c r="EL266" s="335"/>
      <c r="EM266" s="335"/>
      <c r="EN266" s="335"/>
      <c r="EO266" s="335"/>
      <c r="EP266" s="335"/>
      <c r="EQ266" s="335"/>
      <c r="ER266" s="335"/>
      <c r="ES266" s="335"/>
      <c r="ET266" s="335"/>
      <c r="EU266" s="335"/>
      <c r="EV266" s="335"/>
      <c r="EW266" s="335"/>
      <c r="EX266" s="335"/>
      <c r="EY266" s="335"/>
      <c r="EZ266" s="335"/>
      <c r="FA266" s="335"/>
      <c r="FB266" s="335"/>
      <c r="FC266" s="335"/>
      <c r="FD266" s="335"/>
      <c r="FE266" s="335"/>
      <c r="FF266" s="335"/>
      <c r="FG266" s="335"/>
      <c r="FH266" s="335"/>
      <c r="FI266" s="335"/>
      <c r="FJ266" s="335"/>
      <c r="FK266" s="335"/>
      <c r="FL266" s="335"/>
      <c r="FM266" s="335"/>
      <c r="FN266" s="335"/>
      <c r="FO266" s="335"/>
      <c r="FP266" s="335"/>
      <c r="FQ266" s="335"/>
      <c r="FR266" s="335"/>
      <c r="FS266" s="335"/>
      <c r="FT266" s="335"/>
      <c r="FU266" s="335"/>
      <c r="FV266" s="335"/>
      <c r="FW266" s="335"/>
      <c r="FX266" s="335"/>
      <c r="FY266" s="335"/>
      <c r="FZ266" s="335"/>
      <c r="GA266" s="335"/>
      <c r="GB266" s="335"/>
      <c r="GC266" s="335"/>
      <c r="GD266" s="335"/>
      <c r="GE266" s="335"/>
      <c r="GF266" s="335"/>
      <c r="GG266" s="335"/>
      <c r="GH266" s="335"/>
      <c r="GI266" s="335"/>
      <c r="GJ266" s="335"/>
      <c r="GK266" s="335"/>
      <c r="GL266" s="335"/>
      <c r="GM266" s="335"/>
      <c r="GN266" s="335"/>
      <c r="GO266" s="335"/>
      <c r="GP266" s="335"/>
      <c r="GQ266" s="335"/>
      <c r="GR266" s="335"/>
      <c r="GS266" s="335"/>
      <c r="GT266" s="335"/>
      <c r="GU266" s="335"/>
      <c r="GV266" s="335"/>
      <c r="GW266" s="335"/>
      <c r="GX266" s="335"/>
      <c r="GY266" s="335"/>
      <c r="GZ266" s="335"/>
    </row>
    <row r="267" spans="1:208" ht="15">
      <c r="A267" s="379"/>
      <c r="B267" s="335"/>
      <c r="C267" s="335"/>
      <c r="D267" s="335"/>
      <c r="E267" s="335"/>
      <c r="F267" s="335"/>
      <c r="G267" s="335"/>
      <c r="H267" s="335"/>
      <c r="I267" s="335"/>
      <c r="J267" s="335"/>
      <c r="K267" s="335"/>
      <c r="L267" s="335"/>
      <c r="M267" s="376"/>
      <c r="N267" s="335"/>
      <c r="O267" s="380"/>
      <c r="P267" s="335"/>
      <c r="Q267" s="335"/>
      <c r="R267" s="335"/>
      <c r="S267" s="335"/>
      <c r="T267" s="335"/>
      <c r="U267" s="335"/>
      <c r="V267" s="335"/>
      <c r="W267" s="335"/>
      <c r="X267" s="335"/>
      <c r="Y267" s="335"/>
      <c r="Z267" s="335"/>
      <c r="AA267" s="335"/>
      <c r="AB267" s="335"/>
      <c r="AC267" s="335"/>
      <c r="AD267" s="335"/>
      <c r="AE267" s="335"/>
      <c r="AF267" s="335"/>
      <c r="AG267" s="335"/>
      <c r="AH267" s="335"/>
      <c r="AI267" s="335"/>
      <c r="AJ267" s="335"/>
      <c r="AK267" s="335"/>
      <c r="AL267" s="335"/>
      <c r="AM267" s="335"/>
      <c r="AN267" s="335"/>
      <c r="AO267" s="335"/>
      <c r="AP267" s="335"/>
      <c r="AQ267" s="335"/>
      <c r="AR267" s="335"/>
      <c r="AS267" s="335"/>
      <c r="AT267" s="335"/>
      <c r="AU267" s="335"/>
      <c r="AV267" s="335"/>
      <c r="AW267" s="335"/>
      <c r="AX267" s="335"/>
      <c r="AY267" s="335"/>
      <c r="AZ267" s="335"/>
      <c r="BA267" s="335"/>
      <c r="BB267" s="335"/>
      <c r="BC267" s="335"/>
      <c r="BD267" s="335"/>
      <c r="BE267" s="335"/>
      <c r="BF267" s="335"/>
      <c r="BG267" s="335"/>
      <c r="BH267" s="335"/>
      <c r="BI267" s="335"/>
      <c r="BJ267" s="335"/>
      <c r="BK267" s="335"/>
      <c r="BL267" s="335"/>
      <c r="BM267" s="335"/>
      <c r="BN267" s="335"/>
      <c r="BO267" s="335"/>
      <c r="BP267" s="335"/>
      <c r="BQ267" s="335"/>
      <c r="BR267" s="335"/>
      <c r="BS267" s="335"/>
      <c r="BT267" s="335"/>
      <c r="BU267" s="335"/>
      <c r="BV267" s="335"/>
      <c r="BW267" s="335"/>
      <c r="BX267" s="335"/>
      <c r="BY267" s="335"/>
      <c r="BZ267" s="335"/>
      <c r="CA267" s="335"/>
      <c r="CB267" s="335"/>
      <c r="CC267" s="335"/>
      <c r="CD267" s="335"/>
      <c r="CE267" s="335"/>
      <c r="CF267" s="335"/>
      <c r="CG267" s="335"/>
      <c r="CH267" s="335"/>
      <c r="CI267" s="335"/>
      <c r="CJ267" s="335"/>
      <c r="CK267" s="335"/>
      <c r="CL267" s="335"/>
      <c r="CM267" s="335"/>
      <c r="CN267" s="335"/>
      <c r="CO267" s="335"/>
      <c r="CP267" s="335"/>
      <c r="CQ267" s="335"/>
      <c r="CR267" s="335"/>
      <c r="CS267" s="335"/>
      <c r="CT267" s="335"/>
      <c r="CU267" s="335"/>
      <c r="CV267" s="335"/>
      <c r="CW267" s="335"/>
      <c r="CX267" s="335"/>
      <c r="CY267" s="335"/>
      <c r="CZ267" s="335"/>
      <c r="DA267" s="335"/>
      <c r="DB267" s="335"/>
      <c r="DC267" s="335"/>
      <c r="DD267" s="335"/>
      <c r="DE267" s="335"/>
      <c r="DF267" s="335"/>
      <c r="DG267" s="335"/>
      <c r="DH267" s="335"/>
      <c r="DI267" s="335"/>
      <c r="DJ267" s="335"/>
      <c r="DK267" s="335"/>
      <c r="DL267" s="335"/>
      <c r="DM267" s="335"/>
      <c r="DN267" s="335"/>
      <c r="DO267" s="335"/>
      <c r="DP267" s="335"/>
      <c r="DQ267" s="335"/>
      <c r="DR267" s="335"/>
      <c r="DS267" s="335"/>
      <c r="DT267" s="335"/>
      <c r="DU267" s="335"/>
      <c r="DV267" s="335"/>
      <c r="DW267" s="335"/>
      <c r="DX267" s="335"/>
      <c r="DY267" s="335"/>
      <c r="DZ267" s="335"/>
      <c r="EA267" s="335"/>
      <c r="EB267" s="335"/>
      <c r="EC267" s="335"/>
      <c r="ED267" s="335"/>
      <c r="EE267" s="335"/>
      <c r="EF267" s="335"/>
      <c r="EG267" s="335"/>
      <c r="EH267" s="335"/>
      <c r="EI267" s="335"/>
      <c r="EJ267" s="335"/>
      <c r="EK267" s="335"/>
      <c r="EL267" s="335"/>
      <c r="EM267" s="335"/>
      <c r="EN267" s="335"/>
      <c r="EO267" s="335"/>
      <c r="EP267" s="335"/>
      <c r="EQ267" s="335"/>
      <c r="ER267" s="335"/>
      <c r="ES267" s="335"/>
      <c r="ET267" s="335"/>
      <c r="EU267" s="335"/>
      <c r="EV267" s="335"/>
      <c r="EW267" s="335"/>
      <c r="EX267" s="335"/>
      <c r="EY267" s="335"/>
      <c r="EZ267" s="335"/>
      <c r="FA267" s="335"/>
      <c r="FB267" s="335"/>
      <c r="FC267" s="335"/>
      <c r="FD267" s="335"/>
      <c r="FE267" s="335"/>
      <c r="FF267" s="335"/>
      <c r="FG267" s="335"/>
      <c r="FH267" s="335"/>
      <c r="FI267" s="335"/>
      <c r="FJ267" s="335"/>
      <c r="FK267" s="335"/>
      <c r="FL267" s="335"/>
      <c r="FM267" s="335"/>
      <c r="FN267" s="335"/>
      <c r="FO267" s="335"/>
      <c r="FP267" s="335"/>
      <c r="FQ267" s="335"/>
      <c r="FR267" s="335"/>
      <c r="FS267" s="335"/>
      <c r="FT267" s="335"/>
      <c r="FU267" s="335"/>
      <c r="FV267" s="335"/>
      <c r="FW267" s="335"/>
      <c r="FX267" s="335"/>
      <c r="FY267" s="335"/>
      <c r="FZ267" s="335"/>
      <c r="GA267" s="335"/>
      <c r="GB267" s="335"/>
      <c r="GC267" s="335"/>
      <c r="GD267" s="335"/>
      <c r="GE267" s="335"/>
      <c r="GF267" s="335"/>
      <c r="GG267" s="335"/>
      <c r="GH267" s="335"/>
      <c r="GI267" s="335"/>
      <c r="GJ267" s="335"/>
      <c r="GK267" s="335"/>
      <c r="GL267" s="335"/>
      <c r="GM267" s="335"/>
      <c r="GN267" s="335"/>
      <c r="GO267" s="335"/>
      <c r="GP267" s="335"/>
      <c r="GQ267" s="335"/>
      <c r="GR267" s="335"/>
      <c r="GS267" s="335"/>
      <c r="GT267" s="335"/>
      <c r="GU267" s="335"/>
      <c r="GV267" s="335"/>
      <c r="GW267" s="335"/>
      <c r="GX267" s="335"/>
      <c r="GY267" s="335"/>
      <c r="GZ267" s="335"/>
    </row>
    <row r="268" spans="1:208" ht="15">
      <c r="A268" s="379"/>
      <c r="B268" s="335"/>
      <c r="C268" s="335"/>
      <c r="D268" s="335"/>
      <c r="E268" s="335"/>
      <c r="F268" s="335"/>
      <c r="G268" s="335"/>
      <c r="H268" s="335"/>
      <c r="I268" s="335"/>
      <c r="J268" s="335"/>
      <c r="K268" s="335"/>
      <c r="L268" s="335"/>
      <c r="M268" s="376"/>
      <c r="N268" s="335"/>
      <c r="O268" s="380"/>
      <c r="P268" s="335"/>
      <c r="Q268" s="335"/>
      <c r="R268" s="335"/>
      <c r="S268" s="335"/>
      <c r="T268" s="335"/>
      <c r="U268" s="335"/>
      <c r="V268" s="335"/>
      <c r="W268" s="335"/>
      <c r="X268" s="335"/>
      <c r="Y268" s="335"/>
      <c r="Z268" s="335"/>
      <c r="AA268" s="335"/>
      <c r="AB268" s="335"/>
      <c r="AC268" s="335"/>
      <c r="AD268" s="335"/>
      <c r="AE268" s="335"/>
      <c r="AF268" s="335"/>
      <c r="AG268" s="335"/>
      <c r="AH268" s="335"/>
      <c r="AI268" s="335"/>
      <c r="AJ268" s="335"/>
      <c r="AK268" s="335"/>
      <c r="AL268" s="335"/>
      <c r="AM268" s="335"/>
      <c r="AN268" s="335"/>
      <c r="AO268" s="335"/>
      <c r="AP268" s="335"/>
      <c r="AQ268" s="335"/>
      <c r="AR268" s="335"/>
      <c r="AS268" s="335"/>
      <c r="AT268" s="335"/>
      <c r="AU268" s="335"/>
      <c r="AV268" s="335"/>
      <c r="AW268" s="335"/>
      <c r="AX268" s="335"/>
      <c r="AY268" s="335"/>
      <c r="AZ268" s="335"/>
      <c r="BA268" s="335"/>
      <c r="BB268" s="335"/>
      <c r="BC268" s="335"/>
      <c r="BD268" s="335"/>
      <c r="BE268" s="335"/>
      <c r="BF268" s="335"/>
      <c r="BG268" s="335"/>
      <c r="BH268" s="335"/>
      <c r="BI268" s="335"/>
      <c r="BJ268" s="335"/>
      <c r="BK268" s="335"/>
      <c r="BL268" s="335"/>
      <c r="BM268" s="335"/>
      <c r="BN268" s="335"/>
      <c r="BO268" s="335"/>
      <c r="BP268" s="335"/>
      <c r="BQ268" s="335"/>
      <c r="BR268" s="335"/>
      <c r="BS268" s="335"/>
      <c r="BT268" s="335"/>
      <c r="BU268" s="335"/>
      <c r="BV268" s="335"/>
      <c r="BW268" s="335"/>
      <c r="BX268" s="335"/>
      <c r="BY268" s="335"/>
      <c r="BZ268" s="335"/>
      <c r="CA268" s="335"/>
      <c r="CB268" s="335"/>
      <c r="CC268" s="335"/>
      <c r="CD268" s="335"/>
      <c r="CE268" s="335"/>
      <c r="CF268" s="335"/>
      <c r="CG268" s="335"/>
      <c r="CH268" s="335"/>
      <c r="CI268" s="335"/>
      <c r="CJ268" s="335"/>
      <c r="CK268" s="335"/>
      <c r="CL268" s="335"/>
      <c r="CM268" s="335"/>
      <c r="CN268" s="335"/>
      <c r="CO268" s="335"/>
      <c r="CP268" s="335"/>
      <c r="CQ268" s="335"/>
      <c r="CR268" s="335"/>
      <c r="CS268" s="335"/>
      <c r="CT268" s="335"/>
      <c r="CU268" s="335"/>
      <c r="CV268" s="335"/>
      <c r="CW268" s="335"/>
      <c r="CX268" s="335"/>
      <c r="CY268" s="335"/>
      <c r="CZ268" s="335"/>
      <c r="DA268" s="335"/>
      <c r="DB268" s="335"/>
      <c r="DC268" s="335"/>
      <c r="DD268" s="335"/>
      <c r="DE268" s="335"/>
      <c r="DF268" s="335"/>
      <c r="DG268" s="335"/>
      <c r="DH268" s="335"/>
      <c r="DI268" s="335"/>
      <c r="DJ268" s="335"/>
      <c r="DK268" s="335"/>
      <c r="DL268" s="335"/>
      <c r="DM268" s="335"/>
      <c r="DN268" s="335"/>
      <c r="DO268" s="335"/>
      <c r="DP268" s="335"/>
      <c r="DQ268" s="335"/>
      <c r="DR268" s="335"/>
      <c r="DS268" s="335"/>
      <c r="DT268" s="335"/>
      <c r="DU268" s="335"/>
      <c r="DV268" s="335"/>
      <c r="DW268" s="335"/>
      <c r="DX268" s="335"/>
      <c r="DY268" s="335"/>
      <c r="DZ268" s="335"/>
      <c r="EA268" s="335"/>
      <c r="EB268" s="335"/>
      <c r="EC268" s="335"/>
      <c r="ED268" s="335"/>
      <c r="EE268" s="335"/>
      <c r="EF268" s="335"/>
      <c r="EG268" s="335"/>
      <c r="EH268" s="335"/>
      <c r="EI268" s="335"/>
      <c r="EJ268" s="335"/>
      <c r="EK268" s="335"/>
      <c r="EL268" s="335"/>
      <c r="EM268" s="335"/>
      <c r="EN268" s="335"/>
      <c r="EO268" s="335"/>
      <c r="EP268" s="335"/>
      <c r="EQ268" s="335"/>
      <c r="ER268" s="335"/>
      <c r="ES268" s="335"/>
      <c r="ET268" s="335"/>
      <c r="EU268" s="335"/>
      <c r="EV268" s="335"/>
      <c r="EW268" s="335"/>
      <c r="EX268" s="335"/>
      <c r="EY268" s="335"/>
      <c r="EZ268" s="335"/>
      <c r="FA268" s="335"/>
      <c r="FB268" s="335"/>
      <c r="FC268" s="335"/>
      <c r="FD268" s="335"/>
      <c r="FE268" s="335"/>
      <c r="FF268" s="335"/>
      <c r="FG268" s="335"/>
      <c r="FH268" s="335"/>
      <c r="FI268" s="335"/>
      <c r="FJ268" s="335"/>
      <c r="FK268" s="335"/>
      <c r="FL268" s="335"/>
      <c r="FM268" s="335"/>
      <c r="FN268" s="335"/>
      <c r="FO268" s="335"/>
      <c r="FP268" s="335"/>
      <c r="FQ268" s="335"/>
      <c r="FR268" s="335"/>
      <c r="FS268" s="335"/>
      <c r="FT268" s="335"/>
      <c r="FU268" s="335"/>
      <c r="FV268" s="335"/>
      <c r="FW268" s="335"/>
      <c r="FX268" s="335"/>
      <c r="FY268" s="335"/>
      <c r="FZ268" s="335"/>
      <c r="GA268" s="335"/>
      <c r="GB268" s="335"/>
      <c r="GC268" s="335"/>
      <c r="GD268" s="335"/>
      <c r="GE268" s="335"/>
      <c r="GF268" s="335"/>
      <c r="GG268" s="335"/>
      <c r="GH268" s="335"/>
      <c r="GI268" s="335"/>
      <c r="GJ268" s="335"/>
      <c r="GK268" s="335"/>
      <c r="GL268" s="335"/>
      <c r="GM268" s="335"/>
      <c r="GN268" s="335"/>
      <c r="GO268" s="335"/>
      <c r="GP268" s="335"/>
      <c r="GQ268" s="335"/>
      <c r="GR268" s="335"/>
      <c r="GS268" s="335"/>
      <c r="GT268" s="335"/>
      <c r="GU268" s="335"/>
      <c r="GV268" s="335"/>
      <c r="GW268" s="335"/>
      <c r="GX268" s="335"/>
      <c r="GY268" s="335"/>
      <c r="GZ268" s="335"/>
    </row>
    <row r="269" spans="1:208" ht="15">
      <c r="A269" s="379"/>
      <c r="B269" s="335"/>
      <c r="C269" s="335"/>
      <c r="D269" s="335"/>
      <c r="E269" s="335"/>
      <c r="F269" s="335"/>
      <c r="G269" s="335"/>
      <c r="H269" s="335"/>
      <c r="I269" s="335"/>
      <c r="J269" s="335"/>
      <c r="K269" s="335"/>
      <c r="L269" s="335"/>
      <c r="M269" s="376"/>
      <c r="N269" s="335"/>
      <c r="O269" s="380"/>
      <c r="P269" s="335"/>
      <c r="Q269" s="335"/>
      <c r="R269" s="335"/>
      <c r="S269" s="335"/>
      <c r="T269" s="335"/>
      <c r="U269" s="335"/>
      <c r="V269" s="335"/>
      <c r="W269" s="335"/>
      <c r="X269" s="335"/>
      <c r="Y269" s="335"/>
      <c r="Z269" s="335"/>
      <c r="AA269" s="335"/>
      <c r="AB269" s="335"/>
      <c r="AC269" s="335"/>
      <c r="AD269" s="335"/>
      <c r="AE269" s="335"/>
      <c r="AF269" s="335"/>
      <c r="AG269" s="335"/>
      <c r="AH269" s="335"/>
      <c r="AI269" s="335"/>
      <c r="AJ269" s="335"/>
      <c r="AK269" s="335"/>
      <c r="AL269" s="335"/>
      <c r="AM269" s="335"/>
      <c r="AN269" s="335"/>
      <c r="AO269" s="335"/>
      <c r="AP269" s="335"/>
      <c r="AQ269" s="335"/>
      <c r="AR269" s="335"/>
      <c r="AS269" s="335"/>
      <c r="AT269" s="335"/>
      <c r="AU269" s="335"/>
      <c r="AV269" s="335"/>
      <c r="AW269" s="335"/>
      <c r="AX269" s="335"/>
      <c r="AY269" s="335"/>
      <c r="AZ269" s="335"/>
      <c r="BA269" s="335"/>
      <c r="BB269" s="335"/>
      <c r="BC269" s="335"/>
      <c r="BD269" s="335"/>
      <c r="BE269" s="335"/>
      <c r="BF269" s="335"/>
      <c r="BG269" s="335"/>
      <c r="BH269" s="335"/>
      <c r="BI269" s="335"/>
      <c r="BJ269" s="335"/>
      <c r="BK269" s="335"/>
      <c r="BL269" s="335"/>
      <c r="BM269" s="335"/>
      <c r="BN269" s="335"/>
      <c r="BO269" s="335"/>
      <c r="BP269" s="335"/>
      <c r="BQ269" s="335"/>
      <c r="BR269" s="335"/>
      <c r="BS269" s="335"/>
      <c r="BT269" s="335"/>
      <c r="BU269" s="335"/>
      <c r="BV269" s="335"/>
      <c r="BW269" s="335"/>
      <c r="BX269" s="335"/>
      <c r="BY269" s="335"/>
      <c r="BZ269" s="335"/>
      <c r="CA269" s="335"/>
      <c r="CB269" s="335"/>
      <c r="CC269" s="335"/>
      <c r="CD269" s="335"/>
      <c r="CE269" s="335"/>
      <c r="CF269" s="335"/>
      <c r="CG269" s="335"/>
      <c r="CH269" s="335"/>
      <c r="CI269" s="335"/>
      <c r="CJ269" s="335"/>
      <c r="CK269" s="335"/>
      <c r="CL269" s="335"/>
      <c r="CM269" s="335"/>
      <c r="CN269" s="335"/>
      <c r="CO269" s="335"/>
      <c r="CP269" s="335"/>
      <c r="CQ269" s="335"/>
      <c r="CR269" s="335"/>
      <c r="CS269" s="335"/>
      <c r="CT269" s="335"/>
      <c r="CU269" s="335"/>
      <c r="CV269" s="335"/>
      <c r="CW269" s="335"/>
      <c r="CX269" s="335"/>
      <c r="CY269" s="335"/>
      <c r="CZ269" s="335"/>
      <c r="DA269" s="335"/>
      <c r="DB269" s="335"/>
      <c r="DC269" s="335"/>
      <c r="DD269" s="335"/>
      <c r="DE269" s="335"/>
      <c r="DF269" s="335"/>
      <c r="DG269" s="335"/>
      <c r="DH269" s="335"/>
      <c r="DI269" s="335"/>
      <c r="DJ269" s="335"/>
      <c r="DK269" s="335"/>
      <c r="DL269" s="335"/>
      <c r="DM269" s="335"/>
      <c r="DN269" s="335"/>
      <c r="DO269" s="335"/>
      <c r="DP269" s="335"/>
      <c r="DQ269" s="335"/>
      <c r="DR269" s="335"/>
      <c r="DS269" s="335"/>
      <c r="DT269" s="335"/>
      <c r="DU269" s="335"/>
      <c r="DV269" s="335"/>
      <c r="DW269" s="335"/>
      <c r="DX269" s="335"/>
      <c r="DY269" s="335"/>
      <c r="DZ269" s="335"/>
      <c r="EA269" s="335"/>
      <c r="EB269" s="335"/>
      <c r="EC269" s="335"/>
      <c r="ED269" s="335"/>
      <c r="EE269" s="335"/>
      <c r="EF269" s="335"/>
      <c r="EG269" s="335"/>
      <c r="EH269" s="335"/>
      <c r="EI269" s="335"/>
      <c r="EJ269" s="335"/>
      <c r="EK269" s="335"/>
      <c r="EL269" s="335"/>
      <c r="EM269" s="335"/>
      <c r="EN269" s="335"/>
      <c r="EO269" s="335"/>
      <c r="EP269" s="335"/>
      <c r="EQ269" s="335"/>
      <c r="ER269" s="335"/>
      <c r="ES269" s="335"/>
      <c r="ET269" s="335"/>
      <c r="EU269" s="335"/>
      <c r="EV269" s="335"/>
      <c r="EW269" s="335"/>
      <c r="EX269" s="335"/>
      <c r="EY269" s="335"/>
      <c r="EZ269" s="335"/>
      <c r="FA269" s="335"/>
      <c r="FB269" s="335"/>
      <c r="FC269" s="335"/>
      <c r="FD269" s="335"/>
      <c r="FE269" s="335"/>
      <c r="FF269" s="335"/>
      <c r="FG269" s="335"/>
      <c r="FH269" s="335"/>
      <c r="FI269" s="335"/>
      <c r="FJ269" s="335"/>
      <c r="FK269" s="335"/>
      <c r="FL269" s="335"/>
      <c r="FM269" s="335"/>
      <c r="FN269" s="335"/>
      <c r="FO269" s="335"/>
      <c r="FP269" s="335"/>
      <c r="FQ269" s="335"/>
      <c r="FR269" s="335"/>
      <c r="FS269" s="335"/>
      <c r="FT269" s="335"/>
      <c r="FU269" s="335"/>
      <c r="FV269" s="335"/>
      <c r="FW269" s="335"/>
      <c r="FX269" s="335"/>
      <c r="FY269" s="335"/>
      <c r="FZ269" s="335"/>
      <c r="GA269" s="335"/>
      <c r="GB269" s="335"/>
      <c r="GC269" s="335"/>
      <c r="GD269" s="335"/>
      <c r="GE269" s="335"/>
      <c r="GF269" s="335"/>
      <c r="GG269" s="335"/>
      <c r="GH269" s="335"/>
      <c r="GI269" s="335"/>
      <c r="GJ269" s="335"/>
      <c r="GK269" s="335"/>
      <c r="GL269" s="335"/>
      <c r="GM269" s="335"/>
      <c r="GN269" s="335"/>
      <c r="GO269" s="335"/>
      <c r="GP269" s="335"/>
      <c r="GQ269" s="335"/>
      <c r="GR269" s="335"/>
      <c r="GS269" s="335"/>
      <c r="GT269" s="335"/>
      <c r="GU269" s="335"/>
      <c r="GV269" s="335"/>
      <c r="GW269" s="335"/>
      <c r="GX269" s="335"/>
      <c r="GY269" s="335"/>
      <c r="GZ269" s="335"/>
    </row>
    <row r="270" spans="1:208" ht="15">
      <c r="A270" s="379"/>
      <c r="B270" s="335"/>
      <c r="C270" s="335"/>
      <c r="D270" s="335"/>
      <c r="E270" s="335"/>
      <c r="F270" s="335"/>
      <c r="G270" s="335"/>
      <c r="H270" s="335"/>
      <c r="I270" s="335"/>
      <c r="J270" s="335"/>
      <c r="K270" s="335"/>
      <c r="L270" s="335"/>
      <c r="M270" s="376"/>
      <c r="N270" s="335"/>
      <c r="O270" s="380"/>
      <c r="P270" s="335"/>
      <c r="Q270" s="335"/>
      <c r="R270" s="335"/>
      <c r="S270" s="335"/>
      <c r="T270" s="335"/>
      <c r="U270" s="335"/>
      <c r="V270" s="335"/>
      <c r="W270" s="335"/>
      <c r="X270" s="335"/>
      <c r="Y270" s="335"/>
      <c r="Z270" s="335"/>
      <c r="AA270" s="335"/>
      <c r="AB270" s="335"/>
      <c r="AC270" s="335"/>
      <c r="AD270" s="335"/>
      <c r="AE270" s="335"/>
      <c r="AF270" s="335"/>
      <c r="AG270" s="335"/>
      <c r="AH270" s="335"/>
      <c r="AI270" s="335"/>
      <c r="AJ270" s="335"/>
      <c r="AK270" s="335"/>
      <c r="AL270" s="335"/>
      <c r="AM270" s="335"/>
      <c r="AN270" s="335"/>
      <c r="AO270" s="335"/>
      <c r="AP270" s="335"/>
      <c r="AQ270" s="335"/>
      <c r="AR270" s="335"/>
      <c r="AS270" s="335"/>
      <c r="AT270" s="335"/>
      <c r="AU270" s="335"/>
      <c r="AV270" s="335"/>
      <c r="AW270" s="335"/>
      <c r="AX270" s="335"/>
      <c r="AY270" s="335"/>
      <c r="AZ270" s="335"/>
      <c r="BA270" s="335"/>
      <c r="BB270" s="335"/>
      <c r="BC270" s="335"/>
      <c r="BD270" s="335"/>
      <c r="BE270" s="335"/>
      <c r="BF270" s="335"/>
      <c r="BG270" s="335"/>
      <c r="BH270" s="335"/>
      <c r="BI270" s="335"/>
      <c r="BJ270" s="335"/>
      <c r="BK270" s="335"/>
      <c r="BL270" s="335"/>
      <c r="BM270" s="335"/>
      <c r="BN270" s="335"/>
      <c r="BO270" s="335"/>
      <c r="BP270" s="335"/>
      <c r="BQ270" s="335"/>
      <c r="BR270" s="335"/>
      <c r="BS270" s="335"/>
      <c r="BT270" s="335"/>
      <c r="BU270" s="335"/>
      <c r="BV270" s="335"/>
      <c r="BW270" s="335"/>
      <c r="BX270" s="335"/>
      <c r="BY270" s="335"/>
      <c r="BZ270" s="335"/>
      <c r="CA270" s="335"/>
      <c r="CB270" s="335"/>
      <c r="CC270" s="335"/>
      <c r="CD270" s="335"/>
      <c r="CE270" s="335"/>
      <c r="CF270" s="335"/>
      <c r="CG270" s="335"/>
      <c r="CH270" s="335"/>
      <c r="CI270" s="335"/>
      <c r="CJ270" s="335"/>
      <c r="CK270" s="335"/>
      <c r="CL270" s="335"/>
      <c r="CM270" s="335"/>
      <c r="CN270" s="335"/>
      <c r="CO270" s="335"/>
      <c r="CP270" s="335"/>
      <c r="CQ270" s="335"/>
      <c r="CR270" s="335"/>
      <c r="CS270" s="335"/>
      <c r="CT270" s="335"/>
      <c r="CU270" s="335"/>
      <c r="CV270" s="335"/>
      <c r="CW270" s="335"/>
      <c r="CX270" s="335"/>
      <c r="CY270" s="335"/>
      <c r="CZ270" s="335"/>
      <c r="DA270" s="335"/>
      <c r="DB270" s="335"/>
      <c r="DC270" s="335"/>
      <c r="DD270" s="335"/>
      <c r="DE270" s="335"/>
      <c r="DF270" s="335"/>
      <c r="DG270" s="335"/>
      <c r="DH270" s="335"/>
      <c r="DI270" s="335"/>
      <c r="DJ270" s="335"/>
      <c r="DK270" s="335"/>
      <c r="DL270" s="335"/>
      <c r="DM270" s="335"/>
      <c r="DN270" s="335"/>
      <c r="DO270" s="335"/>
      <c r="DP270" s="335"/>
      <c r="DQ270" s="335"/>
      <c r="DR270" s="335"/>
      <c r="DS270" s="335"/>
      <c r="DT270" s="335"/>
      <c r="DU270" s="335"/>
      <c r="DV270" s="335"/>
      <c r="DW270" s="335"/>
      <c r="DX270" s="335"/>
      <c r="DY270" s="335"/>
      <c r="DZ270" s="335"/>
      <c r="EA270" s="335"/>
      <c r="EB270" s="335"/>
      <c r="EC270" s="335"/>
      <c r="ED270" s="335"/>
      <c r="EE270" s="335"/>
      <c r="EF270" s="335"/>
      <c r="EG270" s="335"/>
      <c r="EH270" s="335"/>
      <c r="EI270" s="335"/>
      <c r="EJ270" s="335"/>
      <c r="EK270" s="335"/>
      <c r="EL270" s="335"/>
      <c r="EM270" s="335"/>
      <c r="EN270" s="335"/>
      <c r="EO270" s="335"/>
      <c r="EP270" s="335"/>
      <c r="EQ270" s="335"/>
      <c r="ER270" s="335"/>
      <c r="ES270" s="335"/>
      <c r="ET270" s="335"/>
      <c r="EU270" s="335"/>
      <c r="EV270" s="335"/>
      <c r="EW270" s="335"/>
      <c r="EX270" s="335"/>
      <c r="EY270" s="335"/>
      <c r="EZ270" s="335"/>
      <c r="FA270" s="335"/>
      <c r="FB270" s="335"/>
      <c r="FC270" s="335"/>
      <c r="FD270" s="335"/>
      <c r="FE270" s="335"/>
      <c r="FF270" s="335"/>
      <c r="FG270" s="335"/>
      <c r="FH270" s="335"/>
      <c r="FI270" s="335"/>
      <c r="FJ270" s="335"/>
      <c r="FK270" s="335"/>
      <c r="FL270" s="335"/>
      <c r="FM270" s="335"/>
      <c r="FN270" s="335"/>
      <c r="FO270" s="335"/>
      <c r="FP270" s="335"/>
      <c r="FQ270" s="335"/>
      <c r="FR270" s="335"/>
      <c r="FS270" s="335"/>
      <c r="FT270" s="335"/>
      <c r="FU270" s="335"/>
      <c r="FV270" s="335"/>
      <c r="FW270" s="335"/>
      <c r="FX270" s="335"/>
      <c r="FY270" s="335"/>
      <c r="FZ270" s="335"/>
      <c r="GA270" s="335"/>
      <c r="GB270" s="335"/>
      <c r="GC270" s="335"/>
      <c r="GD270" s="335"/>
      <c r="GE270" s="335"/>
      <c r="GF270" s="335"/>
      <c r="GG270" s="335"/>
      <c r="GH270" s="335"/>
      <c r="GI270" s="335"/>
      <c r="GJ270" s="335"/>
      <c r="GK270" s="335"/>
      <c r="GL270" s="335"/>
      <c r="GM270" s="335"/>
      <c r="GN270" s="335"/>
      <c r="GO270" s="335"/>
      <c r="GP270" s="335"/>
      <c r="GQ270" s="335"/>
      <c r="GR270" s="335"/>
      <c r="GS270" s="335"/>
      <c r="GT270" s="335"/>
      <c r="GU270" s="335"/>
      <c r="GV270" s="335"/>
      <c r="GW270" s="335"/>
      <c r="GX270" s="335"/>
      <c r="GY270" s="335"/>
      <c r="GZ270" s="335"/>
    </row>
    <row r="271" spans="1:208" ht="15">
      <c r="A271" s="379"/>
      <c r="B271" s="335"/>
      <c r="C271" s="335"/>
      <c r="D271" s="335"/>
      <c r="E271" s="335"/>
      <c r="F271" s="335"/>
      <c r="G271" s="335"/>
      <c r="H271" s="335"/>
      <c r="I271" s="335"/>
      <c r="J271" s="335"/>
      <c r="K271" s="335"/>
      <c r="L271" s="335"/>
      <c r="M271" s="376"/>
      <c r="N271" s="335"/>
      <c r="O271" s="380"/>
      <c r="P271" s="335"/>
      <c r="Q271" s="335"/>
      <c r="R271" s="335"/>
      <c r="S271" s="335"/>
      <c r="T271" s="335"/>
      <c r="U271" s="335"/>
      <c r="V271" s="335"/>
      <c r="W271" s="335"/>
      <c r="X271" s="335"/>
      <c r="Y271" s="335"/>
      <c r="Z271" s="335"/>
      <c r="AA271" s="335"/>
      <c r="AB271" s="335"/>
      <c r="AC271" s="335"/>
      <c r="AD271" s="335"/>
      <c r="AE271" s="335"/>
      <c r="AF271" s="335"/>
      <c r="AG271" s="335"/>
      <c r="AH271" s="335"/>
      <c r="AI271" s="335"/>
      <c r="AJ271" s="335"/>
      <c r="AK271" s="335"/>
      <c r="AL271" s="335"/>
      <c r="AM271" s="335"/>
      <c r="AN271" s="335"/>
      <c r="AO271" s="335"/>
      <c r="AP271" s="335"/>
      <c r="AQ271" s="335"/>
      <c r="AR271" s="335"/>
      <c r="AS271" s="335"/>
      <c r="AT271" s="335"/>
      <c r="AU271" s="335"/>
      <c r="AV271" s="335"/>
      <c r="AW271" s="335"/>
      <c r="AX271" s="335"/>
      <c r="AY271" s="335"/>
      <c r="AZ271" s="335"/>
      <c r="BA271" s="335"/>
      <c r="BB271" s="335"/>
      <c r="BC271" s="335"/>
      <c r="BD271" s="335"/>
      <c r="BE271" s="335"/>
      <c r="BF271" s="335"/>
      <c r="BG271" s="335"/>
      <c r="BH271" s="335"/>
      <c r="BI271" s="335"/>
      <c r="BJ271" s="335"/>
      <c r="BK271" s="335"/>
      <c r="BL271" s="335"/>
      <c r="BM271" s="335"/>
      <c r="BN271" s="335"/>
      <c r="BO271" s="335"/>
      <c r="BP271" s="335"/>
      <c r="BQ271" s="335"/>
      <c r="BR271" s="335"/>
      <c r="BS271" s="335"/>
      <c r="BT271" s="335"/>
      <c r="BU271" s="335"/>
      <c r="BV271" s="335"/>
      <c r="BW271" s="335"/>
      <c r="BX271" s="335"/>
      <c r="BY271" s="335"/>
      <c r="BZ271" s="335"/>
      <c r="CA271" s="335"/>
      <c r="CB271" s="335"/>
      <c r="CC271" s="335"/>
      <c r="CD271" s="335"/>
      <c r="CE271" s="335"/>
      <c r="CF271" s="335"/>
      <c r="CG271" s="335"/>
      <c r="CH271" s="335"/>
      <c r="CI271" s="335"/>
      <c r="CJ271" s="335"/>
      <c r="CK271" s="335"/>
      <c r="CL271" s="335"/>
      <c r="CM271" s="335"/>
      <c r="CN271" s="335"/>
      <c r="CO271" s="335"/>
      <c r="CP271" s="335"/>
      <c r="CQ271" s="335"/>
      <c r="CR271" s="335"/>
      <c r="CS271" s="335"/>
      <c r="CT271" s="335"/>
      <c r="CU271" s="335"/>
      <c r="CV271" s="335"/>
      <c r="CW271" s="335"/>
      <c r="CX271" s="335"/>
      <c r="CY271" s="335"/>
      <c r="CZ271" s="335"/>
      <c r="DA271" s="335"/>
      <c r="DB271" s="335"/>
      <c r="DC271" s="335"/>
      <c r="DD271" s="335"/>
      <c r="DE271" s="335"/>
      <c r="DF271" s="335"/>
      <c r="DG271" s="335"/>
      <c r="DH271" s="335"/>
      <c r="DI271" s="335"/>
      <c r="DJ271" s="335"/>
      <c r="DK271" s="335"/>
      <c r="DL271" s="335"/>
      <c r="DM271" s="335"/>
      <c r="DN271" s="335"/>
      <c r="DO271" s="335"/>
      <c r="DP271" s="335"/>
      <c r="DQ271" s="335"/>
      <c r="DR271" s="335"/>
      <c r="DS271" s="335"/>
      <c r="DT271" s="335"/>
      <c r="DU271" s="335"/>
      <c r="DV271" s="335"/>
      <c r="DW271" s="335"/>
      <c r="DX271" s="335"/>
      <c r="DY271" s="335"/>
      <c r="DZ271" s="335"/>
      <c r="EA271" s="335"/>
      <c r="EB271" s="335"/>
      <c r="EC271" s="335"/>
      <c r="ED271" s="335"/>
      <c r="EE271" s="335"/>
      <c r="EF271" s="335"/>
      <c r="EG271" s="335"/>
      <c r="EH271" s="335"/>
      <c r="EI271" s="335"/>
      <c r="EJ271" s="335"/>
      <c r="EK271" s="335"/>
      <c r="EL271" s="335"/>
      <c r="EM271" s="335"/>
      <c r="EN271" s="335"/>
      <c r="EO271" s="335"/>
      <c r="EP271" s="335"/>
      <c r="EQ271" s="335"/>
      <c r="ER271" s="335"/>
      <c r="ES271" s="335"/>
      <c r="ET271" s="335"/>
      <c r="EU271" s="335"/>
      <c r="EV271" s="335"/>
      <c r="EW271" s="335"/>
      <c r="EX271" s="335"/>
      <c r="EY271" s="335"/>
      <c r="EZ271" s="335"/>
      <c r="FA271" s="335"/>
      <c r="FB271" s="335"/>
      <c r="FC271" s="335"/>
      <c r="FD271" s="335"/>
      <c r="FE271" s="335"/>
      <c r="FF271" s="335"/>
      <c r="FG271" s="335"/>
      <c r="FH271" s="335"/>
      <c r="FI271" s="335"/>
      <c r="FJ271" s="335"/>
      <c r="FK271" s="335"/>
      <c r="FL271" s="335"/>
      <c r="FM271" s="335"/>
      <c r="FN271" s="335"/>
      <c r="FO271" s="335"/>
      <c r="FP271" s="335"/>
      <c r="FQ271" s="335"/>
      <c r="FR271" s="335"/>
      <c r="FS271" s="335"/>
      <c r="FT271" s="335"/>
      <c r="FU271" s="335"/>
      <c r="FV271" s="335"/>
      <c r="FW271" s="335"/>
      <c r="FX271" s="335"/>
      <c r="FY271" s="335"/>
      <c r="FZ271" s="335"/>
      <c r="GA271" s="335"/>
      <c r="GB271" s="335"/>
      <c r="GC271" s="335"/>
      <c r="GD271" s="335"/>
      <c r="GE271" s="335"/>
      <c r="GF271" s="335"/>
      <c r="GG271" s="335"/>
      <c r="GH271" s="335"/>
      <c r="GI271" s="335"/>
      <c r="GJ271" s="335"/>
      <c r="GK271" s="335"/>
      <c r="GL271" s="335"/>
      <c r="GM271" s="335"/>
      <c r="GN271" s="335"/>
      <c r="GO271" s="335"/>
      <c r="GP271" s="335"/>
      <c r="GQ271" s="335"/>
      <c r="GR271" s="335"/>
      <c r="GS271" s="335"/>
      <c r="GT271" s="335"/>
      <c r="GU271" s="335"/>
      <c r="GV271" s="335"/>
      <c r="GW271" s="335"/>
      <c r="GX271" s="335"/>
      <c r="GY271" s="335"/>
      <c r="GZ271" s="335"/>
    </row>
    <row r="272" spans="1:208" ht="15">
      <c r="A272" s="379"/>
      <c r="B272" s="335"/>
      <c r="C272" s="335"/>
      <c r="D272" s="335"/>
      <c r="E272" s="335"/>
      <c r="F272" s="335"/>
      <c r="G272" s="335"/>
      <c r="H272" s="335"/>
      <c r="I272" s="335"/>
      <c r="J272" s="335"/>
      <c r="K272" s="335"/>
      <c r="L272" s="335"/>
      <c r="M272" s="376"/>
      <c r="N272" s="335"/>
      <c r="O272" s="380"/>
      <c r="P272" s="335"/>
      <c r="Q272" s="335"/>
      <c r="R272" s="335"/>
      <c r="S272" s="335"/>
      <c r="T272" s="335"/>
      <c r="U272" s="335"/>
      <c r="V272" s="335"/>
      <c r="W272" s="335"/>
      <c r="X272" s="335"/>
      <c r="Y272" s="335"/>
      <c r="Z272" s="335"/>
      <c r="AA272" s="335"/>
      <c r="AB272" s="335"/>
      <c r="AC272" s="335"/>
      <c r="AD272" s="335"/>
      <c r="AE272" s="335"/>
      <c r="AF272" s="335"/>
      <c r="AG272" s="335"/>
      <c r="AH272" s="335"/>
      <c r="AI272" s="335"/>
      <c r="AJ272" s="335"/>
      <c r="AK272" s="335"/>
      <c r="AL272" s="335"/>
      <c r="AM272" s="335"/>
      <c r="AN272" s="335"/>
      <c r="AO272" s="335"/>
      <c r="AP272" s="335"/>
      <c r="AQ272" s="335"/>
      <c r="AR272" s="335"/>
      <c r="AS272" s="335"/>
      <c r="AT272" s="335"/>
      <c r="AU272" s="335"/>
      <c r="AV272" s="335"/>
      <c r="AW272" s="335"/>
      <c r="AX272" s="335"/>
      <c r="AY272" s="335"/>
      <c r="AZ272" s="335"/>
      <c r="BA272" s="335"/>
      <c r="BB272" s="335"/>
      <c r="BC272" s="335"/>
      <c r="BD272" s="335"/>
      <c r="BE272" s="335"/>
      <c r="BF272" s="335"/>
      <c r="BG272" s="335"/>
      <c r="BH272" s="335"/>
      <c r="BI272" s="335"/>
      <c r="BJ272" s="335"/>
      <c r="BK272" s="335"/>
      <c r="BL272" s="335"/>
      <c r="BM272" s="335"/>
      <c r="BN272" s="335"/>
      <c r="BO272" s="335"/>
      <c r="BP272" s="335"/>
      <c r="BQ272" s="335"/>
      <c r="BR272" s="335"/>
      <c r="BS272" s="335"/>
      <c r="BT272" s="335"/>
      <c r="BU272" s="335"/>
      <c r="BV272" s="335"/>
      <c r="BW272" s="335"/>
      <c r="BX272" s="335"/>
      <c r="BY272" s="335"/>
      <c r="BZ272" s="335"/>
      <c r="CA272" s="335"/>
      <c r="CB272" s="335"/>
      <c r="CC272" s="335"/>
      <c r="CD272" s="335"/>
      <c r="CE272" s="335"/>
      <c r="CF272" s="335"/>
      <c r="CG272" s="335"/>
      <c r="CH272" s="335"/>
      <c r="CI272" s="335"/>
      <c r="CJ272" s="335"/>
      <c r="CK272" s="335"/>
      <c r="CL272" s="335"/>
      <c r="CM272" s="335"/>
      <c r="CN272" s="335"/>
      <c r="CO272" s="335"/>
      <c r="CP272" s="335"/>
      <c r="CQ272" s="335"/>
      <c r="CR272" s="335"/>
      <c r="CS272" s="335"/>
      <c r="CT272" s="335"/>
      <c r="CU272" s="335"/>
      <c r="CV272" s="335"/>
      <c r="CW272" s="335"/>
      <c r="CX272" s="335"/>
      <c r="CY272" s="335"/>
      <c r="CZ272" s="335"/>
      <c r="DA272" s="335"/>
      <c r="DB272" s="335"/>
      <c r="DC272" s="335"/>
      <c r="DD272" s="335"/>
      <c r="DE272" s="335"/>
      <c r="DF272" s="335"/>
      <c r="DG272" s="335"/>
      <c r="DH272" s="335"/>
      <c r="DI272" s="335"/>
      <c r="DJ272" s="335"/>
      <c r="DK272" s="335"/>
      <c r="DL272" s="335"/>
      <c r="DM272" s="335"/>
      <c r="DN272" s="335"/>
      <c r="DO272" s="335"/>
      <c r="DP272" s="335"/>
      <c r="DQ272" s="335"/>
      <c r="DR272" s="335"/>
      <c r="DS272" s="335"/>
      <c r="DT272" s="335"/>
      <c r="DU272" s="335"/>
      <c r="DV272" s="335"/>
      <c r="DW272" s="335"/>
      <c r="DX272" s="335"/>
      <c r="DY272" s="335"/>
      <c r="DZ272" s="335"/>
      <c r="EA272" s="335"/>
      <c r="EB272" s="335"/>
      <c r="EC272" s="335"/>
      <c r="ED272" s="335"/>
      <c r="EE272" s="335"/>
      <c r="EF272" s="335"/>
      <c r="EG272" s="335"/>
      <c r="EH272" s="335"/>
      <c r="EI272" s="335"/>
      <c r="EJ272" s="335"/>
      <c r="EK272" s="335"/>
      <c r="EL272" s="335"/>
      <c r="EM272" s="335"/>
      <c r="EN272" s="335"/>
      <c r="EO272" s="335"/>
      <c r="EP272" s="335"/>
      <c r="EQ272" s="335"/>
      <c r="ER272" s="335"/>
      <c r="ES272" s="335"/>
      <c r="ET272" s="335"/>
      <c r="EU272" s="335"/>
      <c r="EV272" s="335"/>
      <c r="EW272" s="335"/>
      <c r="EX272" s="335"/>
      <c r="EY272" s="335"/>
      <c r="EZ272" s="335"/>
      <c r="FA272" s="335"/>
      <c r="FB272" s="335"/>
      <c r="FC272" s="335"/>
      <c r="FD272" s="335"/>
      <c r="FE272" s="335"/>
      <c r="FF272" s="335"/>
      <c r="FG272" s="335"/>
      <c r="FH272" s="335"/>
      <c r="FI272" s="335"/>
      <c r="FJ272" s="335"/>
      <c r="FK272" s="335"/>
      <c r="FL272" s="335"/>
      <c r="FM272" s="335"/>
      <c r="FN272" s="335"/>
      <c r="FO272" s="335"/>
      <c r="FP272" s="335"/>
      <c r="FQ272" s="335"/>
      <c r="FR272" s="335"/>
      <c r="FS272" s="335"/>
      <c r="FT272" s="335"/>
      <c r="FU272" s="335"/>
      <c r="FV272" s="335"/>
      <c r="FW272" s="335"/>
      <c r="FX272" s="335"/>
      <c r="FY272" s="335"/>
      <c r="FZ272" s="335"/>
      <c r="GA272" s="335"/>
      <c r="GB272" s="335"/>
      <c r="GC272" s="335"/>
      <c r="GD272" s="335"/>
      <c r="GE272" s="335"/>
      <c r="GF272" s="335"/>
      <c r="GG272" s="335"/>
      <c r="GH272" s="335"/>
      <c r="GI272" s="335"/>
      <c r="GJ272" s="335"/>
      <c r="GK272" s="335"/>
      <c r="GL272" s="335"/>
      <c r="GM272" s="335"/>
      <c r="GN272" s="335"/>
      <c r="GO272" s="335"/>
      <c r="GP272" s="335"/>
      <c r="GQ272" s="335"/>
      <c r="GR272" s="335"/>
      <c r="GS272" s="335"/>
      <c r="GT272" s="335"/>
      <c r="GU272" s="335"/>
      <c r="GV272" s="335"/>
      <c r="GW272" s="335"/>
      <c r="GX272" s="335"/>
      <c r="GY272" s="335"/>
      <c r="GZ272" s="335"/>
    </row>
    <row r="273" spans="1:208" ht="15">
      <c r="A273" s="379"/>
      <c r="B273" s="335"/>
      <c r="C273" s="335"/>
      <c r="D273" s="335"/>
      <c r="E273" s="335"/>
      <c r="F273" s="335"/>
      <c r="G273" s="335"/>
      <c r="H273" s="335"/>
      <c r="I273" s="335"/>
      <c r="J273" s="335"/>
      <c r="K273" s="335"/>
      <c r="L273" s="335"/>
      <c r="M273" s="376"/>
      <c r="N273" s="335"/>
      <c r="O273" s="380"/>
      <c r="P273" s="335"/>
      <c r="Q273" s="335"/>
      <c r="R273" s="335"/>
      <c r="S273" s="335"/>
      <c r="T273" s="335"/>
      <c r="U273" s="335"/>
      <c r="V273" s="335"/>
      <c r="W273" s="335"/>
      <c r="X273" s="335"/>
      <c r="Y273" s="335"/>
      <c r="Z273" s="335"/>
      <c r="AA273" s="335"/>
      <c r="AB273" s="335"/>
      <c r="AC273" s="335"/>
      <c r="AD273" s="335"/>
      <c r="AE273" s="335"/>
      <c r="AF273" s="335"/>
      <c r="AG273" s="335"/>
      <c r="AH273" s="335"/>
      <c r="AI273" s="335"/>
      <c r="AJ273" s="335"/>
      <c r="AK273" s="335"/>
      <c r="AL273" s="335"/>
      <c r="AM273" s="335"/>
      <c r="AN273" s="335"/>
      <c r="AO273" s="335"/>
      <c r="AP273" s="335"/>
      <c r="AQ273" s="335"/>
      <c r="AR273" s="335"/>
      <c r="AS273" s="335"/>
      <c r="AT273" s="335"/>
      <c r="AU273" s="335"/>
      <c r="AV273" s="335"/>
      <c r="AW273" s="335"/>
      <c r="AX273" s="335"/>
      <c r="AY273" s="335"/>
      <c r="AZ273" s="335"/>
      <c r="BA273" s="335"/>
      <c r="BB273" s="335"/>
      <c r="BC273" s="335"/>
      <c r="BD273" s="335"/>
      <c r="BE273" s="335"/>
      <c r="BF273" s="335"/>
      <c r="BG273" s="335"/>
      <c r="BH273" s="335"/>
      <c r="BI273" s="335"/>
      <c r="BJ273" s="335"/>
      <c r="BK273" s="335"/>
      <c r="BL273" s="335"/>
      <c r="BM273" s="335"/>
      <c r="BN273" s="335"/>
      <c r="BO273" s="335"/>
      <c r="BP273" s="335"/>
      <c r="BQ273" s="335"/>
      <c r="BR273" s="335"/>
      <c r="BS273" s="335"/>
      <c r="BT273" s="335"/>
      <c r="BU273" s="335"/>
      <c r="BV273" s="335"/>
      <c r="BW273" s="335"/>
      <c r="BX273" s="335"/>
      <c r="BY273" s="335"/>
      <c r="BZ273" s="335"/>
      <c r="CA273" s="335"/>
      <c r="CB273" s="335"/>
      <c r="CC273" s="335"/>
      <c r="CD273" s="335"/>
      <c r="CE273" s="335"/>
      <c r="CF273" s="335"/>
      <c r="CG273" s="335"/>
      <c r="CH273" s="335"/>
      <c r="CI273" s="335"/>
      <c r="CJ273" s="335"/>
      <c r="CK273" s="335"/>
      <c r="CL273" s="335"/>
      <c r="CM273" s="335"/>
      <c r="CN273" s="335"/>
      <c r="CO273" s="335"/>
      <c r="CP273" s="335"/>
      <c r="CQ273" s="335"/>
      <c r="CR273" s="335"/>
      <c r="CS273" s="335"/>
      <c r="CT273" s="335"/>
      <c r="CU273" s="335"/>
      <c r="CV273" s="335"/>
      <c r="CW273" s="335"/>
      <c r="CX273" s="335"/>
      <c r="CY273" s="335"/>
      <c r="CZ273" s="335"/>
      <c r="DA273" s="335"/>
      <c r="DB273" s="335"/>
      <c r="DC273" s="335"/>
      <c r="DD273" s="335"/>
      <c r="DE273" s="335"/>
      <c r="DF273" s="335"/>
      <c r="DG273" s="335"/>
      <c r="DH273" s="335"/>
      <c r="DI273" s="335"/>
      <c r="DJ273" s="335"/>
      <c r="DK273" s="335"/>
      <c r="DL273" s="335"/>
      <c r="DM273" s="335"/>
      <c r="DN273" s="335"/>
      <c r="DO273" s="335"/>
      <c r="DP273" s="335"/>
      <c r="DQ273" s="335"/>
      <c r="DR273" s="335"/>
      <c r="DS273" s="335"/>
      <c r="DT273" s="335"/>
      <c r="DU273" s="335"/>
      <c r="DV273" s="335"/>
      <c r="DW273" s="335"/>
      <c r="DX273" s="335"/>
      <c r="DY273" s="335"/>
      <c r="DZ273" s="335"/>
      <c r="EA273" s="335"/>
      <c r="EB273" s="335"/>
      <c r="EC273" s="335"/>
      <c r="ED273" s="335"/>
      <c r="EE273" s="335"/>
      <c r="EF273" s="335"/>
      <c r="EG273" s="335"/>
      <c r="EH273" s="335"/>
      <c r="EI273" s="335"/>
      <c r="EJ273" s="335"/>
      <c r="EK273" s="335"/>
      <c r="EL273" s="335"/>
      <c r="EM273" s="335"/>
      <c r="EN273" s="335"/>
      <c r="EO273" s="335"/>
      <c r="EP273" s="335"/>
      <c r="EQ273" s="335"/>
      <c r="ER273" s="335"/>
      <c r="ES273" s="335"/>
      <c r="ET273" s="335"/>
      <c r="EU273" s="335"/>
      <c r="EV273" s="335"/>
      <c r="EW273" s="335"/>
      <c r="EX273" s="335"/>
      <c r="EY273" s="335"/>
      <c r="EZ273" s="335"/>
      <c r="FA273" s="335"/>
      <c r="FB273" s="335"/>
      <c r="FC273" s="335"/>
      <c r="FD273" s="335"/>
      <c r="FE273" s="335"/>
      <c r="FF273" s="335"/>
      <c r="FG273" s="335"/>
      <c r="FH273" s="335"/>
      <c r="FI273" s="335"/>
      <c r="FJ273" s="335"/>
      <c r="FK273" s="335"/>
      <c r="FL273" s="335"/>
      <c r="FM273" s="335"/>
      <c r="FN273" s="335"/>
      <c r="FO273" s="335"/>
      <c r="FP273" s="335"/>
      <c r="FQ273" s="335"/>
      <c r="FR273" s="335"/>
      <c r="FS273" s="335"/>
      <c r="FT273" s="335"/>
      <c r="FU273" s="335"/>
      <c r="FV273" s="335"/>
      <c r="FW273" s="335"/>
      <c r="FX273" s="335"/>
      <c r="FY273" s="335"/>
      <c r="FZ273" s="335"/>
      <c r="GA273" s="335"/>
      <c r="GB273" s="335"/>
      <c r="GC273" s="335"/>
      <c r="GD273" s="335"/>
      <c r="GE273" s="335"/>
      <c r="GF273" s="335"/>
      <c r="GG273" s="335"/>
      <c r="GH273" s="335"/>
      <c r="GI273" s="335"/>
      <c r="GJ273" s="335"/>
      <c r="GK273" s="335"/>
      <c r="GL273" s="335"/>
      <c r="GM273" s="335"/>
      <c r="GN273" s="335"/>
      <c r="GO273" s="335"/>
      <c r="GP273" s="335"/>
      <c r="GQ273" s="335"/>
      <c r="GR273" s="335"/>
      <c r="GS273" s="335"/>
      <c r="GT273" s="335"/>
      <c r="GU273" s="335"/>
      <c r="GV273" s="335"/>
      <c r="GW273" s="335"/>
      <c r="GX273" s="335"/>
      <c r="GY273" s="335"/>
      <c r="GZ273" s="335"/>
    </row>
    <row r="274" spans="1:208" ht="15">
      <c r="A274" s="379"/>
      <c r="B274" s="335"/>
      <c r="C274" s="335"/>
      <c r="D274" s="335"/>
      <c r="E274" s="335"/>
      <c r="F274" s="335"/>
      <c r="G274" s="335"/>
      <c r="H274" s="335"/>
      <c r="I274" s="335"/>
      <c r="J274" s="335"/>
      <c r="K274" s="335"/>
      <c r="L274" s="335"/>
      <c r="M274" s="376"/>
      <c r="N274" s="335"/>
      <c r="O274" s="380"/>
      <c r="P274" s="335"/>
      <c r="Q274" s="335"/>
      <c r="R274" s="335"/>
      <c r="S274" s="335"/>
      <c r="T274" s="335"/>
      <c r="U274" s="335"/>
      <c r="V274" s="335"/>
      <c r="W274" s="335"/>
      <c r="X274" s="335"/>
      <c r="Y274" s="335"/>
      <c r="Z274" s="335"/>
      <c r="AA274" s="335"/>
      <c r="AB274" s="335"/>
      <c r="AC274" s="335"/>
      <c r="AD274" s="335"/>
      <c r="AE274" s="335"/>
      <c r="AF274" s="335"/>
      <c r="AG274" s="335"/>
      <c r="AH274" s="335"/>
      <c r="AI274" s="335"/>
      <c r="AJ274" s="335"/>
      <c r="AK274" s="335"/>
      <c r="AL274" s="335"/>
      <c r="AM274" s="335"/>
      <c r="AN274" s="335"/>
      <c r="AO274" s="335"/>
      <c r="AP274" s="335"/>
      <c r="AQ274" s="335"/>
      <c r="AR274" s="335"/>
      <c r="AS274" s="335"/>
      <c r="AT274" s="335"/>
      <c r="AU274" s="335"/>
      <c r="AV274" s="335"/>
      <c r="AW274" s="335"/>
      <c r="AX274" s="335"/>
      <c r="AY274" s="335"/>
      <c r="AZ274" s="335"/>
      <c r="BA274" s="335"/>
      <c r="BB274" s="335"/>
      <c r="BC274" s="335"/>
      <c r="BD274" s="335"/>
      <c r="BE274" s="335"/>
      <c r="BF274" s="335"/>
      <c r="BG274" s="335"/>
      <c r="BH274" s="335"/>
      <c r="BI274" s="335"/>
      <c r="BJ274" s="335"/>
      <c r="BK274" s="335"/>
      <c r="BL274" s="335"/>
      <c r="BM274" s="335"/>
      <c r="BN274" s="335"/>
      <c r="BO274" s="335"/>
      <c r="BP274" s="335"/>
      <c r="BQ274" s="335"/>
      <c r="BR274" s="335"/>
      <c r="BS274" s="335"/>
      <c r="BT274" s="335"/>
      <c r="BU274" s="335"/>
      <c r="BV274" s="335"/>
      <c r="BW274" s="335"/>
      <c r="BX274" s="335"/>
      <c r="BY274" s="335"/>
      <c r="BZ274" s="335"/>
      <c r="CA274" s="335"/>
      <c r="CB274" s="335"/>
      <c r="CC274" s="335"/>
      <c r="CD274" s="335"/>
      <c r="CE274" s="335"/>
      <c r="CF274" s="335"/>
      <c r="CG274" s="335"/>
      <c r="CH274" s="335"/>
      <c r="CI274" s="335"/>
      <c r="CJ274" s="335"/>
      <c r="CK274" s="335"/>
      <c r="CL274" s="335"/>
      <c r="CM274" s="335"/>
      <c r="CN274" s="335"/>
      <c r="CO274" s="335"/>
      <c r="CP274" s="335"/>
      <c r="CQ274" s="335"/>
      <c r="CR274" s="335"/>
      <c r="CS274" s="335"/>
      <c r="CT274" s="335"/>
      <c r="CU274" s="335"/>
      <c r="CV274" s="335"/>
      <c r="CW274" s="335"/>
      <c r="CX274" s="335"/>
      <c r="CY274" s="335"/>
      <c r="CZ274" s="335"/>
      <c r="DA274" s="335"/>
      <c r="DB274" s="335"/>
      <c r="DC274" s="335"/>
      <c r="DD274" s="335"/>
      <c r="DE274" s="335"/>
      <c r="DF274" s="335"/>
      <c r="DG274" s="335"/>
      <c r="DH274" s="335"/>
      <c r="DI274" s="335"/>
      <c r="DJ274" s="335"/>
      <c r="DK274" s="335"/>
      <c r="DL274" s="335"/>
      <c r="DM274" s="335"/>
      <c r="DN274" s="335"/>
      <c r="DO274" s="335"/>
      <c r="DP274" s="335"/>
      <c r="DQ274" s="335"/>
      <c r="DR274" s="335"/>
      <c r="DS274" s="335"/>
      <c r="DT274" s="335"/>
      <c r="DU274" s="335"/>
      <c r="DV274" s="335"/>
      <c r="DW274" s="335"/>
      <c r="DX274" s="335"/>
      <c r="DY274" s="335"/>
      <c r="DZ274" s="335"/>
      <c r="EA274" s="335"/>
      <c r="EB274" s="335"/>
      <c r="EC274" s="335"/>
      <c r="ED274" s="335"/>
      <c r="EE274" s="335"/>
      <c r="EF274" s="335"/>
      <c r="EG274" s="335"/>
      <c r="EH274" s="335"/>
      <c r="EI274" s="335"/>
      <c r="EJ274" s="335"/>
      <c r="EK274" s="335"/>
      <c r="EL274" s="335"/>
      <c r="EM274" s="335"/>
      <c r="EN274" s="335"/>
      <c r="EO274" s="335"/>
      <c r="EP274" s="335"/>
      <c r="EQ274" s="335"/>
      <c r="ER274" s="335"/>
      <c r="ES274" s="335"/>
      <c r="ET274" s="335"/>
      <c r="EU274" s="335"/>
      <c r="EV274" s="335"/>
      <c r="EW274" s="335"/>
      <c r="EX274" s="335"/>
      <c r="EY274" s="335"/>
      <c r="EZ274" s="335"/>
      <c r="FA274" s="335"/>
      <c r="FB274" s="335"/>
      <c r="FC274" s="335"/>
      <c r="FD274" s="335"/>
      <c r="FE274" s="335"/>
      <c r="FF274" s="335"/>
      <c r="FG274" s="335"/>
      <c r="FH274" s="335"/>
      <c r="FI274" s="335"/>
      <c r="FJ274" s="335"/>
      <c r="FK274" s="335"/>
      <c r="FL274" s="335"/>
      <c r="FM274" s="335"/>
      <c r="FN274" s="335"/>
      <c r="FO274" s="335"/>
      <c r="FP274" s="335"/>
      <c r="FQ274" s="335"/>
      <c r="FR274" s="335"/>
      <c r="FS274" s="335"/>
      <c r="FT274" s="335"/>
      <c r="FU274" s="335"/>
      <c r="FV274" s="335"/>
      <c r="FW274" s="335"/>
      <c r="FX274" s="335"/>
      <c r="FY274" s="335"/>
      <c r="FZ274" s="335"/>
      <c r="GA274" s="335"/>
      <c r="GB274" s="335"/>
      <c r="GC274" s="335"/>
      <c r="GD274" s="335"/>
      <c r="GE274" s="335"/>
      <c r="GF274" s="335"/>
      <c r="GG274" s="335"/>
      <c r="GH274" s="335"/>
      <c r="GI274" s="335"/>
      <c r="GJ274" s="335"/>
      <c r="GK274" s="335"/>
      <c r="GL274" s="335"/>
      <c r="GM274" s="335"/>
      <c r="GN274" s="335"/>
      <c r="GO274" s="335"/>
      <c r="GP274" s="335"/>
      <c r="GQ274" s="335"/>
      <c r="GR274" s="335"/>
      <c r="GS274" s="335"/>
      <c r="GT274" s="335"/>
      <c r="GU274" s="335"/>
      <c r="GV274" s="335"/>
      <c r="GW274" s="335"/>
      <c r="GX274" s="335"/>
      <c r="GY274" s="335"/>
      <c r="GZ274" s="335"/>
    </row>
    <row r="275" spans="1:208" ht="15">
      <c r="A275" s="379"/>
      <c r="B275" s="335"/>
      <c r="C275" s="335"/>
      <c r="D275" s="335"/>
      <c r="E275" s="335"/>
      <c r="F275" s="335"/>
      <c r="G275" s="335"/>
      <c r="H275" s="335"/>
      <c r="I275" s="335"/>
      <c r="J275" s="335"/>
      <c r="K275" s="335"/>
      <c r="L275" s="335"/>
      <c r="M275" s="376"/>
      <c r="N275" s="335"/>
      <c r="O275" s="380"/>
      <c r="P275" s="335"/>
      <c r="Q275" s="335"/>
      <c r="R275" s="335"/>
      <c r="S275" s="335"/>
      <c r="T275" s="335"/>
      <c r="U275" s="335"/>
      <c r="V275" s="335"/>
      <c r="W275" s="335"/>
      <c r="X275" s="335"/>
      <c r="Y275" s="335"/>
      <c r="Z275" s="335"/>
      <c r="AA275" s="335"/>
      <c r="AB275" s="335"/>
      <c r="AC275" s="335"/>
      <c r="AD275" s="335"/>
      <c r="AE275" s="335"/>
      <c r="AF275" s="335"/>
      <c r="AG275" s="335"/>
      <c r="AH275" s="335"/>
      <c r="AI275" s="335"/>
      <c r="AJ275" s="335"/>
      <c r="AK275" s="335"/>
      <c r="AL275" s="335"/>
      <c r="AM275" s="335"/>
      <c r="AN275" s="335"/>
      <c r="AO275" s="335"/>
      <c r="AP275" s="335"/>
      <c r="AQ275" s="335"/>
      <c r="AR275" s="335"/>
      <c r="AS275" s="335"/>
      <c r="AT275" s="335"/>
      <c r="AU275" s="335"/>
      <c r="AV275" s="335"/>
      <c r="AW275" s="335"/>
      <c r="AX275" s="335"/>
      <c r="AY275" s="335"/>
      <c r="AZ275" s="335"/>
      <c r="BA275" s="335"/>
      <c r="BB275" s="335"/>
      <c r="BC275" s="335"/>
      <c r="BD275" s="335"/>
      <c r="BE275" s="335"/>
      <c r="BF275" s="335"/>
      <c r="BG275" s="335"/>
      <c r="BH275" s="335"/>
      <c r="BI275" s="335"/>
      <c r="BJ275" s="335"/>
      <c r="BK275" s="335"/>
      <c r="BL275" s="335"/>
      <c r="BM275" s="335"/>
      <c r="BN275" s="335"/>
      <c r="BO275" s="335"/>
      <c r="BP275" s="335"/>
      <c r="BQ275" s="335"/>
      <c r="BR275" s="335"/>
      <c r="BS275" s="335"/>
      <c r="BT275" s="335"/>
      <c r="BU275" s="335"/>
      <c r="BV275" s="335"/>
      <c r="BW275" s="335"/>
      <c r="BX275" s="335"/>
      <c r="BY275" s="335"/>
      <c r="BZ275" s="335"/>
      <c r="CA275" s="335"/>
      <c r="CB275" s="335"/>
      <c r="CC275" s="335"/>
      <c r="CD275" s="335"/>
      <c r="CE275" s="335"/>
      <c r="CF275" s="335"/>
      <c r="CG275" s="335"/>
      <c r="CH275" s="335"/>
      <c r="CI275" s="335"/>
      <c r="CJ275" s="335"/>
      <c r="CK275" s="335"/>
      <c r="CL275" s="335"/>
      <c r="CM275" s="335"/>
      <c r="CN275" s="335"/>
      <c r="CO275" s="335"/>
      <c r="CP275" s="335"/>
      <c r="CQ275" s="335"/>
      <c r="CR275" s="335"/>
      <c r="CS275" s="335"/>
      <c r="CT275" s="335"/>
      <c r="CU275" s="335"/>
      <c r="CV275" s="335"/>
      <c r="CW275" s="335"/>
      <c r="CX275" s="335"/>
      <c r="CY275" s="335"/>
      <c r="CZ275" s="335"/>
      <c r="DA275" s="335"/>
      <c r="DB275" s="335"/>
      <c r="DC275" s="335"/>
      <c r="DD275" s="335"/>
      <c r="DE275" s="335"/>
      <c r="DF275" s="335"/>
      <c r="DG275" s="335"/>
      <c r="DH275" s="335"/>
      <c r="DI275" s="335"/>
      <c r="DJ275" s="335"/>
      <c r="DK275" s="335"/>
      <c r="DL275" s="335"/>
      <c r="DM275" s="335"/>
      <c r="DN275" s="335"/>
      <c r="DO275" s="335"/>
      <c r="DP275" s="335"/>
      <c r="DQ275" s="335"/>
      <c r="DR275" s="335"/>
      <c r="DS275" s="335"/>
      <c r="DT275" s="335"/>
      <c r="DU275" s="335"/>
      <c r="DV275" s="335"/>
      <c r="DW275" s="335"/>
      <c r="DX275" s="335"/>
      <c r="DY275" s="335"/>
      <c r="DZ275" s="335"/>
      <c r="EA275" s="335"/>
      <c r="EB275" s="335"/>
      <c r="EC275" s="335"/>
      <c r="ED275" s="335"/>
      <c r="EE275" s="335"/>
      <c r="EF275" s="335"/>
      <c r="EG275" s="335"/>
      <c r="EH275" s="335"/>
      <c r="EI275" s="335"/>
      <c r="EJ275" s="335"/>
      <c r="EK275" s="335"/>
      <c r="EL275" s="335"/>
      <c r="EM275" s="335"/>
      <c r="EN275" s="335"/>
      <c r="EO275" s="335"/>
      <c r="EP275" s="335"/>
      <c r="EQ275" s="335"/>
      <c r="ER275" s="335"/>
      <c r="ES275" s="335"/>
      <c r="ET275" s="335"/>
      <c r="EU275" s="335"/>
      <c r="EV275" s="335"/>
      <c r="EW275" s="335"/>
      <c r="EX275" s="335"/>
      <c r="EY275" s="335"/>
      <c r="EZ275" s="335"/>
      <c r="FA275" s="335"/>
      <c r="FB275" s="335"/>
      <c r="FC275" s="335"/>
      <c r="FD275" s="335"/>
      <c r="FE275" s="335"/>
      <c r="FF275" s="335"/>
      <c r="FG275" s="335"/>
      <c r="FH275" s="335"/>
      <c r="FI275" s="335"/>
      <c r="FJ275" s="335"/>
      <c r="FK275" s="335"/>
      <c r="FL275" s="335"/>
      <c r="FM275" s="335"/>
      <c r="FN275" s="335"/>
      <c r="FO275" s="335"/>
      <c r="FP275" s="335"/>
      <c r="FQ275" s="335"/>
      <c r="FR275" s="335"/>
      <c r="FS275" s="335"/>
      <c r="FT275" s="335"/>
      <c r="FU275" s="335"/>
      <c r="FV275" s="335"/>
      <c r="FW275" s="335"/>
      <c r="FX275" s="335"/>
      <c r="FY275" s="335"/>
      <c r="FZ275" s="335"/>
      <c r="GA275" s="335"/>
      <c r="GB275" s="335"/>
      <c r="GC275" s="335"/>
      <c r="GD275" s="335"/>
      <c r="GE275" s="335"/>
      <c r="GF275" s="335"/>
      <c r="GG275" s="335"/>
      <c r="GH275" s="335"/>
      <c r="GI275" s="335"/>
      <c r="GJ275" s="335"/>
      <c r="GK275" s="335"/>
      <c r="GL275" s="335"/>
      <c r="GM275" s="335"/>
      <c r="GN275" s="335"/>
      <c r="GO275" s="335"/>
      <c r="GP275" s="335"/>
      <c r="GQ275" s="335"/>
      <c r="GR275" s="335"/>
      <c r="GS275" s="335"/>
      <c r="GT275" s="335"/>
      <c r="GU275" s="335"/>
      <c r="GV275" s="335"/>
      <c r="GW275" s="335"/>
      <c r="GX275" s="335"/>
      <c r="GY275" s="335"/>
      <c r="GZ275" s="335"/>
    </row>
    <row r="276" spans="1:208" ht="15">
      <c r="A276" s="379"/>
      <c r="B276" s="335"/>
      <c r="C276" s="335"/>
      <c r="D276" s="335"/>
      <c r="E276" s="335"/>
      <c r="F276" s="335"/>
      <c r="G276" s="335"/>
      <c r="H276" s="335"/>
      <c r="I276" s="335"/>
      <c r="J276" s="335"/>
      <c r="K276" s="335"/>
      <c r="L276" s="335"/>
      <c r="M276" s="376"/>
      <c r="N276" s="335"/>
      <c r="O276" s="380"/>
      <c r="P276" s="335"/>
      <c r="Q276" s="335"/>
      <c r="R276" s="335"/>
      <c r="S276" s="335"/>
      <c r="T276" s="335"/>
      <c r="U276" s="335"/>
      <c r="V276" s="335"/>
      <c r="W276" s="335"/>
      <c r="X276" s="335"/>
      <c r="Y276" s="335"/>
      <c r="Z276" s="335"/>
      <c r="AA276" s="335"/>
      <c r="AB276" s="335"/>
      <c r="AC276" s="335"/>
      <c r="AD276" s="335"/>
      <c r="AE276" s="335"/>
      <c r="AF276" s="335"/>
      <c r="AG276" s="335"/>
      <c r="AH276" s="335"/>
      <c r="AI276" s="335"/>
      <c r="AJ276" s="335"/>
      <c r="AK276" s="335"/>
      <c r="AL276" s="335"/>
      <c r="AM276" s="335"/>
      <c r="AN276" s="335"/>
      <c r="AO276" s="335"/>
      <c r="AP276" s="335"/>
      <c r="AQ276" s="335"/>
      <c r="AR276" s="335"/>
      <c r="AS276" s="335"/>
      <c r="AT276" s="335"/>
      <c r="AU276" s="335"/>
      <c r="AV276" s="335"/>
      <c r="AW276" s="335"/>
      <c r="AX276" s="335"/>
      <c r="AY276" s="335"/>
      <c r="AZ276" s="335"/>
      <c r="BA276" s="335"/>
      <c r="BB276" s="335"/>
      <c r="BC276" s="335"/>
      <c r="BD276" s="335"/>
      <c r="BE276" s="335"/>
      <c r="BF276" s="335"/>
      <c r="BG276" s="335"/>
      <c r="BH276" s="335"/>
      <c r="BI276" s="335"/>
      <c r="BJ276" s="335"/>
      <c r="BK276" s="335"/>
      <c r="BL276" s="335"/>
      <c r="BM276" s="335"/>
      <c r="BN276" s="335"/>
      <c r="BO276" s="335"/>
      <c r="BP276" s="335"/>
      <c r="BQ276" s="335"/>
      <c r="BR276" s="335"/>
      <c r="BS276" s="335"/>
      <c r="BT276" s="335"/>
      <c r="BU276" s="335"/>
      <c r="BV276" s="335"/>
      <c r="BW276" s="335"/>
      <c r="BX276" s="335"/>
      <c r="BY276" s="335"/>
      <c r="BZ276" s="335"/>
      <c r="CA276" s="335"/>
      <c r="CB276" s="335"/>
      <c r="CC276" s="335"/>
      <c r="CD276" s="335"/>
      <c r="CE276" s="335"/>
      <c r="CF276" s="335"/>
      <c r="CG276" s="335"/>
      <c r="CH276" s="335"/>
      <c r="CI276" s="335"/>
      <c r="CJ276" s="335"/>
      <c r="CK276" s="335"/>
      <c r="CL276" s="335"/>
      <c r="CM276" s="335"/>
      <c r="CN276" s="335"/>
      <c r="CO276" s="335"/>
      <c r="CP276" s="335"/>
      <c r="CQ276" s="335"/>
      <c r="CR276" s="335"/>
      <c r="CS276" s="335"/>
      <c r="CT276" s="335"/>
      <c r="CU276" s="335"/>
      <c r="CV276" s="335"/>
      <c r="CW276" s="335"/>
      <c r="CX276" s="335"/>
      <c r="CY276" s="335"/>
      <c r="CZ276" s="335"/>
      <c r="DA276" s="335"/>
      <c r="DB276" s="335"/>
      <c r="DC276" s="335"/>
      <c r="DD276" s="335"/>
      <c r="DE276" s="335"/>
      <c r="DF276" s="335"/>
      <c r="DG276" s="335"/>
      <c r="DH276" s="335"/>
      <c r="DI276" s="335"/>
      <c r="DJ276" s="335"/>
      <c r="DK276" s="335"/>
      <c r="DL276" s="335"/>
      <c r="DM276" s="335"/>
      <c r="DN276" s="335"/>
      <c r="DO276" s="335"/>
      <c r="DP276" s="335"/>
      <c r="DQ276" s="335"/>
      <c r="DR276" s="335"/>
      <c r="DS276" s="335"/>
      <c r="DT276" s="335"/>
      <c r="DU276" s="335"/>
      <c r="DV276" s="335"/>
      <c r="DW276" s="335"/>
      <c r="DX276" s="335"/>
      <c r="DY276" s="335"/>
      <c r="DZ276" s="335"/>
      <c r="EA276" s="335"/>
      <c r="EB276" s="335"/>
      <c r="EC276" s="335"/>
      <c r="ED276" s="335"/>
      <c r="EE276" s="335"/>
      <c r="EF276" s="335"/>
      <c r="EG276" s="335"/>
      <c r="EH276" s="335"/>
      <c r="EI276" s="335"/>
      <c r="EJ276" s="335"/>
      <c r="EK276" s="335"/>
      <c r="EL276" s="335"/>
      <c r="EM276" s="335"/>
      <c r="EN276" s="335"/>
      <c r="EO276" s="335"/>
      <c r="EP276" s="335"/>
      <c r="EQ276" s="335"/>
      <c r="ER276" s="335"/>
      <c r="ES276" s="335"/>
      <c r="ET276" s="335"/>
      <c r="EU276" s="335"/>
      <c r="EV276" s="335"/>
      <c r="EW276" s="335"/>
      <c r="EX276" s="335"/>
      <c r="EY276" s="335"/>
      <c r="EZ276" s="335"/>
      <c r="FA276" s="335"/>
      <c r="FB276" s="335"/>
      <c r="FC276" s="335"/>
      <c r="FD276" s="335"/>
      <c r="FE276" s="335"/>
      <c r="FF276" s="335"/>
      <c r="FG276" s="335"/>
      <c r="FH276" s="335"/>
      <c r="FI276" s="335"/>
      <c r="FJ276" s="335"/>
      <c r="FK276" s="335"/>
      <c r="FL276" s="335"/>
      <c r="FM276" s="335"/>
      <c r="FN276" s="335"/>
      <c r="FO276" s="335"/>
      <c r="FP276" s="335"/>
      <c r="FQ276" s="335"/>
      <c r="FR276" s="335"/>
      <c r="FS276" s="335"/>
      <c r="FT276" s="335"/>
      <c r="FU276" s="335"/>
      <c r="FV276" s="335"/>
      <c r="FW276" s="335"/>
      <c r="FX276" s="335"/>
      <c r="FY276" s="335"/>
      <c r="FZ276" s="335"/>
      <c r="GA276" s="335"/>
      <c r="GB276" s="335"/>
      <c r="GC276" s="335"/>
      <c r="GD276" s="335"/>
      <c r="GE276" s="335"/>
      <c r="GF276" s="335"/>
      <c r="GG276" s="335"/>
      <c r="GH276" s="335"/>
      <c r="GI276" s="335"/>
      <c r="GJ276" s="335"/>
      <c r="GK276" s="335"/>
      <c r="GL276" s="335"/>
      <c r="GM276" s="335"/>
      <c r="GN276" s="335"/>
      <c r="GO276" s="335"/>
      <c r="GP276" s="335"/>
      <c r="GQ276" s="335"/>
      <c r="GR276" s="335"/>
      <c r="GS276" s="335"/>
      <c r="GT276" s="335"/>
      <c r="GU276" s="335"/>
      <c r="GV276" s="335"/>
      <c r="GW276" s="335"/>
      <c r="GX276" s="335"/>
      <c r="GY276" s="335"/>
      <c r="GZ276" s="335"/>
    </row>
    <row r="277" spans="1:208" ht="15">
      <c r="A277" s="379"/>
      <c r="B277" s="335"/>
      <c r="C277" s="335"/>
      <c r="D277" s="335"/>
      <c r="E277" s="335"/>
      <c r="F277" s="335"/>
      <c r="G277" s="335"/>
      <c r="H277" s="335"/>
      <c r="I277" s="335"/>
      <c r="J277" s="335"/>
      <c r="K277" s="335"/>
      <c r="L277" s="335"/>
      <c r="M277" s="376"/>
      <c r="N277" s="335"/>
      <c r="O277" s="380"/>
      <c r="P277" s="335"/>
      <c r="Q277" s="335"/>
      <c r="R277" s="335"/>
      <c r="S277" s="335"/>
      <c r="T277" s="335"/>
      <c r="U277" s="335"/>
      <c r="V277" s="335"/>
      <c r="W277" s="335"/>
      <c r="X277" s="335"/>
      <c r="Y277" s="335"/>
      <c r="Z277" s="335"/>
      <c r="AA277" s="335"/>
      <c r="AB277" s="335"/>
      <c r="AC277" s="335"/>
      <c r="AD277" s="335"/>
      <c r="AE277" s="335"/>
      <c r="AF277" s="335"/>
      <c r="AG277" s="335"/>
      <c r="AH277" s="335"/>
      <c r="AI277" s="335"/>
      <c r="AJ277" s="335"/>
      <c r="AK277" s="335"/>
      <c r="AL277" s="335"/>
      <c r="AM277" s="335"/>
      <c r="AN277" s="335"/>
      <c r="AO277" s="335"/>
      <c r="AP277" s="335"/>
      <c r="AQ277" s="335"/>
      <c r="AR277" s="335"/>
      <c r="AS277" s="335"/>
      <c r="AT277" s="335"/>
      <c r="AU277" s="335"/>
      <c r="AV277" s="335"/>
      <c r="AW277" s="335"/>
      <c r="AX277" s="335"/>
      <c r="AY277" s="335"/>
      <c r="AZ277" s="335"/>
      <c r="BA277" s="335"/>
      <c r="BB277" s="335"/>
      <c r="BC277" s="335"/>
      <c r="BD277" s="335"/>
      <c r="BE277" s="335"/>
      <c r="BF277" s="335"/>
      <c r="BG277" s="335"/>
      <c r="BH277" s="335"/>
      <c r="BI277" s="335"/>
      <c r="BJ277" s="335"/>
      <c r="BK277" s="335"/>
      <c r="BL277" s="335"/>
      <c r="BM277" s="335"/>
      <c r="BN277" s="335"/>
      <c r="BO277" s="335"/>
      <c r="BP277" s="335"/>
      <c r="BQ277" s="335"/>
      <c r="BR277" s="335"/>
      <c r="BS277" s="335"/>
      <c r="BT277" s="335"/>
      <c r="BU277" s="335"/>
      <c r="BV277" s="335"/>
      <c r="BW277" s="335"/>
      <c r="BX277" s="335"/>
      <c r="BY277" s="335"/>
      <c r="BZ277" s="335"/>
      <c r="CA277" s="335"/>
      <c r="CB277" s="335"/>
      <c r="CC277" s="335"/>
      <c r="CD277" s="335"/>
      <c r="CE277" s="335"/>
      <c r="CF277" s="335"/>
      <c r="CG277" s="335"/>
      <c r="CH277" s="335"/>
      <c r="CI277" s="335"/>
      <c r="CJ277" s="335"/>
      <c r="CK277" s="335"/>
      <c r="CL277" s="335"/>
      <c r="CM277" s="335"/>
      <c r="CN277" s="335"/>
      <c r="CO277" s="335"/>
      <c r="CP277" s="335"/>
      <c r="CQ277" s="335"/>
      <c r="CR277" s="335"/>
      <c r="CS277" s="335"/>
      <c r="CT277" s="335"/>
      <c r="CU277" s="335"/>
      <c r="CV277" s="335"/>
      <c r="CW277" s="335"/>
      <c r="CX277" s="335"/>
      <c r="CY277" s="335"/>
      <c r="CZ277" s="335"/>
      <c r="DA277" s="335"/>
      <c r="DB277" s="335"/>
      <c r="DC277" s="335"/>
      <c r="DD277" s="335"/>
      <c r="DE277" s="335"/>
      <c r="DF277" s="335"/>
      <c r="DG277" s="335"/>
      <c r="DH277" s="335"/>
      <c r="DI277" s="335"/>
      <c r="DJ277" s="335"/>
      <c r="DK277" s="335"/>
      <c r="DL277" s="335"/>
      <c r="DM277" s="335"/>
      <c r="DN277" s="335"/>
      <c r="DO277" s="335"/>
      <c r="DP277" s="335"/>
      <c r="DQ277" s="335"/>
      <c r="DR277" s="335"/>
      <c r="DS277" s="335"/>
      <c r="DT277" s="335"/>
      <c r="DU277" s="335"/>
      <c r="DV277" s="335"/>
      <c r="DW277" s="335"/>
      <c r="DX277" s="335"/>
      <c r="DY277" s="335"/>
      <c r="DZ277" s="335"/>
      <c r="EA277" s="335"/>
      <c r="EB277" s="335"/>
      <c r="EC277" s="335"/>
      <c r="ED277" s="335"/>
      <c r="EE277" s="335"/>
      <c r="EF277" s="335"/>
      <c r="EG277" s="335"/>
      <c r="EH277" s="335"/>
      <c r="EI277" s="335"/>
      <c r="EJ277" s="335"/>
      <c r="EK277" s="335"/>
      <c r="EL277" s="335"/>
      <c r="EM277" s="335"/>
      <c r="EN277" s="335"/>
      <c r="EO277" s="335"/>
      <c r="EP277" s="335"/>
      <c r="EQ277" s="335"/>
      <c r="ER277" s="335"/>
      <c r="ES277" s="335"/>
      <c r="ET277" s="335"/>
      <c r="EU277" s="335"/>
      <c r="EV277" s="335"/>
      <c r="EW277" s="335"/>
      <c r="EX277" s="335"/>
      <c r="EY277" s="335"/>
      <c r="EZ277" s="335"/>
      <c r="FA277" s="335"/>
      <c r="FB277" s="335"/>
      <c r="FC277" s="335"/>
      <c r="FD277" s="335"/>
      <c r="FE277" s="335"/>
      <c r="FF277" s="335"/>
      <c r="FG277" s="335"/>
      <c r="FH277" s="335"/>
      <c r="FI277" s="335"/>
      <c r="FJ277" s="335"/>
      <c r="FK277" s="335"/>
      <c r="FL277" s="335"/>
      <c r="FM277" s="335"/>
      <c r="FN277" s="335"/>
      <c r="FO277" s="335"/>
      <c r="FP277" s="335"/>
      <c r="FQ277" s="335"/>
      <c r="FR277" s="335"/>
      <c r="FS277" s="335"/>
      <c r="FT277" s="335"/>
      <c r="FU277" s="335"/>
      <c r="FV277" s="335"/>
      <c r="FW277" s="335"/>
      <c r="FX277" s="335"/>
      <c r="FY277" s="335"/>
      <c r="FZ277" s="335"/>
      <c r="GA277" s="335"/>
      <c r="GB277" s="335"/>
      <c r="GC277" s="335"/>
      <c r="GD277" s="335"/>
      <c r="GE277" s="335"/>
      <c r="GF277" s="335"/>
      <c r="GG277" s="335"/>
      <c r="GH277" s="335"/>
      <c r="GI277" s="335"/>
      <c r="GJ277" s="335"/>
      <c r="GK277" s="335"/>
      <c r="GL277" s="335"/>
      <c r="GM277" s="335"/>
      <c r="GN277" s="335"/>
      <c r="GO277" s="335"/>
      <c r="GP277" s="335"/>
      <c r="GQ277" s="335"/>
      <c r="GR277" s="335"/>
      <c r="GS277" s="335"/>
      <c r="GT277" s="335"/>
      <c r="GU277" s="335"/>
      <c r="GV277" s="335"/>
      <c r="GW277" s="335"/>
      <c r="GX277" s="335"/>
      <c r="GY277" s="335"/>
      <c r="GZ277" s="335"/>
    </row>
    <row r="278" spans="1:208" ht="15">
      <c r="A278" s="379"/>
      <c r="B278" s="335"/>
      <c r="C278" s="335"/>
      <c r="D278" s="335"/>
      <c r="E278" s="335"/>
      <c r="F278" s="335"/>
      <c r="G278" s="335"/>
      <c r="H278" s="335"/>
      <c r="I278" s="335"/>
      <c r="J278" s="335"/>
      <c r="K278" s="335"/>
      <c r="L278" s="335"/>
      <c r="M278" s="376"/>
      <c r="N278" s="335"/>
      <c r="O278" s="380"/>
      <c r="P278" s="335"/>
      <c r="Q278" s="335"/>
      <c r="R278" s="335"/>
      <c r="S278" s="335"/>
      <c r="T278" s="335"/>
      <c r="U278" s="335"/>
      <c r="V278" s="335"/>
      <c r="W278" s="335"/>
      <c r="X278" s="335"/>
      <c r="Y278" s="335"/>
      <c r="Z278" s="335"/>
      <c r="AA278" s="335"/>
      <c r="AB278" s="335"/>
      <c r="AC278" s="335"/>
      <c r="AD278" s="335"/>
      <c r="AE278" s="335"/>
      <c r="AF278" s="335"/>
      <c r="AG278" s="335"/>
      <c r="AH278" s="335"/>
      <c r="AI278" s="335"/>
      <c r="AJ278" s="335"/>
      <c r="AK278" s="335"/>
      <c r="AL278" s="335"/>
      <c r="AM278" s="335"/>
      <c r="AN278" s="335"/>
      <c r="AO278" s="335"/>
      <c r="AP278" s="335"/>
      <c r="AQ278" s="335"/>
      <c r="AR278" s="335"/>
      <c r="AS278" s="335"/>
      <c r="AT278" s="335"/>
      <c r="AU278" s="335"/>
      <c r="AV278" s="335"/>
      <c r="AW278" s="335"/>
      <c r="AX278" s="335"/>
      <c r="AY278" s="335"/>
      <c r="AZ278" s="335"/>
      <c r="BA278" s="335"/>
      <c r="BB278" s="335"/>
      <c r="BC278" s="335"/>
      <c r="BD278" s="335"/>
      <c r="BE278" s="335"/>
      <c r="BF278" s="335"/>
      <c r="BG278" s="335"/>
      <c r="BH278" s="335"/>
      <c r="BI278" s="335"/>
      <c r="BJ278" s="335"/>
      <c r="BK278" s="335"/>
      <c r="BL278" s="335"/>
      <c r="BM278" s="335"/>
      <c r="BN278" s="335"/>
      <c r="BO278" s="335"/>
      <c r="BP278" s="335"/>
      <c r="BQ278" s="335"/>
      <c r="BR278" s="335"/>
      <c r="BS278" s="335"/>
      <c r="BT278" s="335"/>
      <c r="BU278" s="335"/>
      <c r="BV278" s="335"/>
      <c r="BW278" s="335"/>
      <c r="BX278" s="335"/>
      <c r="BY278" s="335"/>
      <c r="BZ278" s="335"/>
      <c r="CA278" s="335"/>
      <c r="CB278" s="335"/>
      <c r="CC278" s="335"/>
      <c r="CD278" s="335"/>
      <c r="CE278" s="335"/>
      <c r="CF278" s="335"/>
      <c r="CG278" s="335"/>
      <c r="CH278" s="335"/>
      <c r="CI278" s="335"/>
      <c r="CJ278" s="335"/>
      <c r="CK278" s="335"/>
      <c r="CL278" s="335"/>
      <c r="CM278" s="335"/>
      <c r="CN278" s="335"/>
      <c r="CO278" s="335"/>
      <c r="CP278" s="335"/>
      <c r="CQ278" s="335"/>
      <c r="CR278" s="335"/>
      <c r="CS278" s="335"/>
      <c r="CT278" s="335"/>
      <c r="CU278" s="335"/>
      <c r="CV278" s="335"/>
      <c r="CW278" s="335"/>
      <c r="CX278" s="335"/>
      <c r="CY278" s="335"/>
      <c r="CZ278" s="335"/>
      <c r="DA278" s="335"/>
      <c r="DB278" s="335"/>
      <c r="DC278" s="335"/>
      <c r="DD278" s="335"/>
      <c r="DE278" s="335"/>
      <c r="DF278" s="335"/>
      <c r="DG278" s="335"/>
      <c r="DH278" s="335"/>
      <c r="DI278" s="335"/>
      <c r="DJ278" s="335"/>
      <c r="DK278" s="335"/>
      <c r="DL278" s="335"/>
      <c r="DM278" s="335"/>
      <c r="DN278" s="335"/>
      <c r="DO278" s="335"/>
      <c r="DP278" s="335"/>
      <c r="DQ278" s="335"/>
      <c r="DR278" s="335"/>
      <c r="DS278" s="335"/>
      <c r="DT278" s="335"/>
      <c r="DU278" s="335"/>
      <c r="DV278" s="335"/>
      <c r="DW278" s="335"/>
      <c r="DX278" s="335"/>
      <c r="DY278" s="335"/>
      <c r="DZ278" s="335"/>
      <c r="EA278" s="335"/>
      <c r="EB278" s="335"/>
      <c r="EC278" s="335"/>
      <c r="ED278" s="335"/>
      <c r="EE278" s="335"/>
      <c r="EF278" s="335"/>
      <c r="EG278" s="335"/>
      <c r="EH278" s="335"/>
      <c r="EI278" s="335"/>
      <c r="EJ278" s="335"/>
      <c r="EK278" s="335"/>
      <c r="EL278" s="335"/>
      <c r="EM278" s="335"/>
      <c r="EN278" s="335"/>
      <c r="EO278" s="335"/>
      <c r="EP278" s="335"/>
      <c r="EQ278" s="335"/>
      <c r="ER278" s="335"/>
      <c r="ES278" s="335"/>
      <c r="ET278" s="335"/>
      <c r="EU278" s="335"/>
      <c r="EV278" s="335"/>
      <c r="EW278" s="335"/>
      <c r="EX278" s="335"/>
      <c r="EY278" s="335"/>
      <c r="EZ278" s="335"/>
      <c r="FA278" s="335"/>
      <c r="FB278" s="335"/>
      <c r="FC278" s="335"/>
      <c r="FD278" s="335"/>
      <c r="FE278" s="335"/>
      <c r="FF278" s="335"/>
      <c r="FG278" s="335"/>
      <c r="FH278" s="335"/>
      <c r="FI278" s="335"/>
      <c r="FJ278" s="335"/>
      <c r="FK278" s="335"/>
      <c r="FL278" s="335"/>
      <c r="FM278" s="335"/>
      <c r="FN278" s="335"/>
      <c r="FO278" s="335"/>
      <c r="FP278" s="335"/>
      <c r="FQ278" s="335"/>
      <c r="FR278" s="335"/>
      <c r="FS278" s="335"/>
      <c r="FT278" s="335"/>
      <c r="FU278" s="335"/>
      <c r="FV278" s="335"/>
      <c r="FW278" s="335"/>
      <c r="FX278" s="335"/>
      <c r="FY278" s="335"/>
      <c r="FZ278" s="335"/>
      <c r="GA278" s="335"/>
      <c r="GB278" s="335"/>
      <c r="GC278" s="335"/>
      <c r="GD278" s="335"/>
      <c r="GE278" s="335"/>
      <c r="GF278" s="335"/>
      <c r="GG278" s="335"/>
      <c r="GH278" s="335"/>
      <c r="GI278" s="335"/>
      <c r="GJ278" s="335"/>
      <c r="GK278" s="335"/>
      <c r="GL278" s="335"/>
      <c r="GM278" s="335"/>
      <c r="GN278" s="335"/>
      <c r="GO278" s="335"/>
      <c r="GP278" s="335"/>
      <c r="GQ278" s="335"/>
      <c r="GR278" s="335"/>
      <c r="GS278" s="335"/>
      <c r="GT278" s="335"/>
      <c r="GU278" s="335"/>
      <c r="GV278" s="335"/>
      <c r="GW278" s="335"/>
      <c r="GX278" s="335"/>
      <c r="GY278" s="335"/>
      <c r="GZ278" s="335"/>
    </row>
    <row r="279" spans="1:208" ht="15">
      <c r="A279" s="379"/>
      <c r="B279" s="335"/>
      <c r="C279" s="335"/>
      <c r="D279" s="335"/>
      <c r="E279" s="335"/>
      <c r="F279" s="335"/>
      <c r="G279" s="335"/>
      <c r="H279" s="335"/>
      <c r="I279" s="335"/>
      <c r="J279" s="335"/>
      <c r="K279" s="335"/>
      <c r="L279" s="335"/>
      <c r="M279" s="376"/>
      <c r="N279" s="335"/>
      <c r="O279" s="380"/>
      <c r="P279" s="335"/>
      <c r="Q279" s="335"/>
      <c r="R279" s="335"/>
      <c r="S279" s="335"/>
      <c r="T279" s="335"/>
      <c r="U279" s="335"/>
      <c r="V279" s="335"/>
      <c r="W279" s="335"/>
      <c r="X279" s="335"/>
      <c r="Y279" s="335"/>
      <c r="Z279" s="335"/>
      <c r="AA279" s="335"/>
      <c r="AB279" s="335"/>
      <c r="AC279" s="335"/>
      <c r="AD279" s="335"/>
      <c r="AE279" s="335"/>
      <c r="AF279" s="335"/>
      <c r="AG279" s="335"/>
      <c r="AH279" s="335"/>
      <c r="AI279" s="335"/>
      <c r="AJ279" s="335"/>
      <c r="AK279" s="335"/>
      <c r="AL279" s="335"/>
      <c r="AM279" s="335"/>
      <c r="AN279" s="335"/>
      <c r="AO279" s="335"/>
      <c r="AP279" s="335"/>
      <c r="AQ279" s="335"/>
      <c r="AR279" s="335"/>
      <c r="AS279" s="335"/>
      <c r="AT279" s="335"/>
      <c r="AU279" s="335"/>
      <c r="AV279" s="335"/>
      <c r="AW279" s="335"/>
      <c r="AX279" s="335"/>
      <c r="AY279" s="335"/>
      <c r="AZ279" s="335"/>
      <c r="BA279" s="335"/>
      <c r="BB279" s="335"/>
      <c r="BC279" s="335"/>
      <c r="BD279" s="335"/>
      <c r="BE279" s="335"/>
      <c r="BF279" s="335"/>
      <c r="BG279" s="335"/>
      <c r="BH279" s="335"/>
      <c r="BI279" s="335"/>
      <c r="BJ279" s="335"/>
      <c r="BK279" s="335"/>
      <c r="BL279" s="335"/>
      <c r="BM279" s="335"/>
      <c r="BN279" s="335"/>
      <c r="BO279" s="335"/>
      <c r="BP279" s="335"/>
      <c r="BQ279" s="335"/>
      <c r="BR279" s="335"/>
      <c r="BS279" s="335"/>
      <c r="BT279" s="335"/>
      <c r="BU279" s="335"/>
      <c r="BV279" s="335"/>
      <c r="BW279" s="335"/>
      <c r="BX279" s="335"/>
      <c r="BY279" s="335"/>
      <c r="BZ279" s="335"/>
      <c r="CA279" s="335"/>
      <c r="CB279" s="335"/>
      <c r="CC279" s="335"/>
      <c r="CD279" s="335"/>
      <c r="CE279" s="335"/>
      <c r="CF279" s="335"/>
      <c r="CG279" s="335"/>
      <c r="CH279" s="335"/>
      <c r="CI279" s="335"/>
      <c r="CJ279" s="335"/>
      <c r="CK279" s="335"/>
      <c r="CL279" s="335"/>
      <c r="CM279" s="335"/>
      <c r="CN279" s="335"/>
      <c r="CO279" s="335"/>
      <c r="CP279" s="335"/>
      <c r="CQ279" s="335"/>
      <c r="CR279" s="335"/>
      <c r="CS279" s="335"/>
      <c r="CT279" s="335"/>
      <c r="CU279" s="335"/>
      <c r="CV279" s="335"/>
      <c r="CW279" s="335"/>
      <c r="CX279" s="335"/>
      <c r="CY279" s="335"/>
      <c r="CZ279" s="335"/>
      <c r="DA279" s="335"/>
      <c r="DB279" s="335"/>
      <c r="DC279" s="335"/>
      <c r="DD279" s="335"/>
      <c r="DE279" s="335"/>
      <c r="DF279" s="335"/>
      <c r="DG279" s="335"/>
      <c r="DH279" s="335"/>
      <c r="DI279" s="335"/>
      <c r="DJ279" s="335"/>
      <c r="DK279" s="335"/>
      <c r="DL279" s="335"/>
      <c r="DM279" s="335"/>
      <c r="DN279" s="335"/>
      <c r="DO279" s="335"/>
      <c r="DP279" s="335"/>
      <c r="DQ279" s="335"/>
      <c r="DR279" s="335"/>
      <c r="DS279" s="335"/>
      <c r="DT279" s="335"/>
      <c r="DU279" s="335"/>
      <c r="DV279" s="335"/>
      <c r="DW279" s="335"/>
      <c r="DX279" s="335"/>
      <c r="DY279" s="335"/>
      <c r="DZ279" s="335"/>
      <c r="EA279" s="335"/>
      <c r="EB279" s="335"/>
      <c r="EC279" s="335"/>
      <c r="ED279" s="335"/>
      <c r="EE279" s="335"/>
      <c r="EF279" s="335"/>
      <c r="EG279" s="335"/>
      <c r="EH279" s="335"/>
      <c r="EI279" s="335"/>
      <c r="EJ279" s="335"/>
      <c r="EK279" s="335"/>
      <c r="EL279" s="335"/>
      <c r="EM279" s="335"/>
      <c r="EN279" s="335"/>
      <c r="EO279" s="335"/>
      <c r="EP279" s="335"/>
      <c r="EQ279" s="335"/>
      <c r="ER279" s="335"/>
      <c r="ES279" s="335"/>
      <c r="ET279" s="335"/>
      <c r="EU279" s="335"/>
      <c r="EV279" s="335"/>
      <c r="EW279" s="335"/>
      <c r="EX279" s="335"/>
      <c r="EY279" s="335"/>
      <c r="EZ279" s="335"/>
      <c r="FA279" s="335"/>
      <c r="FB279" s="335"/>
      <c r="FC279" s="335"/>
      <c r="FD279" s="335"/>
      <c r="FE279" s="335"/>
      <c r="FF279" s="335"/>
      <c r="FG279" s="335"/>
      <c r="FH279" s="335"/>
      <c r="FI279" s="335"/>
      <c r="FJ279" s="335"/>
      <c r="FK279" s="335"/>
      <c r="FL279" s="335"/>
      <c r="FM279" s="335"/>
      <c r="FN279" s="335"/>
      <c r="FO279" s="335"/>
      <c r="FP279" s="335"/>
      <c r="FQ279" s="335"/>
      <c r="FR279" s="335"/>
      <c r="FS279" s="335"/>
      <c r="FT279" s="335"/>
      <c r="FU279" s="335"/>
      <c r="FV279" s="335"/>
      <c r="FW279" s="335"/>
      <c r="FX279" s="335"/>
      <c r="FY279" s="335"/>
      <c r="FZ279" s="335"/>
      <c r="GA279" s="335"/>
      <c r="GB279" s="335"/>
      <c r="GC279" s="335"/>
      <c r="GD279" s="335"/>
      <c r="GE279" s="335"/>
      <c r="GF279" s="335"/>
      <c r="GG279" s="335"/>
      <c r="GH279" s="335"/>
      <c r="GI279" s="335"/>
      <c r="GJ279" s="335"/>
      <c r="GK279" s="335"/>
      <c r="GL279" s="335"/>
      <c r="GM279" s="335"/>
      <c r="GN279" s="335"/>
      <c r="GO279" s="335"/>
      <c r="GP279" s="335"/>
      <c r="GQ279" s="335"/>
      <c r="GR279" s="335"/>
      <c r="GS279" s="335"/>
      <c r="GT279" s="335"/>
      <c r="GU279" s="335"/>
      <c r="GV279" s="335"/>
      <c r="GW279" s="335"/>
      <c r="GX279" s="335"/>
      <c r="GY279" s="335"/>
      <c r="GZ279" s="335"/>
    </row>
    <row r="280" spans="1:208" ht="15">
      <c r="A280" s="379"/>
      <c r="B280" s="335"/>
      <c r="C280" s="335"/>
      <c r="D280" s="335"/>
      <c r="E280" s="335"/>
      <c r="F280" s="335"/>
      <c r="G280" s="335"/>
      <c r="H280" s="335"/>
      <c r="I280" s="335"/>
      <c r="J280" s="335"/>
      <c r="K280" s="335"/>
      <c r="L280" s="335"/>
      <c r="M280" s="376"/>
      <c r="N280" s="335"/>
      <c r="O280" s="380"/>
      <c r="P280" s="335"/>
      <c r="Q280" s="335"/>
      <c r="R280" s="335"/>
      <c r="S280" s="335"/>
      <c r="T280" s="335"/>
      <c r="U280" s="335"/>
      <c r="V280" s="335"/>
      <c r="W280" s="335"/>
      <c r="X280" s="335"/>
      <c r="Y280" s="335"/>
      <c r="Z280" s="335"/>
      <c r="AA280" s="335"/>
      <c r="AB280" s="335"/>
      <c r="AC280" s="335"/>
      <c r="AD280" s="335"/>
      <c r="AE280" s="335"/>
      <c r="AF280" s="335"/>
      <c r="AG280" s="335"/>
      <c r="AH280" s="335"/>
      <c r="AI280" s="335"/>
      <c r="AJ280" s="335"/>
      <c r="AK280" s="335"/>
      <c r="AL280" s="335"/>
      <c r="AM280" s="335"/>
      <c r="AN280" s="335"/>
      <c r="AO280" s="335"/>
      <c r="AP280" s="335"/>
      <c r="AQ280" s="335"/>
      <c r="AR280" s="335"/>
      <c r="AS280" s="335"/>
      <c r="AT280" s="335"/>
      <c r="AU280" s="335"/>
      <c r="AV280" s="335"/>
      <c r="AW280" s="335"/>
      <c r="AX280" s="335"/>
      <c r="AY280" s="335"/>
      <c r="AZ280" s="335"/>
      <c r="BA280" s="335"/>
      <c r="BB280" s="335"/>
      <c r="BC280" s="335"/>
      <c r="BD280" s="335"/>
      <c r="BE280" s="335"/>
      <c r="BF280" s="335"/>
      <c r="BG280" s="335"/>
      <c r="BH280" s="335"/>
      <c r="BI280" s="335"/>
      <c r="BJ280" s="335"/>
      <c r="BK280" s="335"/>
      <c r="BL280" s="335"/>
      <c r="BM280" s="335"/>
      <c r="BN280" s="335"/>
      <c r="BO280" s="335"/>
      <c r="BP280" s="335"/>
      <c r="BQ280" s="335"/>
      <c r="BR280" s="335"/>
      <c r="BS280" s="335"/>
      <c r="BT280" s="335"/>
      <c r="BU280" s="335"/>
      <c r="BV280" s="335"/>
      <c r="BW280" s="335"/>
      <c r="BX280" s="335"/>
      <c r="BY280" s="335"/>
      <c r="BZ280" s="335"/>
      <c r="CA280" s="335"/>
      <c r="CB280" s="335"/>
      <c r="CC280" s="335"/>
      <c r="CD280" s="335"/>
      <c r="CE280" s="335"/>
      <c r="CF280" s="335"/>
      <c r="CG280" s="335"/>
      <c r="CH280" s="335"/>
      <c r="CI280" s="335"/>
      <c r="CJ280" s="335"/>
      <c r="CK280" s="335"/>
      <c r="CL280" s="335"/>
      <c r="CM280" s="335"/>
      <c r="CN280" s="335"/>
      <c r="CO280" s="335"/>
      <c r="CP280" s="335"/>
      <c r="CQ280" s="335"/>
      <c r="CR280" s="335"/>
      <c r="CS280" s="335"/>
      <c r="CT280" s="335"/>
      <c r="CU280" s="335"/>
      <c r="CV280" s="335"/>
      <c r="CW280" s="335"/>
      <c r="CX280" s="335"/>
      <c r="CY280" s="335"/>
      <c r="CZ280" s="335"/>
      <c r="DA280" s="335"/>
      <c r="DB280" s="335"/>
      <c r="DC280" s="335"/>
      <c r="DD280" s="335"/>
      <c r="DE280" s="335"/>
      <c r="DF280" s="335"/>
      <c r="DG280" s="335"/>
      <c r="DH280" s="335"/>
      <c r="DI280" s="335"/>
      <c r="DJ280" s="335"/>
      <c r="DK280" s="335"/>
      <c r="DL280" s="335"/>
      <c r="DM280" s="335"/>
      <c r="DN280" s="335"/>
      <c r="DO280" s="335"/>
      <c r="DP280" s="335"/>
      <c r="DQ280" s="335"/>
      <c r="DR280" s="335"/>
      <c r="DS280" s="335"/>
      <c r="DT280" s="335"/>
      <c r="DU280" s="335"/>
      <c r="DV280" s="335"/>
      <c r="DW280" s="335"/>
      <c r="DX280" s="335"/>
      <c r="DY280" s="335"/>
      <c r="DZ280" s="335"/>
      <c r="EA280" s="335"/>
      <c r="EB280" s="335"/>
      <c r="EC280" s="335"/>
      <c r="ED280" s="335"/>
      <c r="EE280" s="335"/>
      <c r="EF280" s="335"/>
      <c r="EG280" s="335"/>
      <c r="EH280" s="335"/>
      <c r="EI280" s="335"/>
      <c r="EJ280" s="335"/>
      <c r="EK280" s="335"/>
      <c r="EL280" s="335"/>
      <c r="EM280" s="335"/>
      <c r="EN280" s="335"/>
      <c r="EO280" s="335"/>
      <c r="EP280" s="335"/>
      <c r="EQ280" s="335"/>
      <c r="ER280" s="335"/>
      <c r="ES280" s="335"/>
      <c r="ET280" s="335"/>
      <c r="EU280" s="335"/>
      <c r="EV280" s="335"/>
      <c r="EW280" s="335"/>
      <c r="EX280" s="335"/>
      <c r="EY280" s="335"/>
      <c r="EZ280" s="335"/>
      <c r="FA280" s="335"/>
      <c r="FB280" s="335"/>
      <c r="FC280" s="335"/>
      <c r="FD280" s="335"/>
      <c r="FE280" s="335"/>
      <c r="FF280" s="335"/>
      <c r="FG280" s="335"/>
      <c r="FH280" s="335"/>
      <c r="FI280" s="335"/>
      <c r="FJ280" s="335"/>
      <c r="FK280" s="335"/>
      <c r="FL280" s="335"/>
      <c r="FM280" s="335"/>
      <c r="FN280" s="335"/>
      <c r="FO280" s="335"/>
      <c r="FP280" s="335"/>
      <c r="FQ280" s="335"/>
      <c r="FR280" s="335"/>
      <c r="FS280" s="335"/>
      <c r="FT280" s="335"/>
      <c r="FU280" s="335"/>
      <c r="FV280" s="335"/>
      <c r="FW280" s="335"/>
      <c r="FX280" s="335"/>
      <c r="FY280" s="335"/>
      <c r="FZ280" s="335"/>
      <c r="GA280" s="335"/>
      <c r="GB280" s="335"/>
      <c r="GC280" s="335"/>
      <c r="GD280" s="335"/>
      <c r="GE280" s="335"/>
      <c r="GF280" s="335"/>
      <c r="GG280" s="335"/>
      <c r="GH280" s="335"/>
      <c r="GI280" s="335"/>
      <c r="GJ280" s="335"/>
      <c r="GK280" s="335"/>
      <c r="GL280" s="335"/>
      <c r="GM280" s="335"/>
      <c r="GN280" s="335"/>
      <c r="GO280" s="335"/>
      <c r="GP280" s="335"/>
      <c r="GQ280" s="335"/>
      <c r="GR280" s="335"/>
      <c r="GS280" s="335"/>
      <c r="GT280" s="335"/>
      <c r="GU280" s="335"/>
      <c r="GV280" s="335"/>
      <c r="GW280" s="335"/>
      <c r="GX280" s="335"/>
      <c r="GY280" s="335"/>
      <c r="GZ280" s="335"/>
    </row>
    <row r="281" spans="1:208" ht="15">
      <c r="A281" s="379"/>
      <c r="B281" s="335"/>
      <c r="C281" s="335"/>
      <c r="D281" s="335"/>
      <c r="E281" s="335"/>
      <c r="F281" s="335"/>
      <c r="G281" s="335"/>
      <c r="H281" s="335"/>
      <c r="I281" s="335"/>
      <c r="J281" s="335"/>
      <c r="K281" s="335"/>
      <c r="L281" s="335"/>
      <c r="M281" s="376"/>
      <c r="N281" s="335"/>
      <c r="O281" s="380"/>
      <c r="P281" s="335"/>
      <c r="Q281" s="335"/>
      <c r="R281" s="335"/>
      <c r="S281" s="335"/>
      <c r="T281" s="335"/>
      <c r="U281" s="335"/>
      <c r="V281" s="335"/>
      <c r="W281" s="335"/>
      <c r="X281" s="335"/>
      <c r="Y281" s="335"/>
      <c r="Z281" s="335"/>
      <c r="AA281" s="335"/>
      <c r="AB281" s="335"/>
      <c r="AC281" s="335"/>
      <c r="AD281" s="335"/>
      <c r="AE281" s="335"/>
      <c r="AF281" s="335"/>
      <c r="AG281" s="335"/>
      <c r="AH281" s="335"/>
      <c r="AI281" s="335"/>
      <c r="AJ281" s="335"/>
      <c r="AK281" s="335"/>
      <c r="AL281" s="335"/>
      <c r="AM281" s="335"/>
      <c r="AN281" s="335"/>
      <c r="AO281" s="335"/>
      <c r="AP281" s="335"/>
      <c r="AQ281" s="335"/>
      <c r="AR281" s="335"/>
      <c r="AS281" s="335"/>
      <c r="AT281" s="335"/>
      <c r="AU281" s="335"/>
      <c r="AV281" s="335"/>
      <c r="AW281" s="335"/>
      <c r="AX281" s="335"/>
      <c r="AY281" s="335"/>
      <c r="AZ281" s="335"/>
      <c r="BA281" s="335"/>
      <c r="BB281" s="335"/>
      <c r="BC281" s="335"/>
      <c r="BD281" s="335"/>
      <c r="BE281" s="335"/>
      <c r="BF281" s="335"/>
      <c r="BG281" s="335"/>
      <c r="BH281" s="335"/>
      <c r="BI281" s="335"/>
      <c r="BJ281" s="335"/>
      <c r="BK281" s="335"/>
      <c r="BL281" s="335"/>
      <c r="BM281" s="335"/>
      <c r="BN281" s="335"/>
      <c r="BO281" s="335"/>
      <c r="BP281" s="335"/>
      <c r="BQ281" s="335"/>
      <c r="BR281" s="335"/>
      <c r="BS281" s="335"/>
      <c r="BT281" s="335"/>
      <c r="BU281" s="335"/>
      <c r="BV281" s="335"/>
      <c r="BW281" s="335"/>
      <c r="BX281" s="335"/>
      <c r="BY281" s="335"/>
      <c r="BZ281" s="335"/>
      <c r="CA281" s="335"/>
      <c r="CB281" s="335"/>
      <c r="CC281" s="335"/>
      <c r="CD281" s="335"/>
      <c r="CE281" s="335"/>
      <c r="CF281" s="335"/>
      <c r="CG281" s="335"/>
      <c r="CH281" s="335"/>
      <c r="CI281" s="335"/>
      <c r="CJ281" s="335"/>
      <c r="CK281" s="335"/>
      <c r="CL281" s="335"/>
      <c r="CM281" s="335"/>
      <c r="CN281" s="335"/>
      <c r="CO281" s="335"/>
      <c r="CP281" s="335"/>
      <c r="CQ281" s="335"/>
      <c r="CR281" s="335"/>
      <c r="CS281" s="335"/>
      <c r="CT281" s="335"/>
      <c r="CU281" s="335"/>
      <c r="CV281" s="335"/>
      <c r="CW281" s="335"/>
      <c r="CX281" s="335"/>
      <c r="CY281" s="335"/>
      <c r="CZ281" s="335"/>
      <c r="DA281" s="335"/>
      <c r="DB281" s="335"/>
      <c r="DC281" s="335"/>
      <c r="DD281" s="335"/>
      <c r="DE281" s="335"/>
      <c r="DF281" s="335"/>
      <c r="DG281" s="335"/>
      <c r="DH281" s="335"/>
      <c r="DI281" s="335"/>
      <c r="DJ281" s="335"/>
      <c r="DK281" s="335"/>
      <c r="DL281" s="335"/>
      <c r="DM281" s="335"/>
      <c r="DN281" s="335"/>
      <c r="DO281" s="335"/>
      <c r="DP281" s="335"/>
      <c r="DQ281" s="335"/>
      <c r="DR281" s="335"/>
      <c r="DS281" s="335"/>
      <c r="DT281" s="335"/>
      <c r="DU281" s="335"/>
      <c r="DV281" s="335"/>
      <c r="DW281" s="335"/>
      <c r="DX281" s="335"/>
      <c r="DY281" s="335"/>
      <c r="DZ281" s="335"/>
      <c r="EA281" s="335"/>
      <c r="EB281" s="335"/>
      <c r="EC281" s="335"/>
      <c r="ED281" s="335"/>
      <c r="EE281" s="335"/>
      <c r="EF281" s="335"/>
      <c r="EG281" s="335"/>
      <c r="EH281" s="335"/>
      <c r="EI281" s="335"/>
      <c r="EJ281" s="335"/>
      <c r="EK281" s="335"/>
      <c r="EL281" s="335"/>
      <c r="EM281" s="335"/>
      <c r="EN281" s="335"/>
      <c r="EO281" s="335"/>
      <c r="EP281" s="335"/>
      <c r="EQ281" s="335"/>
      <c r="ER281" s="335"/>
      <c r="ES281" s="335"/>
      <c r="ET281" s="335"/>
      <c r="EU281" s="335"/>
      <c r="EV281" s="335"/>
      <c r="EW281" s="335"/>
      <c r="EX281" s="335"/>
      <c r="EY281" s="335"/>
      <c r="EZ281" s="335"/>
      <c r="FA281" s="335"/>
      <c r="FB281" s="335"/>
      <c r="FC281" s="335"/>
      <c r="FD281" s="335"/>
      <c r="FE281" s="335"/>
      <c r="FF281" s="335"/>
      <c r="FG281" s="335"/>
      <c r="FH281" s="335"/>
      <c r="FI281" s="335"/>
      <c r="FJ281" s="335"/>
      <c r="FK281" s="335"/>
      <c r="FL281" s="335"/>
      <c r="FM281" s="335"/>
      <c r="FN281" s="335"/>
      <c r="FO281" s="335"/>
      <c r="FP281" s="335"/>
      <c r="FQ281" s="335"/>
      <c r="FR281" s="335"/>
      <c r="FS281" s="335"/>
      <c r="FT281" s="335"/>
      <c r="FU281" s="335"/>
      <c r="FV281" s="335"/>
      <c r="FW281" s="335"/>
      <c r="FX281" s="335"/>
      <c r="FY281" s="335"/>
      <c r="FZ281" s="335"/>
      <c r="GA281" s="335"/>
      <c r="GB281" s="335"/>
      <c r="GC281" s="335"/>
      <c r="GD281" s="335"/>
      <c r="GE281" s="335"/>
      <c r="GF281" s="335"/>
      <c r="GG281" s="335"/>
      <c r="GH281" s="335"/>
      <c r="GI281" s="335"/>
      <c r="GJ281" s="335"/>
      <c r="GK281" s="335"/>
      <c r="GL281" s="335"/>
      <c r="GM281" s="335"/>
      <c r="GN281" s="335"/>
      <c r="GO281" s="335"/>
      <c r="GP281" s="335"/>
      <c r="GQ281" s="335"/>
      <c r="GR281" s="335"/>
      <c r="GS281" s="335"/>
      <c r="GT281" s="335"/>
      <c r="GU281" s="335"/>
      <c r="GV281" s="335"/>
      <c r="GW281" s="335"/>
      <c r="GX281" s="335"/>
      <c r="GY281" s="335"/>
      <c r="GZ281" s="335"/>
    </row>
    <row r="282" spans="1:208" ht="15">
      <c r="A282" s="379"/>
      <c r="B282" s="335"/>
      <c r="C282" s="335"/>
      <c r="D282" s="335"/>
      <c r="E282" s="335"/>
      <c r="F282" s="335"/>
      <c r="G282" s="335"/>
      <c r="H282" s="335"/>
      <c r="I282" s="335"/>
      <c r="J282" s="335"/>
      <c r="K282" s="335"/>
      <c r="L282" s="335"/>
      <c r="M282" s="376"/>
      <c r="N282" s="335"/>
      <c r="O282" s="380"/>
      <c r="P282" s="335"/>
      <c r="Q282" s="335"/>
      <c r="R282" s="335"/>
      <c r="S282" s="335"/>
      <c r="T282" s="335"/>
      <c r="U282" s="335"/>
      <c r="V282" s="335"/>
      <c r="W282" s="335"/>
      <c r="X282" s="335"/>
      <c r="Y282" s="335"/>
      <c r="Z282" s="335"/>
      <c r="AA282" s="335"/>
      <c r="AB282" s="335"/>
      <c r="AC282" s="335"/>
      <c r="AD282" s="335"/>
      <c r="AE282" s="335"/>
      <c r="AF282" s="335"/>
      <c r="AG282" s="335"/>
      <c r="AH282" s="335"/>
      <c r="AI282" s="335"/>
      <c r="AJ282" s="335"/>
      <c r="AK282" s="335"/>
      <c r="AL282" s="335"/>
      <c r="AM282" s="335"/>
      <c r="AN282" s="335"/>
      <c r="AO282" s="335"/>
      <c r="AP282" s="335"/>
      <c r="AQ282" s="335"/>
      <c r="AR282" s="335"/>
      <c r="AS282" s="335"/>
      <c r="AT282" s="335"/>
      <c r="AU282" s="335"/>
      <c r="AV282" s="335"/>
      <c r="AW282" s="335"/>
      <c r="AX282" s="335"/>
      <c r="AY282" s="335"/>
      <c r="AZ282" s="335"/>
      <c r="BA282" s="335"/>
      <c r="BB282" s="335"/>
      <c r="BC282" s="335"/>
      <c r="BD282" s="335"/>
      <c r="BE282" s="335"/>
      <c r="BF282" s="335"/>
      <c r="BG282" s="335"/>
      <c r="BH282" s="335"/>
      <c r="BI282" s="335"/>
      <c r="BJ282" s="335"/>
      <c r="BK282" s="335"/>
      <c r="BL282" s="335"/>
      <c r="BM282" s="335"/>
      <c r="BN282" s="335"/>
      <c r="BO282" s="335"/>
      <c r="BP282" s="335"/>
      <c r="BQ282" s="335"/>
      <c r="BR282" s="335"/>
      <c r="BS282" s="335"/>
      <c r="BT282" s="335"/>
      <c r="BU282" s="335"/>
      <c r="BV282" s="335"/>
      <c r="BW282" s="335"/>
      <c r="BX282" s="335"/>
      <c r="BY282" s="335"/>
      <c r="BZ282" s="335"/>
      <c r="CA282" s="335"/>
      <c r="CB282" s="335"/>
      <c r="CC282" s="335"/>
      <c r="CD282" s="335"/>
      <c r="CE282" s="335"/>
      <c r="CF282" s="335"/>
      <c r="CG282" s="335"/>
      <c r="CH282" s="335"/>
      <c r="CI282" s="335"/>
      <c r="CJ282" s="335"/>
      <c r="CK282" s="335"/>
      <c r="CL282" s="335"/>
      <c r="CM282" s="335"/>
      <c r="CN282" s="335"/>
      <c r="CO282" s="335"/>
      <c r="CP282" s="335"/>
      <c r="CQ282" s="335"/>
      <c r="CR282" s="335"/>
      <c r="CS282" s="335"/>
      <c r="CT282" s="335"/>
      <c r="CU282" s="335"/>
      <c r="CV282" s="335"/>
      <c r="CW282" s="335"/>
      <c r="CX282" s="335"/>
      <c r="CY282" s="335"/>
      <c r="CZ282" s="335"/>
      <c r="DA282" s="335"/>
      <c r="DB282" s="335"/>
      <c r="DC282" s="335"/>
      <c r="DD282" s="335"/>
      <c r="DE282" s="335"/>
      <c r="DF282" s="335"/>
      <c r="DG282" s="335"/>
      <c r="DH282" s="335"/>
      <c r="DI282" s="335"/>
      <c r="DJ282" s="335"/>
      <c r="DK282" s="335"/>
      <c r="DL282" s="335"/>
      <c r="DM282" s="335"/>
      <c r="DN282" s="335"/>
      <c r="DO282" s="335"/>
      <c r="DP282" s="335"/>
      <c r="DQ282" s="335"/>
      <c r="DR282" s="335"/>
      <c r="DS282" s="335"/>
      <c r="DT282" s="335"/>
      <c r="DU282" s="335"/>
      <c r="DV282" s="335"/>
      <c r="DW282" s="335"/>
      <c r="DX282" s="335"/>
      <c r="DY282" s="335"/>
      <c r="DZ282" s="335"/>
      <c r="EA282" s="335"/>
      <c r="EB282" s="335"/>
      <c r="EC282" s="335"/>
      <c r="ED282" s="335"/>
      <c r="EE282" s="335"/>
      <c r="EF282" s="335"/>
      <c r="EG282" s="335"/>
      <c r="EH282" s="335"/>
      <c r="EI282" s="335"/>
      <c r="EJ282" s="335"/>
      <c r="EK282" s="335"/>
      <c r="EL282" s="335"/>
      <c r="EM282" s="335"/>
      <c r="EN282" s="335"/>
      <c r="EO282" s="335"/>
      <c r="EP282" s="335"/>
      <c r="EQ282" s="335"/>
      <c r="ER282" s="335"/>
      <c r="ES282" s="335"/>
      <c r="ET282" s="335"/>
      <c r="EU282" s="335"/>
      <c r="EV282" s="335"/>
      <c r="EW282" s="335"/>
      <c r="EX282" s="335"/>
      <c r="EY282" s="335"/>
      <c r="EZ282" s="335"/>
      <c r="FA282" s="335"/>
      <c r="FB282" s="335"/>
      <c r="FC282" s="335"/>
      <c r="FD282" s="335"/>
      <c r="FE282" s="335"/>
      <c r="FF282" s="335"/>
      <c r="FG282" s="335"/>
      <c r="FH282" s="335"/>
      <c r="FI282" s="335"/>
      <c r="FJ282" s="335"/>
      <c r="FK282" s="335"/>
      <c r="FL282" s="335"/>
      <c r="FM282" s="335"/>
      <c r="FN282" s="335"/>
      <c r="FO282" s="335"/>
      <c r="FP282" s="335"/>
      <c r="FQ282" s="335"/>
      <c r="FR282" s="335"/>
      <c r="FS282" s="335"/>
      <c r="FT282" s="335"/>
      <c r="FU282" s="335"/>
      <c r="FV282" s="335"/>
      <c r="FW282" s="335"/>
      <c r="FX282" s="335"/>
      <c r="FY282" s="335"/>
      <c r="FZ282" s="335"/>
      <c r="GA282" s="335"/>
      <c r="GB282" s="335"/>
      <c r="GC282" s="335"/>
      <c r="GD282" s="335"/>
      <c r="GE282" s="335"/>
      <c r="GF282" s="335"/>
      <c r="GG282" s="335"/>
      <c r="GH282" s="335"/>
      <c r="GI282" s="335"/>
      <c r="GJ282" s="335"/>
      <c r="GK282" s="335"/>
      <c r="GL282" s="335"/>
      <c r="GM282" s="335"/>
      <c r="GN282" s="335"/>
      <c r="GO282" s="335"/>
      <c r="GP282" s="335"/>
      <c r="GQ282" s="335"/>
      <c r="GR282" s="335"/>
      <c r="GS282" s="335"/>
      <c r="GT282" s="335"/>
      <c r="GU282" s="335"/>
      <c r="GV282" s="335"/>
      <c r="GW282" s="335"/>
      <c r="GX282" s="335"/>
      <c r="GY282" s="335"/>
      <c r="GZ282" s="335"/>
    </row>
    <row r="283" spans="1:208" ht="15">
      <c r="A283" s="379"/>
      <c r="B283" s="335"/>
      <c r="C283" s="335"/>
      <c r="D283" s="335"/>
      <c r="E283" s="335"/>
      <c r="F283" s="335"/>
      <c r="G283" s="335"/>
      <c r="H283" s="335"/>
      <c r="I283" s="335"/>
      <c r="J283" s="335"/>
      <c r="K283" s="335"/>
      <c r="L283" s="335"/>
      <c r="M283" s="376"/>
      <c r="N283" s="335"/>
      <c r="O283" s="380"/>
      <c r="P283" s="335"/>
      <c r="Q283" s="335"/>
      <c r="R283" s="335"/>
      <c r="S283" s="335"/>
      <c r="T283" s="335"/>
      <c r="U283" s="335"/>
      <c r="V283" s="335"/>
      <c r="W283" s="335"/>
      <c r="X283" s="335"/>
      <c r="Y283" s="335"/>
      <c r="Z283" s="335"/>
      <c r="AA283" s="335"/>
      <c r="AB283" s="335"/>
      <c r="AC283" s="335"/>
      <c r="AD283" s="335"/>
      <c r="AE283" s="335"/>
      <c r="AF283" s="335"/>
      <c r="AG283" s="335"/>
      <c r="AH283" s="335"/>
      <c r="AI283" s="335"/>
      <c r="AJ283" s="335"/>
      <c r="AK283" s="335"/>
      <c r="AL283" s="335"/>
      <c r="AM283" s="335"/>
      <c r="AN283" s="335"/>
      <c r="AO283" s="335"/>
      <c r="AP283" s="335"/>
      <c r="AQ283" s="335"/>
      <c r="AR283" s="335"/>
      <c r="AS283" s="335"/>
      <c r="AT283" s="335"/>
      <c r="AU283" s="335"/>
      <c r="AV283" s="335"/>
      <c r="AW283" s="335"/>
      <c r="AX283" s="335"/>
      <c r="AY283" s="335"/>
      <c r="AZ283" s="335"/>
      <c r="BA283" s="335"/>
      <c r="BB283" s="335"/>
      <c r="BC283" s="335"/>
      <c r="BD283" s="335"/>
      <c r="BE283" s="335"/>
      <c r="BF283" s="335"/>
      <c r="BG283" s="335"/>
      <c r="BH283" s="335"/>
      <c r="BI283" s="335"/>
      <c r="BJ283" s="335"/>
      <c r="BK283" s="335"/>
      <c r="BL283" s="335"/>
      <c r="BM283" s="335"/>
      <c r="BN283" s="335"/>
      <c r="BO283" s="335"/>
      <c r="BP283" s="335"/>
      <c r="BQ283" s="335"/>
      <c r="BR283" s="335"/>
      <c r="BS283" s="335"/>
      <c r="BT283" s="335"/>
      <c r="BU283" s="335"/>
      <c r="BV283" s="335"/>
      <c r="BW283" s="335"/>
      <c r="BX283" s="335"/>
      <c r="BY283" s="335"/>
      <c r="BZ283" s="335"/>
      <c r="CA283" s="335"/>
      <c r="CB283" s="335"/>
      <c r="CC283" s="335"/>
      <c r="CD283" s="335"/>
      <c r="CE283" s="335"/>
      <c r="CF283" s="335"/>
      <c r="CG283" s="335"/>
      <c r="CH283" s="335"/>
      <c r="CI283" s="335"/>
      <c r="CJ283" s="335"/>
      <c r="CK283" s="335"/>
      <c r="CL283" s="335"/>
      <c r="CM283" s="335"/>
      <c r="CN283" s="335"/>
      <c r="CO283" s="335"/>
      <c r="CP283" s="335"/>
      <c r="CQ283" s="335"/>
      <c r="CR283" s="335"/>
      <c r="CS283" s="335"/>
      <c r="CT283" s="335"/>
      <c r="CU283" s="335"/>
      <c r="CV283" s="335"/>
      <c r="CW283" s="335"/>
      <c r="CX283" s="335"/>
      <c r="CY283" s="335"/>
      <c r="CZ283" s="335"/>
      <c r="DA283" s="335"/>
      <c r="DB283" s="335"/>
      <c r="DC283" s="335"/>
      <c r="DD283" s="335"/>
      <c r="DE283" s="335"/>
      <c r="DF283" s="335"/>
      <c r="DG283" s="335"/>
      <c r="DH283" s="335"/>
      <c r="DI283" s="335"/>
      <c r="DJ283" s="335"/>
      <c r="DK283" s="335"/>
      <c r="DL283" s="335"/>
      <c r="DM283" s="335"/>
      <c r="DN283" s="335"/>
      <c r="DO283" s="335"/>
      <c r="DP283" s="335"/>
      <c r="DQ283" s="335"/>
      <c r="DR283" s="335"/>
      <c r="DS283" s="335"/>
      <c r="DT283" s="335"/>
      <c r="DU283" s="335"/>
      <c r="DV283" s="335"/>
      <c r="DW283" s="335"/>
      <c r="DX283" s="335"/>
      <c r="DY283" s="335"/>
      <c r="DZ283" s="335"/>
      <c r="EA283" s="335"/>
      <c r="EB283" s="335"/>
      <c r="EC283" s="335"/>
      <c r="ED283" s="335"/>
      <c r="EE283" s="335"/>
      <c r="EF283" s="335"/>
      <c r="EG283" s="335"/>
      <c r="EH283" s="335"/>
      <c r="EI283" s="335"/>
      <c r="EJ283" s="335"/>
      <c r="EK283" s="335"/>
      <c r="EL283" s="335"/>
      <c r="EM283" s="335"/>
      <c r="EN283" s="335"/>
      <c r="EO283" s="335"/>
      <c r="EP283" s="335"/>
      <c r="EQ283" s="335"/>
      <c r="ER283" s="335"/>
      <c r="ES283" s="335"/>
      <c r="ET283" s="335"/>
      <c r="EU283" s="335"/>
      <c r="EV283" s="335"/>
      <c r="EW283" s="335"/>
      <c r="EX283" s="335"/>
      <c r="EY283" s="335"/>
      <c r="EZ283" s="335"/>
      <c r="FA283" s="335"/>
      <c r="FB283" s="335"/>
      <c r="FC283" s="335"/>
      <c r="FD283" s="335"/>
      <c r="FE283" s="335"/>
      <c r="FF283" s="335"/>
      <c r="FG283" s="335"/>
      <c r="FH283" s="335"/>
      <c r="FI283" s="335"/>
      <c r="FJ283" s="335"/>
      <c r="FK283" s="335"/>
      <c r="FL283" s="335"/>
      <c r="FM283" s="335"/>
      <c r="FN283" s="335"/>
      <c r="FO283" s="335"/>
      <c r="FP283" s="335"/>
      <c r="FQ283" s="335"/>
      <c r="FR283" s="335"/>
      <c r="FS283" s="335"/>
      <c r="FT283" s="335"/>
      <c r="FU283" s="335"/>
      <c r="FV283" s="335"/>
      <c r="FW283" s="335"/>
      <c r="FX283" s="335"/>
      <c r="FY283" s="335"/>
      <c r="FZ283" s="335"/>
      <c r="GA283" s="335"/>
      <c r="GB283" s="335"/>
      <c r="GC283" s="335"/>
      <c r="GD283" s="335"/>
      <c r="GE283" s="335"/>
      <c r="GF283" s="335"/>
      <c r="GG283" s="335"/>
      <c r="GH283" s="335"/>
      <c r="GI283" s="335"/>
      <c r="GJ283" s="335"/>
      <c r="GK283" s="335"/>
      <c r="GL283" s="335"/>
      <c r="GM283" s="335"/>
      <c r="GN283" s="335"/>
      <c r="GO283" s="335"/>
      <c r="GP283" s="335"/>
      <c r="GQ283" s="335"/>
      <c r="GR283" s="335"/>
      <c r="GS283" s="335"/>
      <c r="GT283" s="335"/>
      <c r="GU283" s="335"/>
      <c r="GV283" s="335"/>
      <c r="GW283" s="335"/>
      <c r="GX283" s="335"/>
      <c r="GY283" s="335"/>
      <c r="GZ283" s="335"/>
    </row>
    <row r="284" spans="1:208" ht="15">
      <c r="A284" s="379"/>
      <c r="B284" s="335"/>
      <c r="C284" s="335"/>
      <c r="D284" s="335"/>
      <c r="E284" s="335"/>
      <c r="F284" s="335"/>
      <c r="G284" s="335"/>
      <c r="H284" s="335"/>
      <c r="I284" s="335"/>
      <c r="J284" s="335"/>
      <c r="K284" s="335"/>
      <c r="L284" s="335"/>
      <c r="M284" s="376"/>
      <c r="N284" s="335"/>
      <c r="O284" s="380"/>
      <c r="P284" s="335"/>
      <c r="Q284" s="335"/>
      <c r="R284" s="335"/>
      <c r="S284" s="335"/>
      <c r="T284" s="335"/>
      <c r="U284" s="335"/>
      <c r="V284" s="335"/>
      <c r="W284" s="335"/>
      <c r="X284" s="335"/>
      <c r="Y284" s="335"/>
      <c r="Z284" s="335"/>
      <c r="AA284" s="335"/>
      <c r="AB284" s="335"/>
      <c r="AC284" s="335"/>
      <c r="AD284" s="335"/>
      <c r="AE284" s="335"/>
      <c r="AF284" s="335"/>
      <c r="AG284" s="335"/>
      <c r="AH284" s="335"/>
      <c r="AI284" s="335"/>
      <c r="AJ284" s="335"/>
      <c r="AK284" s="335"/>
      <c r="AL284" s="335"/>
      <c r="AM284" s="335"/>
      <c r="AN284" s="335"/>
      <c r="AO284" s="335"/>
      <c r="AP284" s="335"/>
      <c r="AQ284" s="335"/>
      <c r="AR284" s="335"/>
      <c r="AS284" s="335"/>
      <c r="AT284" s="335"/>
      <c r="AU284" s="335"/>
      <c r="AV284" s="335"/>
      <c r="AW284" s="335"/>
      <c r="AX284" s="335"/>
      <c r="AY284" s="335"/>
      <c r="AZ284" s="335"/>
      <c r="BA284" s="335"/>
      <c r="BB284" s="335"/>
      <c r="BC284" s="335"/>
      <c r="BD284" s="335"/>
      <c r="BE284" s="335"/>
      <c r="BF284" s="335"/>
      <c r="BG284" s="335"/>
      <c r="BH284" s="335"/>
      <c r="BI284" s="335"/>
      <c r="BJ284" s="335"/>
      <c r="BK284" s="335"/>
      <c r="BL284" s="335"/>
      <c r="BM284" s="335"/>
      <c r="BN284" s="335"/>
      <c r="BO284" s="335"/>
      <c r="BP284" s="335"/>
      <c r="BQ284" s="335"/>
      <c r="BR284" s="335"/>
      <c r="BS284" s="335"/>
      <c r="BT284" s="335"/>
      <c r="BU284" s="335"/>
      <c r="BV284" s="335"/>
      <c r="BW284" s="335"/>
      <c r="BX284" s="335"/>
      <c r="BY284" s="335"/>
      <c r="BZ284" s="335"/>
      <c r="CA284" s="335"/>
      <c r="CB284" s="335"/>
      <c r="CC284" s="335"/>
      <c r="CD284" s="335"/>
      <c r="CE284" s="335"/>
      <c r="CF284" s="335"/>
      <c r="CG284" s="335"/>
      <c r="CH284" s="335"/>
      <c r="CI284" s="335"/>
      <c r="CJ284" s="335"/>
      <c r="CK284" s="335"/>
      <c r="CL284" s="335"/>
      <c r="CM284" s="335"/>
      <c r="CN284" s="335"/>
      <c r="CO284" s="335"/>
      <c r="CP284" s="335"/>
      <c r="CQ284" s="335"/>
      <c r="CR284" s="335"/>
      <c r="CS284" s="335"/>
      <c r="CT284" s="335"/>
      <c r="CU284" s="335"/>
      <c r="CV284" s="335"/>
      <c r="CW284" s="335"/>
      <c r="CX284" s="335"/>
      <c r="CY284" s="335"/>
      <c r="CZ284" s="335"/>
      <c r="DA284" s="335"/>
      <c r="DB284" s="335"/>
      <c r="DC284" s="335"/>
      <c r="DD284" s="335"/>
      <c r="DE284" s="335"/>
      <c r="DF284" s="335"/>
      <c r="DG284" s="335"/>
      <c r="DH284" s="335"/>
      <c r="DI284" s="335"/>
      <c r="DJ284" s="335"/>
      <c r="DK284" s="335"/>
      <c r="DL284" s="335"/>
      <c r="DM284" s="335"/>
      <c r="DN284" s="335"/>
      <c r="DO284" s="335"/>
      <c r="DP284" s="335"/>
      <c r="DQ284" s="335"/>
      <c r="DR284" s="335"/>
      <c r="DS284" s="335"/>
      <c r="DT284" s="335"/>
      <c r="DU284" s="335"/>
      <c r="DV284" s="335"/>
      <c r="DW284" s="335"/>
      <c r="DX284" s="335"/>
      <c r="DY284" s="335"/>
      <c r="DZ284" s="335"/>
      <c r="EA284" s="335"/>
      <c r="EB284" s="335"/>
      <c r="EC284" s="335"/>
      <c r="ED284" s="335"/>
      <c r="EE284" s="335"/>
      <c r="EF284" s="335"/>
      <c r="EG284" s="335"/>
      <c r="EH284" s="335"/>
      <c r="EI284" s="335"/>
      <c r="EJ284" s="335"/>
      <c r="EK284" s="335"/>
      <c r="EL284" s="335"/>
      <c r="EM284" s="335"/>
      <c r="EN284" s="335"/>
      <c r="EO284" s="335"/>
      <c r="EP284" s="335"/>
      <c r="EQ284" s="335"/>
      <c r="ER284" s="335"/>
      <c r="ES284" s="335"/>
      <c r="ET284" s="335"/>
      <c r="EU284" s="335"/>
      <c r="EV284" s="335"/>
      <c r="EW284" s="335"/>
      <c r="EX284" s="335"/>
      <c r="EY284" s="335"/>
      <c r="EZ284" s="335"/>
      <c r="FA284" s="335"/>
      <c r="FB284" s="335"/>
      <c r="FC284" s="335"/>
      <c r="FD284" s="335"/>
      <c r="FE284" s="335"/>
      <c r="FF284" s="335"/>
      <c r="FG284" s="335"/>
      <c r="FH284" s="335"/>
      <c r="FI284" s="335"/>
      <c r="FJ284" s="335"/>
      <c r="FK284" s="335"/>
      <c r="FL284" s="335"/>
      <c r="FM284" s="335"/>
      <c r="FN284" s="335"/>
      <c r="FO284" s="335"/>
      <c r="FP284" s="335"/>
      <c r="FQ284" s="335"/>
      <c r="FR284" s="335"/>
      <c r="FS284" s="335"/>
      <c r="FT284" s="335"/>
      <c r="FU284" s="335"/>
      <c r="FV284" s="335"/>
      <c r="FW284" s="335"/>
      <c r="FX284" s="335"/>
      <c r="FY284" s="335"/>
      <c r="FZ284" s="335"/>
      <c r="GA284" s="335"/>
      <c r="GB284" s="335"/>
      <c r="GC284" s="335"/>
      <c r="GD284" s="335"/>
      <c r="GE284" s="335"/>
      <c r="GF284" s="335"/>
      <c r="GG284" s="335"/>
      <c r="GH284" s="335"/>
      <c r="GI284" s="335"/>
      <c r="GJ284" s="335"/>
      <c r="GK284" s="335"/>
      <c r="GL284" s="335"/>
      <c r="GM284" s="335"/>
      <c r="GN284" s="335"/>
      <c r="GO284" s="335"/>
      <c r="GP284" s="335"/>
      <c r="GQ284" s="335"/>
      <c r="GR284" s="335"/>
      <c r="GS284" s="335"/>
      <c r="GT284" s="335"/>
      <c r="GU284" s="335"/>
      <c r="GV284" s="335"/>
      <c r="GW284" s="335"/>
      <c r="GX284" s="335"/>
      <c r="GY284" s="335"/>
      <c r="GZ284" s="335"/>
    </row>
    <row r="285" spans="1:208" ht="15">
      <c r="A285" s="379"/>
      <c r="B285" s="335"/>
      <c r="C285" s="335"/>
      <c r="D285" s="335"/>
      <c r="E285" s="335"/>
      <c r="F285" s="335"/>
      <c r="G285" s="335"/>
      <c r="H285" s="335"/>
      <c r="I285" s="335"/>
      <c r="J285" s="335"/>
      <c r="K285" s="335"/>
      <c r="L285" s="335"/>
      <c r="M285" s="376"/>
      <c r="N285" s="335"/>
      <c r="O285" s="380"/>
      <c r="P285" s="335"/>
      <c r="Q285" s="335"/>
      <c r="R285" s="335"/>
      <c r="S285" s="335"/>
      <c r="T285" s="335"/>
      <c r="U285" s="335"/>
      <c r="V285" s="335"/>
      <c r="W285" s="335"/>
      <c r="X285" s="335"/>
      <c r="Y285" s="335"/>
      <c r="Z285" s="335"/>
      <c r="AA285" s="335"/>
      <c r="AB285" s="335"/>
      <c r="AC285" s="335"/>
      <c r="AD285" s="335"/>
      <c r="AE285" s="335"/>
      <c r="AF285" s="335"/>
      <c r="AG285" s="335"/>
      <c r="AH285" s="335"/>
      <c r="AI285" s="335"/>
      <c r="AJ285" s="335"/>
      <c r="AK285" s="335"/>
      <c r="AL285" s="335"/>
      <c r="AM285" s="335"/>
      <c r="AN285" s="335"/>
      <c r="AO285" s="335"/>
      <c r="AP285" s="335"/>
      <c r="AQ285" s="335"/>
      <c r="AR285" s="335"/>
      <c r="AS285" s="335"/>
      <c r="AT285" s="335"/>
      <c r="AU285" s="335"/>
      <c r="AV285" s="335"/>
      <c r="AW285" s="335"/>
      <c r="AX285" s="335"/>
      <c r="AY285" s="335"/>
      <c r="AZ285" s="335"/>
      <c r="BA285" s="335"/>
      <c r="BB285" s="335"/>
      <c r="BC285" s="335"/>
      <c r="BD285" s="335"/>
      <c r="BE285" s="335"/>
      <c r="BF285" s="335"/>
      <c r="BG285" s="335"/>
      <c r="BH285" s="335"/>
      <c r="BI285" s="335"/>
      <c r="BJ285" s="335"/>
      <c r="BK285" s="335"/>
      <c r="BL285" s="335"/>
      <c r="BM285" s="335"/>
      <c r="BN285" s="335"/>
      <c r="BO285" s="335"/>
      <c r="BP285" s="335"/>
      <c r="BQ285" s="335"/>
      <c r="BR285" s="335"/>
      <c r="BS285" s="335"/>
      <c r="BT285" s="335"/>
      <c r="BU285" s="335"/>
      <c r="BV285" s="335"/>
      <c r="BW285" s="335"/>
      <c r="BX285" s="335"/>
      <c r="BY285" s="335"/>
      <c r="BZ285" s="335"/>
      <c r="CA285" s="335"/>
      <c r="CB285" s="335"/>
      <c r="CC285" s="335"/>
      <c r="CD285" s="335"/>
      <c r="CE285" s="335"/>
      <c r="CF285" s="335"/>
      <c r="CG285" s="335"/>
      <c r="CH285" s="335"/>
      <c r="CI285" s="335"/>
      <c r="CJ285" s="335"/>
      <c r="CK285" s="335"/>
      <c r="CL285" s="335"/>
      <c r="CM285" s="335"/>
      <c r="CN285" s="335"/>
      <c r="CO285" s="335"/>
      <c r="CP285" s="335"/>
      <c r="CQ285" s="335"/>
      <c r="CR285" s="335"/>
      <c r="CS285" s="335"/>
      <c r="CT285" s="335"/>
      <c r="CU285" s="335"/>
      <c r="CV285" s="335"/>
      <c r="CW285" s="335"/>
      <c r="CX285" s="335"/>
      <c r="CY285" s="335"/>
      <c r="CZ285" s="335"/>
      <c r="DA285" s="335"/>
      <c r="DB285" s="335"/>
      <c r="DC285" s="335"/>
      <c r="DD285" s="335"/>
      <c r="DE285" s="335"/>
      <c r="DF285" s="335"/>
      <c r="DG285" s="335"/>
      <c r="DH285" s="335"/>
      <c r="DI285" s="335"/>
      <c r="DJ285" s="335"/>
      <c r="DK285" s="335"/>
      <c r="DL285" s="335"/>
      <c r="DM285" s="335"/>
      <c r="DN285" s="335"/>
      <c r="DO285" s="335"/>
      <c r="DP285" s="335"/>
      <c r="DQ285" s="335"/>
      <c r="DR285" s="335"/>
      <c r="DS285" s="335"/>
      <c r="DT285" s="335"/>
      <c r="DU285" s="335"/>
      <c r="DV285" s="335"/>
      <c r="DW285" s="335"/>
      <c r="DX285" s="335"/>
      <c r="DY285" s="335"/>
      <c r="DZ285" s="335"/>
      <c r="EA285" s="335"/>
      <c r="EB285" s="335"/>
      <c r="EC285" s="335"/>
      <c r="ED285" s="335"/>
      <c r="EE285" s="335"/>
      <c r="EF285" s="335"/>
      <c r="EG285" s="335"/>
      <c r="EH285" s="335"/>
      <c r="EI285" s="335"/>
      <c r="EJ285" s="335"/>
      <c r="EK285" s="335"/>
      <c r="EL285" s="335"/>
      <c r="EM285" s="335"/>
      <c r="EN285" s="335"/>
      <c r="EO285" s="335"/>
      <c r="EP285" s="335"/>
      <c r="EQ285" s="335"/>
      <c r="ER285" s="335"/>
      <c r="ES285" s="335"/>
      <c r="ET285" s="335"/>
      <c r="EU285" s="335"/>
      <c r="EV285" s="335"/>
      <c r="EW285" s="335"/>
      <c r="EX285" s="335"/>
      <c r="EY285" s="335"/>
      <c r="EZ285" s="335"/>
      <c r="FA285" s="335"/>
      <c r="FB285" s="335"/>
      <c r="FC285" s="335"/>
      <c r="FD285" s="335"/>
      <c r="FE285" s="335"/>
      <c r="FF285" s="335"/>
      <c r="FG285" s="335"/>
      <c r="FH285" s="335"/>
      <c r="FI285" s="335"/>
      <c r="FJ285" s="335"/>
      <c r="FK285" s="335"/>
      <c r="FL285" s="335"/>
      <c r="FM285" s="335"/>
      <c r="FN285" s="335"/>
      <c r="FO285" s="335"/>
      <c r="FP285" s="335"/>
      <c r="FQ285" s="335"/>
      <c r="FR285" s="335"/>
      <c r="FS285" s="335"/>
      <c r="FT285" s="335"/>
      <c r="FU285" s="335"/>
      <c r="FV285" s="335"/>
      <c r="FW285" s="335"/>
      <c r="FX285" s="335"/>
      <c r="FY285" s="335"/>
      <c r="FZ285" s="335"/>
      <c r="GA285" s="335"/>
      <c r="GB285" s="335"/>
      <c r="GC285" s="335"/>
      <c r="GD285" s="335"/>
      <c r="GE285" s="335"/>
      <c r="GF285" s="335"/>
      <c r="GG285" s="335"/>
      <c r="GH285" s="335"/>
      <c r="GI285" s="335"/>
      <c r="GJ285" s="335"/>
      <c r="GK285" s="335"/>
      <c r="GL285" s="335"/>
      <c r="GM285" s="335"/>
      <c r="GN285" s="335"/>
      <c r="GO285" s="335"/>
      <c r="GP285" s="335"/>
      <c r="GQ285" s="335"/>
      <c r="GR285" s="335"/>
      <c r="GS285" s="335"/>
      <c r="GT285" s="335"/>
      <c r="GU285" s="335"/>
      <c r="GV285" s="335"/>
      <c r="GW285" s="335"/>
      <c r="GX285" s="335"/>
      <c r="GY285" s="335"/>
      <c r="GZ285" s="335"/>
    </row>
    <row r="286" spans="1:208" ht="15">
      <c r="A286" s="379"/>
      <c r="B286" s="335"/>
      <c r="C286" s="335"/>
      <c r="D286" s="335"/>
      <c r="E286" s="335"/>
      <c r="F286" s="335"/>
      <c r="G286" s="335"/>
      <c r="H286" s="335"/>
      <c r="I286" s="335"/>
      <c r="J286" s="335"/>
      <c r="K286" s="335"/>
      <c r="L286" s="335"/>
      <c r="M286" s="376"/>
      <c r="N286" s="335"/>
      <c r="O286" s="380"/>
      <c r="P286" s="335"/>
      <c r="Q286" s="335"/>
      <c r="R286" s="335"/>
      <c r="S286" s="335"/>
      <c r="T286" s="335"/>
      <c r="U286" s="335"/>
      <c r="V286" s="335"/>
      <c r="W286" s="335"/>
      <c r="X286" s="335"/>
      <c r="Y286" s="335"/>
      <c r="Z286" s="335"/>
      <c r="AA286" s="335"/>
      <c r="AB286" s="335"/>
      <c r="AC286" s="335"/>
      <c r="AD286" s="335"/>
      <c r="AE286" s="335"/>
      <c r="AF286" s="335"/>
      <c r="AG286" s="335"/>
      <c r="AH286" s="335"/>
      <c r="AI286" s="335"/>
      <c r="AJ286" s="335"/>
      <c r="AK286" s="335"/>
      <c r="AL286" s="335"/>
      <c r="AM286" s="335"/>
      <c r="AN286" s="335"/>
      <c r="AO286" s="335"/>
      <c r="AP286" s="335"/>
      <c r="AQ286" s="335"/>
      <c r="AR286" s="335"/>
      <c r="AS286" s="335"/>
      <c r="AT286" s="335"/>
      <c r="AU286" s="335"/>
      <c r="AV286" s="335"/>
      <c r="AW286" s="335"/>
      <c r="AX286" s="335"/>
      <c r="AY286" s="335"/>
      <c r="AZ286" s="335"/>
      <c r="BA286" s="335"/>
      <c r="BB286" s="335"/>
      <c r="BC286" s="335"/>
      <c r="BD286" s="335"/>
      <c r="BE286" s="335"/>
      <c r="BF286" s="335"/>
      <c r="BG286" s="335"/>
      <c r="BH286" s="335"/>
      <c r="BI286" s="335"/>
      <c r="BJ286" s="335"/>
      <c r="BK286" s="335"/>
      <c r="BL286" s="335"/>
      <c r="BM286" s="335"/>
      <c r="BN286" s="335"/>
      <c r="BO286" s="335"/>
      <c r="BP286" s="335"/>
      <c r="BQ286" s="335"/>
      <c r="BR286" s="335"/>
      <c r="BS286" s="335"/>
      <c r="BT286" s="335"/>
      <c r="BU286" s="335"/>
      <c r="BV286" s="335"/>
      <c r="BW286" s="335"/>
      <c r="BX286" s="335"/>
      <c r="BY286" s="335"/>
      <c r="BZ286" s="335"/>
      <c r="CA286" s="335"/>
      <c r="CB286" s="335"/>
      <c r="CC286" s="335"/>
      <c r="CD286" s="335"/>
      <c r="CE286" s="335"/>
      <c r="CF286" s="335"/>
      <c r="CG286" s="335"/>
      <c r="CH286" s="335"/>
      <c r="CI286" s="335"/>
      <c r="CJ286" s="335"/>
      <c r="CK286" s="335"/>
      <c r="CL286" s="335"/>
      <c r="CM286" s="335"/>
      <c r="CN286" s="335"/>
      <c r="CO286" s="335"/>
      <c r="CP286" s="335"/>
      <c r="CQ286" s="335"/>
      <c r="CR286" s="335"/>
      <c r="CS286" s="335"/>
      <c r="CT286" s="335"/>
      <c r="CU286" s="335"/>
      <c r="CV286" s="335"/>
      <c r="CW286" s="335"/>
      <c r="CX286" s="335"/>
      <c r="CY286" s="335"/>
      <c r="CZ286" s="335"/>
      <c r="DA286" s="335"/>
      <c r="DB286" s="335"/>
      <c r="DC286" s="335"/>
      <c r="DD286" s="335"/>
      <c r="DE286" s="335"/>
      <c r="DF286" s="335"/>
      <c r="DG286" s="335"/>
      <c r="DH286" s="335"/>
      <c r="DI286" s="335"/>
      <c r="DJ286" s="335"/>
      <c r="DK286" s="335"/>
      <c r="DL286" s="335"/>
      <c r="DM286" s="335"/>
      <c r="DN286" s="335"/>
      <c r="DO286" s="335"/>
      <c r="DP286" s="335"/>
      <c r="DQ286" s="335"/>
      <c r="DR286" s="335"/>
      <c r="DS286" s="335"/>
      <c r="DT286" s="335"/>
      <c r="DU286" s="335"/>
      <c r="DV286" s="335"/>
      <c r="DW286" s="335"/>
      <c r="DX286" s="335"/>
      <c r="DY286" s="335"/>
      <c r="DZ286" s="335"/>
      <c r="EA286" s="335"/>
      <c r="EB286" s="335"/>
      <c r="EC286" s="335"/>
      <c r="ED286" s="335"/>
      <c r="EE286" s="335"/>
      <c r="EF286" s="335"/>
      <c r="EG286" s="335"/>
      <c r="EH286" s="335"/>
      <c r="EI286" s="335"/>
      <c r="EJ286" s="335"/>
      <c r="EK286" s="335"/>
      <c r="EL286" s="335"/>
      <c r="EM286" s="335"/>
      <c r="EN286" s="335"/>
      <c r="EO286" s="335"/>
      <c r="EP286" s="335"/>
      <c r="EQ286" s="335"/>
      <c r="ER286" s="335"/>
      <c r="ES286" s="335"/>
      <c r="ET286" s="335"/>
      <c r="EU286" s="335"/>
      <c r="EV286" s="335"/>
      <c r="EW286" s="335"/>
      <c r="EX286" s="335"/>
      <c r="EY286" s="335"/>
      <c r="EZ286" s="335"/>
      <c r="FA286" s="335"/>
      <c r="FB286" s="335"/>
      <c r="FC286" s="335"/>
      <c r="FD286" s="335"/>
      <c r="FE286" s="335"/>
      <c r="FF286" s="335"/>
      <c r="FG286" s="335"/>
      <c r="FH286" s="335"/>
      <c r="FI286" s="335"/>
      <c r="FJ286" s="335"/>
      <c r="FK286" s="335"/>
      <c r="FL286" s="335"/>
      <c r="FM286" s="335"/>
      <c r="FN286" s="335"/>
      <c r="FO286" s="335"/>
      <c r="FP286" s="335"/>
      <c r="FQ286" s="335"/>
      <c r="FR286" s="335"/>
      <c r="FS286" s="335"/>
      <c r="FT286" s="335"/>
      <c r="FU286" s="335"/>
      <c r="FV286" s="335"/>
      <c r="FW286" s="335"/>
      <c r="FX286" s="335"/>
      <c r="FY286" s="335"/>
      <c r="FZ286" s="335"/>
      <c r="GA286" s="335"/>
      <c r="GB286" s="335"/>
      <c r="GC286" s="335"/>
      <c r="GD286" s="335"/>
      <c r="GE286" s="335"/>
      <c r="GF286" s="335"/>
      <c r="GG286" s="335"/>
      <c r="GH286" s="335"/>
      <c r="GI286" s="335"/>
      <c r="GJ286" s="335"/>
      <c r="GK286" s="335"/>
      <c r="GL286" s="335"/>
      <c r="GM286" s="335"/>
      <c r="GN286" s="335"/>
      <c r="GO286" s="335"/>
      <c r="GP286" s="335"/>
      <c r="GQ286" s="335"/>
      <c r="GR286" s="335"/>
      <c r="GS286" s="335"/>
      <c r="GT286" s="335"/>
      <c r="GU286" s="335"/>
      <c r="GV286" s="335"/>
      <c r="GW286" s="335"/>
      <c r="GX286" s="335"/>
      <c r="GY286" s="335"/>
      <c r="GZ286" s="335"/>
    </row>
    <row r="287" spans="1:208" ht="15">
      <c r="A287" s="379"/>
      <c r="B287" s="335"/>
      <c r="C287" s="335"/>
      <c r="D287" s="335"/>
      <c r="E287" s="335"/>
      <c r="F287" s="335"/>
      <c r="G287" s="335"/>
      <c r="H287" s="335"/>
      <c r="I287" s="335"/>
      <c r="J287" s="335"/>
      <c r="K287" s="335"/>
      <c r="L287" s="335"/>
      <c r="M287" s="376"/>
      <c r="N287" s="335"/>
      <c r="O287" s="380"/>
      <c r="P287" s="335"/>
      <c r="Q287" s="335"/>
      <c r="R287" s="335"/>
      <c r="S287" s="335"/>
      <c r="T287" s="335"/>
      <c r="U287" s="335"/>
      <c r="V287" s="335"/>
      <c r="W287" s="335"/>
      <c r="X287" s="335"/>
      <c r="Y287" s="335"/>
      <c r="Z287" s="335"/>
      <c r="AA287" s="335"/>
      <c r="AB287" s="335"/>
      <c r="AC287" s="335"/>
      <c r="AD287" s="335"/>
      <c r="AE287" s="335"/>
      <c r="AF287" s="335"/>
      <c r="AG287" s="335"/>
      <c r="AH287" s="335"/>
      <c r="AI287" s="335"/>
      <c r="AJ287" s="335"/>
      <c r="AK287" s="335"/>
      <c r="AL287" s="335"/>
      <c r="AM287" s="335"/>
      <c r="AN287" s="335"/>
      <c r="AO287" s="335"/>
      <c r="AP287" s="335"/>
      <c r="AQ287" s="335"/>
      <c r="AR287" s="335"/>
      <c r="AS287" s="335"/>
      <c r="AT287" s="335"/>
      <c r="AU287" s="335"/>
      <c r="AV287" s="335"/>
      <c r="AW287" s="335"/>
      <c r="AX287" s="335"/>
      <c r="AY287" s="335"/>
      <c r="AZ287" s="335"/>
      <c r="BA287" s="335"/>
      <c r="BB287" s="335"/>
      <c r="BC287" s="335"/>
      <c r="BD287" s="335"/>
      <c r="BE287" s="335"/>
      <c r="BF287" s="335"/>
      <c r="BG287" s="335"/>
      <c r="BH287" s="335"/>
      <c r="BI287" s="335"/>
      <c r="BJ287" s="335"/>
      <c r="BK287" s="335"/>
      <c r="BL287" s="335"/>
      <c r="BM287" s="335"/>
      <c r="BN287" s="335"/>
      <c r="BO287" s="335"/>
      <c r="BP287" s="335"/>
      <c r="BQ287" s="335"/>
      <c r="BR287" s="335"/>
      <c r="BS287" s="335"/>
      <c r="BT287" s="335"/>
      <c r="BU287" s="335"/>
      <c r="BV287" s="335"/>
      <c r="BW287" s="335"/>
      <c r="BX287" s="335"/>
      <c r="BY287" s="335"/>
      <c r="BZ287" s="335"/>
      <c r="CA287" s="335"/>
      <c r="CB287" s="335"/>
      <c r="CC287" s="335"/>
      <c r="CD287" s="335"/>
      <c r="CE287" s="335"/>
      <c r="CF287" s="335"/>
      <c r="CG287" s="335"/>
      <c r="CH287" s="335"/>
      <c r="CI287" s="335"/>
      <c r="CJ287" s="335"/>
      <c r="CK287" s="335"/>
      <c r="CL287" s="335"/>
      <c r="CM287" s="335"/>
      <c r="CN287" s="335"/>
      <c r="CO287" s="335"/>
      <c r="CP287" s="335"/>
      <c r="CQ287" s="335"/>
      <c r="CR287" s="335"/>
      <c r="CS287" s="335"/>
      <c r="CT287" s="335"/>
      <c r="CU287" s="335"/>
      <c r="CV287" s="335"/>
      <c r="CW287" s="335"/>
      <c r="CX287" s="335"/>
      <c r="CY287" s="335"/>
      <c r="CZ287" s="335"/>
      <c r="DA287" s="335"/>
      <c r="DB287" s="335"/>
      <c r="DC287" s="335"/>
      <c r="DD287" s="335"/>
      <c r="DE287" s="335"/>
      <c r="DF287" s="335"/>
      <c r="DG287" s="335"/>
      <c r="DH287" s="335"/>
      <c r="DI287" s="335"/>
      <c r="DJ287" s="335"/>
      <c r="DK287" s="335"/>
      <c r="DL287" s="335"/>
      <c r="DM287" s="335"/>
      <c r="DN287" s="335"/>
      <c r="DO287" s="335"/>
      <c r="DP287" s="335"/>
      <c r="DQ287" s="335"/>
      <c r="DR287" s="335"/>
      <c r="DS287" s="335"/>
      <c r="DT287" s="335"/>
      <c r="DU287" s="335"/>
      <c r="DV287" s="335"/>
      <c r="DW287" s="335"/>
      <c r="DX287" s="335"/>
      <c r="DY287" s="335"/>
      <c r="DZ287" s="335"/>
      <c r="EA287" s="335"/>
      <c r="EB287" s="335"/>
      <c r="EC287" s="335"/>
      <c r="ED287" s="335"/>
      <c r="EE287" s="335"/>
      <c r="EF287" s="335"/>
      <c r="EG287" s="335"/>
      <c r="EH287" s="335"/>
      <c r="EI287" s="335"/>
      <c r="EJ287" s="335"/>
      <c r="EK287" s="335"/>
      <c r="EL287" s="335"/>
      <c r="EM287" s="335"/>
      <c r="EN287" s="335"/>
      <c r="EO287" s="335"/>
      <c r="EP287" s="335"/>
      <c r="EQ287" s="335"/>
      <c r="ER287" s="335"/>
      <c r="ES287" s="335"/>
      <c r="ET287" s="335"/>
      <c r="EU287" s="335"/>
      <c r="EV287" s="335"/>
      <c r="EW287" s="335"/>
      <c r="EX287" s="335"/>
      <c r="EY287" s="335"/>
      <c r="EZ287" s="335"/>
      <c r="FA287" s="335"/>
      <c r="FB287" s="335"/>
      <c r="FC287" s="335"/>
      <c r="FD287" s="335"/>
      <c r="FE287" s="335"/>
      <c r="FF287" s="335"/>
      <c r="FG287" s="335"/>
      <c r="FH287" s="335"/>
      <c r="FI287" s="335"/>
      <c r="FJ287" s="335"/>
      <c r="FK287" s="335"/>
      <c r="FL287" s="335"/>
      <c r="FM287" s="335"/>
      <c r="FN287" s="335"/>
      <c r="FO287" s="335"/>
      <c r="FP287" s="335"/>
      <c r="FQ287" s="335"/>
      <c r="FR287" s="335"/>
      <c r="FS287" s="335"/>
      <c r="FT287" s="335"/>
      <c r="FU287" s="335"/>
      <c r="FV287" s="335"/>
      <c r="FW287" s="335"/>
      <c r="FX287" s="335"/>
      <c r="FY287" s="335"/>
      <c r="FZ287" s="335"/>
      <c r="GA287" s="335"/>
      <c r="GB287" s="335"/>
      <c r="GC287" s="335"/>
      <c r="GD287" s="335"/>
      <c r="GE287" s="335"/>
      <c r="GF287" s="335"/>
      <c r="GG287" s="335"/>
      <c r="GH287" s="335"/>
      <c r="GI287" s="335"/>
      <c r="GJ287" s="335"/>
      <c r="GK287" s="335"/>
      <c r="GL287" s="335"/>
      <c r="GM287" s="335"/>
      <c r="GN287" s="335"/>
      <c r="GO287" s="335"/>
      <c r="GP287" s="335"/>
      <c r="GQ287" s="335"/>
      <c r="GR287" s="335"/>
      <c r="GS287" s="335"/>
      <c r="GT287" s="335"/>
      <c r="GU287" s="335"/>
      <c r="GV287" s="335"/>
      <c r="GW287" s="335"/>
      <c r="GX287" s="335"/>
      <c r="GY287" s="335"/>
      <c r="GZ287" s="335"/>
    </row>
    <row r="288" spans="1:208" ht="15">
      <c r="A288" s="379"/>
      <c r="B288" s="335"/>
      <c r="C288" s="335"/>
      <c r="D288" s="335"/>
      <c r="E288" s="335"/>
      <c r="F288" s="335"/>
      <c r="G288" s="335"/>
      <c r="H288" s="335"/>
      <c r="I288" s="335"/>
      <c r="J288" s="335"/>
      <c r="K288" s="335"/>
      <c r="L288" s="335"/>
      <c r="M288" s="376"/>
      <c r="N288" s="335"/>
      <c r="O288" s="380"/>
      <c r="P288" s="335"/>
      <c r="Q288" s="335"/>
      <c r="R288" s="335"/>
      <c r="S288" s="335"/>
      <c r="T288" s="335"/>
      <c r="U288" s="335"/>
      <c r="V288" s="335"/>
      <c r="W288" s="335"/>
      <c r="X288" s="335"/>
      <c r="Y288" s="335"/>
      <c r="Z288" s="335"/>
      <c r="AA288" s="335"/>
      <c r="AB288" s="335"/>
      <c r="AC288" s="335"/>
      <c r="AD288" s="335"/>
      <c r="AE288" s="335"/>
      <c r="AF288" s="335"/>
      <c r="AG288" s="335"/>
      <c r="AH288" s="335"/>
      <c r="AI288" s="335"/>
      <c r="AJ288" s="335"/>
      <c r="AK288" s="335"/>
      <c r="AL288" s="335"/>
      <c r="AM288" s="335"/>
      <c r="AN288" s="335"/>
      <c r="AO288" s="335"/>
      <c r="AP288" s="335"/>
      <c r="AQ288" s="335"/>
      <c r="AR288" s="335"/>
      <c r="AS288" s="335"/>
      <c r="AT288" s="335"/>
      <c r="AU288" s="335"/>
      <c r="AV288" s="335"/>
      <c r="AW288" s="335"/>
      <c r="AX288" s="335"/>
      <c r="AY288" s="335"/>
      <c r="AZ288" s="335"/>
      <c r="BA288" s="335"/>
      <c r="BB288" s="335"/>
      <c r="BC288" s="335"/>
      <c r="BD288" s="335"/>
      <c r="BE288" s="335"/>
      <c r="BF288" s="335"/>
      <c r="BG288" s="335"/>
      <c r="BH288" s="335"/>
      <c r="BI288" s="335"/>
      <c r="BJ288" s="335"/>
      <c r="BK288" s="335"/>
      <c r="BL288" s="335"/>
      <c r="BM288" s="335"/>
      <c r="BN288" s="335"/>
      <c r="BO288" s="335"/>
      <c r="BP288" s="335"/>
      <c r="BQ288" s="335"/>
      <c r="BR288" s="335"/>
      <c r="BS288" s="335"/>
      <c r="BT288" s="335"/>
      <c r="BU288" s="335"/>
      <c r="BV288" s="335"/>
      <c r="BW288" s="335"/>
      <c r="BX288" s="335"/>
      <c r="BY288" s="335"/>
      <c r="BZ288" s="335"/>
      <c r="CA288" s="335"/>
      <c r="CB288" s="335"/>
      <c r="CC288" s="335"/>
      <c r="CD288" s="335"/>
      <c r="CE288" s="335"/>
      <c r="CF288" s="335"/>
      <c r="CG288" s="335"/>
      <c r="CH288" s="335"/>
      <c r="CI288" s="335"/>
      <c r="CJ288" s="335"/>
      <c r="CK288" s="335"/>
      <c r="CL288" s="335"/>
      <c r="CM288" s="335"/>
      <c r="CN288" s="335"/>
      <c r="CO288" s="335"/>
      <c r="CP288" s="335"/>
      <c r="CQ288" s="335"/>
      <c r="CR288" s="335"/>
      <c r="CS288" s="335"/>
      <c r="CT288" s="335"/>
      <c r="CU288" s="335"/>
      <c r="CV288" s="335"/>
      <c r="CW288" s="335"/>
      <c r="CX288" s="335"/>
      <c r="CY288" s="335"/>
      <c r="CZ288" s="335"/>
      <c r="DA288" s="335"/>
      <c r="DB288" s="335"/>
      <c r="DC288" s="335"/>
      <c r="DD288" s="335"/>
      <c r="DE288" s="335"/>
      <c r="DF288" s="335"/>
      <c r="DG288" s="335"/>
      <c r="DH288" s="335"/>
      <c r="DI288" s="335"/>
      <c r="DJ288" s="335"/>
      <c r="DK288" s="335"/>
      <c r="DL288" s="335"/>
      <c r="DM288" s="335"/>
      <c r="DN288" s="335"/>
      <c r="DO288" s="335"/>
      <c r="DP288" s="335"/>
      <c r="DQ288" s="335"/>
      <c r="DR288" s="335"/>
      <c r="DS288" s="335"/>
      <c r="DT288" s="335"/>
      <c r="DU288" s="335"/>
      <c r="DV288" s="335"/>
      <c r="DW288" s="335"/>
      <c r="DX288" s="335"/>
      <c r="DY288" s="335"/>
      <c r="DZ288" s="335"/>
      <c r="EA288" s="335"/>
      <c r="EB288" s="335"/>
      <c r="EC288" s="335"/>
      <c r="ED288" s="335"/>
      <c r="EE288" s="335"/>
      <c r="EF288" s="335"/>
      <c r="EG288" s="335"/>
      <c r="EH288" s="335"/>
      <c r="EI288" s="335"/>
      <c r="EJ288" s="335"/>
      <c r="EK288" s="335"/>
      <c r="EL288" s="335"/>
      <c r="EM288" s="335"/>
      <c r="EN288" s="335"/>
      <c r="EO288" s="335"/>
      <c r="EP288" s="335"/>
      <c r="EQ288" s="335"/>
      <c r="ER288" s="335"/>
      <c r="ES288" s="335"/>
      <c r="ET288" s="335"/>
      <c r="EU288" s="335"/>
      <c r="EV288" s="335"/>
      <c r="EW288" s="335"/>
      <c r="EX288" s="335"/>
      <c r="EY288" s="335"/>
      <c r="EZ288" s="335"/>
      <c r="FA288" s="335"/>
      <c r="FB288" s="335"/>
      <c r="FC288" s="335"/>
      <c r="FD288" s="335"/>
      <c r="FE288" s="335"/>
      <c r="FF288" s="335"/>
      <c r="FG288" s="335"/>
      <c r="FH288" s="335"/>
      <c r="FI288" s="335"/>
      <c r="FJ288" s="335"/>
      <c r="FK288" s="335"/>
      <c r="FL288" s="335"/>
      <c r="FM288" s="335"/>
      <c r="FN288" s="335"/>
      <c r="FO288" s="335"/>
      <c r="FP288" s="335"/>
      <c r="FQ288" s="335"/>
      <c r="FR288" s="335"/>
      <c r="FS288" s="335"/>
      <c r="FT288" s="335"/>
      <c r="FU288" s="335"/>
      <c r="FV288" s="335"/>
      <c r="FW288" s="335"/>
      <c r="FX288" s="335"/>
      <c r="FY288" s="335"/>
      <c r="FZ288" s="335"/>
      <c r="GA288" s="335"/>
      <c r="GB288" s="335"/>
      <c r="GC288" s="335"/>
      <c r="GD288" s="335"/>
      <c r="GE288" s="335"/>
      <c r="GF288" s="335"/>
      <c r="GG288" s="335"/>
      <c r="GH288" s="335"/>
      <c r="GI288" s="335"/>
      <c r="GJ288" s="335"/>
      <c r="GK288" s="335"/>
      <c r="GL288" s="335"/>
      <c r="GM288" s="335"/>
      <c r="GN288" s="335"/>
      <c r="GO288" s="335"/>
      <c r="GP288" s="335"/>
      <c r="GQ288" s="335"/>
      <c r="GR288" s="335"/>
      <c r="GS288" s="335"/>
      <c r="GT288" s="335"/>
      <c r="GU288" s="335"/>
      <c r="GV288" s="335"/>
      <c r="GW288" s="335"/>
      <c r="GX288" s="335"/>
      <c r="GY288" s="335"/>
      <c r="GZ288" s="335"/>
    </row>
    <row r="289" spans="1:208" ht="15">
      <c r="A289" s="379"/>
      <c r="B289" s="335"/>
      <c r="C289" s="335"/>
      <c r="D289" s="335"/>
      <c r="E289" s="335"/>
      <c r="F289" s="335"/>
      <c r="G289" s="335"/>
      <c r="H289" s="335"/>
      <c r="I289" s="335"/>
      <c r="J289" s="335"/>
      <c r="K289" s="335"/>
      <c r="L289" s="335"/>
      <c r="M289" s="376"/>
      <c r="N289" s="335"/>
      <c r="O289" s="380"/>
      <c r="P289" s="335"/>
      <c r="Q289" s="335"/>
      <c r="R289" s="335"/>
      <c r="S289" s="335"/>
      <c r="T289" s="335"/>
      <c r="U289" s="335"/>
      <c r="V289" s="335"/>
      <c r="W289" s="335"/>
      <c r="X289" s="335"/>
      <c r="Y289" s="335"/>
      <c r="Z289" s="335"/>
      <c r="AA289" s="335"/>
      <c r="AB289" s="335"/>
      <c r="AC289" s="335"/>
      <c r="AD289" s="335"/>
      <c r="AE289" s="335"/>
      <c r="AF289" s="335"/>
      <c r="AG289" s="335"/>
      <c r="AH289" s="335"/>
      <c r="AI289" s="335"/>
      <c r="AJ289" s="335"/>
      <c r="AK289" s="335"/>
      <c r="AL289" s="335"/>
      <c r="AM289" s="335"/>
      <c r="AN289" s="335"/>
      <c r="AO289" s="335"/>
      <c r="AP289" s="335"/>
      <c r="AQ289" s="335"/>
      <c r="AR289" s="335"/>
      <c r="AS289" s="335"/>
      <c r="AT289" s="335"/>
      <c r="AU289" s="335"/>
      <c r="AV289" s="335"/>
      <c r="AW289" s="335"/>
      <c r="AX289" s="335"/>
      <c r="AY289" s="335"/>
      <c r="AZ289" s="335"/>
      <c r="BA289" s="335"/>
      <c r="BB289" s="335"/>
      <c r="BC289" s="335"/>
      <c r="BD289" s="335"/>
      <c r="BE289" s="335"/>
      <c r="BF289" s="335"/>
      <c r="BG289" s="335"/>
      <c r="BH289" s="335"/>
      <c r="BI289" s="335"/>
      <c r="BJ289" s="335"/>
      <c r="BK289" s="335"/>
      <c r="BL289" s="335"/>
      <c r="BM289" s="335"/>
      <c r="BN289" s="335"/>
      <c r="BO289" s="335"/>
      <c r="BP289" s="335"/>
      <c r="BQ289" s="335"/>
      <c r="BR289" s="335"/>
      <c r="BS289" s="335"/>
      <c r="BT289" s="335"/>
      <c r="BU289" s="335"/>
      <c r="BV289" s="335"/>
      <c r="BW289" s="335"/>
      <c r="BX289" s="335"/>
      <c r="BY289" s="335"/>
      <c r="BZ289" s="335"/>
      <c r="CA289" s="335"/>
      <c r="CB289" s="335"/>
      <c r="CC289" s="335"/>
      <c r="CD289" s="335"/>
      <c r="CE289" s="335"/>
      <c r="CF289" s="335"/>
      <c r="CG289" s="335"/>
      <c r="CH289" s="335"/>
      <c r="CI289" s="335"/>
      <c r="CJ289" s="335"/>
      <c r="CK289" s="335"/>
      <c r="CL289" s="335"/>
      <c r="CM289" s="335"/>
      <c r="CN289" s="335"/>
      <c r="CO289" s="335"/>
      <c r="CP289" s="335"/>
      <c r="CQ289" s="335"/>
      <c r="CR289" s="335"/>
      <c r="CS289" s="335"/>
      <c r="CT289" s="335"/>
      <c r="CU289" s="335"/>
      <c r="CV289" s="335"/>
      <c r="CW289" s="335"/>
      <c r="CX289" s="335"/>
      <c r="CY289" s="335"/>
      <c r="CZ289" s="335"/>
      <c r="DA289" s="335"/>
      <c r="DB289" s="335"/>
      <c r="DC289" s="335"/>
      <c r="DD289" s="335"/>
      <c r="DE289" s="335"/>
      <c r="DF289" s="335"/>
      <c r="DG289" s="335"/>
      <c r="DH289" s="335"/>
      <c r="DI289" s="335"/>
      <c r="DJ289" s="335"/>
      <c r="DK289" s="335"/>
      <c r="DL289" s="335"/>
      <c r="DM289" s="335"/>
      <c r="DN289" s="335"/>
      <c r="DO289" s="335"/>
      <c r="DP289" s="335"/>
      <c r="DQ289" s="335"/>
      <c r="DR289" s="335"/>
      <c r="DS289" s="335"/>
      <c r="DT289" s="335"/>
      <c r="DU289" s="335"/>
      <c r="DV289" s="335"/>
      <c r="DW289" s="335"/>
      <c r="DX289" s="335"/>
      <c r="DY289" s="335"/>
      <c r="DZ289" s="335"/>
      <c r="EA289" s="335"/>
      <c r="EB289" s="335"/>
      <c r="EC289" s="335"/>
      <c r="ED289" s="335"/>
      <c r="EE289" s="335"/>
      <c r="EF289" s="335"/>
      <c r="EG289" s="335"/>
      <c r="EH289" s="335"/>
      <c r="EI289" s="335"/>
      <c r="EJ289" s="335"/>
      <c r="EK289" s="335"/>
      <c r="EL289" s="335"/>
      <c r="EM289" s="335"/>
      <c r="EN289" s="335"/>
      <c r="EO289" s="335"/>
      <c r="EP289" s="335"/>
      <c r="EQ289" s="335"/>
      <c r="ER289" s="335"/>
      <c r="ES289" s="335"/>
      <c r="ET289" s="335"/>
      <c r="EU289" s="335"/>
      <c r="EV289" s="335"/>
      <c r="EW289" s="335"/>
      <c r="EX289" s="335"/>
      <c r="EY289" s="335"/>
      <c r="EZ289" s="335"/>
      <c r="FA289" s="335"/>
      <c r="FB289" s="335"/>
      <c r="FC289" s="335"/>
      <c r="FD289" s="335"/>
      <c r="FE289" s="335"/>
      <c r="FF289" s="335"/>
      <c r="FG289" s="335"/>
      <c r="FH289" s="335"/>
      <c r="FI289" s="335"/>
      <c r="FJ289" s="335"/>
      <c r="FK289" s="335"/>
      <c r="FL289" s="335"/>
      <c r="FM289" s="335"/>
      <c r="FN289" s="335"/>
      <c r="FO289" s="335"/>
      <c r="FP289" s="335"/>
      <c r="FQ289" s="335"/>
      <c r="FR289" s="335"/>
      <c r="FS289" s="335"/>
      <c r="FT289" s="335"/>
      <c r="FU289" s="335"/>
      <c r="FV289" s="335"/>
      <c r="FW289" s="335"/>
      <c r="FX289" s="335"/>
      <c r="FY289" s="335"/>
      <c r="FZ289" s="335"/>
      <c r="GA289" s="335"/>
      <c r="GB289" s="335"/>
      <c r="GC289" s="335"/>
      <c r="GD289" s="335"/>
      <c r="GE289" s="335"/>
      <c r="GF289" s="335"/>
      <c r="GG289" s="335"/>
      <c r="GH289" s="335"/>
      <c r="GI289" s="335"/>
      <c r="GJ289" s="335"/>
      <c r="GK289" s="335"/>
      <c r="GL289" s="335"/>
      <c r="GM289" s="335"/>
      <c r="GN289" s="335"/>
      <c r="GO289" s="335"/>
      <c r="GP289" s="335"/>
      <c r="GQ289" s="335"/>
      <c r="GR289" s="335"/>
      <c r="GS289" s="335"/>
      <c r="GT289" s="335"/>
      <c r="GU289" s="335"/>
      <c r="GV289" s="335"/>
      <c r="GW289" s="335"/>
      <c r="GX289" s="335"/>
      <c r="GY289" s="335"/>
      <c r="GZ289" s="335"/>
    </row>
    <row r="290" spans="1:208" ht="15">
      <c r="A290" s="379"/>
      <c r="B290" s="335"/>
      <c r="C290" s="335"/>
      <c r="D290" s="335"/>
      <c r="E290" s="335"/>
      <c r="F290" s="335"/>
      <c r="G290" s="335"/>
      <c r="H290" s="335"/>
      <c r="I290" s="335"/>
      <c r="J290" s="335"/>
      <c r="K290" s="335"/>
      <c r="L290" s="335"/>
      <c r="M290" s="376"/>
      <c r="N290" s="335"/>
      <c r="O290" s="380"/>
      <c r="P290" s="335"/>
      <c r="Q290" s="335"/>
      <c r="R290" s="335"/>
      <c r="S290" s="335"/>
      <c r="T290" s="335"/>
      <c r="U290" s="335"/>
      <c r="V290" s="335"/>
      <c r="W290" s="335"/>
      <c r="X290" s="335"/>
      <c r="Y290" s="335"/>
      <c r="Z290" s="335"/>
      <c r="AA290" s="335"/>
      <c r="AB290" s="335"/>
      <c r="AC290" s="335"/>
      <c r="AD290" s="335"/>
      <c r="AE290" s="335"/>
      <c r="AF290" s="335"/>
      <c r="AG290" s="335"/>
      <c r="AH290" s="335"/>
      <c r="AI290" s="335"/>
      <c r="AJ290" s="335"/>
      <c r="AK290" s="335"/>
      <c r="AL290" s="335"/>
      <c r="AM290" s="335"/>
      <c r="AN290" s="335"/>
      <c r="AO290" s="335"/>
      <c r="AP290" s="335"/>
      <c r="AQ290" s="335"/>
      <c r="AR290" s="335"/>
      <c r="AS290" s="335"/>
      <c r="AT290" s="335"/>
      <c r="AU290" s="335"/>
      <c r="AV290" s="335"/>
      <c r="AW290" s="335"/>
      <c r="AX290" s="335"/>
      <c r="AY290" s="335"/>
      <c r="AZ290" s="335"/>
      <c r="BA290" s="335"/>
      <c r="BB290" s="335"/>
      <c r="BC290" s="335"/>
      <c r="BD290" s="335"/>
      <c r="BE290" s="335"/>
      <c r="BF290" s="335"/>
      <c r="BG290" s="335"/>
      <c r="BH290" s="335"/>
      <c r="BI290" s="335"/>
      <c r="BJ290" s="335"/>
      <c r="BK290" s="335"/>
      <c r="BL290" s="335"/>
      <c r="BM290" s="335"/>
      <c r="BN290" s="335"/>
      <c r="BO290" s="335"/>
      <c r="BP290" s="335"/>
      <c r="BQ290" s="335"/>
      <c r="BR290" s="335"/>
      <c r="BS290" s="335"/>
      <c r="BT290" s="335"/>
      <c r="BU290" s="335"/>
      <c r="BV290" s="335"/>
      <c r="BW290" s="335"/>
      <c r="BX290" s="335"/>
      <c r="BY290" s="335"/>
      <c r="BZ290" s="335"/>
      <c r="CA290" s="335"/>
      <c r="CB290" s="335"/>
      <c r="CC290" s="335"/>
      <c r="CD290" s="335"/>
      <c r="CE290" s="335"/>
      <c r="CF290" s="335"/>
      <c r="CG290" s="335"/>
      <c r="CH290" s="335"/>
      <c r="CI290" s="335"/>
      <c r="CJ290" s="335"/>
      <c r="CK290" s="335"/>
      <c r="CL290" s="335"/>
      <c r="CM290" s="335"/>
      <c r="CN290" s="335"/>
      <c r="CO290" s="335"/>
      <c r="CP290" s="335"/>
      <c r="CQ290" s="335"/>
      <c r="CR290" s="335"/>
      <c r="CS290" s="335"/>
      <c r="CT290" s="335"/>
      <c r="CU290" s="335"/>
      <c r="CV290" s="335"/>
      <c r="CW290" s="335"/>
      <c r="CX290" s="335"/>
      <c r="CY290" s="335"/>
      <c r="CZ290" s="335"/>
      <c r="DA290" s="335"/>
      <c r="DB290" s="335"/>
      <c r="DC290" s="335"/>
      <c r="DD290" s="335"/>
      <c r="DE290" s="335"/>
      <c r="DF290" s="335"/>
      <c r="DG290" s="335"/>
      <c r="DH290" s="335"/>
      <c r="DI290" s="335"/>
      <c r="DJ290" s="335"/>
      <c r="DK290" s="335"/>
      <c r="DL290" s="335"/>
      <c r="DM290" s="335"/>
      <c r="DN290" s="335"/>
      <c r="DO290" s="335"/>
      <c r="DP290" s="335"/>
      <c r="DQ290" s="335"/>
      <c r="DR290" s="335"/>
      <c r="DS290" s="335"/>
      <c r="DT290" s="335"/>
      <c r="DU290" s="335"/>
      <c r="DV290" s="335"/>
      <c r="DW290" s="335"/>
      <c r="DX290" s="335"/>
      <c r="DY290" s="335"/>
      <c r="DZ290" s="335"/>
      <c r="EA290" s="335"/>
      <c r="EB290" s="335"/>
      <c r="EC290" s="335"/>
      <c r="ED290" s="335"/>
      <c r="EE290" s="335"/>
      <c r="EF290" s="335"/>
      <c r="EG290" s="335"/>
      <c r="EH290" s="335"/>
      <c r="EI290" s="335"/>
      <c r="EJ290" s="335"/>
      <c r="EK290" s="335"/>
      <c r="EL290" s="335"/>
      <c r="EM290" s="335"/>
      <c r="EN290" s="335"/>
      <c r="EO290" s="335"/>
      <c r="EP290" s="335"/>
      <c r="EQ290" s="335"/>
      <c r="ER290" s="335"/>
      <c r="ES290" s="335"/>
      <c r="ET290" s="335"/>
      <c r="EU290" s="335"/>
      <c r="EV290" s="335"/>
      <c r="EW290" s="335"/>
      <c r="EX290" s="335"/>
      <c r="EY290" s="335"/>
      <c r="EZ290" s="335"/>
      <c r="FA290" s="335"/>
      <c r="FB290" s="335"/>
      <c r="FC290" s="335"/>
      <c r="FD290" s="335"/>
      <c r="FE290" s="335"/>
      <c r="FF290" s="335"/>
      <c r="FG290" s="335"/>
      <c r="FH290" s="335"/>
      <c r="FI290" s="335"/>
      <c r="FJ290" s="335"/>
      <c r="FK290" s="335"/>
      <c r="FL290" s="335"/>
      <c r="FM290" s="335"/>
      <c r="FN290" s="335"/>
      <c r="FO290" s="335"/>
      <c r="FP290" s="335"/>
      <c r="FQ290" s="335"/>
      <c r="FR290" s="335"/>
      <c r="FS290" s="335"/>
      <c r="FT290" s="335"/>
      <c r="FU290" s="335"/>
      <c r="FV290" s="335"/>
      <c r="FW290" s="335"/>
      <c r="FX290" s="335"/>
      <c r="FY290" s="335"/>
      <c r="FZ290" s="335"/>
      <c r="GA290" s="335"/>
      <c r="GB290" s="335"/>
      <c r="GC290" s="335"/>
      <c r="GD290" s="335"/>
      <c r="GE290" s="335"/>
      <c r="GF290" s="335"/>
      <c r="GG290" s="335"/>
      <c r="GH290" s="335"/>
      <c r="GI290" s="335"/>
      <c r="GJ290" s="335"/>
      <c r="GK290" s="335"/>
      <c r="GL290" s="335"/>
      <c r="GM290" s="335"/>
      <c r="GN290" s="335"/>
      <c r="GO290" s="335"/>
      <c r="GP290" s="335"/>
      <c r="GQ290" s="335"/>
      <c r="GR290" s="335"/>
      <c r="GS290" s="335"/>
      <c r="GT290" s="335"/>
      <c r="GU290" s="335"/>
      <c r="GV290" s="335"/>
      <c r="GW290" s="335"/>
      <c r="GX290" s="335"/>
      <c r="GY290" s="335"/>
      <c r="GZ290" s="335"/>
    </row>
    <row r="291" spans="1:208" ht="15">
      <c r="A291" s="379"/>
      <c r="B291" s="335"/>
      <c r="C291" s="335"/>
      <c r="D291" s="335"/>
      <c r="E291" s="335"/>
      <c r="F291" s="335"/>
      <c r="G291" s="335"/>
      <c r="H291" s="335"/>
      <c r="I291" s="335"/>
      <c r="J291" s="335"/>
      <c r="K291" s="335"/>
      <c r="L291" s="335"/>
      <c r="M291" s="376"/>
      <c r="N291" s="335"/>
      <c r="O291" s="380"/>
      <c r="P291" s="335"/>
      <c r="Q291" s="335"/>
      <c r="R291" s="335"/>
      <c r="S291" s="335"/>
      <c r="T291" s="335"/>
      <c r="U291" s="335"/>
      <c r="V291" s="335"/>
      <c r="W291" s="335"/>
      <c r="X291" s="335"/>
      <c r="Y291" s="335"/>
      <c r="Z291" s="335"/>
      <c r="AA291" s="335"/>
      <c r="AB291" s="335"/>
      <c r="AC291" s="335"/>
      <c r="AD291" s="335"/>
      <c r="AE291" s="335"/>
      <c r="AF291" s="335"/>
      <c r="AG291" s="335"/>
      <c r="AH291" s="335"/>
      <c r="AI291" s="335"/>
      <c r="AJ291" s="335"/>
      <c r="AK291" s="335"/>
      <c r="AL291" s="335"/>
      <c r="AM291" s="335"/>
      <c r="AN291" s="335"/>
      <c r="AO291" s="335"/>
      <c r="AP291" s="335"/>
      <c r="AQ291" s="335"/>
      <c r="AR291" s="335"/>
      <c r="AS291" s="335"/>
      <c r="AT291" s="335"/>
      <c r="AU291" s="335"/>
      <c r="AV291" s="335"/>
      <c r="AW291" s="335"/>
      <c r="AX291" s="335"/>
      <c r="AY291" s="335"/>
      <c r="AZ291" s="335"/>
      <c r="BA291" s="335"/>
      <c r="BB291" s="335"/>
      <c r="BC291" s="335"/>
      <c r="BD291" s="335"/>
      <c r="BE291" s="335"/>
      <c r="BF291" s="335"/>
      <c r="BG291" s="335"/>
      <c r="BH291" s="335"/>
      <c r="BI291" s="335"/>
      <c r="BJ291" s="335"/>
      <c r="BK291" s="335"/>
      <c r="BL291" s="335"/>
      <c r="BM291" s="335"/>
      <c r="BN291" s="335"/>
      <c r="BO291" s="335"/>
      <c r="BP291" s="335"/>
      <c r="BQ291" s="335"/>
      <c r="BR291" s="335"/>
      <c r="BS291" s="335"/>
      <c r="BT291" s="335"/>
      <c r="BU291" s="335"/>
      <c r="BV291" s="335"/>
      <c r="BW291" s="335"/>
      <c r="BX291" s="335"/>
      <c r="BY291" s="335"/>
      <c r="BZ291" s="335"/>
      <c r="CA291" s="335"/>
      <c r="CB291" s="335"/>
      <c r="CC291" s="335"/>
      <c r="CD291" s="335"/>
      <c r="CE291" s="335"/>
      <c r="CF291" s="335"/>
      <c r="CG291" s="335"/>
      <c r="CH291" s="335"/>
      <c r="CI291" s="335"/>
      <c r="CJ291" s="335"/>
      <c r="CK291" s="335"/>
      <c r="CL291" s="335"/>
      <c r="CM291" s="335"/>
      <c r="CN291" s="335"/>
      <c r="CO291" s="335"/>
      <c r="CP291" s="335"/>
      <c r="CQ291" s="335"/>
      <c r="CR291" s="335"/>
      <c r="CS291" s="335"/>
      <c r="CT291" s="335"/>
      <c r="CU291" s="335"/>
      <c r="CV291" s="335"/>
      <c r="CW291" s="335"/>
      <c r="CX291" s="335"/>
      <c r="CY291" s="335"/>
      <c r="CZ291" s="335"/>
      <c r="DA291" s="335"/>
      <c r="DB291" s="335"/>
      <c r="DC291" s="335"/>
      <c r="DD291" s="335"/>
      <c r="DE291" s="335"/>
      <c r="DF291" s="335"/>
      <c r="DG291" s="335"/>
      <c r="DH291" s="335"/>
      <c r="DI291" s="335"/>
      <c r="DJ291" s="335"/>
      <c r="DK291" s="335"/>
      <c r="DL291" s="335"/>
      <c r="DM291" s="335"/>
      <c r="DN291" s="335"/>
      <c r="DO291" s="335"/>
      <c r="DP291" s="335"/>
      <c r="DQ291" s="335"/>
      <c r="DR291" s="335"/>
      <c r="DS291" s="335"/>
      <c r="DT291" s="335"/>
      <c r="DU291" s="335"/>
      <c r="DV291" s="335"/>
      <c r="DW291" s="335"/>
      <c r="DX291" s="335"/>
      <c r="DY291" s="335"/>
      <c r="DZ291" s="335"/>
      <c r="EA291" s="335"/>
      <c r="EB291" s="335"/>
      <c r="EC291" s="335"/>
      <c r="ED291" s="335"/>
      <c r="EE291" s="335"/>
      <c r="EF291" s="335"/>
      <c r="EG291" s="335"/>
      <c r="EH291" s="335"/>
      <c r="EI291" s="335"/>
      <c r="EJ291" s="335"/>
      <c r="EK291" s="335"/>
      <c r="EL291" s="335"/>
      <c r="EM291" s="335"/>
      <c r="EN291" s="335"/>
      <c r="EO291" s="335"/>
      <c r="EP291" s="335"/>
      <c r="EQ291" s="335"/>
      <c r="ER291" s="335"/>
      <c r="ES291" s="335"/>
      <c r="ET291" s="335"/>
      <c r="EU291" s="335"/>
      <c r="EV291" s="335"/>
      <c r="EW291" s="335"/>
      <c r="EX291" s="335"/>
      <c r="EY291" s="335"/>
      <c r="EZ291" s="335"/>
      <c r="FA291" s="335"/>
      <c r="FB291" s="335"/>
      <c r="FC291" s="335"/>
      <c r="FD291" s="335"/>
      <c r="FE291" s="335"/>
      <c r="FF291" s="335"/>
      <c r="FG291" s="335"/>
      <c r="FH291" s="335"/>
      <c r="FI291" s="335"/>
      <c r="FJ291" s="335"/>
      <c r="FK291" s="335"/>
      <c r="FL291" s="335"/>
      <c r="FM291" s="335"/>
      <c r="FN291" s="335"/>
      <c r="FO291" s="335"/>
      <c r="FP291" s="335"/>
      <c r="FQ291" s="335"/>
      <c r="FR291" s="335"/>
      <c r="FS291" s="335"/>
      <c r="FT291" s="335"/>
      <c r="FU291" s="335"/>
      <c r="FV291" s="335"/>
      <c r="FW291" s="335"/>
      <c r="FX291" s="335"/>
      <c r="FY291" s="335"/>
      <c r="FZ291" s="335"/>
      <c r="GA291" s="335"/>
      <c r="GB291" s="335"/>
      <c r="GC291" s="335"/>
      <c r="GD291" s="335"/>
      <c r="GE291" s="335"/>
      <c r="GF291" s="335"/>
      <c r="GG291" s="335"/>
      <c r="GH291" s="335"/>
      <c r="GI291" s="335"/>
      <c r="GJ291" s="335"/>
      <c r="GK291" s="335"/>
      <c r="GL291" s="335"/>
      <c r="GM291" s="335"/>
      <c r="GN291" s="335"/>
      <c r="GO291" s="335"/>
      <c r="GP291" s="335"/>
      <c r="GQ291" s="335"/>
      <c r="GR291" s="335"/>
      <c r="GS291" s="335"/>
      <c r="GT291" s="335"/>
      <c r="GU291" s="335"/>
      <c r="GV291" s="335"/>
      <c r="GW291" s="335"/>
      <c r="GX291" s="335"/>
      <c r="GY291" s="335"/>
      <c r="GZ291" s="335"/>
    </row>
    <row r="292" spans="1:208" ht="15">
      <c r="A292" s="379"/>
      <c r="B292" s="335"/>
      <c r="C292" s="335"/>
      <c r="D292" s="335"/>
      <c r="E292" s="335"/>
      <c r="F292" s="335"/>
      <c r="G292" s="335"/>
      <c r="H292" s="335"/>
      <c r="I292" s="335"/>
      <c r="J292" s="335"/>
      <c r="K292" s="335"/>
      <c r="L292" s="335"/>
      <c r="M292" s="376"/>
      <c r="N292" s="335"/>
      <c r="O292" s="380"/>
      <c r="P292" s="335"/>
      <c r="Q292" s="335"/>
      <c r="R292" s="335"/>
      <c r="S292" s="335"/>
      <c r="T292" s="335"/>
      <c r="U292" s="335"/>
      <c r="V292" s="335"/>
      <c r="W292" s="335"/>
      <c r="X292" s="335"/>
      <c r="Y292" s="335"/>
      <c r="Z292" s="335"/>
      <c r="AA292" s="335"/>
      <c r="AB292" s="335"/>
      <c r="AC292" s="335"/>
      <c r="AD292" s="335"/>
      <c r="AE292" s="335"/>
      <c r="AF292" s="335"/>
      <c r="AG292" s="335"/>
      <c r="AH292" s="335"/>
      <c r="AI292" s="335"/>
      <c r="AJ292" s="335"/>
      <c r="AK292" s="335"/>
      <c r="AL292" s="335"/>
      <c r="AM292" s="335"/>
      <c r="AN292" s="335"/>
      <c r="AO292" s="335"/>
      <c r="AP292" s="335"/>
      <c r="AQ292" s="335"/>
      <c r="AR292" s="335"/>
      <c r="AS292" s="335"/>
      <c r="AT292" s="335"/>
      <c r="AU292" s="335"/>
      <c r="AV292" s="335"/>
      <c r="AW292" s="335"/>
      <c r="AX292" s="335"/>
      <c r="AY292" s="335"/>
      <c r="AZ292" s="335"/>
      <c r="BA292" s="335"/>
      <c r="BB292" s="335"/>
      <c r="BC292" s="335"/>
      <c r="BD292" s="335"/>
      <c r="BE292" s="335"/>
      <c r="BF292" s="335"/>
      <c r="BG292" s="335"/>
      <c r="BH292" s="335"/>
      <c r="BI292" s="335"/>
      <c r="BJ292" s="335"/>
      <c r="BK292" s="335"/>
      <c r="BL292" s="335"/>
      <c r="BM292" s="335"/>
      <c r="BN292" s="335"/>
      <c r="BO292" s="335"/>
      <c r="BP292" s="335"/>
      <c r="BQ292" s="335"/>
      <c r="BR292" s="335"/>
      <c r="BS292" s="335"/>
      <c r="BT292" s="335"/>
      <c r="BU292" s="335"/>
      <c r="BV292" s="335"/>
      <c r="BW292" s="335"/>
      <c r="BX292" s="335"/>
      <c r="BY292" s="335"/>
      <c r="BZ292" s="335"/>
      <c r="CA292" s="335"/>
      <c r="CB292" s="335"/>
      <c r="CC292" s="335"/>
      <c r="CD292" s="335"/>
      <c r="CE292" s="335"/>
      <c r="CF292" s="335"/>
      <c r="CG292" s="335"/>
      <c r="CH292" s="335"/>
      <c r="CI292" s="335"/>
      <c r="CJ292" s="335"/>
      <c r="CK292" s="335"/>
      <c r="CL292" s="335"/>
      <c r="CM292" s="335"/>
      <c r="CN292" s="335"/>
      <c r="CO292" s="335"/>
      <c r="CP292" s="335"/>
      <c r="CQ292" s="335"/>
      <c r="CR292" s="335"/>
      <c r="CS292" s="335"/>
      <c r="CT292" s="335"/>
      <c r="CU292" s="335"/>
      <c r="CV292" s="335"/>
      <c r="CW292" s="335"/>
      <c r="CX292" s="335"/>
      <c r="CY292" s="335"/>
      <c r="CZ292" s="335"/>
      <c r="DA292" s="335"/>
      <c r="DB292" s="335"/>
      <c r="DC292" s="335"/>
      <c r="DD292" s="335"/>
      <c r="DE292" s="335"/>
      <c r="DF292" s="335"/>
      <c r="DG292" s="335"/>
      <c r="DH292" s="335"/>
      <c r="DI292" s="335"/>
      <c r="DJ292" s="335"/>
      <c r="DK292" s="335"/>
      <c r="DL292" s="335"/>
      <c r="DM292" s="335"/>
      <c r="DN292" s="335"/>
      <c r="DO292" s="335"/>
      <c r="DP292" s="335"/>
      <c r="DQ292" s="335"/>
      <c r="DR292" s="335"/>
      <c r="DS292" s="335"/>
      <c r="DT292" s="335"/>
      <c r="DU292" s="335"/>
      <c r="DV292" s="335"/>
      <c r="DW292" s="335"/>
      <c r="DX292" s="335"/>
      <c r="DY292" s="335"/>
      <c r="DZ292" s="335"/>
      <c r="EA292" s="335"/>
      <c r="EB292" s="335"/>
      <c r="EC292" s="335"/>
      <c r="ED292" s="335"/>
      <c r="EE292" s="335"/>
      <c r="EF292" s="335"/>
      <c r="EG292" s="335"/>
      <c r="EH292" s="335"/>
      <c r="EI292" s="335"/>
      <c r="EJ292" s="335"/>
      <c r="EK292" s="335"/>
      <c r="EL292" s="335"/>
      <c r="EM292" s="335"/>
      <c r="EN292" s="335"/>
      <c r="EO292" s="335"/>
      <c r="EP292" s="335"/>
      <c r="EQ292" s="335"/>
      <c r="ER292" s="335"/>
      <c r="ES292" s="335"/>
      <c r="ET292" s="335"/>
      <c r="EU292" s="335"/>
      <c r="EV292" s="335"/>
      <c r="EW292" s="335"/>
      <c r="EX292" s="335"/>
      <c r="EY292" s="335"/>
      <c r="EZ292" s="335"/>
      <c r="FA292" s="335"/>
      <c r="FB292" s="335"/>
      <c r="FC292" s="335"/>
      <c r="FD292" s="335"/>
      <c r="FE292" s="335"/>
      <c r="FF292" s="335"/>
      <c r="FG292" s="335"/>
      <c r="FH292" s="335"/>
      <c r="FI292" s="335"/>
      <c r="FJ292" s="335"/>
      <c r="FK292" s="335"/>
      <c r="FL292" s="335"/>
      <c r="FM292" s="335"/>
      <c r="FN292" s="335"/>
      <c r="FO292" s="335"/>
      <c r="FP292" s="335"/>
      <c r="FQ292" s="335"/>
      <c r="FR292" s="335"/>
      <c r="FS292" s="335"/>
      <c r="FT292" s="335"/>
      <c r="FU292" s="335"/>
      <c r="FV292" s="335"/>
      <c r="FW292" s="335"/>
      <c r="FX292" s="335"/>
      <c r="FY292" s="335"/>
      <c r="FZ292" s="335"/>
      <c r="GA292" s="335"/>
      <c r="GB292" s="335"/>
      <c r="GC292" s="335"/>
      <c r="GD292" s="335"/>
      <c r="GE292" s="335"/>
      <c r="GF292" s="335"/>
      <c r="GG292" s="335"/>
      <c r="GH292" s="335"/>
      <c r="GI292" s="335"/>
      <c r="GJ292" s="335"/>
      <c r="GK292" s="335"/>
      <c r="GL292" s="335"/>
      <c r="GM292" s="335"/>
      <c r="GN292" s="335"/>
      <c r="GO292" s="335"/>
      <c r="GP292" s="335"/>
      <c r="GQ292" s="335"/>
      <c r="GR292" s="335"/>
      <c r="GS292" s="335"/>
      <c r="GT292" s="335"/>
      <c r="GU292" s="335"/>
      <c r="GV292" s="335"/>
      <c r="GW292" s="335"/>
      <c r="GX292" s="335"/>
      <c r="GY292" s="335"/>
      <c r="GZ292" s="335"/>
    </row>
    <row r="293" spans="1:208" ht="15">
      <c r="A293" s="379"/>
      <c r="B293" s="335"/>
      <c r="C293" s="335"/>
      <c r="D293" s="335"/>
      <c r="E293" s="335"/>
      <c r="F293" s="335"/>
      <c r="G293" s="335"/>
      <c r="H293" s="335"/>
      <c r="I293" s="335"/>
      <c r="J293" s="335"/>
      <c r="K293" s="335"/>
      <c r="L293" s="335"/>
      <c r="M293" s="376"/>
      <c r="N293" s="335"/>
      <c r="O293" s="380"/>
      <c r="P293" s="335"/>
      <c r="Q293" s="335"/>
      <c r="R293" s="335"/>
      <c r="S293" s="335"/>
      <c r="T293" s="335"/>
      <c r="U293" s="335"/>
      <c r="V293" s="335"/>
      <c r="W293" s="335"/>
      <c r="X293" s="335"/>
      <c r="Y293" s="335"/>
      <c r="Z293" s="335"/>
      <c r="AA293" s="335"/>
      <c r="AB293" s="335"/>
      <c r="AC293" s="335"/>
      <c r="AD293" s="335"/>
      <c r="AE293" s="335"/>
      <c r="AF293" s="335"/>
      <c r="AG293" s="335"/>
      <c r="AH293" s="335"/>
      <c r="AI293" s="335"/>
      <c r="AJ293" s="335"/>
      <c r="AK293" s="335"/>
      <c r="AL293" s="335"/>
      <c r="AM293" s="335"/>
      <c r="AN293" s="335"/>
      <c r="AO293" s="335"/>
      <c r="AP293" s="335"/>
      <c r="AQ293" s="335"/>
      <c r="AR293" s="335"/>
      <c r="AS293" s="335"/>
      <c r="AT293" s="335"/>
      <c r="AU293" s="335"/>
      <c r="AV293" s="335"/>
      <c r="AW293" s="335"/>
      <c r="AX293" s="335"/>
      <c r="AY293" s="335"/>
      <c r="AZ293" s="335"/>
      <c r="BA293" s="335"/>
      <c r="BB293" s="335"/>
      <c r="BC293" s="335"/>
      <c r="BD293" s="335"/>
      <c r="BE293" s="335"/>
      <c r="BF293" s="335"/>
      <c r="BG293" s="335"/>
      <c r="BH293" s="335"/>
      <c r="BI293" s="335"/>
      <c r="BJ293" s="335"/>
      <c r="BK293" s="335"/>
      <c r="BL293" s="335"/>
      <c r="BM293" s="335"/>
      <c r="BN293" s="335"/>
      <c r="BO293" s="335"/>
      <c r="BP293" s="335"/>
      <c r="BQ293" s="335"/>
      <c r="BR293" s="335"/>
      <c r="BS293" s="335"/>
      <c r="BT293" s="335"/>
      <c r="BU293" s="335"/>
      <c r="BV293" s="335"/>
      <c r="BW293" s="335"/>
      <c r="BX293" s="335"/>
      <c r="BY293" s="335"/>
      <c r="BZ293" s="335"/>
      <c r="CA293" s="335"/>
      <c r="CB293" s="335"/>
      <c r="CC293" s="335"/>
      <c r="CD293" s="335"/>
      <c r="CE293" s="335"/>
      <c r="CF293" s="335"/>
      <c r="CG293" s="335"/>
      <c r="CH293" s="335"/>
      <c r="CI293" s="335"/>
      <c r="CJ293" s="335"/>
      <c r="CK293" s="335"/>
      <c r="CL293" s="335"/>
      <c r="CM293" s="335"/>
      <c r="CN293" s="335"/>
      <c r="CO293" s="335"/>
      <c r="CP293" s="335"/>
      <c r="CQ293" s="335"/>
      <c r="CR293" s="335"/>
      <c r="CS293" s="335"/>
      <c r="CT293" s="335"/>
      <c r="CU293" s="335"/>
      <c r="CV293" s="335"/>
      <c r="CW293" s="335"/>
      <c r="CX293" s="335"/>
      <c r="CY293" s="335"/>
      <c r="CZ293" s="335"/>
      <c r="DA293" s="335"/>
      <c r="DB293" s="335"/>
      <c r="DC293" s="335"/>
      <c r="DD293" s="335"/>
      <c r="DE293" s="335"/>
      <c r="DF293" s="335"/>
      <c r="DG293" s="335"/>
      <c r="DH293" s="335"/>
      <c r="DI293" s="335"/>
      <c r="DJ293" s="335"/>
      <c r="DK293" s="335"/>
      <c r="DL293" s="335"/>
      <c r="DM293" s="335"/>
      <c r="DN293" s="335"/>
      <c r="DO293" s="335"/>
      <c r="DP293" s="335"/>
      <c r="DQ293" s="335"/>
      <c r="DR293" s="335"/>
      <c r="DS293" s="335"/>
      <c r="DT293" s="335"/>
      <c r="DU293" s="335"/>
      <c r="DV293" s="335"/>
      <c r="DW293" s="335"/>
      <c r="DX293" s="335"/>
      <c r="DY293" s="335"/>
      <c r="DZ293" s="335"/>
      <c r="EA293" s="335"/>
      <c r="EB293" s="335"/>
      <c r="EC293" s="335"/>
      <c r="ED293" s="335"/>
      <c r="EE293" s="335"/>
      <c r="EF293" s="335"/>
      <c r="EG293" s="335"/>
      <c r="EH293" s="335"/>
      <c r="EI293" s="335"/>
      <c r="EJ293" s="335"/>
      <c r="EK293" s="335"/>
      <c r="EL293" s="335"/>
      <c r="EM293" s="335"/>
      <c r="EN293" s="335"/>
      <c r="EO293" s="335"/>
      <c r="EP293" s="335"/>
      <c r="EQ293" s="335"/>
      <c r="ER293" s="335"/>
      <c r="ES293" s="335"/>
      <c r="ET293" s="335"/>
      <c r="EU293" s="335"/>
      <c r="EV293" s="335"/>
      <c r="EW293" s="335"/>
      <c r="EX293" s="335"/>
      <c r="EY293" s="335"/>
      <c r="EZ293" s="335"/>
      <c r="FA293" s="335"/>
      <c r="FB293" s="335"/>
      <c r="FC293" s="335"/>
      <c r="FD293" s="335"/>
      <c r="FE293" s="335"/>
      <c r="FF293" s="335"/>
      <c r="FG293" s="335"/>
      <c r="FH293" s="335"/>
      <c r="FI293" s="335"/>
      <c r="FJ293" s="335"/>
      <c r="FK293" s="335"/>
      <c r="FL293" s="335"/>
      <c r="FM293" s="335"/>
      <c r="FN293" s="335"/>
      <c r="FO293" s="335"/>
      <c r="FP293" s="335"/>
      <c r="FQ293" s="335"/>
      <c r="FR293" s="335"/>
      <c r="FS293" s="335"/>
      <c r="FT293" s="335"/>
      <c r="FU293" s="335"/>
      <c r="FV293" s="335"/>
      <c r="FW293" s="335"/>
      <c r="FX293" s="335"/>
      <c r="FY293" s="335"/>
      <c r="FZ293" s="335"/>
      <c r="GA293" s="335"/>
      <c r="GB293" s="335"/>
      <c r="GC293" s="335"/>
      <c r="GD293" s="335"/>
      <c r="GE293" s="335"/>
      <c r="GF293" s="335"/>
      <c r="GG293" s="335"/>
      <c r="GH293" s="335"/>
      <c r="GI293" s="335"/>
      <c r="GJ293" s="335"/>
      <c r="GK293" s="335"/>
      <c r="GL293" s="335"/>
      <c r="GM293" s="335"/>
      <c r="GN293" s="335"/>
      <c r="GO293" s="335"/>
      <c r="GP293" s="335"/>
      <c r="GQ293" s="335"/>
      <c r="GR293" s="335"/>
      <c r="GS293" s="335"/>
      <c r="GT293" s="335"/>
      <c r="GU293" s="335"/>
      <c r="GV293" s="335"/>
      <c r="GW293" s="335"/>
      <c r="GX293" s="335"/>
      <c r="GY293" s="335"/>
      <c r="GZ293" s="335"/>
    </row>
    <row r="294" spans="1:208" ht="15">
      <c r="A294" s="379"/>
      <c r="B294" s="335"/>
      <c r="C294" s="335"/>
      <c r="D294" s="335"/>
      <c r="E294" s="335"/>
      <c r="F294" s="335"/>
      <c r="G294" s="335"/>
      <c r="H294" s="335"/>
      <c r="I294" s="335"/>
      <c r="J294" s="335"/>
      <c r="K294" s="335"/>
      <c r="L294" s="335"/>
      <c r="M294" s="376"/>
      <c r="N294" s="335"/>
      <c r="O294" s="380"/>
      <c r="P294" s="335"/>
      <c r="Q294" s="335"/>
      <c r="R294" s="335"/>
      <c r="S294" s="335"/>
      <c r="T294" s="335"/>
      <c r="U294" s="335"/>
      <c r="V294" s="335"/>
      <c r="W294" s="335"/>
      <c r="X294" s="335"/>
      <c r="Y294" s="335"/>
      <c r="Z294" s="335"/>
      <c r="AA294" s="335"/>
      <c r="AB294" s="335"/>
      <c r="AC294" s="335"/>
      <c r="AD294" s="335"/>
      <c r="AE294" s="335"/>
      <c r="AF294" s="335"/>
      <c r="AG294" s="335"/>
      <c r="AH294" s="335"/>
      <c r="AI294" s="335"/>
      <c r="AJ294" s="335"/>
      <c r="AK294" s="335"/>
      <c r="AL294" s="335"/>
      <c r="AM294" s="335"/>
      <c r="AN294" s="335"/>
      <c r="AO294" s="335"/>
      <c r="AP294" s="335"/>
      <c r="AQ294" s="335"/>
      <c r="AR294" s="335"/>
      <c r="AS294" s="335"/>
      <c r="AT294" s="335"/>
      <c r="AU294" s="335"/>
      <c r="AV294" s="335"/>
      <c r="AW294" s="335"/>
      <c r="AX294" s="335"/>
      <c r="AY294" s="335"/>
      <c r="AZ294" s="335"/>
      <c r="BA294" s="335"/>
      <c r="BB294" s="335"/>
      <c r="BC294" s="335"/>
      <c r="BD294" s="335"/>
      <c r="BE294" s="335"/>
      <c r="BF294" s="335"/>
      <c r="BG294" s="335"/>
      <c r="BH294" s="335"/>
      <c r="BI294" s="335"/>
      <c r="BJ294" s="335"/>
      <c r="BK294" s="335"/>
      <c r="BL294" s="335"/>
      <c r="BM294" s="335"/>
      <c r="BN294" s="335"/>
      <c r="BO294" s="335"/>
      <c r="BP294" s="335"/>
      <c r="BQ294" s="335"/>
      <c r="BR294" s="335"/>
      <c r="BS294" s="335"/>
      <c r="BT294" s="335"/>
      <c r="BU294" s="335"/>
      <c r="BV294" s="335"/>
      <c r="BW294" s="335"/>
      <c r="BX294" s="335"/>
      <c r="BY294" s="335"/>
      <c r="BZ294" s="335"/>
      <c r="CA294" s="335"/>
      <c r="CB294" s="335"/>
      <c r="CC294" s="335"/>
      <c r="CD294" s="335"/>
      <c r="CE294" s="335"/>
      <c r="CF294" s="335"/>
      <c r="CG294" s="335"/>
      <c r="CH294" s="335"/>
      <c r="CI294" s="335"/>
      <c r="CJ294" s="335"/>
      <c r="CK294" s="335"/>
      <c r="CL294" s="335"/>
      <c r="CM294" s="335"/>
      <c r="CN294" s="335"/>
      <c r="CO294" s="335"/>
      <c r="CP294" s="335"/>
      <c r="CQ294" s="335"/>
      <c r="CR294" s="335"/>
      <c r="CS294" s="335"/>
      <c r="CT294" s="335"/>
      <c r="CU294" s="335"/>
      <c r="CV294" s="335"/>
      <c r="CW294" s="335"/>
      <c r="CX294" s="335"/>
      <c r="CY294" s="335"/>
      <c r="CZ294" s="335"/>
      <c r="DA294" s="335"/>
      <c r="DB294" s="335"/>
      <c r="DC294" s="335"/>
      <c r="DD294" s="335"/>
      <c r="DE294" s="335"/>
      <c r="DF294" s="335"/>
      <c r="DG294" s="335"/>
      <c r="DH294" s="335"/>
      <c r="DI294" s="335"/>
      <c r="DJ294" s="335"/>
      <c r="DK294" s="335"/>
      <c r="DL294" s="335"/>
      <c r="DM294" s="335"/>
      <c r="DN294" s="335"/>
      <c r="DO294" s="335"/>
      <c r="DP294" s="335"/>
      <c r="DQ294" s="335"/>
      <c r="DR294" s="335"/>
      <c r="DS294" s="335"/>
      <c r="DT294" s="335"/>
      <c r="DU294" s="335"/>
      <c r="DV294" s="335"/>
      <c r="DW294" s="335"/>
      <c r="DX294" s="335"/>
      <c r="DY294" s="335"/>
      <c r="DZ294" s="335"/>
      <c r="EA294" s="335"/>
      <c r="EB294" s="335"/>
      <c r="EC294" s="335"/>
      <c r="ED294" s="335"/>
      <c r="EE294" s="335"/>
      <c r="EF294" s="335"/>
      <c r="EG294" s="335"/>
      <c r="EH294" s="335"/>
      <c r="EI294" s="335"/>
      <c r="EJ294" s="335"/>
      <c r="EK294" s="335"/>
      <c r="EL294" s="335"/>
      <c r="EM294" s="335"/>
      <c r="EN294" s="335"/>
      <c r="EO294" s="335"/>
      <c r="EP294" s="335"/>
      <c r="EQ294" s="335"/>
      <c r="ER294" s="335"/>
      <c r="ES294" s="335"/>
      <c r="ET294" s="335"/>
      <c r="EU294" s="335"/>
      <c r="EV294" s="335"/>
      <c r="EW294" s="335"/>
      <c r="EX294" s="335"/>
      <c r="EY294" s="335"/>
      <c r="EZ294" s="335"/>
      <c r="FA294" s="335"/>
      <c r="FB294" s="335"/>
      <c r="FC294" s="335"/>
      <c r="FD294" s="335"/>
      <c r="FE294" s="335"/>
      <c r="FF294" s="335"/>
      <c r="FG294" s="335"/>
      <c r="FH294" s="335"/>
      <c r="FI294" s="335"/>
      <c r="FJ294" s="335"/>
      <c r="FK294" s="335"/>
      <c r="FL294" s="335"/>
      <c r="FM294" s="335"/>
      <c r="FN294" s="335"/>
      <c r="FO294" s="335"/>
      <c r="FP294" s="335"/>
      <c r="FQ294" s="335"/>
      <c r="FR294" s="335"/>
      <c r="FS294" s="335"/>
      <c r="FT294" s="335"/>
      <c r="FU294" s="335"/>
      <c r="FV294" s="335"/>
      <c r="FW294" s="335"/>
      <c r="FX294" s="335"/>
      <c r="FY294" s="335"/>
      <c r="FZ294" s="335"/>
      <c r="GA294" s="335"/>
      <c r="GB294" s="335"/>
      <c r="GC294" s="335"/>
      <c r="GD294" s="335"/>
      <c r="GE294" s="335"/>
      <c r="GF294" s="335"/>
      <c r="GG294" s="335"/>
      <c r="GH294" s="335"/>
      <c r="GI294" s="335"/>
      <c r="GJ294" s="335"/>
      <c r="GK294" s="335"/>
      <c r="GL294" s="335"/>
      <c r="GM294" s="335"/>
      <c r="GN294" s="335"/>
      <c r="GO294" s="335"/>
      <c r="GP294" s="335"/>
      <c r="GQ294" s="335"/>
      <c r="GR294" s="335"/>
      <c r="GS294" s="335"/>
      <c r="GT294" s="335"/>
      <c r="GU294" s="335"/>
      <c r="GV294" s="335"/>
      <c r="GW294" s="335"/>
      <c r="GX294" s="335"/>
      <c r="GY294" s="335"/>
      <c r="GZ294" s="335"/>
    </row>
    <row r="295" spans="1:208" ht="15">
      <c r="A295" s="379"/>
      <c r="B295" s="335"/>
      <c r="C295" s="335"/>
      <c r="D295" s="335"/>
      <c r="E295" s="335"/>
      <c r="F295" s="335"/>
      <c r="G295" s="335"/>
      <c r="H295" s="335"/>
      <c r="I295" s="335"/>
      <c r="J295" s="335"/>
      <c r="K295" s="335"/>
      <c r="L295" s="335"/>
      <c r="M295" s="376"/>
      <c r="N295" s="335"/>
      <c r="O295" s="380"/>
      <c r="P295" s="335"/>
      <c r="Q295" s="335"/>
      <c r="R295" s="335"/>
      <c r="S295" s="335"/>
      <c r="T295" s="335"/>
      <c r="U295" s="335"/>
      <c r="V295" s="335"/>
      <c r="W295" s="335"/>
      <c r="X295" s="335"/>
      <c r="Y295" s="335"/>
      <c r="Z295" s="335"/>
      <c r="AA295" s="335"/>
      <c r="AB295" s="335"/>
      <c r="AC295" s="335"/>
      <c r="AD295" s="335"/>
      <c r="AE295" s="335"/>
      <c r="AF295" s="335"/>
      <c r="AG295" s="335"/>
      <c r="AH295" s="335"/>
      <c r="AI295" s="335"/>
      <c r="AJ295" s="335"/>
      <c r="AK295" s="335"/>
      <c r="AL295" s="335"/>
      <c r="AM295" s="335"/>
      <c r="AN295" s="335"/>
      <c r="AO295" s="335"/>
      <c r="AP295" s="335"/>
      <c r="AQ295" s="335"/>
      <c r="AR295" s="335"/>
      <c r="AS295" s="335"/>
      <c r="AT295" s="335"/>
      <c r="AU295" s="335"/>
      <c r="AV295" s="335"/>
      <c r="AW295" s="335"/>
      <c r="AX295" s="335"/>
      <c r="AY295" s="335"/>
      <c r="AZ295" s="335"/>
      <c r="BA295" s="335"/>
      <c r="BB295" s="335"/>
      <c r="BC295" s="335"/>
      <c r="BD295" s="335"/>
      <c r="BE295" s="335"/>
      <c r="BF295" s="335"/>
      <c r="BG295" s="335"/>
      <c r="BH295" s="335"/>
      <c r="BI295" s="335"/>
      <c r="BJ295" s="335"/>
      <c r="BK295" s="335"/>
      <c r="BL295" s="335"/>
      <c r="BM295" s="335"/>
      <c r="BN295" s="335"/>
      <c r="BO295" s="335"/>
      <c r="BP295" s="335"/>
      <c r="BQ295" s="335"/>
      <c r="BR295" s="335"/>
      <c r="BS295" s="335"/>
      <c r="BT295" s="335"/>
      <c r="BU295" s="335"/>
      <c r="BV295" s="335"/>
      <c r="BW295" s="335"/>
      <c r="BX295" s="335"/>
      <c r="BY295" s="335"/>
      <c r="BZ295" s="335"/>
      <c r="CA295" s="335"/>
      <c r="CB295" s="335"/>
      <c r="CC295" s="335"/>
      <c r="CD295" s="335"/>
      <c r="CE295" s="335"/>
      <c r="CF295" s="335"/>
      <c r="CG295" s="335"/>
      <c r="CH295" s="335"/>
      <c r="CI295" s="335"/>
      <c r="CJ295" s="335"/>
      <c r="CK295" s="335"/>
      <c r="CL295" s="335"/>
      <c r="CM295" s="335"/>
      <c r="CN295" s="335"/>
      <c r="CO295" s="335"/>
      <c r="CP295" s="335"/>
      <c r="CQ295" s="335"/>
      <c r="CR295" s="335"/>
      <c r="CS295" s="335"/>
      <c r="CT295" s="335"/>
      <c r="CU295" s="335"/>
      <c r="CV295" s="335"/>
      <c r="CW295" s="335"/>
      <c r="CX295" s="335"/>
      <c r="CY295" s="335"/>
      <c r="CZ295" s="335"/>
      <c r="DA295" s="335"/>
      <c r="DB295" s="335"/>
      <c r="DC295" s="335"/>
      <c r="DD295" s="335"/>
      <c r="DE295" s="335"/>
      <c r="DF295" s="335"/>
      <c r="DG295" s="335"/>
      <c r="DH295" s="335"/>
      <c r="DI295" s="335"/>
      <c r="DJ295" s="335"/>
      <c r="DK295" s="335"/>
      <c r="DL295" s="335"/>
      <c r="DM295" s="335"/>
      <c r="DN295" s="335"/>
      <c r="DO295" s="335"/>
      <c r="DP295" s="335"/>
      <c r="DQ295" s="335"/>
      <c r="DR295" s="335"/>
      <c r="DS295" s="335"/>
      <c r="DT295" s="335"/>
      <c r="DU295" s="335"/>
      <c r="DV295" s="335"/>
      <c r="DW295" s="335"/>
      <c r="DX295" s="335"/>
      <c r="DY295" s="335"/>
      <c r="DZ295" s="335"/>
      <c r="EA295" s="335"/>
      <c r="EB295" s="335"/>
      <c r="EC295" s="335"/>
      <c r="ED295" s="335"/>
      <c r="EE295" s="335"/>
      <c r="EF295" s="335"/>
      <c r="EG295" s="335"/>
      <c r="EH295" s="335"/>
      <c r="EI295" s="335"/>
      <c r="EJ295" s="335"/>
      <c r="EK295" s="335"/>
      <c r="EL295" s="335"/>
      <c r="EM295" s="335"/>
      <c r="EN295" s="335"/>
      <c r="EO295" s="335"/>
      <c r="EP295" s="335"/>
      <c r="EQ295" s="335"/>
      <c r="ER295" s="335"/>
      <c r="ES295" s="335"/>
      <c r="ET295" s="335"/>
      <c r="EU295" s="335"/>
      <c r="EV295" s="335"/>
      <c r="EW295" s="335"/>
      <c r="EX295" s="335"/>
      <c r="EY295" s="335"/>
      <c r="EZ295" s="335"/>
      <c r="FA295" s="335"/>
      <c r="FB295" s="335"/>
      <c r="FC295" s="335"/>
      <c r="FD295" s="335"/>
      <c r="FE295" s="335"/>
      <c r="FF295" s="335"/>
      <c r="FG295" s="335"/>
      <c r="FH295" s="335"/>
      <c r="FI295" s="335"/>
      <c r="FJ295" s="335"/>
      <c r="FK295" s="335"/>
      <c r="FL295" s="335"/>
      <c r="FM295" s="335"/>
      <c r="FN295" s="335"/>
      <c r="FO295" s="335"/>
      <c r="FP295" s="335"/>
      <c r="FQ295" s="335"/>
      <c r="FR295" s="335"/>
      <c r="FS295" s="335"/>
      <c r="FT295" s="335"/>
      <c r="FU295" s="335"/>
      <c r="FV295" s="335"/>
      <c r="FW295" s="335"/>
      <c r="FX295" s="335"/>
      <c r="FY295" s="335"/>
      <c r="FZ295" s="335"/>
      <c r="GA295" s="335"/>
      <c r="GB295" s="335"/>
      <c r="GC295" s="335"/>
      <c r="GD295" s="335"/>
      <c r="GE295" s="335"/>
      <c r="GF295" s="335"/>
      <c r="GG295" s="335"/>
      <c r="GH295" s="335"/>
      <c r="GI295" s="335"/>
      <c r="GJ295" s="335"/>
      <c r="GK295" s="335"/>
      <c r="GL295" s="335"/>
      <c r="GM295" s="335"/>
      <c r="GN295" s="335"/>
      <c r="GO295" s="335"/>
      <c r="GP295" s="335"/>
      <c r="GQ295" s="335"/>
      <c r="GR295" s="335"/>
      <c r="GS295" s="335"/>
      <c r="GT295" s="335"/>
      <c r="GU295" s="335"/>
      <c r="GV295" s="335"/>
      <c r="GW295" s="335"/>
      <c r="GX295" s="335"/>
      <c r="GY295" s="335"/>
      <c r="GZ295" s="335"/>
    </row>
    <row r="296" spans="1:208" ht="15">
      <c r="A296" s="379"/>
      <c r="B296" s="335"/>
      <c r="C296" s="335"/>
      <c r="D296" s="335"/>
      <c r="E296" s="335"/>
      <c r="F296" s="335"/>
      <c r="G296" s="335"/>
      <c r="H296" s="335"/>
      <c r="I296" s="335"/>
      <c r="J296" s="335"/>
      <c r="K296" s="335"/>
      <c r="L296" s="335"/>
      <c r="M296" s="376"/>
      <c r="N296" s="335"/>
      <c r="O296" s="380"/>
      <c r="P296" s="335"/>
      <c r="Q296" s="335"/>
      <c r="R296" s="335"/>
      <c r="S296" s="335"/>
      <c r="T296" s="335"/>
      <c r="U296" s="335"/>
      <c r="V296" s="335"/>
      <c r="W296" s="335"/>
      <c r="X296" s="335"/>
      <c r="Y296" s="335"/>
      <c r="Z296" s="335"/>
      <c r="AA296" s="335"/>
      <c r="AB296" s="335"/>
      <c r="AC296" s="335"/>
      <c r="AD296" s="335"/>
      <c r="AE296" s="335"/>
      <c r="AF296" s="335"/>
      <c r="AG296" s="335"/>
      <c r="AH296" s="335"/>
      <c r="AI296" s="335"/>
      <c r="AJ296" s="335"/>
      <c r="AK296" s="335"/>
      <c r="AL296" s="335"/>
      <c r="AM296" s="335"/>
      <c r="AN296" s="335"/>
      <c r="AO296" s="335"/>
      <c r="AP296" s="335"/>
      <c r="AQ296" s="335"/>
      <c r="AR296" s="335"/>
      <c r="AS296" s="335"/>
      <c r="AT296" s="335"/>
      <c r="AU296" s="335"/>
      <c r="AV296" s="335"/>
      <c r="AW296" s="335"/>
      <c r="AX296" s="335"/>
      <c r="AY296" s="335"/>
      <c r="AZ296" s="335"/>
      <c r="BA296" s="335"/>
      <c r="BB296" s="335"/>
      <c r="BC296" s="335"/>
      <c r="BD296" s="335"/>
      <c r="BE296" s="335"/>
      <c r="BF296" s="335"/>
      <c r="BG296" s="335"/>
      <c r="BH296" s="335"/>
      <c r="BI296" s="335"/>
      <c r="BJ296" s="335"/>
      <c r="BK296" s="335"/>
      <c r="BL296" s="335"/>
      <c r="BM296" s="335"/>
      <c r="BN296" s="335"/>
      <c r="BO296" s="335"/>
      <c r="BP296" s="335"/>
      <c r="BQ296" s="335"/>
      <c r="BR296" s="335"/>
      <c r="BS296" s="335"/>
      <c r="BT296" s="335"/>
      <c r="BU296" s="335"/>
      <c r="BV296" s="335"/>
      <c r="BW296" s="335"/>
      <c r="BX296" s="335"/>
      <c r="BY296" s="335"/>
      <c r="BZ296" s="335"/>
      <c r="CA296" s="335"/>
      <c r="CB296" s="335"/>
      <c r="CC296" s="335"/>
      <c r="CD296" s="335"/>
      <c r="CE296" s="335"/>
      <c r="CF296" s="335"/>
      <c r="CG296" s="335"/>
      <c r="CH296" s="335"/>
      <c r="CI296" s="335"/>
      <c r="CJ296" s="335"/>
      <c r="CK296" s="335"/>
      <c r="CL296" s="335"/>
      <c r="CM296" s="335"/>
      <c r="CN296" s="335"/>
      <c r="CO296" s="335"/>
      <c r="CP296" s="335"/>
      <c r="CQ296" s="335"/>
      <c r="CR296" s="335"/>
      <c r="CS296" s="335"/>
      <c r="CT296" s="335"/>
      <c r="CU296" s="335"/>
      <c r="CV296" s="335"/>
      <c r="CW296" s="335"/>
      <c r="CX296" s="335"/>
      <c r="CY296" s="335"/>
      <c r="CZ296" s="335"/>
      <c r="DA296" s="335"/>
      <c r="DB296" s="335"/>
      <c r="DC296" s="335"/>
      <c r="DD296" s="335"/>
      <c r="DE296" s="335"/>
      <c r="DF296" s="335"/>
      <c r="DG296" s="335"/>
      <c r="DH296" s="335"/>
      <c r="DI296" s="335"/>
      <c r="DJ296" s="335"/>
      <c r="DK296" s="335"/>
      <c r="DL296" s="335"/>
      <c r="DM296" s="335"/>
      <c r="DN296" s="335"/>
      <c r="DO296" s="335"/>
      <c r="DP296" s="335"/>
      <c r="DQ296" s="335"/>
      <c r="DR296" s="335"/>
      <c r="DS296" s="335"/>
      <c r="DT296" s="335"/>
      <c r="DU296" s="335"/>
      <c r="DV296" s="335"/>
      <c r="DW296" s="335"/>
      <c r="DX296" s="335"/>
      <c r="DY296" s="335"/>
      <c r="DZ296" s="335"/>
      <c r="EA296" s="335"/>
      <c r="EB296" s="335"/>
      <c r="EC296" s="335"/>
      <c r="ED296" s="335"/>
      <c r="EE296" s="335"/>
      <c r="EF296" s="335"/>
      <c r="EG296" s="335"/>
      <c r="EH296" s="335"/>
      <c r="EI296" s="335"/>
      <c r="EJ296" s="335"/>
      <c r="EK296" s="335"/>
      <c r="EL296" s="335"/>
      <c r="EM296" s="335"/>
      <c r="EN296" s="335"/>
      <c r="EO296" s="335"/>
      <c r="EP296" s="335"/>
      <c r="EQ296" s="335"/>
      <c r="ER296" s="335"/>
      <c r="ES296" s="335"/>
      <c r="ET296" s="335"/>
      <c r="EU296" s="335"/>
      <c r="EV296" s="335"/>
      <c r="EW296" s="335"/>
      <c r="EX296" s="335"/>
      <c r="EY296" s="335"/>
      <c r="EZ296" s="335"/>
      <c r="FA296" s="335"/>
      <c r="FB296" s="335"/>
      <c r="FC296" s="335"/>
      <c r="FD296" s="335"/>
      <c r="FE296" s="335"/>
      <c r="FF296" s="335"/>
      <c r="FG296" s="335"/>
      <c r="FH296" s="335"/>
      <c r="FI296" s="335"/>
      <c r="FJ296" s="335"/>
      <c r="FK296" s="335"/>
      <c r="FL296" s="335"/>
      <c r="FM296" s="335"/>
      <c r="FN296" s="335"/>
      <c r="FO296" s="335"/>
      <c r="FP296" s="335"/>
      <c r="FQ296" s="335"/>
      <c r="FR296" s="335"/>
      <c r="FS296" s="335"/>
      <c r="FT296" s="335"/>
      <c r="FU296" s="335"/>
      <c r="FV296" s="335"/>
      <c r="FW296" s="335"/>
      <c r="FX296" s="335"/>
      <c r="FY296" s="335"/>
      <c r="FZ296" s="335"/>
      <c r="GA296" s="335"/>
      <c r="GB296" s="335"/>
      <c r="GC296" s="335"/>
      <c r="GD296" s="335"/>
      <c r="GE296" s="335"/>
      <c r="GF296" s="335"/>
      <c r="GG296" s="335"/>
      <c r="GH296" s="335"/>
      <c r="GI296" s="335"/>
      <c r="GJ296" s="335"/>
      <c r="GK296" s="335"/>
      <c r="GL296" s="335"/>
      <c r="GM296" s="335"/>
      <c r="GN296" s="335"/>
      <c r="GO296" s="335"/>
      <c r="GP296" s="335"/>
      <c r="GQ296" s="335"/>
      <c r="GR296" s="335"/>
      <c r="GS296" s="335"/>
      <c r="GT296" s="335"/>
      <c r="GU296" s="335"/>
      <c r="GV296" s="335"/>
      <c r="GW296" s="335"/>
      <c r="GX296" s="335"/>
      <c r="GY296" s="335"/>
      <c r="GZ296" s="335"/>
    </row>
    <row r="297" spans="1:208" ht="15">
      <c r="A297" s="379"/>
      <c r="B297" s="335"/>
      <c r="C297" s="335"/>
      <c r="D297" s="335"/>
      <c r="E297" s="335"/>
      <c r="F297" s="335"/>
      <c r="G297" s="335"/>
      <c r="H297" s="335"/>
      <c r="I297" s="335"/>
      <c r="J297" s="335"/>
      <c r="K297" s="335"/>
      <c r="L297" s="335"/>
      <c r="M297" s="376"/>
      <c r="N297" s="335"/>
      <c r="O297" s="380"/>
      <c r="P297" s="335"/>
      <c r="Q297" s="335"/>
      <c r="R297" s="335"/>
      <c r="S297" s="335"/>
      <c r="T297" s="335"/>
      <c r="U297" s="335"/>
      <c r="V297" s="335"/>
      <c r="W297" s="335"/>
      <c r="X297" s="335"/>
      <c r="Y297" s="335"/>
      <c r="Z297" s="335"/>
      <c r="AA297" s="335"/>
      <c r="AB297" s="335"/>
      <c r="AC297" s="335"/>
      <c r="AD297" s="335"/>
      <c r="AE297" s="335"/>
      <c r="AF297" s="335"/>
      <c r="AG297" s="335"/>
      <c r="AH297" s="335"/>
      <c r="AI297" s="335"/>
      <c r="AJ297" s="335"/>
      <c r="AK297" s="335"/>
      <c r="AL297" s="335"/>
      <c r="AM297" s="335"/>
      <c r="AN297" s="335"/>
      <c r="AO297" s="335"/>
      <c r="AP297" s="335"/>
      <c r="AQ297" s="335"/>
      <c r="AR297" s="335"/>
      <c r="AS297" s="335"/>
      <c r="AT297" s="335"/>
      <c r="AU297" s="335"/>
      <c r="AV297" s="335"/>
      <c r="AW297" s="335"/>
      <c r="AX297" s="335"/>
      <c r="AY297" s="335"/>
      <c r="AZ297" s="335"/>
      <c r="BA297" s="335"/>
      <c r="BB297" s="335"/>
      <c r="BC297" s="335"/>
      <c r="BD297" s="335"/>
      <c r="BE297" s="335"/>
      <c r="BF297" s="335"/>
      <c r="BG297" s="335"/>
      <c r="BH297" s="335"/>
      <c r="BI297" s="335"/>
      <c r="BJ297" s="335"/>
      <c r="BK297" s="335"/>
      <c r="BL297" s="335"/>
      <c r="BM297" s="335"/>
      <c r="BN297" s="335"/>
      <c r="BO297" s="335"/>
      <c r="BP297" s="335"/>
      <c r="BQ297" s="335"/>
      <c r="BR297" s="335"/>
      <c r="BS297" s="335"/>
      <c r="BT297" s="335"/>
      <c r="BU297" s="335"/>
      <c r="BV297" s="335"/>
      <c r="BW297" s="335"/>
      <c r="BX297" s="335"/>
      <c r="BY297" s="335"/>
      <c r="BZ297" s="335"/>
      <c r="CA297" s="335"/>
      <c r="CB297" s="335"/>
      <c r="CC297" s="335"/>
      <c r="CD297" s="335"/>
      <c r="CE297" s="335"/>
      <c r="CF297" s="335"/>
      <c r="CG297" s="335"/>
      <c r="CH297" s="335"/>
      <c r="CI297" s="335"/>
      <c r="CJ297" s="335"/>
      <c r="CK297" s="335"/>
      <c r="CL297" s="335"/>
      <c r="CM297" s="335"/>
      <c r="CN297" s="335"/>
      <c r="CO297" s="335"/>
      <c r="CP297" s="335"/>
      <c r="CQ297" s="335"/>
      <c r="CR297" s="335"/>
      <c r="CS297" s="335"/>
      <c r="CT297" s="335"/>
      <c r="CU297" s="335"/>
      <c r="CV297" s="335"/>
      <c r="CW297" s="335"/>
      <c r="CX297" s="335"/>
      <c r="CY297" s="335"/>
      <c r="CZ297" s="335"/>
      <c r="DA297" s="335"/>
      <c r="DB297" s="335"/>
      <c r="DC297" s="335"/>
      <c r="DD297" s="335"/>
      <c r="DE297" s="335"/>
      <c r="DF297" s="335"/>
      <c r="DG297" s="335"/>
      <c r="DH297" s="335"/>
      <c r="DI297" s="335"/>
      <c r="DJ297" s="335"/>
      <c r="DK297" s="335"/>
      <c r="DL297" s="335"/>
      <c r="DM297" s="335"/>
      <c r="DN297" s="335"/>
      <c r="DO297" s="335"/>
      <c r="DP297" s="335"/>
      <c r="DQ297" s="335"/>
      <c r="DR297" s="335"/>
      <c r="DS297" s="335"/>
      <c r="DT297" s="335"/>
      <c r="DU297" s="335"/>
      <c r="DV297" s="335"/>
      <c r="DW297" s="335"/>
      <c r="DX297" s="335"/>
      <c r="DY297" s="335"/>
      <c r="DZ297" s="335"/>
      <c r="EA297" s="335"/>
      <c r="EB297" s="335"/>
      <c r="EC297" s="335"/>
      <c r="ED297" s="335"/>
      <c r="EE297" s="335"/>
      <c r="EF297" s="335"/>
      <c r="EG297" s="335"/>
      <c r="EH297" s="335"/>
      <c r="EI297" s="335"/>
      <c r="EJ297" s="335"/>
      <c r="EK297" s="335"/>
      <c r="EL297" s="335"/>
      <c r="EM297" s="335"/>
      <c r="EN297" s="335"/>
      <c r="EO297" s="335"/>
      <c r="EP297" s="335"/>
      <c r="EQ297" s="335"/>
      <c r="ER297" s="335"/>
      <c r="ES297" s="335"/>
      <c r="ET297" s="335"/>
      <c r="EU297" s="335"/>
      <c r="EV297" s="335"/>
      <c r="EW297" s="335"/>
      <c r="EX297" s="335"/>
      <c r="EY297" s="335"/>
      <c r="EZ297" s="335"/>
      <c r="FA297" s="335"/>
      <c r="FB297" s="335"/>
      <c r="FC297" s="335"/>
      <c r="FD297" s="335"/>
      <c r="FE297" s="335"/>
      <c r="FF297" s="335"/>
      <c r="FG297" s="335"/>
      <c r="FH297" s="335"/>
      <c r="FI297" s="335"/>
      <c r="FJ297" s="335"/>
      <c r="FK297" s="335"/>
      <c r="FL297" s="335"/>
      <c r="FM297" s="335"/>
      <c r="FN297" s="335"/>
      <c r="FO297" s="335"/>
      <c r="FP297" s="335"/>
      <c r="FQ297" s="335"/>
      <c r="FR297" s="335"/>
      <c r="FS297" s="335"/>
      <c r="FT297" s="335"/>
      <c r="FU297" s="335"/>
      <c r="FV297" s="335"/>
      <c r="FW297" s="335"/>
      <c r="FX297" s="335"/>
      <c r="FY297" s="335"/>
      <c r="FZ297" s="335"/>
      <c r="GA297" s="335"/>
      <c r="GB297" s="335"/>
      <c r="GC297" s="335"/>
      <c r="GD297" s="335"/>
      <c r="GE297" s="335"/>
      <c r="GF297" s="335"/>
      <c r="GG297" s="335"/>
      <c r="GH297" s="335"/>
      <c r="GI297" s="335"/>
      <c r="GJ297" s="335"/>
      <c r="GK297" s="335"/>
      <c r="GL297" s="335"/>
      <c r="GM297" s="335"/>
      <c r="GN297" s="335"/>
      <c r="GO297" s="335"/>
      <c r="GP297" s="335"/>
      <c r="GQ297" s="335"/>
      <c r="GR297" s="335"/>
      <c r="GS297" s="335"/>
      <c r="GT297" s="335"/>
      <c r="GU297" s="335"/>
      <c r="GV297" s="335"/>
      <c r="GW297" s="335"/>
      <c r="GX297" s="335"/>
      <c r="GY297" s="335"/>
      <c r="GZ297" s="335"/>
    </row>
    <row r="298" spans="1:208" ht="15">
      <c r="A298" s="379"/>
      <c r="B298" s="335"/>
      <c r="C298" s="335"/>
      <c r="D298" s="335"/>
      <c r="E298" s="335"/>
      <c r="F298" s="335"/>
      <c r="G298" s="335"/>
      <c r="H298" s="335"/>
      <c r="I298" s="335"/>
      <c r="J298" s="335"/>
      <c r="K298" s="335"/>
      <c r="L298" s="335"/>
      <c r="M298" s="376"/>
      <c r="N298" s="335"/>
      <c r="O298" s="380"/>
      <c r="P298" s="335"/>
      <c r="Q298" s="335"/>
      <c r="R298" s="335"/>
      <c r="S298" s="335"/>
      <c r="T298" s="335"/>
      <c r="U298" s="335"/>
      <c r="V298" s="335"/>
      <c r="W298" s="335"/>
      <c r="X298" s="335"/>
      <c r="Y298" s="335"/>
      <c r="Z298" s="335"/>
      <c r="AA298" s="335"/>
      <c r="AB298" s="335"/>
      <c r="AC298" s="335"/>
      <c r="AD298" s="335"/>
      <c r="AE298" s="335"/>
      <c r="AF298" s="335"/>
      <c r="AG298" s="335"/>
      <c r="AH298" s="335"/>
      <c r="AI298" s="335"/>
      <c r="AJ298" s="335"/>
      <c r="AK298" s="335"/>
      <c r="AL298" s="335"/>
      <c r="AM298" s="335"/>
      <c r="AN298" s="335"/>
      <c r="AO298" s="335"/>
      <c r="AP298" s="335"/>
      <c r="AQ298" s="335"/>
      <c r="AR298" s="335"/>
      <c r="AS298" s="335"/>
      <c r="AT298" s="335"/>
      <c r="AU298" s="335"/>
      <c r="AV298" s="335"/>
      <c r="AW298" s="335"/>
      <c r="AX298" s="335"/>
      <c r="AY298" s="335"/>
      <c r="AZ298" s="335"/>
      <c r="BA298" s="335"/>
      <c r="BB298" s="335"/>
      <c r="BC298" s="335"/>
      <c r="BD298" s="335"/>
      <c r="BE298" s="335"/>
      <c r="BF298" s="335"/>
      <c r="BG298" s="335"/>
      <c r="BH298" s="335"/>
      <c r="BI298" s="335"/>
      <c r="BJ298" s="335"/>
      <c r="BK298" s="335"/>
      <c r="BL298" s="335"/>
      <c r="BM298" s="335"/>
      <c r="BN298" s="335"/>
      <c r="BO298" s="335"/>
      <c r="BP298" s="335"/>
      <c r="BQ298" s="335"/>
      <c r="BR298" s="335"/>
      <c r="BS298" s="335"/>
      <c r="BT298" s="335"/>
      <c r="BU298" s="335"/>
      <c r="BV298" s="335"/>
      <c r="BW298" s="335"/>
      <c r="BX298" s="335"/>
      <c r="BY298" s="335"/>
      <c r="BZ298" s="335"/>
      <c r="CA298" s="335"/>
      <c r="CB298" s="335"/>
      <c r="CC298" s="335"/>
      <c r="CD298" s="335"/>
      <c r="CE298" s="335"/>
      <c r="CF298" s="335"/>
      <c r="CG298" s="335"/>
      <c r="CH298" s="335"/>
      <c r="CI298" s="335"/>
      <c r="CJ298" s="335"/>
      <c r="CK298" s="335"/>
      <c r="CL298" s="335"/>
      <c r="CM298" s="335"/>
      <c r="CN298" s="335"/>
      <c r="CO298" s="335"/>
      <c r="CP298" s="335"/>
      <c r="CQ298" s="335"/>
      <c r="CR298" s="335"/>
      <c r="CS298" s="335"/>
      <c r="CT298" s="335"/>
      <c r="CU298" s="335"/>
      <c r="CV298" s="335"/>
      <c r="CW298" s="335"/>
      <c r="CX298" s="335"/>
      <c r="CY298" s="335"/>
      <c r="CZ298" s="335"/>
      <c r="DA298" s="335"/>
      <c r="DB298" s="335"/>
      <c r="DC298" s="335"/>
      <c r="DD298" s="335"/>
      <c r="DE298" s="335"/>
      <c r="DF298" s="335"/>
      <c r="DG298" s="335"/>
      <c r="DH298" s="335"/>
      <c r="DI298" s="335"/>
      <c r="DJ298" s="335"/>
      <c r="DK298" s="335"/>
      <c r="DL298" s="335"/>
      <c r="DM298" s="335"/>
      <c r="DN298" s="335"/>
      <c r="DO298" s="335"/>
      <c r="DP298" s="335"/>
      <c r="DQ298" s="335"/>
      <c r="DR298" s="335"/>
      <c r="DS298" s="335"/>
      <c r="DT298" s="335"/>
      <c r="DU298" s="335"/>
      <c r="DV298" s="335"/>
      <c r="DW298" s="335"/>
      <c r="DX298" s="335"/>
      <c r="DY298" s="335"/>
      <c r="DZ298" s="335"/>
      <c r="EA298" s="335"/>
      <c r="EB298" s="335"/>
      <c r="EC298" s="335"/>
      <c r="ED298" s="335"/>
      <c r="EE298" s="335"/>
      <c r="EF298" s="335"/>
      <c r="EG298" s="335"/>
      <c r="EH298" s="335"/>
      <c r="EI298" s="335"/>
      <c r="EJ298" s="335"/>
      <c r="EK298" s="335"/>
      <c r="EL298" s="335"/>
      <c r="EM298" s="335"/>
      <c r="EN298" s="335"/>
      <c r="EO298" s="335"/>
      <c r="EP298" s="335"/>
      <c r="EQ298" s="335"/>
      <c r="ER298" s="335"/>
      <c r="ES298" s="335"/>
      <c r="ET298" s="335"/>
      <c r="EU298" s="335"/>
      <c r="EV298" s="335"/>
      <c r="EW298" s="335"/>
      <c r="EX298" s="335"/>
      <c r="EY298" s="335"/>
      <c r="EZ298" s="335"/>
      <c r="FA298" s="335"/>
      <c r="FB298" s="335"/>
      <c r="FC298" s="335"/>
      <c r="FD298" s="335"/>
      <c r="FE298" s="335"/>
      <c r="FF298" s="335"/>
      <c r="FG298" s="335"/>
      <c r="FH298" s="335"/>
      <c r="FI298" s="335"/>
      <c r="FJ298" s="335"/>
      <c r="FK298" s="335"/>
      <c r="FL298" s="335"/>
      <c r="FM298" s="335"/>
      <c r="FN298" s="335"/>
      <c r="FO298" s="335"/>
      <c r="FP298" s="335"/>
      <c r="FQ298" s="335"/>
      <c r="FR298" s="335"/>
      <c r="FS298" s="335"/>
      <c r="FT298" s="335"/>
      <c r="FU298" s="335"/>
      <c r="FV298" s="335"/>
      <c r="FW298" s="335"/>
      <c r="FX298" s="335"/>
      <c r="FY298" s="335"/>
      <c r="FZ298" s="335"/>
      <c r="GA298" s="335"/>
      <c r="GB298" s="335"/>
      <c r="GC298" s="335"/>
      <c r="GD298" s="335"/>
      <c r="GE298" s="335"/>
      <c r="GF298" s="335"/>
      <c r="GG298" s="335"/>
      <c r="GH298" s="335"/>
      <c r="GI298" s="335"/>
      <c r="GJ298" s="335"/>
      <c r="GK298" s="335"/>
      <c r="GL298" s="335"/>
      <c r="GM298" s="335"/>
      <c r="GN298" s="335"/>
      <c r="GO298" s="335"/>
      <c r="GP298" s="335"/>
      <c r="GQ298" s="335"/>
      <c r="GR298" s="335"/>
      <c r="GS298" s="335"/>
      <c r="GT298" s="335"/>
      <c r="GU298" s="335"/>
      <c r="GV298" s="335"/>
      <c r="GW298" s="335"/>
      <c r="GX298" s="335"/>
      <c r="GY298" s="335"/>
      <c r="GZ298" s="335"/>
    </row>
    <row r="299" spans="1:208" ht="15">
      <c r="A299" s="379"/>
      <c r="B299" s="335"/>
      <c r="C299" s="335"/>
      <c r="D299" s="335"/>
      <c r="E299" s="335"/>
      <c r="F299" s="335"/>
      <c r="G299" s="335"/>
      <c r="H299" s="335"/>
      <c r="I299" s="335"/>
      <c r="J299" s="335"/>
      <c r="K299" s="335"/>
      <c r="L299" s="335"/>
      <c r="M299" s="376"/>
      <c r="N299" s="335"/>
      <c r="O299" s="380"/>
      <c r="P299" s="335"/>
      <c r="Q299" s="335"/>
      <c r="R299" s="335"/>
      <c r="S299" s="335"/>
      <c r="T299" s="335"/>
      <c r="U299" s="335"/>
      <c r="V299" s="335"/>
      <c r="W299" s="335"/>
      <c r="X299" s="335"/>
      <c r="Y299" s="335"/>
      <c r="Z299" s="335"/>
      <c r="AA299" s="335"/>
      <c r="AB299" s="335"/>
      <c r="AC299" s="335"/>
      <c r="AD299" s="335"/>
      <c r="AE299" s="335"/>
      <c r="AF299" s="335"/>
      <c r="AG299" s="335"/>
      <c r="AH299" s="335"/>
      <c r="AI299" s="335"/>
      <c r="AJ299" s="335"/>
      <c r="AK299" s="335"/>
      <c r="AL299" s="335"/>
      <c r="AM299" s="335"/>
      <c r="AN299" s="335"/>
      <c r="AO299" s="335"/>
      <c r="AP299" s="335"/>
      <c r="AQ299" s="335"/>
      <c r="AR299" s="335"/>
      <c r="AS299" s="335"/>
      <c r="AT299" s="335"/>
      <c r="AU299" s="335"/>
      <c r="AV299" s="335"/>
      <c r="AW299" s="335"/>
      <c r="AX299" s="335"/>
      <c r="AY299" s="335"/>
      <c r="AZ299" s="335"/>
      <c r="BA299" s="335"/>
      <c r="BB299" s="335"/>
      <c r="BC299" s="335"/>
      <c r="BD299" s="335"/>
      <c r="BE299" s="335"/>
      <c r="BF299" s="335"/>
      <c r="BG299" s="335"/>
      <c r="BH299" s="335"/>
      <c r="BI299" s="335"/>
      <c r="BJ299" s="335"/>
      <c r="BK299" s="335"/>
      <c r="BL299" s="335"/>
      <c r="BM299" s="335"/>
      <c r="BN299" s="335"/>
      <c r="BO299" s="335"/>
      <c r="BP299" s="335"/>
      <c r="BQ299" s="335"/>
      <c r="BR299" s="335"/>
      <c r="BS299" s="335"/>
      <c r="BT299" s="335"/>
      <c r="BU299" s="335"/>
      <c r="BV299" s="335"/>
      <c r="BW299" s="335"/>
      <c r="BX299" s="335"/>
      <c r="BY299" s="335"/>
      <c r="BZ299" s="335"/>
      <c r="CA299" s="335"/>
      <c r="CB299" s="335"/>
      <c r="CC299" s="335"/>
      <c r="CD299" s="335"/>
      <c r="CE299" s="335"/>
      <c r="CF299" s="335"/>
      <c r="CG299" s="335"/>
      <c r="CH299" s="335"/>
      <c r="CI299" s="335"/>
      <c r="CJ299" s="335"/>
      <c r="CK299" s="335"/>
      <c r="CL299" s="335"/>
      <c r="CM299" s="335"/>
      <c r="CN299" s="335"/>
      <c r="CO299" s="335"/>
      <c r="CP299" s="335"/>
      <c r="CQ299" s="335"/>
      <c r="CR299" s="335"/>
      <c r="CS299" s="335"/>
      <c r="CT299" s="335"/>
      <c r="CU299" s="335"/>
      <c r="CV299" s="335"/>
      <c r="CW299" s="335"/>
      <c r="CX299" s="335"/>
      <c r="CY299" s="335"/>
      <c r="CZ299" s="335"/>
      <c r="DA299" s="335"/>
      <c r="DB299" s="335"/>
      <c r="DC299" s="335"/>
      <c r="DD299" s="335"/>
      <c r="DE299" s="335"/>
      <c r="DF299" s="335"/>
      <c r="DG299" s="335"/>
      <c r="DH299" s="335"/>
      <c r="DI299" s="335"/>
      <c r="DJ299" s="335"/>
      <c r="DK299" s="335"/>
      <c r="DL299" s="335"/>
      <c r="DM299" s="335"/>
      <c r="DN299" s="335"/>
      <c r="DO299" s="335"/>
      <c r="DP299" s="335"/>
      <c r="DQ299" s="335"/>
      <c r="DR299" s="335"/>
      <c r="DS299" s="335"/>
      <c r="DT299" s="335"/>
      <c r="DU299" s="335"/>
      <c r="DV299" s="335"/>
      <c r="DW299" s="335"/>
      <c r="DX299" s="335"/>
      <c r="DY299" s="335"/>
      <c r="DZ299" s="335"/>
      <c r="EA299" s="335"/>
      <c r="EB299" s="335"/>
      <c r="EC299" s="335"/>
      <c r="ED299" s="335"/>
      <c r="EE299" s="335"/>
      <c r="EF299" s="335"/>
      <c r="EG299" s="335"/>
      <c r="EH299" s="335"/>
      <c r="EI299" s="335"/>
      <c r="EJ299" s="335"/>
      <c r="EK299" s="335"/>
      <c r="EL299" s="335"/>
      <c r="EM299" s="335"/>
      <c r="EN299" s="335"/>
      <c r="EO299" s="335"/>
      <c r="EP299" s="335"/>
      <c r="EQ299" s="335"/>
      <c r="ER299" s="335"/>
      <c r="ES299" s="335"/>
      <c r="ET299" s="335"/>
      <c r="EU299" s="335"/>
      <c r="EV299" s="335"/>
      <c r="EW299" s="335"/>
      <c r="EX299" s="335"/>
      <c r="EY299" s="335"/>
      <c r="EZ299" s="335"/>
      <c r="FA299" s="335"/>
      <c r="FB299" s="335"/>
      <c r="FC299" s="335"/>
      <c r="FD299" s="335"/>
      <c r="FE299" s="335"/>
      <c r="FF299" s="335"/>
      <c r="FG299" s="335"/>
      <c r="FH299" s="335"/>
      <c r="FI299" s="335"/>
      <c r="FJ299" s="335"/>
      <c r="FK299" s="335"/>
      <c r="FL299" s="335"/>
      <c r="FM299" s="335"/>
      <c r="FN299" s="335"/>
      <c r="FO299" s="335"/>
      <c r="FP299" s="335"/>
      <c r="FQ299" s="335"/>
      <c r="FR299" s="335"/>
      <c r="FS299" s="335"/>
      <c r="FT299" s="335"/>
      <c r="FU299" s="335"/>
      <c r="FV299" s="335"/>
      <c r="FW299" s="335"/>
      <c r="FX299" s="335"/>
      <c r="FY299" s="335"/>
      <c r="FZ299" s="335"/>
      <c r="GA299" s="335"/>
      <c r="GB299" s="335"/>
      <c r="GC299" s="335"/>
      <c r="GD299" s="335"/>
      <c r="GE299" s="335"/>
      <c r="GF299" s="335"/>
      <c r="GG299" s="335"/>
      <c r="GH299" s="335"/>
      <c r="GI299" s="335"/>
      <c r="GJ299" s="335"/>
      <c r="GK299" s="335"/>
      <c r="GL299" s="335"/>
      <c r="GM299" s="335"/>
      <c r="GN299" s="335"/>
      <c r="GO299" s="335"/>
      <c r="GP299" s="335"/>
      <c r="GQ299" s="335"/>
      <c r="GR299" s="335"/>
      <c r="GS299" s="335"/>
      <c r="GT299" s="335"/>
      <c r="GU299" s="335"/>
      <c r="GV299" s="335"/>
      <c r="GW299" s="335"/>
      <c r="GX299" s="335"/>
      <c r="GY299" s="335"/>
      <c r="GZ299" s="335"/>
    </row>
    <row r="300" spans="1:208" ht="15">
      <c r="A300" s="379"/>
      <c r="B300" s="335"/>
      <c r="C300" s="335"/>
      <c r="D300" s="335"/>
      <c r="E300" s="335"/>
      <c r="F300" s="335"/>
      <c r="G300" s="335"/>
      <c r="H300" s="335"/>
      <c r="I300" s="335"/>
      <c r="J300" s="335"/>
      <c r="K300" s="335"/>
      <c r="L300" s="335"/>
      <c r="M300" s="376"/>
      <c r="N300" s="335"/>
      <c r="O300" s="380"/>
      <c r="P300" s="335"/>
      <c r="Q300" s="335"/>
      <c r="R300" s="335"/>
      <c r="S300" s="335"/>
      <c r="T300" s="335"/>
      <c r="U300" s="335"/>
      <c r="V300" s="335"/>
      <c r="W300" s="335"/>
      <c r="X300" s="335"/>
      <c r="Y300" s="335"/>
      <c r="Z300" s="335"/>
      <c r="AA300" s="335"/>
      <c r="AB300" s="335"/>
      <c r="AC300" s="335"/>
      <c r="AD300" s="335"/>
      <c r="AE300" s="335"/>
      <c r="AF300" s="335"/>
      <c r="AG300" s="335"/>
      <c r="AH300" s="335"/>
      <c r="AI300" s="335"/>
      <c r="AJ300" s="335"/>
      <c r="AK300" s="335"/>
      <c r="AL300" s="335"/>
      <c r="AM300" s="335"/>
      <c r="AN300" s="335"/>
      <c r="AO300" s="335"/>
      <c r="AP300" s="335"/>
      <c r="AQ300" s="335"/>
      <c r="AR300" s="335"/>
      <c r="AS300" s="335"/>
      <c r="AT300" s="335"/>
      <c r="AU300" s="335"/>
      <c r="AV300" s="335"/>
      <c r="AW300" s="335"/>
      <c r="AX300" s="335"/>
      <c r="AY300" s="335"/>
      <c r="AZ300" s="335"/>
      <c r="BA300" s="335"/>
      <c r="BB300" s="335"/>
      <c r="BC300" s="335"/>
      <c r="BD300" s="335"/>
      <c r="BE300" s="335"/>
      <c r="BF300" s="335"/>
      <c r="BG300" s="335"/>
      <c r="BH300" s="335"/>
      <c r="BI300" s="335"/>
      <c r="BJ300" s="335"/>
      <c r="BK300" s="335"/>
      <c r="BL300" s="335"/>
      <c r="BM300" s="335"/>
      <c r="BN300" s="335"/>
      <c r="BO300" s="335"/>
      <c r="BP300" s="335"/>
      <c r="BQ300" s="335"/>
      <c r="BR300" s="335"/>
      <c r="BS300" s="335"/>
      <c r="BT300" s="335"/>
      <c r="BU300" s="335"/>
      <c r="BV300" s="335"/>
      <c r="BW300" s="335"/>
      <c r="BX300" s="335"/>
      <c r="BY300" s="335"/>
      <c r="BZ300" s="335"/>
      <c r="CA300" s="335"/>
      <c r="CB300" s="335"/>
      <c r="CC300" s="335"/>
      <c r="CD300" s="335"/>
      <c r="CE300" s="335"/>
      <c r="CF300" s="335"/>
      <c r="CG300" s="335"/>
      <c r="CH300" s="335"/>
      <c r="CI300" s="335"/>
      <c r="CJ300" s="335"/>
      <c r="CK300" s="335"/>
      <c r="CL300" s="335"/>
      <c r="CM300" s="335"/>
      <c r="CN300" s="335"/>
      <c r="CO300" s="335"/>
      <c r="CP300" s="335"/>
      <c r="CQ300" s="335"/>
      <c r="CR300" s="335"/>
      <c r="CS300" s="335"/>
      <c r="CT300" s="335"/>
      <c r="CU300" s="335"/>
      <c r="CV300" s="335"/>
      <c r="CW300" s="335"/>
      <c r="CX300" s="335"/>
      <c r="CY300" s="335"/>
      <c r="CZ300" s="335"/>
      <c r="DA300" s="335"/>
      <c r="DB300" s="335"/>
      <c r="DC300" s="335"/>
      <c r="DD300" s="335"/>
      <c r="DE300" s="335"/>
      <c r="DF300" s="335"/>
      <c r="DG300" s="335"/>
      <c r="DH300" s="335"/>
      <c r="DI300" s="335"/>
      <c r="DJ300" s="335"/>
      <c r="DK300" s="335"/>
      <c r="DL300" s="335"/>
      <c r="DM300" s="335"/>
      <c r="DN300" s="335"/>
      <c r="DO300" s="335"/>
      <c r="DP300" s="335"/>
      <c r="DQ300" s="335"/>
      <c r="DR300" s="335"/>
      <c r="DS300" s="335"/>
      <c r="DT300" s="335"/>
      <c r="DU300" s="335"/>
      <c r="DV300" s="335"/>
      <c r="DW300" s="335"/>
      <c r="DX300" s="335"/>
      <c r="DY300" s="335"/>
      <c r="DZ300" s="335"/>
      <c r="EA300" s="335"/>
      <c r="EB300" s="335"/>
      <c r="EC300" s="335"/>
      <c r="ED300" s="335"/>
      <c r="EE300" s="335"/>
      <c r="EF300" s="335"/>
      <c r="EG300" s="335"/>
      <c r="EH300" s="335"/>
      <c r="EI300" s="335"/>
      <c r="EJ300" s="335"/>
      <c r="EK300" s="335"/>
      <c r="EL300" s="335"/>
      <c r="EM300" s="335"/>
      <c r="EN300" s="335"/>
      <c r="EO300" s="335"/>
      <c r="EP300" s="335"/>
      <c r="EQ300" s="335"/>
      <c r="ER300" s="335"/>
      <c r="ES300" s="335"/>
      <c r="ET300" s="335"/>
      <c r="EU300" s="335"/>
      <c r="EV300" s="335"/>
      <c r="EW300" s="335"/>
      <c r="EX300" s="335"/>
      <c r="EY300" s="335"/>
      <c r="EZ300" s="335"/>
      <c r="FA300" s="335"/>
      <c r="FB300" s="335"/>
      <c r="FC300" s="335"/>
      <c r="FD300" s="335"/>
      <c r="FE300" s="335"/>
      <c r="FF300" s="335"/>
      <c r="FG300" s="335"/>
      <c r="FH300" s="335"/>
      <c r="FI300" s="335"/>
      <c r="FJ300" s="335"/>
      <c r="FK300" s="335"/>
      <c r="FL300" s="335"/>
      <c r="FM300" s="335"/>
      <c r="FN300" s="335"/>
      <c r="FO300" s="335"/>
      <c r="FP300" s="335"/>
      <c r="FQ300" s="335"/>
      <c r="FR300" s="335"/>
      <c r="FS300" s="335"/>
      <c r="FT300" s="335"/>
      <c r="FU300" s="335"/>
      <c r="FV300" s="335"/>
      <c r="FW300" s="335"/>
      <c r="FX300" s="335"/>
      <c r="FY300" s="335"/>
      <c r="FZ300" s="335"/>
      <c r="GA300" s="335"/>
      <c r="GB300" s="335"/>
      <c r="GC300" s="335"/>
      <c r="GD300" s="335"/>
      <c r="GE300" s="335"/>
      <c r="GF300" s="335"/>
      <c r="GG300" s="335"/>
      <c r="GH300" s="335"/>
      <c r="GI300" s="335"/>
      <c r="GJ300" s="335"/>
      <c r="GK300" s="335"/>
      <c r="GL300" s="335"/>
      <c r="GM300" s="335"/>
      <c r="GN300" s="335"/>
      <c r="GO300" s="335"/>
      <c r="GP300" s="335"/>
      <c r="GQ300" s="335"/>
      <c r="GR300" s="335"/>
      <c r="GS300" s="335"/>
      <c r="GT300" s="335"/>
      <c r="GU300" s="335"/>
      <c r="GV300" s="335"/>
      <c r="GW300" s="335"/>
      <c r="GX300" s="335"/>
      <c r="GY300" s="335"/>
      <c r="GZ300" s="335"/>
    </row>
    <row r="301" spans="1:208" ht="15">
      <c r="A301" s="379"/>
      <c r="B301" s="335"/>
      <c r="C301" s="335"/>
      <c r="D301" s="335"/>
      <c r="E301" s="335"/>
      <c r="F301" s="335"/>
      <c r="G301" s="335"/>
      <c r="H301" s="335"/>
      <c r="I301" s="335"/>
      <c r="J301" s="335"/>
      <c r="K301" s="335"/>
      <c r="L301" s="335"/>
      <c r="M301" s="376"/>
      <c r="N301" s="335"/>
      <c r="O301" s="380"/>
      <c r="P301" s="335"/>
      <c r="Q301" s="335"/>
      <c r="R301" s="335"/>
      <c r="S301" s="335"/>
      <c r="T301" s="335"/>
      <c r="U301" s="335"/>
      <c r="V301" s="335"/>
      <c r="W301" s="335"/>
      <c r="X301" s="335"/>
      <c r="Y301" s="335"/>
      <c r="Z301" s="335"/>
      <c r="AA301" s="335"/>
      <c r="AB301" s="335"/>
      <c r="AC301" s="335"/>
      <c r="AD301" s="335"/>
      <c r="AE301" s="335"/>
      <c r="AF301" s="335"/>
      <c r="AG301" s="335"/>
      <c r="AH301" s="335"/>
      <c r="AI301" s="335"/>
      <c r="AJ301" s="335"/>
      <c r="AK301" s="335"/>
      <c r="AL301" s="335"/>
      <c r="AM301" s="335"/>
      <c r="AN301" s="335"/>
      <c r="AO301" s="335"/>
      <c r="AP301" s="335"/>
      <c r="AQ301" s="335"/>
      <c r="AR301" s="335"/>
      <c r="AS301" s="335"/>
      <c r="AT301" s="335"/>
      <c r="AU301" s="335"/>
      <c r="AV301" s="335"/>
      <c r="AW301" s="335"/>
      <c r="AX301" s="335"/>
      <c r="AY301" s="335"/>
      <c r="AZ301" s="335"/>
      <c r="BA301" s="335"/>
      <c r="BB301" s="335"/>
      <c r="BC301" s="335"/>
      <c r="BD301" s="335"/>
      <c r="BE301" s="335"/>
      <c r="BF301" s="335"/>
      <c r="BG301" s="335"/>
      <c r="BH301" s="335"/>
      <c r="BI301" s="335"/>
      <c r="BJ301" s="335"/>
      <c r="BK301" s="335"/>
      <c r="BL301" s="335"/>
      <c r="BM301" s="335"/>
      <c r="BN301" s="335"/>
      <c r="BO301" s="335"/>
      <c r="BP301" s="335"/>
      <c r="BQ301" s="335"/>
      <c r="BR301" s="335"/>
      <c r="BS301" s="335"/>
      <c r="BT301" s="335"/>
      <c r="BU301" s="335"/>
      <c r="BV301" s="335"/>
      <c r="BW301" s="335"/>
      <c r="BX301" s="335"/>
      <c r="BY301" s="335"/>
      <c r="BZ301" s="335"/>
      <c r="CA301" s="335"/>
      <c r="CB301" s="335"/>
      <c r="CC301" s="335"/>
      <c r="CD301" s="335"/>
      <c r="CE301" s="335"/>
      <c r="CF301" s="335"/>
      <c r="CG301" s="335"/>
      <c r="CH301" s="335"/>
      <c r="CI301" s="335"/>
      <c r="CJ301" s="335"/>
      <c r="CK301" s="335"/>
      <c r="CL301" s="335"/>
      <c r="CM301" s="335"/>
      <c r="CN301" s="335"/>
      <c r="CO301" s="335"/>
      <c r="CP301" s="335"/>
      <c r="CQ301" s="335"/>
      <c r="CR301" s="335"/>
      <c r="CS301" s="335"/>
      <c r="CT301" s="335"/>
      <c r="CU301" s="335"/>
      <c r="CV301" s="335"/>
      <c r="CW301" s="335"/>
      <c r="CX301" s="335"/>
      <c r="CY301" s="335"/>
      <c r="CZ301" s="335"/>
      <c r="DA301" s="335"/>
      <c r="DB301" s="335"/>
      <c r="DC301" s="335"/>
      <c r="DD301" s="335"/>
      <c r="DE301" s="335"/>
      <c r="DF301" s="335"/>
      <c r="DG301" s="335"/>
      <c r="DH301" s="335"/>
      <c r="DI301" s="335"/>
      <c r="DJ301" s="335"/>
      <c r="DK301" s="335"/>
      <c r="DL301" s="335"/>
      <c r="DM301" s="335"/>
      <c r="DN301" s="335"/>
      <c r="DO301" s="335"/>
      <c r="DP301" s="335"/>
      <c r="DQ301" s="335"/>
      <c r="DR301" s="335"/>
      <c r="DS301" s="335"/>
      <c r="DT301" s="335"/>
      <c r="DU301" s="335"/>
      <c r="DV301" s="335"/>
      <c r="DW301" s="335"/>
      <c r="DX301" s="335"/>
      <c r="DY301" s="335"/>
      <c r="DZ301" s="335"/>
      <c r="EA301" s="335"/>
      <c r="EB301" s="335"/>
      <c r="EC301" s="335"/>
      <c r="ED301" s="335"/>
      <c r="EE301" s="335"/>
      <c r="EF301" s="335"/>
      <c r="EG301" s="335"/>
      <c r="EH301" s="335"/>
      <c r="EI301" s="335"/>
      <c r="EJ301" s="335"/>
      <c r="EK301" s="335"/>
      <c r="EL301" s="335"/>
      <c r="EM301" s="335"/>
      <c r="EN301" s="335"/>
      <c r="EO301" s="335"/>
      <c r="EP301" s="335"/>
      <c r="EQ301" s="335"/>
      <c r="ER301" s="335"/>
      <c r="ES301" s="335"/>
      <c r="ET301" s="335"/>
      <c r="EU301" s="335"/>
      <c r="EV301" s="335"/>
      <c r="EW301" s="335"/>
      <c r="EX301" s="335"/>
      <c r="EY301" s="335"/>
      <c r="EZ301" s="335"/>
      <c r="FA301" s="335"/>
      <c r="FB301" s="335"/>
      <c r="FC301" s="335"/>
      <c r="FD301" s="335"/>
      <c r="FE301" s="335"/>
      <c r="FF301" s="335"/>
      <c r="FG301" s="335"/>
      <c r="FH301" s="335"/>
      <c r="FI301" s="335"/>
      <c r="FJ301" s="335"/>
      <c r="FK301" s="335"/>
      <c r="FL301" s="335"/>
      <c r="FM301" s="335"/>
      <c r="FN301" s="335"/>
      <c r="FO301" s="335"/>
      <c r="FP301" s="335"/>
      <c r="FQ301" s="335"/>
      <c r="FR301" s="335"/>
      <c r="FS301" s="335"/>
      <c r="FT301" s="335"/>
      <c r="FU301" s="335"/>
      <c r="FV301" s="335"/>
      <c r="FW301" s="335"/>
      <c r="FX301" s="335"/>
      <c r="FY301" s="335"/>
      <c r="FZ301" s="335"/>
      <c r="GA301" s="335"/>
      <c r="GB301" s="335"/>
      <c r="GC301" s="335"/>
      <c r="GD301" s="335"/>
      <c r="GE301" s="335"/>
      <c r="GF301" s="335"/>
      <c r="GG301" s="335"/>
      <c r="GH301" s="335"/>
      <c r="GI301" s="335"/>
      <c r="GJ301" s="335"/>
      <c r="GK301" s="335"/>
      <c r="GL301" s="335"/>
      <c r="GM301" s="335"/>
      <c r="GN301" s="335"/>
      <c r="GO301" s="335"/>
      <c r="GP301" s="335"/>
      <c r="GQ301" s="335"/>
      <c r="GR301" s="335"/>
      <c r="GS301" s="335"/>
      <c r="GT301" s="335"/>
      <c r="GU301" s="335"/>
      <c r="GV301" s="335"/>
      <c r="GW301" s="335"/>
      <c r="GX301" s="335"/>
      <c r="GY301" s="335"/>
      <c r="GZ301" s="335"/>
    </row>
    <row r="302" spans="1:208" ht="15">
      <c r="A302" s="379"/>
      <c r="B302" s="335"/>
      <c r="C302" s="335"/>
      <c r="D302" s="335"/>
      <c r="E302" s="335"/>
      <c r="F302" s="335"/>
      <c r="G302" s="335"/>
      <c r="H302" s="335"/>
      <c r="I302" s="335"/>
      <c r="J302" s="335"/>
      <c r="K302" s="335"/>
      <c r="L302" s="335"/>
      <c r="M302" s="376"/>
      <c r="N302" s="335"/>
      <c r="O302" s="380"/>
      <c r="P302" s="335"/>
      <c r="Q302" s="335"/>
      <c r="R302" s="335"/>
      <c r="S302" s="335"/>
      <c r="T302" s="335"/>
      <c r="U302" s="335"/>
      <c r="V302" s="335"/>
      <c r="W302" s="335"/>
      <c r="X302" s="335"/>
      <c r="Y302" s="335"/>
      <c r="Z302" s="335"/>
      <c r="AA302" s="335"/>
      <c r="AB302" s="335"/>
      <c r="AC302" s="335"/>
      <c r="AD302" s="335"/>
      <c r="AE302" s="335"/>
      <c r="AF302" s="335"/>
      <c r="AG302" s="335"/>
      <c r="AH302" s="335"/>
      <c r="AI302" s="335"/>
      <c r="AJ302" s="335"/>
      <c r="AK302" s="335"/>
      <c r="AL302" s="335"/>
      <c r="AM302" s="335"/>
      <c r="AN302" s="335"/>
      <c r="AO302" s="335"/>
      <c r="AP302" s="335"/>
      <c r="AQ302" s="335"/>
      <c r="AR302" s="335"/>
      <c r="AS302" s="335"/>
      <c r="AT302" s="335"/>
      <c r="AU302" s="335"/>
      <c r="AV302" s="335"/>
      <c r="AW302" s="335"/>
      <c r="AX302" s="335"/>
      <c r="AY302" s="335"/>
      <c r="AZ302" s="335"/>
      <c r="BA302" s="335"/>
      <c r="BB302" s="335"/>
      <c r="BC302" s="335"/>
      <c r="BD302" s="335"/>
      <c r="BE302" s="335"/>
      <c r="BF302" s="335"/>
      <c r="BG302" s="335"/>
      <c r="BH302" s="335"/>
      <c r="BI302" s="335"/>
      <c r="BJ302" s="335"/>
      <c r="BK302" s="335"/>
      <c r="BL302" s="335"/>
      <c r="BM302" s="335"/>
      <c r="BN302" s="335"/>
      <c r="BO302" s="335"/>
      <c r="BP302" s="335"/>
      <c r="BQ302" s="335"/>
      <c r="BR302" s="335"/>
      <c r="BS302" s="335"/>
      <c r="BT302" s="335"/>
      <c r="BU302" s="335"/>
      <c r="BV302" s="335"/>
      <c r="BW302" s="335"/>
      <c r="BX302" s="335"/>
      <c r="BY302" s="335"/>
      <c r="BZ302" s="335"/>
      <c r="CA302" s="335"/>
      <c r="CB302" s="335"/>
      <c r="CC302" s="335"/>
      <c r="CD302" s="335"/>
      <c r="CE302" s="335"/>
      <c r="CF302" s="335"/>
      <c r="CG302" s="335"/>
      <c r="CH302" s="335"/>
      <c r="CI302" s="335"/>
      <c r="CJ302" s="335"/>
      <c r="CK302" s="335"/>
      <c r="CL302" s="335"/>
      <c r="CM302" s="335"/>
      <c r="CN302" s="335"/>
      <c r="CO302" s="335"/>
      <c r="CP302" s="335"/>
      <c r="CQ302" s="335"/>
      <c r="CR302" s="335"/>
      <c r="CS302" s="335"/>
      <c r="CT302" s="335"/>
      <c r="CU302" s="335"/>
      <c r="CV302" s="335"/>
      <c r="CW302" s="335"/>
      <c r="CX302" s="335"/>
      <c r="CY302" s="335"/>
      <c r="CZ302" s="335"/>
      <c r="DA302" s="335"/>
      <c r="DB302" s="335"/>
      <c r="DC302" s="335"/>
      <c r="DD302" s="335"/>
      <c r="DE302" s="335"/>
      <c r="DF302" s="335"/>
      <c r="DG302" s="335"/>
      <c r="DH302" s="335"/>
      <c r="DI302" s="335"/>
      <c r="DJ302" s="335"/>
      <c r="DK302" s="335"/>
      <c r="DL302" s="335"/>
      <c r="DM302" s="335"/>
      <c r="DN302" s="335"/>
      <c r="DO302" s="335"/>
      <c r="DP302" s="335"/>
      <c r="DQ302" s="335"/>
      <c r="DR302" s="335"/>
      <c r="DS302" s="335"/>
      <c r="DT302" s="335"/>
      <c r="DU302" s="335"/>
      <c r="DV302" s="335"/>
      <c r="DW302" s="335"/>
      <c r="DX302" s="335"/>
      <c r="DY302" s="335"/>
      <c r="DZ302" s="335"/>
      <c r="EA302" s="335"/>
      <c r="EB302" s="335"/>
      <c r="EC302" s="335"/>
      <c r="ED302" s="335"/>
      <c r="EE302" s="335"/>
      <c r="EF302" s="335"/>
      <c r="EG302" s="335"/>
      <c r="EH302" s="335"/>
      <c r="EI302" s="335"/>
      <c r="EJ302" s="335"/>
      <c r="EK302" s="335"/>
      <c r="EL302" s="335"/>
      <c r="EM302" s="335"/>
      <c r="EN302" s="335"/>
      <c r="EO302" s="335"/>
      <c r="EP302" s="335"/>
      <c r="EQ302" s="335"/>
      <c r="ER302" s="335"/>
      <c r="ES302" s="335"/>
      <c r="ET302" s="335"/>
      <c r="EU302" s="335"/>
      <c r="EV302" s="335"/>
      <c r="EW302" s="335"/>
      <c r="EX302" s="335"/>
      <c r="EY302" s="335"/>
      <c r="EZ302" s="335"/>
      <c r="FA302" s="335"/>
      <c r="FB302" s="335"/>
      <c r="FC302" s="335"/>
      <c r="FD302" s="335"/>
      <c r="FE302" s="335"/>
      <c r="FF302" s="335"/>
      <c r="FG302" s="335"/>
      <c r="FH302" s="335"/>
      <c r="FI302" s="335"/>
      <c r="FJ302" s="335"/>
      <c r="FK302" s="335"/>
      <c r="FL302" s="335"/>
      <c r="FM302" s="335"/>
      <c r="FN302" s="335"/>
      <c r="FO302" s="335"/>
      <c r="FP302" s="335"/>
      <c r="FQ302" s="335"/>
      <c r="FR302" s="335"/>
      <c r="FS302" s="335"/>
      <c r="FT302" s="335"/>
      <c r="FU302" s="335"/>
      <c r="FV302" s="335"/>
      <c r="FW302" s="335"/>
      <c r="FX302" s="335"/>
      <c r="FY302" s="335"/>
      <c r="FZ302" s="335"/>
      <c r="GA302" s="335"/>
      <c r="GB302" s="335"/>
      <c r="GC302" s="335"/>
      <c r="GD302" s="335"/>
      <c r="GE302" s="335"/>
      <c r="GF302" s="335"/>
      <c r="GG302" s="335"/>
      <c r="GH302" s="335"/>
      <c r="GI302" s="335"/>
      <c r="GJ302" s="335"/>
      <c r="GK302" s="335"/>
      <c r="GL302" s="335"/>
      <c r="GM302" s="335"/>
      <c r="GN302" s="335"/>
      <c r="GO302" s="335"/>
      <c r="GP302" s="335"/>
      <c r="GQ302" s="335"/>
      <c r="GR302" s="335"/>
      <c r="GS302" s="335"/>
      <c r="GT302" s="335"/>
      <c r="GU302" s="335"/>
      <c r="GV302" s="335"/>
      <c r="GW302" s="335"/>
      <c r="GX302" s="335"/>
      <c r="GY302" s="335"/>
      <c r="GZ302" s="335"/>
    </row>
    <row r="303" spans="1:208" ht="15">
      <c r="A303" s="379"/>
      <c r="B303" s="335"/>
      <c r="C303" s="335"/>
      <c r="D303" s="335"/>
      <c r="E303" s="335"/>
      <c r="F303" s="335"/>
      <c r="G303" s="335"/>
      <c r="H303" s="335"/>
      <c r="I303" s="335"/>
      <c r="J303" s="335"/>
      <c r="K303" s="335"/>
      <c r="L303" s="335"/>
      <c r="M303" s="376"/>
      <c r="N303" s="335"/>
      <c r="O303" s="380"/>
      <c r="P303" s="335"/>
      <c r="Q303" s="335"/>
      <c r="R303" s="335"/>
      <c r="S303" s="335"/>
      <c r="T303" s="335"/>
      <c r="U303" s="335"/>
      <c r="V303" s="335"/>
      <c r="W303" s="335"/>
      <c r="X303" s="335"/>
      <c r="Y303" s="335"/>
      <c r="Z303" s="335"/>
      <c r="AA303" s="335"/>
      <c r="AB303" s="335"/>
      <c r="AC303" s="335"/>
      <c r="AD303" s="335"/>
      <c r="AE303" s="335"/>
      <c r="AF303" s="335"/>
      <c r="AG303" s="335"/>
      <c r="AH303" s="335"/>
      <c r="AI303" s="335"/>
      <c r="AJ303" s="335"/>
      <c r="AK303" s="335"/>
      <c r="AL303" s="335"/>
      <c r="AM303" s="335"/>
      <c r="AN303" s="335"/>
      <c r="AO303" s="335"/>
      <c r="AP303" s="335"/>
      <c r="AQ303" s="335"/>
      <c r="AR303" s="335"/>
      <c r="AS303" s="335"/>
      <c r="AT303" s="335"/>
      <c r="AU303" s="335"/>
      <c r="AV303" s="335"/>
      <c r="AW303" s="335"/>
      <c r="AX303" s="335"/>
      <c r="AY303" s="335"/>
      <c r="AZ303" s="335"/>
      <c r="BA303" s="335"/>
      <c r="BB303" s="335"/>
      <c r="BC303" s="335"/>
      <c r="BD303" s="335"/>
      <c r="BE303" s="335"/>
      <c r="BF303" s="335"/>
      <c r="BG303" s="335"/>
      <c r="BH303" s="335"/>
      <c r="BI303" s="335"/>
      <c r="BJ303" s="335"/>
      <c r="BK303" s="335"/>
      <c r="BL303" s="335"/>
      <c r="BM303" s="335"/>
      <c r="BN303" s="335"/>
      <c r="BO303" s="335"/>
      <c r="BP303" s="335"/>
      <c r="BQ303" s="335"/>
      <c r="BR303" s="335"/>
      <c r="BS303" s="335"/>
      <c r="BT303" s="335"/>
      <c r="BU303" s="335"/>
      <c r="BV303" s="335"/>
      <c r="BW303" s="335"/>
      <c r="BX303" s="335"/>
      <c r="BY303" s="335"/>
      <c r="BZ303" s="335"/>
      <c r="CA303" s="335"/>
      <c r="CB303" s="335"/>
      <c r="CC303" s="335"/>
      <c r="CD303" s="335"/>
      <c r="CE303" s="335"/>
      <c r="CF303" s="335"/>
      <c r="CG303" s="335"/>
      <c r="CH303" s="335"/>
      <c r="CI303" s="335"/>
      <c r="CJ303" s="335"/>
      <c r="CK303" s="335"/>
      <c r="CL303" s="335"/>
      <c r="CM303" s="335"/>
      <c r="CN303" s="335"/>
      <c r="CO303" s="335"/>
      <c r="CP303" s="335"/>
      <c r="CQ303" s="335"/>
      <c r="CR303" s="335"/>
      <c r="CS303" s="335"/>
      <c r="CT303" s="335"/>
      <c r="CU303" s="335"/>
      <c r="CV303" s="335"/>
      <c r="CW303" s="335"/>
      <c r="CX303" s="335"/>
      <c r="CY303" s="335"/>
      <c r="CZ303" s="335"/>
      <c r="DA303" s="335"/>
      <c r="DB303" s="335"/>
      <c r="DC303" s="335"/>
      <c r="DD303" s="335"/>
      <c r="DE303" s="335"/>
      <c r="DF303" s="335"/>
      <c r="DG303" s="335"/>
      <c r="DH303" s="335"/>
      <c r="DI303" s="335"/>
      <c r="DJ303" s="335"/>
      <c r="DK303" s="335"/>
      <c r="DL303" s="335"/>
      <c r="DM303" s="335"/>
      <c r="DN303" s="335"/>
      <c r="DO303" s="335"/>
      <c r="DP303" s="335"/>
      <c r="DQ303" s="335"/>
      <c r="DR303" s="335"/>
      <c r="DS303" s="335"/>
      <c r="DT303" s="335"/>
      <c r="DU303" s="335"/>
      <c r="DV303" s="335"/>
      <c r="DW303" s="335"/>
      <c r="DX303" s="335"/>
      <c r="DY303" s="335"/>
      <c r="DZ303" s="335"/>
      <c r="EA303" s="335"/>
      <c r="EB303" s="335"/>
      <c r="EC303" s="335"/>
      <c r="ED303" s="335"/>
      <c r="EE303" s="335"/>
      <c r="EF303" s="335"/>
      <c r="EG303" s="335"/>
      <c r="EH303" s="335"/>
      <c r="EI303" s="335"/>
      <c r="EJ303" s="335"/>
      <c r="EK303" s="335"/>
      <c r="EL303" s="335"/>
      <c r="EM303" s="335"/>
      <c r="EN303" s="335"/>
      <c r="EO303" s="335"/>
      <c r="EP303" s="335"/>
      <c r="EQ303" s="335"/>
      <c r="ER303" s="335"/>
      <c r="ES303" s="335"/>
      <c r="ET303" s="335"/>
      <c r="EU303" s="335"/>
      <c r="EV303" s="335"/>
      <c r="EW303" s="335"/>
      <c r="EX303" s="335"/>
      <c r="EY303" s="335"/>
      <c r="EZ303" s="335"/>
      <c r="FA303" s="335"/>
      <c r="FB303" s="335"/>
      <c r="FC303" s="335"/>
      <c r="FD303" s="335"/>
      <c r="FE303" s="335"/>
      <c r="FF303" s="335"/>
      <c r="FG303" s="335"/>
      <c r="FH303" s="335"/>
      <c r="FI303" s="335"/>
      <c r="FJ303" s="335"/>
      <c r="FK303" s="335"/>
      <c r="FL303" s="335"/>
      <c r="FM303" s="335"/>
      <c r="FN303" s="335"/>
      <c r="FO303" s="335"/>
      <c r="FP303" s="335"/>
      <c r="FQ303" s="335"/>
      <c r="FR303" s="335"/>
      <c r="FS303" s="335"/>
      <c r="FT303" s="335"/>
      <c r="FU303" s="335"/>
      <c r="FV303" s="335"/>
      <c r="FW303" s="335"/>
      <c r="FX303" s="335"/>
      <c r="FY303" s="335"/>
      <c r="FZ303" s="335"/>
      <c r="GA303" s="335"/>
      <c r="GB303" s="335"/>
      <c r="GC303" s="335"/>
      <c r="GD303" s="335"/>
      <c r="GE303" s="335"/>
      <c r="GF303" s="335"/>
      <c r="GG303" s="335"/>
      <c r="GH303" s="335"/>
      <c r="GI303" s="335"/>
      <c r="GJ303" s="335"/>
      <c r="GK303" s="335"/>
      <c r="GL303" s="335"/>
      <c r="GM303" s="335"/>
      <c r="GN303" s="335"/>
      <c r="GO303" s="335"/>
      <c r="GP303" s="335"/>
      <c r="GQ303" s="335"/>
      <c r="GR303" s="335"/>
      <c r="GS303" s="335"/>
      <c r="GT303" s="335"/>
      <c r="GU303" s="335"/>
      <c r="GV303" s="335"/>
      <c r="GW303" s="335"/>
      <c r="GX303" s="335"/>
      <c r="GY303" s="335"/>
      <c r="GZ303" s="335"/>
    </row>
    <row r="304" spans="1:208" ht="15">
      <c r="A304" s="379"/>
      <c r="B304" s="335"/>
      <c r="C304" s="335"/>
      <c r="D304" s="335"/>
      <c r="E304" s="335"/>
      <c r="F304" s="335"/>
      <c r="G304" s="335"/>
      <c r="H304" s="335"/>
      <c r="I304" s="335"/>
      <c r="J304" s="335"/>
      <c r="K304" s="335"/>
      <c r="L304" s="335"/>
      <c r="M304" s="376"/>
      <c r="N304" s="335"/>
      <c r="O304" s="380"/>
      <c r="P304" s="335"/>
      <c r="Q304" s="335"/>
      <c r="R304" s="335"/>
      <c r="S304" s="335"/>
      <c r="T304" s="335"/>
      <c r="U304" s="335"/>
      <c r="V304" s="335"/>
      <c r="W304" s="335"/>
      <c r="X304" s="335"/>
      <c r="Y304" s="335"/>
      <c r="Z304" s="335"/>
      <c r="AA304" s="335"/>
      <c r="AB304" s="335"/>
      <c r="AC304" s="335"/>
      <c r="AD304" s="335"/>
      <c r="AE304" s="335"/>
      <c r="AF304" s="335"/>
      <c r="AG304" s="335"/>
      <c r="AH304" s="335"/>
      <c r="AI304" s="335"/>
      <c r="AJ304" s="335"/>
      <c r="AK304" s="335"/>
      <c r="AL304" s="335"/>
      <c r="AM304" s="335"/>
      <c r="AN304" s="335"/>
      <c r="AO304" s="335"/>
      <c r="AP304" s="335"/>
      <c r="AQ304" s="335"/>
      <c r="AR304" s="335"/>
      <c r="AS304" s="335"/>
      <c r="AT304" s="335"/>
      <c r="AU304" s="335"/>
      <c r="AV304" s="335"/>
      <c r="AW304" s="335"/>
      <c r="AX304" s="335"/>
      <c r="AY304" s="335"/>
      <c r="AZ304" s="335"/>
      <c r="BA304" s="335"/>
      <c r="BB304" s="335"/>
      <c r="BC304" s="335"/>
      <c r="BD304" s="335"/>
      <c r="BE304" s="335"/>
      <c r="BF304" s="335"/>
      <c r="BG304" s="335"/>
      <c r="BH304" s="335"/>
      <c r="BI304" s="335"/>
      <c r="BJ304" s="335"/>
      <c r="BK304" s="335"/>
      <c r="BL304" s="335"/>
      <c r="BM304" s="335"/>
      <c r="BN304" s="335"/>
      <c r="BO304" s="335"/>
      <c r="BP304" s="335"/>
      <c r="BQ304" s="335"/>
      <c r="BR304" s="335"/>
      <c r="BS304" s="335"/>
      <c r="BT304" s="335"/>
      <c r="BU304" s="335"/>
      <c r="BV304" s="335"/>
      <c r="BW304" s="335"/>
      <c r="BX304" s="335"/>
      <c r="BY304" s="335"/>
      <c r="BZ304" s="335"/>
      <c r="CA304" s="335"/>
      <c r="CB304" s="335"/>
      <c r="CC304" s="335"/>
      <c r="CD304" s="335"/>
      <c r="CE304" s="335"/>
      <c r="CF304" s="335"/>
      <c r="CG304" s="335"/>
      <c r="CH304" s="335"/>
      <c r="CI304" s="335"/>
      <c r="CJ304" s="335"/>
      <c r="CK304" s="335"/>
      <c r="CL304" s="335"/>
      <c r="CM304" s="335"/>
      <c r="CN304" s="335"/>
      <c r="CO304" s="335"/>
      <c r="CP304" s="335"/>
      <c r="CQ304" s="335"/>
      <c r="CR304" s="335"/>
      <c r="CS304" s="335"/>
      <c r="CT304" s="335"/>
      <c r="CU304" s="335"/>
      <c r="CV304" s="335"/>
      <c r="CW304" s="335"/>
      <c r="CX304" s="335"/>
      <c r="CY304" s="335"/>
      <c r="CZ304" s="335"/>
      <c r="DA304" s="335"/>
      <c r="DB304" s="335"/>
      <c r="DC304" s="335"/>
      <c r="DD304" s="335"/>
      <c r="DE304" s="335"/>
      <c r="DF304" s="335"/>
      <c r="DG304" s="335"/>
      <c r="DH304" s="335"/>
      <c r="DI304" s="335"/>
      <c r="DJ304" s="335"/>
      <c r="DK304" s="335"/>
      <c r="DL304" s="335"/>
      <c r="DM304" s="335"/>
      <c r="DN304" s="335"/>
      <c r="DO304" s="335"/>
      <c r="DP304" s="335"/>
      <c r="DQ304" s="335"/>
      <c r="DR304" s="335"/>
      <c r="DS304" s="335"/>
      <c r="DT304" s="335"/>
      <c r="DU304" s="335"/>
      <c r="DV304" s="335"/>
      <c r="DW304" s="335"/>
      <c r="DX304" s="335"/>
      <c r="DY304" s="335"/>
      <c r="DZ304" s="335"/>
      <c r="EA304" s="335"/>
      <c r="EB304" s="335"/>
      <c r="EC304" s="335"/>
      <c r="ED304" s="335"/>
      <c r="EE304" s="335"/>
      <c r="EF304" s="335"/>
      <c r="EG304" s="335"/>
      <c r="EH304" s="335"/>
      <c r="EI304" s="335"/>
      <c r="EJ304" s="335"/>
      <c r="EK304" s="335"/>
      <c r="EL304" s="335"/>
      <c r="EM304" s="335"/>
      <c r="EN304" s="335"/>
      <c r="EO304" s="335"/>
      <c r="EP304" s="335"/>
      <c r="EQ304" s="335"/>
      <c r="ER304" s="335"/>
      <c r="ES304" s="335"/>
      <c r="ET304" s="335"/>
      <c r="EU304" s="335"/>
      <c r="EV304" s="335"/>
      <c r="EW304" s="335"/>
      <c r="EX304" s="335"/>
      <c r="EY304" s="335"/>
      <c r="EZ304" s="335"/>
      <c r="FA304" s="335"/>
      <c r="FB304" s="335"/>
      <c r="FC304" s="335"/>
      <c r="FD304" s="335"/>
      <c r="FE304" s="335"/>
      <c r="FF304" s="335"/>
      <c r="FG304" s="335"/>
      <c r="FH304" s="335"/>
      <c r="FI304" s="335"/>
      <c r="FJ304" s="335"/>
      <c r="FK304" s="335"/>
      <c r="FL304" s="335"/>
      <c r="FM304" s="335"/>
      <c r="FN304" s="335"/>
      <c r="FO304" s="335"/>
      <c r="FP304" s="335"/>
      <c r="FQ304" s="335"/>
      <c r="FR304" s="335"/>
      <c r="FS304" s="335"/>
      <c r="FT304" s="335"/>
      <c r="FU304" s="335"/>
      <c r="FV304" s="335"/>
      <c r="FW304" s="335"/>
      <c r="FX304" s="335"/>
      <c r="FY304" s="335"/>
      <c r="FZ304" s="335"/>
      <c r="GA304" s="335"/>
      <c r="GB304" s="335"/>
      <c r="GC304" s="335"/>
      <c r="GD304" s="335"/>
      <c r="GE304" s="335"/>
      <c r="GF304" s="335"/>
      <c r="GG304" s="335"/>
      <c r="GH304" s="335"/>
      <c r="GI304" s="335"/>
      <c r="GJ304" s="335"/>
      <c r="GK304" s="335"/>
      <c r="GL304" s="335"/>
      <c r="GM304" s="335"/>
      <c r="GN304" s="335"/>
      <c r="GO304" s="335"/>
      <c r="GP304" s="335"/>
      <c r="GQ304" s="335"/>
      <c r="GR304" s="335"/>
      <c r="GS304" s="335"/>
      <c r="GT304" s="335"/>
      <c r="GU304" s="335"/>
      <c r="GV304" s="335"/>
      <c r="GW304" s="335"/>
      <c r="GX304" s="335"/>
      <c r="GY304" s="335"/>
      <c r="GZ304" s="335"/>
    </row>
    <row r="305" spans="1:208" ht="15">
      <c r="A305" s="379"/>
      <c r="B305" s="335"/>
      <c r="C305" s="335"/>
      <c r="D305" s="335"/>
      <c r="E305" s="335"/>
      <c r="F305" s="335"/>
      <c r="G305" s="335"/>
      <c r="H305" s="335"/>
      <c r="I305" s="335"/>
      <c r="J305" s="335"/>
      <c r="K305" s="335"/>
      <c r="L305" s="335"/>
      <c r="M305" s="376"/>
      <c r="N305" s="335"/>
      <c r="O305" s="380"/>
      <c r="P305" s="335"/>
      <c r="Q305" s="335"/>
      <c r="R305" s="335"/>
      <c r="S305" s="335"/>
      <c r="T305" s="335"/>
      <c r="U305" s="335"/>
      <c r="V305" s="335"/>
      <c r="W305" s="335"/>
      <c r="X305" s="335"/>
      <c r="Y305" s="335"/>
      <c r="Z305" s="335"/>
      <c r="AA305" s="335"/>
      <c r="AB305" s="335"/>
      <c r="AC305" s="335"/>
      <c r="AD305" s="335"/>
      <c r="AE305" s="335"/>
      <c r="AF305" s="335"/>
      <c r="AG305" s="335"/>
      <c r="AH305" s="335"/>
      <c r="AI305" s="335"/>
      <c r="AJ305" s="335"/>
      <c r="AK305" s="335"/>
      <c r="AL305" s="335"/>
      <c r="AM305" s="335"/>
      <c r="AN305" s="335"/>
      <c r="AO305" s="335"/>
      <c r="AP305" s="335"/>
      <c r="AQ305" s="335"/>
      <c r="AR305" s="335"/>
      <c r="AS305" s="335"/>
      <c r="AT305" s="335"/>
      <c r="AU305" s="335"/>
      <c r="AV305" s="335"/>
      <c r="AW305" s="335"/>
      <c r="AX305" s="335"/>
      <c r="AY305" s="335"/>
      <c r="AZ305" s="335"/>
      <c r="BA305" s="335"/>
      <c r="BB305" s="335"/>
      <c r="BC305" s="335"/>
      <c r="BD305" s="335"/>
      <c r="BE305" s="335"/>
      <c r="BF305" s="335"/>
      <c r="BG305" s="335"/>
      <c r="BH305" s="335"/>
      <c r="BI305" s="335"/>
      <c r="BJ305" s="335"/>
      <c r="BK305" s="335"/>
      <c r="BL305" s="335"/>
      <c r="BM305" s="335"/>
      <c r="BN305" s="335"/>
      <c r="BO305" s="335"/>
      <c r="BP305" s="335"/>
      <c r="BQ305" s="335"/>
      <c r="BR305" s="335"/>
      <c r="BS305" s="335"/>
      <c r="BT305" s="335"/>
      <c r="BU305" s="335"/>
      <c r="BV305" s="335"/>
      <c r="BW305" s="335"/>
      <c r="BX305" s="335"/>
      <c r="BY305" s="335"/>
      <c r="BZ305" s="335"/>
      <c r="CA305" s="335"/>
      <c r="CB305" s="335"/>
      <c r="CC305" s="335"/>
      <c r="CD305" s="335"/>
      <c r="CE305" s="335"/>
      <c r="CF305" s="335"/>
      <c r="CG305" s="335"/>
      <c r="CH305" s="335"/>
      <c r="CI305" s="335"/>
      <c r="CJ305" s="335"/>
      <c r="CK305" s="335"/>
      <c r="CL305" s="335"/>
      <c r="CM305" s="335"/>
      <c r="CN305" s="335"/>
      <c r="CO305" s="335"/>
      <c r="CP305" s="335"/>
      <c r="CQ305" s="335"/>
      <c r="CR305" s="335"/>
      <c r="CS305" s="335"/>
      <c r="CT305" s="335"/>
      <c r="CU305" s="335"/>
      <c r="CV305" s="335"/>
      <c r="CW305" s="335"/>
      <c r="CX305" s="335"/>
      <c r="CY305" s="335"/>
      <c r="CZ305" s="335"/>
      <c r="DA305" s="335"/>
      <c r="DB305" s="335"/>
      <c r="DC305" s="335"/>
      <c r="DD305" s="335"/>
      <c r="DE305" s="335"/>
      <c r="DF305" s="335"/>
      <c r="DG305" s="335"/>
      <c r="DH305" s="335"/>
      <c r="DI305" s="335"/>
      <c r="DJ305" s="335"/>
      <c r="DK305" s="335"/>
      <c r="DL305" s="335"/>
      <c r="DM305" s="335"/>
      <c r="DN305" s="335"/>
      <c r="DO305" s="335"/>
      <c r="DP305" s="335"/>
      <c r="DQ305" s="335"/>
      <c r="DR305" s="335"/>
      <c r="DS305" s="335"/>
      <c r="DT305" s="335"/>
      <c r="DU305" s="335"/>
      <c r="DV305" s="335"/>
      <c r="DW305" s="335"/>
      <c r="DX305" s="335"/>
      <c r="DY305" s="335"/>
      <c r="DZ305" s="335"/>
      <c r="EA305" s="335"/>
      <c r="EB305" s="335"/>
      <c r="EC305" s="335"/>
      <c r="ED305" s="335"/>
      <c r="EE305" s="335"/>
      <c r="EF305" s="335"/>
      <c r="EG305" s="335"/>
      <c r="EH305" s="335"/>
      <c r="EI305" s="335"/>
      <c r="EJ305" s="335"/>
      <c r="EK305" s="335"/>
      <c r="EL305" s="335"/>
      <c r="EM305" s="335"/>
      <c r="EN305" s="335"/>
      <c r="EO305" s="335"/>
      <c r="EP305" s="335"/>
      <c r="EQ305" s="335"/>
      <c r="ER305" s="335"/>
      <c r="ES305" s="335"/>
      <c r="ET305" s="335"/>
      <c r="EU305" s="335"/>
      <c r="EV305" s="335"/>
      <c r="EW305" s="335"/>
      <c r="EX305" s="335"/>
      <c r="EY305" s="335"/>
      <c r="EZ305" s="335"/>
      <c r="FA305" s="335"/>
      <c r="FB305" s="335"/>
      <c r="FC305" s="335"/>
      <c r="FD305" s="335"/>
      <c r="FE305" s="335"/>
      <c r="FF305" s="335"/>
      <c r="FG305" s="335"/>
      <c r="FH305" s="335"/>
      <c r="FI305" s="335"/>
      <c r="FJ305" s="335"/>
      <c r="FK305" s="335"/>
      <c r="FL305" s="335"/>
      <c r="FM305" s="335"/>
      <c r="FN305" s="335"/>
      <c r="FO305" s="335"/>
      <c r="FP305" s="335"/>
      <c r="FQ305" s="335"/>
      <c r="FR305" s="335"/>
      <c r="FS305" s="335"/>
      <c r="FT305" s="335"/>
      <c r="FU305" s="335"/>
      <c r="FV305" s="335"/>
      <c r="FW305" s="335"/>
      <c r="FX305" s="335"/>
      <c r="FY305" s="335"/>
      <c r="FZ305" s="335"/>
      <c r="GA305" s="335"/>
      <c r="GB305" s="335"/>
      <c r="GC305" s="335"/>
      <c r="GD305" s="335"/>
      <c r="GE305" s="335"/>
      <c r="GF305" s="335"/>
      <c r="GG305" s="335"/>
      <c r="GH305" s="335"/>
      <c r="GI305" s="335"/>
      <c r="GJ305" s="335"/>
      <c r="GK305" s="335"/>
      <c r="GL305" s="335"/>
      <c r="GM305" s="335"/>
      <c r="GN305" s="335"/>
      <c r="GO305" s="335"/>
      <c r="GP305" s="335"/>
      <c r="GQ305" s="335"/>
      <c r="GR305" s="335"/>
      <c r="GS305" s="335"/>
      <c r="GT305" s="335"/>
      <c r="GU305" s="335"/>
      <c r="GV305" s="335"/>
      <c r="GW305" s="335"/>
      <c r="GX305" s="335"/>
      <c r="GY305" s="335"/>
      <c r="GZ305" s="335"/>
    </row>
    <row r="306" spans="1:208" ht="15">
      <c r="A306" s="379"/>
      <c r="B306" s="335"/>
      <c r="C306" s="335"/>
      <c r="D306" s="335"/>
      <c r="E306" s="335"/>
      <c r="F306" s="335"/>
      <c r="G306" s="335"/>
      <c r="H306" s="335"/>
      <c r="I306" s="335"/>
      <c r="J306" s="335"/>
      <c r="K306" s="335"/>
      <c r="L306" s="335"/>
      <c r="M306" s="376"/>
      <c r="N306" s="335"/>
      <c r="O306" s="380"/>
      <c r="P306" s="335"/>
      <c r="Q306" s="335"/>
      <c r="R306" s="335"/>
      <c r="S306" s="335"/>
      <c r="T306" s="335"/>
      <c r="U306" s="335"/>
      <c r="V306" s="335"/>
      <c r="W306" s="335"/>
      <c r="X306" s="335"/>
      <c r="Y306" s="335"/>
      <c r="Z306" s="335"/>
      <c r="AA306" s="335"/>
      <c r="AB306" s="335"/>
      <c r="AC306" s="335"/>
      <c r="AD306" s="335"/>
      <c r="AE306" s="335"/>
      <c r="AF306" s="335"/>
      <c r="AG306" s="335"/>
      <c r="AH306" s="335"/>
      <c r="AI306" s="335"/>
      <c r="AJ306" s="335"/>
      <c r="AK306" s="335"/>
      <c r="AL306" s="335"/>
      <c r="AM306" s="335"/>
      <c r="AN306" s="335"/>
      <c r="AO306" s="335"/>
      <c r="AP306" s="335"/>
      <c r="AQ306" s="335"/>
      <c r="AR306" s="335"/>
      <c r="AS306" s="335"/>
      <c r="AT306" s="335"/>
      <c r="AU306" s="335"/>
      <c r="AV306" s="335"/>
      <c r="AW306" s="335"/>
      <c r="AX306" s="335"/>
      <c r="AY306" s="335"/>
      <c r="AZ306" s="335"/>
      <c r="BA306" s="335"/>
      <c r="BB306" s="335"/>
      <c r="BC306" s="335"/>
      <c r="BD306" s="335"/>
      <c r="BE306" s="335"/>
      <c r="BF306" s="335"/>
      <c r="BG306" s="335"/>
      <c r="BH306" s="335"/>
      <c r="BI306" s="335"/>
      <c r="BJ306" s="335"/>
      <c r="BK306" s="335"/>
      <c r="BL306" s="335"/>
      <c r="BM306" s="335"/>
      <c r="BN306" s="335"/>
      <c r="BO306" s="335"/>
      <c r="BP306" s="335"/>
      <c r="BQ306" s="335"/>
      <c r="BR306" s="335"/>
      <c r="BS306" s="335"/>
      <c r="BT306" s="335"/>
      <c r="BU306" s="335"/>
      <c r="BV306" s="335"/>
      <c r="BW306" s="335"/>
      <c r="BX306" s="335"/>
      <c r="BY306" s="335"/>
      <c r="BZ306" s="335"/>
      <c r="CA306" s="335"/>
      <c r="CB306" s="335"/>
      <c r="CC306" s="335"/>
      <c r="CD306" s="335"/>
      <c r="CE306" s="335"/>
      <c r="CF306" s="335"/>
      <c r="CG306" s="335"/>
      <c r="CH306" s="335"/>
      <c r="CI306" s="335"/>
      <c r="CJ306" s="335"/>
      <c r="CK306" s="335"/>
      <c r="CL306" s="335"/>
      <c r="CM306" s="335"/>
      <c r="CN306" s="335"/>
      <c r="CO306" s="335"/>
      <c r="CP306" s="335"/>
      <c r="CQ306" s="335"/>
      <c r="CR306" s="335"/>
      <c r="CS306" s="335"/>
      <c r="CT306" s="335"/>
      <c r="CU306" s="335"/>
      <c r="CV306" s="335"/>
      <c r="CW306" s="335"/>
      <c r="CX306" s="335"/>
      <c r="CY306" s="335"/>
      <c r="CZ306" s="335"/>
      <c r="DA306" s="335"/>
      <c r="DB306" s="335"/>
      <c r="DC306" s="335"/>
      <c r="DD306" s="335"/>
      <c r="DE306" s="335"/>
      <c r="DF306" s="335"/>
      <c r="DG306" s="335"/>
      <c r="DH306" s="335"/>
      <c r="DI306" s="335"/>
      <c r="DJ306" s="335"/>
      <c r="DK306" s="335"/>
      <c r="DL306" s="335"/>
      <c r="DM306" s="335"/>
      <c r="DN306" s="335"/>
      <c r="DO306" s="335"/>
      <c r="DP306" s="335"/>
      <c r="DQ306" s="335"/>
      <c r="DR306" s="335"/>
      <c r="DS306" s="335"/>
      <c r="DT306" s="335"/>
      <c r="DU306" s="335"/>
      <c r="DV306" s="335"/>
      <c r="DW306" s="335"/>
      <c r="DX306" s="335"/>
      <c r="DY306" s="335"/>
      <c r="DZ306" s="335"/>
      <c r="EA306" s="335"/>
      <c r="EB306" s="335"/>
      <c r="EC306" s="335"/>
      <c r="ED306" s="335"/>
      <c r="EE306" s="335"/>
      <c r="EF306" s="335"/>
      <c r="EG306" s="335"/>
      <c r="EH306" s="335"/>
      <c r="EI306" s="335"/>
      <c r="EJ306" s="335"/>
      <c r="EK306" s="335"/>
      <c r="EL306" s="335"/>
      <c r="EM306" s="335"/>
      <c r="EN306" s="335"/>
      <c r="EO306" s="335"/>
      <c r="EP306" s="335"/>
      <c r="EQ306" s="335"/>
      <c r="ER306" s="335"/>
      <c r="ES306" s="335"/>
      <c r="ET306" s="335"/>
      <c r="EU306" s="335"/>
      <c r="EV306" s="335"/>
      <c r="EW306" s="335"/>
      <c r="EX306" s="335"/>
      <c r="EY306" s="335"/>
      <c r="EZ306" s="335"/>
      <c r="FA306" s="335"/>
      <c r="FB306" s="335"/>
      <c r="FC306" s="335"/>
      <c r="FD306" s="335"/>
      <c r="FE306" s="335"/>
      <c r="FF306" s="335"/>
      <c r="FG306" s="335"/>
      <c r="FH306" s="335"/>
      <c r="FI306" s="335"/>
      <c r="FJ306" s="335"/>
      <c r="FK306" s="335"/>
      <c r="FL306" s="335"/>
      <c r="FM306" s="335"/>
      <c r="FN306" s="335"/>
      <c r="FO306" s="335"/>
      <c r="FP306" s="335"/>
      <c r="FQ306" s="335"/>
      <c r="FR306" s="335"/>
      <c r="FS306" s="335"/>
      <c r="FT306" s="335"/>
      <c r="FU306" s="335"/>
      <c r="FV306" s="335"/>
      <c r="FW306" s="335"/>
      <c r="FX306" s="335"/>
      <c r="FY306" s="335"/>
      <c r="FZ306" s="335"/>
      <c r="GA306" s="335"/>
      <c r="GB306" s="335"/>
      <c r="GC306" s="335"/>
      <c r="GD306" s="335"/>
      <c r="GE306" s="335"/>
      <c r="GF306" s="335"/>
      <c r="GG306" s="335"/>
      <c r="GH306" s="335"/>
      <c r="GI306" s="335"/>
      <c r="GJ306" s="335"/>
      <c r="GK306" s="335"/>
      <c r="GL306" s="335"/>
      <c r="GM306" s="335"/>
      <c r="GN306" s="335"/>
      <c r="GO306" s="335"/>
      <c r="GP306" s="335"/>
      <c r="GQ306" s="335"/>
      <c r="GR306" s="335"/>
      <c r="GS306" s="335"/>
      <c r="GT306" s="335"/>
      <c r="GU306" s="335"/>
      <c r="GV306" s="335"/>
      <c r="GW306" s="335"/>
      <c r="GX306" s="335"/>
      <c r="GY306" s="335"/>
      <c r="GZ306" s="335"/>
    </row>
    <row r="307" spans="1:208" ht="15">
      <c r="A307" s="379"/>
      <c r="B307" s="335"/>
      <c r="C307" s="335"/>
      <c r="D307" s="335"/>
      <c r="E307" s="335"/>
      <c r="F307" s="335"/>
      <c r="G307" s="335"/>
      <c r="H307" s="335"/>
      <c r="I307" s="335"/>
      <c r="J307" s="335"/>
      <c r="K307" s="335"/>
      <c r="L307" s="335"/>
      <c r="M307" s="376"/>
      <c r="N307" s="335"/>
      <c r="O307" s="380"/>
      <c r="P307" s="335"/>
      <c r="Q307" s="335"/>
      <c r="R307" s="335"/>
      <c r="S307" s="335"/>
      <c r="T307" s="335"/>
      <c r="U307" s="335"/>
      <c r="V307" s="335"/>
      <c r="W307" s="335"/>
      <c r="X307" s="335"/>
      <c r="Y307" s="335"/>
      <c r="Z307" s="335"/>
      <c r="AA307" s="335"/>
      <c r="AB307" s="335"/>
      <c r="AC307" s="335"/>
      <c r="AD307" s="335"/>
      <c r="AE307" s="335"/>
      <c r="AF307" s="335"/>
      <c r="AG307" s="335"/>
      <c r="AH307" s="335"/>
      <c r="AI307" s="335"/>
      <c r="AJ307" s="335"/>
      <c r="AK307" s="335"/>
      <c r="AL307" s="335"/>
      <c r="AM307" s="335"/>
      <c r="AN307" s="335"/>
      <c r="AO307" s="335"/>
      <c r="AP307" s="335"/>
      <c r="AQ307" s="335"/>
      <c r="AR307" s="335"/>
      <c r="AS307" s="335"/>
      <c r="AT307" s="335"/>
      <c r="AU307" s="335"/>
      <c r="AV307" s="335"/>
      <c r="AW307" s="335"/>
      <c r="AX307" s="335"/>
      <c r="AY307" s="335"/>
      <c r="AZ307" s="335"/>
      <c r="BA307" s="335"/>
      <c r="BB307" s="335"/>
      <c r="BC307" s="335"/>
      <c r="BD307" s="335"/>
      <c r="BE307" s="335"/>
      <c r="BF307" s="335"/>
      <c r="BG307" s="335"/>
      <c r="BH307" s="335"/>
      <c r="BI307" s="335"/>
      <c r="BJ307" s="335"/>
      <c r="BK307" s="335"/>
      <c r="BL307" s="335"/>
      <c r="BM307" s="335"/>
      <c r="BN307" s="335"/>
      <c r="BO307" s="335"/>
      <c r="BP307" s="335"/>
      <c r="BQ307" s="335"/>
      <c r="BR307" s="335"/>
      <c r="BS307" s="335"/>
      <c r="BT307" s="335"/>
      <c r="BU307" s="335"/>
      <c r="BV307" s="335"/>
      <c r="BW307" s="335"/>
      <c r="BX307" s="335"/>
      <c r="BY307" s="335"/>
      <c r="BZ307" s="335"/>
      <c r="CA307" s="335"/>
      <c r="CB307" s="335"/>
      <c r="CC307" s="335"/>
      <c r="CD307" s="335"/>
      <c r="CE307" s="335"/>
      <c r="CF307" s="335"/>
      <c r="CG307" s="335"/>
      <c r="CH307" s="335"/>
      <c r="CI307" s="335"/>
      <c r="CJ307" s="335"/>
      <c r="CK307" s="335"/>
      <c r="CL307" s="335"/>
      <c r="CM307" s="335"/>
      <c r="CN307" s="335"/>
      <c r="CO307" s="335"/>
      <c r="CP307" s="335"/>
      <c r="CQ307" s="335"/>
      <c r="CR307" s="335"/>
      <c r="CS307" s="335"/>
      <c r="CT307" s="335"/>
      <c r="CU307" s="335"/>
      <c r="CV307" s="335"/>
      <c r="CW307" s="335"/>
      <c r="CX307" s="335"/>
      <c r="CY307" s="335"/>
      <c r="CZ307" s="335"/>
      <c r="DA307" s="335"/>
      <c r="DB307" s="335"/>
      <c r="DC307" s="335"/>
      <c r="DD307" s="335"/>
      <c r="DE307" s="335"/>
      <c r="DF307" s="335"/>
      <c r="DG307" s="335"/>
      <c r="DH307" s="335"/>
      <c r="DI307" s="335"/>
      <c r="DJ307" s="335"/>
      <c r="DK307" s="335"/>
      <c r="DL307" s="335"/>
      <c r="DM307" s="335"/>
      <c r="DN307" s="335"/>
      <c r="DO307" s="335"/>
      <c r="DP307" s="335"/>
      <c r="DQ307" s="335"/>
      <c r="DR307" s="335"/>
      <c r="DS307" s="335"/>
      <c r="DT307" s="335"/>
      <c r="DU307" s="335"/>
      <c r="DV307" s="335"/>
      <c r="DW307" s="335"/>
      <c r="DX307" s="335"/>
      <c r="DY307" s="335"/>
      <c r="DZ307" s="335"/>
      <c r="EA307" s="335"/>
      <c r="EB307" s="335"/>
      <c r="EC307" s="335"/>
      <c r="ED307" s="335"/>
      <c r="EE307" s="335"/>
      <c r="EF307" s="335"/>
      <c r="EG307" s="335"/>
      <c r="EH307" s="335"/>
      <c r="EI307" s="335"/>
      <c r="EJ307" s="335"/>
      <c r="EK307" s="335"/>
      <c r="EL307" s="335"/>
      <c r="EM307" s="335"/>
      <c r="EN307" s="335"/>
      <c r="EO307" s="335"/>
      <c r="EP307" s="335"/>
      <c r="EQ307" s="335"/>
      <c r="ER307" s="335"/>
      <c r="ES307" s="335"/>
      <c r="ET307" s="335"/>
      <c r="EU307" s="335"/>
      <c r="EV307" s="335"/>
      <c r="EW307" s="335"/>
      <c r="EX307" s="335"/>
      <c r="EY307" s="335"/>
      <c r="EZ307" s="335"/>
      <c r="FA307" s="335"/>
      <c r="FB307" s="335"/>
      <c r="FC307" s="335"/>
      <c r="FD307" s="335"/>
      <c r="FE307" s="335"/>
      <c r="FF307" s="335"/>
      <c r="FG307" s="335"/>
      <c r="FH307" s="335"/>
      <c r="FI307" s="335"/>
      <c r="FJ307" s="335"/>
      <c r="FK307" s="335"/>
      <c r="FL307" s="335"/>
      <c r="FM307" s="335"/>
      <c r="FN307" s="335"/>
      <c r="FO307" s="335"/>
      <c r="FP307" s="335"/>
      <c r="FQ307" s="335"/>
      <c r="FR307" s="335"/>
      <c r="FS307" s="335"/>
      <c r="FT307" s="335"/>
      <c r="FU307" s="335"/>
      <c r="FV307" s="335"/>
      <c r="FW307" s="335"/>
      <c r="FX307" s="335"/>
      <c r="FY307" s="335"/>
      <c r="FZ307" s="335"/>
      <c r="GA307" s="335"/>
      <c r="GB307" s="335"/>
      <c r="GC307" s="335"/>
      <c r="GD307" s="335"/>
      <c r="GE307" s="335"/>
      <c r="GF307" s="335"/>
      <c r="GG307" s="335"/>
      <c r="GH307" s="335"/>
      <c r="GI307" s="335"/>
      <c r="GJ307" s="335"/>
      <c r="GK307" s="335"/>
      <c r="GL307" s="335"/>
      <c r="GM307" s="335"/>
      <c r="GN307" s="335"/>
      <c r="GO307" s="335"/>
      <c r="GP307" s="335"/>
      <c r="GQ307" s="335"/>
      <c r="GR307" s="335"/>
      <c r="GS307" s="335"/>
      <c r="GT307" s="335"/>
      <c r="GU307" s="335"/>
      <c r="GV307" s="335"/>
      <c r="GW307" s="335"/>
      <c r="GX307" s="335"/>
      <c r="GY307" s="335"/>
      <c r="GZ307" s="335"/>
    </row>
    <row r="308" spans="1:208" ht="15">
      <c r="A308" s="379"/>
      <c r="B308" s="335"/>
      <c r="C308" s="335"/>
      <c r="D308" s="335"/>
      <c r="E308" s="335"/>
      <c r="F308" s="335"/>
      <c r="G308" s="335"/>
      <c r="H308" s="335"/>
      <c r="I308" s="335"/>
      <c r="J308" s="335"/>
      <c r="K308" s="335"/>
      <c r="L308" s="335"/>
      <c r="M308" s="376"/>
      <c r="N308" s="335"/>
      <c r="O308" s="380"/>
      <c r="P308" s="335"/>
      <c r="Q308" s="335"/>
      <c r="R308" s="335"/>
      <c r="S308" s="335"/>
      <c r="T308" s="335"/>
      <c r="U308" s="335"/>
      <c r="V308" s="335"/>
      <c r="W308" s="335"/>
      <c r="X308" s="335"/>
      <c r="Y308" s="335"/>
      <c r="Z308" s="335"/>
      <c r="AA308" s="335"/>
      <c r="AB308" s="335"/>
      <c r="AC308" s="335"/>
      <c r="AD308" s="335"/>
      <c r="AE308" s="335"/>
      <c r="AF308" s="335"/>
      <c r="AG308" s="335"/>
      <c r="AH308" s="335"/>
      <c r="AI308" s="335"/>
      <c r="AJ308" s="335"/>
      <c r="AK308" s="335"/>
      <c r="AL308" s="335"/>
      <c r="AM308" s="335"/>
      <c r="AN308" s="335"/>
      <c r="AO308" s="335"/>
      <c r="AP308" s="335"/>
      <c r="AQ308" s="335"/>
      <c r="AR308" s="335"/>
      <c r="AS308" s="335"/>
      <c r="AT308" s="335"/>
      <c r="AU308" s="335"/>
      <c r="AV308" s="335"/>
      <c r="AW308" s="335"/>
      <c r="AX308" s="335"/>
      <c r="AY308" s="335"/>
      <c r="AZ308" s="335"/>
      <c r="BA308" s="335"/>
      <c r="BB308" s="335"/>
      <c r="BC308" s="335"/>
      <c r="BD308" s="335"/>
      <c r="BE308" s="335"/>
      <c r="BF308" s="335"/>
      <c r="BG308" s="335"/>
      <c r="BH308" s="335"/>
      <c r="BI308" s="335"/>
      <c r="BJ308" s="335"/>
      <c r="BK308" s="335"/>
      <c r="BL308" s="335"/>
      <c r="BM308" s="335"/>
      <c r="BN308" s="335"/>
      <c r="BO308" s="335"/>
      <c r="BP308" s="335"/>
      <c r="BQ308" s="335"/>
      <c r="BR308" s="335"/>
      <c r="BS308" s="335"/>
      <c r="BT308" s="335"/>
      <c r="BU308" s="335"/>
      <c r="BV308" s="335"/>
      <c r="BW308" s="335"/>
      <c r="BX308" s="335"/>
      <c r="BY308" s="335"/>
      <c r="BZ308" s="335"/>
      <c r="CA308" s="335"/>
      <c r="CB308" s="335"/>
      <c r="CC308" s="335"/>
      <c r="CD308" s="335"/>
      <c r="CE308" s="335"/>
      <c r="CF308" s="335"/>
      <c r="CG308" s="335"/>
      <c r="CH308" s="335"/>
      <c r="CI308" s="335"/>
      <c r="CJ308" s="335"/>
      <c r="CK308" s="335"/>
      <c r="CL308" s="335"/>
      <c r="CM308" s="335"/>
      <c r="CN308" s="335"/>
      <c r="CO308" s="335"/>
      <c r="CP308" s="335"/>
      <c r="CQ308" s="335"/>
      <c r="CR308" s="335"/>
      <c r="CS308" s="335"/>
      <c r="CT308" s="335"/>
      <c r="CU308" s="335"/>
      <c r="CV308" s="335"/>
      <c r="CW308" s="335"/>
      <c r="CX308" s="335"/>
      <c r="CY308" s="335"/>
      <c r="CZ308" s="335"/>
      <c r="DA308" s="335"/>
      <c r="DB308" s="335"/>
      <c r="DC308" s="335"/>
      <c r="DD308" s="335"/>
      <c r="DE308" s="335"/>
      <c r="DF308" s="335"/>
      <c r="DG308" s="335"/>
      <c r="DH308" s="335"/>
      <c r="DI308" s="335"/>
      <c r="DJ308" s="335"/>
      <c r="DK308" s="335"/>
      <c r="DL308" s="335"/>
      <c r="DM308" s="335"/>
      <c r="DN308" s="335"/>
      <c r="DO308" s="335"/>
      <c r="DP308" s="335"/>
      <c r="DQ308" s="335"/>
      <c r="DR308" s="335"/>
      <c r="DS308" s="335"/>
      <c r="DT308" s="335"/>
      <c r="DU308" s="335"/>
      <c r="DV308" s="335"/>
      <c r="DW308" s="335"/>
      <c r="DX308" s="335"/>
      <c r="DY308" s="335"/>
      <c r="DZ308" s="335"/>
      <c r="EA308" s="335"/>
      <c r="EB308" s="335"/>
      <c r="EC308" s="335"/>
      <c r="ED308" s="335"/>
      <c r="EE308" s="335"/>
      <c r="EF308" s="335"/>
      <c r="EG308" s="335"/>
      <c r="EH308" s="335"/>
      <c r="EI308" s="335"/>
      <c r="EJ308" s="335"/>
      <c r="EK308" s="335"/>
      <c r="EL308" s="335"/>
      <c r="EM308" s="335"/>
      <c r="EN308" s="335"/>
      <c r="EO308" s="335"/>
      <c r="EP308" s="335"/>
      <c r="EQ308" s="335"/>
      <c r="ER308" s="335"/>
      <c r="ES308" s="335"/>
      <c r="ET308" s="335"/>
      <c r="EU308" s="335"/>
      <c r="EV308" s="335"/>
      <c r="EW308" s="335"/>
      <c r="EX308" s="335"/>
      <c r="EY308" s="335"/>
      <c r="EZ308" s="335"/>
      <c r="FA308" s="335"/>
      <c r="FB308" s="335"/>
      <c r="FC308" s="335"/>
      <c r="FD308" s="335"/>
      <c r="FE308" s="335"/>
      <c r="FF308" s="335"/>
      <c r="FG308" s="335"/>
      <c r="FH308" s="335"/>
      <c r="FI308" s="335"/>
      <c r="FJ308" s="335"/>
      <c r="FK308" s="335"/>
      <c r="FL308" s="335"/>
      <c r="FM308" s="335"/>
      <c r="FN308" s="335"/>
      <c r="FO308" s="335"/>
      <c r="FP308" s="335"/>
      <c r="FQ308" s="335"/>
      <c r="FR308" s="335"/>
      <c r="FS308" s="335"/>
      <c r="FT308" s="335"/>
      <c r="FU308" s="335"/>
      <c r="FV308" s="335"/>
      <c r="FW308" s="335"/>
      <c r="FX308" s="335"/>
      <c r="FY308" s="335"/>
      <c r="FZ308" s="335"/>
      <c r="GA308" s="335"/>
      <c r="GB308" s="335"/>
      <c r="GC308" s="335"/>
      <c r="GD308" s="335"/>
      <c r="GE308" s="335"/>
      <c r="GF308" s="335"/>
      <c r="GG308" s="335"/>
      <c r="GH308" s="335"/>
      <c r="GI308" s="335"/>
      <c r="GJ308" s="335"/>
      <c r="GK308" s="335"/>
      <c r="GL308" s="335"/>
      <c r="GM308" s="335"/>
      <c r="GN308" s="335"/>
      <c r="GO308" s="335"/>
      <c r="GP308" s="335"/>
      <c r="GQ308" s="335"/>
      <c r="GR308" s="335"/>
      <c r="GS308" s="335"/>
      <c r="GT308" s="335"/>
      <c r="GU308" s="335"/>
      <c r="GV308" s="335"/>
      <c r="GW308" s="335"/>
      <c r="GX308" s="335"/>
      <c r="GY308" s="335"/>
      <c r="GZ308" s="335"/>
    </row>
    <row r="309" spans="1:208" ht="15">
      <c r="A309" s="379"/>
      <c r="B309" s="335"/>
      <c r="C309" s="335"/>
      <c r="D309" s="335"/>
      <c r="E309" s="335"/>
      <c r="F309" s="335"/>
      <c r="G309" s="335"/>
      <c r="H309" s="335"/>
      <c r="I309" s="335"/>
      <c r="J309" s="335"/>
      <c r="K309" s="335"/>
      <c r="L309" s="335"/>
      <c r="M309" s="376"/>
      <c r="N309" s="335"/>
      <c r="O309" s="380"/>
      <c r="P309" s="335"/>
      <c r="Q309" s="335"/>
      <c r="R309" s="335"/>
      <c r="S309" s="335"/>
      <c r="T309" s="335"/>
      <c r="U309" s="335"/>
      <c r="V309" s="335"/>
      <c r="W309" s="335"/>
      <c r="X309" s="335"/>
      <c r="Y309" s="335"/>
      <c r="Z309" s="335"/>
      <c r="AA309" s="335"/>
      <c r="AB309" s="335"/>
      <c r="AC309" s="335"/>
      <c r="AD309" s="335"/>
      <c r="AE309" s="335"/>
      <c r="AF309" s="335"/>
      <c r="AG309" s="335"/>
      <c r="AH309" s="335"/>
      <c r="AI309" s="335"/>
      <c r="AJ309" s="335"/>
      <c r="AK309" s="335"/>
      <c r="AL309" s="335"/>
      <c r="AM309" s="335"/>
      <c r="AN309" s="335"/>
      <c r="AO309" s="335"/>
      <c r="AP309" s="335"/>
      <c r="AQ309" s="335"/>
      <c r="AR309" s="335"/>
      <c r="AS309" s="335"/>
      <c r="AT309" s="335"/>
      <c r="AU309" s="335"/>
      <c r="AV309" s="335"/>
      <c r="AW309" s="335"/>
      <c r="AX309" s="335"/>
      <c r="AY309" s="335"/>
      <c r="AZ309" s="335"/>
      <c r="BA309" s="335"/>
      <c r="BB309" s="335"/>
      <c r="BC309" s="335"/>
      <c r="BD309" s="335"/>
      <c r="BE309" s="335"/>
      <c r="BF309" s="335"/>
      <c r="BG309" s="335"/>
      <c r="BH309" s="335"/>
      <c r="BI309" s="335"/>
      <c r="BJ309" s="335"/>
      <c r="BK309" s="335"/>
      <c r="BL309" s="335"/>
      <c r="BM309" s="335"/>
      <c r="BN309" s="335"/>
      <c r="BO309" s="335"/>
      <c r="BP309" s="335"/>
      <c r="BQ309" s="335"/>
      <c r="BR309" s="335"/>
      <c r="BS309" s="335"/>
      <c r="BT309" s="335"/>
      <c r="BU309" s="335"/>
      <c r="BV309" s="335"/>
      <c r="BW309" s="335"/>
      <c r="BX309" s="335"/>
      <c r="BY309" s="335"/>
      <c r="BZ309" s="335"/>
      <c r="CA309" s="335"/>
      <c r="CB309" s="335"/>
      <c r="CC309" s="335"/>
      <c r="CD309" s="335"/>
      <c r="CE309" s="335"/>
      <c r="CF309" s="335"/>
      <c r="CG309" s="335"/>
      <c r="CH309" s="335"/>
      <c r="CI309" s="335"/>
      <c r="CJ309" s="335"/>
      <c r="CK309" s="335"/>
      <c r="CL309" s="335"/>
      <c r="CM309" s="335"/>
      <c r="CN309" s="335"/>
      <c r="CO309" s="335"/>
      <c r="CP309" s="335"/>
      <c r="CQ309" s="335"/>
      <c r="CR309" s="335"/>
      <c r="CS309" s="335"/>
      <c r="CT309" s="335"/>
      <c r="CU309" s="335"/>
      <c r="CV309" s="335"/>
      <c r="CW309" s="335"/>
      <c r="CX309" s="335"/>
      <c r="CY309" s="335"/>
      <c r="CZ309" s="335"/>
      <c r="DA309" s="335"/>
      <c r="DB309" s="335"/>
      <c r="DC309" s="335"/>
      <c r="DD309" s="335"/>
      <c r="DE309" s="335"/>
      <c r="DF309" s="335"/>
      <c r="DG309" s="335"/>
      <c r="DH309" s="335"/>
      <c r="DI309" s="335"/>
      <c r="DJ309" s="335"/>
      <c r="DK309" s="335"/>
      <c r="DL309" s="335"/>
      <c r="DM309" s="335"/>
      <c r="DN309" s="335"/>
      <c r="DO309" s="335"/>
      <c r="DP309" s="335"/>
      <c r="DQ309" s="335"/>
      <c r="DR309" s="335"/>
      <c r="DS309" s="335"/>
      <c r="DT309" s="335"/>
      <c r="DU309" s="335"/>
      <c r="DV309" s="335"/>
      <c r="DW309" s="335"/>
      <c r="DX309" s="335"/>
      <c r="DY309" s="335"/>
      <c r="DZ309" s="335"/>
      <c r="EA309" s="335"/>
      <c r="EB309" s="335"/>
      <c r="EC309" s="335"/>
      <c r="ED309" s="335"/>
      <c r="EE309" s="335"/>
      <c r="EF309" s="335"/>
      <c r="EG309" s="335"/>
      <c r="EH309" s="335"/>
      <c r="EI309" s="335"/>
      <c r="EJ309" s="335"/>
      <c r="EK309" s="335"/>
      <c r="EL309" s="335"/>
      <c r="EM309" s="335"/>
      <c r="EN309" s="335"/>
      <c r="EO309" s="335"/>
      <c r="EP309" s="335"/>
      <c r="EQ309" s="335"/>
      <c r="ER309" s="335"/>
      <c r="ES309" s="335"/>
      <c r="ET309" s="335"/>
      <c r="EU309" s="335"/>
      <c r="EV309" s="335"/>
      <c r="EW309" s="335"/>
      <c r="EX309" s="335"/>
      <c r="EY309" s="335"/>
      <c r="EZ309" s="335"/>
      <c r="FA309" s="335"/>
      <c r="FB309" s="335"/>
      <c r="FC309" s="335"/>
      <c r="FD309" s="335"/>
      <c r="FE309" s="335"/>
      <c r="FF309" s="335"/>
      <c r="FG309" s="335"/>
      <c r="FH309" s="335"/>
      <c r="FI309" s="335"/>
      <c r="FJ309" s="335"/>
      <c r="FK309" s="335"/>
      <c r="FL309" s="335"/>
      <c r="FM309" s="335"/>
      <c r="FN309" s="335"/>
      <c r="FO309" s="335"/>
      <c r="FP309" s="335"/>
      <c r="FQ309" s="335"/>
      <c r="FR309" s="335"/>
      <c r="FS309" s="335"/>
      <c r="FT309" s="335"/>
      <c r="FU309" s="335"/>
      <c r="FV309" s="335"/>
      <c r="FW309" s="335"/>
      <c r="FX309" s="335"/>
      <c r="FY309" s="335"/>
      <c r="FZ309" s="335"/>
      <c r="GA309" s="335"/>
      <c r="GB309" s="335"/>
      <c r="GC309" s="335"/>
      <c r="GD309" s="335"/>
      <c r="GE309" s="335"/>
      <c r="GF309" s="335"/>
      <c r="GG309" s="335"/>
      <c r="GH309" s="335"/>
      <c r="GI309" s="335"/>
      <c r="GJ309" s="335"/>
      <c r="GK309" s="335"/>
      <c r="GL309" s="335"/>
      <c r="GM309" s="335"/>
      <c r="GN309" s="335"/>
      <c r="GO309" s="335"/>
      <c r="GP309" s="335"/>
      <c r="GQ309" s="335"/>
      <c r="GR309" s="335"/>
      <c r="GS309" s="335"/>
      <c r="GT309" s="335"/>
      <c r="GU309" s="335"/>
      <c r="GV309" s="335"/>
      <c r="GW309" s="335"/>
      <c r="GX309" s="335"/>
      <c r="GY309" s="335"/>
      <c r="GZ309" s="335"/>
    </row>
    <row r="310" spans="1:208" ht="15">
      <c r="A310" s="379"/>
      <c r="B310" s="335"/>
      <c r="C310" s="335"/>
      <c r="D310" s="335"/>
      <c r="E310" s="335"/>
      <c r="F310" s="335"/>
      <c r="G310" s="335"/>
      <c r="H310" s="335"/>
      <c r="I310" s="335"/>
      <c r="J310" s="335"/>
      <c r="K310" s="335"/>
      <c r="L310" s="335"/>
      <c r="M310" s="376"/>
      <c r="N310" s="335"/>
      <c r="O310" s="380"/>
      <c r="P310" s="335"/>
      <c r="Q310" s="335"/>
      <c r="R310" s="335"/>
      <c r="S310" s="335"/>
      <c r="T310" s="335"/>
      <c r="U310" s="335"/>
      <c r="V310" s="335"/>
      <c r="W310" s="335"/>
      <c r="X310" s="335"/>
      <c r="Y310" s="335"/>
      <c r="Z310" s="335"/>
      <c r="AA310" s="335"/>
      <c r="AB310" s="335"/>
      <c r="AC310" s="335"/>
      <c r="AD310" s="335"/>
      <c r="AE310" s="335"/>
      <c r="AF310" s="335"/>
      <c r="AG310" s="335"/>
      <c r="AH310" s="335"/>
      <c r="AI310" s="335"/>
      <c r="AJ310" s="335"/>
      <c r="AK310" s="335"/>
      <c r="AL310" s="335"/>
      <c r="AM310" s="335"/>
      <c r="AN310" s="335"/>
      <c r="AO310" s="335"/>
      <c r="AP310" s="335"/>
      <c r="AQ310" s="335"/>
      <c r="AR310" s="335"/>
      <c r="AS310" s="335"/>
      <c r="AT310" s="335"/>
      <c r="AU310" s="335"/>
      <c r="AV310" s="335"/>
      <c r="AW310" s="335"/>
      <c r="AX310" s="335"/>
      <c r="AY310" s="335"/>
      <c r="AZ310" s="335"/>
      <c r="BA310" s="335"/>
      <c r="BB310" s="335"/>
      <c r="BC310" s="335"/>
      <c r="BD310" s="335"/>
      <c r="BE310" s="335"/>
      <c r="BF310" s="335"/>
      <c r="BG310" s="335"/>
      <c r="BH310" s="335"/>
      <c r="BI310" s="335"/>
      <c r="BJ310" s="335"/>
      <c r="BK310" s="335"/>
      <c r="BL310" s="335"/>
      <c r="BM310" s="335"/>
      <c r="BN310" s="335"/>
      <c r="BO310" s="335"/>
      <c r="BP310" s="335"/>
      <c r="BQ310" s="335"/>
      <c r="BR310" s="335"/>
      <c r="BS310" s="335"/>
      <c r="BT310" s="335"/>
      <c r="BU310" s="335"/>
      <c r="BV310" s="335"/>
      <c r="BW310" s="335"/>
      <c r="BX310" s="335"/>
      <c r="BY310" s="335"/>
      <c r="BZ310" s="335"/>
      <c r="CA310" s="335"/>
      <c r="CB310" s="335"/>
      <c r="CC310" s="335"/>
      <c r="CD310" s="335"/>
      <c r="CE310" s="335"/>
      <c r="CF310" s="335"/>
      <c r="CG310" s="335"/>
      <c r="CH310" s="335"/>
      <c r="CI310" s="335"/>
      <c r="CJ310" s="335"/>
      <c r="CK310" s="335"/>
      <c r="CL310" s="335"/>
      <c r="CM310" s="335"/>
      <c r="CN310" s="335"/>
      <c r="CO310" s="335"/>
      <c r="CP310" s="335"/>
      <c r="CQ310" s="335"/>
      <c r="CR310" s="335"/>
      <c r="CS310" s="335"/>
      <c r="CT310" s="335"/>
      <c r="CU310" s="335"/>
      <c r="CV310" s="335"/>
      <c r="CW310" s="335"/>
      <c r="CX310" s="335"/>
      <c r="CY310" s="335"/>
      <c r="CZ310" s="335"/>
      <c r="DA310" s="335"/>
      <c r="DB310" s="335"/>
      <c r="DC310" s="335"/>
      <c r="DD310" s="335"/>
      <c r="DE310" s="335"/>
      <c r="DF310" s="335"/>
      <c r="DG310" s="335"/>
      <c r="DH310" s="335"/>
      <c r="DI310" s="335"/>
      <c r="DJ310" s="335"/>
      <c r="DK310" s="335"/>
      <c r="DL310" s="335"/>
      <c r="DM310" s="335"/>
      <c r="DN310" s="335"/>
      <c r="DO310" s="335"/>
      <c r="DP310" s="335"/>
      <c r="DQ310" s="335"/>
      <c r="DR310" s="335"/>
      <c r="DS310" s="335"/>
      <c r="DT310" s="335"/>
      <c r="DU310" s="335"/>
      <c r="DV310" s="335"/>
      <c r="DW310" s="335"/>
      <c r="DX310" s="335"/>
      <c r="DY310" s="335"/>
      <c r="DZ310" s="335"/>
      <c r="EA310" s="335"/>
      <c r="EB310" s="335"/>
      <c r="EC310" s="335"/>
      <c r="ED310" s="335"/>
      <c r="EE310" s="335"/>
      <c r="EF310" s="335"/>
      <c r="EG310" s="335"/>
      <c r="EH310" s="335"/>
      <c r="EI310" s="335"/>
      <c r="EJ310" s="335"/>
      <c r="EK310" s="335"/>
      <c r="EL310" s="335"/>
      <c r="EM310" s="335"/>
      <c r="EN310" s="335"/>
      <c r="EO310" s="335"/>
      <c r="EP310" s="335"/>
      <c r="EQ310" s="335"/>
      <c r="ER310" s="335"/>
      <c r="ES310" s="335"/>
      <c r="ET310" s="335"/>
      <c r="EU310" s="335"/>
      <c r="EV310" s="335"/>
      <c r="EW310" s="335"/>
      <c r="EX310" s="335"/>
      <c r="EY310" s="335"/>
      <c r="EZ310" s="335"/>
      <c r="FA310" s="335"/>
      <c r="FB310" s="335"/>
      <c r="FC310" s="335"/>
      <c r="FD310" s="335"/>
      <c r="FE310" s="335"/>
      <c r="FF310" s="335"/>
      <c r="FG310" s="335"/>
      <c r="FH310" s="335"/>
      <c r="FI310" s="335"/>
      <c r="FJ310" s="335"/>
      <c r="FK310" s="335"/>
      <c r="FL310" s="335"/>
      <c r="FM310" s="335"/>
      <c r="FN310" s="335"/>
      <c r="FO310" s="335"/>
      <c r="FP310" s="335"/>
      <c r="FQ310" s="335"/>
      <c r="FR310" s="335"/>
      <c r="FS310" s="335"/>
      <c r="FT310" s="335"/>
      <c r="FU310" s="335"/>
      <c r="FV310" s="335"/>
      <c r="FW310" s="335"/>
      <c r="FX310" s="335"/>
      <c r="FY310" s="335"/>
      <c r="FZ310" s="335"/>
      <c r="GA310" s="335"/>
      <c r="GB310" s="335"/>
      <c r="GC310" s="335"/>
      <c r="GD310" s="335"/>
      <c r="GE310" s="335"/>
      <c r="GF310" s="335"/>
      <c r="GG310" s="335"/>
      <c r="GH310" s="335"/>
      <c r="GI310" s="335"/>
      <c r="GJ310" s="335"/>
      <c r="GK310" s="335"/>
      <c r="GL310" s="335"/>
      <c r="GM310" s="335"/>
      <c r="GN310" s="335"/>
      <c r="GO310" s="335"/>
      <c r="GP310" s="335"/>
      <c r="GQ310" s="335"/>
      <c r="GR310" s="335"/>
      <c r="GS310" s="335"/>
      <c r="GT310" s="335"/>
      <c r="GU310" s="335"/>
      <c r="GV310" s="335"/>
      <c r="GW310" s="335"/>
      <c r="GX310" s="335"/>
      <c r="GY310" s="335"/>
      <c r="GZ310" s="335"/>
    </row>
    <row r="311" spans="1:208" ht="15">
      <c r="A311" s="379"/>
      <c r="B311" s="335"/>
      <c r="C311" s="335"/>
      <c r="D311" s="335"/>
      <c r="E311" s="335"/>
      <c r="F311" s="335"/>
      <c r="G311" s="335"/>
      <c r="H311" s="335"/>
      <c r="I311" s="335"/>
      <c r="J311" s="335"/>
      <c r="K311" s="335"/>
      <c r="L311" s="335"/>
      <c r="M311" s="376"/>
      <c r="N311" s="335"/>
      <c r="O311" s="380"/>
      <c r="P311" s="335"/>
      <c r="Q311" s="335"/>
      <c r="R311" s="335"/>
      <c r="S311" s="335"/>
      <c r="T311" s="335"/>
      <c r="U311" s="335"/>
      <c r="V311" s="335"/>
      <c r="W311" s="335"/>
      <c r="X311" s="335"/>
      <c r="Y311" s="335"/>
      <c r="Z311" s="335"/>
      <c r="AA311" s="335"/>
      <c r="AB311" s="335"/>
      <c r="AC311" s="335"/>
      <c r="AD311" s="335"/>
      <c r="AE311" s="335"/>
      <c r="AF311" s="335"/>
      <c r="AG311" s="335"/>
      <c r="AH311" s="335"/>
      <c r="AI311" s="335"/>
      <c r="AJ311" s="335"/>
      <c r="AK311" s="335"/>
      <c r="AL311" s="335"/>
      <c r="AM311" s="335"/>
      <c r="AN311" s="335"/>
      <c r="AO311" s="335"/>
      <c r="AP311" s="335"/>
      <c r="AQ311" s="335"/>
      <c r="AR311" s="335"/>
      <c r="AS311" s="335"/>
      <c r="AT311" s="335"/>
      <c r="AU311" s="335"/>
      <c r="AV311" s="335"/>
      <c r="AW311" s="335"/>
      <c r="AX311" s="335"/>
      <c r="AY311" s="335"/>
      <c r="AZ311" s="335"/>
      <c r="BA311" s="335"/>
      <c r="BB311" s="335"/>
      <c r="BC311" s="335"/>
      <c r="BD311" s="335"/>
      <c r="BE311" s="335"/>
      <c r="BF311" s="335"/>
      <c r="BG311" s="335"/>
      <c r="BH311" s="335"/>
      <c r="BI311" s="335"/>
      <c r="BJ311" s="335"/>
      <c r="BK311" s="335"/>
      <c r="BL311" s="335"/>
      <c r="BM311" s="335"/>
      <c r="BN311" s="335"/>
      <c r="BO311" s="335"/>
      <c r="BP311" s="335"/>
      <c r="BQ311" s="335"/>
      <c r="BR311" s="335"/>
      <c r="BS311" s="335"/>
      <c r="BT311" s="335"/>
      <c r="BU311" s="335"/>
      <c r="BV311" s="335"/>
      <c r="BW311" s="335"/>
      <c r="BX311" s="335"/>
      <c r="BY311" s="335"/>
      <c r="BZ311" s="335"/>
      <c r="CA311" s="335"/>
      <c r="CB311" s="335"/>
      <c r="CC311" s="335"/>
      <c r="CD311" s="335"/>
      <c r="CE311" s="335"/>
      <c r="CF311" s="335"/>
      <c r="CG311" s="335"/>
      <c r="CH311" s="335"/>
      <c r="CI311" s="335"/>
      <c r="CJ311" s="335"/>
      <c r="CK311" s="335"/>
      <c r="CL311" s="335"/>
      <c r="CM311" s="335"/>
      <c r="CN311" s="335"/>
      <c r="CO311" s="335"/>
      <c r="CP311" s="335"/>
      <c r="CQ311" s="335"/>
      <c r="CR311" s="335"/>
      <c r="CS311" s="335"/>
      <c r="CT311" s="335"/>
      <c r="CU311" s="335"/>
      <c r="CV311" s="335"/>
      <c r="CW311" s="335"/>
      <c r="CX311" s="335"/>
      <c r="CY311" s="335"/>
      <c r="CZ311" s="335"/>
      <c r="DA311" s="335"/>
      <c r="DB311" s="335"/>
      <c r="DC311" s="335"/>
      <c r="DD311" s="335"/>
      <c r="DE311" s="335"/>
      <c r="DF311" s="335"/>
      <c r="DG311" s="335"/>
      <c r="DH311" s="335"/>
      <c r="DI311" s="335"/>
      <c r="DJ311" s="335"/>
      <c r="DK311" s="335"/>
      <c r="DL311" s="335"/>
      <c r="DM311" s="335"/>
      <c r="DN311" s="335"/>
      <c r="DO311" s="335"/>
      <c r="DP311" s="335"/>
      <c r="DQ311" s="335"/>
      <c r="DR311" s="335"/>
      <c r="DS311" s="335"/>
      <c r="DT311" s="335"/>
      <c r="DU311" s="335"/>
      <c r="DV311" s="335"/>
      <c r="DW311" s="335"/>
      <c r="DX311" s="335"/>
      <c r="DY311" s="335"/>
      <c r="DZ311" s="335"/>
      <c r="EA311" s="335"/>
      <c r="EB311" s="335"/>
      <c r="EC311" s="335"/>
      <c r="ED311" s="335"/>
      <c r="EE311" s="335"/>
      <c r="EF311" s="335"/>
      <c r="EG311" s="335"/>
      <c r="EH311" s="335"/>
      <c r="EI311" s="335"/>
      <c r="EJ311" s="335"/>
      <c r="EK311" s="335"/>
      <c r="EL311" s="335"/>
      <c r="EM311" s="335"/>
      <c r="EN311" s="335"/>
      <c r="EO311" s="335"/>
      <c r="EP311" s="335"/>
      <c r="EQ311" s="335"/>
      <c r="ER311" s="335"/>
      <c r="ES311" s="335"/>
      <c r="ET311" s="335"/>
      <c r="EU311" s="335"/>
      <c r="EV311" s="335"/>
      <c r="EW311" s="335"/>
      <c r="EX311" s="335"/>
      <c r="EY311" s="335"/>
      <c r="EZ311" s="335"/>
      <c r="FA311" s="335"/>
      <c r="FB311" s="335"/>
      <c r="FC311" s="335"/>
      <c r="FD311" s="335"/>
      <c r="FE311" s="335"/>
      <c r="FF311" s="335"/>
      <c r="FG311" s="335"/>
      <c r="FH311" s="335"/>
      <c r="FI311" s="335"/>
      <c r="FJ311" s="335"/>
      <c r="FK311" s="335"/>
      <c r="FL311" s="335"/>
      <c r="FM311" s="335"/>
      <c r="FN311" s="335"/>
      <c r="FO311" s="335"/>
      <c r="FP311" s="335"/>
      <c r="FQ311" s="335"/>
      <c r="FR311" s="335"/>
      <c r="FS311" s="335"/>
      <c r="FT311" s="335"/>
      <c r="FU311" s="335"/>
      <c r="FV311" s="335"/>
      <c r="FW311" s="335"/>
      <c r="FX311" s="335"/>
      <c r="FY311" s="335"/>
      <c r="FZ311" s="335"/>
      <c r="GA311" s="335"/>
      <c r="GB311" s="335"/>
      <c r="GC311" s="335"/>
      <c r="GD311" s="335"/>
      <c r="GE311" s="335"/>
      <c r="GF311" s="335"/>
      <c r="GG311" s="335"/>
      <c r="GH311" s="335"/>
      <c r="GI311" s="335"/>
      <c r="GJ311" s="335"/>
      <c r="GK311" s="335"/>
      <c r="GL311" s="335"/>
      <c r="GM311" s="335"/>
      <c r="GN311" s="335"/>
      <c r="GO311" s="335"/>
      <c r="GP311" s="335"/>
      <c r="GQ311" s="335"/>
      <c r="GR311" s="335"/>
      <c r="GS311" s="335"/>
      <c r="GT311" s="335"/>
      <c r="GU311" s="335"/>
      <c r="GV311" s="335"/>
      <c r="GW311" s="335"/>
      <c r="GX311" s="335"/>
      <c r="GY311" s="335"/>
      <c r="GZ311" s="335"/>
    </row>
    <row r="312" spans="1:208" ht="15">
      <c r="A312" s="379"/>
      <c r="B312" s="335"/>
      <c r="C312" s="335"/>
      <c r="D312" s="335"/>
      <c r="E312" s="335"/>
      <c r="F312" s="335"/>
      <c r="G312" s="335"/>
      <c r="H312" s="335"/>
      <c r="I312" s="335"/>
      <c r="J312" s="335"/>
      <c r="K312" s="335"/>
      <c r="L312" s="335"/>
      <c r="M312" s="376"/>
      <c r="N312" s="335"/>
      <c r="O312" s="380"/>
      <c r="P312" s="335"/>
      <c r="Q312" s="335"/>
      <c r="R312" s="335"/>
      <c r="S312" s="335"/>
      <c r="T312" s="335"/>
      <c r="U312" s="335"/>
      <c r="V312" s="335"/>
      <c r="W312" s="335"/>
      <c r="X312" s="335"/>
      <c r="Y312" s="335"/>
      <c r="Z312" s="335"/>
      <c r="AA312" s="335"/>
      <c r="AB312" s="335"/>
      <c r="AC312" s="335"/>
      <c r="AD312" s="335"/>
      <c r="AE312" s="335"/>
      <c r="AF312" s="335"/>
      <c r="AG312" s="335"/>
      <c r="AH312" s="335"/>
      <c r="AI312" s="335"/>
      <c r="AJ312" s="335"/>
      <c r="AK312" s="335"/>
      <c r="AL312" s="335"/>
      <c r="AM312" s="335"/>
      <c r="AN312" s="335"/>
      <c r="AO312" s="335"/>
      <c r="AP312" s="335"/>
      <c r="AQ312" s="335"/>
      <c r="AR312" s="335"/>
      <c r="AS312" s="335"/>
      <c r="AT312" s="335"/>
      <c r="AU312" s="335"/>
      <c r="AV312" s="335"/>
      <c r="AW312" s="335"/>
      <c r="AX312" s="335"/>
      <c r="AY312" s="335"/>
      <c r="AZ312" s="335"/>
      <c r="BA312" s="335"/>
      <c r="BB312" s="335"/>
      <c r="BC312" s="335"/>
      <c r="BD312" s="335"/>
      <c r="BE312" s="335"/>
      <c r="BF312" s="335"/>
      <c r="BG312" s="335"/>
      <c r="BH312" s="335"/>
      <c r="BI312" s="335"/>
      <c r="BJ312" s="335"/>
      <c r="BK312" s="335"/>
      <c r="BL312" s="335"/>
      <c r="BM312" s="335"/>
      <c r="BN312" s="335"/>
      <c r="BO312" s="335"/>
      <c r="BP312" s="335"/>
      <c r="BQ312" s="335"/>
      <c r="BR312" s="335"/>
      <c r="BS312" s="335"/>
      <c r="BT312" s="335"/>
      <c r="BU312" s="335"/>
      <c r="BV312" s="335"/>
      <c r="BW312" s="335"/>
      <c r="BX312" s="335"/>
      <c r="BY312" s="335"/>
      <c r="BZ312" s="335"/>
      <c r="CA312" s="335"/>
      <c r="CB312" s="335"/>
      <c r="CC312" s="335"/>
      <c r="CD312" s="335"/>
      <c r="CE312" s="335"/>
      <c r="CF312" s="335"/>
      <c r="CG312" s="335"/>
      <c r="CH312" s="335"/>
      <c r="CI312" s="335"/>
      <c r="CJ312" s="335"/>
      <c r="CK312" s="335"/>
      <c r="CL312" s="335"/>
      <c r="CM312" s="335"/>
      <c r="CN312" s="335"/>
      <c r="CO312" s="335"/>
      <c r="CP312" s="335"/>
      <c r="CQ312" s="335"/>
      <c r="CR312" s="335"/>
      <c r="CS312" s="335"/>
      <c r="CT312" s="335"/>
      <c r="CU312" s="335"/>
      <c r="CV312" s="335"/>
      <c r="CW312" s="335"/>
      <c r="CX312" s="335"/>
      <c r="CY312" s="335"/>
      <c r="CZ312" s="335"/>
      <c r="DA312" s="335"/>
      <c r="DB312" s="335"/>
      <c r="DC312" s="335"/>
      <c r="DD312" s="335"/>
      <c r="DE312" s="335"/>
      <c r="DF312" s="335"/>
      <c r="DG312" s="335"/>
      <c r="DH312" s="335"/>
      <c r="DI312" s="335"/>
      <c r="DJ312" s="335"/>
      <c r="DK312" s="335"/>
      <c r="DL312" s="335"/>
      <c r="DM312" s="335"/>
      <c r="DN312" s="335"/>
      <c r="DO312" s="335"/>
      <c r="DP312" s="335"/>
      <c r="DQ312" s="335"/>
      <c r="DR312" s="335"/>
      <c r="DS312" s="335"/>
      <c r="DT312" s="335"/>
      <c r="DU312" s="335"/>
      <c r="DV312" s="335"/>
      <c r="DW312" s="335"/>
      <c r="DX312" s="335"/>
      <c r="DY312" s="335"/>
      <c r="DZ312" s="335"/>
      <c r="EA312" s="335"/>
      <c r="EB312" s="335"/>
      <c r="EC312" s="335"/>
      <c r="ED312" s="335"/>
      <c r="EE312" s="335"/>
      <c r="EF312" s="335"/>
      <c r="EG312" s="335"/>
      <c r="EH312" s="335"/>
      <c r="EI312" s="335"/>
      <c r="EJ312" s="335"/>
      <c r="EK312" s="335"/>
      <c r="EL312" s="335"/>
      <c r="EM312" s="335"/>
      <c r="EN312" s="335"/>
      <c r="EO312" s="335"/>
      <c r="EP312" s="335"/>
      <c r="EQ312" s="335"/>
      <c r="ER312" s="335"/>
      <c r="ES312" s="335"/>
      <c r="ET312" s="335"/>
      <c r="EU312" s="335"/>
      <c r="EV312" s="335"/>
      <c r="EW312" s="335"/>
      <c r="EX312" s="335"/>
      <c r="EY312" s="335"/>
      <c r="EZ312" s="335"/>
      <c r="FA312" s="335"/>
      <c r="FB312" s="335"/>
      <c r="FC312" s="335"/>
      <c r="FD312" s="335"/>
      <c r="FE312" s="335"/>
      <c r="FF312" s="335"/>
      <c r="FG312" s="335"/>
      <c r="FH312" s="335"/>
      <c r="FI312" s="335"/>
      <c r="FJ312" s="335"/>
      <c r="FK312" s="335"/>
      <c r="FL312" s="335"/>
      <c r="FM312" s="335"/>
      <c r="FN312" s="335"/>
      <c r="FO312" s="335"/>
      <c r="FP312" s="335"/>
      <c r="FQ312" s="335"/>
      <c r="FR312" s="335"/>
      <c r="FS312" s="335"/>
      <c r="FT312" s="335"/>
      <c r="FU312" s="335"/>
      <c r="FV312" s="335"/>
      <c r="FW312" s="335"/>
      <c r="FX312" s="335"/>
      <c r="FY312" s="335"/>
      <c r="FZ312" s="335"/>
      <c r="GA312" s="335"/>
      <c r="GB312" s="335"/>
      <c r="GC312" s="335"/>
      <c r="GD312" s="335"/>
      <c r="GE312" s="335"/>
      <c r="GF312" s="335"/>
      <c r="GG312" s="335"/>
      <c r="GH312" s="335"/>
      <c r="GI312" s="335"/>
      <c r="GJ312" s="335"/>
      <c r="GK312" s="335"/>
      <c r="GL312" s="335"/>
      <c r="GM312" s="335"/>
      <c r="GN312" s="335"/>
      <c r="GO312" s="335"/>
      <c r="GP312" s="335"/>
      <c r="GQ312" s="335"/>
      <c r="GR312" s="335"/>
      <c r="GS312" s="335"/>
      <c r="GT312" s="335"/>
      <c r="GU312" s="335"/>
      <c r="GV312" s="335"/>
      <c r="GW312" s="335"/>
      <c r="GX312" s="335"/>
      <c r="GY312" s="335"/>
      <c r="GZ312" s="335"/>
    </row>
    <row r="313" spans="1:208" ht="15">
      <c r="A313" s="379"/>
      <c r="B313" s="335"/>
      <c r="C313" s="335"/>
      <c r="D313" s="335"/>
      <c r="E313" s="335"/>
      <c r="F313" s="335"/>
      <c r="G313" s="335"/>
      <c r="H313" s="335"/>
      <c r="I313" s="335"/>
      <c r="J313" s="335"/>
      <c r="K313" s="335"/>
      <c r="L313" s="335"/>
      <c r="M313" s="376"/>
      <c r="N313" s="335"/>
      <c r="O313" s="380"/>
      <c r="P313" s="335"/>
      <c r="Q313" s="335"/>
      <c r="R313" s="335"/>
      <c r="S313" s="335"/>
      <c r="T313" s="335"/>
      <c r="U313" s="335"/>
      <c r="V313" s="335"/>
      <c r="W313" s="335"/>
      <c r="X313" s="335"/>
      <c r="Y313" s="335"/>
      <c r="Z313" s="335"/>
      <c r="AA313" s="335"/>
      <c r="AB313" s="335"/>
      <c r="AC313" s="335"/>
      <c r="AD313" s="335"/>
      <c r="AE313" s="335"/>
      <c r="AF313" s="335"/>
      <c r="AG313" s="335"/>
      <c r="AH313" s="335"/>
      <c r="AI313" s="335"/>
      <c r="AJ313" s="335"/>
      <c r="AK313" s="335"/>
      <c r="AL313" s="335"/>
      <c r="AM313" s="335"/>
      <c r="AN313" s="335"/>
      <c r="AO313" s="335"/>
      <c r="AP313" s="335"/>
      <c r="AQ313" s="335"/>
      <c r="AR313" s="335"/>
      <c r="AS313" s="335"/>
      <c r="AT313" s="335"/>
      <c r="AU313" s="335"/>
      <c r="AV313" s="335"/>
      <c r="AW313" s="335"/>
      <c r="AX313" s="335"/>
      <c r="AY313" s="335"/>
      <c r="AZ313" s="335"/>
      <c r="BA313" s="335"/>
      <c r="BB313" s="335"/>
      <c r="BC313" s="335"/>
      <c r="BD313" s="335"/>
      <c r="BE313" s="335"/>
      <c r="BF313" s="335"/>
      <c r="BG313" s="335"/>
      <c r="BH313" s="335"/>
      <c r="BI313" s="335"/>
      <c r="BJ313" s="335"/>
      <c r="BK313" s="335"/>
      <c r="BL313" s="335"/>
      <c r="BM313" s="335"/>
      <c r="BN313" s="335"/>
      <c r="BO313" s="335"/>
      <c r="BP313" s="335"/>
      <c r="BQ313" s="335"/>
      <c r="BR313" s="335"/>
      <c r="BS313" s="335"/>
      <c r="BT313" s="335"/>
      <c r="BU313" s="335"/>
      <c r="BV313" s="335"/>
      <c r="BW313" s="335"/>
      <c r="BX313" s="335"/>
      <c r="BY313" s="335"/>
      <c r="BZ313" s="335"/>
      <c r="CA313" s="335"/>
      <c r="CB313" s="335"/>
      <c r="CC313" s="335"/>
      <c r="CD313" s="335"/>
      <c r="CE313" s="335"/>
      <c r="CF313" s="335"/>
      <c r="CG313" s="335"/>
      <c r="CH313" s="335"/>
      <c r="CI313" s="335"/>
      <c r="CJ313" s="335"/>
      <c r="CK313" s="335"/>
      <c r="CL313" s="335"/>
      <c r="CM313" s="335"/>
      <c r="CN313" s="335"/>
      <c r="CO313" s="335"/>
      <c r="CP313" s="335"/>
      <c r="CQ313" s="335"/>
      <c r="CR313" s="335"/>
      <c r="CS313" s="335"/>
      <c r="CT313" s="335"/>
      <c r="CU313" s="335"/>
      <c r="CV313" s="335"/>
      <c r="CW313" s="335"/>
      <c r="CX313" s="335"/>
      <c r="CY313" s="335"/>
      <c r="CZ313" s="335"/>
      <c r="DA313" s="335"/>
      <c r="DB313" s="335"/>
      <c r="DC313" s="335"/>
      <c r="DD313" s="335"/>
      <c r="DE313" s="335"/>
      <c r="DF313" s="335"/>
      <c r="DG313" s="335"/>
      <c r="DH313" s="335"/>
      <c r="DI313" s="335"/>
      <c r="DJ313" s="335"/>
      <c r="DK313" s="335"/>
      <c r="DL313" s="335"/>
      <c r="DM313" s="335"/>
      <c r="DN313" s="335"/>
      <c r="DO313" s="335"/>
      <c r="DP313" s="335"/>
      <c r="DQ313" s="335"/>
      <c r="DR313" s="335"/>
      <c r="DS313" s="335"/>
      <c r="DT313" s="335"/>
      <c r="DU313" s="335"/>
      <c r="DV313" s="335"/>
      <c r="DW313" s="335"/>
      <c r="DX313" s="335"/>
      <c r="DY313" s="335"/>
      <c r="DZ313" s="335"/>
      <c r="EA313" s="335"/>
      <c r="EB313" s="335"/>
      <c r="EC313" s="335"/>
      <c r="ED313" s="335"/>
      <c r="EE313" s="335"/>
      <c r="EF313" s="335"/>
      <c r="EG313" s="335"/>
      <c r="EH313" s="335"/>
      <c r="EI313" s="335"/>
      <c r="EJ313" s="335"/>
      <c r="EK313" s="335"/>
      <c r="EL313" s="335"/>
      <c r="EM313" s="335"/>
      <c r="EN313" s="335"/>
      <c r="EO313" s="335"/>
      <c r="EP313" s="335"/>
      <c r="EQ313" s="335"/>
      <c r="ER313" s="335"/>
      <c r="ES313" s="335"/>
      <c r="ET313" s="335"/>
      <c r="EU313" s="335"/>
      <c r="EV313" s="335"/>
      <c r="EW313" s="335"/>
      <c r="EX313" s="335"/>
      <c r="EY313" s="335"/>
      <c r="EZ313" s="335"/>
      <c r="FA313" s="335"/>
      <c r="FB313" s="335"/>
      <c r="FC313" s="335"/>
      <c r="FD313" s="335"/>
      <c r="FE313" s="335"/>
      <c r="FF313" s="335"/>
      <c r="FG313" s="335"/>
      <c r="FH313" s="335"/>
      <c r="FI313" s="335"/>
      <c r="FJ313" s="335"/>
      <c r="FK313" s="335"/>
      <c r="FL313" s="335"/>
      <c r="FM313" s="335"/>
      <c r="FN313" s="335"/>
      <c r="FO313" s="335"/>
      <c r="FP313" s="335"/>
      <c r="FQ313" s="335"/>
      <c r="FR313" s="335"/>
      <c r="FS313" s="335"/>
      <c r="FT313" s="335"/>
      <c r="FU313" s="335"/>
      <c r="FV313" s="335"/>
      <c r="FW313" s="335"/>
      <c r="FX313" s="335"/>
      <c r="FY313" s="335"/>
      <c r="FZ313" s="335"/>
      <c r="GA313" s="335"/>
      <c r="GB313" s="335"/>
      <c r="GC313" s="335"/>
      <c r="GD313" s="335"/>
      <c r="GE313" s="335"/>
      <c r="GF313" s="335"/>
      <c r="GG313" s="335"/>
      <c r="GH313" s="335"/>
      <c r="GI313" s="335"/>
      <c r="GJ313" s="335"/>
      <c r="GK313" s="335"/>
      <c r="GL313" s="335"/>
      <c r="GM313" s="335"/>
      <c r="GN313" s="335"/>
      <c r="GO313" s="335"/>
      <c r="GP313" s="335"/>
      <c r="GQ313" s="335"/>
      <c r="GR313" s="335"/>
      <c r="GS313" s="335"/>
      <c r="GT313" s="335"/>
      <c r="GU313" s="335"/>
      <c r="GV313" s="335"/>
      <c r="GW313" s="335"/>
      <c r="GX313" s="335"/>
      <c r="GY313" s="335"/>
      <c r="GZ313" s="335"/>
    </row>
    <row r="314" spans="1:208" ht="15">
      <c r="A314" s="379"/>
      <c r="B314" s="335"/>
      <c r="C314" s="335"/>
      <c r="D314" s="335"/>
      <c r="E314" s="335"/>
      <c r="F314" s="335"/>
      <c r="G314" s="335"/>
      <c r="H314" s="335"/>
      <c r="I314" s="335"/>
      <c r="J314" s="335"/>
      <c r="K314" s="335"/>
      <c r="L314" s="335"/>
      <c r="M314" s="376"/>
      <c r="N314" s="335"/>
      <c r="O314" s="380"/>
      <c r="P314" s="335"/>
      <c r="Q314" s="335"/>
      <c r="R314" s="335"/>
      <c r="S314" s="335"/>
      <c r="T314" s="335"/>
      <c r="U314" s="335"/>
      <c r="V314" s="335"/>
      <c r="W314" s="335"/>
      <c r="X314" s="335"/>
      <c r="Y314" s="335"/>
      <c r="Z314" s="335"/>
      <c r="AA314" s="335"/>
      <c r="AB314" s="335"/>
      <c r="AC314" s="335"/>
      <c r="AD314" s="335"/>
      <c r="AE314" s="335"/>
      <c r="AF314" s="335"/>
      <c r="AG314" s="335"/>
      <c r="AH314" s="335"/>
      <c r="AI314" s="335"/>
      <c r="AJ314" s="335"/>
      <c r="AK314" s="335"/>
      <c r="AL314" s="335"/>
      <c r="AM314" s="335"/>
      <c r="AN314" s="335"/>
      <c r="AO314" s="335"/>
      <c r="AP314" s="335"/>
      <c r="AQ314" s="335"/>
      <c r="AR314" s="335"/>
      <c r="AS314" s="335"/>
      <c r="AT314" s="335"/>
      <c r="AU314" s="335"/>
      <c r="AV314" s="335"/>
      <c r="AW314" s="335"/>
      <c r="AX314" s="335"/>
      <c r="AY314" s="335"/>
      <c r="AZ314" s="335"/>
      <c r="BA314" s="335"/>
      <c r="BB314" s="335"/>
      <c r="BC314" s="335"/>
      <c r="BD314" s="335"/>
      <c r="BE314" s="335"/>
      <c r="BF314" s="335"/>
      <c r="BG314" s="335"/>
      <c r="BH314" s="335"/>
      <c r="BI314" s="335"/>
      <c r="BJ314" s="335"/>
      <c r="BK314" s="335"/>
      <c r="BL314" s="335"/>
      <c r="BM314" s="335"/>
      <c r="BN314" s="335"/>
      <c r="BO314" s="335"/>
      <c r="BP314" s="335"/>
      <c r="BQ314" s="335"/>
      <c r="BR314" s="335"/>
      <c r="BS314" s="335"/>
      <c r="BT314" s="335"/>
      <c r="BU314" s="335"/>
      <c r="BV314" s="335"/>
      <c r="BW314" s="335"/>
      <c r="BX314" s="335"/>
      <c r="BY314" s="335"/>
      <c r="BZ314" s="335"/>
      <c r="CA314" s="335"/>
      <c r="CB314" s="335"/>
      <c r="CC314" s="335"/>
      <c r="CD314" s="335"/>
      <c r="CE314" s="335"/>
      <c r="CF314" s="335"/>
      <c r="CG314" s="335"/>
      <c r="CH314" s="335"/>
      <c r="CI314" s="335"/>
      <c r="CJ314" s="335"/>
      <c r="CK314" s="335"/>
      <c r="CL314" s="335"/>
      <c r="CM314" s="335"/>
      <c r="CN314" s="335"/>
      <c r="CO314" s="335"/>
      <c r="CP314" s="335"/>
      <c r="CQ314" s="335"/>
      <c r="CR314" s="335"/>
      <c r="CS314" s="335"/>
      <c r="CT314" s="335"/>
      <c r="CU314" s="335"/>
      <c r="CV314" s="335"/>
      <c r="CW314" s="335"/>
      <c r="CX314" s="335"/>
      <c r="CY314" s="335"/>
      <c r="CZ314" s="335"/>
      <c r="DA314" s="335"/>
      <c r="DB314" s="335"/>
      <c r="DC314" s="335"/>
      <c r="DD314" s="335"/>
      <c r="DE314" s="335"/>
      <c r="DF314" s="335"/>
      <c r="DG314" s="335"/>
      <c r="DH314" s="335"/>
      <c r="DI314" s="335"/>
      <c r="DJ314" s="335"/>
      <c r="DK314" s="335"/>
      <c r="DL314" s="335"/>
      <c r="DM314" s="335"/>
      <c r="DN314" s="335"/>
      <c r="DO314" s="335"/>
      <c r="DP314" s="335"/>
      <c r="DQ314" s="335"/>
      <c r="DR314" s="335"/>
      <c r="DS314" s="335"/>
      <c r="DT314" s="335"/>
      <c r="DU314" s="335"/>
      <c r="DV314" s="335"/>
      <c r="DW314" s="335"/>
      <c r="DX314" s="335"/>
      <c r="DY314" s="335"/>
      <c r="DZ314" s="335"/>
      <c r="EA314" s="335"/>
      <c r="EB314" s="335"/>
      <c r="EC314" s="335"/>
      <c r="ED314" s="335"/>
      <c r="EE314" s="335"/>
      <c r="EF314" s="335"/>
      <c r="EG314" s="335"/>
      <c r="EH314" s="335"/>
      <c r="EI314" s="335"/>
      <c r="EJ314" s="335"/>
      <c r="EK314" s="335"/>
      <c r="EL314" s="335"/>
      <c r="EM314" s="335"/>
      <c r="EN314" s="335"/>
      <c r="EO314" s="335"/>
      <c r="EP314" s="335"/>
      <c r="EQ314" s="335"/>
      <c r="ER314" s="335"/>
      <c r="ES314" s="335"/>
      <c r="ET314" s="335"/>
      <c r="EU314" s="335"/>
      <c r="EV314" s="335"/>
      <c r="EW314" s="335"/>
      <c r="EX314" s="335"/>
      <c r="EY314" s="335"/>
      <c r="EZ314" s="335"/>
      <c r="FA314" s="335"/>
      <c r="FB314" s="335"/>
      <c r="FC314" s="335"/>
      <c r="FD314" s="335"/>
      <c r="FE314" s="335"/>
      <c r="FF314" s="335"/>
      <c r="FG314" s="335"/>
      <c r="FH314" s="335"/>
      <c r="FI314" s="335"/>
      <c r="FJ314" s="335"/>
      <c r="FK314" s="335"/>
      <c r="FL314" s="335"/>
      <c r="FM314" s="335"/>
      <c r="FN314" s="335"/>
      <c r="FO314" s="335"/>
      <c r="FP314" s="335"/>
      <c r="FQ314" s="335"/>
      <c r="FR314" s="335"/>
      <c r="FS314" s="335"/>
      <c r="FT314" s="335"/>
      <c r="FU314" s="335"/>
      <c r="FV314" s="335"/>
      <c r="FW314" s="335"/>
      <c r="FX314" s="335"/>
      <c r="FY314" s="335"/>
      <c r="FZ314" s="335"/>
      <c r="GA314" s="335"/>
      <c r="GB314" s="335"/>
      <c r="GC314" s="335"/>
      <c r="GD314" s="335"/>
      <c r="GE314" s="335"/>
      <c r="GF314" s="335"/>
      <c r="GG314" s="335"/>
      <c r="GH314" s="335"/>
      <c r="GI314" s="335"/>
      <c r="GJ314" s="335"/>
      <c r="GK314" s="335"/>
      <c r="GL314" s="335"/>
      <c r="GM314" s="335"/>
      <c r="GN314" s="335"/>
      <c r="GO314" s="335"/>
      <c r="GP314" s="335"/>
      <c r="GQ314" s="335"/>
      <c r="GR314" s="335"/>
      <c r="GS314" s="335"/>
      <c r="GT314" s="335"/>
      <c r="GU314" s="335"/>
      <c r="GV314" s="335"/>
      <c r="GW314" s="335"/>
      <c r="GX314" s="335"/>
      <c r="GY314" s="335"/>
      <c r="GZ314" s="335"/>
    </row>
    <row r="315" spans="1:208" ht="15">
      <c r="A315" s="379"/>
      <c r="B315" s="335"/>
      <c r="C315" s="335"/>
      <c r="D315" s="335"/>
      <c r="E315" s="335"/>
      <c r="F315" s="335"/>
      <c r="G315" s="335"/>
      <c r="H315" s="335"/>
      <c r="I315" s="335"/>
      <c r="J315" s="335"/>
      <c r="K315" s="335"/>
      <c r="L315" s="335"/>
      <c r="M315" s="376"/>
      <c r="N315" s="335"/>
      <c r="O315" s="380"/>
      <c r="P315" s="335"/>
      <c r="Q315" s="335"/>
      <c r="R315" s="335"/>
      <c r="S315" s="335"/>
      <c r="T315" s="335"/>
      <c r="U315" s="335"/>
      <c r="V315" s="335"/>
      <c r="W315" s="335"/>
      <c r="X315" s="335"/>
      <c r="Y315" s="335"/>
      <c r="Z315" s="335"/>
      <c r="AA315" s="335"/>
      <c r="AB315" s="335"/>
      <c r="AC315" s="335"/>
      <c r="AD315" s="335"/>
      <c r="AE315" s="335"/>
      <c r="AF315" s="335"/>
      <c r="AG315" s="335"/>
      <c r="AH315" s="335"/>
      <c r="AI315" s="335"/>
      <c r="AJ315" s="335"/>
      <c r="AK315" s="335"/>
      <c r="AL315" s="335"/>
      <c r="AM315" s="335"/>
      <c r="AN315" s="335"/>
      <c r="AO315" s="335"/>
      <c r="AP315" s="335"/>
      <c r="AQ315" s="335"/>
      <c r="AR315" s="335"/>
      <c r="AS315" s="335"/>
      <c r="AT315" s="335"/>
      <c r="AU315" s="335"/>
      <c r="AV315" s="335"/>
      <c r="AW315" s="335"/>
      <c r="AX315" s="335"/>
      <c r="AY315" s="335"/>
      <c r="AZ315" s="335"/>
      <c r="BA315" s="335"/>
      <c r="BB315" s="335"/>
      <c r="BC315" s="335"/>
      <c r="BD315" s="335"/>
      <c r="BE315" s="335"/>
      <c r="BF315" s="335"/>
      <c r="BG315" s="335"/>
      <c r="BH315" s="335"/>
      <c r="BI315" s="335"/>
      <c r="BJ315" s="335"/>
      <c r="BK315" s="335"/>
      <c r="BL315" s="335"/>
      <c r="BM315" s="335"/>
      <c r="BN315" s="335"/>
      <c r="BO315" s="335"/>
      <c r="BP315" s="335"/>
      <c r="BQ315" s="335"/>
      <c r="BR315" s="335"/>
      <c r="BS315" s="335"/>
      <c r="BT315" s="335"/>
      <c r="BU315" s="335"/>
      <c r="BV315" s="335"/>
      <c r="BW315" s="335"/>
      <c r="BX315" s="335"/>
      <c r="BY315" s="335"/>
      <c r="BZ315" s="335"/>
      <c r="CA315" s="335"/>
      <c r="CB315" s="335"/>
      <c r="CC315" s="335"/>
      <c r="CD315" s="335"/>
      <c r="CE315" s="335"/>
      <c r="CF315" s="335"/>
      <c r="CG315" s="335"/>
      <c r="CH315" s="335"/>
      <c r="CI315" s="335"/>
      <c r="CJ315" s="335"/>
      <c r="CK315" s="335"/>
      <c r="CL315" s="335"/>
      <c r="CM315" s="335"/>
      <c r="CN315" s="335"/>
      <c r="CO315" s="335"/>
      <c r="CP315" s="335"/>
      <c r="CQ315" s="335"/>
      <c r="CR315" s="335"/>
      <c r="CS315" s="335"/>
      <c r="CT315" s="335"/>
      <c r="CU315" s="335"/>
      <c r="CV315" s="335"/>
      <c r="CW315" s="335"/>
      <c r="CX315" s="335"/>
      <c r="CY315" s="335"/>
      <c r="CZ315" s="335"/>
      <c r="DA315" s="335"/>
      <c r="DB315" s="335"/>
      <c r="DC315" s="335"/>
      <c r="DD315" s="335"/>
      <c r="DE315" s="335"/>
      <c r="DF315" s="335"/>
      <c r="DG315" s="335"/>
      <c r="DH315" s="335"/>
      <c r="DI315" s="335"/>
      <c r="DJ315" s="335"/>
      <c r="DK315" s="335"/>
      <c r="DL315" s="335"/>
      <c r="DM315" s="335"/>
      <c r="DN315" s="335"/>
      <c r="DO315" s="335"/>
      <c r="DP315" s="335"/>
      <c r="DQ315" s="335"/>
      <c r="DR315" s="335"/>
      <c r="DS315" s="335"/>
      <c r="DT315" s="335"/>
      <c r="DU315" s="335"/>
      <c r="DV315" s="335"/>
      <c r="DW315" s="335"/>
      <c r="DX315" s="335"/>
      <c r="DY315" s="335"/>
      <c r="DZ315" s="335"/>
      <c r="EA315" s="335"/>
      <c r="EB315" s="335"/>
      <c r="EC315" s="335"/>
      <c r="ED315" s="335"/>
      <c r="EE315" s="335"/>
      <c r="EF315" s="335"/>
      <c r="EG315" s="335"/>
      <c r="EH315" s="335"/>
      <c r="EI315" s="335"/>
      <c r="EJ315" s="335"/>
      <c r="EK315" s="335"/>
      <c r="EL315" s="335"/>
      <c r="EM315" s="335"/>
      <c r="EN315" s="335"/>
      <c r="EO315" s="335"/>
      <c r="EP315" s="335"/>
      <c r="EQ315" s="335"/>
      <c r="ER315" s="335"/>
      <c r="ES315" s="335"/>
      <c r="ET315" s="335"/>
      <c r="EU315" s="335"/>
      <c r="EV315" s="335"/>
      <c r="EW315" s="335"/>
      <c r="EX315" s="335"/>
      <c r="EY315" s="335"/>
      <c r="EZ315" s="335"/>
      <c r="FA315" s="335"/>
      <c r="FB315" s="335"/>
      <c r="FC315" s="335"/>
      <c r="FD315" s="335"/>
      <c r="FE315" s="335"/>
      <c r="FF315" s="335"/>
      <c r="FG315" s="335"/>
      <c r="FH315" s="335"/>
      <c r="FI315" s="335"/>
      <c r="FJ315" s="335"/>
      <c r="FK315" s="335"/>
      <c r="FL315" s="335"/>
      <c r="FM315" s="335"/>
      <c r="FN315" s="335"/>
      <c r="FO315" s="335"/>
      <c r="FP315" s="335"/>
      <c r="FQ315" s="335"/>
      <c r="FR315" s="335"/>
      <c r="FS315" s="335"/>
      <c r="FT315" s="335"/>
      <c r="FU315" s="335"/>
      <c r="FV315" s="335"/>
      <c r="FW315" s="335"/>
      <c r="FX315" s="335"/>
      <c r="FY315" s="335"/>
      <c r="FZ315" s="335"/>
      <c r="GA315" s="335"/>
      <c r="GB315" s="335"/>
      <c r="GC315" s="335"/>
      <c r="GD315" s="335"/>
      <c r="GE315" s="335"/>
      <c r="GF315" s="335"/>
      <c r="GG315" s="335"/>
      <c r="GH315" s="335"/>
      <c r="GI315" s="335"/>
      <c r="GJ315" s="335"/>
      <c r="GK315" s="335"/>
      <c r="GL315" s="335"/>
      <c r="GM315" s="335"/>
      <c r="GN315" s="335"/>
      <c r="GO315" s="335"/>
      <c r="GP315" s="335"/>
      <c r="GQ315" s="335"/>
      <c r="GR315" s="335"/>
      <c r="GS315" s="335"/>
      <c r="GT315" s="335"/>
      <c r="GU315" s="335"/>
      <c r="GV315" s="335"/>
      <c r="GW315" s="335"/>
      <c r="GX315" s="335"/>
      <c r="GY315" s="335"/>
      <c r="GZ315" s="335"/>
    </row>
    <row r="316" spans="1:208" ht="15">
      <c r="A316" s="379"/>
      <c r="B316" s="335"/>
      <c r="C316" s="335"/>
      <c r="D316" s="335"/>
      <c r="E316" s="335"/>
      <c r="F316" s="335"/>
      <c r="G316" s="335"/>
      <c r="H316" s="335"/>
      <c r="I316" s="335"/>
      <c r="J316" s="335"/>
      <c r="K316" s="335"/>
      <c r="L316" s="335"/>
      <c r="M316" s="376"/>
      <c r="N316" s="335"/>
      <c r="O316" s="380"/>
      <c r="P316" s="335"/>
      <c r="Q316" s="335"/>
      <c r="R316" s="335"/>
      <c r="S316" s="335"/>
      <c r="T316" s="335"/>
      <c r="U316" s="335"/>
      <c r="V316" s="335"/>
      <c r="W316" s="335"/>
      <c r="X316" s="335"/>
      <c r="Y316" s="335"/>
      <c r="Z316" s="335"/>
      <c r="AA316" s="335"/>
      <c r="AB316" s="335"/>
      <c r="AC316" s="335"/>
      <c r="AD316" s="335"/>
      <c r="AE316" s="335"/>
      <c r="AF316" s="335"/>
      <c r="AG316" s="335"/>
      <c r="AH316" s="335"/>
      <c r="AI316" s="335"/>
      <c r="AJ316" s="335"/>
      <c r="AK316" s="335"/>
      <c r="AL316" s="335"/>
      <c r="AM316" s="335"/>
      <c r="AN316" s="335"/>
      <c r="AO316" s="335"/>
      <c r="AP316" s="335"/>
      <c r="AQ316" s="335"/>
      <c r="AR316" s="335"/>
      <c r="AS316" s="335"/>
      <c r="AT316" s="335"/>
      <c r="AU316" s="335"/>
      <c r="AV316" s="335"/>
      <c r="AW316" s="335"/>
      <c r="AX316" s="335"/>
      <c r="AY316" s="335"/>
      <c r="AZ316" s="335"/>
      <c r="BA316" s="335"/>
      <c r="BB316" s="335"/>
      <c r="BC316" s="335"/>
      <c r="BD316" s="335"/>
      <c r="BE316" s="335"/>
      <c r="BF316" s="335"/>
      <c r="BG316" s="335"/>
      <c r="BH316" s="335"/>
      <c r="BI316" s="335"/>
      <c r="BJ316" s="335"/>
      <c r="BK316" s="335"/>
      <c r="BL316" s="335"/>
      <c r="BM316" s="335"/>
      <c r="BN316" s="335"/>
      <c r="BO316" s="335"/>
      <c r="BP316" s="335"/>
      <c r="BQ316" s="335"/>
      <c r="BR316" s="335"/>
      <c r="BS316" s="335"/>
      <c r="BT316" s="335"/>
      <c r="BU316" s="335"/>
      <c r="BV316" s="335"/>
      <c r="BW316" s="335"/>
      <c r="BX316" s="335"/>
      <c r="BY316" s="335"/>
      <c r="BZ316" s="335"/>
      <c r="CA316" s="335"/>
      <c r="CB316" s="335"/>
      <c r="CC316" s="335"/>
      <c r="CD316" s="335"/>
      <c r="CE316" s="335"/>
      <c r="CF316" s="335"/>
      <c r="CG316" s="335"/>
      <c r="CH316" s="335"/>
      <c r="CI316" s="335"/>
      <c r="CJ316" s="335"/>
      <c r="CK316" s="335"/>
      <c r="CL316" s="335"/>
      <c r="CM316" s="335"/>
      <c r="CN316" s="335"/>
      <c r="CO316" s="335"/>
      <c r="CP316" s="335"/>
      <c r="CQ316" s="335"/>
      <c r="CR316" s="335"/>
      <c r="CS316" s="335"/>
      <c r="CT316" s="335"/>
      <c r="CU316" s="335"/>
      <c r="CV316" s="335"/>
      <c r="CW316" s="335"/>
      <c r="CX316" s="335"/>
      <c r="CY316" s="335"/>
      <c r="CZ316" s="335"/>
      <c r="DA316" s="335"/>
      <c r="DB316" s="335"/>
      <c r="DC316" s="335"/>
      <c r="DD316" s="335"/>
      <c r="DE316" s="335"/>
      <c r="DF316" s="335"/>
      <c r="DG316" s="335"/>
      <c r="DH316" s="335"/>
      <c r="DI316" s="335"/>
      <c r="DJ316" s="335"/>
      <c r="DK316" s="335"/>
      <c r="DL316" s="335"/>
      <c r="DM316" s="335"/>
      <c r="DN316" s="335"/>
      <c r="DO316" s="335"/>
      <c r="DP316" s="335"/>
      <c r="DQ316" s="335"/>
      <c r="DR316" s="335"/>
      <c r="DS316" s="335"/>
      <c r="DT316" s="335"/>
      <c r="DU316" s="335"/>
      <c r="DV316" s="335"/>
      <c r="DW316" s="335"/>
      <c r="DX316" s="335"/>
      <c r="DY316" s="335"/>
      <c r="DZ316" s="335"/>
      <c r="EA316" s="335"/>
      <c r="EB316" s="335"/>
      <c r="EC316" s="335"/>
      <c r="ED316" s="335"/>
      <c r="EE316" s="335"/>
      <c r="EF316" s="335"/>
      <c r="EG316" s="335"/>
      <c r="EH316" s="335"/>
      <c r="EI316" s="335"/>
      <c r="EJ316" s="335"/>
      <c r="EK316" s="335"/>
      <c r="EL316" s="335"/>
      <c r="EM316" s="335"/>
      <c r="EN316" s="335"/>
      <c r="EO316" s="335"/>
      <c r="EP316" s="335"/>
      <c r="EQ316" s="335"/>
      <c r="ER316" s="335"/>
      <c r="ES316" s="335"/>
      <c r="ET316" s="335"/>
      <c r="EU316" s="335"/>
      <c r="EV316" s="335"/>
      <c r="EW316" s="335"/>
      <c r="EX316" s="335"/>
      <c r="EY316" s="335"/>
      <c r="EZ316" s="335"/>
      <c r="FA316" s="335"/>
      <c r="FB316" s="335"/>
      <c r="FC316" s="335"/>
      <c r="FD316" s="335"/>
      <c r="FE316" s="335"/>
      <c r="FF316" s="335"/>
      <c r="FG316" s="335"/>
      <c r="FH316" s="335"/>
      <c r="FI316" s="335"/>
      <c r="FJ316" s="335"/>
      <c r="FK316" s="335"/>
      <c r="FL316" s="335"/>
      <c r="FM316" s="335"/>
      <c r="FN316" s="335"/>
      <c r="FO316" s="335"/>
      <c r="FP316" s="335"/>
      <c r="FQ316" s="335"/>
      <c r="FR316" s="335"/>
      <c r="FS316" s="335"/>
      <c r="FT316" s="335"/>
      <c r="FU316" s="335"/>
      <c r="FV316" s="335"/>
      <c r="FW316" s="335"/>
      <c r="FX316" s="335"/>
      <c r="FY316" s="335"/>
      <c r="FZ316" s="335"/>
      <c r="GA316" s="335"/>
      <c r="GB316" s="335"/>
      <c r="GC316" s="335"/>
      <c r="GD316" s="335"/>
      <c r="GE316" s="335"/>
      <c r="GF316" s="335"/>
      <c r="GG316" s="335"/>
      <c r="GH316" s="335"/>
      <c r="GI316" s="335"/>
      <c r="GJ316" s="335"/>
      <c r="GK316" s="335"/>
      <c r="GL316" s="335"/>
      <c r="GM316" s="335"/>
      <c r="GN316" s="335"/>
      <c r="GO316" s="335"/>
      <c r="GP316" s="335"/>
      <c r="GQ316" s="335"/>
      <c r="GR316" s="335"/>
      <c r="GS316" s="335"/>
      <c r="GT316" s="335"/>
      <c r="GU316" s="335"/>
      <c r="GV316" s="335"/>
      <c r="GW316" s="335"/>
      <c r="GX316" s="335"/>
      <c r="GY316" s="335"/>
      <c r="GZ316" s="335"/>
    </row>
    <row r="317" spans="1:208" ht="15">
      <c r="A317" s="379"/>
      <c r="B317" s="335"/>
      <c r="C317" s="335"/>
      <c r="D317" s="335"/>
      <c r="E317" s="335"/>
      <c r="F317" s="335"/>
      <c r="G317" s="335"/>
      <c r="H317" s="335"/>
      <c r="I317" s="335"/>
      <c r="J317" s="335"/>
      <c r="K317" s="335"/>
      <c r="L317" s="335"/>
      <c r="M317" s="376"/>
      <c r="N317" s="335"/>
      <c r="O317" s="380"/>
      <c r="P317" s="335"/>
      <c r="Q317" s="335"/>
      <c r="R317" s="335"/>
      <c r="S317" s="335"/>
      <c r="T317" s="335"/>
      <c r="U317" s="335"/>
      <c r="V317" s="335"/>
      <c r="W317" s="335"/>
      <c r="X317" s="335"/>
      <c r="Y317" s="335"/>
      <c r="Z317" s="335"/>
      <c r="AA317" s="335"/>
      <c r="AB317" s="335"/>
      <c r="AC317" s="335"/>
      <c r="AD317" s="335"/>
      <c r="AE317" s="335"/>
      <c r="AF317" s="335"/>
      <c r="AG317" s="335"/>
      <c r="AH317" s="335"/>
      <c r="AI317" s="335"/>
      <c r="AJ317" s="335"/>
      <c r="AK317" s="335"/>
      <c r="AL317" s="335"/>
      <c r="AM317" s="335"/>
      <c r="AN317" s="335"/>
      <c r="AO317" s="335"/>
      <c r="AP317" s="335"/>
      <c r="AQ317" s="335"/>
      <c r="AR317" s="335"/>
      <c r="AS317" s="335"/>
      <c r="AT317" s="335"/>
      <c r="AU317" s="335"/>
      <c r="AV317" s="335"/>
      <c r="AW317" s="335"/>
      <c r="AX317" s="335"/>
      <c r="AY317" s="335"/>
      <c r="AZ317" s="335"/>
      <c r="BA317" s="335"/>
      <c r="BB317" s="335"/>
      <c r="BC317" s="335"/>
      <c r="BD317" s="335"/>
      <c r="BE317" s="335"/>
      <c r="BF317" s="335"/>
      <c r="BG317" s="335"/>
      <c r="BH317" s="335"/>
      <c r="BI317" s="335"/>
      <c r="BJ317" s="335"/>
      <c r="BK317" s="335"/>
      <c r="BL317" s="335"/>
      <c r="BM317" s="335"/>
      <c r="BN317" s="335"/>
      <c r="BO317" s="335"/>
      <c r="BP317" s="335"/>
      <c r="BQ317" s="335"/>
      <c r="BR317" s="335"/>
      <c r="BS317" s="335"/>
      <c r="BT317" s="335"/>
      <c r="BU317" s="335"/>
      <c r="BV317" s="335"/>
      <c r="BW317" s="335"/>
      <c r="BX317" s="335"/>
      <c r="BY317" s="335"/>
      <c r="BZ317" s="335"/>
      <c r="CA317" s="335"/>
      <c r="CB317" s="335"/>
      <c r="CC317" s="335"/>
      <c r="CD317" s="335"/>
      <c r="CE317" s="335"/>
      <c r="CF317" s="335"/>
      <c r="CG317" s="335"/>
      <c r="CH317" s="335"/>
      <c r="CI317" s="335"/>
      <c r="CJ317" s="335"/>
      <c r="CK317" s="335"/>
      <c r="CL317" s="335"/>
      <c r="CM317" s="335"/>
      <c r="CN317" s="335"/>
      <c r="CO317" s="335"/>
      <c r="CP317" s="335"/>
      <c r="CQ317" s="335"/>
      <c r="CR317" s="335"/>
      <c r="CS317" s="335"/>
      <c r="CT317" s="335"/>
      <c r="CU317" s="335"/>
      <c r="CV317" s="335"/>
      <c r="CW317" s="335"/>
      <c r="CX317" s="335"/>
      <c r="CY317" s="335"/>
      <c r="CZ317" s="335"/>
      <c r="DA317" s="335"/>
      <c r="DB317" s="335"/>
      <c r="DC317" s="335"/>
      <c r="DD317" s="335"/>
      <c r="DE317" s="335"/>
      <c r="DF317" s="335"/>
      <c r="DG317" s="335"/>
      <c r="DH317" s="335"/>
      <c r="DI317" s="335"/>
      <c r="DJ317" s="335"/>
      <c r="DK317" s="335"/>
      <c r="DL317" s="335"/>
      <c r="DM317" s="335"/>
      <c r="DN317" s="335"/>
      <c r="DO317" s="335"/>
      <c r="DP317" s="335"/>
      <c r="DQ317" s="335"/>
      <c r="DR317" s="335"/>
      <c r="DS317" s="335"/>
      <c r="DT317" s="335"/>
      <c r="DU317" s="335"/>
      <c r="DV317" s="335"/>
      <c r="DW317" s="335"/>
      <c r="DX317" s="335"/>
      <c r="DY317" s="335"/>
      <c r="DZ317" s="335"/>
      <c r="EA317" s="335"/>
      <c r="EB317" s="335"/>
      <c r="EC317" s="335"/>
      <c r="ED317" s="335"/>
      <c r="EE317" s="335"/>
      <c r="EF317" s="335"/>
      <c r="EG317" s="335"/>
      <c r="EH317" s="335"/>
      <c r="EI317" s="335"/>
      <c r="EJ317" s="335"/>
      <c r="EK317" s="335"/>
      <c r="EL317" s="335"/>
      <c r="EM317" s="335"/>
      <c r="EN317" s="335"/>
      <c r="EO317" s="335"/>
      <c r="EP317" s="335"/>
      <c r="EQ317" s="335"/>
      <c r="ER317" s="335"/>
      <c r="ES317" s="335"/>
      <c r="ET317" s="335"/>
      <c r="EU317" s="335"/>
      <c r="EV317" s="335"/>
      <c r="EW317" s="335"/>
      <c r="EX317" s="335"/>
      <c r="EY317" s="335"/>
      <c r="EZ317" s="335"/>
      <c r="FA317" s="335"/>
      <c r="FB317" s="335"/>
      <c r="FC317" s="335"/>
      <c r="FD317" s="335"/>
      <c r="FE317" s="335"/>
      <c r="FF317" s="335"/>
      <c r="FG317" s="335"/>
      <c r="FH317" s="335"/>
      <c r="FI317" s="335"/>
      <c r="FJ317" s="335"/>
      <c r="FK317" s="335"/>
      <c r="FL317" s="335"/>
      <c r="FM317" s="335"/>
      <c r="FN317" s="335"/>
      <c r="FO317" s="335"/>
      <c r="FP317" s="335"/>
      <c r="FQ317" s="335"/>
      <c r="FR317" s="335"/>
      <c r="FS317" s="335"/>
      <c r="FT317" s="335"/>
      <c r="FU317" s="335"/>
      <c r="FV317" s="335"/>
      <c r="FW317" s="335"/>
      <c r="FX317" s="335"/>
      <c r="FY317" s="335"/>
      <c r="FZ317" s="335"/>
      <c r="GA317" s="335"/>
      <c r="GB317" s="335"/>
      <c r="GC317" s="335"/>
      <c r="GD317" s="335"/>
      <c r="GE317" s="335"/>
      <c r="GF317" s="335"/>
      <c r="GG317" s="335"/>
      <c r="GH317" s="335"/>
      <c r="GI317" s="335"/>
      <c r="GJ317" s="335"/>
      <c r="GK317" s="335"/>
      <c r="GL317" s="335"/>
      <c r="GM317" s="335"/>
      <c r="GN317" s="335"/>
      <c r="GO317" s="335"/>
      <c r="GP317" s="335"/>
      <c r="GQ317" s="335"/>
      <c r="GR317" s="335"/>
      <c r="GS317" s="335"/>
      <c r="GT317" s="335"/>
      <c r="GU317" s="335"/>
      <c r="GV317" s="335"/>
      <c r="GW317" s="335"/>
      <c r="GX317" s="335"/>
      <c r="GY317" s="335"/>
      <c r="GZ317" s="335"/>
    </row>
    <row r="318" spans="1:208" ht="15">
      <c r="A318" s="379"/>
      <c r="B318" s="335"/>
      <c r="C318" s="335"/>
      <c r="D318" s="335"/>
      <c r="E318" s="335"/>
      <c r="F318" s="335"/>
      <c r="G318" s="335"/>
      <c r="H318" s="335"/>
      <c r="I318" s="335"/>
      <c r="J318" s="335"/>
      <c r="K318" s="335"/>
      <c r="L318" s="335"/>
      <c r="M318" s="376"/>
      <c r="N318" s="335"/>
      <c r="O318" s="380"/>
      <c r="P318" s="335"/>
      <c r="Q318" s="335"/>
      <c r="R318" s="335"/>
      <c r="S318" s="335"/>
      <c r="T318" s="335"/>
      <c r="U318" s="335"/>
      <c r="V318" s="335"/>
      <c r="W318" s="335"/>
      <c r="X318" s="335"/>
      <c r="Y318" s="335"/>
      <c r="Z318" s="335"/>
      <c r="AA318" s="335"/>
      <c r="AB318" s="335"/>
      <c r="AC318" s="335"/>
      <c r="AD318" s="335"/>
      <c r="AE318" s="335"/>
      <c r="AF318" s="335"/>
      <c r="AG318" s="335"/>
      <c r="AH318" s="335"/>
      <c r="AI318" s="335"/>
      <c r="AJ318" s="335"/>
      <c r="AK318" s="335"/>
      <c r="AL318" s="335"/>
      <c r="AM318" s="335"/>
      <c r="AN318" s="335"/>
      <c r="AO318" s="335"/>
      <c r="AP318" s="335"/>
      <c r="AQ318" s="335"/>
      <c r="AR318" s="335"/>
      <c r="AS318" s="335"/>
      <c r="AT318" s="335"/>
      <c r="AU318" s="335"/>
      <c r="AV318" s="335"/>
      <c r="AW318" s="335"/>
      <c r="AX318" s="335"/>
      <c r="AY318" s="335"/>
      <c r="AZ318" s="335"/>
      <c r="BA318" s="335"/>
      <c r="BB318" s="335"/>
      <c r="BC318" s="335"/>
      <c r="BD318" s="335"/>
      <c r="BE318" s="335"/>
      <c r="BF318" s="335"/>
      <c r="BG318" s="335"/>
      <c r="BH318" s="335"/>
      <c r="BI318" s="335"/>
      <c r="BJ318" s="335"/>
      <c r="BK318" s="335"/>
      <c r="BL318" s="335"/>
      <c r="BM318" s="335"/>
      <c r="BN318" s="335"/>
      <c r="BO318" s="335"/>
      <c r="BP318" s="335"/>
      <c r="BQ318" s="335"/>
      <c r="BR318" s="335"/>
      <c r="BS318" s="335"/>
      <c r="BT318" s="335"/>
      <c r="BU318" s="335"/>
      <c r="BV318" s="335"/>
      <c r="BW318" s="335"/>
      <c r="BX318" s="335"/>
      <c r="BY318" s="335"/>
      <c r="BZ318" s="335"/>
      <c r="CA318" s="335"/>
      <c r="CB318" s="335"/>
      <c r="CC318" s="335"/>
      <c r="CD318" s="335"/>
      <c r="CE318" s="335"/>
      <c r="CF318" s="335"/>
      <c r="CG318" s="335"/>
      <c r="CH318" s="335"/>
      <c r="CI318" s="335"/>
      <c r="CJ318" s="335"/>
      <c r="CK318" s="335"/>
      <c r="CL318" s="335"/>
      <c r="CM318" s="335"/>
      <c r="CN318" s="335"/>
      <c r="CO318" s="335"/>
      <c r="CP318" s="335"/>
      <c r="CQ318" s="335"/>
      <c r="CR318" s="335"/>
      <c r="CS318" s="335"/>
      <c r="CT318" s="335"/>
      <c r="CU318" s="335"/>
      <c r="CV318" s="335"/>
      <c r="CW318" s="335"/>
      <c r="CX318" s="335"/>
      <c r="CY318" s="335"/>
      <c r="CZ318" s="335"/>
      <c r="DA318" s="335"/>
      <c r="DB318" s="335"/>
      <c r="DC318" s="335"/>
      <c r="DD318" s="335"/>
      <c r="DE318" s="335"/>
      <c r="DF318" s="335"/>
      <c r="DG318" s="335"/>
      <c r="DH318" s="335"/>
      <c r="DI318" s="335"/>
      <c r="DJ318" s="335"/>
      <c r="DK318" s="335"/>
      <c r="DL318" s="335"/>
      <c r="DM318" s="335"/>
      <c r="DN318" s="335"/>
      <c r="DO318" s="335"/>
      <c r="DP318" s="335"/>
      <c r="DQ318" s="335"/>
      <c r="DR318" s="335"/>
      <c r="DS318" s="335"/>
      <c r="DT318" s="335"/>
      <c r="DU318" s="335"/>
      <c r="DV318" s="335"/>
      <c r="DW318" s="335"/>
      <c r="DX318" s="335"/>
      <c r="DY318" s="335"/>
      <c r="DZ318" s="335"/>
      <c r="EA318" s="335"/>
      <c r="EB318" s="335"/>
      <c r="EC318" s="335"/>
      <c r="ED318" s="335"/>
      <c r="EE318" s="335"/>
      <c r="EF318" s="335"/>
      <c r="EG318" s="335"/>
      <c r="EH318" s="335"/>
      <c r="EI318" s="335"/>
      <c r="EJ318" s="335"/>
      <c r="EK318" s="335"/>
      <c r="EL318" s="335"/>
      <c r="EM318" s="335"/>
      <c r="EN318" s="335"/>
      <c r="EO318" s="335"/>
      <c r="EP318" s="335"/>
      <c r="EQ318" s="335"/>
      <c r="ER318" s="335"/>
      <c r="ES318" s="335"/>
      <c r="ET318" s="335"/>
      <c r="EU318" s="335"/>
      <c r="EV318" s="335"/>
      <c r="EW318" s="335"/>
      <c r="EX318" s="335"/>
      <c r="EY318" s="335"/>
      <c r="EZ318" s="335"/>
      <c r="FA318" s="335"/>
      <c r="FB318" s="335"/>
      <c r="FC318" s="335"/>
      <c r="FD318" s="335"/>
      <c r="FE318" s="335"/>
      <c r="FF318" s="335"/>
      <c r="FG318" s="335"/>
      <c r="FH318" s="335"/>
      <c r="FI318" s="335"/>
      <c r="FJ318" s="335"/>
      <c r="FK318" s="335"/>
      <c r="FL318" s="335"/>
      <c r="FM318" s="335"/>
      <c r="FN318" s="335"/>
      <c r="FO318" s="335"/>
      <c r="FP318" s="335"/>
      <c r="FQ318" s="335"/>
      <c r="FR318" s="335"/>
      <c r="FS318" s="335"/>
      <c r="FT318" s="335"/>
      <c r="FU318" s="335"/>
      <c r="FV318" s="335"/>
      <c r="FW318" s="335"/>
      <c r="FX318" s="335"/>
      <c r="FY318" s="335"/>
      <c r="FZ318" s="335"/>
      <c r="GA318" s="335"/>
      <c r="GB318" s="335"/>
      <c r="GC318" s="335"/>
      <c r="GD318" s="335"/>
      <c r="GE318" s="335"/>
      <c r="GF318" s="335"/>
      <c r="GG318" s="335"/>
      <c r="GH318" s="335"/>
      <c r="GI318" s="335"/>
      <c r="GJ318" s="335"/>
      <c r="GK318" s="335"/>
      <c r="GL318" s="335"/>
      <c r="GM318" s="335"/>
      <c r="GN318" s="335"/>
      <c r="GO318" s="335"/>
      <c r="GP318" s="335"/>
      <c r="GQ318" s="335"/>
      <c r="GR318" s="335"/>
      <c r="GS318" s="335"/>
      <c r="GT318" s="335"/>
      <c r="GU318" s="335"/>
      <c r="GV318" s="335"/>
      <c r="GW318" s="335"/>
      <c r="GX318" s="335"/>
      <c r="GY318" s="335"/>
      <c r="GZ318" s="335"/>
    </row>
    <row r="319" spans="1:208" ht="15">
      <c r="A319" s="379"/>
      <c r="B319" s="335"/>
      <c r="C319" s="335"/>
      <c r="D319" s="335"/>
      <c r="E319" s="335"/>
      <c r="F319" s="335"/>
      <c r="G319" s="335"/>
      <c r="H319" s="335"/>
      <c r="I319" s="335"/>
      <c r="J319" s="335"/>
      <c r="K319" s="335"/>
      <c r="L319" s="335"/>
      <c r="M319" s="376"/>
      <c r="N319" s="335"/>
      <c r="O319" s="380"/>
      <c r="P319" s="335"/>
      <c r="Q319" s="335"/>
      <c r="R319" s="335"/>
      <c r="S319" s="335"/>
      <c r="T319" s="335"/>
      <c r="U319" s="335"/>
      <c r="V319" s="335"/>
      <c r="W319" s="335"/>
      <c r="X319" s="335"/>
      <c r="Y319" s="335"/>
      <c r="Z319" s="335"/>
      <c r="AA319" s="335"/>
      <c r="AB319" s="335"/>
      <c r="AC319" s="335"/>
      <c r="AD319" s="335"/>
      <c r="AE319" s="335"/>
      <c r="AF319" s="335"/>
      <c r="AG319" s="335"/>
      <c r="AH319" s="335"/>
      <c r="AI319" s="335"/>
      <c r="AJ319" s="335"/>
      <c r="AK319" s="335"/>
      <c r="AL319" s="335"/>
      <c r="AM319" s="335"/>
      <c r="AN319" s="335"/>
      <c r="AO319" s="335"/>
      <c r="AP319" s="335"/>
      <c r="AQ319" s="335"/>
      <c r="AR319" s="335"/>
      <c r="AS319" s="335"/>
      <c r="AT319" s="335"/>
      <c r="AU319" s="335"/>
      <c r="AV319" s="335"/>
      <c r="AW319" s="335"/>
      <c r="AX319" s="335"/>
      <c r="AY319" s="335"/>
      <c r="AZ319" s="335"/>
      <c r="BA319" s="335"/>
      <c r="BB319" s="335"/>
      <c r="BC319" s="335"/>
      <c r="BD319" s="335"/>
      <c r="BE319" s="335"/>
      <c r="BF319" s="335"/>
      <c r="BG319" s="335"/>
      <c r="BH319" s="335"/>
      <c r="BI319" s="335"/>
      <c r="BJ319" s="335"/>
      <c r="BK319" s="335"/>
      <c r="BL319" s="335"/>
      <c r="BM319" s="335"/>
      <c r="BN319" s="335"/>
      <c r="BO319" s="335"/>
      <c r="BP319" s="335"/>
      <c r="BQ319" s="335"/>
      <c r="BR319" s="335"/>
      <c r="BS319" s="335"/>
      <c r="BT319" s="335"/>
      <c r="BU319" s="335"/>
      <c r="BV319" s="335"/>
      <c r="BW319" s="335"/>
      <c r="BX319" s="335"/>
      <c r="BY319" s="335"/>
      <c r="BZ319" s="335"/>
      <c r="CA319" s="335"/>
      <c r="CB319" s="335"/>
      <c r="CC319" s="335"/>
      <c r="CD319" s="335"/>
      <c r="CE319" s="335"/>
      <c r="CF319" s="335"/>
      <c r="CG319" s="335"/>
      <c r="CH319" s="335"/>
      <c r="CI319" s="335"/>
      <c r="CJ319" s="335"/>
      <c r="CK319" s="335"/>
      <c r="CL319" s="335"/>
      <c r="CM319" s="335"/>
      <c r="CN319" s="335"/>
      <c r="CO319" s="335"/>
      <c r="CP319" s="335"/>
      <c r="CQ319" s="335"/>
      <c r="CR319" s="335"/>
      <c r="CS319" s="335"/>
      <c r="CT319" s="335"/>
      <c r="CU319" s="335"/>
      <c r="CV319" s="335"/>
      <c r="CW319" s="335"/>
      <c r="CX319" s="335"/>
      <c r="CY319" s="335"/>
      <c r="CZ319" s="335"/>
      <c r="DA319" s="335"/>
      <c r="DB319" s="335"/>
      <c r="DC319" s="335"/>
      <c r="DD319" s="335"/>
      <c r="DE319" s="335"/>
      <c r="DF319" s="335"/>
      <c r="DG319" s="335"/>
      <c r="DH319" s="335"/>
      <c r="DI319" s="335"/>
      <c r="DJ319" s="335"/>
      <c r="DK319" s="335"/>
      <c r="DL319" s="335"/>
      <c r="DM319" s="335"/>
      <c r="DN319" s="335"/>
      <c r="DO319" s="335"/>
      <c r="DP319" s="335"/>
      <c r="DQ319" s="335"/>
      <c r="DR319" s="335"/>
      <c r="DS319" s="335"/>
      <c r="DT319" s="335"/>
      <c r="DU319" s="335"/>
      <c r="DV319" s="335"/>
      <c r="DW319" s="335"/>
      <c r="DX319" s="335"/>
      <c r="DY319" s="335"/>
      <c r="DZ319" s="335"/>
      <c r="EA319" s="335"/>
      <c r="EB319" s="335"/>
      <c r="EC319" s="335"/>
      <c r="ED319" s="335"/>
      <c r="EE319" s="335"/>
      <c r="EF319" s="335"/>
      <c r="EG319" s="335"/>
      <c r="EH319" s="335"/>
      <c r="EI319" s="335"/>
      <c r="EJ319" s="335"/>
      <c r="EK319" s="335"/>
      <c r="EL319" s="335"/>
      <c r="EM319" s="335"/>
      <c r="EN319" s="335"/>
      <c r="EO319" s="335"/>
      <c r="EP319" s="335"/>
      <c r="EQ319" s="335"/>
      <c r="ER319" s="335"/>
      <c r="ES319" s="335"/>
      <c r="ET319" s="335"/>
      <c r="EU319" s="335"/>
      <c r="EV319" s="335"/>
      <c r="EW319" s="335"/>
      <c r="EX319" s="335"/>
      <c r="EY319" s="335"/>
      <c r="EZ319" s="335"/>
      <c r="FA319" s="335"/>
      <c r="FB319" s="335"/>
      <c r="FC319" s="335"/>
      <c r="FD319" s="335"/>
      <c r="FE319" s="335"/>
      <c r="FF319" s="335"/>
      <c r="FG319" s="335"/>
      <c r="FH319" s="335"/>
      <c r="FI319" s="335"/>
      <c r="FJ319" s="335"/>
      <c r="FK319" s="335"/>
      <c r="FL319" s="335"/>
      <c r="FM319" s="335"/>
      <c r="FN319" s="335"/>
      <c r="FO319" s="335"/>
      <c r="FP319" s="335"/>
      <c r="FQ319" s="335"/>
      <c r="FR319" s="335"/>
      <c r="FS319" s="335"/>
      <c r="FT319" s="335"/>
      <c r="FU319" s="335"/>
      <c r="FV319" s="335"/>
      <c r="FW319" s="335"/>
      <c r="FX319" s="335"/>
      <c r="FY319" s="335"/>
      <c r="FZ319" s="335"/>
      <c r="GA319" s="335"/>
      <c r="GB319" s="335"/>
      <c r="GC319" s="335"/>
      <c r="GD319" s="335"/>
      <c r="GE319" s="335"/>
      <c r="GF319" s="335"/>
      <c r="GG319" s="335"/>
      <c r="GH319" s="335"/>
      <c r="GI319" s="335"/>
      <c r="GJ319" s="335"/>
      <c r="GK319" s="335"/>
      <c r="GL319" s="335"/>
      <c r="GM319" s="335"/>
      <c r="GN319" s="335"/>
      <c r="GO319" s="335"/>
      <c r="GP319" s="335"/>
      <c r="GQ319" s="335"/>
      <c r="GR319" s="335"/>
      <c r="GS319" s="335"/>
      <c r="GT319" s="335"/>
      <c r="GU319" s="335"/>
      <c r="GV319" s="335"/>
      <c r="GW319" s="335"/>
      <c r="GX319" s="335"/>
      <c r="GY319" s="335"/>
      <c r="GZ319" s="335"/>
    </row>
    <row r="320" spans="1:208" ht="15">
      <c r="A320" s="379"/>
      <c r="B320" s="335"/>
      <c r="C320" s="335"/>
      <c r="D320" s="335"/>
      <c r="E320" s="335"/>
      <c r="F320" s="335"/>
      <c r="G320" s="335"/>
      <c r="H320" s="335"/>
      <c r="I320" s="335"/>
      <c r="J320" s="335"/>
      <c r="K320" s="335"/>
      <c r="L320" s="335"/>
      <c r="M320" s="376"/>
      <c r="N320" s="335"/>
      <c r="O320" s="380"/>
      <c r="P320" s="335"/>
      <c r="Q320" s="335"/>
      <c r="R320" s="335"/>
      <c r="S320" s="335"/>
      <c r="T320" s="335"/>
      <c r="U320" s="335"/>
      <c r="V320" s="335"/>
      <c r="W320" s="335"/>
      <c r="X320" s="335"/>
      <c r="Y320" s="335"/>
      <c r="Z320" s="335"/>
      <c r="AA320" s="335"/>
      <c r="AB320" s="335"/>
      <c r="AC320" s="335"/>
      <c r="AD320" s="335"/>
      <c r="AE320" s="335"/>
      <c r="AF320" s="335"/>
      <c r="AG320" s="335"/>
      <c r="AH320" s="335"/>
      <c r="AI320" s="335"/>
      <c r="AJ320" s="335"/>
      <c r="AK320" s="335"/>
      <c r="AL320" s="335"/>
      <c r="AM320" s="335"/>
      <c r="AN320" s="335"/>
      <c r="AO320" s="335"/>
      <c r="AP320" s="335"/>
      <c r="AQ320" s="335"/>
      <c r="AR320" s="335"/>
      <c r="AS320" s="335"/>
      <c r="AT320" s="335"/>
      <c r="AU320" s="335"/>
      <c r="AV320" s="335"/>
      <c r="AW320" s="335"/>
      <c r="AX320" s="335"/>
      <c r="AY320" s="335"/>
      <c r="AZ320" s="335"/>
      <c r="BA320" s="335"/>
      <c r="BB320" s="335"/>
      <c r="BC320" s="335"/>
      <c r="BD320" s="335"/>
      <c r="BE320" s="335"/>
      <c r="BF320" s="335"/>
      <c r="BG320" s="335"/>
      <c r="BH320" s="335"/>
      <c r="BI320" s="335"/>
      <c r="BJ320" s="335"/>
      <c r="BK320" s="335"/>
      <c r="BL320" s="335"/>
      <c r="BM320" s="335"/>
      <c r="BN320" s="335"/>
      <c r="BO320" s="335"/>
      <c r="BP320" s="335"/>
      <c r="BQ320" s="335"/>
      <c r="BR320" s="335"/>
      <c r="BS320" s="335"/>
      <c r="BT320" s="335"/>
      <c r="BU320" s="335"/>
      <c r="BV320" s="335"/>
      <c r="BW320" s="335"/>
      <c r="BX320" s="335"/>
      <c r="BY320" s="335"/>
      <c r="BZ320" s="335"/>
      <c r="CA320" s="335"/>
      <c r="CB320" s="335"/>
      <c r="CC320" s="335"/>
      <c r="CD320" s="335"/>
      <c r="CE320" s="335"/>
      <c r="CF320" s="335"/>
      <c r="CG320" s="335"/>
      <c r="CH320" s="335"/>
      <c r="CI320" s="335"/>
      <c r="CJ320" s="335"/>
      <c r="CK320" s="335"/>
      <c r="CL320" s="335"/>
      <c r="CM320" s="335"/>
      <c r="CN320" s="335"/>
      <c r="CO320" s="335"/>
      <c r="CP320" s="335"/>
      <c r="CQ320" s="335"/>
      <c r="CR320" s="335"/>
      <c r="CS320" s="335"/>
      <c r="CT320" s="335"/>
      <c r="CU320" s="335"/>
      <c r="CV320" s="335"/>
      <c r="CW320" s="335"/>
      <c r="CX320" s="335"/>
      <c r="CY320" s="335"/>
      <c r="CZ320" s="335"/>
      <c r="DA320" s="335"/>
      <c r="DB320" s="335"/>
      <c r="DC320" s="335"/>
      <c r="DD320" s="335"/>
      <c r="DE320" s="335"/>
      <c r="DF320" s="335"/>
      <c r="DG320" s="335"/>
      <c r="DH320" s="335"/>
      <c r="DI320" s="335"/>
      <c r="DJ320" s="335"/>
      <c r="DK320" s="335"/>
      <c r="DL320" s="335"/>
      <c r="DM320" s="335"/>
      <c r="DN320" s="335"/>
      <c r="DO320" s="335"/>
      <c r="DP320" s="335"/>
      <c r="DQ320" s="335"/>
      <c r="DR320" s="335"/>
      <c r="DS320" s="335"/>
      <c r="DT320" s="335"/>
      <c r="DU320" s="335"/>
      <c r="DV320" s="335"/>
      <c r="DW320" s="335"/>
      <c r="DX320" s="335"/>
      <c r="DY320" s="335"/>
      <c r="DZ320" s="335"/>
      <c r="EA320" s="335"/>
      <c r="EB320" s="335"/>
      <c r="EC320" s="335"/>
      <c r="ED320" s="335"/>
      <c r="EE320" s="335"/>
      <c r="EF320" s="335"/>
      <c r="EG320" s="335"/>
      <c r="EH320" s="335"/>
      <c r="EI320" s="335"/>
      <c r="EJ320" s="335"/>
      <c r="EK320" s="335"/>
      <c r="EL320" s="335"/>
      <c r="EM320" s="335"/>
      <c r="EN320" s="335"/>
      <c r="EO320" s="335"/>
      <c r="EP320" s="335"/>
      <c r="EQ320" s="335"/>
      <c r="ER320" s="335"/>
      <c r="ES320" s="335"/>
      <c r="ET320" s="335"/>
      <c r="EU320" s="335"/>
      <c r="EV320" s="335"/>
      <c r="EW320" s="335"/>
      <c r="EX320" s="335"/>
      <c r="EY320" s="335"/>
      <c r="EZ320" s="335"/>
      <c r="FA320" s="335"/>
      <c r="FB320" s="335"/>
      <c r="FC320" s="335"/>
      <c r="FD320" s="335"/>
      <c r="FE320" s="335"/>
      <c r="FF320" s="335"/>
      <c r="FG320" s="335"/>
      <c r="FH320" s="335"/>
      <c r="FI320" s="335"/>
      <c r="FJ320" s="335"/>
      <c r="FK320" s="335"/>
      <c r="FL320" s="335"/>
      <c r="FM320" s="335"/>
      <c r="FN320" s="335"/>
      <c r="FO320" s="335"/>
      <c r="FP320" s="335"/>
      <c r="FQ320" s="335"/>
      <c r="FR320" s="335"/>
      <c r="FS320" s="335"/>
      <c r="FT320" s="335"/>
      <c r="FU320" s="335"/>
      <c r="FV320" s="335"/>
      <c r="FW320" s="335"/>
      <c r="FX320" s="335"/>
      <c r="FY320" s="335"/>
      <c r="FZ320" s="335"/>
      <c r="GA320" s="335"/>
      <c r="GB320" s="335"/>
      <c r="GC320" s="335"/>
      <c r="GD320" s="335"/>
      <c r="GE320" s="335"/>
      <c r="GF320" s="335"/>
      <c r="GG320" s="335"/>
      <c r="GH320" s="335"/>
      <c r="GI320" s="335"/>
      <c r="GJ320" s="335"/>
      <c r="GK320" s="335"/>
      <c r="GL320" s="335"/>
      <c r="GM320" s="335"/>
      <c r="GN320" s="335"/>
      <c r="GO320" s="335"/>
      <c r="GP320" s="335"/>
      <c r="GQ320" s="335"/>
      <c r="GR320" s="335"/>
      <c r="GS320" s="335"/>
      <c r="GT320" s="335"/>
      <c r="GU320" s="335"/>
      <c r="GV320" s="335"/>
      <c r="GW320" s="335"/>
      <c r="GX320" s="335"/>
      <c r="GY320" s="335"/>
      <c r="GZ320" s="335"/>
    </row>
    <row r="321" spans="1:208" ht="15">
      <c r="A321" s="379"/>
      <c r="B321" s="335"/>
      <c r="C321" s="335"/>
      <c r="D321" s="335"/>
      <c r="E321" s="335"/>
      <c r="F321" s="335"/>
      <c r="G321" s="335"/>
      <c r="H321" s="335"/>
      <c r="I321" s="335"/>
      <c r="J321" s="335"/>
      <c r="K321" s="335"/>
      <c r="L321" s="335"/>
      <c r="M321" s="376"/>
      <c r="N321" s="335"/>
      <c r="O321" s="380"/>
      <c r="P321" s="335"/>
      <c r="Q321" s="335"/>
      <c r="R321" s="335"/>
      <c r="S321" s="335"/>
      <c r="T321" s="335"/>
      <c r="U321" s="335"/>
      <c r="V321" s="335"/>
      <c r="W321" s="335"/>
      <c r="X321" s="335"/>
      <c r="Y321" s="335"/>
      <c r="Z321" s="335"/>
      <c r="AA321" s="335"/>
      <c r="AB321" s="335"/>
      <c r="AC321" s="335"/>
      <c r="AD321" s="335"/>
      <c r="AE321" s="335"/>
      <c r="AF321" s="335"/>
      <c r="AG321" s="335"/>
      <c r="AH321" s="335"/>
      <c r="AI321" s="335"/>
      <c r="AJ321" s="335"/>
      <c r="AK321" s="335"/>
      <c r="AL321" s="335"/>
      <c r="AM321" s="335"/>
      <c r="AN321" s="335"/>
      <c r="AO321" s="335"/>
      <c r="AP321" s="335"/>
      <c r="AQ321" s="335"/>
      <c r="AR321" s="335"/>
      <c r="AS321" s="335"/>
      <c r="AT321" s="335"/>
      <c r="AU321" s="335"/>
      <c r="AV321" s="335"/>
      <c r="AW321" s="335"/>
      <c r="AX321" s="335"/>
      <c r="AY321" s="335"/>
      <c r="AZ321" s="335"/>
      <c r="BA321" s="335"/>
      <c r="BB321" s="335"/>
      <c r="BC321" s="335"/>
      <c r="BD321" s="335"/>
      <c r="BE321" s="335"/>
      <c r="BF321" s="335"/>
      <c r="BG321" s="335"/>
      <c r="BH321" s="335"/>
      <c r="BI321" s="335"/>
      <c r="BJ321" s="335"/>
      <c r="BK321" s="335"/>
      <c r="BL321" s="335"/>
      <c r="BM321" s="335"/>
      <c r="BN321" s="335"/>
      <c r="BO321" s="335"/>
      <c r="BP321" s="335"/>
      <c r="BQ321" s="335"/>
      <c r="BR321" s="335"/>
      <c r="BS321" s="335"/>
      <c r="BT321" s="335"/>
      <c r="BU321" s="335"/>
      <c r="BV321" s="335"/>
      <c r="BW321" s="335"/>
      <c r="BX321" s="335"/>
      <c r="BY321" s="335"/>
      <c r="BZ321" s="335"/>
      <c r="CA321" s="335"/>
      <c r="CB321" s="335"/>
      <c r="CC321" s="335"/>
      <c r="CD321" s="335"/>
      <c r="CE321" s="335"/>
      <c r="CF321" s="335"/>
      <c r="CG321" s="335"/>
      <c r="CH321" s="335"/>
      <c r="CI321" s="335"/>
      <c r="CJ321" s="335"/>
      <c r="CK321" s="335"/>
      <c r="CL321" s="335"/>
      <c r="CM321" s="335"/>
      <c r="CN321" s="335"/>
      <c r="CO321" s="335"/>
      <c r="CP321" s="335"/>
      <c r="CQ321" s="335"/>
      <c r="CR321" s="335"/>
      <c r="CS321" s="335"/>
      <c r="CT321" s="335"/>
      <c r="CU321" s="335"/>
      <c r="CV321" s="335"/>
      <c r="CW321" s="335"/>
      <c r="CX321" s="335"/>
      <c r="CY321" s="335"/>
      <c r="CZ321" s="335"/>
      <c r="DA321" s="335"/>
      <c r="DB321" s="335"/>
      <c r="DC321" s="335"/>
      <c r="DD321" s="335"/>
      <c r="DE321" s="335"/>
      <c r="DF321" s="335"/>
      <c r="DG321" s="335"/>
      <c r="DH321" s="335"/>
      <c r="DI321" s="335"/>
      <c r="DJ321" s="335"/>
      <c r="DK321" s="335"/>
      <c r="DL321" s="335"/>
      <c r="DM321" s="335"/>
      <c r="DN321" s="335"/>
      <c r="DO321" s="335"/>
      <c r="DP321" s="335"/>
      <c r="DQ321" s="335"/>
      <c r="DR321" s="335"/>
      <c r="DS321" s="335"/>
      <c r="DT321" s="335"/>
      <c r="DU321" s="335"/>
      <c r="DV321" s="335"/>
      <c r="DW321" s="335"/>
      <c r="DX321" s="335"/>
      <c r="DY321" s="335"/>
      <c r="DZ321" s="335"/>
      <c r="EA321" s="335"/>
      <c r="EB321" s="335"/>
      <c r="EC321" s="335"/>
      <c r="ED321" s="335"/>
      <c r="EE321" s="335"/>
      <c r="EF321" s="335"/>
      <c r="EG321" s="335"/>
      <c r="EH321" s="335"/>
      <c r="EI321" s="335"/>
      <c r="EJ321" s="335"/>
      <c r="EK321" s="335"/>
      <c r="EL321" s="335"/>
      <c r="EM321" s="335"/>
      <c r="EN321" s="335"/>
      <c r="EO321" s="335"/>
      <c r="EP321" s="335"/>
      <c r="EQ321" s="335"/>
      <c r="ER321" s="335"/>
      <c r="ES321" s="335"/>
      <c r="ET321" s="335"/>
      <c r="EU321" s="335"/>
      <c r="EV321" s="335"/>
      <c r="EW321" s="335"/>
      <c r="EX321" s="335"/>
      <c r="EY321" s="335"/>
      <c r="EZ321" s="335"/>
      <c r="FA321" s="335"/>
      <c r="FB321" s="335"/>
      <c r="FC321" s="335"/>
      <c r="FD321" s="335"/>
      <c r="FE321" s="335"/>
      <c r="FF321" s="335"/>
      <c r="FG321" s="335"/>
      <c r="FH321" s="335"/>
      <c r="FI321" s="335"/>
      <c r="FJ321" s="335"/>
      <c r="FK321" s="335"/>
      <c r="FL321" s="335"/>
      <c r="FM321" s="335"/>
      <c r="FN321" s="335"/>
      <c r="FO321" s="335"/>
      <c r="FP321" s="335"/>
      <c r="FQ321" s="335"/>
      <c r="FR321" s="335"/>
      <c r="FS321" s="335"/>
      <c r="FT321" s="335"/>
      <c r="FU321" s="335"/>
      <c r="FV321" s="335"/>
      <c r="FW321" s="335"/>
      <c r="FX321" s="335"/>
      <c r="FY321" s="335"/>
      <c r="FZ321" s="335"/>
      <c r="GA321" s="335"/>
      <c r="GB321" s="335"/>
      <c r="GC321" s="335"/>
      <c r="GD321" s="335"/>
      <c r="GE321" s="335"/>
      <c r="GF321" s="335"/>
      <c r="GG321" s="335"/>
      <c r="GH321" s="335"/>
      <c r="GI321" s="335"/>
      <c r="GJ321" s="335"/>
      <c r="GK321" s="335"/>
      <c r="GL321" s="335"/>
      <c r="GM321" s="335"/>
      <c r="GN321" s="335"/>
      <c r="GO321" s="335"/>
      <c r="GP321" s="335"/>
      <c r="GQ321" s="335"/>
      <c r="GR321" s="335"/>
      <c r="GS321" s="335"/>
      <c r="GT321" s="335"/>
      <c r="GU321" s="335"/>
      <c r="GV321" s="335"/>
      <c r="GW321" s="335"/>
      <c r="GX321" s="335"/>
      <c r="GY321" s="335"/>
      <c r="GZ321" s="335"/>
    </row>
    <row r="322" spans="1:208" ht="15">
      <c r="A322" s="379"/>
      <c r="B322" s="335"/>
      <c r="C322" s="335"/>
      <c r="D322" s="335"/>
      <c r="E322" s="335"/>
      <c r="F322" s="335"/>
      <c r="G322" s="335"/>
      <c r="H322" s="335"/>
      <c r="I322" s="335"/>
      <c r="J322" s="335"/>
      <c r="K322" s="335"/>
      <c r="L322" s="335"/>
      <c r="M322" s="376"/>
      <c r="N322" s="335"/>
      <c r="O322" s="380"/>
      <c r="P322" s="335"/>
      <c r="Q322" s="335"/>
      <c r="R322" s="335"/>
      <c r="S322" s="335"/>
      <c r="T322" s="335"/>
      <c r="U322" s="335"/>
      <c r="V322" s="335"/>
      <c r="W322" s="335"/>
      <c r="X322" s="335"/>
      <c r="Y322" s="335"/>
      <c r="Z322" s="335"/>
      <c r="AA322" s="335"/>
      <c r="AB322" s="335"/>
      <c r="AC322" s="335"/>
      <c r="AD322" s="335"/>
      <c r="AE322" s="335"/>
      <c r="AF322" s="335"/>
      <c r="AG322" s="335"/>
      <c r="AH322" s="335"/>
      <c r="AI322" s="335"/>
      <c r="AJ322" s="335"/>
      <c r="AK322" s="335"/>
      <c r="AL322" s="335"/>
      <c r="AM322" s="335"/>
      <c r="AN322" s="335"/>
      <c r="AO322" s="335"/>
      <c r="AP322" s="335"/>
      <c r="AQ322" s="335"/>
      <c r="AR322" s="335"/>
      <c r="AS322" s="335"/>
      <c r="AT322" s="335"/>
      <c r="AU322" s="335"/>
      <c r="AV322" s="335"/>
      <c r="AW322" s="335"/>
      <c r="AX322" s="335"/>
      <c r="AY322" s="335"/>
      <c r="AZ322" s="335"/>
      <c r="BA322" s="335"/>
      <c r="BB322" s="335"/>
      <c r="BC322" s="335"/>
      <c r="BD322" s="335"/>
      <c r="BE322" s="335"/>
      <c r="BF322" s="335"/>
      <c r="BG322" s="335"/>
      <c r="BH322" s="335"/>
      <c r="BI322" s="335"/>
      <c r="BJ322" s="335"/>
      <c r="BK322" s="335"/>
      <c r="BL322" s="335"/>
      <c r="BM322" s="335"/>
      <c r="BN322" s="335"/>
      <c r="BO322" s="335"/>
      <c r="BP322" s="335"/>
      <c r="BQ322" s="335"/>
      <c r="BR322" s="335"/>
      <c r="BS322" s="335"/>
      <c r="BT322" s="335"/>
      <c r="BU322" s="335"/>
      <c r="BV322" s="335"/>
      <c r="BW322" s="335"/>
      <c r="BX322" s="335"/>
      <c r="BY322" s="335"/>
      <c r="BZ322" s="335"/>
      <c r="CA322" s="335"/>
      <c r="CB322" s="335"/>
      <c r="CC322" s="335"/>
      <c r="CD322" s="335"/>
      <c r="CE322" s="335"/>
      <c r="CF322" s="335"/>
      <c r="CG322" s="335"/>
      <c r="CH322" s="335"/>
      <c r="CI322" s="335"/>
      <c r="CJ322" s="335"/>
      <c r="CK322" s="335"/>
      <c r="CL322" s="335"/>
      <c r="CM322" s="335"/>
      <c r="CN322" s="335"/>
      <c r="CO322" s="335"/>
      <c r="CP322" s="335"/>
      <c r="CQ322" s="335"/>
      <c r="CR322" s="335"/>
      <c r="CS322" s="335"/>
      <c r="CT322" s="335"/>
      <c r="CU322" s="335"/>
      <c r="CV322" s="335"/>
      <c r="CW322" s="335"/>
      <c r="CX322" s="335"/>
      <c r="CY322" s="335"/>
      <c r="CZ322" s="335"/>
      <c r="DA322" s="335"/>
      <c r="DB322" s="335"/>
      <c r="DC322" s="335"/>
      <c r="DD322" s="335"/>
      <c r="DE322" s="335"/>
      <c r="DF322" s="335"/>
      <c r="DG322" s="335"/>
      <c r="DH322" s="335"/>
      <c r="DI322" s="335"/>
      <c r="DJ322" s="335"/>
      <c r="DK322" s="335"/>
      <c r="DL322" s="335"/>
      <c r="DM322" s="335"/>
      <c r="DN322" s="335"/>
      <c r="DO322" s="335"/>
      <c r="DP322" s="335"/>
      <c r="DQ322" s="335"/>
      <c r="DR322" s="335"/>
      <c r="DS322" s="335"/>
      <c r="DT322" s="335"/>
      <c r="DU322" s="335"/>
      <c r="DV322" s="335"/>
      <c r="DW322" s="335"/>
      <c r="DX322" s="335"/>
      <c r="DY322" s="335"/>
      <c r="DZ322" s="335"/>
      <c r="EA322" s="335"/>
      <c r="EB322" s="335"/>
      <c r="EC322" s="335"/>
      <c r="ED322" s="335"/>
      <c r="EE322" s="335"/>
      <c r="EF322" s="335"/>
      <c r="EG322" s="335"/>
      <c r="EH322" s="335"/>
      <c r="EI322" s="335"/>
      <c r="EJ322" s="335"/>
      <c r="EK322" s="335"/>
      <c r="EL322" s="335"/>
      <c r="EM322" s="335"/>
      <c r="EN322" s="335"/>
      <c r="EO322" s="335"/>
      <c r="EP322" s="335"/>
      <c r="EQ322" s="335"/>
      <c r="ER322" s="335"/>
      <c r="ES322" s="335"/>
      <c r="ET322" s="335"/>
      <c r="EU322" s="335"/>
      <c r="EV322" s="335"/>
      <c r="EW322" s="335"/>
      <c r="EX322" s="335"/>
      <c r="EY322" s="335"/>
      <c r="EZ322" s="335"/>
      <c r="FA322" s="335"/>
      <c r="FB322" s="335"/>
      <c r="FC322" s="335"/>
      <c r="FD322" s="335"/>
      <c r="FE322" s="335"/>
      <c r="FF322" s="335"/>
      <c r="FG322" s="335"/>
      <c r="FH322" s="335"/>
      <c r="FI322" s="335"/>
      <c r="FJ322" s="335"/>
      <c r="FK322" s="335"/>
      <c r="FL322" s="335"/>
      <c r="FM322" s="335"/>
      <c r="FN322" s="335"/>
      <c r="FO322" s="335"/>
      <c r="FP322" s="335"/>
      <c r="FQ322" s="335"/>
      <c r="FR322" s="335"/>
      <c r="FS322" s="335"/>
      <c r="FT322" s="335"/>
      <c r="FU322" s="335"/>
      <c r="FV322" s="335"/>
      <c r="FW322" s="335"/>
      <c r="FX322" s="335"/>
      <c r="FY322" s="335"/>
      <c r="FZ322" s="335"/>
      <c r="GA322" s="335"/>
      <c r="GB322" s="335"/>
      <c r="GC322" s="335"/>
      <c r="GD322" s="335"/>
      <c r="GE322" s="335"/>
      <c r="GF322" s="335"/>
      <c r="GG322" s="335"/>
      <c r="GH322" s="335"/>
      <c r="GI322" s="335"/>
      <c r="GJ322" s="335"/>
      <c r="GK322" s="335"/>
      <c r="GL322" s="335"/>
      <c r="GM322" s="335"/>
      <c r="GN322" s="335"/>
      <c r="GO322" s="335"/>
      <c r="GP322" s="335"/>
      <c r="GQ322" s="335"/>
      <c r="GR322" s="335"/>
      <c r="GS322" s="335"/>
      <c r="GT322" s="335"/>
      <c r="GU322" s="335"/>
      <c r="GV322" s="335"/>
      <c r="GW322" s="335"/>
      <c r="GX322" s="335"/>
      <c r="GY322" s="335"/>
      <c r="GZ322" s="335"/>
    </row>
    <row r="323" spans="1:208" ht="15">
      <c r="A323" s="379"/>
      <c r="B323" s="335"/>
      <c r="C323" s="335"/>
      <c r="D323" s="335"/>
      <c r="E323" s="335"/>
      <c r="F323" s="335"/>
      <c r="G323" s="335"/>
      <c r="H323" s="335"/>
      <c r="I323" s="335"/>
      <c r="J323" s="335"/>
      <c r="K323" s="335"/>
      <c r="L323" s="335"/>
      <c r="M323" s="376"/>
      <c r="N323" s="335"/>
      <c r="O323" s="380"/>
      <c r="P323" s="335"/>
      <c r="Q323" s="335"/>
      <c r="R323" s="335"/>
      <c r="S323" s="335"/>
      <c r="T323" s="335"/>
      <c r="U323" s="335"/>
      <c r="V323" s="335"/>
      <c r="W323" s="335"/>
      <c r="X323" s="335"/>
      <c r="Y323" s="335"/>
      <c r="Z323" s="335"/>
      <c r="AA323" s="335"/>
      <c r="AB323" s="335"/>
      <c r="AC323" s="335"/>
      <c r="AD323" s="335"/>
      <c r="AE323" s="335"/>
      <c r="AF323" s="335"/>
      <c r="AG323" s="335"/>
      <c r="AH323" s="335"/>
      <c r="AI323" s="335"/>
      <c r="AJ323" s="335"/>
      <c r="AK323" s="335"/>
      <c r="AL323" s="335"/>
      <c r="AM323" s="335"/>
      <c r="AN323" s="335"/>
      <c r="AO323" s="335"/>
      <c r="AP323" s="335"/>
      <c r="AQ323" s="335"/>
      <c r="AR323" s="335"/>
      <c r="AS323" s="335"/>
      <c r="AT323" s="335"/>
      <c r="AU323" s="335"/>
      <c r="AV323" s="335"/>
      <c r="AW323" s="335"/>
      <c r="AX323" s="335"/>
      <c r="AY323" s="335"/>
      <c r="AZ323" s="335"/>
      <c r="BA323" s="335"/>
      <c r="BB323" s="335"/>
      <c r="BC323" s="335"/>
      <c r="BD323" s="335"/>
      <c r="BE323" s="335"/>
      <c r="BF323" s="335"/>
      <c r="BG323" s="335"/>
      <c r="BH323" s="335"/>
      <c r="BI323" s="335"/>
      <c r="BJ323" s="335"/>
      <c r="BK323" s="335"/>
      <c r="BL323" s="335"/>
      <c r="BM323" s="335"/>
      <c r="BN323" s="335"/>
      <c r="BO323" s="335"/>
      <c r="BP323" s="335"/>
      <c r="BQ323" s="335"/>
      <c r="BR323" s="335"/>
      <c r="BS323" s="335"/>
      <c r="BT323" s="335"/>
      <c r="BU323" s="335"/>
      <c r="BV323" s="335"/>
      <c r="BW323" s="335"/>
      <c r="BX323" s="335"/>
      <c r="BY323" s="335"/>
      <c r="BZ323" s="335"/>
      <c r="CA323" s="335"/>
      <c r="CB323" s="335"/>
      <c r="CC323" s="335"/>
      <c r="CD323" s="335"/>
      <c r="CE323" s="335"/>
      <c r="CF323" s="335"/>
      <c r="CG323" s="335"/>
      <c r="CH323" s="335"/>
      <c r="CI323" s="335"/>
      <c r="CJ323" s="335"/>
      <c r="CK323" s="335"/>
      <c r="CL323" s="335"/>
      <c r="CM323" s="335"/>
      <c r="CN323" s="335"/>
      <c r="CO323" s="335"/>
      <c r="CP323" s="335"/>
      <c r="CQ323" s="335"/>
      <c r="CR323" s="335"/>
      <c r="CS323" s="335"/>
      <c r="CT323" s="335"/>
      <c r="CU323" s="335"/>
      <c r="CV323" s="335"/>
      <c r="CW323" s="335"/>
      <c r="CX323" s="335"/>
      <c r="CY323" s="335"/>
      <c r="CZ323" s="335"/>
      <c r="DA323" s="335"/>
      <c r="DB323" s="335"/>
      <c r="DC323" s="335"/>
      <c r="DD323" s="335"/>
      <c r="DE323" s="335"/>
      <c r="DF323" s="335"/>
      <c r="DG323" s="335"/>
      <c r="DH323" s="335"/>
      <c r="DI323" s="335"/>
      <c r="DJ323" s="335"/>
      <c r="DK323" s="335"/>
      <c r="DL323" s="335"/>
      <c r="DM323" s="335"/>
      <c r="DN323" s="335"/>
      <c r="DO323" s="335"/>
      <c r="DP323" s="335"/>
      <c r="DQ323" s="335"/>
      <c r="DR323" s="335"/>
      <c r="DS323" s="335"/>
      <c r="DT323" s="335"/>
      <c r="DU323" s="335"/>
      <c r="DV323" s="335"/>
      <c r="DW323" s="335"/>
      <c r="DX323" s="335"/>
      <c r="DY323" s="335"/>
      <c r="DZ323" s="335"/>
      <c r="EA323" s="335"/>
      <c r="EB323" s="335"/>
      <c r="EC323" s="335"/>
      <c r="ED323" s="335"/>
      <c r="EE323" s="335"/>
      <c r="EF323" s="335"/>
      <c r="EG323" s="335"/>
      <c r="EH323" s="335"/>
      <c r="EI323" s="335"/>
      <c r="EJ323" s="335"/>
      <c r="EK323" s="335"/>
      <c r="EL323" s="335"/>
      <c r="EM323" s="335"/>
      <c r="EN323" s="335"/>
      <c r="EO323" s="335"/>
      <c r="EP323" s="335"/>
      <c r="EQ323" s="335"/>
      <c r="ER323" s="335"/>
      <c r="ES323" s="335"/>
      <c r="ET323" s="335"/>
      <c r="EU323" s="335"/>
      <c r="EV323" s="335"/>
      <c r="EW323" s="335"/>
      <c r="EX323" s="335"/>
      <c r="EY323" s="335"/>
      <c r="EZ323" s="335"/>
      <c r="FA323" s="335"/>
      <c r="FB323" s="335"/>
      <c r="FC323" s="335"/>
      <c r="FD323" s="335"/>
      <c r="FE323" s="335"/>
      <c r="FF323" s="335"/>
      <c r="FG323" s="335"/>
      <c r="FH323" s="335"/>
      <c r="FI323" s="335"/>
      <c r="FJ323" s="335"/>
      <c r="FK323" s="335"/>
      <c r="FL323" s="335"/>
      <c r="FM323" s="335"/>
      <c r="FN323" s="335"/>
      <c r="FO323" s="335"/>
      <c r="FP323" s="335"/>
      <c r="FQ323" s="335"/>
      <c r="FR323" s="335"/>
      <c r="FS323" s="335"/>
      <c r="FT323" s="335"/>
      <c r="FU323" s="335"/>
      <c r="FV323" s="335"/>
      <c r="FW323" s="335"/>
      <c r="FX323" s="335"/>
      <c r="FY323" s="335"/>
      <c r="FZ323" s="335"/>
      <c r="GA323" s="335"/>
      <c r="GB323" s="335"/>
      <c r="GC323" s="335"/>
      <c r="GD323" s="335"/>
      <c r="GE323" s="335"/>
      <c r="GF323" s="335"/>
      <c r="GG323" s="335"/>
      <c r="GH323" s="335"/>
      <c r="GI323" s="335"/>
      <c r="GJ323" s="335"/>
      <c r="GK323" s="335"/>
      <c r="GL323" s="335"/>
      <c r="GM323" s="335"/>
      <c r="GN323" s="335"/>
      <c r="GO323" s="335"/>
      <c r="GP323" s="335"/>
      <c r="GQ323" s="335"/>
      <c r="GR323" s="335"/>
      <c r="GS323" s="335"/>
      <c r="GT323" s="335"/>
      <c r="GU323" s="335"/>
      <c r="GV323" s="335"/>
      <c r="GW323" s="335"/>
      <c r="GX323" s="335"/>
      <c r="GY323" s="335"/>
      <c r="GZ323" s="335"/>
    </row>
    <row r="324" spans="1:208" ht="15">
      <c r="A324" s="379"/>
      <c r="B324" s="335"/>
      <c r="C324" s="335"/>
      <c r="D324" s="335"/>
      <c r="E324" s="335"/>
      <c r="F324" s="335"/>
      <c r="G324" s="335"/>
      <c r="H324" s="335"/>
      <c r="I324" s="335"/>
      <c r="J324" s="335"/>
      <c r="K324" s="335"/>
      <c r="L324" s="335"/>
      <c r="M324" s="376"/>
      <c r="N324" s="335"/>
      <c r="O324" s="380"/>
      <c r="P324" s="335"/>
      <c r="Q324" s="335"/>
      <c r="R324" s="335"/>
      <c r="S324" s="335"/>
      <c r="T324" s="335"/>
      <c r="U324" s="335"/>
      <c r="V324" s="335"/>
      <c r="W324" s="335"/>
      <c r="X324" s="335"/>
      <c r="Y324" s="335"/>
      <c r="Z324" s="335"/>
      <c r="AA324" s="335"/>
      <c r="AB324" s="335"/>
      <c r="AC324" s="335"/>
      <c r="AD324" s="335"/>
      <c r="AE324" s="335"/>
      <c r="AF324" s="335"/>
      <c r="AG324" s="335"/>
      <c r="AH324" s="335"/>
      <c r="AI324" s="335"/>
      <c r="AJ324" s="335"/>
      <c r="AK324" s="335"/>
      <c r="AL324" s="335"/>
      <c r="AM324" s="335"/>
      <c r="AN324" s="335"/>
      <c r="AO324" s="335"/>
      <c r="AP324" s="335"/>
      <c r="AQ324" s="335"/>
      <c r="AR324" s="335"/>
      <c r="AS324" s="335"/>
      <c r="AT324" s="335"/>
      <c r="AU324" s="335"/>
      <c r="AV324" s="335"/>
      <c r="AW324" s="335"/>
      <c r="AX324" s="335"/>
      <c r="AY324" s="335"/>
      <c r="AZ324" s="335"/>
      <c r="BA324" s="335"/>
      <c r="BB324" s="335"/>
      <c r="BC324" s="335"/>
      <c r="BD324" s="335"/>
      <c r="BE324" s="335"/>
      <c r="BF324" s="335"/>
      <c r="BG324" s="335"/>
      <c r="BH324" s="335"/>
      <c r="BI324" s="335"/>
      <c r="BJ324" s="335"/>
      <c r="BK324" s="335"/>
      <c r="BL324" s="335"/>
      <c r="BM324" s="335"/>
      <c r="BN324" s="335"/>
      <c r="BO324" s="335"/>
      <c r="BP324" s="335"/>
      <c r="BQ324" s="335"/>
      <c r="BR324" s="335"/>
      <c r="BS324" s="335"/>
      <c r="BT324" s="335"/>
      <c r="BU324" s="335"/>
      <c r="BV324" s="335"/>
      <c r="BW324" s="335"/>
      <c r="BX324" s="335"/>
      <c r="BY324" s="335"/>
      <c r="BZ324" s="335"/>
      <c r="CA324" s="335"/>
      <c r="CB324" s="335"/>
      <c r="CC324" s="335"/>
      <c r="CD324" s="335"/>
      <c r="CE324" s="335"/>
      <c r="CF324" s="335"/>
      <c r="CG324" s="335"/>
      <c r="CH324" s="335"/>
      <c r="CI324" s="335"/>
      <c r="CJ324" s="335"/>
      <c r="CK324" s="335"/>
      <c r="CL324" s="335"/>
      <c r="CM324" s="335"/>
      <c r="CN324" s="335"/>
      <c r="CO324" s="335"/>
      <c r="CP324" s="335"/>
      <c r="CQ324" s="335"/>
      <c r="CR324" s="335"/>
      <c r="CS324" s="335"/>
      <c r="CT324" s="335"/>
      <c r="CU324" s="335"/>
      <c r="CV324" s="335"/>
      <c r="CW324" s="335"/>
      <c r="CX324" s="335"/>
      <c r="CY324" s="335"/>
      <c r="CZ324" s="335"/>
      <c r="DA324" s="335"/>
      <c r="DB324" s="335"/>
      <c r="DC324" s="335"/>
      <c r="DD324" s="335"/>
      <c r="DE324" s="335"/>
      <c r="DF324" s="335"/>
      <c r="DG324" s="335"/>
      <c r="DH324" s="335"/>
      <c r="DI324" s="335"/>
      <c r="DJ324" s="335"/>
      <c r="DK324" s="335"/>
      <c r="DL324" s="335"/>
      <c r="DM324" s="335"/>
      <c r="DN324" s="335"/>
      <c r="DO324" s="335"/>
      <c r="DP324" s="335"/>
      <c r="DQ324" s="335"/>
      <c r="DR324" s="335"/>
      <c r="DS324" s="335"/>
      <c r="DT324" s="335"/>
      <c r="DU324" s="335"/>
      <c r="DV324" s="335"/>
      <c r="DW324" s="335"/>
      <c r="DX324" s="335"/>
      <c r="DY324" s="335"/>
      <c r="DZ324" s="335"/>
      <c r="EA324" s="335"/>
      <c r="EB324" s="335"/>
      <c r="EC324" s="335"/>
      <c r="ED324" s="335"/>
      <c r="EE324" s="335"/>
      <c r="EF324" s="335"/>
      <c r="EG324" s="335"/>
      <c r="EH324" s="335"/>
      <c r="EI324" s="335"/>
      <c r="EJ324" s="335"/>
      <c r="EK324" s="335"/>
      <c r="EL324" s="335"/>
      <c r="EM324" s="335"/>
      <c r="EN324" s="335"/>
      <c r="EO324" s="335"/>
      <c r="EP324" s="335"/>
      <c r="EQ324" s="335"/>
      <c r="ER324" s="335"/>
      <c r="ES324" s="335"/>
      <c r="ET324" s="335"/>
      <c r="EU324" s="335"/>
      <c r="EV324" s="335"/>
      <c r="EW324" s="335"/>
      <c r="EX324" s="335"/>
      <c r="EY324" s="335"/>
      <c r="EZ324" s="335"/>
      <c r="FA324" s="335"/>
      <c r="FB324" s="335"/>
      <c r="FC324" s="335"/>
      <c r="FD324" s="335"/>
      <c r="FE324" s="335"/>
      <c r="FF324" s="335"/>
      <c r="FG324" s="335"/>
      <c r="FH324" s="335"/>
      <c r="FI324" s="335"/>
      <c r="FJ324" s="335"/>
      <c r="FK324" s="335"/>
      <c r="FL324" s="335"/>
      <c r="FM324" s="335"/>
      <c r="FN324" s="335"/>
      <c r="FO324" s="335"/>
      <c r="FP324" s="335"/>
      <c r="FQ324" s="335"/>
      <c r="FR324" s="335"/>
      <c r="FS324" s="335"/>
      <c r="FT324" s="335"/>
      <c r="FU324" s="335"/>
      <c r="FV324" s="335"/>
      <c r="FW324" s="335"/>
      <c r="FX324" s="335"/>
      <c r="FY324" s="335"/>
      <c r="FZ324" s="335"/>
      <c r="GA324" s="335"/>
      <c r="GB324" s="335"/>
      <c r="GC324" s="335"/>
      <c r="GD324" s="335"/>
      <c r="GE324" s="335"/>
      <c r="GF324" s="335"/>
      <c r="GG324" s="335"/>
      <c r="GH324" s="335"/>
      <c r="GI324" s="335"/>
      <c r="GJ324" s="335"/>
      <c r="GK324" s="335"/>
      <c r="GL324" s="335"/>
      <c r="GM324" s="335"/>
      <c r="GN324" s="335"/>
      <c r="GO324" s="335"/>
      <c r="GP324" s="335"/>
      <c r="GQ324" s="335"/>
      <c r="GR324" s="335"/>
      <c r="GS324" s="335"/>
      <c r="GT324" s="335"/>
      <c r="GU324" s="335"/>
      <c r="GV324" s="335"/>
      <c r="GW324" s="335"/>
      <c r="GX324" s="335"/>
      <c r="GY324" s="335"/>
      <c r="GZ324" s="335"/>
    </row>
    <row r="325" spans="1:208" ht="15">
      <c r="A325" s="379"/>
      <c r="B325" s="335"/>
      <c r="C325" s="335"/>
      <c r="D325" s="335"/>
      <c r="E325" s="335"/>
      <c r="F325" s="335"/>
      <c r="G325" s="335"/>
      <c r="H325" s="335"/>
      <c r="I325" s="335"/>
      <c r="J325" s="335"/>
      <c r="K325" s="335"/>
      <c r="L325" s="335"/>
      <c r="M325" s="376"/>
      <c r="N325" s="335"/>
      <c r="O325" s="380"/>
      <c r="P325" s="335"/>
      <c r="Q325" s="335"/>
      <c r="R325" s="335"/>
      <c r="S325" s="335"/>
      <c r="T325" s="335"/>
      <c r="U325" s="335"/>
      <c r="V325" s="335"/>
      <c r="W325" s="335"/>
      <c r="X325" s="335"/>
      <c r="Y325" s="335"/>
      <c r="Z325" s="335"/>
      <c r="AA325" s="335"/>
      <c r="AB325" s="335"/>
      <c r="AC325" s="335"/>
      <c r="AD325" s="335"/>
      <c r="AE325" s="335"/>
      <c r="AF325" s="335"/>
      <c r="AG325" s="335"/>
      <c r="AH325" s="335"/>
      <c r="AI325" s="335"/>
      <c r="AJ325" s="335"/>
      <c r="AK325" s="335"/>
      <c r="AL325" s="335"/>
      <c r="AM325" s="335"/>
      <c r="AN325" s="335"/>
      <c r="AO325" s="335"/>
      <c r="AP325" s="335"/>
      <c r="AQ325" s="335"/>
      <c r="AR325" s="335"/>
      <c r="AS325" s="335"/>
      <c r="AT325" s="335"/>
      <c r="AU325" s="335"/>
      <c r="AV325" s="335"/>
      <c r="AW325" s="335"/>
      <c r="AX325" s="335"/>
      <c r="AY325" s="335"/>
      <c r="AZ325" s="335"/>
      <c r="BA325" s="335"/>
      <c r="BB325" s="335"/>
      <c r="BC325" s="335"/>
      <c r="BD325" s="335"/>
      <c r="BE325" s="335"/>
      <c r="BF325" s="335"/>
      <c r="BG325" s="335"/>
      <c r="BH325" s="335"/>
      <c r="BI325" s="335"/>
      <c r="BJ325" s="335"/>
      <c r="BK325" s="335"/>
      <c r="BL325" s="335"/>
      <c r="BM325" s="335"/>
      <c r="BN325" s="335"/>
      <c r="BO325" s="335"/>
      <c r="BP325" s="335"/>
      <c r="BQ325" s="335"/>
      <c r="BR325" s="335"/>
      <c r="BS325" s="335"/>
      <c r="BT325" s="335"/>
      <c r="BU325" s="335"/>
      <c r="BV325" s="335"/>
      <c r="BW325" s="335"/>
      <c r="BX325" s="335"/>
      <c r="BY325" s="335"/>
      <c r="BZ325" s="335"/>
      <c r="CA325" s="335"/>
      <c r="CB325" s="335"/>
      <c r="CC325" s="335"/>
      <c r="CD325" s="335"/>
      <c r="CE325" s="335"/>
      <c r="CF325" s="335"/>
      <c r="CG325" s="335"/>
      <c r="CH325" s="335"/>
      <c r="CI325" s="335"/>
      <c r="CJ325" s="335"/>
      <c r="CK325" s="335"/>
      <c r="CL325" s="335"/>
      <c r="CM325" s="335"/>
      <c r="CN325" s="335"/>
      <c r="CO325" s="335"/>
      <c r="CP325" s="335"/>
      <c r="CQ325" s="335"/>
      <c r="CR325" s="335"/>
      <c r="CS325" s="335"/>
      <c r="CT325" s="335"/>
      <c r="CU325" s="335"/>
      <c r="CV325" s="335"/>
      <c r="CW325" s="335"/>
      <c r="CX325" s="335"/>
      <c r="CY325" s="335"/>
      <c r="CZ325" s="335"/>
      <c r="DA325" s="335"/>
      <c r="DB325" s="335"/>
      <c r="DC325" s="335"/>
      <c r="DD325" s="335"/>
      <c r="DE325" s="335"/>
      <c r="DF325" s="335"/>
      <c r="DG325" s="335"/>
      <c r="DH325" s="335"/>
      <c r="DI325" s="335"/>
      <c r="DJ325" s="335"/>
      <c r="DK325" s="335"/>
      <c r="DL325" s="335"/>
      <c r="DM325" s="335"/>
      <c r="DN325" s="335"/>
      <c r="DO325" s="335"/>
      <c r="DP325" s="335"/>
      <c r="DQ325" s="335"/>
      <c r="DR325" s="335"/>
      <c r="DS325" s="335"/>
      <c r="DT325" s="335"/>
      <c r="DU325" s="335"/>
      <c r="DV325" s="335"/>
      <c r="DW325" s="335"/>
      <c r="DX325" s="335"/>
      <c r="DY325" s="335"/>
      <c r="DZ325" s="335"/>
      <c r="EA325" s="335"/>
      <c r="EB325" s="335"/>
      <c r="EC325" s="335"/>
      <c r="ED325" s="335"/>
      <c r="EE325" s="335"/>
      <c r="EF325" s="335"/>
      <c r="EG325" s="335"/>
      <c r="EH325" s="335"/>
      <c r="EI325" s="335"/>
      <c r="EJ325" s="335"/>
      <c r="EK325" s="335"/>
      <c r="EL325" s="335"/>
      <c r="EM325" s="335"/>
      <c r="EN325" s="335"/>
      <c r="EO325" s="335"/>
      <c r="EP325" s="335"/>
      <c r="EQ325" s="335"/>
      <c r="ER325" s="335"/>
      <c r="ES325" s="335"/>
      <c r="ET325" s="335"/>
      <c r="EU325" s="335"/>
      <c r="EV325" s="335"/>
      <c r="EW325" s="335"/>
      <c r="EX325" s="335"/>
      <c r="EY325" s="335"/>
      <c r="EZ325" s="335"/>
      <c r="FA325" s="335"/>
      <c r="FB325" s="335"/>
      <c r="FC325" s="335"/>
      <c r="FD325" s="335"/>
      <c r="FE325" s="335"/>
      <c r="FF325" s="335"/>
      <c r="FG325" s="335"/>
      <c r="FH325" s="335"/>
      <c r="FI325" s="335"/>
      <c r="FJ325" s="335"/>
      <c r="FK325" s="335"/>
      <c r="FL325" s="335"/>
      <c r="FM325" s="335"/>
      <c r="FN325" s="335"/>
      <c r="FO325" s="335"/>
      <c r="FP325" s="335"/>
      <c r="FQ325" s="335"/>
      <c r="FR325" s="335"/>
      <c r="FS325" s="335"/>
      <c r="FT325" s="335"/>
      <c r="FU325" s="335"/>
      <c r="FV325" s="335"/>
      <c r="FW325" s="335"/>
      <c r="FX325" s="335"/>
      <c r="FY325" s="335"/>
      <c r="FZ325" s="335"/>
      <c r="GA325" s="335"/>
      <c r="GB325" s="335"/>
      <c r="GC325" s="335"/>
      <c r="GD325" s="335"/>
      <c r="GE325" s="335"/>
      <c r="GF325" s="335"/>
      <c r="GG325" s="335"/>
      <c r="GH325" s="335"/>
      <c r="GI325" s="335"/>
      <c r="GJ325" s="335"/>
      <c r="GK325" s="335"/>
      <c r="GL325" s="335"/>
      <c r="GM325" s="335"/>
      <c r="GN325" s="335"/>
      <c r="GO325" s="335"/>
      <c r="GP325" s="335"/>
      <c r="GQ325" s="335"/>
      <c r="GR325" s="335"/>
      <c r="GS325" s="335"/>
      <c r="GT325" s="335"/>
      <c r="GU325" s="335"/>
      <c r="GV325" s="335"/>
      <c r="GW325" s="335"/>
      <c r="GX325" s="335"/>
      <c r="GY325" s="335"/>
      <c r="GZ325" s="335"/>
    </row>
    <row r="326" spans="1:208" ht="15">
      <c r="A326" s="379"/>
      <c r="B326" s="335"/>
      <c r="C326" s="335"/>
      <c r="D326" s="335"/>
      <c r="E326" s="335"/>
      <c r="F326" s="335"/>
      <c r="G326" s="335"/>
      <c r="H326" s="335"/>
      <c r="I326" s="335"/>
      <c r="J326" s="335"/>
      <c r="K326" s="335"/>
      <c r="L326" s="335"/>
      <c r="M326" s="376"/>
      <c r="N326" s="335"/>
      <c r="O326" s="380"/>
      <c r="P326" s="335"/>
      <c r="Q326" s="335"/>
      <c r="R326" s="335"/>
      <c r="S326" s="335"/>
      <c r="T326" s="335"/>
      <c r="U326" s="335"/>
      <c r="V326" s="335"/>
      <c r="W326" s="335"/>
      <c r="X326" s="335"/>
      <c r="Y326" s="335"/>
      <c r="Z326" s="335"/>
      <c r="AA326" s="335"/>
      <c r="AB326" s="335"/>
      <c r="AC326" s="335"/>
      <c r="AD326" s="335"/>
      <c r="AE326" s="335"/>
      <c r="AF326" s="335"/>
      <c r="AG326" s="335"/>
      <c r="AH326" s="335"/>
      <c r="AI326" s="335"/>
      <c r="AJ326" s="335"/>
      <c r="AK326" s="335"/>
      <c r="AL326" s="335"/>
      <c r="AM326" s="335"/>
      <c r="AN326" s="335"/>
      <c r="AO326" s="335"/>
      <c r="AP326" s="335"/>
      <c r="AQ326" s="335"/>
      <c r="AR326" s="335"/>
      <c r="AS326" s="335"/>
      <c r="AT326" s="335"/>
      <c r="AU326" s="335"/>
      <c r="AV326" s="335"/>
      <c r="AW326" s="335"/>
      <c r="AX326" s="335"/>
      <c r="AY326" s="335"/>
      <c r="AZ326" s="335"/>
      <c r="BA326" s="335"/>
      <c r="BB326" s="335"/>
      <c r="BC326" s="335"/>
      <c r="BD326" s="335"/>
      <c r="BE326" s="335"/>
      <c r="BF326" s="335"/>
      <c r="BG326" s="335"/>
      <c r="BH326" s="335"/>
      <c r="BI326" s="335"/>
      <c r="BJ326" s="335"/>
      <c r="BK326" s="335"/>
      <c r="BL326" s="335"/>
      <c r="BM326" s="335"/>
      <c r="BN326" s="335"/>
      <c r="BO326" s="335"/>
      <c r="BP326" s="335"/>
      <c r="BQ326" s="335"/>
      <c r="BR326" s="335"/>
      <c r="BS326" s="335"/>
      <c r="BT326" s="335"/>
      <c r="BU326" s="335"/>
      <c r="BV326" s="335"/>
      <c r="BW326" s="335"/>
      <c r="BX326" s="335"/>
      <c r="BY326" s="335"/>
      <c r="BZ326" s="335"/>
      <c r="CA326" s="335"/>
      <c r="CB326" s="335"/>
      <c r="CC326" s="335"/>
      <c r="CD326" s="335"/>
      <c r="CE326" s="335"/>
      <c r="CF326" s="335"/>
      <c r="CG326" s="335"/>
      <c r="CH326" s="335"/>
      <c r="CI326" s="335"/>
      <c r="CJ326" s="335"/>
      <c r="CK326" s="335"/>
      <c r="CL326" s="335"/>
      <c r="CM326" s="335"/>
      <c r="CN326" s="335"/>
      <c r="CO326" s="335"/>
      <c r="CP326" s="335"/>
      <c r="CQ326" s="335"/>
      <c r="CR326" s="335"/>
      <c r="CS326" s="335"/>
      <c r="CT326" s="335"/>
      <c r="CU326" s="335"/>
      <c r="CV326" s="335"/>
      <c r="CW326" s="335"/>
      <c r="CX326" s="335"/>
      <c r="CY326" s="335"/>
      <c r="CZ326" s="335"/>
      <c r="DA326" s="335"/>
      <c r="DB326" s="335"/>
      <c r="DC326" s="335"/>
      <c r="DD326" s="335"/>
      <c r="DE326" s="335"/>
      <c r="DF326" s="335"/>
      <c r="DG326" s="335"/>
      <c r="DH326" s="335"/>
      <c r="DI326" s="335"/>
      <c r="DJ326" s="335"/>
      <c r="DK326" s="335"/>
      <c r="DL326" s="335"/>
      <c r="DM326" s="335"/>
      <c r="DN326" s="335"/>
      <c r="DO326" s="335"/>
      <c r="DP326" s="335"/>
      <c r="DQ326" s="335"/>
      <c r="DR326" s="335"/>
      <c r="DS326" s="335"/>
      <c r="DT326" s="335"/>
      <c r="DU326" s="335"/>
      <c r="DV326" s="335"/>
      <c r="DW326" s="335"/>
      <c r="DX326" s="335"/>
      <c r="DY326" s="335"/>
      <c r="DZ326" s="335"/>
      <c r="EA326" s="335"/>
      <c r="EB326" s="335"/>
      <c r="EC326" s="335"/>
      <c r="ED326" s="335"/>
      <c r="EE326" s="335"/>
      <c r="EF326" s="335"/>
      <c r="EG326" s="335"/>
      <c r="EH326" s="335"/>
      <c r="EI326" s="335"/>
      <c r="EJ326" s="335"/>
      <c r="EK326" s="335"/>
      <c r="EL326" s="335"/>
      <c r="EM326" s="335"/>
      <c r="EN326" s="335"/>
      <c r="EO326" s="335"/>
      <c r="EP326" s="335"/>
      <c r="EQ326" s="335"/>
      <c r="ER326" s="335"/>
      <c r="ES326" s="335"/>
      <c r="ET326" s="335"/>
      <c r="EU326" s="335"/>
      <c r="EV326" s="335"/>
      <c r="EW326" s="335"/>
      <c r="EX326" s="335"/>
      <c r="EY326" s="335"/>
      <c r="EZ326" s="335"/>
      <c r="FA326" s="335"/>
      <c r="FB326" s="335"/>
      <c r="FC326" s="335"/>
      <c r="FD326" s="335"/>
      <c r="FE326" s="335"/>
      <c r="FF326" s="335"/>
      <c r="FG326" s="335"/>
      <c r="FH326" s="335"/>
      <c r="FI326" s="335"/>
      <c r="FJ326" s="335"/>
      <c r="FK326" s="335"/>
      <c r="FL326" s="335"/>
      <c r="FM326" s="335"/>
      <c r="FN326" s="335"/>
      <c r="FO326" s="335"/>
      <c r="FP326" s="335"/>
      <c r="FQ326" s="335"/>
      <c r="FR326" s="335"/>
      <c r="FS326" s="335"/>
      <c r="FT326" s="335"/>
      <c r="FU326" s="335"/>
      <c r="FV326" s="335"/>
      <c r="FW326" s="335"/>
      <c r="FX326" s="335"/>
      <c r="FY326" s="335"/>
      <c r="FZ326" s="335"/>
      <c r="GA326" s="335"/>
      <c r="GB326" s="335"/>
      <c r="GC326" s="335"/>
      <c r="GD326" s="335"/>
      <c r="GE326" s="335"/>
      <c r="GF326" s="335"/>
      <c r="GG326" s="335"/>
      <c r="GH326" s="335"/>
      <c r="GI326" s="335"/>
      <c r="GJ326" s="335"/>
      <c r="GK326" s="335"/>
      <c r="GL326" s="335"/>
      <c r="GM326" s="335"/>
      <c r="GN326" s="335"/>
      <c r="GO326" s="335"/>
      <c r="GP326" s="335"/>
      <c r="GQ326" s="335"/>
      <c r="GR326" s="335"/>
      <c r="GS326" s="335"/>
      <c r="GT326" s="335"/>
      <c r="GU326" s="335"/>
      <c r="GV326" s="335"/>
      <c r="GW326" s="335"/>
      <c r="GX326" s="335"/>
      <c r="GY326" s="335"/>
      <c r="GZ326" s="335"/>
    </row>
    <row r="327" spans="1:208" ht="15">
      <c r="A327" s="379"/>
      <c r="B327" s="335"/>
      <c r="C327" s="335"/>
      <c r="D327" s="335"/>
      <c r="E327" s="335"/>
      <c r="F327" s="335"/>
      <c r="G327" s="335"/>
      <c r="H327" s="335"/>
      <c r="I327" s="335"/>
      <c r="J327" s="335"/>
      <c r="K327" s="335"/>
      <c r="L327" s="335"/>
      <c r="M327" s="376"/>
      <c r="N327" s="335"/>
      <c r="O327" s="380"/>
      <c r="P327" s="335"/>
      <c r="Q327" s="335"/>
      <c r="R327" s="335"/>
      <c r="S327" s="335"/>
      <c r="T327" s="335"/>
      <c r="U327" s="335"/>
      <c r="V327" s="335"/>
      <c r="W327" s="335"/>
      <c r="X327" s="335"/>
      <c r="Y327" s="335"/>
      <c r="Z327" s="335"/>
      <c r="AA327" s="335"/>
      <c r="AB327" s="335"/>
      <c r="AC327" s="335"/>
      <c r="AD327" s="335"/>
      <c r="AE327" s="335"/>
      <c r="AF327" s="335"/>
      <c r="AG327" s="335"/>
      <c r="AH327" s="335"/>
      <c r="AI327" s="335"/>
      <c r="AJ327" s="335"/>
      <c r="AK327" s="335"/>
      <c r="AL327" s="335"/>
      <c r="AM327" s="335"/>
      <c r="AN327" s="335"/>
      <c r="AO327" s="335"/>
      <c r="AP327" s="335"/>
      <c r="AQ327" s="335"/>
      <c r="AR327" s="335"/>
      <c r="AS327" s="335"/>
      <c r="AT327" s="335"/>
      <c r="AU327" s="335"/>
      <c r="AV327" s="335"/>
      <c r="AW327" s="335"/>
      <c r="AX327" s="335"/>
      <c r="AY327" s="335"/>
      <c r="AZ327" s="335"/>
      <c r="BA327" s="335"/>
      <c r="BB327" s="335"/>
      <c r="BC327" s="335"/>
      <c r="BD327" s="335"/>
      <c r="BE327" s="335"/>
      <c r="BF327" s="335"/>
      <c r="BG327" s="335"/>
      <c r="BH327" s="335"/>
      <c r="BI327" s="335"/>
      <c r="BJ327" s="335"/>
      <c r="BK327" s="335"/>
      <c r="BL327" s="335"/>
      <c r="BM327" s="335"/>
      <c r="BN327" s="335"/>
      <c r="BO327" s="335"/>
      <c r="BP327" s="335"/>
      <c r="BQ327" s="335"/>
      <c r="BR327" s="335"/>
      <c r="BS327" s="335"/>
      <c r="BT327" s="335"/>
      <c r="BU327" s="335"/>
      <c r="BV327" s="335"/>
      <c r="BW327" s="335"/>
      <c r="BX327" s="335"/>
      <c r="BY327" s="335"/>
      <c r="BZ327" s="335"/>
      <c r="CA327" s="335"/>
      <c r="CB327" s="335"/>
      <c r="CC327" s="335"/>
      <c r="CD327" s="335"/>
      <c r="CE327" s="335"/>
      <c r="CF327" s="335"/>
      <c r="CG327" s="335"/>
      <c r="CH327" s="335"/>
      <c r="CI327" s="335"/>
      <c r="CJ327" s="335"/>
      <c r="CK327" s="335"/>
      <c r="CL327" s="335"/>
      <c r="CM327" s="335"/>
      <c r="CN327" s="335"/>
      <c r="CO327" s="335"/>
      <c r="CP327" s="335"/>
      <c r="CQ327" s="335"/>
      <c r="CR327" s="335"/>
      <c r="CS327" s="335"/>
      <c r="CT327" s="335"/>
      <c r="CU327" s="335"/>
      <c r="CV327" s="335"/>
      <c r="CW327" s="335"/>
      <c r="CX327" s="335"/>
      <c r="CY327" s="335"/>
      <c r="CZ327" s="335"/>
      <c r="DA327" s="335"/>
      <c r="DB327" s="335"/>
      <c r="DC327" s="335"/>
      <c r="DD327" s="335"/>
      <c r="DE327" s="335"/>
      <c r="DF327" s="335"/>
      <c r="DG327" s="335"/>
      <c r="DH327" s="335"/>
      <c r="DI327" s="335"/>
      <c r="DJ327" s="335"/>
      <c r="DK327" s="335"/>
      <c r="DL327" s="335"/>
      <c r="DM327" s="335"/>
      <c r="DN327" s="335"/>
      <c r="DO327" s="335"/>
      <c r="DP327" s="335"/>
      <c r="DQ327" s="335"/>
      <c r="DR327" s="335"/>
      <c r="DS327" s="335"/>
      <c r="DT327" s="335"/>
      <c r="DU327" s="335"/>
      <c r="DV327" s="335"/>
      <c r="DW327" s="335"/>
      <c r="DX327" s="335"/>
      <c r="DY327" s="335"/>
      <c r="DZ327" s="335"/>
      <c r="EA327" s="335"/>
      <c r="EB327" s="335"/>
      <c r="EC327" s="335"/>
      <c r="ED327" s="335"/>
      <c r="EE327" s="335"/>
      <c r="EF327" s="335"/>
      <c r="EG327" s="335"/>
      <c r="EH327" s="335"/>
      <c r="EI327" s="335"/>
      <c r="EJ327" s="335"/>
      <c r="EK327" s="335"/>
      <c r="EL327" s="335"/>
      <c r="EM327" s="335"/>
      <c r="EN327" s="335"/>
      <c r="EO327" s="335"/>
      <c r="EP327" s="335"/>
      <c r="EQ327" s="335"/>
      <c r="ER327" s="335"/>
      <c r="ES327" s="335"/>
      <c r="ET327" s="335"/>
      <c r="EU327" s="335"/>
      <c r="EV327" s="335"/>
      <c r="EW327" s="335"/>
      <c r="EX327" s="335"/>
      <c r="EY327" s="335"/>
      <c r="EZ327" s="335"/>
      <c r="FA327" s="335"/>
      <c r="FB327" s="335"/>
      <c r="FC327" s="335"/>
      <c r="FD327" s="335"/>
      <c r="FE327" s="335"/>
      <c r="FF327" s="335"/>
      <c r="FG327" s="335"/>
      <c r="FH327" s="335"/>
      <c r="FI327" s="335"/>
      <c r="FJ327" s="335"/>
      <c r="FK327" s="335"/>
      <c r="FL327" s="335"/>
      <c r="FM327" s="335"/>
      <c r="FN327" s="335"/>
      <c r="FO327" s="335"/>
      <c r="FP327" s="335"/>
      <c r="FQ327" s="335"/>
      <c r="FR327" s="335"/>
      <c r="FS327" s="335"/>
      <c r="FT327" s="335"/>
      <c r="FU327" s="335"/>
      <c r="FV327" s="335"/>
      <c r="FW327" s="335"/>
      <c r="FX327" s="335"/>
      <c r="FY327" s="335"/>
      <c r="FZ327" s="335"/>
      <c r="GA327" s="335"/>
      <c r="GB327" s="335"/>
      <c r="GC327" s="335"/>
      <c r="GD327" s="335"/>
      <c r="GE327" s="335"/>
      <c r="GF327" s="335"/>
      <c r="GG327" s="335"/>
      <c r="GH327" s="335"/>
      <c r="GI327" s="335"/>
      <c r="GJ327" s="335"/>
      <c r="GK327" s="335"/>
      <c r="GL327" s="335"/>
      <c r="GM327" s="335"/>
      <c r="GN327" s="335"/>
      <c r="GO327" s="335"/>
      <c r="GP327" s="335"/>
      <c r="GQ327" s="335"/>
      <c r="GR327" s="335"/>
      <c r="GS327" s="335"/>
      <c r="GT327" s="335"/>
      <c r="GU327" s="335"/>
      <c r="GV327" s="335"/>
      <c r="GW327" s="335"/>
      <c r="GX327" s="335"/>
      <c r="GY327" s="335"/>
      <c r="GZ327" s="335"/>
    </row>
    <row r="328" spans="1:208" ht="15">
      <c r="A328" s="379"/>
      <c r="B328" s="335"/>
      <c r="C328" s="335"/>
      <c r="D328" s="335"/>
      <c r="E328" s="335"/>
      <c r="F328" s="335"/>
      <c r="G328" s="335"/>
      <c r="H328" s="335"/>
      <c r="I328" s="335"/>
      <c r="J328" s="335"/>
      <c r="K328" s="335"/>
      <c r="L328" s="335"/>
      <c r="M328" s="376"/>
      <c r="N328" s="335"/>
      <c r="O328" s="380"/>
      <c r="P328" s="335"/>
      <c r="Q328" s="335"/>
      <c r="R328" s="335"/>
      <c r="S328" s="335"/>
      <c r="T328" s="335"/>
      <c r="U328" s="335"/>
      <c r="V328" s="335"/>
      <c r="W328" s="335"/>
      <c r="X328" s="335"/>
      <c r="Y328" s="335"/>
      <c r="Z328" s="335"/>
      <c r="AA328" s="335"/>
      <c r="AB328" s="335"/>
      <c r="AC328" s="335"/>
      <c r="AD328" s="335"/>
      <c r="AE328" s="335"/>
      <c r="AF328" s="335"/>
      <c r="AG328" s="335"/>
      <c r="AH328" s="335"/>
      <c r="AI328" s="335"/>
      <c r="AJ328" s="335"/>
      <c r="AK328" s="335"/>
      <c r="AL328" s="335"/>
      <c r="AM328" s="335"/>
      <c r="AN328" s="335"/>
      <c r="AO328" s="335"/>
      <c r="AP328" s="335"/>
      <c r="AQ328" s="335"/>
      <c r="AR328" s="335"/>
      <c r="AS328" s="335"/>
      <c r="AT328" s="335"/>
      <c r="AU328" s="335"/>
      <c r="AV328" s="335"/>
      <c r="AW328" s="335"/>
      <c r="AX328" s="335"/>
      <c r="AY328" s="335"/>
      <c r="AZ328" s="335"/>
      <c r="BA328" s="335"/>
      <c r="BB328" s="335"/>
      <c r="BC328" s="335"/>
      <c r="BD328" s="335"/>
      <c r="BE328" s="335"/>
      <c r="BF328" s="335"/>
      <c r="BG328" s="335"/>
      <c r="BH328" s="335"/>
      <c r="BI328" s="335"/>
      <c r="BJ328" s="335"/>
      <c r="BK328" s="335"/>
      <c r="BL328" s="335"/>
      <c r="BM328" s="335"/>
      <c r="BN328" s="335"/>
      <c r="BO328" s="335"/>
      <c r="BP328" s="335"/>
      <c r="BQ328" s="335"/>
      <c r="BR328" s="335"/>
      <c r="BS328" s="335"/>
      <c r="BT328" s="335"/>
      <c r="BU328" s="335"/>
      <c r="BV328" s="335"/>
      <c r="BW328" s="335"/>
      <c r="BX328" s="335"/>
      <c r="BY328" s="335"/>
      <c r="BZ328" s="335"/>
      <c r="CA328" s="335"/>
      <c r="CB328" s="335"/>
      <c r="CC328" s="335"/>
      <c r="CD328" s="335"/>
      <c r="CE328" s="335"/>
      <c r="CF328" s="335"/>
      <c r="CG328" s="335"/>
      <c r="CH328" s="335"/>
      <c r="CI328" s="335"/>
      <c r="CJ328" s="335"/>
      <c r="CK328" s="335"/>
      <c r="CL328" s="335"/>
      <c r="CM328" s="335"/>
      <c r="CN328" s="335"/>
      <c r="CO328" s="335"/>
      <c r="CP328" s="335"/>
      <c r="CQ328" s="335"/>
      <c r="CR328" s="335"/>
      <c r="CS328" s="335"/>
      <c r="CT328" s="335"/>
      <c r="CU328" s="335"/>
      <c r="CV328" s="335"/>
      <c r="CW328" s="335"/>
      <c r="CX328" s="335"/>
      <c r="CY328" s="335"/>
      <c r="CZ328" s="335"/>
      <c r="DA328" s="335"/>
      <c r="DB328" s="335"/>
      <c r="DC328" s="335"/>
      <c r="DD328" s="335"/>
      <c r="DE328" s="335"/>
      <c r="DF328" s="335"/>
      <c r="DG328" s="335"/>
      <c r="DH328" s="335"/>
      <c r="DI328" s="335"/>
      <c r="DJ328" s="335"/>
      <c r="DK328" s="335"/>
      <c r="DL328" s="335"/>
      <c r="DM328" s="335"/>
      <c r="DN328" s="335"/>
      <c r="DO328" s="335"/>
      <c r="DP328" s="335"/>
      <c r="DQ328" s="335"/>
      <c r="DR328" s="335"/>
      <c r="DS328" s="335"/>
      <c r="DT328" s="335"/>
      <c r="DU328" s="335"/>
      <c r="DV328" s="335"/>
      <c r="DW328" s="335"/>
      <c r="DX328" s="335"/>
      <c r="DY328" s="335"/>
      <c r="DZ328" s="335"/>
      <c r="EA328" s="335"/>
      <c r="EB328" s="335"/>
      <c r="EC328" s="335"/>
      <c r="ED328" s="335"/>
      <c r="EE328" s="335"/>
      <c r="EF328" s="335"/>
      <c r="EG328" s="335"/>
      <c r="EH328" s="335"/>
      <c r="EI328" s="335"/>
      <c r="EJ328" s="335"/>
      <c r="EK328" s="335"/>
      <c r="EL328" s="335"/>
      <c r="EM328" s="335"/>
      <c r="EN328" s="335"/>
      <c r="EO328" s="335"/>
      <c r="EP328" s="335"/>
      <c r="EQ328" s="335"/>
      <c r="ER328" s="335"/>
      <c r="ES328" s="335"/>
      <c r="ET328" s="335"/>
      <c r="EU328" s="335"/>
      <c r="EV328" s="335"/>
      <c r="EW328" s="335"/>
      <c r="EX328" s="335"/>
      <c r="EY328" s="335"/>
      <c r="EZ328" s="335"/>
      <c r="FA328" s="335"/>
      <c r="FB328" s="335"/>
      <c r="FC328" s="335"/>
      <c r="FD328" s="335"/>
      <c r="FE328" s="335"/>
      <c r="FF328" s="335"/>
      <c r="FG328" s="335"/>
      <c r="FH328" s="335"/>
      <c r="FI328" s="335"/>
      <c r="FJ328" s="335"/>
      <c r="FK328" s="335"/>
      <c r="FL328" s="335"/>
      <c r="FM328" s="335"/>
      <c r="FN328" s="335"/>
      <c r="FO328" s="335"/>
      <c r="FP328" s="335"/>
      <c r="FQ328" s="335"/>
      <c r="FR328" s="335"/>
      <c r="FS328" s="335"/>
      <c r="FT328" s="335"/>
      <c r="FU328" s="335"/>
      <c r="FV328" s="335"/>
      <c r="FW328" s="335"/>
      <c r="FX328" s="335"/>
      <c r="FY328" s="335"/>
      <c r="FZ328" s="335"/>
      <c r="GA328" s="335"/>
      <c r="GB328" s="335"/>
      <c r="GC328" s="335"/>
      <c r="GD328" s="335"/>
      <c r="GE328" s="335"/>
      <c r="GF328" s="335"/>
      <c r="GG328" s="335"/>
      <c r="GH328" s="335"/>
      <c r="GI328" s="335"/>
      <c r="GJ328" s="335"/>
      <c r="GK328" s="335"/>
      <c r="GL328" s="335"/>
      <c r="GM328" s="335"/>
      <c r="GN328" s="335"/>
      <c r="GO328" s="335"/>
      <c r="GP328" s="335"/>
      <c r="GQ328" s="335"/>
      <c r="GR328" s="335"/>
      <c r="GS328" s="335"/>
      <c r="GT328" s="335"/>
      <c r="GU328" s="335"/>
      <c r="GV328" s="335"/>
      <c r="GW328" s="335"/>
      <c r="GX328" s="335"/>
      <c r="GY328" s="335"/>
      <c r="GZ328" s="335"/>
    </row>
    <row r="329" spans="1:208" ht="15">
      <c r="A329" s="379"/>
      <c r="B329" s="335"/>
      <c r="C329" s="335"/>
      <c r="D329" s="335"/>
      <c r="E329" s="335"/>
      <c r="F329" s="335"/>
      <c r="G329" s="335"/>
      <c r="H329" s="335"/>
      <c r="I329" s="335"/>
      <c r="J329" s="335"/>
      <c r="K329" s="335"/>
      <c r="L329" s="335"/>
      <c r="M329" s="376"/>
      <c r="N329" s="335"/>
      <c r="O329" s="380"/>
      <c r="P329" s="335"/>
      <c r="Q329" s="335"/>
      <c r="R329" s="335"/>
      <c r="S329" s="335"/>
      <c r="T329" s="335"/>
      <c r="U329" s="335"/>
      <c r="V329" s="335"/>
      <c r="W329" s="335"/>
      <c r="X329" s="335"/>
      <c r="Y329" s="335"/>
      <c r="Z329" s="335"/>
      <c r="AA329" s="335"/>
      <c r="AB329" s="335"/>
      <c r="AC329" s="335"/>
      <c r="AD329" s="335"/>
      <c r="AE329" s="335"/>
      <c r="AF329" s="335"/>
      <c r="AG329" s="335"/>
      <c r="AH329" s="335"/>
      <c r="AI329" s="335"/>
      <c r="AJ329" s="335"/>
      <c r="AK329" s="335"/>
      <c r="AL329" s="335"/>
      <c r="AM329" s="335"/>
      <c r="AN329" s="335"/>
      <c r="AO329" s="335"/>
      <c r="AP329" s="335"/>
      <c r="AQ329" s="335"/>
      <c r="AR329" s="335"/>
      <c r="AS329" s="335"/>
      <c r="AT329" s="335"/>
      <c r="AU329" s="335"/>
      <c r="AV329" s="335"/>
      <c r="AW329" s="335"/>
      <c r="AX329" s="335"/>
      <c r="AY329" s="335"/>
      <c r="AZ329" s="335"/>
      <c r="BA329" s="335"/>
      <c r="BB329" s="335"/>
      <c r="BC329" s="335"/>
      <c r="BD329" s="335"/>
      <c r="BE329" s="335"/>
      <c r="BF329" s="335"/>
      <c r="BG329" s="335"/>
      <c r="BH329" s="335"/>
      <c r="BI329" s="335"/>
      <c r="BJ329" s="335"/>
      <c r="BK329" s="335"/>
      <c r="BL329" s="335"/>
      <c r="BM329" s="335"/>
      <c r="BN329" s="335"/>
      <c r="BO329" s="335"/>
      <c r="BP329" s="335"/>
      <c r="BQ329" s="335"/>
      <c r="BR329" s="335"/>
      <c r="BS329" s="335"/>
      <c r="BT329" s="335"/>
      <c r="BU329" s="335"/>
      <c r="BV329" s="335"/>
      <c r="BW329" s="335"/>
      <c r="BX329" s="335"/>
      <c r="BY329" s="335"/>
      <c r="BZ329" s="335"/>
      <c r="CA329" s="335"/>
      <c r="CB329" s="335"/>
      <c r="CC329" s="335"/>
      <c r="CD329" s="335"/>
      <c r="CE329" s="335"/>
      <c r="CF329" s="335"/>
      <c r="CG329" s="335"/>
      <c r="CH329" s="335"/>
      <c r="CI329" s="335"/>
      <c r="CJ329" s="335"/>
      <c r="CK329" s="335"/>
      <c r="CL329" s="335"/>
      <c r="CM329" s="335"/>
      <c r="CN329" s="335"/>
      <c r="CO329" s="335"/>
      <c r="CP329" s="335"/>
      <c r="CQ329" s="335"/>
      <c r="CR329" s="335"/>
      <c r="CS329" s="335"/>
      <c r="CT329" s="335"/>
      <c r="CU329" s="335"/>
      <c r="CV329" s="335"/>
      <c r="CW329" s="335"/>
      <c r="CX329" s="335"/>
      <c r="CY329" s="335"/>
      <c r="CZ329" s="335"/>
      <c r="DA329" s="335"/>
      <c r="DB329" s="335"/>
      <c r="DC329" s="335"/>
      <c r="DD329" s="335"/>
      <c r="DE329" s="335"/>
      <c r="DF329" s="335"/>
      <c r="DG329" s="335"/>
      <c r="DH329" s="335"/>
      <c r="DI329" s="335"/>
      <c r="DJ329" s="335"/>
      <c r="DK329" s="335"/>
      <c r="DL329" s="335"/>
      <c r="DM329" s="335"/>
      <c r="DN329" s="335"/>
      <c r="DO329" s="335"/>
      <c r="DP329" s="335"/>
      <c r="DQ329" s="335"/>
      <c r="DR329" s="335"/>
      <c r="DS329" s="335"/>
      <c r="DT329" s="335"/>
      <c r="DU329" s="335"/>
      <c r="DV329" s="335"/>
      <c r="DW329" s="335"/>
      <c r="DX329" s="335"/>
      <c r="DY329" s="335"/>
      <c r="DZ329" s="335"/>
      <c r="EA329" s="335"/>
      <c r="EB329" s="335"/>
      <c r="EC329" s="335"/>
      <c r="ED329" s="335"/>
      <c r="EE329" s="335"/>
      <c r="EF329" s="335"/>
      <c r="EG329" s="335"/>
      <c r="EH329" s="335"/>
      <c r="EI329" s="335"/>
      <c r="EJ329" s="335"/>
      <c r="EK329" s="335"/>
      <c r="EL329" s="335"/>
      <c r="EM329" s="335"/>
      <c r="EN329" s="335"/>
      <c r="EO329" s="335"/>
      <c r="EP329" s="335"/>
      <c r="EQ329" s="335"/>
      <c r="ER329" s="335"/>
      <c r="ES329" s="335"/>
      <c r="ET329" s="335"/>
      <c r="EU329" s="335"/>
      <c r="EV329" s="335"/>
      <c r="EW329" s="335"/>
      <c r="EX329" s="335"/>
      <c r="EY329" s="335"/>
      <c r="EZ329" s="335"/>
      <c r="FA329" s="335"/>
      <c r="FB329" s="335"/>
      <c r="FC329" s="335"/>
      <c r="FD329" s="335"/>
      <c r="FE329" s="335"/>
      <c r="FF329" s="335"/>
      <c r="FG329" s="335"/>
      <c r="FH329" s="335"/>
      <c r="FI329" s="335"/>
      <c r="FJ329" s="335"/>
      <c r="FK329" s="335"/>
      <c r="FL329" s="335"/>
      <c r="FM329" s="335"/>
      <c r="FN329" s="335"/>
      <c r="FO329" s="335"/>
      <c r="FP329" s="335"/>
      <c r="FQ329" s="335"/>
      <c r="FR329" s="335"/>
      <c r="FS329" s="335"/>
      <c r="FT329" s="335"/>
      <c r="FU329" s="335"/>
      <c r="FV329" s="335"/>
      <c r="FW329" s="335"/>
      <c r="FX329" s="335"/>
      <c r="FY329" s="335"/>
      <c r="FZ329" s="335"/>
      <c r="GA329" s="335"/>
      <c r="GB329" s="335"/>
      <c r="GC329" s="335"/>
      <c r="GD329" s="335"/>
      <c r="GE329" s="335"/>
      <c r="GF329" s="335"/>
      <c r="GG329" s="335"/>
      <c r="GH329" s="335"/>
      <c r="GI329" s="335"/>
      <c r="GJ329" s="335"/>
      <c r="GK329" s="335"/>
      <c r="GL329" s="335"/>
      <c r="GM329" s="335"/>
      <c r="GN329" s="335"/>
      <c r="GO329" s="335"/>
      <c r="GP329" s="335"/>
      <c r="GQ329" s="335"/>
      <c r="GR329" s="335"/>
      <c r="GS329" s="335"/>
      <c r="GT329" s="335"/>
      <c r="GU329" s="335"/>
      <c r="GV329" s="335"/>
      <c r="GW329" s="335"/>
      <c r="GX329" s="335"/>
      <c r="GY329" s="335"/>
      <c r="GZ329" s="335"/>
    </row>
    <row r="330" spans="1:208" ht="15">
      <c r="A330" s="379"/>
      <c r="B330" s="335"/>
      <c r="C330" s="335"/>
      <c r="D330" s="335"/>
      <c r="E330" s="335"/>
      <c r="F330" s="335"/>
      <c r="G330" s="335"/>
      <c r="H330" s="335"/>
      <c r="I330" s="335"/>
      <c r="J330" s="335"/>
      <c r="K330" s="335"/>
      <c r="L330" s="335"/>
      <c r="M330" s="376"/>
      <c r="N330" s="335"/>
      <c r="O330" s="380"/>
      <c r="P330" s="335"/>
      <c r="Q330" s="335"/>
      <c r="R330" s="335"/>
      <c r="S330" s="335"/>
      <c r="T330" s="335"/>
      <c r="U330" s="335"/>
      <c r="V330" s="335"/>
      <c r="W330" s="335"/>
      <c r="X330" s="335"/>
      <c r="Y330" s="335"/>
      <c r="Z330" s="335"/>
      <c r="AA330" s="335"/>
      <c r="AB330" s="335"/>
      <c r="AC330" s="335"/>
      <c r="AD330" s="335"/>
      <c r="AE330" s="335"/>
      <c r="AF330" s="335"/>
      <c r="AG330" s="335"/>
      <c r="AH330" s="335"/>
      <c r="AI330" s="335"/>
      <c r="AJ330" s="335"/>
      <c r="AK330" s="335"/>
      <c r="AL330" s="335"/>
      <c r="AM330" s="335"/>
      <c r="AN330" s="335"/>
      <c r="AO330" s="335"/>
      <c r="AP330" s="335"/>
      <c r="AQ330" s="335"/>
      <c r="AR330" s="335"/>
      <c r="AS330" s="335"/>
      <c r="AT330" s="335"/>
      <c r="AU330" s="335"/>
      <c r="AV330" s="335"/>
      <c r="AW330" s="335"/>
      <c r="AX330" s="335"/>
      <c r="AY330" s="335"/>
      <c r="AZ330" s="335"/>
      <c r="BA330" s="335"/>
      <c r="BB330" s="335"/>
      <c r="BC330" s="335"/>
      <c r="BD330" s="335"/>
      <c r="BE330" s="335"/>
      <c r="BF330" s="335"/>
      <c r="BG330" s="335"/>
      <c r="BH330" s="335"/>
      <c r="BI330" s="335"/>
      <c r="BJ330" s="335"/>
      <c r="BK330" s="335"/>
      <c r="BL330" s="335"/>
      <c r="BM330" s="335"/>
      <c r="BN330" s="335"/>
      <c r="BO330" s="335"/>
      <c r="BP330" s="335"/>
      <c r="BQ330" s="335"/>
      <c r="BR330" s="335"/>
      <c r="BS330" s="335"/>
      <c r="BT330" s="335"/>
      <c r="BU330" s="335"/>
      <c r="BV330" s="335"/>
      <c r="BW330" s="335"/>
      <c r="BX330" s="335"/>
      <c r="BY330" s="335"/>
      <c r="BZ330" s="335"/>
      <c r="CA330" s="335"/>
      <c r="CB330" s="335"/>
      <c r="CC330" s="335"/>
      <c r="CD330" s="335"/>
      <c r="CE330" s="335"/>
      <c r="CF330" s="335"/>
      <c r="CG330" s="335"/>
      <c r="CH330" s="335"/>
      <c r="CI330" s="335"/>
      <c r="CJ330" s="335"/>
      <c r="CK330" s="335"/>
      <c r="CL330" s="335"/>
      <c r="CM330" s="335"/>
      <c r="CN330" s="335"/>
      <c r="CO330" s="335"/>
      <c r="CP330" s="335"/>
      <c r="CQ330" s="335"/>
      <c r="CR330" s="335"/>
      <c r="CS330" s="335"/>
      <c r="CT330" s="335"/>
      <c r="CU330" s="335"/>
      <c r="CV330" s="335"/>
      <c r="CW330" s="335"/>
      <c r="CX330" s="335"/>
      <c r="CY330" s="335"/>
      <c r="CZ330" s="335"/>
      <c r="DA330" s="335"/>
      <c r="DB330" s="335"/>
      <c r="DC330" s="335"/>
      <c r="DD330" s="335"/>
      <c r="DE330" s="335"/>
      <c r="DF330" s="335"/>
      <c r="DG330" s="335"/>
      <c r="DH330" s="335"/>
      <c r="DI330" s="335"/>
      <c r="DJ330" s="335"/>
      <c r="DK330" s="335"/>
      <c r="DL330" s="335"/>
      <c r="DM330" s="335"/>
      <c r="DN330" s="335"/>
      <c r="DO330" s="335"/>
      <c r="DP330" s="335"/>
      <c r="DQ330" s="335"/>
      <c r="DR330" s="335"/>
      <c r="DS330" s="335"/>
      <c r="DT330" s="335"/>
      <c r="DU330" s="335"/>
      <c r="DV330" s="335"/>
      <c r="DW330" s="335"/>
      <c r="DX330" s="335"/>
      <c r="DY330" s="335"/>
      <c r="DZ330" s="335"/>
      <c r="EA330" s="335"/>
      <c r="EB330" s="335"/>
      <c r="EC330" s="335"/>
      <c r="ED330" s="335"/>
      <c r="EE330" s="335"/>
      <c r="EF330" s="335"/>
      <c r="EG330" s="335"/>
      <c r="EH330" s="335"/>
      <c r="EI330" s="335"/>
      <c r="EJ330" s="335"/>
      <c r="EK330" s="335"/>
      <c r="EL330" s="335"/>
      <c r="EM330" s="335"/>
      <c r="EN330" s="335"/>
      <c r="EO330" s="335"/>
      <c r="EP330" s="335"/>
      <c r="EQ330" s="335"/>
      <c r="ER330" s="335"/>
      <c r="ES330" s="335"/>
      <c r="ET330" s="335"/>
      <c r="EU330" s="335"/>
      <c r="EV330" s="335"/>
      <c r="EW330" s="335"/>
      <c r="EX330" s="335"/>
      <c r="EY330" s="335"/>
      <c r="EZ330" s="335"/>
      <c r="FA330" s="335"/>
      <c r="FB330" s="335"/>
      <c r="FC330" s="335"/>
      <c r="FD330" s="335"/>
      <c r="FE330" s="335"/>
      <c r="FF330" s="335"/>
      <c r="FG330" s="335"/>
      <c r="FH330" s="335"/>
      <c r="FI330" s="335"/>
      <c r="FJ330" s="335"/>
      <c r="FK330" s="335"/>
      <c r="FL330" s="335"/>
      <c r="FM330" s="335"/>
      <c r="FN330" s="335"/>
      <c r="FO330" s="335"/>
      <c r="FP330" s="335"/>
      <c r="FQ330" s="335"/>
      <c r="FR330" s="335"/>
      <c r="FS330" s="335"/>
      <c r="FT330" s="335"/>
      <c r="FU330" s="335"/>
      <c r="FV330" s="335"/>
      <c r="FW330" s="335"/>
      <c r="FX330" s="335"/>
      <c r="FY330" s="335"/>
      <c r="FZ330" s="335"/>
      <c r="GA330" s="335"/>
      <c r="GB330" s="335"/>
      <c r="GC330" s="335"/>
      <c r="GD330" s="335"/>
      <c r="GE330" s="335"/>
      <c r="GF330" s="335"/>
      <c r="GG330" s="335"/>
      <c r="GH330" s="335"/>
      <c r="GI330" s="335"/>
      <c r="GJ330" s="335"/>
      <c r="GK330" s="335"/>
      <c r="GL330" s="335"/>
      <c r="GM330" s="335"/>
      <c r="GN330" s="335"/>
      <c r="GO330" s="335"/>
      <c r="GP330" s="335"/>
      <c r="GQ330" s="335"/>
      <c r="GR330" s="335"/>
      <c r="GS330" s="335"/>
      <c r="GT330" s="335"/>
      <c r="GU330" s="335"/>
      <c r="GV330" s="335"/>
      <c r="GW330" s="335"/>
      <c r="GX330" s="335"/>
      <c r="GY330" s="335"/>
      <c r="GZ330" s="335"/>
    </row>
    <row r="331" spans="1:208" ht="15">
      <c r="A331" s="379"/>
      <c r="B331" s="335"/>
      <c r="C331" s="335"/>
      <c r="D331" s="335"/>
      <c r="E331" s="335"/>
      <c r="F331" s="335"/>
      <c r="G331" s="335"/>
      <c r="H331" s="335"/>
      <c r="I331" s="335"/>
      <c r="J331" s="335"/>
      <c r="K331" s="335"/>
      <c r="L331" s="335"/>
      <c r="M331" s="376"/>
      <c r="N331" s="335"/>
      <c r="O331" s="380"/>
      <c r="P331" s="335"/>
      <c r="Q331" s="335"/>
      <c r="R331" s="335"/>
      <c r="S331" s="335"/>
      <c r="T331" s="335"/>
      <c r="U331" s="335"/>
      <c r="V331" s="335"/>
      <c r="W331" s="335"/>
      <c r="X331" s="335"/>
      <c r="Y331" s="335"/>
      <c r="Z331" s="335"/>
      <c r="AA331" s="335"/>
      <c r="AB331" s="335"/>
      <c r="AC331" s="335"/>
      <c r="AD331" s="335"/>
      <c r="AE331" s="335"/>
      <c r="AF331" s="335"/>
      <c r="AG331" s="335"/>
      <c r="AH331" s="335"/>
      <c r="AI331" s="335"/>
      <c r="AJ331" s="335"/>
      <c r="AK331" s="335"/>
      <c r="AL331" s="335"/>
      <c r="AM331" s="335"/>
      <c r="AN331" s="335"/>
      <c r="AO331" s="335"/>
      <c r="AP331" s="335"/>
      <c r="AQ331" s="335"/>
      <c r="AR331" s="335"/>
      <c r="AS331" s="335"/>
      <c r="AT331" s="335"/>
      <c r="AU331" s="335"/>
      <c r="AV331" s="335"/>
      <c r="AW331" s="335"/>
      <c r="AX331" s="335"/>
      <c r="AY331" s="335"/>
      <c r="AZ331" s="335"/>
      <c r="BA331" s="335"/>
      <c r="BB331" s="335"/>
      <c r="BC331" s="335"/>
      <c r="BD331" s="335"/>
      <c r="BE331" s="335"/>
      <c r="BF331" s="335"/>
      <c r="BG331" s="335"/>
      <c r="BH331" s="335"/>
      <c r="BI331" s="335"/>
      <c r="BJ331" s="335"/>
      <c r="BK331" s="335"/>
      <c r="BL331" s="335"/>
      <c r="BM331" s="335"/>
      <c r="BN331" s="335"/>
      <c r="BO331" s="335"/>
      <c r="BP331" s="335"/>
      <c r="BQ331" s="335"/>
      <c r="BR331" s="335"/>
      <c r="BS331" s="335"/>
      <c r="BT331" s="335"/>
      <c r="BU331" s="335"/>
      <c r="BV331" s="335"/>
      <c r="BW331" s="335"/>
      <c r="BX331" s="335"/>
      <c r="BY331" s="335"/>
      <c r="BZ331" s="335"/>
      <c r="CA331" s="335"/>
      <c r="CB331" s="335"/>
      <c r="CC331" s="335"/>
      <c r="CD331" s="335"/>
      <c r="CE331" s="335"/>
      <c r="CF331" s="335"/>
      <c r="CG331" s="335"/>
      <c r="CH331" s="335"/>
      <c r="CI331" s="335"/>
      <c r="CJ331" s="335"/>
      <c r="CK331" s="335"/>
      <c r="CL331" s="335"/>
      <c r="CM331" s="335"/>
      <c r="CN331" s="335"/>
      <c r="CO331" s="335"/>
      <c r="CP331" s="335"/>
      <c r="CQ331" s="335"/>
      <c r="CR331" s="335"/>
      <c r="CS331" s="335"/>
      <c r="CT331" s="335"/>
      <c r="CU331" s="335"/>
      <c r="CV331" s="335"/>
      <c r="CW331" s="335"/>
      <c r="CX331" s="335"/>
      <c r="CY331" s="335"/>
      <c r="CZ331" s="335"/>
      <c r="DA331" s="335"/>
      <c r="DB331" s="335"/>
      <c r="DC331" s="335"/>
      <c r="DD331" s="335"/>
      <c r="DE331" s="335"/>
      <c r="DF331" s="335"/>
      <c r="DG331" s="335"/>
      <c r="DH331" s="335"/>
      <c r="DI331" s="335"/>
      <c r="DJ331" s="335"/>
      <c r="DK331" s="335"/>
      <c r="DL331" s="335"/>
      <c r="DM331" s="335"/>
      <c r="DN331" s="335"/>
      <c r="DO331" s="335"/>
      <c r="DP331" s="335"/>
      <c r="DQ331" s="335"/>
      <c r="DR331" s="335"/>
      <c r="DS331" s="335"/>
      <c r="DT331" s="335"/>
      <c r="DU331" s="335"/>
      <c r="DV331" s="335"/>
      <c r="DW331" s="335"/>
      <c r="DX331" s="335"/>
      <c r="DY331" s="335"/>
      <c r="DZ331" s="335"/>
      <c r="EA331" s="335"/>
      <c r="EB331" s="335"/>
      <c r="EC331" s="335"/>
      <c r="ED331" s="335"/>
      <c r="EE331" s="335"/>
      <c r="EF331" s="335"/>
      <c r="EG331" s="335"/>
      <c r="EH331" s="335"/>
      <c r="EI331" s="335"/>
      <c r="EJ331" s="335"/>
      <c r="EK331" s="335"/>
      <c r="EL331" s="335"/>
      <c r="EM331" s="335"/>
      <c r="EN331" s="335"/>
      <c r="EO331" s="335"/>
      <c r="EP331" s="335"/>
      <c r="EQ331" s="335"/>
      <c r="ER331" s="335"/>
      <c r="ES331" s="335"/>
      <c r="ET331" s="335"/>
      <c r="EU331" s="335"/>
      <c r="EV331" s="335"/>
      <c r="EW331" s="335"/>
      <c r="EX331" s="335"/>
      <c r="EY331" s="335"/>
      <c r="EZ331" s="335"/>
      <c r="FA331" s="335"/>
      <c r="FB331" s="335"/>
      <c r="FC331" s="335"/>
      <c r="FD331" s="335"/>
      <c r="FE331" s="335"/>
      <c r="FF331" s="335"/>
      <c r="FG331" s="335"/>
      <c r="FH331" s="335"/>
      <c r="FI331" s="335"/>
      <c r="FJ331" s="335"/>
      <c r="FK331" s="335"/>
      <c r="FL331" s="335"/>
      <c r="FM331" s="335"/>
      <c r="FN331" s="335"/>
      <c r="FO331" s="335"/>
      <c r="FP331" s="335"/>
      <c r="FQ331" s="335"/>
      <c r="FR331" s="335"/>
      <c r="FS331" s="335"/>
      <c r="FT331" s="335"/>
      <c r="FU331" s="335"/>
      <c r="FV331" s="335"/>
      <c r="FW331" s="335"/>
      <c r="FX331" s="335"/>
      <c r="FY331" s="335"/>
      <c r="FZ331" s="335"/>
      <c r="GA331" s="335"/>
      <c r="GB331" s="335"/>
      <c r="GC331" s="335"/>
      <c r="GD331" s="335"/>
      <c r="GE331" s="335"/>
      <c r="GF331" s="335"/>
      <c r="GG331" s="335"/>
      <c r="GH331" s="335"/>
      <c r="GI331" s="335"/>
      <c r="GJ331" s="335"/>
      <c r="GK331" s="335"/>
      <c r="GL331" s="335"/>
      <c r="GM331" s="335"/>
      <c r="GN331" s="335"/>
      <c r="GO331" s="335"/>
      <c r="GP331" s="335"/>
      <c r="GQ331" s="335"/>
      <c r="GR331" s="335"/>
      <c r="GS331" s="335"/>
      <c r="GT331" s="335"/>
      <c r="GU331" s="335"/>
      <c r="GV331" s="335"/>
      <c r="GW331" s="335"/>
      <c r="GX331" s="335"/>
      <c r="GY331" s="335"/>
      <c r="GZ331" s="335"/>
    </row>
    <row r="332" spans="1:208" ht="15">
      <c r="A332" s="379"/>
      <c r="B332" s="335"/>
      <c r="C332" s="335"/>
      <c r="D332" s="335"/>
      <c r="E332" s="335"/>
      <c r="F332" s="335"/>
      <c r="G332" s="335"/>
      <c r="H332" s="335"/>
      <c r="I332" s="335"/>
      <c r="J332" s="335"/>
      <c r="K332" s="335"/>
      <c r="L332" s="335"/>
      <c r="M332" s="376"/>
      <c r="N332" s="335"/>
      <c r="O332" s="380"/>
      <c r="P332" s="335"/>
      <c r="Q332" s="335"/>
      <c r="R332" s="335"/>
      <c r="S332" s="335"/>
      <c r="T332" s="335"/>
      <c r="U332" s="335"/>
      <c r="V332" s="335"/>
      <c r="W332" s="335"/>
      <c r="X332" s="335"/>
      <c r="Y332" s="335"/>
      <c r="Z332" s="335"/>
      <c r="AA332" s="335"/>
      <c r="AB332" s="335"/>
      <c r="AC332" s="335"/>
      <c r="AD332" s="335"/>
      <c r="AE332" s="335"/>
      <c r="AF332" s="335"/>
      <c r="AG332" s="335"/>
      <c r="AH332" s="335"/>
      <c r="AI332" s="335"/>
      <c r="AJ332" s="335"/>
      <c r="AK332" s="335"/>
      <c r="AL332" s="335"/>
      <c r="AM332" s="335"/>
      <c r="AN332" s="335"/>
      <c r="AO332" s="335"/>
      <c r="AP332" s="335"/>
      <c r="AQ332" s="335"/>
      <c r="AR332" s="335"/>
      <c r="AS332" s="335"/>
      <c r="AT332" s="335"/>
      <c r="AU332" s="335"/>
      <c r="AV332" s="335"/>
      <c r="AW332" s="335"/>
      <c r="AX332" s="335"/>
      <c r="AY332" s="335"/>
      <c r="AZ332" s="335"/>
      <c r="BA332" s="335"/>
      <c r="BB332" s="335"/>
      <c r="BC332" s="335"/>
      <c r="BD332" s="335"/>
      <c r="BE332" s="335"/>
      <c r="BF332" s="335"/>
      <c r="BG332" s="335"/>
      <c r="BH332" s="335"/>
      <c r="BI332" s="335"/>
      <c r="BJ332" s="335"/>
      <c r="BK332" s="335"/>
      <c r="BL332" s="335"/>
      <c r="BM332" s="335"/>
      <c r="BN332" s="335"/>
      <c r="BO332" s="335"/>
      <c r="BP332" s="335"/>
      <c r="BQ332" s="335"/>
      <c r="BR332" s="335"/>
      <c r="BS332" s="335"/>
      <c r="BT332" s="335"/>
      <c r="BU332" s="335"/>
      <c r="BV332" s="335"/>
      <c r="BW332" s="335"/>
      <c r="BX332" s="335"/>
      <c r="BY332" s="335"/>
      <c r="BZ332" s="335"/>
      <c r="CA332" s="335"/>
      <c r="CB332" s="335"/>
      <c r="CC332" s="335"/>
      <c r="CD332" s="335"/>
      <c r="CE332" s="335"/>
      <c r="CF332" s="335"/>
      <c r="CG332" s="335"/>
      <c r="CH332" s="335"/>
      <c r="CI332" s="335"/>
      <c r="CJ332" s="335"/>
      <c r="CK332" s="335"/>
      <c r="CL332" s="335"/>
      <c r="CM332" s="335"/>
      <c r="CN332" s="335"/>
      <c r="CO332" s="335"/>
      <c r="CP332" s="335"/>
      <c r="CQ332" s="335"/>
      <c r="CR332" s="335"/>
      <c r="CS332" s="335"/>
      <c r="CT332" s="335"/>
      <c r="CU332" s="335"/>
      <c r="CV332" s="335"/>
      <c r="CW332" s="335"/>
      <c r="CX332" s="335"/>
      <c r="CY332" s="335"/>
      <c r="CZ332" s="335"/>
      <c r="DA332" s="335"/>
      <c r="DB332" s="335"/>
      <c r="DC332" s="335"/>
      <c r="DD332" s="335"/>
      <c r="DE332" s="335"/>
      <c r="DF332" s="335"/>
      <c r="DG332" s="335"/>
      <c r="DH332" s="335"/>
      <c r="DI332" s="335"/>
      <c r="DJ332" s="335"/>
      <c r="DK332" s="335"/>
      <c r="DL332" s="335"/>
      <c r="DM332" s="335"/>
      <c r="DN332" s="335"/>
      <c r="DO332" s="335"/>
      <c r="DP332" s="335"/>
      <c r="DQ332" s="335"/>
      <c r="DR332" s="335"/>
      <c r="DS332" s="335"/>
      <c r="DT332" s="335"/>
      <c r="DU332" s="335"/>
      <c r="DV332" s="335"/>
      <c r="DW332" s="335"/>
      <c r="DX332" s="335"/>
      <c r="DY332" s="335"/>
      <c r="DZ332" s="335"/>
      <c r="EA332" s="335"/>
      <c r="EB332" s="335"/>
      <c r="EC332" s="335"/>
      <c r="ED332" s="335"/>
      <c r="EE332" s="335"/>
      <c r="EF332" s="335"/>
      <c r="EG332" s="335"/>
      <c r="EH332" s="335"/>
      <c r="EI332" s="335"/>
      <c r="EJ332" s="335"/>
      <c r="EK332" s="335"/>
      <c r="EL332" s="335"/>
      <c r="EM332" s="335"/>
      <c r="EN332" s="335"/>
      <c r="EO332" s="335"/>
      <c r="EP332" s="335"/>
      <c r="EQ332" s="335"/>
      <c r="ER332" s="335"/>
      <c r="ES332" s="335"/>
      <c r="ET332" s="335"/>
      <c r="EU332" s="335"/>
      <c r="EV332" s="335"/>
      <c r="EW332" s="335"/>
      <c r="EX332" s="335"/>
      <c r="EY332" s="335"/>
      <c r="EZ332" s="335"/>
      <c r="FA332" s="335"/>
      <c r="FB332" s="335"/>
      <c r="FC332" s="335"/>
      <c r="FD332" s="335"/>
      <c r="FE332" s="335"/>
      <c r="FF332" s="335"/>
      <c r="FG332" s="335"/>
      <c r="FH332" s="335"/>
      <c r="FI332" s="335"/>
      <c r="FJ332" s="335"/>
      <c r="FK332" s="335"/>
      <c r="FL332" s="335"/>
      <c r="FM332" s="335"/>
      <c r="FN332" s="335"/>
      <c r="FO332" s="335"/>
      <c r="FP332" s="335"/>
      <c r="FQ332" s="335"/>
      <c r="FR332" s="335"/>
      <c r="FS332" s="335"/>
      <c r="FT332" s="335"/>
      <c r="FU332" s="335"/>
      <c r="FV332" s="335"/>
      <c r="FW332" s="335"/>
      <c r="FX332" s="335"/>
      <c r="FY332" s="335"/>
      <c r="FZ332" s="335"/>
      <c r="GA332" s="335"/>
      <c r="GB332" s="335"/>
      <c r="GC332" s="335"/>
      <c r="GD332" s="335"/>
      <c r="GE332" s="335"/>
      <c r="GF332" s="335"/>
      <c r="GG332" s="335"/>
      <c r="GH332" s="335"/>
      <c r="GI332" s="335"/>
      <c r="GJ332" s="335"/>
      <c r="GK332" s="335"/>
      <c r="GL332" s="335"/>
      <c r="GM332" s="335"/>
      <c r="GN332" s="335"/>
      <c r="GO332" s="335"/>
      <c r="GP332" s="335"/>
      <c r="GQ332" s="335"/>
      <c r="GR332" s="335"/>
      <c r="GS332" s="335"/>
      <c r="GT332" s="335"/>
      <c r="GU332" s="335"/>
      <c r="GV332" s="335"/>
      <c r="GW332" s="335"/>
      <c r="GX332" s="335"/>
      <c r="GY332" s="335"/>
      <c r="GZ332" s="335"/>
    </row>
    <row r="333" spans="1:208" ht="15">
      <c r="A333" s="379"/>
      <c r="B333" s="335"/>
      <c r="C333" s="335"/>
      <c r="D333" s="335"/>
      <c r="E333" s="335"/>
      <c r="F333" s="335"/>
      <c r="G333" s="335"/>
      <c r="H333" s="335"/>
      <c r="I333" s="335"/>
      <c r="J333" s="335"/>
      <c r="K333" s="335"/>
      <c r="L333" s="335"/>
      <c r="M333" s="376"/>
      <c r="N333" s="335"/>
      <c r="O333" s="380"/>
      <c r="P333" s="335"/>
      <c r="Q333" s="335"/>
      <c r="R333" s="335"/>
      <c r="S333" s="335"/>
      <c r="T333" s="335"/>
      <c r="U333" s="335"/>
      <c r="V333" s="335"/>
      <c r="W333" s="335"/>
      <c r="X333" s="335"/>
      <c r="Y333" s="335"/>
      <c r="Z333" s="335"/>
      <c r="AA333" s="335"/>
      <c r="AB333" s="335"/>
      <c r="AC333" s="335"/>
      <c r="AD333" s="335"/>
      <c r="AE333" s="335"/>
      <c r="AF333" s="335"/>
      <c r="AG333" s="335"/>
      <c r="AH333" s="335"/>
      <c r="AI333" s="335"/>
      <c r="AJ333" s="335"/>
      <c r="AK333" s="335"/>
      <c r="AL333" s="335"/>
      <c r="AM333" s="335"/>
      <c r="AN333" s="335"/>
      <c r="AO333" s="335"/>
      <c r="AP333" s="335"/>
      <c r="AQ333" s="335"/>
      <c r="AR333" s="335"/>
      <c r="AS333" s="335"/>
      <c r="AT333" s="335"/>
      <c r="AU333" s="335"/>
      <c r="AV333" s="335"/>
      <c r="AW333" s="335"/>
      <c r="AX333" s="335"/>
      <c r="AY333" s="335"/>
      <c r="AZ333" s="335"/>
      <c r="BA333" s="335"/>
      <c r="BB333" s="335"/>
      <c r="BC333" s="335"/>
      <c r="BD333" s="335"/>
      <c r="BE333" s="335"/>
      <c r="BF333" s="335"/>
      <c r="BG333" s="335"/>
      <c r="BH333" s="335"/>
      <c r="BI333" s="335"/>
      <c r="BJ333" s="335"/>
      <c r="BK333" s="335"/>
      <c r="BL333" s="335"/>
      <c r="BM333" s="335"/>
      <c r="BN333" s="335"/>
      <c r="BO333" s="335"/>
      <c r="BP333" s="335"/>
      <c r="BQ333" s="335"/>
      <c r="BR333" s="335"/>
      <c r="BS333" s="335"/>
      <c r="BT333" s="335"/>
      <c r="BU333" s="335"/>
      <c r="BV333" s="335"/>
      <c r="BW333" s="335"/>
      <c r="BX333" s="335"/>
      <c r="BY333" s="335"/>
      <c r="BZ333" s="335"/>
      <c r="CA333" s="335"/>
      <c r="CB333" s="335"/>
      <c r="CC333" s="335"/>
      <c r="CD333" s="335"/>
      <c r="CE333" s="335"/>
      <c r="CF333" s="335"/>
      <c r="CG333" s="335"/>
      <c r="CH333" s="335"/>
      <c r="CI333" s="335"/>
      <c r="CJ333" s="335"/>
      <c r="CK333" s="335"/>
      <c r="CL333" s="335"/>
      <c r="CM333" s="335"/>
      <c r="CN333" s="335"/>
      <c r="CO333" s="335"/>
      <c r="CP333" s="335"/>
      <c r="CQ333" s="335"/>
      <c r="CR333" s="335"/>
      <c r="CS333" s="335"/>
      <c r="CT333" s="335"/>
      <c r="CU333" s="335"/>
      <c r="CV333" s="335"/>
      <c r="CW333" s="335"/>
      <c r="CX333" s="335"/>
      <c r="CY333" s="335"/>
      <c r="CZ333" s="335"/>
      <c r="DA333" s="335"/>
      <c r="DB333" s="335"/>
      <c r="DC333" s="335"/>
      <c r="DD333" s="335"/>
      <c r="DE333" s="335"/>
      <c r="DF333" s="335"/>
      <c r="DG333" s="335"/>
      <c r="DH333" s="335"/>
      <c r="DI333" s="335"/>
      <c r="DJ333" s="335"/>
      <c r="DK333" s="335"/>
      <c r="DL333" s="335"/>
      <c r="DM333" s="335"/>
      <c r="DN333" s="335"/>
      <c r="DO333" s="335"/>
      <c r="DP333" s="335"/>
      <c r="DQ333" s="335"/>
      <c r="DR333" s="335"/>
      <c r="DS333" s="335"/>
      <c r="DT333" s="335"/>
      <c r="DU333" s="335"/>
      <c r="DV333" s="335"/>
      <c r="DW333" s="335"/>
      <c r="DX333" s="335"/>
      <c r="DY333" s="335"/>
      <c r="DZ333" s="335"/>
      <c r="EA333" s="335"/>
      <c r="EB333" s="335"/>
      <c r="EC333" s="335"/>
      <c r="ED333" s="335"/>
      <c r="EE333" s="335"/>
      <c r="EF333" s="335"/>
      <c r="EG333" s="335"/>
      <c r="EH333" s="335"/>
      <c r="EI333" s="335"/>
      <c r="EJ333" s="335"/>
      <c r="EK333" s="335"/>
      <c r="EL333" s="335"/>
      <c r="EM333" s="335"/>
      <c r="EN333" s="335"/>
      <c r="EO333" s="335"/>
      <c r="EP333" s="335"/>
      <c r="EQ333" s="335"/>
      <c r="ER333" s="335"/>
      <c r="ES333" s="335"/>
      <c r="ET333" s="335"/>
      <c r="EU333" s="335"/>
      <c r="EV333" s="335"/>
      <c r="EW333" s="335"/>
      <c r="EX333" s="335"/>
      <c r="EY333" s="335"/>
      <c r="EZ333" s="335"/>
      <c r="FA333" s="335"/>
      <c r="FB333" s="335"/>
      <c r="FC333" s="335"/>
      <c r="FD333" s="335"/>
      <c r="FE333" s="335"/>
      <c r="FF333" s="335"/>
      <c r="FG333" s="335"/>
      <c r="FH333" s="335"/>
      <c r="FI333" s="335"/>
      <c r="FJ333" s="335"/>
      <c r="FK333" s="335"/>
      <c r="FL333" s="335"/>
      <c r="FM333" s="335"/>
      <c r="FN333" s="335"/>
      <c r="FO333" s="335"/>
      <c r="FP333" s="335"/>
      <c r="FQ333" s="335"/>
      <c r="FR333" s="335"/>
      <c r="FS333" s="335"/>
      <c r="FT333" s="335"/>
      <c r="FU333" s="335"/>
      <c r="FV333" s="335"/>
      <c r="FW333" s="335"/>
      <c r="FX333" s="335"/>
      <c r="FY333" s="335"/>
      <c r="FZ333" s="335"/>
      <c r="GA333" s="335"/>
      <c r="GB333" s="335"/>
      <c r="GC333" s="335"/>
      <c r="GD333" s="335"/>
      <c r="GE333" s="335"/>
      <c r="GF333" s="335"/>
      <c r="GG333" s="335"/>
      <c r="GH333" s="335"/>
      <c r="GI333" s="335"/>
      <c r="GJ333" s="335"/>
      <c r="GK333" s="335"/>
      <c r="GL333" s="335"/>
      <c r="GM333" s="335"/>
      <c r="GN333" s="335"/>
      <c r="GO333" s="335"/>
      <c r="GP333" s="335"/>
      <c r="GQ333" s="335"/>
      <c r="GR333" s="335"/>
      <c r="GS333" s="335"/>
      <c r="GT333" s="335"/>
      <c r="GU333" s="335"/>
      <c r="GV333" s="335"/>
      <c r="GW333" s="335"/>
      <c r="GX333" s="335"/>
      <c r="GY333" s="335"/>
      <c r="GZ333" s="335"/>
    </row>
    <row r="334" spans="1:208" ht="15">
      <c r="A334" s="379"/>
      <c r="B334" s="335"/>
      <c r="C334" s="335"/>
      <c r="D334" s="335"/>
      <c r="E334" s="335"/>
      <c r="F334" s="335"/>
      <c r="G334" s="335"/>
      <c r="H334" s="335"/>
      <c r="I334" s="335"/>
      <c r="J334" s="335"/>
      <c r="K334" s="335"/>
      <c r="L334" s="335"/>
      <c r="M334" s="376"/>
      <c r="N334" s="335"/>
      <c r="O334" s="380"/>
      <c r="P334" s="335"/>
      <c r="Q334" s="335"/>
      <c r="R334" s="335"/>
      <c r="S334" s="335"/>
      <c r="T334" s="335"/>
      <c r="U334" s="335"/>
      <c r="V334" s="335"/>
      <c r="W334" s="335"/>
      <c r="X334" s="335"/>
      <c r="Y334" s="335"/>
      <c r="Z334" s="335"/>
      <c r="AA334" s="335"/>
      <c r="AB334" s="335"/>
      <c r="AC334" s="335"/>
      <c r="AD334" s="335"/>
      <c r="AE334" s="335"/>
      <c r="AF334" s="335"/>
      <c r="AG334" s="335"/>
      <c r="AH334" s="335"/>
      <c r="AI334" s="335"/>
      <c r="AJ334" s="335"/>
      <c r="AK334" s="335"/>
      <c r="AL334" s="335"/>
      <c r="AM334" s="335"/>
      <c r="AN334" s="335"/>
      <c r="AO334" s="335"/>
      <c r="AP334" s="335"/>
      <c r="AQ334" s="335"/>
      <c r="AR334" s="335"/>
      <c r="AS334" s="335"/>
      <c r="AT334" s="335"/>
      <c r="AU334" s="335"/>
      <c r="AV334" s="335"/>
      <c r="AW334" s="335"/>
      <c r="AX334" s="335"/>
      <c r="AY334" s="335"/>
      <c r="AZ334" s="335"/>
      <c r="BA334" s="335"/>
      <c r="BB334" s="335"/>
      <c r="BC334" s="335"/>
      <c r="BD334" s="335"/>
      <c r="BE334" s="335"/>
      <c r="BF334" s="335"/>
      <c r="BG334" s="335"/>
      <c r="BH334" s="335"/>
      <c r="BI334" s="335"/>
      <c r="BJ334" s="335"/>
      <c r="BK334" s="335"/>
      <c r="BL334" s="335"/>
      <c r="BM334" s="335"/>
      <c r="BN334" s="335"/>
      <c r="BO334" s="335"/>
      <c r="BP334" s="335"/>
      <c r="BQ334" s="335"/>
      <c r="BR334" s="335"/>
      <c r="BS334" s="335"/>
      <c r="BT334" s="335"/>
      <c r="BU334" s="335"/>
      <c r="BV334" s="335"/>
      <c r="BW334" s="335"/>
      <c r="BX334" s="335"/>
      <c r="BY334" s="335"/>
      <c r="BZ334" s="335"/>
      <c r="CA334" s="335"/>
      <c r="CB334" s="335"/>
      <c r="CC334" s="335"/>
      <c r="CD334" s="335"/>
      <c r="CE334" s="335"/>
      <c r="CF334" s="335"/>
      <c r="CG334" s="335"/>
      <c r="CH334" s="335"/>
      <c r="CI334" s="335"/>
      <c r="CJ334" s="335"/>
      <c r="CK334" s="335"/>
      <c r="CL334" s="335"/>
      <c r="CM334" s="335"/>
      <c r="CN334" s="335"/>
      <c r="CO334" s="335"/>
      <c r="CP334" s="335"/>
      <c r="CQ334" s="335"/>
      <c r="CR334" s="335"/>
      <c r="CS334" s="335"/>
      <c r="CT334" s="335"/>
      <c r="CU334" s="335"/>
      <c r="CV334" s="335"/>
      <c r="CW334" s="335"/>
      <c r="CX334" s="335"/>
      <c r="CY334" s="335"/>
      <c r="CZ334" s="335"/>
      <c r="DA334" s="335"/>
      <c r="DB334" s="335"/>
      <c r="DC334" s="335"/>
      <c r="DD334" s="335"/>
      <c r="DE334" s="335"/>
      <c r="DF334" s="335"/>
      <c r="DG334" s="335"/>
      <c r="DH334" s="335"/>
      <c r="DI334" s="335"/>
      <c r="DJ334" s="335"/>
      <c r="DK334" s="335"/>
      <c r="DL334" s="335"/>
      <c r="DM334" s="335"/>
      <c r="DN334" s="335"/>
      <c r="DO334" s="335"/>
      <c r="DP334" s="335"/>
      <c r="DQ334" s="335"/>
      <c r="DR334" s="335"/>
      <c r="DS334" s="335"/>
      <c r="DT334" s="335"/>
      <c r="DU334" s="335"/>
      <c r="DV334" s="335"/>
      <c r="DW334" s="335"/>
      <c r="DX334" s="335"/>
      <c r="DY334" s="335"/>
      <c r="DZ334" s="335"/>
      <c r="EA334" s="335"/>
      <c r="EB334" s="335"/>
      <c r="EC334" s="335"/>
      <c r="ED334" s="335"/>
      <c r="EE334" s="335"/>
      <c r="EF334" s="335"/>
      <c r="EG334" s="335"/>
      <c r="EH334" s="335"/>
      <c r="EI334" s="335"/>
      <c r="EJ334" s="335"/>
      <c r="EK334" s="335"/>
      <c r="EL334" s="335"/>
      <c r="EM334" s="335"/>
      <c r="EN334" s="335"/>
      <c r="EO334" s="335"/>
      <c r="EP334" s="335"/>
      <c r="EQ334" s="335"/>
      <c r="ER334" s="335"/>
      <c r="ES334" s="335"/>
      <c r="ET334" s="335"/>
      <c r="EU334" s="335"/>
      <c r="EV334" s="335"/>
      <c r="EW334" s="335"/>
      <c r="EX334" s="335"/>
      <c r="EY334" s="335"/>
      <c r="EZ334" s="335"/>
      <c r="FA334" s="335"/>
      <c r="FB334" s="335"/>
      <c r="FC334" s="335"/>
      <c r="FD334" s="335"/>
      <c r="FE334" s="335"/>
      <c r="FF334" s="335"/>
      <c r="FG334" s="335"/>
      <c r="FH334" s="335"/>
      <c r="FI334" s="335"/>
      <c r="FJ334" s="335"/>
      <c r="FK334" s="335"/>
      <c r="FL334" s="335"/>
      <c r="FM334" s="335"/>
      <c r="FN334" s="335"/>
      <c r="FO334" s="335"/>
      <c r="FP334" s="335"/>
      <c r="FQ334" s="335"/>
      <c r="FR334" s="335"/>
      <c r="FS334" s="335"/>
      <c r="FT334" s="335"/>
      <c r="FU334" s="335"/>
      <c r="FV334" s="335"/>
      <c r="FW334" s="335"/>
      <c r="FX334" s="335"/>
      <c r="FY334" s="335"/>
      <c r="FZ334" s="335"/>
      <c r="GA334" s="335"/>
      <c r="GB334" s="335"/>
      <c r="GC334" s="335"/>
      <c r="GD334" s="335"/>
      <c r="GE334" s="335"/>
      <c r="GF334" s="335"/>
      <c r="GG334" s="335"/>
      <c r="GH334" s="335"/>
      <c r="GI334" s="335"/>
      <c r="GJ334" s="335"/>
      <c r="GK334" s="335"/>
      <c r="GL334" s="335"/>
      <c r="GM334" s="335"/>
      <c r="GN334" s="335"/>
      <c r="GO334" s="335"/>
      <c r="GP334" s="335"/>
      <c r="GQ334" s="335"/>
      <c r="GR334" s="335"/>
      <c r="GS334" s="335"/>
      <c r="GT334" s="335"/>
      <c r="GU334" s="335"/>
      <c r="GV334" s="335"/>
      <c r="GW334" s="335"/>
      <c r="GX334" s="335"/>
      <c r="GY334" s="335"/>
      <c r="GZ334" s="335"/>
    </row>
    <row r="335" spans="1:208" ht="15">
      <c r="A335" s="379"/>
      <c r="B335" s="335"/>
      <c r="C335" s="335"/>
      <c r="D335" s="335"/>
      <c r="E335" s="335"/>
      <c r="F335" s="335"/>
      <c r="G335" s="335"/>
      <c r="H335" s="335"/>
      <c r="I335" s="335"/>
      <c r="J335" s="335"/>
      <c r="K335" s="335"/>
      <c r="L335" s="335"/>
      <c r="M335" s="376"/>
      <c r="N335" s="335"/>
      <c r="O335" s="380"/>
      <c r="P335" s="335"/>
      <c r="Q335" s="335"/>
      <c r="R335" s="335"/>
      <c r="S335" s="335"/>
      <c r="T335" s="335"/>
      <c r="U335" s="335"/>
      <c r="V335" s="335"/>
      <c r="W335" s="335"/>
      <c r="X335" s="335"/>
      <c r="Y335" s="335"/>
      <c r="Z335" s="335"/>
      <c r="AA335" s="335"/>
      <c r="AB335" s="335"/>
      <c r="AC335" s="335"/>
      <c r="AD335" s="335"/>
      <c r="AE335" s="335"/>
      <c r="AF335" s="335"/>
      <c r="AG335" s="335"/>
      <c r="AH335" s="335"/>
      <c r="AI335" s="335"/>
      <c r="AJ335" s="335"/>
      <c r="AK335" s="335"/>
      <c r="AL335" s="335"/>
      <c r="AM335" s="335"/>
      <c r="AN335" s="335"/>
      <c r="AO335" s="335"/>
      <c r="AP335" s="335"/>
      <c r="AQ335" s="335"/>
      <c r="AR335" s="335"/>
      <c r="AS335" s="335"/>
      <c r="AT335" s="335"/>
      <c r="AU335" s="335"/>
      <c r="AV335" s="335"/>
      <c r="AW335" s="335"/>
      <c r="AX335" s="335"/>
      <c r="AY335" s="335"/>
      <c r="AZ335" s="335"/>
      <c r="BA335" s="335"/>
      <c r="BB335" s="335"/>
      <c r="BC335" s="335"/>
      <c r="BD335" s="335"/>
      <c r="BE335" s="335"/>
      <c r="BF335" s="335"/>
      <c r="BG335" s="335"/>
      <c r="BH335" s="335"/>
      <c r="BI335" s="335"/>
      <c r="BJ335" s="335"/>
      <c r="BK335" s="335"/>
      <c r="BL335" s="335"/>
      <c r="BM335" s="335"/>
      <c r="BN335" s="335"/>
      <c r="BO335" s="335"/>
      <c r="BP335" s="335"/>
      <c r="BQ335" s="335"/>
      <c r="BR335" s="335"/>
      <c r="BS335" s="335"/>
      <c r="BT335" s="335"/>
      <c r="BU335" s="335"/>
      <c r="BV335" s="335"/>
      <c r="BW335" s="335"/>
      <c r="BX335" s="335"/>
      <c r="BY335" s="335"/>
      <c r="BZ335" s="335"/>
      <c r="CA335" s="335"/>
      <c r="CB335" s="335"/>
      <c r="CC335" s="335"/>
      <c r="CD335" s="335"/>
      <c r="CE335" s="335"/>
      <c r="CF335" s="335"/>
      <c r="CG335" s="335"/>
      <c r="CH335" s="335"/>
      <c r="CI335" s="335"/>
      <c r="CJ335" s="335"/>
      <c r="CK335" s="335"/>
      <c r="CL335" s="335"/>
      <c r="CM335" s="335"/>
      <c r="CN335" s="335"/>
      <c r="CO335" s="335"/>
      <c r="CP335" s="335"/>
      <c r="CQ335" s="335"/>
      <c r="CR335" s="335"/>
      <c r="CS335" s="335"/>
      <c r="CT335" s="335"/>
      <c r="CU335" s="335"/>
      <c r="CV335" s="335"/>
      <c r="CW335" s="335"/>
      <c r="CX335" s="335"/>
      <c r="CY335" s="335"/>
      <c r="CZ335" s="335"/>
      <c r="DA335" s="335"/>
      <c r="DB335" s="335"/>
      <c r="DC335" s="335"/>
      <c r="DD335" s="335"/>
      <c r="DE335" s="335"/>
      <c r="DF335" s="335"/>
      <c r="DG335" s="335"/>
      <c r="DH335" s="335"/>
      <c r="DI335" s="335"/>
      <c r="DJ335" s="335"/>
      <c r="DK335" s="335"/>
      <c r="DL335" s="335"/>
      <c r="DM335" s="335"/>
      <c r="DN335" s="335"/>
      <c r="DO335" s="335"/>
      <c r="DP335" s="335"/>
      <c r="DQ335" s="335"/>
      <c r="DR335" s="335"/>
      <c r="DS335" s="335"/>
      <c r="DT335" s="335"/>
      <c r="DU335" s="335"/>
      <c r="DV335" s="335"/>
      <c r="DW335" s="335"/>
      <c r="DX335" s="335"/>
      <c r="DY335" s="335"/>
      <c r="DZ335" s="335"/>
      <c r="EA335" s="335"/>
      <c r="EB335" s="335"/>
      <c r="EC335" s="335"/>
      <c r="ED335" s="335"/>
      <c r="EE335" s="335"/>
      <c r="EF335" s="335"/>
      <c r="EG335" s="335"/>
      <c r="EH335" s="335"/>
      <c r="EI335" s="335"/>
      <c r="EJ335" s="335"/>
      <c r="EK335" s="335"/>
      <c r="EL335" s="335"/>
      <c r="EM335" s="335"/>
      <c r="EN335" s="335"/>
      <c r="EO335" s="335"/>
      <c r="EP335" s="335"/>
      <c r="EQ335" s="335"/>
      <c r="ER335" s="335"/>
      <c r="ES335" s="335"/>
      <c r="ET335" s="335"/>
      <c r="EU335" s="335"/>
      <c r="EV335" s="335"/>
      <c r="EW335" s="335"/>
      <c r="EX335" s="335"/>
      <c r="EY335" s="335"/>
      <c r="EZ335" s="335"/>
      <c r="FA335" s="335"/>
      <c r="FB335" s="335"/>
      <c r="FC335" s="335"/>
      <c r="FD335" s="335"/>
      <c r="FE335" s="335"/>
      <c r="FF335" s="335"/>
      <c r="FG335" s="335"/>
      <c r="FH335" s="335"/>
      <c r="FI335" s="335"/>
      <c r="FJ335" s="335"/>
      <c r="FK335" s="335"/>
      <c r="FL335" s="335"/>
      <c r="FM335" s="335"/>
      <c r="FN335" s="335"/>
      <c r="FO335" s="335"/>
      <c r="FP335" s="335"/>
      <c r="FQ335" s="335"/>
      <c r="FR335" s="335"/>
      <c r="FS335" s="335"/>
      <c r="FT335" s="335"/>
      <c r="FU335" s="335"/>
      <c r="FV335" s="335"/>
      <c r="FW335" s="335"/>
      <c r="FX335" s="335"/>
      <c r="FY335" s="335"/>
      <c r="FZ335" s="335"/>
      <c r="GA335" s="335"/>
      <c r="GB335" s="335"/>
      <c r="GC335" s="335"/>
      <c r="GD335" s="335"/>
      <c r="GE335" s="335"/>
      <c r="GF335" s="335"/>
      <c r="GG335" s="335"/>
      <c r="GH335" s="335"/>
      <c r="GI335" s="335"/>
      <c r="GJ335" s="335"/>
      <c r="GK335" s="335"/>
      <c r="GL335" s="335"/>
      <c r="GM335" s="335"/>
      <c r="GN335" s="335"/>
      <c r="GO335" s="335"/>
      <c r="GP335" s="335"/>
      <c r="GQ335" s="335"/>
      <c r="GR335" s="335"/>
      <c r="GS335" s="335"/>
      <c r="GT335" s="335"/>
      <c r="GU335" s="335"/>
      <c r="GV335" s="335"/>
      <c r="GW335" s="335"/>
      <c r="GX335" s="335"/>
      <c r="GY335" s="335"/>
      <c r="GZ335" s="335"/>
    </row>
    <row r="336" spans="1:208" ht="15">
      <c r="A336" s="379"/>
      <c r="B336" s="335"/>
      <c r="C336" s="335"/>
      <c r="D336" s="335"/>
      <c r="E336" s="335"/>
      <c r="F336" s="335"/>
      <c r="G336" s="335"/>
      <c r="H336" s="335"/>
      <c r="I336" s="335"/>
      <c r="J336" s="335"/>
      <c r="K336" s="335"/>
      <c r="L336" s="335"/>
      <c r="M336" s="376"/>
      <c r="N336" s="335"/>
      <c r="O336" s="380"/>
      <c r="P336" s="335"/>
      <c r="Q336" s="335"/>
      <c r="R336" s="335"/>
      <c r="S336" s="335"/>
      <c r="T336" s="335"/>
      <c r="U336" s="335"/>
      <c r="V336" s="335"/>
      <c r="W336" s="335"/>
      <c r="X336" s="335"/>
      <c r="Y336" s="335"/>
      <c r="Z336" s="335"/>
      <c r="AA336" s="335"/>
      <c r="AB336" s="335"/>
      <c r="AC336" s="335"/>
      <c r="AD336" s="335"/>
      <c r="AE336" s="335"/>
      <c r="AF336" s="335"/>
      <c r="AG336" s="335"/>
      <c r="AH336" s="335"/>
      <c r="AI336" s="335"/>
      <c r="AJ336" s="335"/>
      <c r="AK336" s="335"/>
      <c r="AL336" s="335"/>
      <c r="AM336" s="335"/>
      <c r="AN336" s="335"/>
      <c r="AO336" s="335"/>
      <c r="AP336" s="335"/>
      <c r="AQ336" s="335"/>
      <c r="AR336" s="335"/>
      <c r="AS336" s="335"/>
      <c r="AT336" s="335"/>
      <c r="AU336" s="335"/>
      <c r="AV336" s="335"/>
      <c r="AW336" s="335"/>
      <c r="AX336" s="335"/>
      <c r="AY336" s="335"/>
      <c r="AZ336" s="335"/>
      <c r="BA336" s="335"/>
      <c r="BB336" s="335"/>
      <c r="BC336" s="335"/>
      <c r="BD336" s="335"/>
      <c r="BE336" s="335"/>
      <c r="BF336" s="335"/>
      <c r="BG336" s="335"/>
      <c r="BH336" s="335"/>
      <c r="BI336" s="335"/>
      <c r="BJ336" s="335"/>
      <c r="BK336" s="335"/>
      <c r="BL336" s="335"/>
      <c r="BM336" s="335"/>
      <c r="BN336" s="335"/>
      <c r="BO336" s="335"/>
      <c r="BP336" s="335"/>
      <c r="BQ336" s="335"/>
      <c r="BR336" s="335"/>
      <c r="BS336" s="335"/>
      <c r="BT336" s="335"/>
      <c r="BU336" s="335"/>
      <c r="BV336" s="335"/>
      <c r="BW336" s="335"/>
      <c r="BX336" s="335"/>
      <c r="BY336" s="335"/>
      <c r="BZ336" s="335"/>
      <c r="CA336" s="335"/>
      <c r="CB336" s="335"/>
      <c r="CC336" s="335"/>
      <c r="CD336" s="335"/>
      <c r="CE336" s="335"/>
      <c r="CF336" s="335"/>
      <c r="CG336" s="335"/>
      <c r="CH336" s="335"/>
      <c r="CI336" s="335"/>
      <c r="CJ336" s="335"/>
      <c r="CK336" s="335"/>
      <c r="CL336" s="335"/>
      <c r="CM336" s="335"/>
      <c r="CN336" s="335"/>
      <c r="CO336" s="335"/>
      <c r="CP336" s="335"/>
      <c r="CQ336" s="335"/>
      <c r="CR336" s="335"/>
      <c r="CS336" s="335"/>
      <c r="CT336" s="335"/>
      <c r="CU336" s="335"/>
      <c r="CV336" s="335"/>
      <c r="CW336" s="335"/>
      <c r="CX336" s="335"/>
      <c r="CY336" s="335"/>
      <c r="CZ336" s="335"/>
      <c r="DA336" s="335"/>
      <c r="DB336" s="335"/>
      <c r="DC336" s="335"/>
      <c r="DD336" s="335"/>
      <c r="DE336" s="335"/>
      <c r="DF336" s="335"/>
      <c r="DG336" s="335"/>
      <c r="DH336" s="335"/>
      <c r="DI336" s="335"/>
      <c r="DJ336" s="335"/>
      <c r="DK336" s="335"/>
      <c r="DL336" s="335"/>
      <c r="DM336" s="335"/>
      <c r="DN336" s="335"/>
      <c r="DO336" s="335"/>
      <c r="DP336" s="335"/>
      <c r="DQ336" s="335"/>
      <c r="DR336" s="335"/>
      <c r="DS336" s="335"/>
      <c r="DT336" s="335"/>
      <c r="DU336" s="335"/>
      <c r="DV336" s="335"/>
      <c r="DW336" s="335"/>
      <c r="DX336" s="335"/>
      <c r="DY336" s="335"/>
      <c r="DZ336" s="335"/>
      <c r="EA336" s="335"/>
      <c r="EB336" s="335"/>
      <c r="EC336" s="335"/>
      <c r="ED336" s="335"/>
      <c r="EE336" s="335"/>
      <c r="EF336" s="335"/>
      <c r="EG336" s="335"/>
      <c r="EH336" s="335"/>
      <c r="EI336" s="335"/>
      <c r="EJ336" s="335"/>
      <c r="EK336" s="335"/>
      <c r="EL336" s="335"/>
      <c r="EM336" s="335"/>
      <c r="EN336" s="335"/>
      <c r="EO336" s="335"/>
      <c r="EP336" s="335"/>
      <c r="EQ336" s="335"/>
      <c r="ER336" s="335"/>
      <c r="ES336" s="335"/>
      <c r="ET336" s="335"/>
      <c r="EU336" s="335"/>
      <c r="EV336" s="335"/>
      <c r="EW336" s="335"/>
      <c r="EX336" s="335"/>
      <c r="EY336" s="335"/>
      <c r="EZ336" s="335"/>
      <c r="FA336" s="335"/>
      <c r="FB336" s="335"/>
      <c r="FC336" s="335"/>
      <c r="FD336" s="335"/>
      <c r="FE336" s="335"/>
      <c r="FF336" s="335"/>
      <c r="FG336" s="335"/>
      <c r="FH336" s="335"/>
      <c r="FI336" s="335"/>
      <c r="FJ336" s="335"/>
      <c r="FK336" s="335"/>
      <c r="FL336" s="335"/>
      <c r="FM336" s="335"/>
      <c r="FN336" s="335"/>
      <c r="FO336" s="335"/>
      <c r="FP336" s="335"/>
      <c r="FQ336" s="335"/>
      <c r="FR336" s="335"/>
      <c r="FS336" s="335"/>
      <c r="FT336" s="335"/>
      <c r="FU336" s="335"/>
      <c r="FV336" s="335"/>
      <c r="FW336" s="335"/>
      <c r="FX336" s="335"/>
      <c r="FY336" s="335"/>
      <c r="FZ336" s="335"/>
      <c r="GA336" s="335"/>
      <c r="GB336" s="335"/>
      <c r="GC336" s="335"/>
      <c r="GD336" s="335"/>
      <c r="GE336" s="335"/>
      <c r="GF336" s="335"/>
      <c r="GG336" s="335"/>
      <c r="GH336" s="335"/>
      <c r="GI336" s="335"/>
      <c r="GJ336" s="335"/>
      <c r="GK336" s="335"/>
      <c r="GL336" s="335"/>
      <c r="GM336" s="335"/>
      <c r="GN336" s="335"/>
      <c r="GO336" s="335"/>
      <c r="GP336" s="335"/>
      <c r="GQ336" s="335"/>
      <c r="GR336" s="335"/>
      <c r="GS336" s="335"/>
      <c r="GT336" s="335"/>
      <c r="GU336" s="335"/>
      <c r="GV336" s="335"/>
      <c r="GW336" s="335"/>
      <c r="GX336" s="335"/>
      <c r="GY336" s="335"/>
      <c r="GZ336" s="335"/>
    </row>
    <row r="337" spans="1:208" ht="15">
      <c r="A337" s="379"/>
      <c r="B337" s="335"/>
      <c r="C337" s="335"/>
      <c r="D337" s="335"/>
      <c r="E337" s="335"/>
      <c r="F337" s="335"/>
      <c r="G337" s="335"/>
      <c r="H337" s="335"/>
      <c r="I337" s="335"/>
      <c r="J337" s="335"/>
      <c r="K337" s="335"/>
      <c r="L337" s="335"/>
      <c r="M337" s="376"/>
      <c r="N337" s="335"/>
      <c r="O337" s="380"/>
      <c r="P337" s="335"/>
      <c r="Q337" s="335"/>
      <c r="R337" s="335"/>
      <c r="S337" s="335"/>
      <c r="T337" s="335"/>
      <c r="U337" s="335"/>
      <c r="V337" s="335"/>
      <c r="W337" s="335"/>
      <c r="X337" s="335"/>
      <c r="Y337" s="335"/>
      <c r="Z337" s="335"/>
      <c r="AA337" s="335"/>
      <c r="AB337" s="335"/>
      <c r="AC337" s="335"/>
      <c r="AD337" s="335"/>
      <c r="AE337" s="335"/>
      <c r="AF337" s="335"/>
      <c r="AG337" s="335"/>
      <c r="AH337" s="335"/>
      <c r="AI337" s="335"/>
      <c r="AJ337" s="335"/>
      <c r="AK337" s="335"/>
      <c r="AL337" s="335"/>
      <c r="AM337" s="335"/>
      <c r="AN337" s="335"/>
      <c r="AO337" s="335"/>
      <c r="AP337" s="335"/>
      <c r="AQ337" s="335"/>
      <c r="AR337" s="335"/>
      <c r="AS337" s="335"/>
      <c r="AT337" s="335"/>
      <c r="AU337" s="335"/>
      <c r="AV337" s="335"/>
      <c r="AW337" s="335"/>
      <c r="AX337" s="335"/>
      <c r="AY337" s="335"/>
      <c r="AZ337" s="335"/>
      <c r="BA337" s="335"/>
      <c r="BB337" s="335"/>
      <c r="BC337" s="335"/>
      <c r="BD337" s="335"/>
      <c r="BE337" s="335"/>
      <c r="BF337" s="335"/>
      <c r="BG337" s="335"/>
      <c r="BH337" s="335"/>
      <c r="BI337" s="335"/>
      <c r="BJ337" s="335"/>
      <c r="BK337" s="335"/>
      <c r="BL337" s="335"/>
      <c r="BM337" s="335"/>
      <c r="BN337" s="335"/>
      <c r="BO337" s="335"/>
      <c r="BP337" s="335"/>
      <c r="BQ337" s="335"/>
      <c r="BR337" s="335"/>
      <c r="BS337" s="335"/>
      <c r="BT337" s="335"/>
      <c r="BU337" s="335"/>
      <c r="BV337" s="335"/>
      <c r="BW337" s="335"/>
      <c r="BX337" s="335"/>
      <c r="BY337" s="335"/>
      <c r="BZ337" s="335"/>
      <c r="CA337" s="335"/>
      <c r="CB337" s="335"/>
      <c r="CC337" s="335"/>
      <c r="CD337" s="335"/>
      <c r="CE337" s="335"/>
      <c r="CF337" s="335"/>
      <c r="CG337" s="335"/>
      <c r="CH337" s="335"/>
      <c r="CI337" s="335"/>
      <c r="CJ337" s="335"/>
      <c r="CK337" s="335"/>
      <c r="CL337" s="335"/>
      <c r="CM337" s="335"/>
      <c r="CN337" s="335"/>
      <c r="CO337" s="335"/>
      <c r="CP337" s="335"/>
      <c r="CQ337" s="335"/>
      <c r="CR337" s="335"/>
      <c r="CS337" s="335"/>
      <c r="CT337" s="335"/>
      <c r="CU337" s="335"/>
      <c r="CV337" s="335"/>
      <c r="CW337" s="335"/>
      <c r="CX337" s="335"/>
      <c r="CY337" s="335"/>
      <c r="CZ337" s="335"/>
      <c r="DA337" s="335"/>
      <c r="DB337" s="335"/>
      <c r="DC337" s="335"/>
      <c r="DD337" s="335"/>
      <c r="DE337" s="335"/>
      <c r="DF337" s="335"/>
      <c r="DG337" s="335"/>
      <c r="DH337" s="335"/>
      <c r="DI337" s="335"/>
      <c r="DJ337" s="335"/>
      <c r="DK337" s="335"/>
      <c r="DL337" s="335"/>
      <c r="DM337" s="335"/>
      <c r="DN337" s="335"/>
      <c r="DO337" s="335"/>
      <c r="DP337" s="335"/>
      <c r="DQ337" s="335"/>
      <c r="DR337" s="335"/>
      <c r="DS337" s="335"/>
      <c r="DT337" s="335"/>
      <c r="DU337" s="335"/>
      <c r="DV337" s="335"/>
      <c r="DW337" s="335"/>
      <c r="DX337" s="335"/>
      <c r="DY337" s="335"/>
      <c r="DZ337" s="335"/>
      <c r="EA337" s="335"/>
      <c r="EB337" s="335"/>
      <c r="EC337" s="335"/>
      <c r="ED337" s="335"/>
      <c r="EE337" s="335"/>
      <c r="EF337" s="335"/>
      <c r="EG337" s="335"/>
      <c r="EH337" s="335"/>
      <c r="EI337" s="335"/>
      <c r="EJ337" s="335"/>
      <c r="EK337" s="335"/>
      <c r="EL337" s="335"/>
      <c r="EM337" s="335"/>
      <c r="EN337" s="335"/>
      <c r="EO337" s="335"/>
      <c r="EP337" s="335"/>
      <c r="EQ337" s="335"/>
      <c r="ER337" s="335"/>
      <c r="ES337" s="335"/>
      <c r="ET337" s="335"/>
      <c r="EU337" s="335"/>
      <c r="EV337" s="335"/>
      <c r="EW337" s="335"/>
      <c r="EX337" s="335"/>
      <c r="EY337" s="335"/>
      <c r="EZ337" s="335"/>
      <c r="FA337" s="335"/>
      <c r="FB337" s="335"/>
      <c r="FC337" s="335"/>
      <c r="FD337" s="335"/>
      <c r="FE337" s="335"/>
      <c r="FF337" s="335"/>
      <c r="FG337" s="335"/>
      <c r="FH337" s="335"/>
      <c r="FI337" s="335"/>
      <c r="FJ337" s="335"/>
      <c r="FK337" s="335"/>
      <c r="FL337" s="335"/>
      <c r="FM337" s="335"/>
      <c r="FN337" s="335"/>
      <c r="FO337" s="335"/>
      <c r="FP337" s="335"/>
      <c r="FQ337" s="335"/>
      <c r="FR337" s="335"/>
      <c r="FS337" s="335"/>
      <c r="FT337" s="335"/>
      <c r="FU337" s="335"/>
      <c r="FV337" s="335"/>
      <c r="FW337" s="335"/>
      <c r="FX337" s="335"/>
      <c r="FY337" s="335"/>
      <c r="FZ337" s="335"/>
      <c r="GA337" s="335"/>
      <c r="GB337" s="335"/>
      <c r="GC337" s="335"/>
      <c r="GD337" s="335"/>
      <c r="GE337" s="335"/>
      <c r="GF337" s="335"/>
      <c r="GG337" s="335"/>
      <c r="GH337" s="335"/>
      <c r="GI337" s="335"/>
      <c r="GJ337" s="335"/>
      <c r="GK337" s="335"/>
      <c r="GL337" s="335"/>
      <c r="GM337" s="335"/>
      <c r="GN337" s="335"/>
      <c r="GO337" s="335"/>
      <c r="GP337" s="335"/>
      <c r="GQ337" s="335"/>
      <c r="GR337" s="335"/>
      <c r="GS337" s="335"/>
      <c r="GT337" s="335"/>
      <c r="GU337" s="335"/>
      <c r="GV337" s="335"/>
      <c r="GW337" s="335"/>
      <c r="GX337" s="335"/>
      <c r="GY337" s="335"/>
      <c r="GZ337" s="335"/>
    </row>
    <row r="338" spans="1:208" ht="15">
      <c r="A338" s="379"/>
      <c r="B338" s="335"/>
      <c r="C338" s="335"/>
      <c r="D338" s="335"/>
      <c r="E338" s="335"/>
      <c r="F338" s="335"/>
      <c r="G338" s="335"/>
      <c r="H338" s="335"/>
      <c r="I338" s="335"/>
      <c r="J338" s="335"/>
      <c r="K338" s="335"/>
      <c r="L338" s="335"/>
      <c r="M338" s="376"/>
      <c r="N338" s="335"/>
      <c r="O338" s="380"/>
      <c r="P338" s="335"/>
      <c r="Q338" s="335"/>
      <c r="R338" s="335"/>
      <c r="S338" s="335"/>
      <c r="T338" s="335"/>
      <c r="U338" s="335"/>
      <c r="V338" s="335"/>
      <c r="W338" s="335"/>
      <c r="X338" s="335"/>
      <c r="Y338" s="335"/>
      <c r="Z338" s="335"/>
      <c r="AA338" s="335"/>
      <c r="AB338" s="335"/>
      <c r="AC338" s="335"/>
      <c r="AD338" s="335"/>
      <c r="AE338" s="335"/>
      <c r="AF338" s="335"/>
      <c r="AG338" s="335"/>
      <c r="AH338" s="335"/>
      <c r="AI338" s="335"/>
      <c r="AJ338" s="335"/>
      <c r="AK338" s="335"/>
      <c r="AL338" s="335"/>
      <c r="AM338" s="335"/>
      <c r="AN338" s="335"/>
      <c r="AO338" s="335"/>
      <c r="AP338" s="335"/>
      <c r="AQ338" s="335"/>
      <c r="AR338" s="335"/>
      <c r="AS338" s="335"/>
      <c r="AT338" s="335"/>
      <c r="AU338" s="335"/>
      <c r="AV338" s="335"/>
      <c r="AW338" s="335"/>
      <c r="AX338" s="335"/>
      <c r="AY338" s="335"/>
      <c r="AZ338" s="335"/>
      <c r="BA338" s="335"/>
      <c r="BB338" s="335"/>
      <c r="BC338" s="335"/>
      <c r="BD338" s="335"/>
      <c r="BE338" s="335"/>
      <c r="BF338" s="335"/>
      <c r="BG338" s="335"/>
      <c r="BH338" s="335"/>
      <c r="BI338" s="335"/>
      <c r="BJ338" s="335"/>
      <c r="BK338" s="335"/>
      <c r="BL338" s="335"/>
      <c r="BM338" s="335"/>
      <c r="BN338" s="335"/>
      <c r="BO338" s="335"/>
      <c r="BP338" s="335"/>
      <c r="BQ338" s="335"/>
      <c r="BR338" s="335"/>
      <c r="BS338" s="335"/>
      <c r="BT338" s="335"/>
      <c r="BU338" s="335"/>
      <c r="BV338" s="335"/>
      <c r="BW338" s="335"/>
      <c r="BX338" s="335"/>
      <c r="BY338" s="335"/>
      <c r="BZ338" s="335"/>
      <c r="CA338" s="335"/>
      <c r="CB338" s="335"/>
      <c r="CC338" s="335"/>
      <c r="CD338" s="335"/>
      <c r="CE338" s="335"/>
      <c r="CF338" s="335"/>
      <c r="CG338" s="335"/>
      <c r="CH338" s="335"/>
      <c r="CI338" s="335"/>
      <c r="CJ338" s="335"/>
      <c r="CK338" s="335"/>
      <c r="CL338" s="335"/>
      <c r="CM338" s="335"/>
      <c r="CN338" s="335"/>
      <c r="CO338" s="335"/>
      <c r="CP338" s="335"/>
      <c r="CQ338" s="335"/>
      <c r="CR338" s="335"/>
      <c r="CS338" s="335"/>
      <c r="CT338" s="335"/>
      <c r="CU338" s="335"/>
      <c r="CV338" s="335"/>
      <c r="CW338" s="335"/>
      <c r="CX338" s="335"/>
      <c r="CY338" s="335"/>
      <c r="CZ338" s="335"/>
      <c r="DA338" s="335"/>
      <c r="DB338" s="335"/>
      <c r="DC338" s="335"/>
      <c r="DD338" s="335"/>
      <c r="DE338" s="335"/>
      <c r="DF338" s="335"/>
      <c r="DG338" s="335"/>
      <c r="DH338" s="335"/>
      <c r="DI338" s="335"/>
      <c r="DJ338" s="335"/>
      <c r="DK338" s="335"/>
      <c r="DL338" s="335"/>
      <c r="DM338" s="335"/>
      <c r="DN338" s="335"/>
      <c r="DO338" s="335"/>
      <c r="DP338" s="335"/>
      <c r="DQ338" s="335"/>
      <c r="DR338" s="335"/>
      <c r="DS338" s="335"/>
      <c r="DT338" s="335"/>
      <c r="DU338" s="335"/>
      <c r="DV338" s="335"/>
      <c r="DW338" s="335"/>
      <c r="DX338" s="335"/>
      <c r="DY338" s="335"/>
      <c r="DZ338" s="335"/>
      <c r="EA338" s="335"/>
      <c r="EB338" s="335"/>
      <c r="EC338" s="335"/>
      <c r="ED338" s="335"/>
      <c r="EE338" s="335"/>
      <c r="EF338" s="335"/>
      <c r="EG338" s="335"/>
      <c r="EH338" s="335"/>
      <c r="EI338" s="335"/>
      <c r="EJ338" s="335"/>
      <c r="EK338" s="335"/>
      <c r="EL338" s="335"/>
      <c r="EM338" s="335"/>
      <c r="EN338" s="335"/>
      <c r="EO338" s="335"/>
      <c r="EP338" s="335"/>
      <c r="EQ338" s="335"/>
      <c r="ER338" s="335"/>
      <c r="ES338" s="335"/>
      <c r="ET338" s="335"/>
      <c r="EU338" s="335"/>
      <c r="EV338" s="335"/>
      <c r="EW338" s="335"/>
      <c r="EX338" s="335"/>
      <c r="EY338" s="335"/>
      <c r="EZ338" s="335"/>
      <c r="FA338" s="335"/>
      <c r="FB338" s="335"/>
      <c r="FC338" s="335"/>
      <c r="FD338" s="335"/>
      <c r="FE338" s="335"/>
      <c r="FF338" s="335"/>
      <c r="FG338" s="335"/>
      <c r="FH338" s="335"/>
      <c r="FI338" s="335"/>
      <c r="FJ338" s="335"/>
      <c r="FK338" s="335"/>
      <c r="FL338" s="335"/>
      <c r="FM338" s="335"/>
      <c r="FN338" s="335"/>
      <c r="FO338" s="335"/>
      <c r="FP338" s="335"/>
      <c r="FQ338" s="335"/>
      <c r="FR338" s="335"/>
      <c r="FS338" s="335"/>
      <c r="FT338" s="335"/>
      <c r="FU338" s="335"/>
      <c r="FV338" s="335"/>
      <c r="FW338" s="335"/>
      <c r="FX338" s="335"/>
      <c r="FY338" s="335"/>
      <c r="FZ338" s="335"/>
      <c r="GA338" s="335"/>
      <c r="GB338" s="335"/>
      <c r="GC338" s="335"/>
      <c r="GD338" s="335"/>
      <c r="GE338" s="335"/>
      <c r="GF338" s="335"/>
      <c r="GG338" s="335"/>
      <c r="GH338" s="335"/>
      <c r="GI338" s="335"/>
      <c r="GJ338" s="335"/>
      <c r="GK338" s="335"/>
      <c r="GL338" s="335"/>
      <c r="GM338" s="335"/>
      <c r="GN338" s="335"/>
      <c r="GO338" s="335"/>
      <c r="GP338" s="335"/>
      <c r="GQ338" s="335"/>
      <c r="GR338" s="335"/>
      <c r="GS338" s="335"/>
      <c r="GT338" s="335"/>
      <c r="GU338" s="335"/>
      <c r="GV338" s="335"/>
      <c r="GW338" s="335"/>
      <c r="GX338" s="335"/>
      <c r="GY338" s="335"/>
      <c r="GZ338" s="335"/>
    </row>
    <row r="339" spans="1:208" ht="15">
      <c r="A339" s="379"/>
      <c r="B339" s="335"/>
      <c r="C339" s="335"/>
      <c r="D339" s="335"/>
      <c r="E339" s="335"/>
      <c r="F339" s="335"/>
      <c r="G339" s="335"/>
      <c r="H339" s="335"/>
      <c r="I339" s="335"/>
      <c r="J339" s="335"/>
      <c r="K339" s="335"/>
      <c r="L339" s="335"/>
      <c r="M339" s="376"/>
      <c r="N339" s="335"/>
      <c r="O339" s="380"/>
      <c r="P339" s="335"/>
      <c r="Q339" s="335"/>
      <c r="R339" s="335"/>
      <c r="S339" s="335"/>
      <c r="T339" s="335"/>
      <c r="U339" s="335"/>
      <c r="V339" s="335"/>
      <c r="W339" s="335"/>
      <c r="X339" s="335"/>
      <c r="Y339" s="335"/>
      <c r="Z339" s="335"/>
      <c r="AA339" s="335"/>
      <c r="AB339" s="335"/>
      <c r="AC339" s="335"/>
      <c r="AD339" s="335"/>
      <c r="AE339" s="335"/>
      <c r="AF339" s="335"/>
      <c r="AG339" s="335"/>
      <c r="AH339" s="335"/>
      <c r="AI339" s="335"/>
      <c r="AJ339" s="335"/>
      <c r="AK339" s="335"/>
      <c r="AL339" s="335"/>
      <c r="AM339" s="335"/>
      <c r="AN339" s="335"/>
      <c r="AO339" s="335"/>
      <c r="AP339" s="335"/>
      <c r="AQ339" s="335"/>
      <c r="AR339" s="335"/>
      <c r="AS339" s="335"/>
      <c r="AT339" s="335"/>
      <c r="AU339" s="335"/>
      <c r="AV339" s="335"/>
      <c r="AW339" s="335"/>
      <c r="AX339" s="335"/>
      <c r="AY339" s="335"/>
      <c r="AZ339" s="335"/>
      <c r="BA339" s="335"/>
      <c r="BB339" s="335"/>
      <c r="BC339" s="335"/>
      <c r="BD339" s="335"/>
      <c r="BE339" s="335"/>
      <c r="BF339" s="335"/>
      <c r="BG339" s="335"/>
      <c r="BH339" s="335"/>
      <c r="BI339" s="335"/>
      <c r="BJ339" s="335"/>
      <c r="BK339" s="335"/>
      <c r="BL339" s="335"/>
      <c r="BM339" s="335"/>
      <c r="BN339" s="335"/>
      <c r="BO339" s="335"/>
      <c r="BP339" s="335"/>
      <c r="BQ339" s="335"/>
      <c r="BR339" s="335"/>
      <c r="BS339" s="335"/>
      <c r="BT339" s="335"/>
      <c r="BU339" s="335"/>
      <c r="BV339" s="335"/>
      <c r="BW339" s="335"/>
      <c r="BX339" s="335"/>
      <c r="BY339" s="335"/>
      <c r="BZ339" s="335"/>
      <c r="CA339" s="335"/>
      <c r="CB339" s="335"/>
      <c r="CC339" s="335"/>
      <c r="CD339" s="335"/>
      <c r="CE339" s="335"/>
      <c r="CF339" s="335"/>
      <c r="CG339" s="335"/>
      <c r="CH339" s="335"/>
      <c r="CI339" s="335"/>
      <c r="CJ339" s="335"/>
      <c r="CK339" s="335"/>
      <c r="CL339" s="335"/>
      <c r="CM339" s="335"/>
      <c r="CN339" s="335"/>
      <c r="CO339" s="335"/>
      <c r="CP339" s="335"/>
      <c r="CQ339" s="335"/>
      <c r="CR339" s="335"/>
      <c r="CS339" s="335"/>
      <c r="CT339" s="335"/>
      <c r="CU339" s="335"/>
      <c r="CV339" s="335"/>
      <c r="CW339" s="335"/>
      <c r="CX339" s="335"/>
      <c r="CY339" s="335"/>
      <c r="CZ339" s="335"/>
      <c r="DA339" s="335"/>
      <c r="DB339" s="335"/>
      <c r="DC339" s="335"/>
      <c r="DD339" s="335"/>
      <c r="DE339" s="335"/>
      <c r="DF339" s="335"/>
      <c r="DG339" s="335"/>
      <c r="DH339" s="335"/>
      <c r="DI339" s="335"/>
      <c r="DJ339" s="335"/>
      <c r="DK339" s="335"/>
      <c r="DL339" s="335"/>
      <c r="DM339" s="335"/>
      <c r="DN339" s="335"/>
      <c r="DO339" s="335"/>
      <c r="DP339" s="335"/>
      <c r="DQ339" s="335"/>
      <c r="DR339" s="335"/>
      <c r="DS339" s="335"/>
      <c r="DT339" s="335"/>
      <c r="DU339" s="335"/>
      <c r="DV339" s="335"/>
      <c r="DW339" s="335"/>
      <c r="DX339" s="335"/>
      <c r="DY339" s="335"/>
      <c r="DZ339" s="335"/>
      <c r="EA339" s="335"/>
      <c r="EB339" s="335"/>
      <c r="EC339" s="335"/>
      <c r="ED339" s="335"/>
      <c r="EE339" s="335"/>
      <c r="EF339" s="335"/>
      <c r="EG339" s="335"/>
      <c r="EH339" s="335"/>
      <c r="EI339" s="335"/>
      <c r="EJ339" s="335"/>
      <c r="EK339" s="335"/>
      <c r="EL339" s="335"/>
      <c r="EM339" s="335"/>
      <c r="EN339" s="335"/>
      <c r="EO339" s="335"/>
      <c r="EP339" s="335"/>
      <c r="EQ339" s="335"/>
      <c r="ER339" s="335"/>
      <c r="ES339" s="335"/>
      <c r="ET339" s="335"/>
      <c r="EU339" s="335"/>
      <c r="EV339" s="335"/>
      <c r="EW339" s="335"/>
      <c r="EX339" s="335"/>
      <c r="EY339" s="335"/>
      <c r="EZ339" s="335"/>
      <c r="FA339" s="335"/>
      <c r="FB339" s="335"/>
      <c r="FC339" s="335"/>
      <c r="FD339" s="335"/>
      <c r="FE339" s="335"/>
      <c r="FF339" s="335"/>
      <c r="FG339" s="335"/>
      <c r="FH339" s="335"/>
      <c r="FI339" s="335"/>
      <c r="FJ339" s="335"/>
      <c r="FK339" s="335"/>
      <c r="FL339" s="335"/>
      <c r="FM339" s="335"/>
      <c r="FN339" s="335"/>
      <c r="FO339" s="335"/>
      <c r="FP339" s="335"/>
      <c r="FQ339" s="335"/>
      <c r="FR339" s="335"/>
      <c r="FS339" s="335"/>
      <c r="FT339" s="335"/>
      <c r="FU339" s="335"/>
      <c r="FV339" s="335"/>
      <c r="FW339" s="335"/>
      <c r="FX339" s="335"/>
      <c r="FY339" s="335"/>
      <c r="FZ339" s="335"/>
      <c r="GA339" s="335"/>
      <c r="GB339" s="335"/>
      <c r="GC339" s="335"/>
      <c r="GD339" s="335"/>
      <c r="GE339" s="335"/>
      <c r="GF339" s="335"/>
      <c r="GG339" s="335"/>
      <c r="GH339" s="335"/>
      <c r="GI339" s="335"/>
      <c r="GJ339" s="335"/>
      <c r="GK339" s="335"/>
      <c r="GL339" s="335"/>
      <c r="GM339" s="335"/>
      <c r="GN339" s="335"/>
      <c r="GO339" s="335"/>
      <c r="GP339" s="335"/>
      <c r="GQ339" s="335"/>
      <c r="GR339" s="335"/>
      <c r="GS339" s="335"/>
      <c r="GT339" s="335"/>
      <c r="GU339" s="335"/>
      <c r="GV339" s="335"/>
      <c r="GW339" s="335"/>
      <c r="GX339" s="335"/>
      <c r="GY339" s="335"/>
      <c r="GZ339" s="335"/>
    </row>
    <row r="340" spans="1:208" ht="15">
      <c r="A340" s="379"/>
      <c r="B340" s="335"/>
      <c r="C340" s="335"/>
      <c r="D340" s="335"/>
      <c r="E340" s="335"/>
      <c r="F340" s="335"/>
      <c r="G340" s="335"/>
      <c r="H340" s="335"/>
      <c r="I340" s="335"/>
      <c r="J340" s="335"/>
      <c r="K340" s="335"/>
      <c r="L340" s="335"/>
      <c r="M340" s="376"/>
      <c r="N340" s="335"/>
      <c r="O340" s="380"/>
      <c r="P340" s="335"/>
      <c r="Q340" s="335"/>
      <c r="R340" s="335"/>
      <c r="S340" s="335"/>
      <c r="T340" s="335"/>
      <c r="U340" s="335"/>
      <c r="V340" s="335"/>
      <c r="W340" s="335"/>
      <c r="X340" s="335"/>
      <c r="Y340" s="335"/>
      <c r="Z340" s="335"/>
      <c r="AA340" s="335"/>
      <c r="AB340" s="335"/>
      <c r="AC340" s="335"/>
      <c r="AD340" s="335"/>
      <c r="AE340" s="335"/>
      <c r="AF340" s="335"/>
      <c r="AG340" s="335"/>
      <c r="AH340" s="335"/>
      <c r="AI340" s="335"/>
      <c r="AJ340" s="335"/>
      <c r="AK340" s="335"/>
      <c r="AL340" s="335"/>
      <c r="AM340" s="335"/>
      <c r="AN340" s="335"/>
      <c r="AO340" s="335"/>
      <c r="AP340" s="335"/>
      <c r="AQ340" s="335"/>
      <c r="AR340" s="335"/>
      <c r="AS340" s="335"/>
      <c r="AT340" s="335"/>
      <c r="AU340" s="335"/>
      <c r="AV340" s="335"/>
      <c r="AW340" s="335"/>
      <c r="AX340" s="335"/>
      <c r="AY340" s="335"/>
      <c r="AZ340" s="335"/>
      <c r="BA340" s="335"/>
      <c r="BB340" s="335"/>
      <c r="BC340" s="335"/>
      <c r="BD340" s="335"/>
      <c r="BE340" s="335"/>
      <c r="BF340" s="335"/>
      <c r="BG340" s="335"/>
      <c r="BH340" s="335"/>
      <c r="BI340" s="335"/>
      <c r="BJ340" s="335"/>
      <c r="BK340" s="335"/>
      <c r="BL340" s="335"/>
      <c r="BM340" s="335"/>
      <c r="BN340" s="335"/>
      <c r="BO340" s="335"/>
      <c r="BP340" s="335"/>
      <c r="BQ340" s="335"/>
      <c r="BR340" s="335"/>
      <c r="BS340" s="335"/>
      <c r="BT340" s="335"/>
      <c r="BU340" s="335"/>
      <c r="BV340" s="335"/>
      <c r="BW340" s="335"/>
      <c r="BX340" s="335"/>
      <c r="BY340" s="335"/>
      <c r="BZ340" s="335"/>
      <c r="CA340" s="335"/>
      <c r="CB340" s="335"/>
      <c r="CC340" s="335"/>
      <c r="CD340" s="335"/>
      <c r="CE340" s="335"/>
      <c r="CF340" s="335"/>
      <c r="CG340" s="335"/>
      <c r="CH340" s="335"/>
      <c r="CI340" s="335"/>
      <c r="CJ340" s="335"/>
      <c r="CK340" s="335"/>
      <c r="CL340" s="335"/>
      <c r="CM340" s="335"/>
      <c r="CN340" s="335"/>
      <c r="CO340" s="335"/>
      <c r="CP340" s="335"/>
      <c r="CQ340" s="335"/>
      <c r="CR340" s="335"/>
      <c r="CS340" s="335"/>
      <c r="CT340" s="335"/>
      <c r="CU340" s="335"/>
      <c r="CV340" s="335"/>
      <c r="CW340" s="335"/>
      <c r="CX340" s="335"/>
      <c r="CY340" s="335"/>
      <c r="CZ340" s="335"/>
      <c r="DA340" s="335"/>
      <c r="DB340" s="335"/>
      <c r="DC340" s="335"/>
      <c r="DD340" s="335"/>
      <c r="DE340" s="335"/>
      <c r="DF340" s="335"/>
      <c r="DG340" s="335"/>
      <c r="DH340" s="335"/>
      <c r="DI340" s="335"/>
      <c r="DJ340" s="335"/>
      <c r="DK340" s="335"/>
      <c r="DL340" s="335"/>
      <c r="DM340" s="335"/>
      <c r="DN340" s="335"/>
      <c r="DO340" s="335"/>
      <c r="DP340" s="335"/>
      <c r="DQ340" s="335"/>
      <c r="DR340" s="335"/>
      <c r="DS340" s="335"/>
      <c r="DT340" s="335"/>
      <c r="DU340" s="335"/>
      <c r="DV340" s="335"/>
      <c r="DW340" s="335"/>
      <c r="DX340" s="335"/>
      <c r="DY340" s="335"/>
      <c r="DZ340" s="335"/>
      <c r="EA340" s="335"/>
      <c r="EB340" s="335"/>
      <c r="EC340" s="335"/>
      <c r="ED340" s="335"/>
      <c r="EE340" s="335"/>
      <c r="EF340" s="335"/>
      <c r="EG340" s="335"/>
      <c r="EH340" s="335"/>
      <c r="EI340" s="335"/>
      <c r="EJ340" s="335"/>
      <c r="EK340" s="335"/>
      <c r="EL340" s="335"/>
      <c r="EM340" s="335"/>
      <c r="EN340" s="335"/>
      <c r="EO340" s="335"/>
      <c r="EP340" s="335"/>
      <c r="EQ340" s="335"/>
      <c r="ER340" s="335"/>
      <c r="ES340" s="335"/>
      <c r="ET340" s="335"/>
      <c r="EU340" s="335"/>
      <c r="EV340" s="335"/>
      <c r="EW340" s="335"/>
      <c r="EX340" s="335"/>
      <c r="EY340" s="335"/>
      <c r="EZ340" s="335"/>
      <c r="FA340" s="335"/>
      <c r="FB340" s="335"/>
      <c r="FC340" s="335"/>
      <c r="FD340" s="335"/>
      <c r="FE340" s="335"/>
      <c r="FF340" s="335"/>
      <c r="FG340" s="335"/>
      <c r="FH340" s="335"/>
      <c r="FI340" s="335"/>
      <c r="FJ340" s="335"/>
      <c r="FK340" s="335"/>
      <c r="FL340" s="335"/>
      <c r="FM340" s="335"/>
      <c r="FN340" s="335"/>
      <c r="FO340" s="335"/>
      <c r="FP340" s="335"/>
      <c r="FQ340" s="335"/>
      <c r="FR340" s="335"/>
      <c r="FS340" s="335"/>
      <c r="FT340" s="335"/>
      <c r="FU340" s="335"/>
      <c r="FV340" s="335"/>
      <c r="FW340" s="335"/>
      <c r="FX340" s="335"/>
      <c r="FY340" s="335"/>
      <c r="FZ340" s="335"/>
      <c r="GA340" s="335"/>
      <c r="GB340" s="335"/>
      <c r="GC340" s="335"/>
      <c r="GD340" s="335"/>
      <c r="GE340" s="335"/>
      <c r="GF340" s="335"/>
      <c r="GG340" s="335"/>
      <c r="GH340" s="335"/>
      <c r="GI340" s="335"/>
      <c r="GJ340" s="335"/>
      <c r="GK340" s="335"/>
      <c r="GL340" s="335"/>
      <c r="GM340" s="335"/>
      <c r="GN340" s="335"/>
      <c r="GO340" s="335"/>
      <c r="GP340" s="335"/>
      <c r="GQ340" s="335"/>
      <c r="GR340" s="335"/>
      <c r="GS340" s="335"/>
      <c r="GT340" s="335"/>
      <c r="GU340" s="335"/>
      <c r="GV340" s="335"/>
      <c r="GW340" s="335"/>
      <c r="GX340" s="335"/>
      <c r="GY340" s="335"/>
      <c r="GZ340" s="335"/>
    </row>
    <row r="341" spans="1:208" ht="15">
      <c r="A341" s="379"/>
      <c r="B341" s="335"/>
      <c r="C341" s="335"/>
      <c r="D341" s="335"/>
      <c r="E341" s="335"/>
      <c r="F341" s="335"/>
      <c r="G341" s="335"/>
      <c r="H341" s="335"/>
      <c r="I341" s="335"/>
      <c r="J341" s="335"/>
      <c r="K341" s="335"/>
      <c r="L341" s="335"/>
      <c r="M341" s="376"/>
      <c r="N341" s="335"/>
      <c r="O341" s="380"/>
      <c r="P341" s="335"/>
      <c r="Q341" s="335"/>
      <c r="R341" s="335"/>
      <c r="S341" s="335"/>
      <c r="T341" s="335"/>
      <c r="U341" s="335"/>
      <c r="V341" s="335"/>
      <c r="W341" s="335"/>
      <c r="X341" s="335"/>
      <c r="Y341" s="335"/>
      <c r="Z341" s="335"/>
      <c r="AA341" s="335"/>
      <c r="AB341" s="335"/>
      <c r="AC341" s="335"/>
      <c r="AD341" s="335"/>
      <c r="AE341" s="335"/>
      <c r="AF341" s="335"/>
      <c r="AG341" s="335"/>
      <c r="AH341" s="335"/>
      <c r="AI341" s="335"/>
      <c r="AJ341" s="335"/>
      <c r="AK341" s="335"/>
      <c r="AL341" s="335"/>
      <c r="AM341" s="335"/>
      <c r="AN341" s="335"/>
      <c r="AO341" s="335"/>
      <c r="AP341" s="335"/>
      <c r="AQ341" s="335"/>
      <c r="AR341" s="335"/>
      <c r="AS341" s="335"/>
      <c r="AT341" s="335"/>
      <c r="AU341" s="335"/>
      <c r="AV341" s="335"/>
      <c r="AW341" s="335"/>
      <c r="AX341" s="335"/>
      <c r="AY341" s="335"/>
      <c r="AZ341" s="335"/>
      <c r="BA341" s="335"/>
      <c r="BB341" s="335"/>
      <c r="BC341" s="335"/>
      <c r="BD341" s="335"/>
      <c r="BE341" s="335"/>
      <c r="BF341" s="335"/>
      <c r="BG341" s="335"/>
      <c r="BH341" s="335"/>
      <c r="BI341" s="335"/>
      <c r="BJ341" s="335"/>
      <c r="BK341" s="335"/>
      <c r="BL341" s="335"/>
      <c r="BM341" s="335"/>
      <c r="BN341" s="335"/>
      <c r="BO341" s="335"/>
      <c r="BP341" s="335"/>
      <c r="BQ341" s="335"/>
      <c r="BR341" s="335"/>
      <c r="BS341" s="335"/>
      <c r="BT341" s="335"/>
      <c r="BU341" s="335"/>
      <c r="BV341" s="335"/>
      <c r="BW341" s="335"/>
      <c r="BX341" s="335"/>
      <c r="BY341" s="335"/>
      <c r="BZ341" s="335"/>
      <c r="CA341" s="335"/>
      <c r="CB341" s="335"/>
      <c r="CC341" s="335"/>
      <c r="CD341" s="335"/>
      <c r="CE341" s="335"/>
      <c r="CF341" s="335"/>
      <c r="CG341" s="335"/>
      <c r="CH341" s="335"/>
      <c r="CI341" s="335"/>
      <c r="CJ341" s="335"/>
      <c r="CK341" s="335"/>
      <c r="CL341" s="335"/>
      <c r="CM341" s="335"/>
      <c r="CN341" s="335"/>
      <c r="CO341" s="335"/>
      <c r="CP341" s="335"/>
      <c r="CQ341" s="335"/>
      <c r="CR341" s="335"/>
      <c r="CS341" s="335"/>
      <c r="CT341" s="335"/>
      <c r="CU341" s="335"/>
      <c r="CV341" s="335"/>
      <c r="CW341" s="335"/>
      <c r="CX341" s="335"/>
      <c r="CY341" s="335"/>
      <c r="CZ341" s="335"/>
      <c r="DA341" s="335"/>
      <c r="DB341" s="335"/>
      <c r="DC341" s="335"/>
      <c r="DD341" s="335"/>
      <c r="DE341" s="335"/>
      <c r="DF341" s="335"/>
      <c r="DG341" s="335"/>
      <c r="DH341" s="335"/>
      <c r="DI341" s="335"/>
      <c r="DJ341" s="335"/>
      <c r="DK341" s="335"/>
      <c r="DL341" s="335"/>
      <c r="DM341" s="335"/>
      <c r="DN341" s="335"/>
      <c r="DO341" s="335"/>
      <c r="DP341" s="335"/>
      <c r="DQ341" s="335"/>
      <c r="DR341" s="335"/>
      <c r="DS341" s="335"/>
      <c r="DT341" s="335"/>
      <c r="DU341" s="335"/>
      <c r="DV341" s="335"/>
      <c r="DW341" s="335"/>
      <c r="DX341" s="335"/>
      <c r="DY341" s="335"/>
      <c r="DZ341" s="335"/>
      <c r="EA341" s="335"/>
      <c r="EB341" s="335"/>
      <c r="EC341" s="335"/>
      <c r="ED341" s="335"/>
      <c r="EE341" s="335"/>
      <c r="EF341" s="335"/>
      <c r="EG341" s="335"/>
      <c r="EH341" s="335"/>
      <c r="EI341" s="335"/>
      <c r="EJ341" s="335"/>
      <c r="EK341" s="335"/>
      <c r="EL341" s="335"/>
      <c r="EM341" s="335"/>
      <c r="EN341" s="335"/>
      <c r="EO341" s="335"/>
      <c r="EP341" s="335"/>
      <c r="EQ341" s="335"/>
      <c r="ER341" s="335"/>
      <c r="ES341" s="335"/>
      <c r="ET341" s="335"/>
      <c r="EU341" s="335"/>
      <c r="EV341" s="335"/>
      <c r="EW341" s="335"/>
      <c r="EX341" s="335"/>
      <c r="EY341" s="335"/>
      <c r="EZ341" s="335"/>
      <c r="FA341" s="335"/>
      <c r="FB341" s="335"/>
      <c r="FC341" s="335"/>
      <c r="FD341" s="335"/>
      <c r="FE341" s="335"/>
      <c r="FF341" s="335"/>
      <c r="FG341" s="335"/>
      <c r="FH341" s="335"/>
      <c r="FI341" s="335"/>
      <c r="FJ341" s="335"/>
      <c r="FK341" s="335"/>
      <c r="FL341" s="335"/>
      <c r="FM341" s="335"/>
      <c r="FN341" s="335"/>
      <c r="FO341" s="335"/>
      <c r="FP341" s="335"/>
      <c r="FQ341" s="335"/>
      <c r="FR341" s="335"/>
      <c r="FS341" s="335"/>
      <c r="FT341" s="335"/>
      <c r="FU341" s="335"/>
      <c r="FV341" s="335"/>
      <c r="FW341" s="335"/>
      <c r="FX341" s="335"/>
      <c r="FY341" s="335"/>
      <c r="FZ341" s="335"/>
      <c r="GA341" s="335"/>
      <c r="GB341" s="335"/>
      <c r="GC341" s="335"/>
      <c r="GD341" s="335"/>
      <c r="GE341" s="335"/>
      <c r="GF341" s="335"/>
      <c r="GG341" s="335"/>
      <c r="GH341" s="335"/>
      <c r="GI341" s="335"/>
      <c r="GJ341" s="335"/>
      <c r="GK341" s="335"/>
      <c r="GL341" s="335"/>
      <c r="GM341" s="335"/>
      <c r="GN341" s="335"/>
      <c r="GO341" s="335"/>
      <c r="GP341" s="335"/>
      <c r="GQ341" s="335"/>
      <c r="GR341" s="335"/>
      <c r="GS341" s="335"/>
      <c r="GT341" s="335"/>
      <c r="GU341" s="335"/>
      <c r="GV341" s="335"/>
      <c r="GW341" s="335"/>
      <c r="GX341" s="335"/>
      <c r="GY341" s="335"/>
      <c r="GZ341" s="335"/>
    </row>
    <row r="342" spans="1:208" ht="15">
      <c r="A342" s="379"/>
      <c r="B342" s="335"/>
      <c r="C342" s="335"/>
      <c r="D342" s="335"/>
      <c r="E342" s="335"/>
      <c r="F342" s="335"/>
      <c r="G342" s="335"/>
      <c r="H342" s="335"/>
      <c r="I342" s="335"/>
      <c r="J342" s="335"/>
      <c r="K342" s="335"/>
      <c r="L342" s="335"/>
      <c r="M342" s="376"/>
      <c r="N342" s="335"/>
      <c r="O342" s="380"/>
      <c r="P342" s="335"/>
      <c r="Q342" s="335"/>
      <c r="R342" s="335"/>
      <c r="S342" s="335"/>
      <c r="T342" s="335"/>
      <c r="U342" s="335"/>
      <c r="V342" s="335"/>
      <c r="W342" s="335"/>
      <c r="X342" s="335"/>
      <c r="Y342" s="335"/>
      <c r="Z342" s="335"/>
      <c r="AA342" s="335"/>
      <c r="AB342" s="335"/>
      <c r="AC342" s="335"/>
      <c r="AD342" s="335"/>
      <c r="AE342" s="335"/>
      <c r="AF342" s="335"/>
      <c r="AG342" s="335"/>
      <c r="AH342" s="335"/>
      <c r="AI342" s="335"/>
      <c r="AJ342" s="335"/>
      <c r="AK342" s="335"/>
      <c r="AL342" s="335"/>
      <c r="AM342" s="335"/>
      <c r="AN342" s="335"/>
      <c r="AO342" s="335"/>
      <c r="AP342" s="335"/>
      <c r="AQ342" s="335"/>
      <c r="AR342" s="335"/>
      <c r="AS342" s="335"/>
      <c r="AT342" s="335"/>
      <c r="AU342" s="335"/>
      <c r="AV342" s="335"/>
      <c r="AW342" s="335"/>
      <c r="AX342" s="335"/>
      <c r="AY342" s="335"/>
      <c r="AZ342" s="335"/>
      <c r="BA342" s="335"/>
      <c r="BB342" s="335"/>
      <c r="BC342" s="335"/>
      <c r="BD342" s="335"/>
      <c r="BE342" s="335"/>
      <c r="BF342" s="335"/>
      <c r="BG342" s="335"/>
      <c r="BH342" s="335"/>
      <c r="BI342" s="335"/>
      <c r="BJ342" s="335"/>
      <c r="BK342" s="335"/>
      <c r="BL342" s="335"/>
      <c r="BM342" s="335"/>
      <c r="BN342" s="335"/>
      <c r="BO342" s="335"/>
      <c r="BP342" s="335"/>
      <c r="BQ342" s="335"/>
      <c r="BR342" s="335"/>
      <c r="BS342" s="335"/>
      <c r="BT342" s="335"/>
      <c r="BU342" s="335"/>
      <c r="BV342" s="335"/>
      <c r="BW342" s="335"/>
      <c r="BX342" s="335"/>
      <c r="BY342" s="335"/>
      <c r="BZ342" s="335"/>
      <c r="CA342" s="335"/>
      <c r="CB342" s="335"/>
      <c r="CC342" s="335"/>
      <c r="CD342" s="335"/>
      <c r="CE342" s="335"/>
      <c r="CF342" s="335"/>
      <c r="CG342" s="335"/>
      <c r="CH342" s="335"/>
      <c r="CI342" s="335"/>
      <c r="CJ342" s="335"/>
      <c r="CK342" s="335"/>
      <c r="CL342" s="335"/>
      <c r="CM342" s="335"/>
      <c r="CN342" s="335"/>
      <c r="CO342" s="335"/>
      <c r="CP342" s="335"/>
      <c r="CQ342" s="335"/>
      <c r="CR342" s="335"/>
      <c r="CS342" s="335"/>
      <c r="CT342" s="335"/>
      <c r="CU342" s="335"/>
      <c r="CV342" s="335"/>
      <c r="CW342" s="335"/>
      <c r="CX342" s="335"/>
      <c r="CY342" s="335"/>
      <c r="CZ342" s="335"/>
      <c r="DA342" s="335"/>
      <c r="DB342" s="335"/>
      <c r="DC342" s="335"/>
      <c r="DD342" s="335"/>
      <c r="DE342" s="335"/>
      <c r="DF342" s="335"/>
      <c r="DG342" s="335"/>
      <c r="DH342" s="335"/>
      <c r="DI342" s="335"/>
      <c r="DJ342" s="335"/>
      <c r="DK342" s="335"/>
      <c r="DL342" s="335"/>
      <c r="DM342" s="335"/>
      <c r="DN342" s="335"/>
      <c r="DO342" s="335"/>
      <c r="DP342" s="335"/>
      <c r="DQ342" s="335"/>
      <c r="DR342" s="335"/>
      <c r="DS342" s="335"/>
      <c r="DT342" s="335"/>
      <c r="DU342" s="335"/>
      <c r="DV342" s="335"/>
      <c r="DW342" s="335"/>
      <c r="DX342" s="335"/>
      <c r="DY342" s="335"/>
      <c r="DZ342" s="335"/>
      <c r="EA342" s="335"/>
      <c r="EB342" s="335"/>
      <c r="EC342" s="335"/>
      <c r="ED342" s="335"/>
      <c r="EE342" s="335"/>
      <c r="EF342" s="335"/>
      <c r="EG342" s="335"/>
      <c r="EH342" s="335"/>
      <c r="EI342" s="335"/>
      <c r="EJ342" s="335"/>
      <c r="EK342" s="335"/>
      <c r="EL342" s="335"/>
      <c r="EM342" s="335"/>
      <c r="EN342" s="335"/>
      <c r="EO342" s="335"/>
      <c r="EP342" s="335"/>
      <c r="EQ342" s="335"/>
      <c r="ER342" s="335"/>
      <c r="ES342" s="335"/>
      <c r="ET342" s="335"/>
      <c r="EU342" s="335"/>
      <c r="EV342" s="335"/>
      <c r="EW342" s="335"/>
      <c r="EX342" s="335"/>
      <c r="EY342" s="335"/>
      <c r="EZ342" s="335"/>
      <c r="FA342" s="335"/>
      <c r="FB342" s="335"/>
      <c r="FC342" s="335"/>
      <c r="FD342" s="335"/>
      <c r="FE342" s="335"/>
      <c r="FF342" s="335"/>
      <c r="FG342" s="335"/>
      <c r="FH342" s="335"/>
      <c r="FI342" s="335"/>
      <c r="FJ342" s="335"/>
      <c r="FK342" s="335"/>
      <c r="FL342" s="335"/>
      <c r="FM342" s="335"/>
      <c r="FN342" s="335"/>
      <c r="FO342" s="335"/>
      <c r="FP342" s="335"/>
      <c r="FQ342" s="335"/>
      <c r="FR342" s="335"/>
      <c r="FS342" s="335"/>
      <c r="FT342" s="335"/>
      <c r="FU342" s="335"/>
      <c r="FV342" s="335"/>
      <c r="FW342" s="335"/>
      <c r="FX342" s="335"/>
      <c r="FY342" s="335"/>
      <c r="FZ342" s="335"/>
      <c r="GA342" s="335"/>
      <c r="GB342" s="335"/>
      <c r="GC342" s="335"/>
      <c r="GD342" s="335"/>
      <c r="GE342" s="335"/>
      <c r="GF342" s="335"/>
      <c r="GG342" s="335"/>
      <c r="GH342" s="335"/>
      <c r="GI342" s="335"/>
      <c r="GJ342" s="335"/>
      <c r="GK342" s="335"/>
      <c r="GL342" s="335"/>
      <c r="GM342" s="335"/>
      <c r="GN342" s="335"/>
      <c r="GO342" s="335"/>
      <c r="GP342" s="335"/>
      <c r="GQ342" s="335"/>
      <c r="GR342" s="335"/>
      <c r="GS342" s="335"/>
      <c r="GT342" s="335"/>
      <c r="GU342" s="335"/>
      <c r="GV342" s="335"/>
      <c r="GW342" s="335"/>
      <c r="GX342" s="335"/>
      <c r="GY342" s="335"/>
      <c r="GZ342" s="335"/>
    </row>
    <row r="343" spans="1:208" ht="15">
      <c r="A343" s="379"/>
      <c r="B343" s="335"/>
      <c r="C343" s="335"/>
      <c r="D343" s="335"/>
      <c r="E343" s="335"/>
      <c r="F343" s="335"/>
      <c r="G343" s="335"/>
      <c r="H343" s="335"/>
      <c r="I343" s="335"/>
      <c r="J343" s="335"/>
      <c r="K343" s="335"/>
      <c r="L343" s="335"/>
      <c r="M343" s="376"/>
      <c r="N343" s="335"/>
      <c r="O343" s="380"/>
      <c r="P343" s="335"/>
      <c r="Q343" s="335"/>
      <c r="R343" s="335"/>
      <c r="S343" s="335"/>
      <c r="T343" s="335"/>
      <c r="U343" s="335"/>
      <c r="V343" s="335"/>
      <c r="W343" s="335"/>
      <c r="X343" s="335"/>
      <c r="Y343" s="335"/>
      <c r="Z343" s="335"/>
      <c r="AA343" s="335"/>
      <c r="AB343" s="335"/>
      <c r="AC343" s="335"/>
      <c r="AD343" s="335"/>
      <c r="AE343" s="335"/>
      <c r="AF343" s="335"/>
      <c r="AG343" s="335"/>
      <c r="AH343" s="335"/>
      <c r="AI343" s="335"/>
      <c r="AJ343" s="335"/>
      <c r="AK343" s="335"/>
      <c r="AL343" s="335"/>
      <c r="AM343" s="335"/>
      <c r="AN343" s="335"/>
      <c r="AO343" s="335"/>
      <c r="AP343" s="335"/>
      <c r="AQ343" s="335"/>
      <c r="AR343" s="335"/>
      <c r="AS343" s="335"/>
      <c r="AT343" s="335"/>
      <c r="AU343" s="335"/>
      <c r="AV343" s="335"/>
      <c r="AW343" s="335"/>
      <c r="AX343" s="335"/>
      <c r="AY343" s="335"/>
      <c r="AZ343" s="335"/>
      <c r="BA343" s="335"/>
      <c r="BB343" s="335"/>
      <c r="BC343" s="335"/>
      <c r="BD343" s="335"/>
      <c r="BE343" s="335"/>
      <c r="BF343" s="335"/>
      <c r="BG343" s="335"/>
      <c r="BH343" s="335"/>
      <c r="BI343" s="335"/>
      <c r="BJ343" s="335"/>
      <c r="BK343" s="335"/>
      <c r="BL343" s="335"/>
      <c r="BM343" s="335"/>
      <c r="BN343" s="335"/>
      <c r="BO343" s="335"/>
      <c r="BP343" s="335"/>
      <c r="BQ343" s="335"/>
      <c r="BR343" s="335"/>
      <c r="BS343" s="335"/>
      <c r="BT343" s="335"/>
      <c r="BU343" s="335"/>
      <c r="BV343" s="335"/>
      <c r="BW343" s="335"/>
      <c r="BX343" s="335"/>
      <c r="BY343" s="335"/>
      <c r="BZ343" s="335"/>
      <c r="CA343" s="335"/>
      <c r="CB343" s="335"/>
      <c r="CC343" s="335"/>
      <c r="CD343" s="335"/>
      <c r="CE343" s="335"/>
      <c r="CF343" s="335"/>
      <c r="CG343" s="335"/>
      <c r="CH343" s="335"/>
      <c r="CI343" s="335"/>
      <c r="CJ343" s="335"/>
      <c r="CK343" s="335"/>
      <c r="CL343" s="335"/>
      <c r="CM343" s="335"/>
      <c r="CN343" s="335"/>
      <c r="CO343" s="335"/>
      <c r="CP343" s="335"/>
      <c r="CQ343" s="335"/>
      <c r="CR343" s="335"/>
      <c r="CS343" s="335"/>
      <c r="CT343" s="335"/>
      <c r="CU343" s="335"/>
      <c r="CV343" s="335"/>
      <c r="CW343" s="335"/>
      <c r="CX343" s="335"/>
      <c r="CY343" s="335"/>
      <c r="CZ343" s="335"/>
      <c r="DA343" s="335"/>
      <c r="DB343" s="335"/>
      <c r="DC343" s="335"/>
      <c r="DD343" s="335"/>
      <c r="DE343" s="335"/>
      <c r="DF343" s="335"/>
      <c r="DG343" s="335"/>
      <c r="DH343" s="335"/>
      <c r="DI343" s="335"/>
      <c r="DJ343" s="335"/>
      <c r="DK343" s="335"/>
      <c r="DL343" s="335"/>
      <c r="DM343" s="335"/>
      <c r="DN343" s="335"/>
      <c r="DO343" s="335"/>
      <c r="DP343" s="335"/>
      <c r="DQ343" s="335"/>
      <c r="DR343" s="335"/>
      <c r="DS343" s="335"/>
      <c r="DT343" s="335"/>
      <c r="DU343" s="335"/>
      <c r="DV343" s="335"/>
      <c r="DW343" s="335"/>
      <c r="DX343" s="335"/>
      <c r="DY343" s="335"/>
      <c r="DZ343" s="335"/>
      <c r="EA343" s="335"/>
      <c r="EB343" s="335"/>
      <c r="EC343" s="335"/>
      <c r="ED343" s="335"/>
      <c r="EE343" s="335"/>
      <c r="EF343" s="335"/>
      <c r="EG343" s="335"/>
      <c r="EH343" s="335"/>
      <c r="EI343" s="335"/>
      <c r="EJ343" s="335"/>
      <c r="EK343" s="335"/>
      <c r="EL343" s="335"/>
      <c r="EM343" s="335"/>
      <c r="EN343" s="335"/>
      <c r="EO343" s="335"/>
      <c r="EP343" s="335"/>
      <c r="EQ343" s="335"/>
      <c r="ER343" s="335"/>
      <c r="ES343" s="335"/>
      <c r="ET343" s="335"/>
      <c r="EU343" s="335"/>
      <c r="EV343" s="335"/>
      <c r="EW343" s="335"/>
      <c r="EX343" s="335"/>
      <c r="EY343" s="335"/>
      <c r="EZ343" s="335"/>
      <c r="FA343" s="335"/>
      <c r="FB343" s="335"/>
      <c r="FC343" s="335"/>
      <c r="FD343" s="335"/>
      <c r="FE343" s="335"/>
      <c r="FF343" s="335"/>
      <c r="FG343" s="335"/>
      <c r="FH343" s="335"/>
      <c r="FI343" s="335"/>
      <c r="FJ343" s="335"/>
      <c r="FK343" s="335"/>
      <c r="FL343" s="335"/>
      <c r="FM343" s="335"/>
      <c r="FN343" s="335"/>
      <c r="FO343" s="335"/>
      <c r="FP343" s="335"/>
      <c r="FQ343" s="335"/>
      <c r="FR343" s="335"/>
      <c r="FS343" s="335"/>
      <c r="FT343" s="335"/>
      <c r="FU343" s="335"/>
      <c r="FV343" s="335"/>
      <c r="FW343" s="335"/>
      <c r="FX343" s="335"/>
      <c r="FY343" s="335"/>
      <c r="FZ343" s="335"/>
      <c r="GA343" s="335"/>
      <c r="GB343" s="335"/>
      <c r="GC343" s="335"/>
      <c r="GD343" s="335"/>
      <c r="GE343" s="335"/>
      <c r="GF343" s="335"/>
      <c r="GG343" s="335"/>
      <c r="GH343" s="335"/>
      <c r="GI343" s="335"/>
      <c r="GJ343" s="335"/>
      <c r="GK343" s="335"/>
      <c r="GL343" s="335"/>
      <c r="GM343" s="335"/>
      <c r="GN343" s="335"/>
      <c r="GO343" s="335"/>
      <c r="GP343" s="335"/>
      <c r="GQ343" s="335"/>
      <c r="GR343" s="335"/>
      <c r="GS343" s="335"/>
      <c r="GT343" s="335"/>
      <c r="GU343" s="335"/>
      <c r="GV343" s="335"/>
      <c r="GW343" s="335"/>
      <c r="GX343" s="335"/>
      <c r="GY343" s="335"/>
      <c r="GZ343" s="335"/>
    </row>
    <row r="344" spans="1:208" ht="15">
      <c r="A344" s="379"/>
      <c r="B344" s="335"/>
      <c r="C344" s="335"/>
      <c r="D344" s="335"/>
      <c r="E344" s="335"/>
      <c r="F344" s="335"/>
      <c r="G344" s="335"/>
      <c r="H344" s="335"/>
      <c r="I344" s="335"/>
      <c r="J344" s="335"/>
      <c r="K344" s="335"/>
      <c r="L344" s="335"/>
      <c r="M344" s="376"/>
      <c r="N344" s="335"/>
      <c r="O344" s="380"/>
      <c r="P344" s="335"/>
      <c r="Q344" s="335"/>
      <c r="R344" s="335"/>
      <c r="S344" s="335"/>
      <c r="T344" s="335"/>
      <c r="U344" s="335"/>
      <c r="V344" s="335"/>
      <c r="W344" s="335"/>
      <c r="X344" s="335"/>
      <c r="Y344" s="335"/>
      <c r="Z344" s="335"/>
      <c r="AA344" s="335"/>
      <c r="AB344" s="335"/>
      <c r="AC344" s="335"/>
      <c r="AD344" s="335"/>
      <c r="AE344" s="335"/>
      <c r="AF344" s="335"/>
      <c r="AG344" s="335"/>
      <c r="AH344" s="335"/>
      <c r="AI344" s="335"/>
      <c r="AJ344" s="335"/>
      <c r="AK344" s="335"/>
      <c r="AL344" s="335"/>
      <c r="AM344" s="335"/>
      <c r="AN344" s="335"/>
      <c r="AO344" s="335"/>
      <c r="AP344" s="335"/>
      <c r="AQ344" s="335"/>
      <c r="AR344" s="335"/>
      <c r="AS344" s="335"/>
      <c r="AT344" s="335"/>
      <c r="AU344" s="335"/>
      <c r="AV344" s="335"/>
      <c r="AW344" s="335"/>
      <c r="AX344" s="335"/>
      <c r="AY344" s="335"/>
      <c r="AZ344" s="335"/>
      <c r="BA344" s="335"/>
      <c r="BB344" s="335"/>
      <c r="BC344" s="335"/>
      <c r="BD344" s="335"/>
      <c r="BE344" s="335"/>
      <c r="BF344" s="335"/>
      <c r="BG344" s="335"/>
      <c r="BH344" s="335"/>
      <c r="BI344" s="335"/>
      <c r="BJ344" s="335"/>
      <c r="BK344" s="335"/>
      <c r="BL344" s="335"/>
      <c r="BM344" s="335"/>
      <c r="BN344" s="335"/>
      <c r="BO344" s="335"/>
      <c r="BP344" s="335"/>
      <c r="BQ344" s="335"/>
      <c r="BR344" s="335"/>
      <c r="BS344" s="335"/>
      <c r="BT344" s="335"/>
      <c r="BU344" s="335"/>
      <c r="BV344" s="335"/>
      <c r="BW344" s="335"/>
      <c r="BX344" s="335"/>
      <c r="BY344" s="335"/>
      <c r="BZ344" s="335"/>
      <c r="CA344" s="335"/>
      <c r="CB344" s="335"/>
      <c r="CC344" s="335"/>
      <c r="CD344" s="335"/>
      <c r="CE344" s="335"/>
      <c r="CF344" s="335"/>
      <c r="CG344" s="335"/>
      <c r="CH344" s="335"/>
      <c r="CI344" s="335"/>
      <c r="CJ344" s="335"/>
      <c r="CK344" s="335"/>
      <c r="CL344" s="335"/>
      <c r="CM344" s="335"/>
      <c r="CN344" s="335"/>
      <c r="CO344" s="335"/>
      <c r="CP344" s="335"/>
      <c r="CQ344" s="335"/>
      <c r="CR344" s="335"/>
      <c r="CS344" s="335"/>
      <c r="CT344" s="335"/>
      <c r="CU344" s="335"/>
      <c r="CV344" s="335"/>
      <c r="CW344" s="335"/>
      <c r="CX344" s="335"/>
      <c r="CY344" s="335"/>
      <c r="CZ344" s="335"/>
      <c r="DA344" s="335"/>
      <c r="DB344" s="335"/>
      <c r="DC344" s="335"/>
      <c r="DD344" s="335"/>
      <c r="DE344" s="335"/>
      <c r="DF344" s="335"/>
      <c r="DG344" s="335"/>
      <c r="DH344" s="335"/>
      <c r="DI344" s="335"/>
      <c r="DJ344" s="335"/>
      <c r="DK344" s="335"/>
      <c r="DL344" s="335"/>
      <c r="DM344" s="335"/>
      <c r="DN344" s="335"/>
      <c r="DO344" s="335"/>
      <c r="DP344" s="335"/>
      <c r="DQ344" s="335"/>
      <c r="DR344" s="335"/>
      <c r="DS344" s="335"/>
      <c r="DT344" s="335"/>
      <c r="DU344" s="335"/>
      <c r="DV344" s="335"/>
      <c r="DW344" s="335"/>
      <c r="DX344" s="335"/>
      <c r="DY344" s="335"/>
      <c r="DZ344" s="335"/>
      <c r="EA344" s="335"/>
      <c r="EB344" s="335"/>
      <c r="EC344" s="335"/>
      <c r="ED344" s="335"/>
      <c r="EE344" s="335"/>
      <c r="EF344" s="335"/>
      <c r="EG344" s="335"/>
      <c r="EH344" s="335"/>
      <c r="EI344" s="335"/>
      <c r="EJ344" s="335"/>
      <c r="EK344" s="335"/>
      <c r="EL344" s="335"/>
      <c r="EM344" s="335"/>
      <c r="EN344" s="335"/>
      <c r="EO344" s="335"/>
      <c r="EP344" s="335"/>
      <c r="EQ344" s="335"/>
      <c r="ER344" s="335"/>
      <c r="ES344" s="335"/>
      <c r="ET344" s="335"/>
      <c r="EU344" s="335"/>
      <c r="EV344" s="335"/>
      <c r="EW344" s="335"/>
      <c r="EX344" s="335"/>
      <c r="EY344" s="335"/>
      <c r="EZ344" s="335"/>
      <c r="FA344" s="335"/>
      <c r="FB344" s="335"/>
      <c r="FC344" s="335"/>
      <c r="FD344" s="335"/>
      <c r="FE344" s="335"/>
      <c r="FF344" s="335"/>
      <c r="FG344" s="335"/>
      <c r="FH344" s="335"/>
      <c r="FI344" s="335"/>
      <c r="FJ344" s="335"/>
      <c r="FK344" s="335"/>
      <c r="FL344" s="335"/>
      <c r="FM344" s="335"/>
      <c r="FN344" s="335"/>
      <c r="FO344" s="335"/>
      <c r="FP344" s="335"/>
      <c r="FQ344" s="335"/>
      <c r="FR344" s="335"/>
      <c r="FS344" s="335"/>
      <c r="FT344" s="335"/>
      <c r="FU344" s="335"/>
      <c r="FV344" s="335"/>
      <c r="FW344" s="335"/>
      <c r="FX344" s="335"/>
      <c r="FY344" s="335"/>
      <c r="FZ344" s="335"/>
      <c r="GA344" s="335"/>
      <c r="GB344" s="335"/>
      <c r="GC344" s="335"/>
      <c r="GD344" s="335"/>
      <c r="GE344" s="335"/>
      <c r="GF344" s="335"/>
      <c r="GG344" s="335"/>
      <c r="GH344" s="335"/>
      <c r="GI344" s="335"/>
      <c r="GJ344" s="335"/>
      <c r="GK344" s="335"/>
      <c r="GL344" s="335"/>
      <c r="GM344" s="335"/>
      <c r="GN344" s="335"/>
      <c r="GO344" s="335"/>
      <c r="GP344" s="335"/>
      <c r="GQ344" s="335"/>
      <c r="GR344" s="335"/>
      <c r="GS344" s="335"/>
      <c r="GT344" s="335"/>
      <c r="GU344" s="335"/>
      <c r="GV344" s="335"/>
      <c r="GW344" s="335"/>
      <c r="GX344" s="335"/>
      <c r="GY344" s="335"/>
      <c r="GZ344" s="335"/>
    </row>
    <row r="345" spans="1:208" ht="15">
      <c r="A345" s="379"/>
      <c r="B345" s="335"/>
      <c r="C345" s="335"/>
      <c r="D345" s="335"/>
      <c r="E345" s="335"/>
      <c r="F345" s="335"/>
      <c r="G345" s="335"/>
      <c r="H345" s="335"/>
      <c r="I345" s="335"/>
      <c r="J345" s="335"/>
      <c r="K345" s="335"/>
      <c r="L345" s="335"/>
      <c r="M345" s="376"/>
      <c r="N345" s="335"/>
      <c r="O345" s="380"/>
      <c r="P345" s="335"/>
      <c r="Q345" s="335"/>
      <c r="R345" s="335"/>
      <c r="S345" s="335"/>
      <c r="T345" s="335"/>
      <c r="U345" s="335"/>
      <c r="V345" s="335"/>
      <c r="W345" s="335"/>
      <c r="X345" s="335"/>
      <c r="Y345" s="335"/>
      <c r="Z345" s="335"/>
      <c r="AA345" s="335"/>
      <c r="AB345" s="335"/>
      <c r="AC345" s="335"/>
      <c r="AD345" s="335"/>
      <c r="AE345" s="335"/>
      <c r="AF345" s="335"/>
      <c r="AG345" s="335"/>
      <c r="AH345" s="335"/>
      <c r="AI345" s="335"/>
      <c r="AJ345" s="335"/>
      <c r="AK345" s="335"/>
      <c r="AL345" s="335"/>
      <c r="AM345" s="335"/>
      <c r="AN345" s="335"/>
      <c r="AO345" s="335"/>
      <c r="AP345" s="335"/>
      <c r="AQ345" s="335"/>
      <c r="AR345" s="335"/>
      <c r="AS345" s="335"/>
      <c r="AT345" s="335"/>
      <c r="AU345" s="335"/>
      <c r="AV345" s="335"/>
      <c r="AW345" s="335"/>
      <c r="AX345" s="335"/>
      <c r="AY345" s="335"/>
      <c r="AZ345" s="335"/>
      <c r="BA345" s="335"/>
      <c r="BB345" s="335"/>
      <c r="BC345" s="335"/>
      <c r="BD345" s="335"/>
      <c r="BE345" s="335"/>
      <c r="BF345" s="335"/>
      <c r="BG345" s="335"/>
      <c r="BH345" s="335"/>
      <c r="BI345" s="335"/>
      <c r="BJ345" s="335"/>
      <c r="BK345" s="335"/>
      <c r="BL345" s="335"/>
      <c r="BM345" s="335"/>
      <c r="BN345" s="335"/>
      <c r="BO345" s="335"/>
      <c r="BP345" s="335"/>
      <c r="BQ345" s="335"/>
      <c r="BR345" s="335"/>
      <c r="BS345" s="335"/>
      <c r="BT345" s="335"/>
      <c r="BU345" s="335"/>
      <c r="BV345" s="335"/>
      <c r="BW345" s="335"/>
      <c r="BX345" s="335"/>
      <c r="BY345" s="335"/>
      <c r="BZ345" s="335"/>
      <c r="CA345" s="335"/>
      <c r="CB345" s="335"/>
      <c r="CC345" s="335"/>
      <c r="CD345" s="335"/>
      <c r="CE345" s="335"/>
      <c r="CF345" s="335"/>
      <c r="CG345" s="335"/>
      <c r="CH345" s="335"/>
      <c r="CI345" s="335"/>
      <c r="CJ345" s="335"/>
      <c r="CK345" s="335"/>
      <c r="CL345" s="335"/>
      <c r="CM345" s="335"/>
      <c r="CN345" s="335"/>
      <c r="CO345" s="335"/>
      <c r="CP345" s="335"/>
      <c r="CQ345" s="335"/>
      <c r="CR345" s="335"/>
      <c r="CS345" s="335"/>
      <c r="CT345" s="335"/>
      <c r="CU345" s="335"/>
      <c r="CV345" s="335"/>
      <c r="CW345" s="335"/>
      <c r="CX345" s="335"/>
      <c r="CY345" s="335"/>
      <c r="CZ345" s="335"/>
      <c r="DA345" s="335"/>
      <c r="DB345" s="335"/>
      <c r="DC345" s="335"/>
      <c r="DD345" s="335"/>
      <c r="DE345" s="335"/>
      <c r="DF345" s="335"/>
      <c r="DG345" s="335"/>
      <c r="DH345" s="335"/>
      <c r="DI345" s="335"/>
      <c r="DJ345" s="335"/>
      <c r="DK345" s="335"/>
      <c r="DL345" s="335"/>
      <c r="DM345" s="335"/>
      <c r="DN345" s="335"/>
      <c r="DO345" s="335"/>
      <c r="DP345" s="335"/>
      <c r="DQ345" s="335"/>
      <c r="DR345" s="335"/>
      <c r="DS345" s="335"/>
      <c r="DT345" s="335"/>
      <c r="DU345" s="335"/>
      <c r="DV345" s="335"/>
      <c r="DW345" s="335"/>
      <c r="DX345" s="335"/>
      <c r="DY345" s="335"/>
      <c r="DZ345" s="335"/>
      <c r="EA345" s="335"/>
      <c r="EB345" s="335"/>
      <c r="EC345" s="335"/>
      <c r="ED345" s="335"/>
      <c r="EE345" s="335"/>
      <c r="EF345" s="335"/>
      <c r="EG345" s="335"/>
      <c r="EH345" s="335"/>
      <c r="EI345" s="335"/>
      <c r="EJ345" s="335"/>
      <c r="EK345" s="335"/>
      <c r="EL345" s="335"/>
      <c r="EM345" s="335"/>
      <c r="EN345" s="335"/>
      <c r="EO345" s="335"/>
      <c r="EP345" s="335"/>
      <c r="EQ345" s="335"/>
      <c r="ER345" s="335"/>
      <c r="ES345" s="335"/>
      <c r="ET345" s="335"/>
      <c r="EU345" s="335"/>
      <c r="EV345" s="335"/>
      <c r="EW345" s="335"/>
      <c r="EX345" s="335"/>
      <c r="EY345" s="335"/>
      <c r="EZ345" s="335"/>
      <c r="FA345" s="335"/>
      <c r="FB345" s="335"/>
      <c r="FC345" s="335"/>
      <c r="FD345" s="335"/>
      <c r="FE345" s="335"/>
      <c r="FF345" s="335"/>
      <c r="FG345" s="335"/>
      <c r="FH345" s="335"/>
      <c r="FI345" s="335"/>
      <c r="FJ345" s="335"/>
      <c r="FK345" s="335"/>
      <c r="FL345" s="335"/>
      <c r="FM345" s="335"/>
      <c r="FN345" s="335"/>
      <c r="FO345" s="335"/>
      <c r="FP345" s="335"/>
      <c r="FQ345" s="335"/>
      <c r="FR345" s="335"/>
      <c r="FS345" s="335"/>
      <c r="FT345" s="335"/>
      <c r="FU345" s="335"/>
      <c r="FV345" s="335"/>
      <c r="FW345" s="335"/>
      <c r="FX345" s="335"/>
      <c r="FY345" s="335"/>
      <c r="FZ345" s="335"/>
      <c r="GA345" s="335"/>
      <c r="GB345" s="335"/>
      <c r="GC345" s="335"/>
      <c r="GD345" s="335"/>
      <c r="GE345" s="335"/>
      <c r="GF345" s="335"/>
      <c r="GG345" s="335"/>
      <c r="GH345" s="335"/>
      <c r="GI345" s="335"/>
      <c r="GJ345" s="335"/>
      <c r="GK345" s="335"/>
      <c r="GL345" s="335"/>
      <c r="GM345" s="335"/>
      <c r="GN345" s="335"/>
      <c r="GO345" s="335"/>
      <c r="GP345" s="335"/>
      <c r="GQ345" s="335"/>
      <c r="GR345" s="335"/>
      <c r="GS345" s="335"/>
      <c r="GT345" s="335"/>
      <c r="GU345" s="335"/>
      <c r="GV345" s="335"/>
      <c r="GW345" s="335"/>
      <c r="GX345" s="335"/>
      <c r="GY345" s="335"/>
      <c r="GZ345" s="335"/>
    </row>
    <row r="346" spans="1:208" ht="15">
      <c r="A346" s="379"/>
      <c r="B346" s="335"/>
      <c r="C346" s="335"/>
      <c r="D346" s="335"/>
      <c r="E346" s="335"/>
      <c r="F346" s="335"/>
      <c r="G346" s="335"/>
      <c r="H346" s="335"/>
      <c r="I346" s="335"/>
      <c r="J346" s="335"/>
      <c r="K346" s="335"/>
      <c r="L346" s="335"/>
      <c r="M346" s="376"/>
      <c r="N346" s="335"/>
      <c r="O346" s="380"/>
      <c r="P346" s="335"/>
      <c r="Q346" s="335"/>
      <c r="R346" s="335"/>
      <c r="S346" s="335"/>
      <c r="T346" s="335"/>
      <c r="U346" s="335"/>
      <c r="V346" s="335"/>
      <c r="W346" s="335"/>
      <c r="X346" s="335"/>
      <c r="Y346" s="335"/>
      <c r="Z346" s="335"/>
      <c r="AA346" s="335"/>
      <c r="AB346" s="335"/>
      <c r="AC346" s="335"/>
      <c r="AD346" s="335"/>
      <c r="AE346" s="335"/>
      <c r="AF346" s="335"/>
      <c r="AG346" s="335"/>
      <c r="AH346" s="335"/>
      <c r="AI346" s="335"/>
      <c r="AJ346" s="335"/>
      <c r="AK346" s="335"/>
      <c r="AL346" s="335"/>
      <c r="AM346" s="335"/>
      <c r="AN346" s="335"/>
      <c r="AO346" s="335"/>
      <c r="AP346" s="335"/>
      <c r="AQ346" s="335"/>
      <c r="AR346" s="335"/>
      <c r="AS346" s="335"/>
      <c r="AT346" s="335"/>
      <c r="AU346" s="335"/>
      <c r="AV346" s="335"/>
      <c r="AW346" s="335"/>
      <c r="AX346" s="335"/>
      <c r="AY346" s="335"/>
      <c r="AZ346" s="335"/>
      <c r="BA346" s="335"/>
      <c r="BB346" s="335"/>
      <c r="BC346" s="335"/>
      <c r="BD346" s="335"/>
      <c r="BE346" s="335"/>
      <c r="BF346" s="335"/>
      <c r="BG346" s="335"/>
      <c r="BH346" s="335"/>
      <c r="BI346" s="335"/>
      <c r="BJ346" s="335"/>
      <c r="BK346" s="335"/>
      <c r="BL346" s="335"/>
      <c r="BM346" s="335"/>
      <c r="BN346" s="335"/>
      <c r="BO346" s="335"/>
      <c r="BP346" s="335"/>
      <c r="BQ346" s="335"/>
      <c r="BR346" s="335"/>
      <c r="BS346" s="335"/>
      <c r="BT346" s="335"/>
      <c r="BU346" s="335"/>
      <c r="BV346" s="335"/>
      <c r="BW346" s="335"/>
      <c r="BX346" s="335"/>
      <c r="BY346" s="335"/>
      <c r="BZ346" s="335"/>
      <c r="CA346" s="335"/>
      <c r="CB346" s="335"/>
      <c r="CC346" s="335"/>
      <c r="CD346" s="335"/>
      <c r="CE346" s="335"/>
      <c r="CF346" s="335"/>
      <c r="CG346" s="335"/>
      <c r="CH346" s="335"/>
      <c r="CI346" s="335"/>
      <c r="CJ346" s="335"/>
      <c r="CK346" s="335"/>
      <c r="CL346" s="335"/>
      <c r="CM346" s="335"/>
      <c r="CN346" s="335"/>
      <c r="CO346" s="335"/>
      <c r="CP346" s="335"/>
      <c r="CQ346" s="335"/>
      <c r="CR346" s="335"/>
      <c r="CS346" s="335"/>
      <c r="CT346" s="335"/>
      <c r="CU346" s="335"/>
      <c r="CV346" s="335"/>
      <c r="CW346" s="335"/>
      <c r="CX346" s="335"/>
      <c r="CY346" s="335"/>
      <c r="CZ346" s="335"/>
      <c r="DA346" s="335"/>
      <c r="DB346" s="335"/>
      <c r="DC346" s="335"/>
      <c r="DD346" s="335"/>
      <c r="DE346" s="335"/>
      <c r="DF346" s="335"/>
      <c r="DG346" s="335"/>
      <c r="DH346" s="335"/>
      <c r="DI346" s="335"/>
      <c r="DJ346" s="335"/>
      <c r="DK346" s="335"/>
      <c r="DL346" s="335"/>
      <c r="DM346" s="335"/>
      <c r="DN346" s="335"/>
      <c r="DO346" s="335"/>
      <c r="DP346" s="335"/>
      <c r="DQ346" s="335"/>
      <c r="DR346" s="335"/>
      <c r="DS346" s="335"/>
      <c r="DT346" s="335"/>
      <c r="DU346" s="335"/>
      <c r="DV346" s="335"/>
      <c r="DW346" s="335"/>
      <c r="DX346" s="335"/>
      <c r="DY346" s="335"/>
      <c r="DZ346" s="335"/>
      <c r="EA346" s="335"/>
      <c r="EB346" s="335"/>
      <c r="EC346" s="335"/>
      <c r="ED346" s="335"/>
      <c r="EE346" s="335"/>
      <c r="EF346" s="335"/>
      <c r="EG346" s="335"/>
      <c r="EH346" s="335"/>
      <c r="EI346" s="335"/>
      <c r="EJ346" s="335"/>
      <c r="EK346" s="335"/>
      <c r="EL346" s="335"/>
      <c r="EM346" s="335"/>
      <c r="EN346" s="335"/>
      <c r="EO346" s="335"/>
      <c r="EP346" s="335"/>
      <c r="EQ346" s="335"/>
      <c r="ER346" s="335"/>
      <c r="ES346" s="335"/>
      <c r="ET346" s="335"/>
      <c r="EU346" s="335"/>
      <c r="EV346" s="335"/>
      <c r="EW346" s="335"/>
      <c r="EX346" s="335"/>
      <c r="EY346" s="335"/>
      <c r="EZ346" s="335"/>
      <c r="FA346" s="335"/>
      <c r="FB346" s="335"/>
      <c r="FC346" s="335"/>
      <c r="FD346" s="335"/>
      <c r="FE346" s="335"/>
      <c r="FF346" s="335"/>
      <c r="FG346" s="335"/>
      <c r="FH346" s="335"/>
      <c r="FI346" s="335"/>
      <c r="FJ346" s="335"/>
      <c r="FK346" s="335"/>
      <c r="FL346" s="335"/>
      <c r="FM346" s="335"/>
      <c r="FN346" s="335"/>
      <c r="FO346" s="335"/>
      <c r="FP346" s="335"/>
      <c r="FQ346" s="335"/>
      <c r="FR346" s="335"/>
      <c r="FS346" s="335"/>
      <c r="FT346" s="335"/>
      <c r="FU346" s="335"/>
      <c r="FV346" s="335"/>
      <c r="FW346" s="335"/>
      <c r="FX346" s="335"/>
      <c r="FY346" s="335"/>
      <c r="FZ346" s="335"/>
      <c r="GA346" s="335"/>
      <c r="GB346" s="335"/>
      <c r="GC346" s="335"/>
      <c r="GD346" s="335"/>
      <c r="GE346" s="335"/>
      <c r="GF346" s="335"/>
      <c r="GG346" s="335"/>
      <c r="GH346" s="335"/>
      <c r="GI346" s="335"/>
      <c r="GJ346" s="335"/>
      <c r="GK346" s="335"/>
      <c r="GL346" s="335"/>
      <c r="GM346" s="335"/>
      <c r="GN346" s="335"/>
      <c r="GO346" s="335"/>
      <c r="GP346" s="335"/>
      <c r="GQ346" s="335"/>
      <c r="GR346" s="335"/>
      <c r="GS346" s="335"/>
      <c r="GT346" s="335"/>
      <c r="GU346" s="335"/>
      <c r="GV346" s="335"/>
      <c r="GW346" s="335"/>
      <c r="GX346" s="335"/>
      <c r="GY346" s="335"/>
      <c r="GZ346" s="335"/>
    </row>
    <row r="347" spans="1:208" ht="15">
      <c r="A347" s="379"/>
      <c r="B347" s="335"/>
      <c r="C347" s="335"/>
      <c r="D347" s="335"/>
      <c r="E347" s="335"/>
      <c r="F347" s="335"/>
      <c r="G347" s="335"/>
      <c r="H347" s="335"/>
      <c r="I347" s="335"/>
      <c r="J347" s="335"/>
      <c r="K347" s="335"/>
      <c r="L347" s="335"/>
      <c r="M347" s="376"/>
      <c r="N347" s="335"/>
      <c r="O347" s="380"/>
      <c r="P347" s="335"/>
      <c r="Q347" s="335"/>
      <c r="R347" s="335"/>
      <c r="S347" s="335"/>
      <c r="T347" s="335"/>
      <c r="U347" s="335"/>
      <c r="V347" s="335"/>
      <c r="W347" s="335"/>
      <c r="X347" s="335"/>
      <c r="Y347" s="335"/>
      <c r="Z347" s="335"/>
      <c r="AA347" s="335"/>
      <c r="AB347" s="335"/>
      <c r="AC347" s="335"/>
      <c r="AD347" s="335"/>
      <c r="AE347" s="335"/>
      <c r="AF347" s="335"/>
      <c r="AG347" s="335"/>
      <c r="AH347" s="335"/>
      <c r="AI347" s="335"/>
      <c r="AJ347" s="335"/>
      <c r="AK347" s="335"/>
      <c r="AL347" s="335"/>
      <c r="AM347" s="335"/>
      <c r="AN347" s="335"/>
      <c r="AO347" s="335"/>
      <c r="AP347" s="335"/>
      <c r="AQ347" s="335"/>
      <c r="AR347" s="335"/>
      <c r="AS347" s="335"/>
      <c r="AT347" s="335"/>
      <c r="AU347" s="335"/>
      <c r="AV347" s="335"/>
      <c r="AW347" s="335"/>
      <c r="AX347" s="335"/>
      <c r="AY347" s="335"/>
      <c r="AZ347" s="335"/>
      <c r="BA347" s="335"/>
      <c r="BB347" s="335"/>
      <c r="BC347" s="335"/>
      <c r="BD347" s="335"/>
      <c r="BE347" s="335"/>
      <c r="BF347" s="335"/>
      <c r="BG347" s="335"/>
      <c r="BH347" s="335"/>
      <c r="BI347" s="335"/>
      <c r="BJ347" s="335"/>
      <c r="BK347" s="335"/>
      <c r="BL347" s="335"/>
      <c r="BM347" s="335"/>
      <c r="BN347" s="335"/>
      <c r="BO347" s="335"/>
      <c r="BP347" s="335"/>
      <c r="BQ347" s="335"/>
      <c r="BR347" s="335"/>
      <c r="BS347" s="335"/>
      <c r="BT347" s="335"/>
      <c r="BU347" s="335"/>
      <c r="BV347" s="335"/>
      <c r="BW347" s="335"/>
      <c r="BX347" s="335"/>
      <c r="BY347" s="335"/>
      <c r="BZ347" s="335"/>
      <c r="CA347" s="335"/>
      <c r="CB347" s="335"/>
      <c r="CC347" s="335"/>
      <c r="CD347" s="335"/>
      <c r="CE347" s="335"/>
      <c r="CF347" s="335"/>
      <c r="CG347" s="335"/>
      <c r="CH347" s="335"/>
      <c r="CI347" s="335"/>
      <c r="CJ347" s="335"/>
      <c r="CK347" s="335"/>
      <c r="CL347" s="335"/>
      <c r="CM347" s="335"/>
      <c r="CN347" s="335"/>
      <c r="CO347" s="335"/>
      <c r="CP347" s="335"/>
      <c r="CQ347" s="335"/>
      <c r="CR347" s="335"/>
      <c r="CS347" s="335"/>
      <c r="CT347" s="335"/>
      <c r="CU347" s="335"/>
      <c r="CV347" s="335"/>
      <c r="CW347" s="335"/>
      <c r="CX347" s="335"/>
      <c r="CY347" s="335"/>
      <c r="CZ347" s="335"/>
      <c r="DA347" s="335"/>
      <c r="DB347" s="335"/>
      <c r="DC347" s="335"/>
      <c r="DD347" s="335"/>
      <c r="DE347" s="335"/>
      <c r="DF347" s="335"/>
      <c r="DG347" s="335"/>
      <c r="DH347" s="335"/>
      <c r="DI347" s="335"/>
      <c r="DJ347" s="335"/>
      <c r="DK347" s="335"/>
      <c r="DL347" s="335"/>
      <c r="DM347" s="335"/>
      <c r="DN347" s="335"/>
      <c r="DO347" s="335"/>
      <c r="DP347" s="335"/>
      <c r="DQ347" s="335"/>
      <c r="DR347" s="335"/>
      <c r="DS347" s="335"/>
      <c r="DT347" s="335"/>
      <c r="DU347" s="335"/>
      <c r="DV347" s="335"/>
      <c r="DW347" s="335"/>
      <c r="DX347" s="335"/>
      <c r="DY347" s="335"/>
      <c r="DZ347" s="335"/>
      <c r="EA347" s="335"/>
      <c r="EB347" s="335"/>
      <c r="EC347" s="335"/>
      <c r="ED347" s="335"/>
      <c r="EE347" s="335"/>
      <c r="EF347" s="335"/>
      <c r="EG347" s="335"/>
      <c r="EH347" s="335"/>
      <c r="EI347" s="335"/>
      <c r="EJ347" s="335"/>
      <c r="EK347" s="335"/>
      <c r="EL347" s="335"/>
      <c r="EM347" s="335"/>
      <c r="EN347" s="335"/>
      <c r="EO347" s="335"/>
      <c r="EP347" s="335"/>
      <c r="EQ347" s="335"/>
      <c r="ER347" s="335"/>
      <c r="ES347" s="335"/>
      <c r="ET347" s="335"/>
      <c r="EU347" s="335"/>
      <c r="EV347" s="335"/>
      <c r="EW347" s="335"/>
      <c r="EX347" s="335"/>
      <c r="EY347" s="335"/>
      <c r="EZ347" s="335"/>
      <c r="FA347" s="335"/>
      <c r="FB347" s="335"/>
      <c r="FC347" s="335"/>
      <c r="FD347" s="335"/>
      <c r="FE347" s="335"/>
      <c r="FF347" s="335"/>
      <c r="FG347" s="335"/>
      <c r="FH347" s="335"/>
      <c r="FI347" s="335"/>
      <c r="FJ347" s="335"/>
      <c r="FK347" s="335"/>
      <c r="FL347" s="335"/>
      <c r="FM347" s="335"/>
      <c r="FN347" s="335"/>
      <c r="FO347" s="335"/>
      <c r="FP347" s="335"/>
      <c r="FQ347" s="335"/>
      <c r="FR347" s="335"/>
      <c r="FS347" s="335"/>
      <c r="FT347" s="335"/>
      <c r="FU347" s="335"/>
      <c r="FV347" s="335"/>
      <c r="FW347" s="335"/>
      <c r="FX347" s="335"/>
      <c r="FY347" s="335"/>
      <c r="FZ347" s="335"/>
      <c r="GA347" s="335"/>
      <c r="GB347" s="335"/>
      <c r="GC347" s="335"/>
      <c r="GD347" s="335"/>
      <c r="GE347" s="335"/>
      <c r="GF347" s="335"/>
      <c r="GG347" s="335"/>
      <c r="GH347" s="335"/>
      <c r="GI347" s="335"/>
      <c r="GJ347" s="335"/>
      <c r="GK347" s="335"/>
      <c r="GL347" s="335"/>
      <c r="GM347" s="335"/>
      <c r="GN347" s="335"/>
      <c r="GO347" s="335"/>
      <c r="GP347" s="335"/>
      <c r="GQ347" s="335"/>
      <c r="GR347" s="335"/>
      <c r="GS347" s="335"/>
      <c r="GT347" s="335"/>
      <c r="GU347" s="335"/>
      <c r="GV347" s="335"/>
      <c r="GW347" s="335"/>
      <c r="GX347" s="335"/>
      <c r="GY347" s="335"/>
      <c r="GZ347" s="335"/>
    </row>
    <row r="348" spans="1:208" ht="15">
      <c r="A348" s="379"/>
      <c r="B348" s="335"/>
      <c r="C348" s="335"/>
      <c r="D348" s="335"/>
      <c r="E348" s="335"/>
      <c r="F348" s="335"/>
      <c r="G348" s="335"/>
      <c r="H348" s="335"/>
      <c r="I348" s="335"/>
      <c r="J348" s="335"/>
      <c r="K348" s="335"/>
      <c r="L348" s="335"/>
      <c r="M348" s="376"/>
      <c r="N348" s="335"/>
      <c r="O348" s="380"/>
      <c r="P348" s="335"/>
      <c r="Q348" s="335"/>
      <c r="R348" s="335"/>
      <c r="S348" s="335"/>
      <c r="T348" s="335"/>
      <c r="U348" s="335"/>
      <c r="V348" s="335"/>
      <c r="W348" s="335"/>
      <c r="X348" s="335"/>
      <c r="Y348" s="335"/>
      <c r="Z348" s="335"/>
      <c r="AA348" s="335"/>
      <c r="AB348" s="335"/>
      <c r="AC348" s="335"/>
      <c r="AD348" s="335"/>
      <c r="AE348" s="335"/>
      <c r="AF348" s="335"/>
      <c r="AG348" s="335"/>
      <c r="AH348" s="335"/>
      <c r="AI348" s="335"/>
      <c r="AJ348" s="335"/>
      <c r="AK348" s="335"/>
      <c r="AL348" s="335"/>
      <c r="AM348" s="335"/>
      <c r="AN348" s="335"/>
      <c r="AO348" s="335"/>
      <c r="AP348" s="335"/>
      <c r="AQ348" s="335"/>
      <c r="AR348" s="335"/>
      <c r="AS348" s="335"/>
      <c r="AT348" s="335"/>
      <c r="AU348" s="335"/>
      <c r="AV348" s="335"/>
      <c r="AW348" s="335"/>
      <c r="AX348" s="335"/>
      <c r="AY348" s="335"/>
      <c r="AZ348" s="335"/>
      <c r="BA348" s="335"/>
      <c r="BB348" s="335"/>
      <c r="BC348" s="335"/>
      <c r="BD348" s="335"/>
      <c r="BE348" s="335"/>
      <c r="BF348" s="335"/>
      <c r="BG348" s="335"/>
      <c r="BH348" s="335"/>
      <c r="BI348" s="335"/>
      <c r="BJ348" s="335"/>
      <c r="BK348" s="335"/>
      <c r="BL348" s="335"/>
      <c r="BM348" s="335"/>
      <c r="BN348" s="335"/>
      <c r="BO348" s="335"/>
      <c r="BP348" s="335"/>
      <c r="BQ348" s="335"/>
      <c r="BR348" s="335"/>
      <c r="BS348" s="335"/>
      <c r="BT348" s="335"/>
      <c r="BU348" s="335"/>
      <c r="BV348" s="335"/>
      <c r="BW348" s="335"/>
      <c r="BX348" s="335"/>
      <c r="BY348" s="335"/>
      <c r="BZ348" s="335"/>
      <c r="CA348" s="335"/>
      <c r="CB348" s="335"/>
      <c r="CC348" s="335"/>
      <c r="CD348" s="335"/>
      <c r="CE348" s="335"/>
      <c r="CF348" s="335"/>
      <c r="CG348" s="335"/>
      <c r="CH348" s="335"/>
      <c r="CI348" s="335"/>
      <c r="CJ348" s="335"/>
      <c r="CK348" s="335"/>
      <c r="CL348" s="335"/>
      <c r="CM348" s="335"/>
      <c r="CN348" s="335"/>
      <c r="CO348" s="335"/>
      <c r="CP348" s="335"/>
      <c r="CQ348" s="335"/>
      <c r="CR348" s="335"/>
      <c r="CS348" s="335"/>
      <c r="CT348" s="335"/>
      <c r="CU348" s="335"/>
      <c r="CV348" s="335"/>
      <c r="CW348" s="335"/>
      <c r="CX348" s="335"/>
      <c r="CY348" s="335"/>
      <c r="CZ348" s="335"/>
      <c r="DA348" s="335"/>
      <c r="DB348" s="335"/>
      <c r="DC348" s="335"/>
      <c r="DD348" s="335"/>
      <c r="DE348" s="335"/>
      <c r="DF348" s="335"/>
      <c r="DG348" s="335"/>
      <c r="DH348" s="335"/>
      <c r="DI348" s="335"/>
      <c r="DJ348" s="335"/>
      <c r="DK348" s="335"/>
      <c r="DL348" s="335"/>
      <c r="DM348" s="335"/>
      <c r="DN348" s="335"/>
      <c r="DO348" s="335"/>
      <c r="DP348" s="335"/>
      <c r="DQ348" s="335"/>
      <c r="DR348" s="335"/>
      <c r="DS348" s="335"/>
      <c r="DT348" s="335"/>
      <c r="DU348" s="335"/>
      <c r="DV348" s="335"/>
      <c r="DW348" s="335"/>
      <c r="DX348" s="335"/>
      <c r="DY348" s="335"/>
      <c r="DZ348" s="335"/>
      <c r="EA348" s="335"/>
      <c r="EB348" s="335"/>
      <c r="EC348" s="335"/>
      <c r="ED348" s="335"/>
      <c r="EE348" s="335"/>
      <c r="EF348" s="335"/>
      <c r="EG348" s="335"/>
      <c r="EH348" s="335"/>
      <c r="EI348" s="335"/>
      <c r="EJ348" s="335"/>
      <c r="EK348" s="335"/>
      <c r="EL348" s="335"/>
      <c r="EM348" s="335"/>
      <c r="EN348" s="335"/>
      <c r="EO348" s="335"/>
      <c r="EP348" s="335"/>
      <c r="EQ348" s="335"/>
      <c r="ER348" s="335"/>
      <c r="ES348" s="335"/>
      <c r="ET348" s="335"/>
      <c r="EU348" s="335"/>
      <c r="EV348" s="335"/>
      <c r="EW348" s="335"/>
      <c r="EX348" s="335"/>
      <c r="EY348" s="335"/>
      <c r="EZ348" s="335"/>
      <c r="FA348" s="335"/>
      <c r="FB348" s="335"/>
      <c r="FC348" s="335"/>
      <c r="FD348" s="335"/>
      <c r="FE348" s="335"/>
      <c r="FF348" s="335"/>
      <c r="FG348" s="335"/>
      <c r="FH348" s="335"/>
      <c r="FI348" s="335"/>
      <c r="FJ348" s="335"/>
      <c r="FK348" s="335"/>
      <c r="FL348" s="335"/>
      <c r="FM348" s="335"/>
      <c r="FN348" s="335"/>
      <c r="FO348" s="335"/>
      <c r="FP348" s="335"/>
      <c r="FQ348" s="335"/>
      <c r="FR348" s="335"/>
      <c r="FS348" s="335"/>
      <c r="FT348" s="335"/>
      <c r="FU348" s="335"/>
      <c r="FV348" s="335"/>
      <c r="FW348" s="335"/>
      <c r="FX348" s="335"/>
      <c r="FY348" s="335"/>
      <c r="FZ348" s="335"/>
      <c r="GA348" s="335"/>
      <c r="GB348" s="335"/>
      <c r="GC348" s="335"/>
      <c r="GD348" s="335"/>
      <c r="GE348" s="335"/>
      <c r="GF348" s="335"/>
      <c r="GG348" s="335"/>
      <c r="GH348" s="335"/>
      <c r="GI348" s="335"/>
      <c r="GJ348" s="335"/>
      <c r="GK348" s="335"/>
      <c r="GL348" s="335"/>
      <c r="GM348" s="335"/>
      <c r="GN348" s="335"/>
      <c r="GO348" s="335"/>
      <c r="GP348" s="335"/>
      <c r="GQ348" s="335"/>
      <c r="GR348" s="335"/>
      <c r="GS348" s="335"/>
      <c r="GT348" s="335"/>
      <c r="GU348" s="335"/>
      <c r="GV348" s="335"/>
      <c r="GW348" s="335"/>
      <c r="GX348" s="335"/>
      <c r="GY348" s="335"/>
      <c r="GZ348" s="335"/>
    </row>
    <row r="349" spans="1:208" ht="15">
      <c r="A349" s="379"/>
      <c r="B349" s="335"/>
      <c r="C349" s="335"/>
      <c r="D349" s="335"/>
      <c r="E349" s="335"/>
      <c r="F349" s="335"/>
      <c r="G349" s="335"/>
      <c r="H349" s="335"/>
      <c r="I349" s="335"/>
      <c r="J349" s="335"/>
      <c r="K349" s="335"/>
      <c r="L349" s="335"/>
      <c r="M349" s="376"/>
      <c r="N349" s="335"/>
      <c r="O349" s="380"/>
      <c r="P349" s="335"/>
      <c r="Q349" s="335"/>
      <c r="R349" s="335"/>
      <c r="S349" s="335"/>
      <c r="T349" s="335"/>
      <c r="U349" s="335"/>
      <c r="V349" s="335"/>
      <c r="W349" s="335"/>
      <c r="X349" s="335"/>
      <c r="Y349" s="335"/>
      <c r="Z349" s="335"/>
      <c r="AA349" s="335"/>
      <c r="AB349" s="335"/>
      <c r="AC349" s="335"/>
      <c r="AD349" s="335"/>
      <c r="AE349" s="335"/>
      <c r="AF349" s="335"/>
      <c r="AG349" s="335"/>
      <c r="AH349" s="335"/>
      <c r="AI349" s="335"/>
      <c r="AJ349" s="335"/>
      <c r="AK349" s="335"/>
      <c r="AL349" s="335"/>
      <c r="AM349" s="335"/>
      <c r="AN349" s="335"/>
      <c r="AO349" s="335"/>
      <c r="AP349" s="335"/>
      <c r="AQ349" s="335"/>
      <c r="AR349" s="335"/>
      <c r="AS349" s="335"/>
      <c r="AT349" s="335"/>
      <c r="AU349" s="335"/>
      <c r="AV349" s="335"/>
      <c r="AW349" s="335"/>
      <c r="AX349" s="335"/>
      <c r="AY349" s="335"/>
      <c r="AZ349" s="335"/>
      <c r="BA349" s="335"/>
      <c r="BB349" s="335"/>
      <c r="BC349" s="335"/>
      <c r="BD349" s="335"/>
      <c r="BE349" s="335"/>
      <c r="BF349" s="335"/>
      <c r="BG349" s="335"/>
      <c r="BH349" s="335"/>
      <c r="BI349" s="335"/>
      <c r="BJ349" s="335"/>
      <c r="BK349" s="335"/>
      <c r="BL349" s="335"/>
      <c r="BM349" s="335"/>
      <c r="BN349" s="335"/>
      <c r="BO349" s="335"/>
      <c r="BP349" s="335"/>
      <c r="BQ349" s="335"/>
      <c r="BR349" s="335"/>
      <c r="BS349" s="335"/>
      <c r="BT349" s="335"/>
      <c r="BU349" s="335"/>
      <c r="BV349" s="335"/>
      <c r="BW349" s="335"/>
      <c r="BX349" s="335"/>
      <c r="BY349" s="335"/>
      <c r="BZ349" s="335"/>
      <c r="CA349" s="335"/>
      <c r="CB349" s="335"/>
      <c r="CC349" s="335"/>
      <c r="CD349" s="335"/>
      <c r="CE349" s="335"/>
      <c r="CF349" s="335"/>
      <c r="CG349" s="335"/>
      <c r="CH349" s="335"/>
      <c r="CI349" s="335"/>
      <c r="CJ349" s="335"/>
      <c r="CK349" s="335"/>
      <c r="CL349" s="335"/>
      <c r="CM349" s="335"/>
      <c r="CN349" s="335"/>
      <c r="CO349" s="335"/>
      <c r="CP349" s="335"/>
      <c r="CQ349" s="335"/>
      <c r="CR349" s="335"/>
      <c r="CS349" s="335"/>
      <c r="CT349" s="335"/>
      <c r="CU349" s="335"/>
      <c r="CV349" s="335"/>
      <c r="CW349" s="335"/>
      <c r="CX349" s="335"/>
      <c r="CY349" s="335"/>
      <c r="CZ349" s="335"/>
      <c r="DA349" s="335"/>
      <c r="DB349" s="335"/>
      <c r="DC349" s="335"/>
      <c r="DD349" s="335"/>
      <c r="DE349" s="335"/>
      <c r="DF349" s="335"/>
      <c r="DG349" s="335"/>
      <c r="DH349" s="335"/>
      <c r="DI349" s="335"/>
      <c r="DJ349" s="335"/>
      <c r="DK349" s="335"/>
      <c r="DL349" s="335"/>
      <c r="DM349" s="335"/>
      <c r="DN349" s="335"/>
      <c r="DO349" s="335"/>
      <c r="DP349" s="335"/>
      <c r="DQ349" s="335"/>
      <c r="DR349" s="335"/>
      <c r="DS349" s="335"/>
      <c r="DT349" s="335"/>
      <c r="DU349" s="335"/>
      <c r="DV349" s="335"/>
      <c r="DW349" s="335"/>
      <c r="DX349" s="335"/>
      <c r="DY349" s="335"/>
      <c r="DZ349" s="335"/>
      <c r="EA349" s="335"/>
      <c r="EB349" s="335"/>
      <c r="EC349" s="335"/>
      <c r="ED349" s="335"/>
      <c r="EE349" s="335"/>
      <c r="EF349" s="335"/>
      <c r="EG349" s="335"/>
      <c r="EH349" s="335"/>
      <c r="EI349" s="335"/>
      <c r="EJ349" s="335"/>
      <c r="EK349" s="335"/>
      <c r="EL349" s="335"/>
      <c r="EM349" s="335"/>
      <c r="EN349" s="335"/>
      <c r="EO349" s="335"/>
      <c r="EP349" s="335"/>
      <c r="EQ349" s="335"/>
      <c r="ER349" s="335"/>
      <c r="ES349" s="335"/>
      <c r="ET349" s="335"/>
      <c r="EU349" s="335"/>
      <c r="EV349" s="335"/>
      <c r="EW349" s="335"/>
      <c r="EX349" s="335"/>
      <c r="EY349" s="335"/>
      <c r="EZ349" s="335"/>
      <c r="FA349" s="335"/>
      <c r="FB349" s="335"/>
      <c r="FC349" s="335"/>
      <c r="FD349" s="335"/>
      <c r="FE349" s="335"/>
      <c r="FF349" s="335"/>
      <c r="FG349" s="335"/>
      <c r="FH349" s="335"/>
      <c r="FI349" s="335"/>
      <c r="FJ349" s="335"/>
      <c r="FK349" s="335"/>
      <c r="FL349" s="335"/>
      <c r="FM349" s="335"/>
      <c r="FN349" s="335"/>
      <c r="FO349" s="335"/>
      <c r="FP349" s="335"/>
      <c r="FQ349" s="335"/>
      <c r="FR349" s="335"/>
      <c r="FS349" s="335"/>
      <c r="FT349" s="335"/>
      <c r="FU349" s="335"/>
      <c r="FV349" s="335"/>
      <c r="FW349" s="335"/>
      <c r="FX349" s="335"/>
      <c r="FY349" s="335"/>
      <c r="FZ349" s="335"/>
      <c r="GA349" s="335"/>
      <c r="GB349" s="335"/>
      <c r="GC349" s="335"/>
      <c r="GD349" s="335"/>
      <c r="GE349" s="335"/>
      <c r="GF349" s="335"/>
      <c r="GG349" s="335"/>
      <c r="GH349" s="335"/>
      <c r="GI349" s="335"/>
      <c r="GJ349" s="335"/>
      <c r="GK349" s="335"/>
      <c r="GL349" s="335"/>
      <c r="GM349" s="335"/>
      <c r="GN349" s="335"/>
      <c r="GO349" s="335"/>
      <c r="GP349" s="335"/>
      <c r="GQ349" s="335"/>
      <c r="GR349" s="335"/>
      <c r="GS349" s="335"/>
      <c r="GT349" s="335"/>
      <c r="GU349" s="335"/>
      <c r="GV349" s="335"/>
      <c r="GW349" s="335"/>
      <c r="GX349" s="335"/>
      <c r="GY349" s="335"/>
      <c r="GZ349" s="335"/>
    </row>
    <row r="350" spans="1:208" ht="15">
      <c r="A350" s="379"/>
      <c r="B350" s="335"/>
      <c r="C350" s="335"/>
      <c r="D350" s="335"/>
      <c r="E350" s="335"/>
      <c r="F350" s="335"/>
      <c r="G350" s="335"/>
      <c r="H350" s="335"/>
      <c r="I350" s="335"/>
      <c r="J350" s="335"/>
      <c r="K350" s="335"/>
      <c r="L350" s="335"/>
      <c r="M350" s="376"/>
      <c r="N350" s="335"/>
      <c r="O350" s="380"/>
      <c r="P350" s="335"/>
      <c r="Q350" s="335"/>
      <c r="R350" s="335"/>
      <c r="S350" s="335"/>
      <c r="T350" s="335"/>
      <c r="U350" s="335"/>
      <c r="V350" s="335"/>
      <c r="W350" s="335"/>
      <c r="X350" s="335"/>
      <c r="Y350" s="335"/>
      <c r="Z350" s="335"/>
      <c r="AA350" s="335"/>
      <c r="AB350" s="335"/>
      <c r="AC350" s="335"/>
      <c r="AD350" s="335"/>
      <c r="AE350" s="335"/>
      <c r="AF350" s="335"/>
      <c r="AG350" s="335"/>
      <c r="AH350" s="335"/>
      <c r="AI350" s="335"/>
      <c r="AJ350" s="335"/>
      <c r="AK350" s="335"/>
      <c r="AL350" s="335"/>
      <c r="AM350" s="335"/>
      <c r="AN350" s="335"/>
      <c r="AO350" s="335"/>
      <c r="AP350" s="335"/>
      <c r="AQ350" s="335"/>
      <c r="AR350" s="335"/>
      <c r="AS350" s="335"/>
      <c r="AT350" s="335"/>
      <c r="AU350" s="335"/>
      <c r="AV350" s="335"/>
      <c r="AW350" s="335"/>
      <c r="AX350" s="335"/>
      <c r="AY350" s="335"/>
      <c r="AZ350" s="335"/>
      <c r="BA350" s="335"/>
      <c r="BB350" s="335"/>
      <c r="BC350" s="335"/>
      <c r="BD350" s="335"/>
      <c r="BE350" s="335"/>
      <c r="BF350" s="335"/>
      <c r="BG350" s="335"/>
      <c r="BH350" s="335"/>
      <c r="BI350" s="335"/>
      <c r="BJ350" s="335"/>
      <c r="BK350" s="335"/>
      <c r="BL350" s="335"/>
      <c r="BM350" s="335"/>
      <c r="BN350" s="335"/>
      <c r="BO350" s="335"/>
      <c r="BP350" s="335"/>
      <c r="BQ350" s="335"/>
      <c r="BR350" s="335"/>
      <c r="BS350" s="335"/>
      <c r="BT350" s="335"/>
      <c r="BU350" s="335"/>
      <c r="BV350" s="335"/>
      <c r="BW350" s="335"/>
      <c r="BX350" s="335"/>
      <c r="BY350" s="335"/>
      <c r="BZ350" s="335"/>
      <c r="CA350" s="335"/>
      <c r="CB350" s="335"/>
      <c r="CC350" s="335"/>
      <c r="CD350" s="335"/>
      <c r="CE350" s="335"/>
      <c r="CF350" s="335"/>
      <c r="CG350" s="335"/>
      <c r="CH350" s="335"/>
      <c r="CI350" s="335"/>
      <c r="CJ350" s="335"/>
      <c r="CK350" s="335"/>
      <c r="CL350" s="335"/>
      <c r="CM350" s="335"/>
      <c r="CN350" s="335"/>
      <c r="CO350" s="335"/>
      <c r="CP350" s="335"/>
      <c r="CQ350" s="335"/>
      <c r="CR350" s="335"/>
      <c r="CS350" s="335"/>
      <c r="CT350" s="335"/>
      <c r="CU350" s="335"/>
      <c r="CV350" s="335"/>
      <c r="CW350" s="335"/>
      <c r="CX350" s="335"/>
      <c r="CY350" s="335"/>
      <c r="CZ350" s="335"/>
      <c r="DA350" s="335"/>
      <c r="DB350" s="335"/>
      <c r="DC350" s="335"/>
      <c r="DD350" s="335"/>
      <c r="DE350" s="335"/>
      <c r="DF350" s="335"/>
      <c r="DG350" s="335"/>
      <c r="DH350" s="335"/>
      <c r="DI350" s="335"/>
      <c r="DJ350" s="335"/>
      <c r="DK350" s="335"/>
      <c r="DL350" s="335"/>
      <c r="DM350" s="335"/>
      <c r="DN350" s="335"/>
      <c r="DO350" s="335"/>
      <c r="DP350" s="335"/>
      <c r="DQ350" s="335"/>
      <c r="DR350" s="335"/>
      <c r="DS350" s="335"/>
      <c r="DT350" s="335"/>
      <c r="DU350" s="335"/>
      <c r="DV350" s="335"/>
      <c r="DW350" s="335"/>
      <c r="DX350" s="335"/>
      <c r="DY350" s="335"/>
      <c r="DZ350" s="335"/>
      <c r="EA350" s="335"/>
      <c r="EB350" s="335"/>
      <c r="EC350" s="335"/>
      <c r="ED350" s="335"/>
      <c r="EE350" s="335"/>
      <c r="EF350" s="335"/>
      <c r="EG350" s="335"/>
      <c r="EH350" s="335"/>
      <c r="EI350" s="335"/>
      <c r="EJ350" s="335"/>
      <c r="EK350" s="335"/>
      <c r="EL350" s="335"/>
      <c r="EM350" s="335"/>
      <c r="EN350" s="335"/>
      <c r="EO350" s="335"/>
      <c r="EP350" s="335"/>
      <c r="EQ350" s="335"/>
      <c r="ER350" s="335"/>
      <c r="ES350" s="335"/>
      <c r="ET350" s="335"/>
      <c r="EU350" s="335"/>
      <c r="EV350" s="335"/>
      <c r="EW350" s="335"/>
      <c r="EX350" s="335"/>
      <c r="EY350" s="335"/>
      <c r="EZ350" s="335"/>
      <c r="FA350" s="335"/>
      <c r="FB350" s="335"/>
      <c r="FC350" s="335"/>
      <c r="FD350" s="335"/>
      <c r="FE350" s="335"/>
      <c r="FF350" s="335"/>
      <c r="FG350" s="335"/>
      <c r="FH350" s="335"/>
      <c r="FI350" s="335"/>
      <c r="FJ350" s="335"/>
      <c r="FK350" s="335"/>
      <c r="FL350" s="335"/>
      <c r="FM350" s="335"/>
      <c r="FN350" s="335"/>
      <c r="FO350" s="335"/>
      <c r="FP350" s="335"/>
      <c r="FQ350" s="335"/>
      <c r="FR350" s="335"/>
      <c r="FS350" s="335"/>
      <c r="FT350" s="335"/>
      <c r="FU350" s="335"/>
      <c r="FV350" s="335"/>
      <c r="FW350" s="335"/>
      <c r="FX350" s="335"/>
      <c r="FY350" s="335"/>
      <c r="FZ350" s="335"/>
      <c r="GA350" s="335"/>
      <c r="GB350" s="335"/>
      <c r="GC350" s="335"/>
      <c r="GD350" s="335"/>
      <c r="GE350" s="335"/>
      <c r="GF350" s="335"/>
      <c r="GG350" s="335"/>
      <c r="GH350" s="335"/>
      <c r="GI350" s="335"/>
      <c r="GJ350" s="335"/>
      <c r="GK350" s="335"/>
      <c r="GL350" s="335"/>
      <c r="GM350" s="335"/>
      <c r="GN350" s="335"/>
      <c r="GO350" s="335"/>
      <c r="GP350" s="335"/>
      <c r="GQ350" s="335"/>
      <c r="GR350" s="335"/>
      <c r="GS350" s="335"/>
      <c r="GT350" s="335"/>
      <c r="GU350" s="335"/>
      <c r="GV350" s="335"/>
      <c r="GW350" s="335"/>
      <c r="GX350" s="335"/>
      <c r="GY350" s="335"/>
      <c r="GZ350" s="335"/>
    </row>
    <row r="351" spans="1:208" ht="15">
      <c r="A351" s="379"/>
      <c r="B351" s="335"/>
      <c r="C351" s="335"/>
      <c r="D351" s="335"/>
      <c r="E351" s="335"/>
      <c r="F351" s="335"/>
      <c r="G351" s="335"/>
      <c r="H351" s="335"/>
      <c r="I351" s="335"/>
      <c r="J351" s="335"/>
      <c r="K351" s="335"/>
      <c r="L351" s="335"/>
      <c r="M351" s="376"/>
      <c r="N351" s="335"/>
      <c r="O351" s="380"/>
      <c r="P351" s="335"/>
      <c r="Q351" s="335"/>
      <c r="R351" s="335"/>
      <c r="S351" s="335"/>
      <c r="T351" s="335"/>
      <c r="U351" s="335"/>
      <c r="V351" s="335"/>
      <c r="W351" s="335"/>
      <c r="X351" s="335"/>
      <c r="Y351" s="335"/>
      <c r="Z351" s="335"/>
      <c r="AA351" s="335"/>
      <c r="AB351" s="335"/>
      <c r="AC351" s="335"/>
      <c r="AD351" s="335"/>
      <c r="AE351" s="335"/>
      <c r="AF351" s="335"/>
      <c r="AG351" s="335"/>
      <c r="AH351" s="335"/>
      <c r="AI351" s="335"/>
      <c r="AJ351" s="335"/>
      <c r="AK351" s="335"/>
      <c r="AL351" s="335"/>
      <c r="AM351" s="335"/>
      <c r="AN351" s="335"/>
      <c r="AO351" s="335"/>
      <c r="AP351" s="335"/>
      <c r="AQ351" s="335"/>
      <c r="AR351" s="335"/>
      <c r="AS351" s="335"/>
      <c r="AT351" s="335"/>
      <c r="AU351" s="335"/>
      <c r="AV351" s="335"/>
      <c r="AW351" s="335"/>
      <c r="AX351" s="335"/>
      <c r="AY351" s="335"/>
      <c r="AZ351" s="335"/>
      <c r="BA351" s="335"/>
      <c r="BB351" s="335"/>
      <c r="BC351" s="335"/>
      <c r="BD351" s="335"/>
      <c r="BE351" s="335"/>
      <c r="BF351" s="335"/>
      <c r="BG351" s="335"/>
      <c r="BH351" s="335"/>
      <c r="BI351" s="335"/>
      <c r="BJ351" s="335"/>
      <c r="BK351" s="335"/>
      <c r="BL351" s="335"/>
      <c r="BM351" s="335"/>
      <c r="BN351" s="335"/>
      <c r="BO351" s="335"/>
      <c r="BP351" s="335"/>
      <c r="BQ351" s="335"/>
      <c r="BR351" s="335"/>
      <c r="BS351" s="335"/>
      <c r="BT351" s="335"/>
      <c r="BU351" s="335"/>
      <c r="BV351" s="335"/>
      <c r="BW351" s="335"/>
      <c r="BX351" s="335"/>
      <c r="BY351" s="335"/>
      <c r="BZ351" s="335"/>
      <c r="CA351" s="335"/>
      <c r="CB351" s="335"/>
      <c r="CC351" s="335"/>
      <c r="CD351" s="335"/>
      <c r="CE351" s="335"/>
      <c r="CF351" s="335"/>
      <c r="CG351" s="335"/>
      <c r="CH351" s="335"/>
      <c r="CI351" s="335"/>
      <c r="CJ351" s="335"/>
      <c r="CK351" s="335"/>
      <c r="CL351" s="335"/>
      <c r="CM351" s="335"/>
      <c r="CN351" s="335"/>
      <c r="CO351" s="335"/>
      <c r="CP351" s="335"/>
      <c r="CQ351" s="335"/>
      <c r="CR351" s="335"/>
      <c r="CS351" s="335"/>
      <c r="CT351" s="335"/>
      <c r="CU351" s="335"/>
      <c r="CV351" s="335"/>
      <c r="CW351" s="335"/>
      <c r="CX351" s="335"/>
      <c r="CY351" s="335"/>
      <c r="CZ351" s="335"/>
      <c r="DA351" s="335"/>
      <c r="DB351" s="335"/>
      <c r="DC351" s="335"/>
      <c r="DD351" s="335"/>
      <c r="DE351" s="335"/>
      <c r="DF351" s="335"/>
      <c r="DG351" s="335"/>
      <c r="DH351" s="335"/>
      <c r="DI351" s="335"/>
      <c r="DJ351" s="335"/>
      <c r="DK351" s="335"/>
      <c r="DL351" s="335"/>
      <c r="DM351" s="335"/>
      <c r="DN351" s="335"/>
      <c r="DO351" s="335"/>
      <c r="DP351" s="335"/>
      <c r="DQ351" s="335"/>
      <c r="DR351" s="335"/>
      <c r="DS351" s="335"/>
      <c r="DT351" s="335"/>
      <c r="DU351" s="335"/>
      <c r="DV351" s="335"/>
      <c r="DW351" s="335"/>
      <c r="DX351" s="335"/>
      <c r="DY351" s="335"/>
      <c r="DZ351" s="335"/>
      <c r="EA351" s="335"/>
      <c r="EB351" s="335"/>
      <c r="EC351" s="335"/>
      <c r="ED351" s="335"/>
      <c r="EE351" s="335"/>
      <c r="EF351" s="335"/>
      <c r="EG351" s="335"/>
      <c r="EH351" s="335"/>
      <c r="EI351" s="335"/>
      <c r="EJ351" s="335"/>
      <c r="EK351" s="335"/>
      <c r="EL351" s="335"/>
      <c r="EM351" s="335"/>
      <c r="EN351" s="335"/>
      <c r="EO351" s="335"/>
      <c r="EP351" s="335"/>
      <c r="EQ351" s="335"/>
      <c r="ER351" s="335"/>
      <c r="ES351" s="335"/>
      <c r="ET351" s="335"/>
      <c r="EU351" s="335"/>
      <c r="EV351" s="335"/>
      <c r="EW351" s="335"/>
      <c r="EX351" s="335"/>
      <c r="EY351" s="335"/>
      <c r="EZ351" s="335"/>
      <c r="FA351" s="335"/>
      <c r="FB351" s="335"/>
      <c r="FC351" s="335"/>
      <c r="FD351" s="335"/>
      <c r="FE351" s="335"/>
      <c r="FF351" s="335"/>
      <c r="FG351" s="335"/>
      <c r="FH351" s="335"/>
      <c r="FI351" s="335"/>
      <c r="FJ351" s="335"/>
      <c r="FK351" s="335"/>
      <c r="FL351" s="335"/>
      <c r="FM351" s="335"/>
      <c r="FN351" s="335"/>
      <c r="FO351" s="335"/>
      <c r="FP351" s="335"/>
      <c r="FQ351" s="335"/>
      <c r="FR351" s="335"/>
      <c r="FS351" s="335"/>
      <c r="FT351" s="335"/>
      <c r="FU351" s="335"/>
      <c r="FV351" s="335"/>
      <c r="FW351" s="335"/>
      <c r="FX351" s="335"/>
      <c r="FY351" s="335"/>
      <c r="FZ351" s="335"/>
      <c r="GA351" s="335"/>
      <c r="GB351" s="335"/>
      <c r="GC351" s="335"/>
      <c r="GD351" s="335"/>
      <c r="GE351" s="335"/>
      <c r="GF351" s="335"/>
      <c r="GG351" s="335"/>
      <c r="GH351" s="335"/>
      <c r="GI351" s="335"/>
      <c r="GJ351" s="335"/>
      <c r="GK351" s="335"/>
      <c r="GL351" s="335"/>
      <c r="GM351" s="335"/>
      <c r="GN351" s="335"/>
      <c r="GO351" s="335"/>
      <c r="GP351" s="335"/>
      <c r="GQ351" s="335"/>
      <c r="GR351" s="335"/>
      <c r="GS351" s="335"/>
      <c r="GT351" s="335"/>
      <c r="GU351" s="335"/>
      <c r="GV351" s="335"/>
      <c r="GW351" s="335"/>
      <c r="GX351" s="335"/>
      <c r="GY351" s="335"/>
      <c r="GZ351" s="335"/>
    </row>
    <row r="352" spans="1:208" ht="15">
      <c r="A352" s="379"/>
      <c r="B352" s="335"/>
      <c r="C352" s="335"/>
      <c r="D352" s="335"/>
      <c r="E352" s="335"/>
      <c r="F352" s="335"/>
      <c r="G352" s="335"/>
      <c r="H352" s="335"/>
      <c r="I352" s="335"/>
      <c r="J352" s="335"/>
      <c r="K352" s="335"/>
      <c r="L352" s="335"/>
      <c r="M352" s="376"/>
      <c r="N352" s="335"/>
      <c r="O352" s="380"/>
      <c r="P352" s="335"/>
      <c r="Q352" s="335"/>
      <c r="R352" s="335"/>
      <c r="S352" s="335"/>
      <c r="T352" s="335"/>
      <c r="U352" s="335"/>
      <c r="V352" s="335"/>
      <c r="W352" s="335"/>
      <c r="X352" s="335"/>
      <c r="Y352" s="335"/>
      <c r="Z352" s="335"/>
      <c r="AA352" s="335"/>
      <c r="AB352" s="335"/>
      <c r="AC352" s="335"/>
      <c r="AD352" s="335"/>
      <c r="AE352" s="335"/>
      <c r="AF352" s="335"/>
      <c r="AG352" s="335"/>
      <c r="AH352" s="335"/>
      <c r="AI352" s="335"/>
      <c r="AJ352" s="335"/>
      <c r="AK352" s="335"/>
      <c r="AL352" s="335"/>
      <c r="AM352" s="335"/>
      <c r="AN352" s="335"/>
      <c r="AO352" s="335"/>
      <c r="AP352" s="335"/>
      <c r="AQ352" s="335"/>
      <c r="AR352" s="335"/>
      <c r="AS352" s="335"/>
      <c r="AT352" s="335"/>
      <c r="AU352" s="335"/>
      <c r="AV352" s="335"/>
      <c r="AW352" s="335"/>
      <c r="AX352" s="335"/>
      <c r="AY352" s="335"/>
      <c r="AZ352" s="335"/>
      <c r="BA352" s="335"/>
      <c r="BB352" s="335"/>
      <c r="BC352" s="335"/>
      <c r="BD352" s="335"/>
      <c r="BE352" s="335"/>
      <c r="BF352" s="335"/>
      <c r="BG352" s="335"/>
      <c r="BH352" s="335"/>
      <c r="BI352" s="335"/>
      <c r="BJ352" s="335"/>
      <c r="BK352" s="335"/>
      <c r="BL352" s="335"/>
      <c r="BM352" s="335"/>
      <c r="BN352" s="335"/>
      <c r="BO352" s="335"/>
      <c r="BP352" s="335"/>
      <c r="BQ352" s="335"/>
      <c r="BR352" s="335"/>
      <c r="BS352" s="335"/>
      <c r="BT352" s="335"/>
      <c r="BU352" s="335"/>
      <c r="BV352" s="335"/>
      <c r="BW352" s="335"/>
      <c r="BX352" s="335"/>
      <c r="BY352" s="335"/>
      <c r="BZ352" s="335"/>
      <c r="CA352" s="335"/>
      <c r="CB352" s="335"/>
      <c r="CC352" s="335"/>
      <c r="CD352" s="335"/>
      <c r="CE352" s="335"/>
      <c r="CF352" s="335"/>
      <c r="CG352" s="335"/>
      <c r="CH352" s="335"/>
      <c r="CI352" s="335"/>
      <c r="CJ352" s="335"/>
      <c r="CK352" s="335"/>
      <c r="CL352" s="335"/>
      <c r="CM352" s="335"/>
      <c r="CN352" s="335"/>
      <c r="CO352" s="335"/>
      <c r="CP352" s="335"/>
      <c r="CQ352" s="335"/>
      <c r="CR352" s="335"/>
      <c r="CS352" s="335"/>
      <c r="CT352" s="335"/>
      <c r="CU352" s="335"/>
      <c r="CV352" s="335"/>
      <c r="CW352" s="335"/>
      <c r="CX352" s="335"/>
      <c r="CY352" s="335"/>
      <c r="CZ352" s="335"/>
      <c r="DA352" s="335"/>
      <c r="DB352" s="335"/>
      <c r="DC352" s="335"/>
      <c r="DD352" s="335"/>
      <c r="DE352" s="335"/>
      <c r="DF352" s="335"/>
      <c r="DG352" s="335"/>
      <c r="DH352" s="335"/>
      <c r="DI352" s="335"/>
      <c r="DJ352" s="335"/>
      <c r="DK352" s="335"/>
      <c r="DL352" s="335"/>
      <c r="DM352" s="335"/>
      <c r="DN352" s="335"/>
      <c r="DO352" s="335"/>
      <c r="DP352" s="335"/>
      <c r="DQ352" s="335"/>
      <c r="DR352" s="335"/>
      <c r="DS352" s="335"/>
      <c r="DT352" s="335"/>
      <c r="DU352" s="335"/>
      <c r="DV352" s="335"/>
      <c r="DW352" s="335"/>
      <c r="DX352" s="335"/>
      <c r="DY352" s="335"/>
      <c r="DZ352" s="335"/>
      <c r="EA352" s="335"/>
      <c r="EB352" s="335"/>
      <c r="EC352" s="335"/>
      <c r="ED352" s="335"/>
      <c r="EE352" s="335"/>
      <c r="EF352" s="335"/>
      <c r="EG352" s="335"/>
      <c r="EH352" s="335"/>
      <c r="EI352" s="335"/>
      <c r="EJ352" s="335"/>
      <c r="EK352" s="335"/>
      <c r="EL352" s="335"/>
      <c r="EM352" s="335"/>
      <c r="EN352" s="335"/>
      <c r="EO352" s="335"/>
      <c r="EP352" s="335"/>
      <c r="EQ352" s="335"/>
      <c r="ER352" s="335"/>
      <c r="ES352" s="335"/>
      <c r="ET352" s="335"/>
      <c r="EU352" s="335"/>
      <c r="EV352" s="335"/>
      <c r="EW352" s="335"/>
      <c r="EX352" s="335"/>
      <c r="EY352" s="335"/>
      <c r="EZ352" s="335"/>
      <c r="FA352" s="335"/>
      <c r="FB352" s="335"/>
      <c r="FC352" s="335"/>
      <c r="FD352" s="335"/>
      <c r="FE352" s="335"/>
      <c r="FF352" s="335"/>
      <c r="FG352" s="335"/>
      <c r="FH352" s="335"/>
      <c r="FI352" s="335"/>
      <c r="FJ352" s="335"/>
      <c r="FK352" s="335"/>
      <c r="FL352" s="335"/>
      <c r="FM352" s="335"/>
      <c r="FN352" s="335"/>
      <c r="FO352" s="335"/>
      <c r="FP352" s="335"/>
      <c r="FQ352" s="335"/>
      <c r="FR352" s="335"/>
      <c r="FS352" s="335"/>
      <c r="FT352" s="335"/>
      <c r="FU352" s="335"/>
      <c r="FV352" s="335"/>
      <c r="FW352" s="335"/>
      <c r="FX352" s="335"/>
      <c r="FY352" s="335"/>
      <c r="FZ352" s="335"/>
      <c r="GA352" s="335"/>
      <c r="GB352" s="335"/>
      <c r="GC352" s="335"/>
      <c r="GD352" s="335"/>
      <c r="GE352" s="335"/>
      <c r="GF352" s="335"/>
      <c r="GG352" s="335"/>
      <c r="GH352" s="335"/>
      <c r="GI352" s="335"/>
      <c r="GJ352" s="335"/>
      <c r="GK352" s="335"/>
      <c r="GL352" s="335"/>
      <c r="GM352" s="335"/>
      <c r="GN352" s="335"/>
      <c r="GO352" s="335"/>
      <c r="GP352" s="335"/>
      <c r="GQ352" s="335"/>
      <c r="GR352" s="335"/>
      <c r="GS352" s="335"/>
      <c r="GT352" s="335"/>
      <c r="GU352" s="335"/>
      <c r="GV352" s="335"/>
      <c r="GW352" s="335"/>
      <c r="GX352" s="335"/>
      <c r="GY352" s="335"/>
      <c r="GZ352" s="335"/>
    </row>
    <row r="353" spans="1:208" ht="15">
      <c r="A353" s="379"/>
      <c r="B353" s="335"/>
      <c r="C353" s="335"/>
      <c r="D353" s="335"/>
      <c r="E353" s="335"/>
      <c r="F353" s="335"/>
      <c r="G353" s="335"/>
      <c r="H353" s="335"/>
      <c r="I353" s="335"/>
      <c r="J353" s="335"/>
      <c r="K353" s="335"/>
      <c r="L353" s="335"/>
      <c r="M353" s="376"/>
      <c r="N353" s="335"/>
      <c r="O353" s="380"/>
      <c r="P353" s="335"/>
      <c r="Q353" s="335"/>
      <c r="R353" s="335"/>
      <c r="S353" s="335"/>
      <c r="T353" s="335"/>
      <c r="U353" s="335"/>
      <c r="V353" s="335"/>
      <c r="W353" s="335"/>
      <c r="X353" s="335"/>
      <c r="Y353" s="335"/>
      <c r="Z353" s="335"/>
      <c r="AA353" s="335"/>
      <c r="AB353" s="335"/>
      <c r="AC353" s="335"/>
      <c r="AD353" s="335"/>
      <c r="AE353" s="335"/>
      <c r="AF353" s="335"/>
      <c r="AG353" s="335"/>
      <c r="AH353" s="335"/>
      <c r="AI353" s="335"/>
      <c r="AJ353" s="335"/>
      <c r="AK353" s="335"/>
      <c r="AL353" s="335"/>
      <c r="AM353" s="335"/>
      <c r="AN353" s="335"/>
      <c r="AO353" s="335"/>
      <c r="AP353" s="335"/>
      <c r="AQ353" s="335"/>
      <c r="AR353" s="335"/>
      <c r="AS353" s="335"/>
      <c r="AT353" s="335"/>
      <c r="AU353" s="335"/>
      <c r="AV353" s="335"/>
      <c r="AW353" s="335"/>
      <c r="AX353" s="335"/>
      <c r="AY353" s="335"/>
      <c r="AZ353" s="335"/>
      <c r="BA353" s="335"/>
      <c r="BB353" s="335"/>
      <c r="BC353" s="335"/>
      <c r="BD353" s="335"/>
      <c r="BE353" s="335"/>
      <c r="BF353" s="335"/>
      <c r="BG353" s="335"/>
      <c r="BH353" s="335"/>
      <c r="BI353" s="335"/>
      <c r="BJ353" s="335"/>
      <c r="BK353" s="335"/>
      <c r="BL353" s="335"/>
      <c r="BM353" s="335"/>
      <c r="BN353" s="335"/>
      <c r="BO353" s="335"/>
      <c r="BP353" s="335"/>
      <c r="BQ353" s="335"/>
      <c r="BR353" s="335"/>
      <c r="BS353" s="335"/>
      <c r="BT353" s="335"/>
      <c r="BU353" s="335"/>
      <c r="BV353" s="335"/>
      <c r="BW353" s="335"/>
      <c r="BX353" s="335"/>
      <c r="BY353" s="335"/>
      <c r="BZ353" s="335"/>
      <c r="CA353" s="335"/>
      <c r="CB353" s="335"/>
      <c r="CC353" s="335"/>
      <c r="CD353" s="335"/>
      <c r="CE353" s="335"/>
      <c r="CF353" s="335"/>
      <c r="CG353" s="335"/>
      <c r="CH353" s="335"/>
      <c r="CI353" s="335"/>
      <c r="CJ353" s="335"/>
      <c r="CK353" s="335"/>
      <c r="CL353" s="335"/>
      <c r="CM353" s="335"/>
      <c r="CN353" s="335"/>
      <c r="CO353" s="335"/>
      <c r="CP353" s="335"/>
      <c r="CQ353" s="335"/>
      <c r="CR353" s="335"/>
      <c r="CS353" s="335"/>
      <c r="CT353" s="335"/>
      <c r="CU353" s="335"/>
      <c r="CV353" s="335"/>
      <c r="CW353" s="335"/>
      <c r="CX353" s="335"/>
      <c r="CY353" s="335"/>
      <c r="CZ353" s="335"/>
      <c r="DA353" s="335"/>
      <c r="DB353" s="335"/>
      <c r="DC353" s="335"/>
      <c r="DD353" s="335"/>
      <c r="DE353" s="335"/>
      <c r="DF353" s="335"/>
      <c r="DG353" s="335"/>
      <c r="DH353" s="335"/>
      <c r="DI353" s="335"/>
      <c r="DJ353" s="335"/>
      <c r="DK353" s="335"/>
      <c r="DL353" s="335"/>
      <c r="DM353" s="335"/>
      <c r="DN353" s="335"/>
      <c r="DO353" s="335"/>
      <c r="DP353" s="335"/>
      <c r="DQ353" s="335"/>
      <c r="DR353" s="335"/>
      <c r="DS353" s="335"/>
      <c r="DT353" s="335"/>
      <c r="DU353" s="335"/>
      <c r="DV353" s="335"/>
      <c r="DW353" s="335"/>
      <c r="DX353" s="335"/>
      <c r="DY353" s="335"/>
      <c r="DZ353" s="335"/>
      <c r="EA353" s="335"/>
      <c r="EB353" s="335"/>
      <c r="EC353" s="335"/>
      <c r="ED353" s="335"/>
      <c r="EE353" s="335"/>
      <c r="EF353" s="335"/>
      <c r="EG353" s="335"/>
      <c r="EH353" s="335"/>
      <c r="EI353" s="335"/>
      <c r="EJ353" s="335"/>
      <c r="EK353" s="335"/>
      <c r="EL353" s="335"/>
      <c r="EM353" s="335"/>
      <c r="EN353" s="335"/>
      <c r="EO353" s="335"/>
      <c r="EP353" s="335"/>
      <c r="EQ353" s="335"/>
      <c r="ER353" s="335"/>
      <c r="ES353" s="335"/>
      <c r="ET353" s="335"/>
      <c r="EU353" s="335"/>
      <c r="EV353" s="335"/>
      <c r="EW353" s="335"/>
      <c r="EX353" s="335"/>
      <c r="EY353" s="335"/>
      <c r="EZ353" s="335"/>
      <c r="FA353" s="335"/>
      <c r="FB353" s="335"/>
      <c r="FC353" s="335"/>
      <c r="FD353" s="335"/>
      <c r="FE353" s="335"/>
      <c r="FF353" s="335"/>
      <c r="FG353" s="335"/>
      <c r="FH353" s="335"/>
      <c r="FI353" s="335"/>
      <c r="FJ353" s="335"/>
      <c r="FK353" s="335"/>
      <c r="FL353" s="335"/>
      <c r="FM353" s="335"/>
      <c r="FN353" s="335"/>
      <c r="FO353" s="335"/>
      <c r="FP353" s="335"/>
      <c r="FQ353" s="335"/>
      <c r="FR353" s="335"/>
      <c r="FS353" s="335"/>
      <c r="FT353" s="335"/>
      <c r="FU353" s="335"/>
      <c r="FV353" s="335"/>
      <c r="FW353" s="335"/>
      <c r="FX353" s="335"/>
      <c r="FY353" s="335"/>
      <c r="FZ353" s="335"/>
      <c r="GA353" s="335"/>
      <c r="GB353" s="335"/>
      <c r="GC353" s="335"/>
      <c r="GD353" s="335"/>
      <c r="GE353" s="335"/>
      <c r="GF353" s="335"/>
      <c r="GG353" s="335"/>
      <c r="GH353" s="335"/>
      <c r="GI353" s="335"/>
      <c r="GJ353" s="335"/>
      <c r="GK353" s="335"/>
      <c r="GL353" s="335"/>
      <c r="GM353" s="335"/>
      <c r="GN353" s="335"/>
      <c r="GO353" s="335"/>
      <c r="GP353" s="335"/>
      <c r="GQ353" s="335"/>
      <c r="GR353" s="335"/>
      <c r="GS353" s="335"/>
      <c r="GT353" s="335"/>
      <c r="GU353" s="335"/>
      <c r="GV353" s="335"/>
      <c r="GW353" s="335"/>
      <c r="GX353" s="335"/>
      <c r="GY353" s="335"/>
      <c r="GZ353" s="335"/>
    </row>
    <row r="354" spans="1:208" ht="15">
      <c r="A354" s="379"/>
      <c r="B354" s="335"/>
      <c r="C354" s="335"/>
      <c r="D354" s="335"/>
      <c r="E354" s="335"/>
      <c r="F354" s="335"/>
      <c r="G354" s="335"/>
      <c r="H354" s="335"/>
      <c r="I354" s="335"/>
      <c r="J354" s="335"/>
      <c r="K354" s="335"/>
      <c r="L354" s="335"/>
      <c r="M354" s="376"/>
      <c r="N354" s="335"/>
      <c r="O354" s="380"/>
      <c r="P354" s="335"/>
      <c r="Q354" s="335"/>
      <c r="R354" s="335"/>
      <c r="S354" s="335"/>
      <c r="T354" s="335"/>
      <c r="U354" s="335"/>
      <c r="V354" s="335"/>
      <c r="W354" s="335"/>
      <c r="X354" s="335"/>
      <c r="Y354" s="335"/>
      <c r="Z354" s="335"/>
      <c r="AA354" s="335"/>
      <c r="AB354" s="335"/>
      <c r="AC354" s="335"/>
      <c r="AD354" s="335"/>
      <c r="AE354" s="335"/>
      <c r="AF354" s="335"/>
      <c r="AG354" s="335"/>
      <c r="AH354" s="335"/>
      <c r="AI354" s="335"/>
      <c r="AJ354" s="335"/>
      <c r="AK354" s="335"/>
      <c r="AL354" s="335"/>
      <c r="AM354" s="335"/>
      <c r="AN354" s="335"/>
      <c r="AO354" s="335"/>
      <c r="AP354" s="335"/>
      <c r="AQ354" s="335"/>
      <c r="AR354" s="335"/>
      <c r="AS354" s="335"/>
      <c r="AT354" s="335"/>
      <c r="AU354" s="335"/>
      <c r="AV354" s="335"/>
      <c r="AW354" s="335"/>
      <c r="AX354" s="335"/>
      <c r="AY354" s="335"/>
      <c r="AZ354" s="335"/>
      <c r="BA354" s="335"/>
      <c r="BB354" s="335"/>
      <c r="BC354" s="335"/>
      <c r="BD354" s="335"/>
      <c r="BE354" s="335"/>
      <c r="BF354" s="335"/>
      <c r="BG354" s="335"/>
      <c r="BH354" s="335"/>
      <c r="BI354" s="335"/>
      <c r="BJ354" s="335"/>
      <c r="BK354" s="335"/>
      <c r="BL354" s="335"/>
      <c r="BM354" s="335"/>
      <c r="BN354" s="335"/>
      <c r="BO354" s="335"/>
      <c r="BP354" s="335"/>
      <c r="BQ354" s="335"/>
      <c r="BR354" s="335"/>
      <c r="BS354" s="335"/>
      <c r="BT354" s="335"/>
      <c r="BU354" s="335"/>
      <c r="BV354" s="335"/>
      <c r="BW354" s="335"/>
      <c r="BX354" s="335"/>
      <c r="BY354" s="335"/>
      <c r="BZ354" s="335"/>
      <c r="CA354" s="335"/>
      <c r="CB354" s="335"/>
      <c r="CC354" s="335"/>
      <c r="CD354" s="335"/>
      <c r="CE354" s="335"/>
      <c r="CF354" s="335"/>
      <c r="CG354" s="335"/>
      <c r="CH354" s="335"/>
      <c r="CI354" s="335"/>
      <c r="CJ354" s="335"/>
      <c r="CK354" s="335"/>
      <c r="CL354" s="335"/>
      <c r="CM354" s="335"/>
      <c r="CN354" s="335"/>
      <c r="CO354" s="335"/>
      <c r="CP354" s="335"/>
      <c r="CQ354" s="335"/>
      <c r="CR354" s="335"/>
      <c r="CS354" s="335"/>
      <c r="CT354" s="335"/>
      <c r="CU354" s="335"/>
      <c r="CV354" s="335"/>
      <c r="CW354" s="335"/>
      <c r="CX354" s="335"/>
      <c r="CY354" s="335"/>
      <c r="CZ354" s="335"/>
      <c r="DA354" s="335"/>
      <c r="DB354" s="335"/>
      <c r="DC354" s="335"/>
      <c r="DD354" s="335"/>
      <c r="DE354" s="335"/>
      <c r="DF354" s="335"/>
      <c r="DG354" s="335"/>
      <c r="DH354" s="335"/>
      <c r="DI354" s="335"/>
      <c r="DJ354" s="335"/>
      <c r="DK354" s="335"/>
      <c r="DL354" s="335"/>
      <c r="DM354" s="335"/>
      <c r="DN354" s="335"/>
      <c r="DO354" s="335"/>
      <c r="DP354" s="335"/>
      <c r="DQ354" s="335"/>
      <c r="DR354" s="335"/>
      <c r="DS354" s="335"/>
      <c r="DT354" s="335"/>
      <c r="DU354" s="335"/>
      <c r="DV354" s="335"/>
      <c r="DW354" s="335"/>
      <c r="DX354" s="335"/>
      <c r="DY354" s="335"/>
      <c r="DZ354" s="335"/>
      <c r="EA354" s="335"/>
      <c r="EB354" s="335"/>
      <c r="EC354" s="335"/>
      <c r="ED354" s="335"/>
      <c r="EE354" s="335"/>
      <c r="EF354" s="335"/>
      <c r="EG354" s="335"/>
      <c r="EH354" s="335"/>
      <c r="EI354" s="335"/>
      <c r="EJ354" s="335"/>
      <c r="EK354" s="335"/>
      <c r="EL354" s="335"/>
      <c r="EM354" s="335"/>
      <c r="EN354" s="335"/>
      <c r="EO354" s="335"/>
      <c r="EP354" s="335"/>
      <c r="EQ354" s="335"/>
      <c r="ER354" s="335"/>
      <c r="ES354" s="335"/>
      <c r="ET354" s="335"/>
      <c r="EU354" s="335"/>
      <c r="EV354" s="335"/>
      <c r="EW354" s="335"/>
      <c r="EX354" s="335"/>
      <c r="EY354" s="335"/>
      <c r="EZ354" s="335"/>
      <c r="FA354" s="335"/>
      <c r="FB354" s="335"/>
      <c r="FC354" s="335"/>
      <c r="FD354" s="335"/>
      <c r="FE354" s="335"/>
      <c r="FF354" s="335"/>
      <c r="FG354" s="335"/>
      <c r="FH354" s="335"/>
      <c r="FI354" s="335"/>
      <c r="FJ354" s="335"/>
      <c r="FK354" s="335"/>
      <c r="FL354" s="335"/>
      <c r="FM354" s="335"/>
      <c r="FN354" s="335"/>
      <c r="FO354" s="335"/>
      <c r="FP354" s="335"/>
      <c r="FQ354" s="335"/>
      <c r="FR354" s="335"/>
      <c r="FS354" s="335"/>
      <c r="FT354" s="335"/>
      <c r="FU354" s="335"/>
      <c r="FV354" s="335"/>
      <c r="FW354" s="335"/>
      <c r="FX354" s="335"/>
      <c r="FY354" s="335"/>
      <c r="FZ354" s="335"/>
      <c r="GA354" s="335"/>
      <c r="GB354" s="335"/>
      <c r="GC354" s="335"/>
      <c r="GD354" s="335"/>
      <c r="GE354" s="335"/>
      <c r="GF354" s="335"/>
      <c r="GG354" s="335"/>
      <c r="GH354" s="335"/>
      <c r="GI354" s="335"/>
      <c r="GJ354" s="335"/>
      <c r="GK354" s="335"/>
      <c r="GL354" s="335"/>
      <c r="GM354" s="335"/>
      <c r="GN354" s="335"/>
      <c r="GO354" s="335"/>
      <c r="GP354" s="335"/>
      <c r="GQ354" s="335"/>
      <c r="GR354" s="335"/>
      <c r="GS354" s="335"/>
      <c r="GT354" s="335"/>
      <c r="GU354" s="335"/>
      <c r="GV354" s="335"/>
      <c r="GW354" s="335"/>
      <c r="GX354" s="335"/>
      <c r="GY354" s="335"/>
      <c r="GZ354" s="335"/>
    </row>
    <row r="355" spans="1:208" ht="15">
      <c r="A355" s="379"/>
      <c r="B355" s="335"/>
      <c r="C355" s="335"/>
      <c r="D355" s="335"/>
      <c r="E355" s="335"/>
      <c r="F355" s="335"/>
      <c r="G355" s="335"/>
      <c r="H355" s="335"/>
      <c r="I355" s="335"/>
      <c r="J355" s="335"/>
      <c r="K355" s="335"/>
      <c r="L355" s="335"/>
      <c r="M355" s="376"/>
      <c r="N355" s="335"/>
      <c r="O355" s="380"/>
      <c r="P355" s="335"/>
      <c r="Q355" s="335"/>
      <c r="R355" s="335"/>
      <c r="S355" s="335"/>
      <c r="T355" s="335"/>
      <c r="U355" s="335"/>
      <c r="V355" s="335"/>
      <c r="W355" s="335"/>
      <c r="X355" s="335"/>
      <c r="Y355" s="335"/>
      <c r="Z355" s="335"/>
      <c r="AA355" s="335"/>
      <c r="AB355" s="335"/>
      <c r="AC355" s="335"/>
      <c r="AD355" s="335"/>
      <c r="AE355" s="335"/>
      <c r="AF355" s="335"/>
      <c r="AG355" s="335"/>
      <c r="AH355" s="335"/>
      <c r="AI355" s="335"/>
      <c r="AJ355" s="335"/>
      <c r="AK355" s="335"/>
      <c r="AL355" s="335"/>
      <c r="AM355" s="335"/>
      <c r="AN355" s="335"/>
      <c r="AO355" s="335"/>
      <c r="AP355" s="335"/>
      <c r="AQ355" s="335"/>
      <c r="AR355" s="335"/>
      <c r="AS355" s="335"/>
      <c r="AT355" s="335"/>
      <c r="AU355" s="335"/>
      <c r="AV355" s="335"/>
      <c r="AW355" s="335"/>
      <c r="AX355" s="335"/>
      <c r="AY355" s="335"/>
      <c r="AZ355" s="335"/>
      <c r="BA355" s="335"/>
      <c r="BB355" s="335"/>
      <c r="BC355" s="335"/>
      <c r="BD355" s="335"/>
      <c r="BE355" s="335"/>
      <c r="BF355" s="335"/>
      <c r="BG355" s="335"/>
      <c r="BH355" s="335"/>
      <c r="BI355" s="335"/>
      <c r="BJ355" s="335"/>
      <c r="BK355" s="335"/>
      <c r="BL355" s="335"/>
      <c r="BM355" s="335"/>
      <c r="BN355" s="335"/>
      <c r="BO355" s="335"/>
      <c r="BP355" s="335"/>
      <c r="BQ355" s="335"/>
      <c r="BR355" s="335"/>
      <c r="BS355" s="335"/>
      <c r="BT355" s="335"/>
      <c r="BU355" s="335"/>
      <c r="BV355" s="335"/>
      <c r="BW355" s="335"/>
      <c r="BX355" s="335"/>
      <c r="BY355" s="335"/>
      <c r="BZ355" s="335"/>
      <c r="CA355" s="335"/>
      <c r="CB355" s="335"/>
      <c r="CC355" s="335"/>
      <c r="CD355" s="335"/>
      <c r="CE355" s="335"/>
      <c r="CF355" s="335"/>
      <c r="CG355" s="335"/>
      <c r="CH355" s="335"/>
      <c r="CI355" s="335"/>
      <c r="CJ355" s="335"/>
      <c r="CK355" s="335"/>
      <c r="CL355" s="335"/>
      <c r="CM355" s="335"/>
      <c r="CN355" s="335"/>
      <c r="CO355" s="335"/>
      <c r="CP355" s="335"/>
      <c r="CQ355" s="335"/>
      <c r="CR355" s="335"/>
      <c r="CS355" s="335"/>
      <c r="CT355" s="335"/>
      <c r="CU355" s="335"/>
      <c r="CV355" s="335"/>
      <c r="CW355" s="335"/>
      <c r="CX355" s="335"/>
      <c r="CY355" s="335"/>
      <c r="CZ355" s="335"/>
      <c r="DA355" s="335"/>
      <c r="DB355" s="335"/>
      <c r="DC355" s="335"/>
      <c r="DD355" s="335"/>
      <c r="DE355" s="335"/>
      <c r="DF355" s="335"/>
      <c r="DG355" s="335"/>
      <c r="DH355" s="335"/>
      <c r="DI355" s="335"/>
      <c r="DJ355" s="335"/>
      <c r="DK355" s="335"/>
      <c r="DL355" s="335"/>
      <c r="DM355" s="335"/>
      <c r="DN355" s="335"/>
      <c r="DO355" s="335"/>
      <c r="DP355" s="335"/>
      <c r="DQ355" s="335"/>
      <c r="DR355" s="335"/>
      <c r="DS355" s="335"/>
      <c r="DT355" s="335"/>
      <c r="DU355" s="335"/>
      <c r="DV355" s="335"/>
      <c r="DW355" s="335"/>
      <c r="DX355" s="335"/>
      <c r="DY355" s="335"/>
      <c r="DZ355" s="335"/>
      <c r="EA355" s="335"/>
      <c r="EB355" s="335"/>
      <c r="EC355" s="335"/>
      <c r="ED355" s="335"/>
      <c r="EE355" s="335"/>
      <c r="EF355" s="335"/>
      <c r="EG355" s="335"/>
      <c r="EH355" s="335"/>
      <c r="EI355" s="335"/>
      <c r="EJ355" s="335"/>
      <c r="EK355" s="335"/>
      <c r="EL355" s="335"/>
      <c r="EM355" s="335"/>
      <c r="EN355" s="335"/>
      <c r="EO355" s="335"/>
      <c r="EP355" s="335"/>
      <c r="EQ355" s="335"/>
      <c r="ER355" s="335"/>
      <c r="ES355" s="335"/>
      <c r="ET355" s="335"/>
      <c r="EU355" s="335"/>
      <c r="EV355" s="335"/>
      <c r="EW355" s="335"/>
      <c r="EX355" s="335"/>
      <c r="EY355" s="335"/>
      <c r="EZ355" s="335"/>
      <c r="FA355" s="335"/>
      <c r="FB355" s="335"/>
      <c r="FC355" s="335"/>
      <c r="FD355" s="335"/>
      <c r="FE355" s="335"/>
      <c r="FF355" s="335"/>
      <c r="FG355" s="335"/>
      <c r="FH355" s="335"/>
      <c r="FI355" s="335"/>
      <c r="FJ355" s="335"/>
      <c r="FK355" s="335"/>
      <c r="FL355" s="335"/>
      <c r="FM355" s="335"/>
      <c r="FN355" s="335"/>
      <c r="FO355" s="335"/>
      <c r="FP355" s="335"/>
      <c r="FQ355" s="335"/>
      <c r="FR355" s="335"/>
      <c r="FS355" s="335"/>
      <c r="FT355" s="335"/>
      <c r="FU355" s="335"/>
      <c r="FV355" s="335"/>
      <c r="FW355" s="335"/>
      <c r="FX355" s="335"/>
      <c r="FY355" s="335"/>
      <c r="FZ355" s="335"/>
      <c r="GA355" s="335"/>
      <c r="GB355" s="335"/>
      <c r="GC355" s="335"/>
      <c r="GD355" s="335"/>
      <c r="GE355" s="335"/>
      <c r="GF355" s="335"/>
      <c r="GG355" s="335"/>
      <c r="GH355" s="335"/>
      <c r="GI355" s="335"/>
      <c r="GJ355" s="335"/>
      <c r="GK355" s="335"/>
      <c r="GL355" s="335"/>
      <c r="GM355" s="335"/>
      <c r="GN355" s="335"/>
      <c r="GO355" s="335"/>
      <c r="GP355" s="335"/>
      <c r="GQ355" s="335"/>
      <c r="GR355" s="335"/>
      <c r="GS355" s="335"/>
      <c r="GT355" s="335"/>
      <c r="GU355" s="335"/>
      <c r="GV355" s="335"/>
      <c r="GW355" s="335"/>
      <c r="GX355" s="335"/>
      <c r="GY355" s="335"/>
      <c r="GZ355" s="335"/>
    </row>
    <row r="356" spans="1:208" ht="15">
      <c r="A356" s="379"/>
      <c r="B356" s="335"/>
      <c r="C356" s="335"/>
      <c r="D356" s="335"/>
      <c r="E356" s="335"/>
      <c r="F356" s="335"/>
      <c r="G356" s="335"/>
      <c r="H356" s="335"/>
      <c r="I356" s="335"/>
      <c r="J356" s="335"/>
      <c r="K356" s="335"/>
      <c r="L356" s="335"/>
      <c r="M356" s="376"/>
      <c r="N356" s="335"/>
      <c r="O356" s="380"/>
      <c r="P356" s="335"/>
      <c r="Q356" s="335"/>
      <c r="R356" s="335"/>
      <c r="S356" s="335"/>
      <c r="T356" s="335"/>
      <c r="U356" s="335"/>
      <c r="V356" s="335"/>
      <c r="W356" s="335"/>
      <c r="X356" s="335"/>
      <c r="Y356" s="335"/>
      <c r="Z356" s="335"/>
      <c r="AA356" s="335"/>
      <c r="AB356" s="335"/>
      <c r="AC356" s="335"/>
      <c r="AD356" s="335"/>
      <c r="AE356" s="335"/>
      <c r="AF356" s="335"/>
      <c r="AG356" s="335"/>
      <c r="AH356" s="335"/>
      <c r="AI356" s="335"/>
      <c r="AJ356" s="335"/>
      <c r="AK356" s="335"/>
      <c r="AL356" s="335"/>
      <c r="AM356" s="335"/>
      <c r="AN356" s="335"/>
      <c r="AO356" s="335"/>
      <c r="AP356" s="335"/>
      <c r="AQ356" s="335"/>
      <c r="AR356" s="335"/>
      <c r="AS356" s="335"/>
      <c r="AT356" s="335"/>
      <c r="AU356" s="335"/>
      <c r="AV356" s="335"/>
      <c r="AW356" s="335"/>
      <c r="AX356" s="335"/>
      <c r="AY356" s="335"/>
      <c r="AZ356" s="335"/>
      <c r="BA356" s="335"/>
      <c r="BB356" s="335"/>
      <c r="BC356" s="335"/>
      <c r="BD356" s="335"/>
      <c r="BE356" s="335"/>
      <c r="BF356" s="335"/>
      <c r="BG356" s="335"/>
      <c r="BH356" s="335"/>
      <c r="BI356" s="335"/>
      <c r="BJ356" s="335"/>
      <c r="BK356" s="335"/>
      <c r="BL356" s="335"/>
      <c r="BM356" s="335"/>
      <c r="BN356" s="335"/>
      <c r="BO356" s="335"/>
      <c r="BP356" s="335"/>
      <c r="BQ356" s="335"/>
      <c r="BR356" s="335"/>
      <c r="BS356" s="335"/>
      <c r="BT356" s="335"/>
      <c r="BU356" s="335"/>
      <c r="BV356" s="335"/>
      <c r="BW356" s="335"/>
      <c r="BX356" s="335"/>
      <c r="BY356" s="335"/>
      <c r="BZ356" s="335"/>
      <c r="CA356" s="335"/>
      <c r="CB356" s="335"/>
      <c r="CC356" s="335"/>
      <c r="CD356" s="335"/>
      <c r="CE356" s="335"/>
      <c r="CF356" s="335"/>
      <c r="CG356" s="335"/>
      <c r="CH356" s="335"/>
      <c r="CI356" s="335"/>
      <c r="CJ356" s="335"/>
      <c r="CK356" s="335"/>
      <c r="CL356" s="335"/>
      <c r="CM356" s="335"/>
      <c r="CN356" s="335"/>
      <c r="CO356" s="335"/>
      <c r="CP356" s="335"/>
      <c r="CQ356" s="335"/>
      <c r="CR356" s="335"/>
      <c r="CS356" s="335"/>
      <c r="CT356" s="335"/>
      <c r="CU356" s="335"/>
      <c r="CV356" s="335"/>
      <c r="CW356" s="335"/>
      <c r="CX356" s="335"/>
      <c r="CY356" s="335"/>
      <c r="CZ356" s="335"/>
      <c r="DA356" s="335"/>
      <c r="DB356" s="335"/>
      <c r="DC356" s="335"/>
      <c r="DD356" s="335"/>
      <c r="DE356" s="335"/>
      <c r="DF356" s="335"/>
      <c r="DG356" s="335"/>
      <c r="DH356" s="335"/>
      <c r="DI356" s="335"/>
      <c r="DJ356" s="335"/>
      <c r="DK356" s="335"/>
      <c r="DL356" s="335"/>
      <c r="DM356" s="335"/>
      <c r="DN356" s="335"/>
      <c r="DO356" s="335"/>
      <c r="DP356" s="335"/>
      <c r="DQ356" s="335"/>
      <c r="DR356" s="335"/>
      <c r="DS356" s="335"/>
      <c r="DT356" s="335"/>
      <c r="DU356" s="335"/>
      <c r="DV356" s="335"/>
      <c r="DW356" s="335"/>
      <c r="DX356" s="335"/>
      <c r="DY356" s="335"/>
      <c r="DZ356" s="335"/>
      <c r="EA356" s="335"/>
      <c r="EB356" s="335"/>
      <c r="EC356" s="335"/>
      <c r="ED356" s="335"/>
      <c r="EE356" s="335"/>
      <c r="EF356" s="335"/>
      <c r="EG356" s="335"/>
      <c r="EH356" s="335"/>
      <c r="EI356" s="335"/>
      <c r="EJ356" s="335"/>
      <c r="EK356" s="335"/>
      <c r="EL356" s="335"/>
      <c r="EM356" s="335"/>
      <c r="EN356" s="335"/>
      <c r="EO356" s="335"/>
      <c r="EP356" s="335"/>
      <c r="EQ356" s="335"/>
      <c r="ER356" s="335"/>
      <c r="ES356" s="335"/>
      <c r="ET356" s="335"/>
      <c r="EU356" s="335"/>
      <c r="EV356" s="335"/>
      <c r="EW356" s="335"/>
      <c r="EX356" s="335"/>
      <c r="EY356" s="335"/>
      <c r="EZ356" s="335"/>
      <c r="FA356" s="335"/>
      <c r="FB356" s="335"/>
      <c r="FC356" s="335"/>
      <c r="FD356" s="335"/>
      <c r="FE356" s="335"/>
      <c r="FF356" s="335"/>
      <c r="FG356" s="335"/>
      <c r="FH356" s="335"/>
      <c r="FI356" s="335"/>
      <c r="FJ356" s="335"/>
      <c r="FK356" s="335"/>
      <c r="FL356" s="335"/>
      <c r="FM356" s="335"/>
      <c r="FN356" s="335"/>
      <c r="FO356" s="335"/>
      <c r="FP356" s="335"/>
      <c r="FQ356" s="335"/>
      <c r="FR356" s="335"/>
      <c r="FS356" s="335"/>
      <c r="FT356" s="335"/>
      <c r="FU356" s="335"/>
      <c r="FV356" s="335"/>
      <c r="FW356" s="335"/>
      <c r="FX356" s="335"/>
      <c r="FY356" s="335"/>
      <c r="FZ356" s="335"/>
      <c r="GA356" s="335"/>
      <c r="GB356" s="335"/>
      <c r="GC356" s="335"/>
      <c r="GD356" s="335"/>
      <c r="GE356" s="335"/>
      <c r="GF356" s="335"/>
      <c r="GG356" s="335"/>
      <c r="GH356" s="335"/>
      <c r="GI356" s="335"/>
      <c r="GJ356" s="335"/>
      <c r="GK356" s="335"/>
      <c r="GL356" s="335"/>
      <c r="GM356" s="335"/>
      <c r="GN356" s="335"/>
      <c r="GO356" s="335"/>
      <c r="GP356" s="335"/>
      <c r="GQ356" s="335"/>
      <c r="GR356" s="335"/>
      <c r="GS356" s="335"/>
      <c r="GT356" s="335"/>
      <c r="GU356" s="335"/>
      <c r="GV356" s="335"/>
      <c r="GW356" s="335"/>
      <c r="GX356" s="335"/>
      <c r="GY356" s="335"/>
      <c r="GZ356" s="335"/>
    </row>
    <row r="357" spans="1:208" ht="15">
      <c r="A357" s="379"/>
      <c r="B357" s="335"/>
      <c r="C357" s="335"/>
      <c r="D357" s="335"/>
      <c r="E357" s="335"/>
      <c r="F357" s="335"/>
      <c r="G357" s="335"/>
      <c r="H357" s="335"/>
      <c r="I357" s="335"/>
      <c r="J357" s="335"/>
      <c r="K357" s="335"/>
      <c r="L357" s="335"/>
      <c r="M357" s="376"/>
      <c r="N357" s="335"/>
      <c r="O357" s="380"/>
      <c r="P357" s="335"/>
      <c r="Q357" s="335"/>
      <c r="R357" s="335"/>
      <c r="S357" s="335"/>
      <c r="T357" s="335"/>
      <c r="U357" s="335"/>
      <c r="V357" s="335"/>
      <c r="W357" s="335"/>
      <c r="X357" s="335"/>
      <c r="Y357" s="335"/>
      <c r="Z357" s="335"/>
      <c r="AA357" s="335"/>
      <c r="AB357" s="335"/>
      <c r="AC357" s="335"/>
      <c r="AD357" s="335"/>
      <c r="AE357" s="335"/>
      <c r="AF357" s="335"/>
      <c r="AG357" s="335"/>
      <c r="AH357" s="335"/>
      <c r="AI357" s="335"/>
      <c r="AJ357" s="335"/>
      <c r="AK357" s="335"/>
      <c r="AL357" s="335"/>
      <c r="AM357" s="335"/>
      <c r="AN357" s="335"/>
      <c r="AO357" s="335"/>
      <c r="AP357" s="335"/>
      <c r="AQ357" s="335"/>
      <c r="AR357" s="335"/>
      <c r="AS357" s="335"/>
      <c r="AT357" s="335"/>
      <c r="AU357" s="335"/>
      <c r="AV357" s="335"/>
      <c r="AW357" s="335"/>
      <c r="AX357" s="335"/>
      <c r="AY357" s="335"/>
      <c r="AZ357" s="335"/>
      <c r="BA357" s="335"/>
      <c r="BB357" s="335"/>
      <c r="BC357" s="335"/>
      <c r="BD357" s="335"/>
      <c r="BE357" s="335"/>
      <c r="BF357" s="335"/>
      <c r="BG357" s="335"/>
      <c r="BH357" s="335"/>
      <c r="BI357" s="335"/>
      <c r="BJ357" s="335"/>
      <c r="BK357" s="335"/>
      <c r="BL357" s="335"/>
      <c r="BM357" s="335"/>
      <c r="BN357" s="335"/>
      <c r="BO357" s="335"/>
      <c r="BP357" s="335"/>
      <c r="BQ357" s="335"/>
      <c r="BR357" s="335"/>
      <c r="BS357" s="335"/>
      <c r="BT357" s="335"/>
      <c r="BU357" s="335"/>
      <c r="BV357" s="335"/>
      <c r="BW357" s="335"/>
      <c r="BX357" s="335"/>
      <c r="BY357" s="335"/>
      <c r="BZ357" s="335"/>
      <c r="CA357" s="335"/>
      <c r="CB357" s="335"/>
      <c r="CC357" s="335"/>
      <c r="CD357" s="335"/>
      <c r="CE357" s="335"/>
      <c r="CF357" s="335"/>
      <c r="CG357" s="335"/>
      <c r="CH357" s="335"/>
      <c r="CI357" s="335"/>
      <c r="CJ357" s="335"/>
      <c r="CK357" s="335"/>
      <c r="CL357" s="335"/>
      <c r="CM357" s="335"/>
      <c r="CN357" s="335"/>
      <c r="CO357" s="335"/>
      <c r="CP357" s="335"/>
      <c r="CQ357" s="335"/>
      <c r="CR357" s="335"/>
      <c r="CS357" s="335"/>
      <c r="CT357" s="335"/>
      <c r="CU357" s="335"/>
      <c r="CV357" s="335"/>
      <c r="CW357" s="335"/>
      <c r="CX357" s="335"/>
      <c r="CY357" s="335"/>
      <c r="CZ357" s="335"/>
      <c r="DA357" s="335"/>
      <c r="DB357" s="335"/>
      <c r="DC357" s="335"/>
      <c r="DD357" s="335"/>
      <c r="DE357" s="335"/>
      <c r="DF357" s="335"/>
      <c r="DG357" s="335"/>
      <c r="DH357" s="335"/>
      <c r="DI357" s="335"/>
      <c r="DJ357" s="335"/>
      <c r="DK357" s="335"/>
      <c r="DL357" s="335"/>
      <c r="DM357" s="335"/>
      <c r="DN357" s="335"/>
      <c r="DO357" s="335"/>
      <c r="DP357" s="335"/>
      <c r="DQ357" s="335"/>
      <c r="DR357" s="335"/>
      <c r="DS357" s="335"/>
      <c r="DT357" s="335"/>
      <c r="DU357" s="335"/>
      <c r="DV357" s="335"/>
      <c r="DW357" s="335"/>
      <c r="DX357" s="335"/>
      <c r="DY357" s="335"/>
      <c r="DZ357" s="335"/>
      <c r="EA357" s="335"/>
      <c r="EB357" s="335"/>
      <c r="EC357" s="335"/>
      <c r="ED357" s="335"/>
      <c r="EE357" s="335"/>
      <c r="EF357" s="335"/>
      <c r="EG357" s="335"/>
      <c r="EH357" s="335"/>
      <c r="EI357" s="335"/>
      <c r="EJ357" s="335"/>
      <c r="EK357" s="335"/>
      <c r="EL357" s="335"/>
      <c r="EM357" s="335"/>
      <c r="EN357" s="335"/>
      <c r="EO357" s="335"/>
      <c r="EP357" s="335"/>
      <c r="EQ357" s="335"/>
      <c r="ER357" s="335"/>
      <c r="ES357" s="335"/>
      <c r="ET357" s="335"/>
      <c r="EU357" s="335"/>
      <c r="EV357" s="335"/>
      <c r="EW357" s="335"/>
      <c r="EX357" s="335"/>
      <c r="EY357" s="335"/>
      <c r="EZ357" s="335"/>
      <c r="FA357" s="335"/>
      <c r="FB357" s="335"/>
      <c r="FC357" s="335"/>
      <c r="FD357" s="335"/>
      <c r="FE357" s="335"/>
      <c r="FF357" s="335"/>
      <c r="FG357" s="335"/>
      <c r="FH357" s="335"/>
      <c r="FI357" s="335"/>
      <c r="FJ357" s="335"/>
      <c r="FK357" s="335"/>
      <c r="FL357" s="335"/>
      <c r="FM357" s="335"/>
      <c r="FN357" s="335"/>
      <c r="FO357" s="335"/>
      <c r="FP357" s="335"/>
      <c r="FQ357" s="335"/>
      <c r="FR357" s="335"/>
      <c r="FS357" s="335"/>
      <c r="FT357" s="335"/>
      <c r="FU357" s="335"/>
      <c r="FV357" s="335"/>
      <c r="FW357" s="335"/>
      <c r="FX357" s="335"/>
      <c r="FY357" s="335"/>
      <c r="FZ357" s="335"/>
      <c r="GA357" s="335"/>
      <c r="GB357" s="335"/>
      <c r="GC357" s="335"/>
      <c r="GD357" s="335"/>
      <c r="GE357" s="335"/>
      <c r="GF357" s="335"/>
      <c r="GG357" s="335"/>
      <c r="GH357" s="335"/>
      <c r="GI357" s="335"/>
      <c r="GJ357" s="335"/>
      <c r="GK357" s="335"/>
      <c r="GL357" s="335"/>
      <c r="GM357" s="335"/>
      <c r="GN357" s="335"/>
      <c r="GO357" s="335"/>
      <c r="GP357" s="335"/>
      <c r="GQ357" s="335"/>
      <c r="GR357" s="335"/>
      <c r="GS357" s="335"/>
      <c r="GT357" s="335"/>
      <c r="GU357" s="335"/>
      <c r="GV357" s="335"/>
      <c r="GW357" s="335"/>
      <c r="GX357" s="335"/>
      <c r="GY357" s="335"/>
      <c r="GZ357" s="335"/>
    </row>
    <row r="358" spans="1:208" ht="15">
      <c r="A358" s="379"/>
      <c r="B358" s="335"/>
      <c r="C358" s="335"/>
      <c r="D358" s="335"/>
      <c r="E358" s="335"/>
      <c r="F358" s="335"/>
      <c r="G358" s="335"/>
      <c r="H358" s="335"/>
      <c r="I358" s="335"/>
      <c r="J358" s="335"/>
      <c r="K358" s="335"/>
      <c r="L358" s="335"/>
      <c r="M358" s="376"/>
      <c r="N358" s="335"/>
      <c r="O358" s="380"/>
      <c r="P358" s="335"/>
      <c r="Q358" s="335"/>
      <c r="R358" s="335"/>
      <c r="S358" s="335"/>
      <c r="T358" s="335"/>
      <c r="U358" s="335"/>
      <c r="V358" s="335"/>
      <c r="W358" s="335"/>
      <c r="X358" s="335"/>
      <c r="Y358" s="335"/>
      <c r="Z358" s="335"/>
      <c r="AA358" s="335"/>
      <c r="AB358" s="335"/>
      <c r="AC358" s="335"/>
      <c r="AD358" s="335"/>
      <c r="AE358" s="335"/>
      <c r="AF358" s="335"/>
      <c r="AG358" s="335"/>
      <c r="AH358" s="335"/>
      <c r="AI358" s="335"/>
      <c r="AJ358" s="335"/>
      <c r="AK358" s="335"/>
      <c r="AL358" s="335"/>
      <c r="AM358" s="335"/>
      <c r="AN358" s="335"/>
      <c r="AO358" s="335"/>
      <c r="AP358" s="335"/>
      <c r="AQ358" s="335"/>
      <c r="AR358" s="335"/>
      <c r="AS358" s="335"/>
      <c r="AT358" s="335"/>
      <c r="AU358" s="335"/>
      <c r="AV358" s="335"/>
      <c r="AW358" s="335"/>
      <c r="AX358" s="335"/>
      <c r="AY358" s="335"/>
      <c r="AZ358" s="335"/>
      <c r="BA358" s="335"/>
      <c r="BB358" s="335"/>
      <c r="BC358" s="335"/>
      <c r="BD358" s="335"/>
      <c r="BE358" s="335"/>
      <c r="BF358" s="335"/>
      <c r="BG358" s="335"/>
      <c r="BH358" s="335"/>
      <c r="BI358" s="335"/>
      <c r="BJ358" s="335"/>
      <c r="BK358" s="335"/>
      <c r="BL358" s="335"/>
      <c r="BM358" s="335"/>
      <c r="BN358" s="335"/>
      <c r="BO358" s="335"/>
      <c r="BP358" s="335"/>
      <c r="BQ358" s="335"/>
      <c r="BR358" s="335"/>
      <c r="BS358" s="335"/>
      <c r="BT358" s="335"/>
      <c r="BU358" s="335"/>
      <c r="BV358" s="335"/>
      <c r="BW358" s="335"/>
      <c r="BX358" s="335"/>
      <c r="BY358" s="335"/>
      <c r="BZ358" s="335"/>
      <c r="CA358" s="335"/>
      <c r="CB358" s="335"/>
      <c r="CC358" s="335"/>
      <c r="CD358" s="335"/>
      <c r="CE358" s="335"/>
      <c r="CF358" s="335"/>
      <c r="CG358" s="335"/>
      <c r="CH358" s="335"/>
      <c r="CI358" s="335"/>
      <c r="CJ358" s="335"/>
      <c r="CK358" s="335"/>
      <c r="CL358" s="335"/>
      <c r="CM358" s="335"/>
      <c r="CN358" s="335"/>
      <c r="CO358" s="335"/>
      <c r="CP358" s="335"/>
      <c r="CQ358" s="335"/>
      <c r="CR358" s="335"/>
      <c r="CS358" s="335"/>
      <c r="CT358" s="335"/>
      <c r="CU358" s="335"/>
      <c r="CV358" s="335"/>
      <c r="CW358" s="335"/>
      <c r="CX358" s="335"/>
      <c r="CY358" s="335"/>
      <c r="CZ358" s="335"/>
      <c r="DA358" s="335"/>
      <c r="DB358" s="335"/>
      <c r="DC358" s="335"/>
      <c r="DD358" s="335"/>
      <c r="DE358" s="335"/>
      <c r="DF358" s="335"/>
      <c r="DG358" s="335"/>
      <c r="DH358" s="335"/>
      <c r="DI358" s="335"/>
      <c r="DJ358" s="335"/>
      <c r="DK358" s="335"/>
      <c r="DL358" s="335"/>
      <c r="DM358" s="335"/>
      <c r="DN358" s="335"/>
      <c r="DO358" s="335"/>
      <c r="DP358" s="335"/>
      <c r="DQ358" s="335"/>
      <c r="DR358" s="335"/>
      <c r="DS358" s="335"/>
      <c r="DT358" s="335"/>
      <c r="DU358" s="335"/>
      <c r="DV358" s="335"/>
      <c r="DW358" s="335"/>
      <c r="DX358" s="335"/>
      <c r="DY358" s="335"/>
      <c r="DZ358" s="335"/>
      <c r="EA358" s="335"/>
      <c r="EB358" s="335"/>
      <c r="EC358" s="335"/>
      <c r="ED358" s="335"/>
      <c r="EE358" s="335"/>
      <c r="EF358" s="335"/>
      <c r="EG358" s="335"/>
      <c r="EH358" s="335"/>
      <c r="EI358" s="335"/>
      <c r="EJ358" s="335"/>
      <c r="EK358" s="335"/>
      <c r="EL358" s="335"/>
      <c r="EM358" s="335"/>
      <c r="EN358" s="335"/>
      <c r="EO358" s="335"/>
      <c r="EP358" s="335"/>
      <c r="EQ358" s="335"/>
      <c r="ER358" s="335"/>
      <c r="ES358" s="335"/>
      <c r="ET358" s="335"/>
      <c r="EU358" s="335"/>
      <c r="EV358" s="335"/>
      <c r="EW358" s="335"/>
      <c r="EX358" s="335"/>
      <c r="EY358" s="335"/>
      <c r="EZ358" s="335"/>
      <c r="FA358" s="335"/>
      <c r="FB358" s="335"/>
      <c r="FC358" s="335"/>
      <c r="FD358" s="335"/>
      <c r="FE358" s="335"/>
      <c r="FF358" s="335"/>
      <c r="FG358" s="335"/>
      <c r="FH358" s="335"/>
      <c r="FI358" s="335"/>
      <c r="FJ358" s="335"/>
      <c r="FK358" s="335"/>
      <c r="FL358" s="335"/>
      <c r="FM358" s="335"/>
      <c r="FN358" s="335"/>
      <c r="FO358" s="335"/>
      <c r="FP358" s="335"/>
      <c r="FQ358" s="335"/>
      <c r="FR358" s="335"/>
      <c r="FS358" s="335"/>
      <c r="FT358" s="335"/>
      <c r="FU358" s="335"/>
      <c r="FV358" s="335"/>
      <c r="FW358" s="335"/>
      <c r="FX358" s="335"/>
      <c r="FY358" s="335"/>
      <c r="FZ358" s="335"/>
      <c r="GA358" s="335"/>
      <c r="GB358" s="335"/>
      <c r="GC358" s="335"/>
      <c r="GD358" s="335"/>
      <c r="GE358" s="335"/>
      <c r="GF358" s="335"/>
      <c r="GG358" s="335"/>
      <c r="GH358" s="335"/>
      <c r="GI358" s="335"/>
      <c r="GJ358" s="335"/>
      <c r="GK358" s="335"/>
      <c r="GL358" s="335"/>
      <c r="GM358" s="335"/>
      <c r="GN358" s="335"/>
      <c r="GO358" s="335"/>
      <c r="GP358" s="335"/>
      <c r="GQ358" s="335"/>
      <c r="GR358" s="335"/>
      <c r="GS358" s="335"/>
      <c r="GT358" s="335"/>
      <c r="GU358" s="335"/>
      <c r="GV358" s="335"/>
      <c r="GW358" s="335"/>
      <c r="GX358" s="335"/>
      <c r="GY358" s="335"/>
      <c r="GZ358" s="335"/>
    </row>
    <row r="359" spans="1:208" ht="15">
      <c r="A359" s="379"/>
      <c r="B359" s="335"/>
      <c r="C359" s="335"/>
      <c r="D359" s="335"/>
      <c r="E359" s="335"/>
      <c r="F359" s="335"/>
      <c r="G359" s="335"/>
      <c r="H359" s="335"/>
      <c r="I359" s="335"/>
      <c r="J359" s="335"/>
      <c r="K359" s="335"/>
      <c r="L359" s="335"/>
      <c r="M359" s="376"/>
      <c r="N359" s="335"/>
      <c r="O359" s="380"/>
      <c r="P359" s="335"/>
      <c r="Q359" s="335"/>
      <c r="R359" s="335"/>
      <c r="S359" s="335"/>
      <c r="T359" s="335"/>
      <c r="U359" s="335"/>
      <c r="V359" s="335"/>
      <c r="W359" s="335"/>
      <c r="X359" s="335"/>
      <c r="Y359" s="335"/>
      <c r="Z359" s="335"/>
      <c r="AA359" s="335"/>
      <c r="AB359" s="335"/>
      <c r="AC359" s="335"/>
      <c r="AD359" s="335"/>
      <c r="AE359" s="335"/>
      <c r="AF359" s="335"/>
      <c r="AG359" s="335"/>
      <c r="AH359" s="335"/>
      <c r="AI359" s="335"/>
      <c r="AJ359" s="335"/>
      <c r="AK359" s="335"/>
      <c r="AL359" s="335"/>
      <c r="AM359" s="335"/>
      <c r="AN359" s="335"/>
      <c r="AO359" s="335"/>
      <c r="AP359" s="335"/>
      <c r="AQ359" s="335"/>
      <c r="AR359" s="335"/>
      <c r="AS359" s="335"/>
      <c r="AT359" s="335"/>
      <c r="AU359" s="335"/>
      <c r="AV359" s="335"/>
      <c r="AW359" s="335"/>
      <c r="AX359" s="335"/>
      <c r="AY359" s="335"/>
      <c r="AZ359" s="335"/>
      <c r="BA359" s="335"/>
      <c r="BB359" s="335"/>
      <c r="BC359" s="335"/>
      <c r="BD359" s="335"/>
      <c r="BE359" s="335"/>
      <c r="BF359" s="335"/>
      <c r="BG359" s="335"/>
      <c r="BH359" s="335"/>
      <c r="BI359" s="335"/>
      <c r="BJ359" s="335"/>
      <c r="BK359" s="335"/>
      <c r="BL359" s="335"/>
      <c r="BM359" s="335"/>
      <c r="BN359" s="335"/>
      <c r="BO359" s="335"/>
      <c r="BP359" s="335"/>
      <c r="BQ359" s="335"/>
      <c r="BR359" s="335"/>
      <c r="BS359" s="335"/>
      <c r="BT359" s="335"/>
      <c r="BU359" s="335"/>
      <c r="BV359" s="335"/>
      <c r="BW359" s="335"/>
      <c r="BX359" s="335"/>
      <c r="BY359" s="335"/>
      <c r="BZ359" s="335"/>
      <c r="CA359" s="335"/>
      <c r="CB359" s="335"/>
      <c r="CC359" s="335"/>
      <c r="CD359" s="335"/>
      <c r="CE359" s="335"/>
      <c r="CF359" s="335"/>
      <c r="CG359" s="335"/>
      <c r="CH359" s="335"/>
      <c r="CI359" s="335"/>
      <c r="CJ359" s="335"/>
      <c r="CK359" s="335"/>
      <c r="CL359" s="335"/>
      <c r="CM359" s="335"/>
      <c r="CN359" s="335"/>
      <c r="CO359" s="335"/>
      <c r="CP359" s="335"/>
      <c r="CQ359" s="335"/>
      <c r="CR359" s="335"/>
      <c r="CS359" s="335"/>
      <c r="CT359" s="335"/>
      <c r="CU359" s="335"/>
      <c r="CV359" s="335"/>
      <c r="CW359" s="335"/>
      <c r="CX359" s="335"/>
      <c r="CY359" s="335"/>
      <c r="CZ359" s="335"/>
      <c r="DA359" s="335"/>
      <c r="DB359" s="335"/>
      <c r="DC359" s="335"/>
      <c r="DD359" s="335"/>
      <c r="DE359" s="335"/>
      <c r="DF359" s="335"/>
      <c r="DG359" s="335"/>
      <c r="DH359" s="335"/>
      <c r="DI359" s="335"/>
      <c r="DJ359" s="335"/>
      <c r="DK359" s="335"/>
      <c r="DL359" s="335"/>
      <c r="DM359" s="335"/>
      <c r="DN359" s="335"/>
      <c r="DO359" s="335"/>
      <c r="DP359" s="335"/>
      <c r="DQ359" s="335"/>
      <c r="DR359" s="335"/>
      <c r="DS359" s="335"/>
      <c r="DT359" s="335"/>
      <c r="DU359" s="335"/>
      <c r="DV359" s="335"/>
      <c r="DW359" s="335"/>
      <c r="DX359" s="335"/>
      <c r="DY359" s="335"/>
      <c r="DZ359" s="335"/>
      <c r="EA359" s="335"/>
      <c r="EB359" s="335"/>
      <c r="EC359" s="335"/>
      <c r="ED359" s="335"/>
      <c r="EE359" s="335"/>
      <c r="EF359" s="335"/>
      <c r="EG359" s="335"/>
      <c r="EH359" s="335"/>
      <c r="EI359" s="335"/>
      <c r="EJ359" s="335"/>
      <c r="EK359" s="335"/>
      <c r="EL359" s="335"/>
      <c r="EM359" s="335"/>
      <c r="EN359" s="335"/>
      <c r="EO359" s="335"/>
      <c r="EP359" s="335"/>
      <c r="EQ359" s="335"/>
      <c r="ER359" s="335"/>
      <c r="ES359" s="335"/>
      <c r="ET359" s="335"/>
      <c r="EU359" s="335"/>
      <c r="EV359" s="335"/>
      <c r="EW359" s="335"/>
      <c r="EX359" s="335"/>
      <c r="EY359" s="335"/>
      <c r="EZ359" s="335"/>
      <c r="FA359" s="335"/>
      <c r="FB359" s="335"/>
      <c r="FC359" s="335"/>
      <c r="FD359" s="335"/>
      <c r="FE359" s="335"/>
      <c r="FF359" s="335"/>
      <c r="FG359" s="335"/>
      <c r="FH359" s="335"/>
      <c r="FI359" s="335"/>
      <c r="FJ359" s="335"/>
      <c r="FK359" s="335"/>
      <c r="FL359" s="335"/>
      <c r="FM359" s="335"/>
      <c r="FN359" s="335"/>
      <c r="FO359" s="335"/>
      <c r="FP359" s="335"/>
      <c r="FQ359" s="335"/>
      <c r="FR359" s="335"/>
      <c r="FS359" s="335"/>
      <c r="FT359" s="335"/>
      <c r="FU359" s="335"/>
      <c r="FV359" s="335"/>
      <c r="FW359" s="335"/>
      <c r="FX359" s="335"/>
      <c r="FY359" s="335"/>
      <c r="FZ359" s="335"/>
      <c r="GA359" s="335"/>
      <c r="GB359" s="335"/>
      <c r="GC359" s="335"/>
      <c r="GD359" s="335"/>
      <c r="GE359" s="335"/>
      <c r="GF359" s="335"/>
      <c r="GG359" s="335"/>
      <c r="GH359" s="335"/>
      <c r="GI359" s="335"/>
      <c r="GJ359" s="335"/>
      <c r="GK359" s="335"/>
      <c r="GL359" s="335"/>
      <c r="GM359" s="335"/>
      <c r="GN359" s="335"/>
      <c r="GO359" s="335"/>
      <c r="GP359" s="335"/>
      <c r="GQ359" s="335"/>
      <c r="GR359" s="335"/>
      <c r="GS359" s="335"/>
      <c r="GT359" s="335"/>
      <c r="GU359" s="335"/>
      <c r="GV359" s="335"/>
      <c r="GW359" s="335"/>
      <c r="GX359" s="335"/>
      <c r="GY359" s="335"/>
      <c r="GZ359" s="335"/>
    </row>
    <row r="360" spans="1:208" ht="15">
      <c r="A360" s="379"/>
      <c r="B360" s="335"/>
      <c r="C360" s="335"/>
      <c r="D360" s="335"/>
      <c r="E360" s="335"/>
      <c r="F360" s="335"/>
      <c r="G360" s="335"/>
      <c r="H360" s="335"/>
      <c r="I360" s="335"/>
      <c r="J360" s="335"/>
      <c r="K360" s="335"/>
      <c r="L360" s="335"/>
      <c r="M360" s="376"/>
      <c r="N360" s="335"/>
      <c r="O360" s="380"/>
      <c r="P360" s="335"/>
      <c r="Q360" s="335"/>
      <c r="R360" s="335"/>
      <c r="S360" s="335"/>
      <c r="T360" s="335"/>
      <c r="U360" s="335"/>
      <c r="V360" s="335"/>
      <c r="W360" s="335"/>
      <c r="X360" s="335"/>
      <c r="Y360" s="335"/>
      <c r="Z360" s="335"/>
      <c r="AA360" s="335"/>
      <c r="AB360" s="335"/>
      <c r="AC360" s="335"/>
      <c r="AD360" s="335"/>
      <c r="AE360" s="335"/>
      <c r="AF360" s="335"/>
      <c r="AG360" s="335"/>
      <c r="AH360" s="335"/>
      <c r="AI360" s="335"/>
      <c r="AJ360" s="335"/>
      <c r="AK360" s="335"/>
      <c r="AL360" s="335"/>
      <c r="AM360" s="335"/>
      <c r="AN360" s="335"/>
      <c r="AO360" s="335"/>
      <c r="AP360" s="335"/>
      <c r="AQ360" s="335"/>
      <c r="AR360" s="335"/>
      <c r="AS360" s="335"/>
      <c r="AT360" s="335"/>
      <c r="AU360" s="335"/>
      <c r="AV360" s="335"/>
      <c r="AW360" s="335"/>
      <c r="AX360" s="335"/>
      <c r="AY360" s="335"/>
      <c r="AZ360" s="335"/>
      <c r="BA360" s="335"/>
      <c r="BB360" s="335"/>
      <c r="BC360" s="335"/>
      <c r="BD360" s="335"/>
      <c r="BE360" s="335"/>
      <c r="BF360" s="335"/>
      <c r="BG360" s="335"/>
      <c r="BH360" s="335"/>
      <c r="BI360" s="335"/>
      <c r="BJ360" s="335"/>
      <c r="BK360" s="335"/>
      <c r="BL360" s="335"/>
      <c r="BM360" s="335"/>
      <c r="BN360" s="335"/>
      <c r="BO360" s="335"/>
      <c r="BP360" s="335"/>
      <c r="BQ360" s="335"/>
      <c r="BR360" s="335"/>
      <c r="BS360" s="335"/>
      <c r="BT360" s="335"/>
      <c r="BU360" s="335"/>
      <c r="BV360" s="335"/>
      <c r="BW360" s="335"/>
      <c r="BX360" s="335"/>
      <c r="BY360" s="335"/>
      <c r="BZ360" s="335"/>
      <c r="CA360" s="335"/>
      <c r="CB360" s="335"/>
      <c r="CC360" s="335"/>
      <c r="CD360" s="335"/>
      <c r="CE360" s="335"/>
      <c r="CF360" s="335"/>
      <c r="CG360" s="335"/>
      <c r="CH360" s="335"/>
      <c r="CI360" s="335"/>
      <c r="CJ360" s="335"/>
      <c r="CK360" s="335"/>
      <c r="CL360" s="335"/>
      <c r="CM360" s="335"/>
      <c r="CN360" s="335"/>
      <c r="CO360" s="335"/>
      <c r="CP360" s="335"/>
      <c r="CQ360" s="335"/>
      <c r="CR360" s="335"/>
      <c r="CS360" s="335"/>
      <c r="CT360" s="335"/>
      <c r="CU360" s="335"/>
      <c r="CV360" s="335"/>
      <c r="CW360" s="335"/>
      <c r="CX360" s="335"/>
      <c r="CY360" s="335"/>
      <c r="CZ360" s="335"/>
      <c r="DA360" s="335"/>
      <c r="DB360" s="335"/>
      <c r="DC360" s="335"/>
      <c r="DD360" s="335"/>
      <c r="DE360" s="335"/>
      <c r="DF360" s="335"/>
      <c r="DG360" s="335"/>
      <c r="DH360" s="335"/>
      <c r="DI360" s="335"/>
      <c r="DJ360" s="335"/>
      <c r="DK360" s="335"/>
      <c r="DL360" s="335"/>
      <c r="DM360" s="335"/>
      <c r="DN360" s="335"/>
      <c r="DO360" s="335"/>
      <c r="DP360" s="335"/>
      <c r="DQ360" s="335"/>
      <c r="DR360" s="335"/>
      <c r="DS360" s="335"/>
      <c r="DT360" s="335"/>
      <c r="DU360" s="335"/>
      <c r="DV360" s="335"/>
      <c r="DW360" s="335"/>
      <c r="DX360" s="335"/>
      <c r="DY360" s="335"/>
      <c r="DZ360" s="335"/>
      <c r="EA360" s="335"/>
      <c r="EB360" s="335"/>
      <c r="EC360" s="335"/>
      <c r="ED360" s="335"/>
      <c r="EE360" s="335"/>
      <c r="EF360" s="335"/>
      <c r="EG360" s="335"/>
      <c r="EH360" s="335"/>
      <c r="EI360" s="335"/>
      <c r="EJ360" s="335"/>
      <c r="EK360" s="335"/>
      <c r="EL360" s="335"/>
      <c r="EM360" s="335"/>
      <c r="EN360" s="335"/>
      <c r="EO360" s="335"/>
      <c r="EP360" s="335"/>
      <c r="EQ360" s="335"/>
      <c r="ER360" s="335"/>
      <c r="ES360" s="335"/>
      <c r="ET360" s="335"/>
      <c r="EU360" s="335"/>
      <c r="EV360" s="335"/>
      <c r="EW360" s="335"/>
      <c r="EX360" s="335"/>
      <c r="EY360" s="335"/>
      <c r="EZ360" s="335"/>
      <c r="FA360" s="335"/>
      <c r="FB360" s="335"/>
      <c r="FC360" s="335"/>
      <c r="FD360" s="335"/>
      <c r="FE360" s="335"/>
      <c r="FF360" s="335"/>
      <c r="FG360" s="335"/>
      <c r="FH360" s="335"/>
      <c r="FI360" s="335"/>
      <c r="FJ360" s="335"/>
      <c r="FK360" s="335"/>
      <c r="FL360" s="335"/>
      <c r="FM360" s="335"/>
      <c r="FN360" s="335"/>
      <c r="FO360" s="335"/>
      <c r="FP360" s="335"/>
      <c r="FQ360" s="335"/>
      <c r="FR360" s="335"/>
      <c r="FS360" s="335"/>
      <c r="FT360" s="335"/>
      <c r="FU360" s="335"/>
      <c r="FV360" s="335"/>
      <c r="FW360" s="335"/>
      <c r="FX360" s="335"/>
      <c r="FY360" s="335"/>
      <c r="FZ360" s="335"/>
      <c r="GA360" s="335"/>
      <c r="GB360" s="335"/>
      <c r="GC360" s="335"/>
      <c r="GD360" s="335"/>
      <c r="GE360" s="335"/>
      <c r="GF360" s="335"/>
      <c r="GG360" s="335"/>
      <c r="GH360" s="335"/>
      <c r="GI360" s="335"/>
      <c r="GJ360" s="335"/>
      <c r="GK360" s="335"/>
      <c r="GL360" s="335"/>
      <c r="GM360" s="335"/>
      <c r="GN360" s="335"/>
      <c r="GO360" s="335"/>
      <c r="GP360" s="335"/>
      <c r="GQ360" s="335"/>
      <c r="GR360" s="335"/>
      <c r="GS360" s="335"/>
      <c r="GT360" s="335"/>
      <c r="GU360" s="335"/>
      <c r="GV360" s="335"/>
      <c r="GW360" s="335"/>
      <c r="GX360" s="335"/>
      <c r="GY360" s="335"/>
      <c r="GZ360" s="335"/>
    </row>
    <row r="361" spans="1:208" ht="15">
      <c r="A361" s="379"/>
      <c r="B361" s="335"/>
      <c r="C361" s="335"/>
      <c r="D361" s="335"/>
      <c r="E361" s="335"/>
      <c r="F361" s="335"/>
      <c r="G361" s="335"/>
      <c r="H361" s="335"/>
      <c r="I361" s="335"/>
      <c r="J361" s="335"/>
      <c r="K361" s="335"/>
      <c r="L361" s="335"/>
      <c r="M361" s="376"/>
      <c r="N361" s="335"/>
      <c r="O361" s="380"/>
      <c r="P361" s="335"/>
      <c r="Q361" s="335"/>
      <c r="R361" s="335"/>
      <c r="S361" s="335"/>
      <c r="T361" s="335"/>
      <c r="U361" s="335"/>
      <c r="V361" s="335"/>
      <c r="W361" s="335"/>
      <c r="X361" s="335"/>
      <c r="Y361" s="335"/>
      <c r="Z361" s="335"/>
      <c r="AA361" s="335"/>
      <c r="AB361" s="335"/>
      <c r="AC361" s="335"/>
      <c r="AD361" s="335"/>
      <c r="AE361" s="335"/>
      <c r="AF361" s="335"/>
      <c r="AG361" s="335"/>
      <c r="AH361" s="335"/>
      <c r="AI361" s="335"/>
      <c r="AJ361" s="335"/>
      <c r="AK361" s="335"/>
      <c r="AL361" s="335"/>
      <c r="AM361" s="335"/>
      <c r="AN361" s="335"/>
      <c r="AO361" s="335"/>
      <c r="AP361" s="335"/>
      <c r="AQ361" s="335"/>
      <c r="AR361" s="335"/>
      <c r="AS361" s="335"/>
      <c r="AT361" s="335"/>
      <c r="AU361" s="335"/>
      <c r="AV361" s="335"/>
      <c r="AW361" s="335"/>
      <c r="AX361" s="335"/>
      <c r="AY361" s="335"/>
      <c r="AZ361" s="335"/>
      <c r="BA361" s="335"/>
      <c r="BB361" s="335"/>
      <c r="BC361" s="335"/>
      <c r="BD361" s="335"/>
      <c r="BE361" s="335"/>
      <c r="BF361" s="335"/>
      <c r="BG361" s="335"/>
      <c r="BH361" s="335"/>
      <c r="BI361" s="335"/>
      <c r="BJ361" s="335"/>
      <c r="BK361" s="335"/>
      <c r="BL361" s="335"/>
      <c r="BM361" s="335"/>
      <c r="BN361" s="335"/>
      <c r="BO361" s="335"/>
      <c r="BP361" s="335"/>
      <c r="BQ361" s="335"/>
      <c r="BR361" s="335"/>
      <c r="BS361" s="335"/>
      <c r="BT361" s="335"/>
      <c r="BU361" s="335"/>
      <c r="BV361" s="335"/>
      <c r="BW361" s="335"/>
      <c r="BX361" s="335"/>
      <c r="BY361" s="335"/>
      <c r="BZ361" s="335"/>
      <c r="CA361" s="335"/>
      <c r="CB361" s="335"/>
      <c r="CC361" s="335"/>
      <c r="CD361" s="335"/>
      <c r="CE361" s="335"/>
      <c r="CF361" s="335"/>
      <c r="CG361" s="335"/>
      <c r="CH361" s="335"/>
      <c r="CI361" s="335"/>
      <c r="CJ361" s="335"/>
      <c r="CK361" s="335"/>
      <c r="CL361" s="335"/>
      <c r="CM361" s="335"/>
      <c r="CN361" s="335"/>
      <c r="CO361" s="335"/>
      <c r="CP361" s="335"/>
      <c r="CQ361" s="335"/>
      <c r="CR361" s="335"/>
      <c r="CS361" s="335"/>
      <c r="CT361" s="335"/>
      <c r="CU361" s="335"/>
      <c r="CV361" s="335"/>
      <c r="CW361" s="335"/>
      <c r="CX361" s="335"/>
      <c r="CY361" s="335"/>
      <c r="CZ361" s="335"/>
      <c r="DA361" s="335"/>
      <c r="DB361" s="335"/>
      <c r="DC361" s="335"/>
      <c r="DD361" s="335"/>
      <c r="DE361" s="335"/>
      <c r="DF361" s="335"/>
      <c r="DG361" s="335"/>
      <c r="DH361" s="335"/>
      <c r="DI361" s="335"/>
      <c r="DJ361" s="335"/>
      <c r="DK361" s="335"/>
      <c r="DL361" s="335"/>
      <c r="DM361" s="335"/>
      <c r="DN361" s="335"/>
      <c r="DO361" s="335"/>
      <c r="DP361" s="335"/>
      <c r="DQ361" s="335"/>
      <c r="DR361" s="335"/>
      <c r="DS361" s="335"/>
      <c r="DT361" s="335"/>
      <c r="DU361" s="335"/>
      <c r="DV361" s="335"/>
      <c r="DW361" s="335"/>
      <c r="DX361" s="335"/>
      <c r="DY361" s="335"/>
      <c r="DZ361" s="335"/>
      <c r="EA361" s="335"/>
      <c r="EB361" s="335"/>
      <c r="EC361" s="335"/>
      <c r="ED361" s="335"/>
      <c r="EE361" s="335"/>
      <c r="EF361" s="335"/>
      <c r="EG361" s="335"/>
      <c r="EH361" s="335"/>
      <c r="EI361" s="335"/>
      <c r="EJ361" s="335"/>
      <c r="EK361" s="335"/>
      <c r="EL361" s="335"/>
      <c r="EM361" s="335"/>
      <c r="EN361" s="335"/>
      <c r="EO361" s="335"/>
      <c r="EP361" s="335"/>
      <c r="EQ361" s="335"/>
      <c r="ER361" s="335"/>
      <c r="ES361" s="335"/>
      <c r="ET361" s="335"/>
      <c r="EU361" s="335"/>
      <c r="EV361" s="335"/>
      <c r="EW361" s="335"/>
      <c r="EX361" s="335"/>
      <c r="EY361" s="335"/>
      <c r="EZ361" s="335"/>
      <c r="FA361" s="335"/>
      <c r="FB361" s="335"/>
      <c r="FC361" s="335"/>
      <c r="FD361" s="335"/>
      <c r="FE361" s="335"/>
      <c r="FF361" s="335"/>
      <c r="FG361" s="335"/>
      <c r="FH361" s="335"/>
      <c r="FI361" s="335"/>
      <c r="FJ361" s="335"/>
      <c r="FK361" s="335"/>
      <c r="FL361" s="335"/>
      <c r="FM361" s="335"/>
      <c r="FN361" s="335"/>
      <c r="FO361" s="335"/>
      <c r="FP361" s="335"/>
      <c r="FQ361" s="335"/>
      <c r="FR361" s="335"/>
      <c r="FS361" s="335"/>
      <c r="FT361" s="335"/>
      <c r="FU361" s="335"/>
      <c r="FV361" s="335"/>
      <c r="FW361" s="335"/>
      <c r="FX361" s="335"/>
      <c r="FY361" s="335"/>
      <c r="FZ361" s="335"/>
      <c r="GA361" s="335"/>
      <c r="GB361" s="335"/>
      <c r="GC361" s="335"/>
      <c r="GD361" s="335"/>
      <c r="GE361" s="335"/>
      <c r="GF361" s="335"/>
      <c r="GG361" s="335"/>
      <c r="GH361" s="335"/>
      <c r="GI361" s="335"/>
      <c r="GJ361" s="335"/>
      <c r="GK361" s="335"/>
      <c r="GL361" s="335"/>
      <c r="GM361" s="335"/>
      <c r="GN361" s="335"/>
      <c r="GO361" s="335"/>
      <c r="GP361" s="335"/>
      <c r="GQ361" s="335"/>
      <c r="GR361" s="335"/>
      <c r="GS361" s="335"/>
      <c r="GT361" s="335"/>
      <c r="GU361" s="335"/>
      <c r="GV361" s="335"/>
      <c r="GW361" s="335"/>
      <c r="GX361" s="335"/>
      <c r="GY361" s="335"/>
      <c r="GZ361" s="335"/>
    </row>
    <row r="362" spans="1:208" ht="15">
      <c r="A362" s="379"/>
      <c r="B362" s="335"/>
      <c r="C362" s="335"/>
      <c r="D362" s="335"/>
      <c r="E362" s="335"/>
      <c r="F362" s="335"/>
      <c r="G362" s="335"/>
      <c r="H362" s="335"/>
      <c r="I362" s="335"/>
      <c r="J362" s="335"/>
      <c r="K362" s="335"/>
      <c r="L362" s="335"/>
      <c r="M362" s="376"/>
      <c r="N362" s="335"/>
      <c r="O362" s="380"/>
      <c r="P362" s="335"/>
      <c r="Q362" s="335"/>
      <c r="R362" s="335"/>
      <c r="S362" s="335"/>
      <c r="T362" s="335"/>
      <c r="U362" s="335"/>
      <c r="V362" s="335"/>
      <c r="W362" s="335"/>
      <c r="X362" s="335"/>
      <c r="Y362" s="335"/>
      <c r="Z362" s="335"/>
      <c r="AA362" s="335"/>
      <c r="AB362" s="335"/>
      <c r="AC362" s="335"/>
      <c r="AD362" s="335"/>
      <c r="AE362" s="335"/>
      <c r="AF362" s="335"/>
      <c r="AG362" s="335"/>
      <c r="AH362" s="335"/>
      <c r="AI362" s="335"/>
      <c r="AJ362" s="335"/>
      <c r="AK362" s="335"/>
      <c r="AL362" s="335"/>
      <c r="AM362" s="335"/>
      <c r="AN362" s="335"/>
      <c r="AO362" s="335"/>
      <c r="AP362" s="335"/>
      <c r="AQ362" s="335"/>
      <c r="AR362" s="335"/>
      <c r="AS362" s="335"/>
      <c r="AT362" s="335"/>
      <c r="AU362" s="335"/>
      <c r="AV362" s="335"/>
      <c r="AW362" s="335"/>
      <c r="AX362" s="335"/>
      <c r="AY362" s="335"/>
      <c r="AZ362" s="335"/>
      <c r="BA362" s="335"/>
      <c r="BB362" s="335"/>
      <c r="BC362" s="335"/>
      <c r="BD362" s="335"/>
      <c r="BE362" s="335"/>
      <c r="BF362" s="335"/>
      <c r="BG362" s="335"/>
      <c r="BH362" s="335"/>
      <c r="BI362" s="335"/>
      <c r="BJ362" s="335"/>
      <c r="BK362" s="335"/>
      <c r="BL362" s="335"/>
      <c r="BM362" s="335"/>
      <c r="BN362" s="335"/>
      <c r="BO362" s="335"/>
      <c r="BP362" s="335"/>
      <c r="BQ362" s="335"/>
      <c r="BR362" s="335"/>
      <c r="BS362" s="335"/>
      <c r="BT362" s="335"/>
      <c r="BU362" s="335"/>
      <c r="BV362" s="335"/>
      <c r="BW362" s="335"/>
      <c r="BX362" s="335"/>
      <c r="BY362" s="335"/>
      <c r="BZ362" s="335"/>
      <c r="CA362" s="335"/>
      <c r="CB362" s="335"/>
      <c r="CC362" s="335"/>
      <c r="CD362" s="335"/>
      <c r="CE362" s="335"/>
      <c r="CF362" s="335"/>
      <c r="CG362" s="335"/>
      <c r="CH362" s="335"/>
      <c r="CI362" s="335"/>
      <c r="CJ362" s="335"/>
      <c r="CK362" s="335"/>
      <c r="CL362" s="335"/>
      <c r="CM362" s="335"/>
      <c r="CN362" s="335"/>
      <c r="CO362" s="335"/>
      <c r="CP362" s="335"/>
      <c r="CQ362" s="335"/>
      <c r="CR362" s="335"/>
      <c r="CS362" s="335"/>
      <c r="CT362" s="335"/>
      <c r="CU362" s="335"/>
      <c r="CV362" s="335"/>
      <c r="CW362" s="335"/>
      <c r="CX362" s="335"/>
      <c r="CY362" s="335"/>
      <c r="CZ362" s="335"/>
      <c r="DA362" s="335"/>
      <c r="DB362" s="335"/>
      <c r="DC362" s="335"/>
      <c r="DD362" s="335"/>
      <c r="DE362" s="335"/>
      <c r="DF362" s="335"/>
      <c r="DG362" s="335"/>
      <c r="DH362" s="335"/>
      <c r="DI362" s="335"/>
      <c r="DJ362" s="335"/>
      <c r="DK362" s="335"/>
      <c r="DL362" s="335"/>
      <c r="DM362" s="335"/>
      <c r="DN362" s="335"/>
      <c r="DO362" s="335"/>
      <c r="DP362" s="335"/>
      <c r="DQ362" s="335"/>
      <c r="DR362" s="335"/>
      <c r="DS362" s="335"/>
      <c r="DT362" s="335"/>
      <c r="DU362" s="335"/>
      <c r="DV362" s="335"/>
      <c r="DW362" s="335"/>
      <c r="DX362" s="335"/>
      <c r="DY362" s="335"/>
      <c r="DZ362" s="335"/>
      <c r="EA362" s="335"/>
      <c r="EB362" s="335"/>
      <c r="EC362" s="335"/>
      <c r="ED362" s="335"/>
      <c r="EE362" s="335"/>
      <c r="EF362" s="335"/>
      <c r="EG362" s="335"/>
      <c r="EH362" s="335"/>
      <c r="EI362" s="335"/>
      <c r="EJ362" s="335"/>
      <c r="EK362" s="335"/>
      <c r="EL362" s="335"/>
      <c r="EM362" s="335"/>
      <c r="EN362" s="335"/>
      <c r="EO362" s="335"/>
      <c r="EP362" s="335"/>
      <c r="EQ362" s="335"/>
      <c r="ER362" s="335"/>
      <c r="ES362" s="335"/>
      <c r="ET362" s="335"/>
      <c r="EU362" s="335"/>
      <c r="EV362" s="335"/>
      <c r="EW362" s="335"/>
      <c r="EX362" s="335"/>
      <c r="EY362" s="335"/>
      <c r="EZ362" s="335"/>
      <c r="FA362" s="335"/>
      <c r="FB362" s="335"/>
      <c r="FC362" s="335"/>
      <c r="FD362" s="335"/>
      <c r="FE362" s="335"/>
      <c r="FF362" s="335"/>
      <c r="FG362" s="335"/>
      <c r="FH362" s="335"/>
      <c r="FI362" s="335"/>
      <c r="FJ362" s="335"/>
      <c r="FK362" s="335"/>
      <c r="FL362" s="335"/>
      <c r="FM362" s="335"/>
      <c r="FN362" s="335"/>
      <c r="FO362" s="335"/>
      <c r="FP362" s="335"/>
      <c r="FQ362" s="335"/>
      <c r="FR362" s="335"/>
      <c r="FS362" s="335"/>
      <c r="FT362" s="335"/>
      <c r="FU362" s="335"/>
      <c r="FV362" s="335"/>
      <c r="FW362" s="335"/>
      <c r="FX362" s="335"/>
      <c r="FY362" s="335"/>
      <c r="FZ362" s="335"/>
      <c r="GA362" s="335"/>
      <c r="GB362" s="335"/>
      <c r="GC362" s="335"/>
      <c r="GD362" s="335"/>
      <c r="GE362" s="335"/>
      <c r="GF362" s="335"/>
      <c r="GG362" s="335"/>
      <c r="GH362" s="335"/>
      <c r="GI362" s="335"/>
      <c r="GJ362" s="335"/>
      <c r="GK362" s="335"/>
      <c r="GL362" s="335"/>
      <c r="GM362" s="335"/>
      <c r="GN362" s="335"/>
      <c r="GO362" s="335"/>
      <c r="GP362" s="335"/>
      <c r="GQ362" s="335"/>
      <c r="GR362" s="335"/>
      <c r="GS362" s="335"/>
      <c r="GT362" s="335"/>
      <c r="GU362" s="335"/>
      <c r="GV362" s="335"/>
      <c r="GW362" s="335"/>
      <c r="GX362" s="335"/>
      <c r="GY362" s="335"/>
      <c r="GZ362" s="335"/>
    </row>
    <row r="363" spans="1:208" ht="15">
      <c r="A363" s="379"/>
      <c r="B363" s="335"/>
      <c r="C363" s="335"/>
      <c r="D363" s="335"/>
      <c r="E363" s="335"/>
      <c r="F363" s="335"/>
      <c r="G363" s="335"/>
      <c r="H363" s="335"/>
      <c r="I363" s="335"/>
      <c r="J363" s="335"/>
      <c r="K363" s="335"/>
      <c r="L363" s="335"/>
      <c r="M363" s="376"/>
      <c r="N363" s="335"/>
      <c r="O363" s="380"/>
      <c r="P363" s="335"/>
      <c r="Q363" s="335"/>
      <c r="R363" s="335"/>
      <c r="S363" s="335"/>
      <c r="T363" s="335"/>
      <c r="U363" s="335"/>
      <c r="V363" s="335"/>
      <c r="W363" s="335"/>
      <c r="X363" s="335"/>
      <c r="Y363" s="335"/>
      <c r="Z363" s="335"/>
      <c r="AA363" s="335"/>
      <c r="AB363" s="335"/>
      <c r="AC363" s="335"/>
      <c r="AD363" s="335"/>
      <c r="AE363" s="335"/>
      <c r="AF363" s="335"/>
      <c r="AG363" s="335"/>
      <c r="AH363" s="335"/>
      <c r="AI363" s="335"/>
      <c r="AJ363" s="335"/>
      <c r="AK363" s="335"/>
      <c r="AL363" s="335"/>
      <c r="AM363" s="335"/>
      <c r="AN363" s="335"/>
      <c r="AO363" s="335"/>
      <c r="AP363" s="335"/>
      <c r="AQ363" s="335"/>
      <c r="AR363" s="335"/>
      <c r="AS363" s="335"/>
      <c r="AT363" s="335"/>
      <c r="AU363" s="335"/>
      <c r="AV363" s="335"/>
      <c r="AW363" s="335"/>
      <c r="AX363" s="335"/>
      <c r="AY363" s="335"/>
      <c r="AZ363" s="335"/>
      <c r="BA363" s="335"/>
      <c r="BB363" s="335"/>
      <c r="BC363" s="335"/>
      <c r="BD363" s="335"/>
      <c r="BE363" s="335"/>
      <c r="BF363" s="335"/>
      <c r="BG363" s="335"/>
      <c r="BH363" s="335"/>
      <c r="BI363" s="335"/>
      <c r="BJ363" s="335"/>
      <c r="BK363" s="335"/>
      <c r="BL363" s="335"/>
      <c r="BM363" s="335"/>
      <c r="BN363" s="335"/>
      <c r="BO363" s="335"/>
      <c r="BP363" s="335"/>
      <c r="BQ363" s="335"/>
      <c r="BR363" s="335"/>
      <c r="BS363" s="335"/>
      <c r="BT363" s="335"/>
      <c r="BU363" s="335"/>
      <c r="BV363" s="335"/>
      <c r="BW363" s="335"/>
      <c r="BX363" s="335"/>
      <c r="BY363" s="335"/>
      <c r="BZ363" s="335"/>
      <c r="CA363" s="335"/>
      <c r="CB363" s="335"/>
      <c r="CC363" s="335"/>
      <c r="CD363" s="335"/>
      <c r="CE363" s="335"/>
      <c r="CF363" s="335"/>
      <c r="CG363" s="335"/>
      <c r="CH363" s="335"/>
      <c r="CI363" s="335"/>
      <c r="CJ363" s="335"/>
      <c r="CK363" s="335"/>
      <c r="CL363" s="335"/>
      <c r="CM363" s="335"/>
      <c r="CN363" s="335"/>
      <c r="CO363" s="335"/>
      <c r="CP363" s="335"/>
      <c r="CQ363" s="335"/>
      <c r="CR363" s="335"/>
      <c r="CS363" s="335"/>
      <c r="CT363" s="335"/>
      <c r="CU363" s="335"/>
      <c r="CV363" s="335"/>
      <c r="CW363" s="335"/>
      <c r="CX363" s="335"/>
      <c r="CY363" s="335"/>
      <c r="CZ363" s="335"/>
      <c r="DA363" s="335"/>
      <c r="DB363" s="335"/>
      <c r="DC363" s="335"/>
      <c r="DD363" s="335"/>
      <c r="DE363" s="335"/>
      <c r="DF363" s="335"/>
      <c r="DG363" s="335"/>
      <c r="DH363" s="335"/>
      <c r="DI363" s="335"/>
      <c r="DJ363" s="335"/>
      <c r="DK363" s="335"/>
      <c r="DL363" s="335"/>
      <c r="DM363" s="335"/>
      <c r="DN363" s="335"/>
      <c r="DO363" s="335"/>
      <c r="DP363" s="335"/>
      <c r="DQ363" s="335"/>
      <c r="DR363" s="335"/>
      <c r="DS363" s="335"/>
      <c r="DT363" s="335"/>
      <c r="DU363" s="335"/>
      <c r="DV363" s="335"/>
      <c r="DW363" s="335"/>
      <c r="DX363" s="335"/>
      <c r="DY363" s="335"/>
      <c r="DZ363" s="335"/>
      <c r="EA363" s="335"/>
      <c r="EB363" s="335"/>
      <c r="EC363" s="335"/>
      <c r="ED363" s="335"/>
      <c r="EE363" s="335"/>
      <c r="EF363" s="335"/>
      <c r="EG363" s="335"/>
      <c r="EH363" s="335"/>
      <c r="EI363" s="335"/>
      <c r="EJ363" s="335"/>
      <c r="EK363" s="335"/>
      <c r="EL363" s="335"/>
      <c r="EM363" s="335"/>
      <c r="EN363" s="335"/>
      <c r="EO363" s="335"/>
      <c r="EP363" s="335"/>
      <c r="EQ363" s="335"/>
      <c r="ER363" s="335"/>
      <c r="ES363" s="335"/>
      <c r="ET363" s="335"/>
      <c r="EU363" s="335"/>
      <c r="EV363" s="335"/>
      <c r="EW363" s="335"/>
      <c r="EX363" s="335"/>
      <c r="EY363" s="335"/>
      <c r="EZ363" s="335"/>
      <c r="FA363" s="335"/>
      <c r="FB363" s="335"/>
      <c r="FC363" s="335"/>
      <c r="FD363" s="335"/>
      <c r="FE363" s="335"/>
      <c r="FF363" s="335"/>
      <c r="FG363" s="335"/>
      <c r="FH363" s="335"/>
      <c r="FI363" s="335"/>
      <c r="FJ363" s="335"/>
      <c r="FK363" s="335"/>
      <c r="FL363" s="335"/>
      <c r="FM363" s="335"/>
      <c r="FN363" s="335"/>
      <c r="FO363" s="335"/>
      <c r="FP363" s="335"/>
      <c r="FQ363" s="335"/>
      <c r="FR363" s="335"/>
      <c r="FS363" s="335"/>
      <c r="FT363" s="335"/>
      <c r="FU363" s="335"/>
      <c r="FV363" s="335"/>
      <c r="FW363" s="335"/>
      <c r="FX363" s="335"/>
      <c r="FY363" s="335"/>
      <c r="FZ363" s="335"/>
      <c r="GA363" s="335"/>
      <c r="GB363" s="335"/>
      <c r="GC363" s="335"/>
      <c r="GD363" s="335"/>
      <c r="GE363" s="335"/>
      <c r="GF363" s="335"/>
      <c r="GG363" s="335"/>
      <c r="GH363" s="335"/>
      <c r="GI363" s="335"/>
      <c r="GJ363" s="335"/>
      <c r="GK363" s="335"/>
      <c r="GL363" s="335"/>
      <c r="GM363" s="335"/>
      <c r="GN363" s="335"/>
      <c r="GO363" s="335"/>
      <c r="GP363" s="335"/>
      <c r="GQ363" s="335"/>
      <c r="GR363" s="335"/>
      <c r="GS363" s="335"/>
      <c r="GT363" s="335"/>
      <c r="GU363" s="335"/>
      <c r="GV363" s="335"/>
      <c r="GW363" s="335"/>
      <c r="GX363" s="335"/>
      <c r="GY363" s="335"/>
      <c r="GZ363" s="335"/>
    </row>
    <row r="364" spans="1:208" ht="15">
      <c r="A364" s="379"/>
      <c r="B364" s="335"/>
      <c r="C364" s="335"/>
      <c r="D364" s="335"/>
      <c r="E364" s="335"/>
      <c r="F364" s="335"/>
      <c r="G364" s="335"/>
      <c r="H364" s="335"/>
      <c r="I364" s="335"/>
      <c r="J364" s="335"/>
      <c r="K364" s="335"/>
      <c r="L364" s="335"/>
      <c r="M364" s="376"/>
      <c r="N364" s="335"/>
      <c r="O364" s="380"/>
      <c r="P364" s="335"/>
      <c r="Q364" s="335"/>
      <c r="R364" s="335"/>
      <c r="S364" s="335"/>
      <c r="T364" s="335"/>
      <c r="U364" s="335"/>
      <c r="V364" s="335"/>
      <c r="W364" s="335"/>
      <c r="X364" s="335"/>
      <c r="Y364" s="335"/>
      <c r="Z364" s="335"/>
      <c r="AA364" s="335"/>
      <c r="AB364" s="335"/>
      <c r="AC364" s="335"/>
      <c r="AD364" s="335"/>
      <c r="AE364" s="335"/>
      <c r="AF364" s="335"/>
      <c r="AG364" s="335"/>
      <c r="AH364" s="335"/>
      <c r="AI364" s="335"/>
      <c r="AJ364" s="335"/>
      <c r="AK364" s="335"/>
      <c r="AL364" s="335"/>
      <c r="AM364" s="335"/>
      <c r="AN364" s="335"/>
      <c r="AO364" s="335"/>
      <c r="AP364" s="335"/>
      <c r="AQ364" s="335"/>
      <c r="AR364" s="335"/>
      <c r="AS364" s="335"/>
      <c r="AT364" s="335"/>
      <c r="AU364" s="335"/>
      <c r="AV364" s="335"/>
      <c r="AW364" s="335"/>
      <c r="AX364" s="335"/>
      <c r="AY364" s="335"/>
      <c r="AZ364" s="335"/>
      <c r="BA364" s="335"/>
      <c r="BB364" s="335"/>
      <c r="BC364" s="335"/>
      <c r="BD364" s="335"/>
      <c r="BE364" s="335"/>
      <c r="BF364" s="335"/>
      <c r="BG364" s="335"/>
      <c r="BH364" s="335"/>
      <c r="BI364" s="335"/>
      <c r="BJ364" s="335"/>
      <c r="BK364" s="335"/>
      <c r="BL364" s="335"/>
      <c r="BM364" s="335"/>
      <c r="BN364" s="335"/>
      <c r="BO364" s="335"/>
      <c r="BP364" s="335"/>
      <c r="BQ364" s="335"/>
      <c r="BR364" s="335"/>
      <c r="BS364" s="335"/>
      <c r="BT364" s="335"/>
      <c r="BU364" s="335"/>
      <c r="BV364" s="335"/>
      <c r="BW364" s="335"/>
      <c r="BX364" s="335"/>
      <c r="BY364" s="335"/>
      <c r="BZ364" s="335"/>
      <c r="CA364" s="335"/>
      <c r="CB364" s="335"/>
      <c r="CC364" s="335"/>
      <c r="CD364" s="335"/>
      <c r="CE364" s="335"/>
      <c r="CF364" s="335"/>
      <c r="CG364" s="335"/>
      <c r="CH364" s="335"/>
      <c r="CI364" s="335"/>
      <c r="CJ364" s="335"/>
      <c r="CK364" s="335"/>
      <c r="CL364" s="335"/>
      <c r="CM364" s="335"/>
      <c r="CN364" s="335"/>
      <c r="CO364" s="335"/>
      <c r="CP364" s="335"/>
      <c r="CQ364" s="335"/>
      <c r="CR364" s="335"/>
      <c r="CS364" s="335"/>
      <c r="CT364" s="335"/>
      <c r="CU364" s="335"/>
      <c r="CV364" s="335"/>
      <c r="CW364" s="335"/>
      <c r="CX364" s="335"/>
      <c r="CY364" s="335"/>
      <c r="CZ364" s="335"/>
      <c r="DA364" s="335"/>
      <c r="DB364" s="335"/>
      <c r="DC364" s="335"/>
      <c r="DD364" s="335"/>
      <c r="DE364" s="335"/>
      <c r="DF364" s="335"/>
      <c r="DG364" s="335"/>
      <c r="DH364" s="335"/>
      <c r="DI364" s="335"/>
      <c r="DJ364" s="335"/>
      <c r="DK364" s="335"/>
      <c r="DL364" s="335"/>
      <c r="DM364" s="335"/>
      <c r="DN364" s="335"/>
      <c r="DO364" s="335"/>
      <c r="DP364" s="335"/>
      <c r="DQ364" s="335"/>
      <c r="DR364" s="335"/>
      <c r="DS364" s="335"/>
      <c r="DT364" s="335"/>
      <c r="DU364" s="335"/>
      <c r="DV364" s="335"/>
      <c r="DW364" s="335"/>
      <c r="DX364" s="335"/>
      <c r="DY364" s="335"/>
      <c r="DZ364" s="335"/>
      <c r="EA364" s="335"/>
      <c r="EB364" s="335"/>
      <c r="EC364" s="335"/>
      <c r="ED364" s="335"/>
      <c r="EE364" s="335"/>
      <c r="EF364" s="335"/>
      <c r="EG364" s="335"/>
      <c r="EH364" s="335"/>
      <c r="EI364" s="335"/>
      <c r="EJ364" s="335"/>
      <c r="EK364" s="335"/>
      <c r="EL364" s="335"/>
      <c r="EM364" s="335"/>
      <c r="EN364" s="335"/>
      <c r="EO364" s="335"/>
      <c r="EP364" s="335"/>
      <c r="EQ364" s="335"/>
      <c r="ER364" s="335"/>
      <c r="ES364" s="335"/>
      <c r="ET364" s="335"/>
      <c r="EU364" s="335"/>
      <c r="EV364" s="335"/>
      <c r="EW364" s="335"/>
      <c r="EX364" s="335"/>
      <c r="EY364" s="335"/>
      <c r="EZ364" s="335"/>
      <c r="FA364" s="335"/>
      <c r="FB364" s="335"/>
      <c r="FC364" s="335"/>
      <c r="FD364" s="335"/>
      <c r="FE364" s="335"/>
      <c r="FF364" s="335"/>
      <c r="FG364" s="335"/>
      <c r="FH364" s="335"/>
      <c r="FI364" s="335"/>
      <c r="FJ364" s="335"/>
      <c r="FK364" s="335"/>
      <c r="FL364" s="335"/>
      <c r="FM364" s="335"/>
      <c r="FN364" s="335"/>
      <c r="FO364" s="335"/>
      <c r="FP364" s="335"/>
      <c r="FQ364" s="335"/>
      <c r="FR364" s="335"/>
      <c r="FS364" s="335"/>
      <c r="FT364" s="335"/>
      <c r="FU364" s="335"/>
      <c r="FV364" s="335"/>
      <c r="FW364" s="335"/>
      <c r="FX364" s="335"/>
      <c r="FY364" s="335"/>
      <c r="FZ364" s="335"/>
      <c r="GA364" s="335"/>
      <c r="GB364" s="335"/>
      <c r="GC364" s="335"/>
      <c r="GD364" s="335"/>
      <c r="GE364" s="335"/>
      <c r="GF364" s="335"/>
      <c r="GG364" s="335"/>
      <c r="GH364" s="335"/>
      <c r="GI364" s="335"/>
      <c r="GJ364" s="335"/>
      <c r="GK364" s="335"/>
      <c r="GL364" s="335"/>
      <c r="GM364" s="335"/>
      <c r="GN364" s="335"/>
      <c r="GO364" s="335"/>
      <c r="GP364" s="335"/>
      <c r="GQ364" s="335"/>
      <c r="GR364" s="335"/>
      <c r="GS364" s="335"/>
      <c r="GT364" s="335"/>
      <c r="GU364" s="335"/>
      <c r="GV364" s="335"/>
      <c r="GW364" s="335"/>
      <c r="GX364" s="335"/>
      <c r="GY364" s="335"/>
      <c r="GZ364" s="335"/>
    </row>
    <row r="365" spans="1:208" ht="15">
      <c r="A365" s="379"/>
      <c r="B365" s="335"/>
      <c r="C365" s="335"/>
      <c r="D365" s="335"/>
      <c r="E365" s="335"/>
      <c r="F365" s="335"/>
      <c r="G365" s="335"/>
      <c r="H365" s="335"/>
      <c r="I365" s="335"/>
      <c r="J365" s="335"/>
      <c r="K365" s="335"/>
      <c r="L365" s="335"/>
      <c r="M365" s="376"/>
      <c r="N365" s="335"/>
      <c r="O365" s="380"/>
      <c r="P365" s="335"/>
      <c r="Q365" s="335"/>
      <c r="R365" s="335"/>
      <c r="S365" s="335"/>
      <c r="T365" s="335"/>
      <c r="U365" s="335"/>
      <c r="V365" s="335"/>
      <c r="W365" s="335"/>
      <c r="X365" s="335"/>
      <c r="Y365" s="335"/>
      <c r="Z365" s="335"/>
      <c r="AA365" s="335"/>
      <c r="AB365" s="335"/>
      <c r="AC365" s="335"/>
      <c r="AD365" s="335"/>
      <c r="AE365" s="335"/>
      <c r="AF365" s="335"/>
      <c r="AG365" s="335"/>
      <c r="AH365" s="335"/>
      <c r="AI365" s="335"/>
      <c r="AJ365" s="335"/>
      <c r="AK365" s="335"/>
      <c r="AL365" s="335"/>
      <c r="AM365" s="335"/>
      <c r="AN365" s="335"/>
      <c r="AO365" s="335"/>
      <c r="AP365" s="335"/>
      <c r="AQ365" s="335"/>
      <c r="AR365" s="335"/>
      <c r="AS365" s="335"/>
      <c r="AT365" s="335"/>
      <c r="AU365" s="335"/>
      <c r="AV365" s="335"/>
      <c r="AW365" s="335"/>
      <c r="AX365" s="335"/>
      <c r="AY365" s="335"/>
      <c r="AZ365" s="335"/>
      <c r="BA365" s="335"/>
      <c r="BB365" s="335"/>
      <c r="BC365" s="335"/>
      <c r="BD365" s="335"/>
      <c r="BE365" s="335"/>
      <c r="BF365" s="335"/>
      <c r="BG365" s="335"/>
      <c r="BH365" s="335"/>
      <c r="BI365" s="335"/>
      <c r="BJ365" s="335"/>
      <c r="BK365" s="335"/>
      <c r="BL365" s="335"/>
      <c r="BM365" s="335"/>
      <c r="BN365" s="335"/>
      <c r="BO365" s="335"/>
      <c r="BP365" s="335"/>
      <c r="BQ365" s="335"/>
      <c r="BR365" s="335"/>
      <c r="BS365" s="335"/>
      <c r="BT365" s="335"/>
      <c r="BU365" s="335"/>
      <c r="BV365" s="335"/>
      <c r="BW365" s="335"/>
      <c r="BX365" s="335"/>
      <c r="BY365" s="335"/>
      <c r="BZ365" s="335"/>
      <c r="CA365" s="335"/>
      <c r="CB365" s="335"/>
      <c r="CC365" s="335"/>
      <c r="CD365" s="335"/>
      <c r="CE365" s="335"/>
      <c r="CF365" s="335"/>
      <c r="CG365" s="335"/>
      <c r="CH365" s="335"/>
      <c r="CI365" s="335"/>
      <c r="CJ365" s="335"/>
      <c r="CK365" s="335"/>
      <c r="CL365" s="335"/>
      <c r="CM365" s="335"/>
      <c r="CN365" s="335"/>
      <c r="CO365" s="335"/>
      <c r="CP365" s="335"/>
      <c r="CQ365" s="335"/>
      <c r="CR365" s="335"/>
      <c r="CS365" s="335"/>
      <c r="CT365" s="335"/>
      <c r="CU365" s="335"/>
      <c r="CV365" s="335"/>
      <c r="CW365" s="335"/>
      <c r="CX365" s="335"/>
      <c r="CY365" s="335"/>
      <c r="CZ365" s="335"/>
      <c r="DA365" s="335"/>
      <c r="DB365" s="335"/>
      <c r="DC365" s="335"/>
      <c r="DD365" s="335"/>
      <c r="DE365" s="335"/>
      <c r="DF365" s="335"/>
      <c r="DG365" s="335"/>
      <c r="DH365" s="335"/>
      <c r="DI365" s="335"/>
      <c r="DJ365" s="335"/>
      <c r="DK365" s="335"/>
      <c r="DL365" s="335"/>
      <c r="DM365" s="335"/>
      <c r="DN365" s="335"/>
      <c r="DO365" s="335"/>
      <c r="DP365" s="335"/>
      <c r="DQ365" s="335"/>
      <c r="DR365" s="335"/>
      <c r="DS365" s="335"/>
      <c r="DT365" s="335"/>
      <c r="DU365" s="335"/>
      <c r="DV365" s="335"/>
      <c r="DW365" s="335"/>
      <c r="DX365" s="335"/>
      <c r="DY365" s="335"/>
      <c r="DZ365" s="335"/>
      <c r="EA365" s="335"/>
      <c r="EB365" s="335"/>
      <c r="EC365" s="335"/>
      <c r="ED365" s="335"/>
      <c r="EE365" s="335"/>
      <c r="EF365" s="335"/>
      <c r="EG365" s="335"/>
      <c r="EH365" s="335"/>
      <c r="EI365" s="335"/>
      <c r="EJ365" s="335"/>
      <c r="EK365" s="335"/>
      <c r="EL365" s="335"/>
      <c r="EM365" s="335"/>
      <c r="EN365" s="335"/>
      <c r="EO365" s="335"/>
      <c r="EP365" s="335"/>
      <c r="EQ365" s="335"/>
      <c r="ER365" s="335"/>
      <c r="ES365" s="335"/>
      <c r="ET365" s="335"/>
      <c r="EU365" s="335"/>
      <c r="EV365" s="335"/>
      <c r="EW365" s="335"/>
      <c r="EX365" s="335"/>
      <c r="EY365" s="335"/>
      <c r="EZ365" s="335"/>
      <c r="FA365" s="335"/>
      <c r="FB365" s="335"/>
      <c r="FC365" s="335"/>
      <c r="FD365" s="335"/>
      <c r="FE365" s="335"/>
      <c r="FF365" s="335"/>
      <c r="FG365" s="335"/>
      <c r="FH365" s="335"/>
      <c r="FI365" s="335"/>
      <c r="FJ365" s="335"/>
      <c r="FK365" s="335"/>
      <c r="FL365" s="335"/>
      <c r="FM365" s="335"/>
      <c r="FN365" s="335"/>
      <c r="FO365" s="335"/>
      <c r="FP365" s="335"/>
      <c r="FQ365" s="335"/>
      <c r="FR365" s="335"/>
      <c r="FS365" s="335"/>
      <c r="FT365" s="335"/>
      <c r="FU365" s="335"/>
      <c r="FV365" s="335"/>
      <c r="FW365" s="335"/>
      <c r="FX365" s="335"/>
      <c r="FY365" s="335"/>
      <c r="FZ365" s="335"/>
      <c r="GA365" s="335"/>
      <c r="GB365" s="335"/>
      <c r="GC365" s="335"/>
      <c r="GD365" s="335"/>
      <c r="GE365" s="335"/>
      <c r="GF365" s="335"/>
      <c r="GG365" s="335"/>
      <c r="GH365" s="335"/>
      <c r="GI365" s="335"/>
      <c r="GJ365" s="335"/>
      <c r="GK365" s="335"/>
      <c r="GL365" s="335"/>
      <c r="GM365" s="335"/>
      <c r="GN365" s="335"/>
      <c r="GO365" s="335"/>
      <c r="GP365" s="335"/>
      <c r="GQ365" s="335"/>
      <c r="GR365" s="335"/>
      <c r="GS365" s="335"/>
      <c r="GT365" s="335"/>
      <c r="GU365" s="335"/>
      <c r="GV365" s="335"/>
      <c r="GW365" s="335"/>
      <c r="GX365" s="335"/>
      <c r="GY365" s="335"/>
      <c r="GZ365" s="335"/>
    </row>
    <row r="366" spans="1:208" ht="15">
      <c r="A366" s="379"/>
      <c r="B366" s="335"/>
      <c r="C366" s="335"/>
      <c r="D366" s="335"/>
      <c r="E366" s="335"/>
      <c r="F366" s="335"/>
      <c r="G366" s="335"/>
      <c r="H366" s="335"/>
      <c r="I366" s="335"/>
      <c r="J366" s="335"/>
      <c r="K366" s="335"/>
      <c r="L366" s="335"/>
      <c r="M366" s="376"/>
      <c r="N366" s="335"/>
      <c r="O366" s="380"/>
      <c r="P366" s="335"/>
      <c r="Q366" s="335"/>
      <c r="R366" s="335"/>
      <c r="S366" s="335"/>
      <c r="T366" s="335"/>
      <c r="U366" s="335"/>
      <c r="V366" s="335"/>
      <c r="W366" s="335"/>
      <c r="X366" s="335"/>
      <c r="Y366" s="335"/>
      <c r="Z366" s="335"/>
      <c r="AA366" s="335"/>
      <c r="AB366" s="335"/>
      <c r="AC366" s="335"/>
      <c r="AD366" s="335"/>
      <c r="AE366" s="335"/>
      <c r="AF366" s="335"/>
      <c r="AG366" s="335"/>
      <c r="AH366" s="335"/>
      <c r="AI366" s="335"/>
      <c r="AJ366" s="335"/>
      <c r="AK366" s="335"/>
      <c r="AL366" s="335"/>
      <c r="AM366" s="335"/>
      <c r="AN366" s="335"/>
      <c r="AO366" s="335"/>
      <c r="AP366" s="335"/>
      <c r="AQ366" s="335"/>
      <c r="AR366" s="335"/>
      <c r="AS366" s="335"/>
      <c r="AT366" s="335"/>
      <c r="AU366" s="335"/>
      <c r="AV366" s="335"/>
      <c r="AW366" s="335"/>
      <c r="AX366" s="335"/>
      <c r="AY366" s="335"/>
      <c r="AZ366" s="335"/>
      <c r="BA366" s="335"/>
      <c r="BB366" s="335"/>
      <c r="BC366" s="335"/>
      <c r="BD366" s="335"/>
      <c r="BE366" s="335"/>
      <c r="BF366" s="335"/>
      <c r="BG366" s="335"/>
      <c r="BH366" s="335"/>
      <c r="BI366" s="335"/>
      <c r="BJ366" s="335"/>
      <c r="BK366" s="335"/>
      <c r="BL366" s="335"/>
      <c r="BM366" s="335"/>
      <c r="BN366" s="335"/>
      <c r="BO366" s="335"/>
      <c r="BP366" s="335"/>
      <c r="BQ366" s="335"/>
      <c r="BR366" s="335"/>
      <c r="BS366" s="335"/>
      <c r="BT366" s="335"/>
      <c r="BU366" s="335"/>
      <c r="BV366" s="335"/>
      <c r="BW366" s="335"/>
      <c r="BX366" s="335"/>
      <c r="BY366" s="335"/>
      <c r="BZ366" s="335"/>
      <c r="CA366" s="335"/>
      <c r="CB366" s="335"/>
      <c r="CC366" s="335"/>
      <c r="CD366" s="335"/>
      <c r="CE366" s="335"/>
      <c r="CF366" s="335"/>
      <c r="CG366" s="335"/>
      <c r="CH366" s="335"/>
      <c r="CI366" s="335"/>
      <c r="CJ366" s="335"/>
      <c r="CK366" s="335"/>
      <c r="CL366" s="335"/>
      <c r="CM366" s="335"/>
      <c r="CN366" s="335"/>
      <c r="CO366" s="335"/>
      <c r="CP366" s="335"/>
      <c r="CQ366" s="335"/>
      <c r="CR366" s="335"/>
      <c r="CS366" s="335"/>
      <c r="CT366" s="335"/>
      <c r="CU366" s="335"/>
      <c r="CV366" s="335"/>
      <c r="CW366" s="335"/>
      <c r="CX366" s="335"/>
      <c r="CY366" s="335"/>
      <c r="CZ366" s="335"/>
      <c r="DA366" s="335"/>
      <c r="DB366" s="335"/>
      <c r="DC366" s="335"/>
      <c r="DD366" s="335"/>
      <c r="DE366" s="335"/>
      <c r="DF366" s="335"/>
      <c r="DG366" s="335"/>
      <c r="DH366" s="335"/>
      <c r="DI366" s="335"/>
      <c r="DJ366" s="335"/>
      <c r="DK366" s="335"/>
      <c r="DL366" s="335"/>
      <c r="DM366" s="335"/>
      <c r="DN366" s="335"/>
      <c r="DO366" s="335"/>
      <c r="DP366" s="335"/>
      <c r="DQ366" s="335"/>
      <c r="DR366" s="335"/>
      <c r="DS366" s="335"/>
      <c r="DT366" s="335"/>
      <c r="DU366" s="335"/>
      <c r="DV366" s="335"/>
      <c r="DW366" s="335"/>
      <c r="DX366" s="335"/>
      <c r="DY366" s="335"/>
      <c r="DZ366" s="335"/>
      <c r="EA366" s="335"/>
      <c r="EB366" s="335"/>
      <c r="EC366" s="335"/>
      <c r="ED366" s="335"/>
      <c r="EE366" s="335"/>
      <c r="EF366" s="335"/>
      <c r="EG366" s="335"/>
      <c r="EH366" s="335"/>
      <c r="EI366" s="335"/>
      <c r="EJ366" s="335"/>
      <c r="EK366" s="335"/>
      <c r="EL366" s="335"/>
      <c r="EM366" s="335"/>
      <c r="EN366" s="335"/>
      <c r="EO366" s="335"/>
      <c r="EP366" s="335"/>
      <c r="EQ366" s="335"/>
      <c r="ER366" s="335"/>
      <c r="ES366" s="335"/>
      <c r="ET366" s="335"/>
      <c r="EU366" s="335"/>
      <c r="EV366" s="335"/>
      <c r="EW366" s="335"/>
      <c r="EX366" s="335"/>
      <c r="EY366" s="335"/>
      <c r="EZ366" s="335"/>
      <c r="FA366" s="335"/>
      <c r="FB366" s="335"/>
      <c r="FC366" s="335"/>
      <c r="FD366" s="335"/>
      <c r="FE366" s="335"/>
      <c r="FF366" s="335"/>
      <c r="FG366" s="335"/>
      <c r="FH366" s="335"/>
      <c r="FI366" s="335"/>
      <c r="FJ366" s="335"/>
      <c r="FK366" s="335"/>
      <c r="FL366" s="335"/>
      <c r="FM366" s="335"/>
      <c r="FN366" s="335"/>
      <c r="FO366" s="335"/>
      <c r="FP366" s="335"/>
      <c r="FQ366" s="335"/>
      <c r="FR366" s="335"/>
      <c r="FS366" s="335"/>
      <c r="FT366" s="335"/>
      <c r="FU366" s="335"/>
      <c r="FV366" s="335"/>
      <c r="FW366" s="335"/>
      <c r="FX366" s="335"/>
      <c r="FY366" s="335"/>
      <c r="FZ366" s="335"/>
      <c r="GA366" s="335"/>
      <c r="GB366" s="335"/>
      <c r="GC366" s="335"/>
      <c r="GD366" s="335"/>
      <c r="GE366" s="335"/>
      <c r="GF366" s="335"/>
      <c r="GG366" s="335"/>
      <c r="GH366" s="335"/>
      <c r="GI366" s="335"/>
      <c r="GJ366" s="335"/>
      <c r="GK366" s="335"/>
      <c r="GL366" s="335"/>
      <c r="GM366" s="335"/>
      <c r="GN366" s="335"/>
      <c r="GO366" s="335"/>
      <c r="GP366" s="335"/>
      <c r="GQ366" s="335"/>
      <c r="GR366" s="335"/>
      <c r="GS366" s="335"/>
      <c r="GT366" s="335"/>
      <c r="GU366" s="335"/>
      <c r="GV366" s="335"/>
      <c r="GW366" s="335"/>
      <c r="GX366" s="335"/>
      <c r="GY366" s="335"/>
      <c r="GZ366" s="335"/>
    </row>
    <row r="367" spans="1:208" ht="15">
      <c r="A367" s="379"/>
      <c r="B367" s="335"/>
      <c r="C367" s="335"/>
      <c r="D367" s="335"/>
      <c r="E367" s="335"/>
      <c r="F367" s="335"/>
      <c r="G367" s="335"/>
      <c r="H367" s="335"/>
      <c r="I367" s="335"/>
      <c r="J367" s="335"/>
      <c r="K367" s="335"/>
      <c r="L367" s="335"/>
      <c r="M367" s="376"/>
      <c r="N367" s="335"/>
      <c r="O367" s="380"/>
      <c r="P367" s="335"/>
      <c r="Q367" s="335"/>
      <c r="R367" s="335"/>
      <c r="S367" s="335"/>
      <c r="T367" s="335"/>
      <c r="U367" s="335"/>
      <c r="V367" s="335"/>
      <c r="W367" s="335"/>
      <c r="X367" s="335"/>
      <c r="Y367" s="335"/>
      <c r="Z367" s="335"/>
      <c r="AA367" s="335"/>
      <c r="AB367" s="335"/>
      <c r="AC367" s="335"/>
      <c r="AD367" s="335"/>
      <c r="AE367" s="335"/>
      <c r="AF367" s="335"/>
      <c r="AG367" s="335"/>
      <c r="AH367" s="335"/>
      <c r="AI367" s="335"/>
      <c r="AJ367" s="335"/>
      <c r="AK367" s="335"/>
      <c r="AL367" s="335"/>
      <c r="AM367" s="335"/>
      <c r="AN367" s="335"/>
      <c r="AO367" s="335"/>
      <c r="AP367" s="335"/>
      <c r="AQ367" s="335"/>
      <c r="AR367" s="335"/>
      <c r="AS367" s="335"/>
      <c r="AT367" s="335"/>
      <c r="AU367" s="335"/>
      <c r="AV367" s="335"/>
      <c r="AW367" s="335"/>
      <c r="AX367" s="335"/>
      <c r="AY367" s="335"/>
      <c r="AZ367" s="335"/>
      <c r="BA367" s="335"/>
      <c r="BB367" s="335"/>
      <c r="BC367" s="335"/>
      <c r="BD367" s="335"/>
      <c r="BE367" s="335"/>
      <c r="BF367" s="335"/>
      <c r="BG367" s="335"/>
      <c r="BH367" s="335"/>
      <c r="BI367" s="335"/>
      <c r="BJ367" s="335"/>
      <c r="BK367" s="335"/>
      <c r="BL367" s="335"/>
      <c r="BM367" s="335"/>
      <c r="BN367" s="335"/>
      <c r="BO367" s="335"/>
      <c r="BP367" s="335"/>
      <c r="BQ367" s="335"/>
      <c r="BR367" s="335"/>
      <c r="BS367" s="335"/>
      <c r="BT367" s="335"/>
      <c r="BU367" s="335"/>
      <c r="BV367" s="335"/>
      <c r="BW367" s="335"/>
      <c r="BX367" s="335"/>
      <c r="BY367" s="335"/>
      <c r="BZ367" s="335"/>
      <c r="CA367" s="335"/>
      <c r="CB367" s="335"/>
      <c r="CC367" s="335"/>
      <c r="CD367" s="335"/>
      <c r="CE367" s="335"/>
      <c r="CF367" s="335"/>
      <c r="CG367" s="335"/>
      <c r="CH367" s="335"/>
      <c r="CI367" s="335"/>
      <c r="CJ367" s="335"/>
      <c r="CK367" s="335"/>
      <c r="CL367" s="335"/>
      <c r="CM367" s="335"/>
      <c r="CN367" s="335"/>
      <c r="CO367" s="335"/>
      <c r="CP367" s="335"/>
      <c r="CQ367" s="335"/>
      <c r="CR367" s="335"/>
      <c r="CS367" s="335"/>
      <c r="CT367" s="335"/>
      <c r="CU367" s="335"/>
      <c r="CV367" s="335"/>
      <c r="CW367" s="335"/>
      <c r="CX367" s="335"/>
      <c r="CY367" s="335"/>
      <c r="CZ367" s="335"/>
      <c r="DA367" s="335"/>
      <c r="DB367" s="335"/>
      <c r="DC367" s="335"/>
      <c r="DD367" s="335"/>
      <c r="DE367" s="335"/>
      <c r="DF367" s="335"/>
      <c r="DG367" s="335"/>
      <c r="DH367" s="335"/>
      <c r="DI367" s="335"/>
      <c r="DJ367" s="335"/>
      <c r="DK367" s="335"/>
      <c r="DL367" s="335"/>
      <c r="DM367" s="335"/>
      <c r="DN367" s="335"/>
      <c r="DO367" s="335"/>
      <c r="DP367" s="335"/>
      <c r="DQ367" s="335"/>
      <c r="DR367" s="335"/>
      <c r="DS367" s="335"/>
      <c r="DT367" s="335"/>
      <c r="DU367" s="335"/>
      <c r="DV367" s="335"/>
      <c r="DW367" s="335"/>
      <c r="DX367" s="335"/>
      <c r="DY367" s="335"/>
      <c r="DZ367" s="335"/>
      <c r="EA367" s="335"/>
      <c r="EB367" s="335"/>
      <c r="EC367" s="335"/>
      <c r="ED367" s="335"/>
      <c r="EE367" s="335"/>
      <c r="EF367" s="335"/>
      <c r="EG367" s="335"/>
      <c r="EH367" s="335"/>
      <c r="EI367" s="335"/>
      <c r="EJ367" s="335"/>
      <c r="EK367" s="335"/>
      <c r="EL367" s="335"/>
      <c r="EM367" s="335"/>
      <c r="EN367" s="335"/>
      <c r="EO367" s="335"/>
      <c r="EP367" s="335"/>
      <c r="EQ367" s="335"/>
      <c r="ER367" s="335"/>
      <c r="ES367" s="335"/>
      <c r="ET367" s="335"/>
      <c r="EU367" s="335"/>
      <c r="EV367" s="335"/>
      <c r="EW367" s="335"/>
      <c r="EX367" s="335"/>
      <c r="EY367" s="335"/>
      <c r="EZ367" s="335"/>
      <c r="FA367" s="335"/>
      <c r="FB367" s="335"/>
      <c r="FC367" s="335"/>
      <c r="FD367" s="335"/>
      <c r="FE367" s="335"/>
      <c r="FF367" s="335"/>
      <c r="FG367" s="335"/>
      <c r="FH367" s="335"/>
      <c r="FI367" s="335"/>
      <c r="FJ367" s="335"/>
      <c r="FK367" s="335"/>
      <c r="FL367" s="335"/>
      <c r="FM367" s="335"/>
      <c r="FN367" s="335"/>
      <c r="FO367" s="335"/>
      <c r="FP367" s="335"/>
      <c r="FQ367" s="335"/>
      <c r="FR367" s="335"/>
      <c r="FS367" s="335"/>
      <c r="FT367" s="335"/>
      <c r="FU367" s="335"/>
      <c r="FV367" s="335"/>
      <c r="FW367" s="335"/>
      <c r="FX367" s="335"/>
      <c r="FY367" s="335"/>
      <c r="FZ367" s="335"/>
      <c r="GA367" s="335"/>
      <c r="GB367" s="335"/>
      <c r="GC367" s="335"/>
      <c r="GD367" s="335"/>
      <c r="GE367" s="335"/>
      <c r="GF367" s="335"/>
      <c r="GG367" s="335"/>
      <c r="GH367" s="335"/>
      <c r="GI367" s="335"/>
      <c r="GJ367" s="335"/>
      <c r="GK367" s="335"/>
      <c r="GL367" s="335"/>
      <c r="GM367" s="335"/>
      <c r="GN367" s="335"/>
      <c r="GO367" s="335"/>
      <c r="GP367" s="335"/>
      <c r="GQ367" s="335"/>
      <c r="GR367" s="335"/>
      <c r="GS367" s="335"/>
      <c r="GT367" s="335"/>
      <c r="GU367" s="335"/>
      <c r="GV367" s="335"/>
      <c r="GW367" s="335"/>
      <c r="GX367" s="335"/>
      <c r="GY367" s="335"/>
      <c r="GZ367" s="335"/>
    </row>
    <row r="368" spans="1:208" ht="15">
      <c r="A368" s="379"/>
      <c r="B368" s="335"/>
      <c r="C368" s="335"/>
      <c r="D368" s="335"/>
      <c r="E368" s="335"/>
      <c r="F368" s="335"/>
      <c r="G368" s="335"/>
      <c r="H368" s="335"/>
      <c r="I368" s="335"/>
      <c r="J368" s="335"/>
      <c r="K368" s="335"/>
      <c r="L368" s="335"/>
      <c r="M368" s="376"/>
      <c r="N368" s="335"/>
      <c r="O368" s="380"/>
      <c r="P368" s="335"/>
      <c r="Q368" s="335"/>
      <c r="R368" s="335"/>
      <c r="S368" s="335"/>
      <c r="T368" s="335"/>
      <c r="U368" s="335"/>
      <c r="V368" s="335"/>
      <c r="W368" s="335"/>
      <c r="X368" s="335"/>
      <c r="Y368" s="335"/>
      <c r="Z368" s="335"/>
      <c r="AA368" s="335"/>
      <c r="AB368" s="335"/>
      <c r="AC368" s="335"/>
      <c r="AD368" s="335"/>
      <c r="AE368" s="335"/>
      <c r="AF368" s="335"/>
      <c r="AG368" s="335"/>
      <c r="AH368" s="335"/>
      <c r="AI368" s="335"/>
      <c r="AJ368" s="335"/>
      <c r="AK368" s="335"/>
      <c r="AL368" s="335"/>
      <c r="AM368" s="335"/>
      <c r="AN368" s="335"/>
      <c r="AO368" s="335"/>
      <c r="AP368" s="335"/>
      <c r="AQ368" s="335"/>
      <c r="AR368" s="335"/>
      <c r="AS368" s="335"/>
      <c r="AT368" s="335"/>
      <c r="AU368" s="335"/>
      <c r="AV368" s="335"/>
      <c r="AW368" s="335"/>
      <c r="AX368" s="335"/>
      <c r="AY368" s="335"/>
      <c r="AZ368" s="335"/>
      <c r="BA368" s="335"/>
      <c r="BB368" s="335"/>
      <c r="BC368" s="335"/>
      <c r="BD368" s="335"/>
      <c r="BE368" s="335"/>
      <c r="BF368" s="335"/>
      <c r="BG368" s="335"/>
      <c r="BH368" s="335"/>
      <c r="BI368" s="335"/>
      <c r="BJ368" s="335"/>
      <c r="BK368" s="335"/>
      <c r="BL368" s="335"/>
      <c r="BM368" s="335"/>
      <c r="BN368" s="335"/>
      <c r="BO368" s="335"/>
      <c r="BP368" s="335"/>
      <c r="BQ368" s="335"/>
      <c r="BR368" s="335"/>
      <c r="BS368" s="335"/>
      <c r="BT368" s="335"/>
      <c r="BU368" s="335"/>
      <c r="BV368" s="335"/>
      <c r="BW368" s="335"/>
      <c r="BX368" s="335"/>
      <c r="BY368" s="335"/>
      <c r="BZ368" s="335"/>
      <c r="CA368" s="335"/>
      <c r="CB368" s="335"/>
      <c r="CC368" s="335"/>
      <c r="CD368" s="335"/>
      <c r="CE368" s="335"/>
      <c r="CF368" s="335"/>
      <c r="CG368" s="335"/>
      <c r="CH368" s="335"/>
      <c r="CI368" s="335"/>
      <c r="CJ368" s="335"/>
      <c r="CK368" s="335"/>
      <c r="CL368" s="335"/>
      <c r="CM368" s="335"/>
      <c r="CN368" s="335"/>
      <c r="CO368" s="335"/>
      <c r="CP368" s="335"/>
      <c r="CQ368" s="335"/>
      <c r="CR368" s="335"/>
      <c r="CS368" s="335"/>
      <c r="CT368" s="335"/>
      <c r="CU368" s="335"/>
      <c r="CV368" s="335"/>
      <c r="CW368" s="335"/>
      <c r="CX368" s="335"/>
      <c r="CY368" s="335"/>
      <c r="CZ368" s="335"/>
      <c r="DA368" s="335"/>
      <c r="DB368" s="335"/>
      <c r="DC368" s="335"/>
      <c r="DD368" s="335"/>
      <c r="DE368" s="335"/>
      <c r="DF368" s="335"/>
      <c r="DG368" s="335"/>
      <c r="DH368" s="335"/>
      <c r="DI368" s="335"/>
      <c r="DJ368" s="335"/>
      <c r="DK368" s="335"/>
      <c r="DL368" s="335"/>
      <c r="DM368" s="335"/>
      <c r="DN368" s="335"/>
      <c r="DO368" s="335"/>
      <c r="DP368" s="335"/>
      <c r="DQ368" s="335"/>
      <c r="DR368" s="335"/>
      <c r="DS368" s="335"/>
      <c r="DT368" s="335"/>
      <c r="DU368" s="335"/>
      <c r="DV368" s="335"/>
      <c r="DW368" s="335"/>
      <c r="DX368" s="335"/>
      <c r="DY368" s="335"/>
      <c r="DZ368" s="335"/>
      <c r="EA368" s="335"/>
      <c r="EB368" s="335"/>
      <c r="EC368" s="335"/>
      <c r="ED368" s="335"/>
      <c r="EE368" s="335"/>
      <c r="EF368" s="335"/>
      <c r="EG368" s="335"/>
      <c r="EH368" s="335"/>
      <c r="EI368" s="335"/>
      <c r="EJ368" s="335"/>
      <c r="EK368" s="335"/>
      <c r="EL368" s="335"/>
      <c r="EM368" s="335"/>
      <c r="EN368" s="335"/>
      <c r="EO368" s="335"/>
      <c r="EP368" s="335"/>
      <c r="EQ368" s="335"/>
      <c r="ER368" s="335"/>
      <c r="ES368" s="335"/>
      <c r="ET368" s="335"/>
      <c r="EU368" s="335"/>
      <c r="EV368" s="335"/>
      <c r="EW368" s="335"/>
      <c r="EX368" s="335"/>
      <c r="EY368" s="335"/>
      <c r="EZ368" s="335"/>
      <c r="FA368" s="335"/>
      <c r="FB368" s="335"/>
      <c r="FC368" s="335"/>
      <c r="FD368" s="335"/>
      <c r="FE368" s="335"/>
      <c r="FF368" s="335"/>
      <c r="FG368" s="335"/>
      <c r="FH368" s="335"/>
      <c r="FI368" s="335"/>
      <c r="FJ368" s="335"/>
      <c r="FK368" s="335"/>
      <c r="FL368" s="335"/>
      <c r="FM368" s="335"/>
      <c r="FN368" s="335"/>
      <c r="FO368" s="335"/>
      <c r="FP368" s="335"/>
      <c r="FQ368" s="335"/>
      <c r="FR368" s="335"/>
      <c r="FS368" s="335"/>
      <c r="FT368" s="335"/>
      <c r="FU368" s="335"/>
      <c r="FV368" s="335"/>
      <c r="FW368" s="335"/>
      <c r="FX368" s="335"/>
      <c r="FY368" s="335"/>
      <c r="FZ368" s="335"/>
      <c r="GA368" s="335"/>
      <c r="GB368" s="335"/>
      <c r="GC368" s="335"/>
      <c r="GD368" s="335"/>
      <c r="GE368" s="335"/>
      <c r="GF368" s="335"/>
      <c r="GG368" s="335"/>
      <c r="GH368" s="335"/>
      <c r="GI368" s="335"/>
      <c r="GJ368" s="335"/>
      <c r="GK368" s="335"/>
      <c r="GL368" s="335"/>
      <c r="GM368" s="335"/>
      <c r="GN368" s="335"/>
      <c r="GO368" s="335"/>
      <c r="GP368" s="335"/>
      <c r="GQ368" s="335"/>
      <c r="GR368" s="335"/>
      <c r="GS368" s="335"/>
      <c r="GT368" s="335"/>
      <c r="GU368" s="335"/>
      <c r="GV368" s="335"/>
      <c r="GW368" s="335"/>
      <c r="GX368" s="335"/>
      <c r="GY368" s="335"/>
      <c r="GZ368" s="335"/>
    </row>
    <row r="369" spans="1:208" ht="15">
      <c r="A369" s="379"/>
      <c r="B369" s="335"/>
      <c r="C369" s="335"/>
      <c r="D369" s="335"/>
      <c r="E369" s="335"/>
      <c r="F369" s="335"/>
      <c r="G369" s="335"/>
      <c r="H369" s="335"/>
      <c r="I369" s="335"/>
      <c r="J369" s="335"/>
      <c r="K369" s="335"/>
      <c r="L369" s="335"/>
      <c r="M369" s="376"/>
      <c r="N369" s="335"/>
      <c r="O369" s="380"/>
      <c r="P369" s="335"/>
      <c r="Q369" s="335"/>
      <c r="R369" s="335"/>
      <c r="S369" s="335"/>
      <c r="T369" s="335"/>
      <c r="U369" s="335"/>
      <c r="V369" s="335"/>
      <c r="W369" s="335"/>
      <c r="X369" s="335"/>
      <c r="Y369" s="335"/>
      <c r="Z369" s="335"/>
      <c r="AA369" s="335"/>
      <c r="AB369" s="335"/>
      <c r="AC369" s="335"/>
      <c r="AD369" s="335"/>
      <c r="AE369" s="335"/>
      <c r="AF369" s="335"/>
      <c r="AG369" s="335"/>
      <c r="AH369" s="335"/>
      <c r="AI369" s="335"/>
      <c r="AJ369" s="335"/>
      <c r="AK369" s="335"/>
      <c r="AL369" s="335"/>
      <c r="AM369" s="335"/>
      <c r="AN369" s="335"/>
      <c r="AO369" s="335"/>
      <c r="AP369" s="335"/>
      <c r="AQ369" s="335"/>
      <c r="AR369" s="335"/>
      <c r="AS369" s="335"/>
      <c r="AT369" s="335"/>
      <c r="AU369" s="335"/>
      <c r="AV369" s="335"/>
      <c r="AW369" s="335"/>
      <c r="AX369" s="335"/>
      <c r="AY369" s="335"/>
      <c r="AZ369" s="335"/>
      <c r="BA369" s="335"/>
      <c r="BB369" s="335"/>
      <c r="BC369" s="335"/>
      <c r="BD369" s="335"/>
      <c r="BE369" s="335"/>
      <c r="BF369" s="335"/>
      <c r="BG369" s="335"/>
      <c r="BH369" s="335"/>
      <c r="BI369" s="335"/>
      <c r="BJ369" s="335"/>
      <c r="BK369" s="335"/>
      <c r="BL369" s="335"/>
      <c r="BM369" s="335"/>
      <c r="BN369" s="335"/>
      <c r="BO369" s="335"/>
      <c r="BP369" s="335"/>
      <c r="BQ369" s="335"/>
      <c r="BR369" s="335"/>
      <c r="BS369" s="335"/>
      <c r="BT369" s="335"/>
      <c r="BU369" s="335"/>
      <c r="BV369" s="335"/>
      <c r="BW369" s="335"/>
      <c r="BX369" s="335"/>
      <c r="BY369" s="335"/>
      <c r="BZ369" s="335"/>
      <c r="CA369" s="335"/>
      <c r="CB369" s="335"/>
      <c r="CC369" s="335"/>
      <c r="CD369" s="335"/>
      <c r="CE369" s="335"/>
      <c r="CF369" s="335"/>
      <c r="CG369" s="335"/>
      <c r="CH369" s="335"/>
      <c r="CI369" s="335"/>
      <c r="CJ369" s="335"/>
      <c r="CK369" s="335"/>
      <c r="CL369" s="335"/>
      <c r="CM369" s="335"/>
      <c r="CN369" s="335"/>
      <c r="CO369" s="335"/>
      <c r="CP369" s="335"/>
      <c r="CQ369" s="335"/>
      <c r="CR369" s="335"/>
      <c r="CS369" s="335"/>
      <c r="CT369" s="335"/>
      <c r="CU369" s="335"/>
      <c r="CV369" s="335"/>
      <c r="CW369" s="335"/>
      <c r="CX369" s="335"/>
      <c r="CY369" s="335"/>
      <c r="CZ369" s="335"/>
      <c r="DA369" s="335"/>
      <c r="DB369" s="335"/>
      <c r="DC369" s="335"/>
      <c r="DD369" s="335"/>
      <c r="DE369" s="335"/>
      <c r="DF369" s="335"/>
      <c r="DG369" s="335"/>
      <c r="DH369" s="335"/>
      <c r="DI369" s="335"/>
      <c r="DJ369" s="335"/>
      <c r="DK369" s="335"/>
      <c r="DL369" s="335"/>
      <c r="DM369" s="335"/>
      <c r="DN369" s="335"/>
      <c r="DO369" s="335"/>
      <c r="DP369" s="335"/>
      <c r="DQ369" s="335"/>
      <c r="DR369" s="335"/>
      <c r="DS369" s="335"/>
      <c r="DT369" s="335"/>
      <c r="DU369" s="335"/>
      <c r="DV369" s="335"/>
      <c r="DW369" s="335"/>
      <c r="DX369" s="335"/>
      <c r="DY369" s="335"/>
      <c r="DZ369" s="335"/>
      <c r="EA369" s="335"/>
      <c r="EB369" s="335"/>
      <c r="EC369" s="335"/>
      <c r="ED369" s="335"/>
      <c r="EE369" s="335"/>
      <c r="EF369" s="335"/>
      <c r="EG369" s="335"/>
      <c r="EH369" s="335"/>
      <c r="EI369" s="335"/>
      <c r="EJ369" s="335"/>
      <c r="EK369" s="335"/>
      <c r="EL369" s="335"/>
      <c r="EM369" s="335"/>
      <c r="EN369" s="335"/>
      <c r="EO369" s="335"/>
      <c r="EP369" s="335"/>
      <c r="EQ369" s="335"/>
      <c r="ER369" s="335"/>
      <c r="ES369" s="335"/>
      <c r="ET369" s="335"/>
      <c r="EU369" s="335"/>
      <c r="EV369" s="335"/>
      <c r="EW369" s="335"/>
      <c r="EX369" s="335"/>
      <c r="EY369" s="335"/>
      <c r="EZ369" s="335"/>
      <c r="FA369" s="335"/>
      <c r="FB369" s="335"/>
      <c r="FC369" s="335"/>
      <c r="FD369" s="335"/>
      <c r="FE369" s="335"/>
      <c r="FF369" s="335"/>
      <c r="FG369" s="335"/>
      <c r="FH369" s="335"/>
      <c r="FI369" s="335"/>
      <c r="FJ369" s="335"/>
      <c r="FK369" s="335"/>
      <c r="FL369" s="335"/>
      <c r="FM369" s="335"/>
      <c r="FN369" s="335"/>
      <c r="FO369" s="335"/>
      <c r="FP369" s="335"/>
      <c r="FQ369" s="335"/>
      <c r="FR369" s="335"/>
      <c r="FS369" s="335"/>
      <c r="FT369" s="335"/>
      <c r="FU369" s="335"/>
      <c r="FV369" s="335"/>
      <c r="FW369" s="335"/>
      <c r="FX369" s="335"/>
      <c r="FY369" s="335"/>
      <c r="FZ369" s="335"/>
      <c r="GA369" s="335"/>
      <c r="GB369" s="335"/>
      <c r="GC369" s="335"/>
      <c r="GD369" s="335"/>
      <c r="GE369" s="335"/>
      <c r="GF369" s="335"/>
      <c r="GG369" s="335"/>
      <c r="GH369" s="335"/>
      <c r="GI369" s="335"/>
      <c r="GJ369" s="335"/>
      <c r="GK369" s="335"/>
      <c r="GL369" s="335"/>
      <c r="GM369" s="335"/>
      <c r="GN369" s="335"/>
      <c r="GO369" s="335"/>
      <c r="GP369" s="335"/>
      <c r="GQ369" s="335"/>
      <c r="GR369" s="335"/>
      <c r="GS369" s="335"/>
      <c r="GT369" s="335"/>
      <c r="GU369" s="335"/>
      <c r="GV369" s="335"/>
      <c r="GW369" s="335"/>
      <c r="GX369" s="335"/>
      <c r="GY369" s="335"/>
      <c r="GZ369" s="335"/>
    </row>
    <row r="370" spans="1:208" ht="15">
      <c r="A370" s="379"/>
      <c r="B370" s="335"/>
      <c r="C370" s="335"/>
      <c r="D370" s="335"/>
      <c r="E370" s="335"/>
      <c r="F370" s="335"/>
      <c r="G370" s="335"/>
      <c r="H370" s="335"/>
      <c r="I370" s="335"/>
      <c r="J370" s="335"/>
      <c r="K370" s="335"/>
      <c r="L370" s="335"/>
      <c r="M370" s="376"/>
      <c r="N370" s="335"/>
      <c r="O370" s="380"/>
      <c r="P370" s="335"/>
      <c r="Q370" s="335"/>
      <c r="R370" s="335"/>
      <c r="S370" s="335"/>
      <c r="T370" s="335"/>
      <c r="U370" s="335"/>
      <c r="V370" s="335"/>
      <c r="W370" s="335"/>
      <c r="X370" s="335"/>
      <c r="Y370" s="335"/>
      <c r="Z370" s="335"/>
      <c r="AA370" s="335"/>
      <c r="AB370" s="335"/>
      <c r="AC370" s="335"/>
      <c r="AD370" s="335"/>
      <c r="AE370" s="335"/>
      <c r="AF370" s="335"/>
      <c r="AG370" s="335"/>
      <c r="AH370" s="335"/>
      <c r="AI370" s="335"/>
      <c r="AJ370" s="335"/>
      <c r="AK370" s="335"/>
      <c r="AL370" s="335"/>
      <c r="AM370" s="335"/>
      <c r="AN370" s="335"/>
      <c r="AO370" s="335"/>
      <c r="AP370" s="335"/>
      <c r="AQ370" s="335"/>
      <c r="AR370" s="335"/>
      <c r="AS370" s="335"/>
      <c r="AT370" s="335"/>
      <c r="AU370" s="335"/>
      <c r="AV370" s="335"/>
      <c r="AW370" s="335"/>
      <c r="AX370" s="335"/>
      <c r="AY370" s="335"/>
      <c r="AZ370" s="335"/>
      <c r="BA370" s="335"/>
      <c r="BB370" s="335"/>
      <c r="BC370" s="335"/>
      <c r="BD370" s="335"/>
      <c r="BE370" s="335"/>
      <c r="BF370" s="335"/>
      <c r="BG370" s="335"/>
      <c r="BH370" s="335"/>
      <c r="BI370" s="335"/>
      <c r="BJ370" s="335"/>
      <c r="BK370" s="335"/>
      <c r="BL370" s="335"/>
      <c r="BM370" s="335"/>
      <c r="BN370" s="335"/>
      <c r="BO370" s="335"/>
      <c r="BP370" s="335"/>
      <c r="BQ370" s="335"/>
      <c r="BR370" s="335"/>
      <c r="BS370" s="335"/>
      <c r="BT370" s="335"/>
      <c r="BU370" s="335"/>
      <c r="BV370" s="335"/>
      <c r="BW370" s="335"/>
      <c r="BX370" s="335"/>
      <c r="BY370" s="335"/>
      <c r="BZ370" s="335"/>
      <c r="CA370" s="335"/>
      <c r="CB370" s="335"/>
      <c r="CC370" s="335"/>
      <c r="CD370" s="335"/>
      <c r="CE370" s="335"/>
      <c r="CF370" s="335"/>
      <c r="CG370" s="335"/>
      <c r="CH370" s="335"/>
      <c r="CI370" s="335"/>
      <c r="CJ370" s="335"/>
      <c r="CK370" s="335"/>
      <c r="CL370" s="335"/>
      <c r="CM370" s="335"/>
      <c r="CN370" s="335"/>
      <c r="CO370" s="335"/>
      <c r="CP370" s="335"/>
      <c r="CQ370" s="335"/>
      <c r="CR370" s="335"/>
      <c r="CS370" s="335"/>
      <c r="CT370" s="335"/>
      <c r="CU370" s="335"/>
      <c r="CV370" s="335"/>
      <c r="CW370" s="335"/>
      <c r="CX370" s="335"/>
      <c r="CY370" s="335"/>
      <c r="CZ370" s="335"/>
      <c r="DA370" s="335"/>
      <c r="DB370" s="335"/>
      <c r="DC370" s="335"/>
      <c r="DD370" s="335"/>
      <c r="DE370" s="335"/>
      <c r="DF370" s="335"/>
      <c r="DG370" s="335"/>
      <c r="DH370" s="335"/>
      <c r="DI370" s="335"/>
      <c r="DJ370" s="335"/>
      <c r="DK370" s="335"/>
      <c r="DL370" s="335"/>
      <c r="DM370" s="335"/>
      <c r="DN370" s="335"/>
      <c r="DO370" s="335"/>
      <c r="DP370" s="335"/>
      <c r="DQ370" s="335"/>
      <c r="DR370" s="335"/>
      <c r="DS370" s="335"/>
      <c r="DT370" s="335"/>
      <c r="DU370" s="335"/>
      <c r="DV370" s="335"/>
      <c r="DW370" s="335"/>
      <c r="DX370" s="335"/>
      <c r="DY370" s="335"/>
      <c r="DZ370" s="335"/>
      <c r="EA370" s="335"/>
      <c r="EB370" s="335"/>
      <c r="EC370" s="335"/>
      <c r="ED370" s="335"/>
      <c r="EE370" s="335"/>
      <c r="EF370" s="335"/>
      <c r="EG370" s="335"/>
      <c r="EH370" s="335"/>
      <c r="EI370" s="335"/>
      <c r="EJ370" s="335"/>
      <c r="EK370" s="335"/>
      <c r="EL370" s="335"/>
      <c r="EM370" s="335"/>
      <c r="EN370" s="335"/>
      <c r="EO370" s="335"/>
      <c r="EP370" s="335"/>
      <c r="EQ370" s="335"/>
      <c r="ER370" s="335"/>
      <c r="ES370" s="335"/>
      <c r="ET370" s="335"/>
      <c r="EU370" s="335"/>
      <c r="EV370" s="335"/>
      <c r="EW370" s="335"/>
      <c r="EX370" s="335"/>
      <c r="EY370" s="335"/>
      <c r="EZ370" s="335"/>
      <c r="FA370" s="335"/>
      <c r="FB370" s="335"/>
      <c r="FC370" s="335"/>
      <c r="FD370" s="335"/>
      <c r="FE370" s="335"/>
      <c r="FF370" s="335"/>
      <c r="FG370" s="335"/>
      <c r="FH370" s="335"/>
      <c r="FI370" s="335"/>
      <c r="FJ370" s="335"/>
      <c r="FK370" s="335"/>
      <c r="FL370" s="335"/>
      <c r="FM370" s="335"/>
      <c r="FN370" s="335"/>
      <c r="FO370" s="335"/>
      <c r="FP370" s="335"/>
      <c r="FQ370" s="335"/>
      <c r="FR370" s="335"/>
      <c r="FS370" s="335"/>
      <c r="FT370" s="335"/>
      <c r="FU370" s="335"/>
      <c r="FV370" s="335"/>
      <c r="FW370" s="335"/>
      <c r="FX370" s="335"/>
      <c r="FY370" s="335"/>
      <c r="FZ370" s="335"/>
      <c r="GA370" s="335"/>
      <c r="GB370" s="335"/>
      <c r="GC370" s="335"/>
      <c r="GD370" s="335"/>
      <c r="GE370" s="335"/>
      <c r="GF370" s="335"/>
      <c r="GG370" s="335"/>
      <c r="GH370" s="335"/>
      <c r="GI370" s="335"/>
      <c r="GJ370" s="335"/>
      <c r="GK370" s="335"/>
      <c r="GL370" s="335"/>
      <c r="GM370" s="335"/>
      <c r="GN370" s="335"/>
      <c r="GO370" s="335"/>
      <c r="GP370" s="335"/>
      <c r="GQ370" s="335"/>
      <c r="GR370" s="335"/>
      <c r="GS370" s="335"/>
      <c r="GT370" s="335"/>
      <c r="GU370" s="335"/>
      <c r="GV370" s="335"/>
      <c r="GW370" s="335"/>
      <c r="GX370" s="335"/>
      <c r="GY370" s="335"/>
      <c r="GZ370" s="335"/>
    </row>
    <row r="371" spans="1:208" ht="15">
      <c r="A371" s="379"/>
      <c r="B371" s="335"/>
      <c r="C371" s="335"/>
      <c r="D371" s="335"/>
      <c r="E371" s="335"/>
      <c r="F371" s="335"/>
      <c r="G371" s="335"/>
      <c r="H371" s="335"/>
      <c r="I371" s="335"/>
      <c r="J371" s="335"/>
      <c r="K371" s="335"/>
      <c r="L371" s="335"/>
      <c r="M371" s="376"/>
      <c r="N371" s="335"/>
      <c r="O371" s="380"/>
      <c r="P371" s="335"/>
      <c r="Q371" s="335"/>
      <c r="R371" s="335"/>
      <c r="S371" s="335"/>
      <c r="T371" s="335"/>
      <c r="U371" s="335"/>
      <c r="V371" s="335"/>
      <c r="W371" s="335"/>
      <c r="X371" s="335"/>
      <c r="Y371" s="335"/>
      <c r="Z371" s="335"/>
      <c r="AA371" s="335"/>
      <c r="AB371" s="335"/>
      <c r="AC371" s="335"/>
      <c r="AD371" s="335"/>
      <c r="AE371" s="335"/>
      <c r="AF371" s="335"/>
      <c r="AG371" s="335"/>
      <c r="AH371" s="335"/>
      <c r="AI371" s="335"/>
      <c r="AJ371" s="335"/>
      <c r="AK371" s="335"/>
      <c r="AL371" s="335"/>
      <c r="AM371" s="335"/>
      <c r="AN371" s="335"/>
      <c r="AO371" s="335"/>
      <c r="AP371" s="335"/>
      <c r="AQ371" s="335"/>
      <c r="AR371" s="335"/>
      <c r="AS371" s="335"/>
      <c r="AT371" s="335"/>
      <c r="AU371" s="335"/>
      <c r="AV371" s="335"/>
      <c r="AW371" s="335"/>
      <c r="AX371" s="335"/>
      <c r="AY371" s="335"/>
      <c r="AZ371" s="335"/>
      <c r="BA371" s="335"/>
      <c r="BB371" s="335"/>
      <c r="BC371" s="335"/>
      <c r="BD371" s="335"/>
      <c r="BE371" s="335"/>
      <c r="BF371" s="335"/>
      <c r="BG371" s="335"/>
      <c r="BH371" s="335"/>
      <c r="BI371" s="335"/>
      <c r="BJ371" s="335"/>
      <c r="BK371" s="335"/>
      <c r="BL371" s="335"/>
      <c r="BM371" s="335"/>
      <c r="BN371" s="335"/>
      <c r="BO371" s="335"/>
      <c r="BP371" s="335"/>
      <c r="BQ371" s="335"/>
      <c r="BR371" s="335"/>
      <c r="BS371" s="335"/>
      <c r="BT371" s="335"/>
      <c r="BU371" s="335"/>
      <c r="BV371" s="335"/>
      <c r="BW371" s="335"/>
      <c r="BX371" s="335"/>
      <c r="BY371" s="335"/>
      <c r="BZ371" s="335"/>
      <c r="CA371" s="335"/>
      <c r="CB371" s="335"/>
      <c r="CC371" s="335"/>
      <c r="CD371" s="335"/>
      <c r="CE371" s="335"/>
      <c r="CF371" s="335"/>
      <c r="CG371" s="335"/>
      <c r="CH371" s="335"/>
      <c r="CI371" s="335"/>
      <c r="CJ371" s="335"/>
      <c r="CK371" s="335"/>
      <c r="CL371" s="335"/>
      <c r="CM371" s="335"/>
      <c r="CN371" s="335"/>
      <c r="CO371" s="335"/>
      <c r="CP371" s="335"/>
      <c r="CQ371" s="335"/>
      <c r="CR371" s="335"/>
      <c r="CS371" s="335"/>
      <c r="CT371" s="335"/>
      <c r="CU371" s="335"/>
      <c r="CV371" s="335"/>
      <c r="CW371" s="335"/>
      <c r="CX371" s="335"/>
      <c r="CY371" s="335"/>
      <c r="CZ371" s="335"/>
      <c r="DA371" s="335"/>
      <c r="DB371" s="335"/>
      <c r="DC371" s="335"/>
      <c r="DD371" s="335"/>
      <c r="DE371" s="335"/>
      <c r="DF371" s="335"/>
      <c r="DG371" s="335"/>
      <c r="DH371" s="335"/>
      <c r="DI371" s="335"/>
      <c r="DJ371" s="335"/>
      <c r="DK371" s="335"/>
      <c r="DL371" s="335"/>
      <c r="DM371" s="335"/>
      <c r="DN371" s="335"/>
      <c r="DO371" s="335"/>
      <c r="DP371" s="335"/>
      <c r="DQ371" s="335"/>
      <c r="DR371" s="335"/>
      <c r="DS371" s="335"/>
      <c r="DT371" s="335"/>
      <c r="DU371" s="335"/>
      <c r="DV371" s="335"/>
      <c r="DW371" s="335"/>
      <c r="DX371" s="335"/>
      <c r="DY371" s="335"/>
      <c r="DZ371" s="335"/>
      <c r="EA371" s="335"/>
      <c r="EB371" s="335"/>
      <c r="EC371" s="335"/>
      <c r="ED371" s="335"/>
      <c r="EE371" s="335"/>
      <c r="EF371" s="335"/>
      <c r="EG371" s="335"/>
      <c r="EH371" s="335"/>
      <c r="EI371" s="335"/>
      <c r="EJ371" s="335"/>
      <c r="EK371" s="335"/>
      <c r="EL371" s="335"/>
      <c r="EM371" s="335"/>
      <c r="EN371" s="335"/>
      <c r="EO371" s="335"/>
      <c r="EP371" s="335"/>
      <c r="EQ371" s="335"/>
      <c r="ER371" s="335"/>
      <c r="ES371" s="335"/>
      <c r="ET371" s="335"/>
      <c r="EU371" s="335"/>
      <c r="EV371" s="335"/>
      <c r="EW371" s="335"/>
      <c r="EX371" s="335"/>
      <c r="EY371" s="335"/>
      <c r="EZ371" s="335"/>
      <c r="FA371" s="335"/>
      <c r="FB371" s="335"/>
      <c r="FC371" s="335"/>
      <c r="FD371" s="335"/>
      <c r="FE371" s="335"/>
      <c r="FF371" s="335"/>
      <c r="FG371" s="335"/>
      <c r="FH371" s="335"/>
      <c r="FI371" s="335"/>
      <c r="FJ371" s="335"/>
      <c r="FK371" s="335"/>
      <c r="FL371" s="335"/>
      <c r="FM371" s="335"/>
      <c r="FN371" s="335"/>
      <c r="FO371" s="335"/>
      <c r="FP371" s="335"/>
      <c r="FQ371" s="335"/>
      <c r="FR371" s="335"/>
      <c r="FS371" s="335"/>
      <c r="FT371" s="335"/>
      <c r="FU371" s="335"/>
      <c r="FV371" s="335"/>
      <c r="FW371" s="335"/>
      <c r="FX371" s="335"/>
      <c r="FY371" s="335"/>
      <c r="FZ371" s="335"/>
      <c r="GA371" s="335"/>
      <c r="GB371" s="335"/>
      <c r="GC371" s="335"/>
      <c r="GD371" s="335"/>
      <c r="GE371" s="335"/>
      <c r="GF371" s="335"/>
      <c r="GG371" s="335"/>
      <c r="GH371" s="335"/>
      <c r="GI371" s="335"/>
      <c r="GJ371" s="335"/>
      <c r="GK371" s="335"/>
      <c r="GL371" s="335"/>
      <c r="GM371" s="335"/>
      <c r="GN371" s="335"/>
      <c r="GO371" s="335"/>
      <c r="GP371" s="335"/>
      <c r="GQ371" s="335"/>
      <c r="GR371" s="335"/>
      <c r="GS371" s="335"/>
      <c r="GT371" s="335"/>
      <c r="GU371" s="335"/>
      <c r="GV371" s="335"/>
      <c r="GW371" s="335"/>
      <c r="GX371" s="335"/>
      <c r="GY371" s="335"/>
      <c r="GZ371" s="335"/>
    </row>
    <row r="372" spans="1:208" ht="15">
      <c r="A372" s="379"/>
      <c r="B372" s="335"/>
      <c r="C372" s="335"/>
      <c r="D372" s="335"/>
      <c r="E372" s="335"/>
      <c r="F372" s="335"/>
      <c r="G372" s="335"/>
      <c r="H372" s="335"/>
      <c r="I372" s="335"/>
      <c r="J372" s="335"/>
      <c r="K372" s="335"/>
      <c r="L372" s="335"/>
      <c r="M372" s="376"/>
      <c r="N372" s="335"/>
      <c r="O372" s="380"/>
      <c r="P372" s="335"/>
      <c r="Q372" s="335"/>
      <c r="R372" s="335"/>
      <c r="S372" s="335"/>
      <c r="T372" s="335"/>
      <c r="U372" s="335"/>
      <c r="V372" s="335"/>
      <c r="W372" s="335"/>
      <c r="X372" s="335"/>
      <c r="Y372" s="335"/>
      <c r="Z372" s="335"/>
      <c r="AA372" s="335"/>
      <c r="AB372" s="335"/>
      <c r="AC372" s="335"/>
      <c r="AD372" s="335"/>
      <c r="AE372" s="335"/>
      <c r="AF372" s="335"/>
      <c r="AG372" s="335"/>
      <c r="AH372" s="335"/>
      <c r="AI372" s="335"/>
      <c r="AJ372" s="335"/>
      <c r="AK372" s="335"/>
      <c r="AL372" s="335"/>
      <c r="AM372" s="335"/>
      <c r="AN372" s="335"/>
      <c r="AO372" s="335"/>
      <c r="AP372" s="335"/>
      <c r="AQ372" s="335"/>
      <c r="AR372" s="335"/>
      <c r="AS372" s="335"/>
      <c r="AT372" s="335"/>
      <c r="AU372" s="335"/>
      <c r="AV372" s="335"/>
      <c r="AW372" s="335"/>
      <c r="AX372" s="335"/>
      <c r="AY372" s="335"/>
      <c r="AZ372" s="335"/>
      <c r="BA372" s="335"/>
      <c r="BB372" s="335"/>
      <c r="BC372" s="335"/>
      <c r="BD372" s="335"/>
      <c r="BE372" s="335"/>
      <c r="BF372" s="335"/>
      <c r="BG372" s="335"/>
      <c r="BH372" s="335"/>
      <c r="BI372" s="335"/>
      <c r="BJ372" s="335"/>
      <c r="BK372" s="335"/>
      <c r="BL372" s="335"/>
      <c r="BM372" s="335"/>
      <c r="BN372" s="335"/>
      <c r="BO372" s="335"/>
      <c r="BP372" s="335"/>
      <c r="BQ372" s="335"/>
      <c r="BR372" s="335"/>
      <c r="BS372" s="335"/>
      <c r="BT372" s="335"/>
      <c r="BU372" s="335"/>
      <c r="BV372" s="335"/>
      <c r="BW372" s="335"/>
      <c r="BX372" s="335"/>
      <c r="BY372" s="335"/>
      <c r="BZ372" s="335"/>
      <c r="CA372" s="335"/>
      <c r="CB372" s="335"/>
      <c r="CC372" s="335"/>
      <c r="CD372" s="335"/>
      <c r="CE372" s="335"/>
      <c r="CF372" s="335"/>
      <c r="CG372" s="335"/>
      <c r="CH372" s="335"/>
      <c r="CI372" s="335"/>
      <c r="CJ372" s="335"/>
      <c r="CK372" s="335"/>
      <c r="CL372" s="335"/>
      <c r="CM372" s="335"/>
      <c r="CN372" s="335"/>
      <c r="CO372" s="335"/>
      <c r="CP372" s="335"/>
      <c r="CQ372" s="335"/>
      <c r="CR372" s="335"/>
      <c r="CS372" s="335"/>
      <c r="CT372" s="335"/>
      <c r="CU372" s="335"/>
      <c r="CV372" s="335"/>
      <c r="CW372" s="335"/>
      <c r="CX372" s="335"/>
      <c r="CY372" s="335"/>
      <c r="CZ372" s="335"/>
      <c r="DA372" s="335"/>
      <c r="DB372" s="335"/>
      <c r="DC372" s="335"/>
      <c r="DD372" s="335"/>
      <c r="DE372" s="335"/>
      <c r="DF372" s="335"/>
      <c r="DG372" s="335"/>
      <c r="DH372" s="335"/>
      <c r="DI372" s="335"/>
      <c r="DJ372" s="335"/>
      <c r="DK372" s="335"/>
      <c r="DL372" s="335"/>
      <c r="DM372" s="335"/>
      <c r="DN372" s="335"/>
      <c r="DO372" s="335"/>
      <c r="DP372" s="335"/>
      <c r="DQ372" s="335"/>
      <c r="DR372" s="335"/>
      <c r="DS372" s="335"/>
      <c r="DT372" s="335"/>
      <c r="DU372" s="335"/>
      <c r="DV372" s="335"/>
      <c r="DW372" s="335"/>
      <c r="DX372" s="335"/>
      <c r="DY372" s="335"/>
      <c r="DZ372" s="335"/>
      <c r="EA372" s="335"/>
      <c r="EB372" s="335"/>
      <c r="EC372" s="335"/>
      <c r="ED372" s="335"/>
      <c r="EE372" s="335"/>
      <c r="EF372" s="335"/>
      <c r="EG372" s="335"/>
      <c r="EH372" s="335"/>
      <c r="EI372" s="335"/>
      <c r="EJ372" s="335"/>
      <c r="EK372" s="335"/>
      <c r="EL372" s="335"/>
      <c r="EM372" s="335"/>
      <c r="EN372" s="335"/>
      <c r="EO372" s="335"/>
      <c r="EP372" s="335"/>
      <c r="EQ372" s="335"/>
      <c r="ER372" s="335"/>
      <c r="ES372" s="335"/>
      <c r="ET372" s="335"/>
      <c r="EU372" s="335"/>
      <c r="EV372" s="335"/>
      <c r="EW372" s="335"/>
      <c r="EX372" s="335"/>
      <c r="EY372" s="335"/>
      <c r="EZ372" s="335"/>
      <c r="FA372" s="335"/>
      <c r="FB372" s="335"/>
      <c r="FC372" s="335"/>
      <c r="FD372" s="335"/>
      <c r="FE372" s="335"/>
      <c r="FF372" s="335"/>
      <c r="FG372" s="335"/>
      <c r="FH372" s="335"/>
      <c r="FI372" s="335"/>
      <c r="FJ372" s="335"/>
      <c r="FK372" s="335"/>
      <c r="FL372" s="335"/>
      <c r="FM372" s="335"/>
      <c r="FN372" s="335"/>
      <c r="FO372" s="335"/>
      <c r="FP372" s="335"/>
      <c r="FQ372" s="335"/>
      <c r="FR372" s="335"/>
      <c r="FS372" s="335"/>
      <c r="FT372" s="335"/>
      <c r="FU372" s="335"/>
      <c r="FV372" s="335"/>
      <c r="FW372" s="335"/>
      <c r="FX372" s="335"/>
      <c r="FY372" s="335"/>
      <c r="FZ372" s="335"/>
      <c r="GA372" s="335"/>
      <c r="GB372" s="335"/>
      <c r="GC372" s="335"/>
      <c r="GD372" s="335"/>
      <c r="GE372" s="335"/>
      <c r="GF372" s="335"/>
      <c r="GG372" s="335"/>
      <c r="GH372" s="335"/>
      <c r="GI372" s="335"/>
      <c r="GJ372" s="335"/>
      <c r="GK372" s="335"/>
      <c r="GL372" s="335"/>
      <c r="GM372" s="335"/>
      <c r="GN372" s="335"/>
      <c r="GO372" s="335"/>
      <c r="GP372" s="335"/>
      <c r="GQ372" s="335"/>
      <c r="GR372" s="335"/>
      <c r="GS372" s="335"/>
      <c r="GT372" s="335"/>
      <c r="GU372" s="335"/>
      <c r="GV372" s="335"/>
      <c r="GW372" s="335"/>
      <c r="GX372" s="335"/>
      <c r="GY372" s="335"/>
      <c r="GZ372" s="335"/>
    </row>
    <row r="373" spans="1:208" ht="15">
      <c r="A373" s="379"/>
      <c r="B373" s="335"/>
      <c r="C373" s="335"/>
      <c r="D373" s="335"/>
      <c r="E373" s="335"/>
      <c r="F373" s="335"/>
      <c r="G373" s="335"/>
      <c r="H373" s="335"/>
      <c r="I373" s="335"/>
      <c r="J373" s="335"/>
      <c r="K373" s="335"/>
      <c r="L373" s="335"/>
      <c r="M373" s="376"/>
      <c r="N373" s="335"/>
      <c r="O373" s="380"/>
      <c r="P373" s="335"/>
      <c r="Q373" s="335"/>
      <c r="R373" s="335"/>
      <c r="S373" s="335"/>
      <c r="T373" s="335"/>
      <c r="U373" s="335"/>
      <c r="V373" s="335"/>
      <c r="W373" s="335"/>
      <c r="X373" s="335"/>
      <c r="Y373" s="335"/>
      <c r="Z373" s="335"/>
      <c r="AA373" s="335"/>
      <c r="AB373" s="335"/>
      <c r="AC373" s="335"/>
      <c r="AD373" s="335"/>
      <c r="AE373" s="335"/>
      <c r="AF373" s="335"/>
      <c r="AG373" s="335"/>
      <c r="AH373" s="335"/>
      <c r="AI373" s="335"/>
      <c r="AJ373" s="335"/>
      <c r="AK373" s="335"/>
      <c r="AL373" s="335"/>
      <c r="AM373" s="335"/>
      <c r="AN373" s="335"/>
      <c r="AO373" s="335"/>
      <c r="AP373" s="335"/>
      <c r="AQ373" s="335"/>
      <c r="AR373" s="335"/>
      <c r="AS373" s="335"/>
      <c r="AT373" s="335"/>
      <c r="AU373" s="335"/>
      <c r="AV373" s="335"/>
      <c r="AW373" s="335"/>
      <c r="AX373" s="335"/>
      <c r="AY373" s="335"/>
      <c r="AZ373" s="335"/>
      <c r="BA373" s="335"/>
      <c r="BB373" s="335"/>
      <c r="BC373" s="335"/>
      <c r="BD373" s="335"/>
      <c r="BE373" s="335"/>
      <c r="BF373" s="335"/>
      <c r="BG373" s="335"/>
      <c r="BH373" s="335"/>
      <c r="BI373" s="335"/>
      <c r="BJ373" s="335"/>
      <c r="BK373" s="335"/>
      <c r="BL373" s="335"/>
      <c r="BM373" s="335"/>
      <c r="BN373" s="335"/>
      <c r="BO373" s="335"/>
      <c r="BP373" s="335"/>
      <c r="BQ373" s="335"/>
      <c r="BR373" s="335"/>
      <c r="BS373" s="335"/>
      <c r="BT373" s="335"/>
      <c r="BU373" s="335"/>
      <c r="BV373" s="335"/>
      <c r="BW373" s="335"/>
      <c r="BX373" s="335"/>
      <c r="BY373" s="335"/>
      <c r="BZ373" s="335"/>
      <c r="CA373" s="335"/>
      <c r="CB373" s="335"/>
      <c r="CC373" s="335"/>
      <c r="CD373" s="335"/>
      <c r="CE373" s="335"/>
      <c r="CF373" s="335"/>
      <c r="CG373" s="335"/>
      <c r="CH373" s="335"/>
      <c r="CI373" s="335"/>
      <c r="CJ373" s="335"/>
      <c r="CK373" s="335"/>
      <c r="CL373" s="335"/>
      <c r="CM373" s="335"/>
      <c r="CN373" s="335"/>
      <c r="CO373" s="335"/>
      <c r="CP373" s="335"/>
      <c r="CQ373" s="335"/>
      <c r="CR373" s="335"/>
      <c r="CS373" s="335"/>
      <c r="CT373" s="335"/>
      <c r="CU373" s="335"/>
      <c r="CV373" s="335"/>
      <c r="CW373" s="335"/>
      <c r="CX373" s="335"/>
      <c r="CY373" s="335"/>
      <c r="CZ373" s="335"/>
      <c r="DA373" s="335"/>
      <c r="DB373" s="335"/>
      <c r="DC373" s="335"/>
      <c r="DD373" s="335"/>
      <c r="DE373" s="335"/>
      <c r="DF373" s="335"/>
      <c r="DG373" s="335"/>
      <c r="DH373" s="335"/>
      <c r="DI373" s="335"/>
      <c r="DJ373" s="335"/>
      <c r="DK373" s="335"/>
      <c r="DL373" s="335"/>
      <c r="DM373" s="335"/>
      <c r="DN373" s="335"/>
      <c r="DO373" s="335"/>
      <c r="DP373" s="335"/>
      <c r="DQ373" s="335"/>
      <c r="DR373" s="335"/>
      <c r="DS373" s="335"/>
      <c r="DT373" s="335"/>
      <c r="DU373" s="335"/>
      <c r="DV373" s="335"/>
      <c r="DW373" s="335"/>
      <c r="DX373" s="335"/>
      <c r="DY373" s="335"/>
      <c r="DZ373" s="335"/>
      <c r="EA373" s="335"/>
      <c r="EB373" s="335"/>
      <c r="EC373" s="335"/>
      <c r="ED373" s="335"/>
      <c r="EE373" s="335"/>
      <c r="EF373" s="335"/>
      <c r="EG373" s="335"/>
      <c r="EH373" s="335"/>
      <c r="EI373" s="335"/>
      <c r="EJ373" s="335"/>
      <c r="EK373" s="335"/>
      <c r="EL373" s="335"/>
      <c r="EM373" s="335"/>
      <c r="EN373" s="335"/>
      <c r="EO373" s="335"/>
      <c r="EP373" s="335"/>
      <c r="EQ373" s="335"/>
      <c r="ER373" s="335"/>
      <c r="ES373" s="335"/>
      <c r="ET373" s="335"/>
      <c r="EU373" s="335"/>
      <c r="EV373" s="335"/>
      <c r="EW373" s="335"/>
      <c r="EX373" s="335"/>
      <c r="EY373" s="335"/>
      <c r="EZ373" s="335"/>
      <c r="FA373" s="335"/>
      <c r="FB373" s="335"/>
      <c r="FC373" s="335"/>
      <c r="FD373" s="335"/>
      <c r="FE373" s="335"/>
      <c r="FF373" s="335"/>
      <c r="FG373" s="335"/>
      <c r="FH373" s="335"/>
      <c r="FI373" s="335"/>
      <c r="FJ373" s="335"/>
      <c r="FK373" s="335"/>
      <c r="FL373" s="335"/>
      <c r="FM373" s="335"/>
      <c r="FN373" s="335"/>
      <c r="FO373" s="335"/>
      <c r="FP373" s="335"/>
      <c r="FQ373" s="335"/>
      <c r="FR373" s="335"/>
      <c r="FS373" s="335"/>
      <c r="FT373" s="335"/>
      <c r="FU373" s="335"/>
      <c r="FV373" s="335"/>
      <c r="FW373" s="335"/>
      <c r="FX373" s="335"/>
      <c r="FY373" s="335"/>
      <c r="FZ373" s="335"/>
      <c r="GA373" s="335"/>
      <c r="GB373" s="335"/>
      <c r="GC373" s="335"/>
      <c r="GD373" s="335"/>
      <c r="GE373" s="335"/>
      <c r="GF373" s="335"/>
      <c r="GG373" s="335"/>
      <c r="GH373" s="335"/>
      <c r="GI373" s="335"/>
      <c r="GJ373" s="335"/>
      <c r="GK373" s="335"/>
      <c r="GL373" s="335"/>
      <c r="GM373" s="335"/>
      <c r="GN373" s="335"/>
      <c r="GO373" s="335"/>
      <c r="GP373" s="335"/>
      <c r="GQ373" s="335"/>
      <c r="GR373" s="335"/>
      <c r="GS373" s="335"/>
      <c r="GT373" s="335"/>
      <c r="GU373" s="335"/>
      <c r="GV373" s="335"/>
      <c r="GW373" s="335"/>
      <c r="GX373" s="335"/>
      <c r="GY373" s="335"/>
      <c r="GZ373" s="335"/>
    </row>
    <row r="374" spans="1:208" ht="15">
      <c r="A374" s="379"/>
      <c r="B374" s="335"/>
      <c r="C374" s="335"/>
      <c r="D374" s="335"/>
      <c r="E374" s="335"/>
      <c r="F374" s="335"/>
      <c r="G374" s="335"/>
      <c r="H374" s="335"/>
      <c r="I374" s="335"/>
      <c r="J374" s="335"/>
      <c r="K374" s="335"/>
      <c r="L374" s="335"/>
      <c r="M374" s="376"/>
      <c r="N374" s="335"/>
      <c r="O374" s="380"/>
      <c r="P374" s="335"/>
      <c r="Q374" s="335"/>
      <c r="R374" s="335"/>
      <c r="S374" s="335"/>
      <c r="T374" s="335"/>
      <c r="U374" s="335"/>
      <c r="V374" s="335"/>
      <c r="W374" s="335"/>
      <c r="X374" s="335"/>
      <c r="Y374" s="335"/>
      <c r="Z374" s="335"/>
      <c r="AA374" s="335"/>
      <c r="AB374" s="335"/>
      <c r="AC374" s="335"/>
      <c r="AD374" s="335"/>
      <c r="AE374" s="335"/>
      <c r="AF374" s="335"/>
      <c r="AG374" s="335"/>
      <c r="AH374" s="335"/>
      <c r="AI374" s="335"/>
      <c r="AJ374" s="335"/>
      <c r="AK374" s="335"/>
      <c r="AL374" s="335"/>
      <c r="AM374" s="335"/>
      <c r="AN374" s="335"/>
      <c r="AO374" s="335"/>
      <c r="AP374" s="335"/>
      <c r="AQ374" s="335"/>
      <c r="AR374" s="335"/>
      <c r="AS374" s="335"/>
      <c r="AT374" s="335"/>
      <c r="AU374" s="335"/>
      <c r="AV374" s="335"/>
      <c r="AW374" s="335"/>
      <c r="AX374" s="335"/>
      <c r="AY374" s="335"/>
      <c r="AZ374" s="335"/>
      <c r="BA374" s="335"/>
      <c r="BB374" s="335"/>
      <c r="BC374" s="335"/>
      <c r="BD374" s="335"/>
      <c r="BE374" s="335"/>
      <c r="BF374" s="335"/>
      <c r="BG374" s="335"/>
      <c r="BH374" s="335"/>
      <c r="BI374" s="335"/>
      <c r="BJ374" s="335"/>
      <c r="BK374" s="335"/>
      <c r="BL374" s="335"/>
      <c r="BM374" s="335"/>
      <c r="BN374" s="335"/>
      <c r="BO374" s="335"/>
      <c r="BP374" s="335"/>
      <c r="BQ374" s="335"/>
      <c r="BR374" s="335"/>
      <c r="BS374" s="335"/>
      <c r="BT374" s="335"/>
      <c r="BU374" s="335"/>
      <c r="BV374" s="335"/>
      <c r="BW374" s="335"/>
      <c r="BX374" s="335"/>
      <c r="BY374" s="335"/>
      <c r="BZ374" s="335"/>
      <c r="CA374" s="335"/>
      <c r="CB374" s="335"/>
      <c r="CC374" s="335"/>
      <c r="CD374" s="335"/>
      <c r="CE374" s="335"/>
      <c r="CF374" s="335"/>
      <c r="CG374" s="335"/>
      <c r="CH374" s="335"/>
      <c r="CI374" s="335"/>
      <c r="CJ374" s="335"/>
      <c r="CK374" s="335"/>
      <c r="CL374" s="335"/>
      <c r="CM374" s="335"/>
      <c r="CN374" s="335"/>
      <c r="CO374" s="335"/>
      <c r="CP374" s="335"/>
      <c r="CQ374" s="335"/>
      <c r="CR374" s="335"/>
      <c r="CS374" s="335"/>
      <c r="CT374" s="335"/>
      <c r="CU374" s="335"/>
      <c r="CV374" s="335"/>
      <c r="CW374" s="335"/>
      <c r="CX374" s="335"/>
      <c r="CY374" s="335"/>
      <c r="CZ374" s="335"/>
      <c r="DA374" s="335"/>
      <c r="DB374" s="335"/>
      <c r="DC374" s="335"/>
      <c r="DD374" s="335"/>
      <c r="DE374" s="335"/>
      <c r="DF374" s="335"/>
      <c r="DG374" s="335"/>
      <c r="DH374" s="335"/>
      <c r="DI374" s="335"/>
      <c r="DJ374" s="335"/>
      <c r="DK374" s="335"/>
      <c r="DL374" s="335"/>
      <c r="DM374" s="335"/>
      <c r="DN374" s="335"/>
      <c r="DO374" s="335"/>
      <c r="DP374" s="335"/>
      <c r="DQ374" s="335"/>
      <c r="DR374" s="335"/>
      <c r="DS374" s="335"/>
      <c r="DT374" s="335"/>
      <c r="DU374" s="335"/>
      <c r="DV374" s="335"/>
      <c r="DW374" s="335"/>
      <c r="DX374" s="335"/>
      <c r="DY374" s="335"/>
      <c r="DZ374" s="335"/>
      <c r="EA374" s="335"/>
      <c r="EB374" s="335"/>
      <c r="EC374" s="335"/>
      <c r="ED374" s="335"/>
      <c r="EE374" s="335"/>
      <c r="EF374" s="335"/>
      <c r="EG374" s="335"/>
      <c r="EH374" s="335"/>
      <c r="EI374" s="335"/>
      <c r="EJ374" s="335"/>
      <c r="EK374" s="335"/>
      <c r="EL374" s="335"/>
      <c r="EM374" s="335"/>
      <c r="EN374" s="335"/>
      <c r="EO374" s="335"/>
      <c r="EP374" s="335"/>
      <c r="EQ374" s="335"/>
      <c r="ER374" s="335"/>
      <c r="ES374" s="335"/>
      <c r="ET374" s="335"/>
      <c r="EU374" s="335"/>
      <c r="EV374" s="335"/>
      <c r="EW374" s="335"/>
      <c r="EX374" s="335"/>
      <c r="EY374" s="335"/>
      <c r="EZ374" s="335"/>
      <c r="FA374" s="335"/>
      <c r="FB374" s="335"/>
      <c r="FC374" s="335"/>
      <c r="FD374" s="335"/>
      <c r="FE374" s="335"/>
      <c r="FF374" s="335"/>
      <c r="FG374" s="335"/>
      <c r="FH374" s="335"/>
      <c r="FI374" s="335"/>
      <c r="FJ374" s="335"/>
      <c r="FK374" s="335"/>
      <c r="FL374" s="335"/>
      <c r="FM374" s="335"/>
      <c r="FN374" s="335"/>
      <c r="FO374" s="335"/>
      <c r="FP374" s="335"/>
      <c r="FQ374" s="335"/>
      <c r="FR374" s="335"/>
      <c r="FS374" s="335"/>
      <c r="FT374" s="335"/>
      <c r="FU374" s="335"/>
      <c r="FV374" s="335"/>
      <c r="FW374" s="335"/>
      <c r="FX374" s="335"/>
      <c r="FY374" s="335"/>
      <c r="FZ374" s="335"/>
      <c r="GA374" s="335"/>
      <c r="GB374" s="335"/>
      <c r="GC374" s="335"/>
      <c r="GD374" s="335"/>
      <c r="GE374" s="335"/>
      <c r="GF374" s="335"/>
      <c r="GG374" s="335"/>
      <c r="GH374" s="335"/>
      <c r="GI374" s="335"/>
      <c r="GJ374" s="335"/>
      <c r="GK374" s="335"/>
      <c r="GL374" s="335"/>
      <c r="GM374" s="335"/>
      <c r="GN374" s="335"/>
      <c r="GO374" s="335"/>
      <c r="GP374" s="335"/>
      <c r="GQ374" s="335"/>
      <c r="GR374" s="335"/>
      <c r="GS374" s="335"/>
      <c r="GT374" s="335"/>
      <c r="GU374" s="335"/>
      <c r="GV374" s="335"/>
      <c r="GW374" s="335"/>
      <c r="GX374" s="335"/>
      <c r="GY374" s="335"/>
      <c r="GZ374" s="335"/>
    </row>
    <row r="375" spans="1:208" ht="15">
      <c r="A375" s="379"/>
      <c r="B375" s="335"/>
      <c r="C375" s="335"/>
      <c r="D375" s="335"/>
      <c r="E375" s="335"/>
      <c r="F375" s="335"/>
      <c r="G375" s="335"/>
      <c r="H375" s="335"/>
      <c r="I375" s="335"/>
      <c r="J375" s="335"/>
      <c r="K375" s="335"/>
      <c r="L375" s="335"/>
      <c r="M375" s="376"/>
      <c r="N375" s="335"/>
      <c r="O375" s="380"/>
      <c r="P375" s="335"/>
      <c r="Q375" s="335"/>
      <c r="R375" s="335"/>
      <c r="S375" s="335"/>
      <c r="T375" s="335"/>
      <c r="U375" s="335"/>
      <c r="V375" s="335"/>
      <c r="W375" s="335"/>
      <c r="X375" s="335"/>
      <c r="Y375" s="335"/>
      <c r="Z375" s="335"/>
      <c r="AA375" s="335"/>
      <c r="AB375" s="335"/>
      <c r="AC375" s="335"/>
      <c r="AD375" s="335"/>
      <c r="AE375" s="335"/>
      <c r="AF375" s="335"/>
      <c r="AG375" s="335"/>
      <c r="AH375" s="335"/>
      <c r="AI375" s="335"/>
      <c r="AJ375" s="335"/>
      <c r="AK375" s="335"/>
      <c r="AL375" s="335"/>
      <c r="AM375" s="335"/>
      <c r="AN375" s="335"/>
      <c r="AO375" s="335"/>
      <c r="AP375" s="335"/>
      <c r="AQ375" s="335"/>
      <c r="AR375" s="335"/>
      <c r="AS375" s="335"/>
      <c r="AT375" s="335"/>
      <c r="AU375" s="335"/>
      <c r="AV375" s="335"/>
      <c r="AW375" s="335"/>
      <c r="AX375" s="335"/>
      <c r="AY375" s="335"/>
      <c r="AZ375" s="335"/>
      <c r="BA375" s="335"/>
      <c r="BB375" s="335"/>
      <c r="BC375" s="335"/>
      <c r="BD375" s="335"/>
      <c r="BE375" s="335"/>
      <c r="BF375" s="335"/>
      <c r="BG375" s="335"/>
      <c r="BH375" s="335"/>
      <c r="BI375" s="335"/>
      <c r="BJ375" s="335"/>
      <c r="BK375" s="335"/>
      <c r="BL375" s="335"/>
      <c r="BM375" s="335"/>
      <c r="BN375" s="335"/>
      <c r="BO375" s="335"/>
      <c r="BP375" s="335"/>
      <c r="BQ375" s="335"/>
      <c r="BR375" s="335"/>
      <c r="BS375" s="335"/>
      <c r="BT375" s="335"/>
      <c r="BU375" s="335"/>
      <c r="BV375" s="335"/>
      <c r="BW375" s="335"/>
      <c r="BX375" s="335"/>
      <c r="BY375" s="335"/>
      <c r="BZ375" s="335"/>
      <c r="CA375" s="335"/>
      <c r="CB375" s="335"/>
      <c r="CC375" s="335"/>
      <c r="CD375" s="335"/>
      <c r="CE375" s="335"/>
      <c r="CF375" s="335"/>
      <c r="CG375" s="335"/>
      <c r="CH375" s="335"/>
      <c r="CI375" s="335"/>
      <c r="CJ375" s="335"/>
      <c r="CK375" s="335"/>
      <c r="CL375" s="335"/>
      <c r="CM375" s="335"/>
      <c r="CN375" s="335"/>
      <c r="CO375" s="335"/>
      <c r="CP375" s="335"/>
      <c r="CQ375" s="335"/>
      <c r="CR375" s="335"/>
      <c r="CS375" s="335"/>
      <c r="CT375" s="335"/>
      <c r="CU375" s="335"/>
      <c r="CV375" s="335"/>
      <c r="CW375" s="335"/>
      <c r="CX375" s="335"/>
      <c r="CY375" s="335"/>
      <c r="CZ375" s="335"/>
      <c r="DA375" s="335"/>
      <c r="DB375" s="335"/>
      <c r="DC375" s="335"/>
      <c r="DD375" s="335"/>
      <c r="DE375" s="335"/>
      <c r="DF375" s="335"/>
      <c r="DG375" s="335"/>
      <c r="DH375" s="335"/>
      <c r="DI375" s="335"/>
      <c r="DJ375" s="335"/>
      <c r="DK375" s="335"/>
      <c r="DL375" s="335"/>
      <c r="DM375" s="335"/>
      <c r="DN375" s="335"/>
      <c r="DO375" s="335"/>
      <c r="DP375" s="335"/>
      <c r="DQ375" s="335"/>
      <c r="DR375" s="335"/>
      <c r="DS375" s="335"/>
      <c r="DT375" s="335"/>
      <c r="DU375" s="335"/>
      <c r="DV375" s="335"/>
      <c r="DW375" s="335"/>
      <c r="DX375" s="335"/>
      <c r="DY375" s="335"/>
      <c r="DZ375" s="335"/>
      <c r="EA375" s="335"/>
      <c r="EB375" s="335"/>
      <c r="EC375" s="335"/>
      <c r="ED375" s="335"/>
      <c r="EE375" s="335"/>
      <c r="EF375" s="335"/>
      <c r="EG375" s="335"/>
      <c r="EH375" s="335"/>
      <c r="EI375" s="335"/>
      <c r="EJ375" s="335"/>
      <c r="EK375" s="335"/>
      <c r="EL375" s="335"/>
      <c r="EM375" s="335"/>
      <c r="EN375" s="335"/>
      <c r="EO375" s="335"/>
      <c r="EP375" s="335"/>
      <c r="EQ375" s="335"/>
      <c r="ER375" s="335"/>
      <c r="ES375" s="335"/>
      <c r="ET375" s="335"/>
      <c r="EU375" s="335"/>
      <c r="EV375" s="335"/>
      <c r="EW375" s="335"/>
      <c r="EX375" s="335"/>
      <c r="EY375" s="335"/>
      <c r="EZ375" s="335"/>
      <c r="FA375" s="335"/>
      <c r="FB375" s="335"/>
      <c r="FC375" s="335"/>
      <c r="FD375" s="335"/>
      <c r="FE375" s="335"/>
      <c r="FF375" s="335"/>
      <c r="FG375" s="335"/>
      <c r="FH375" s="335"/>
      <c r="FI375" s="335"/>
      <c r="FJ375" s="335"/>
      <c r="FK375" s="335"/>
      <c r="FL375" s="335"/>
      <c r="FM375" s="335"/>
      <c r="FN375" s="335"/>
      <c r="FO375" s="335"/>
      <c r="FP375" s="335"/>
      <c r="FQ375" s="335"/>
      <c r="FR375" s="335"/>
      <c r="FS375" s="335"/>
      <c r="FT375" s="335"/>
      <c r="FU375" s="335"/>
      <c r="FV375" s="335"/>
      <c r="FW375" s="335"/>
      <c r="FX375" s="335"/>
      <c r="FY375" s="335"/>
      <c r="FZ375" s="335"/>
      <c r="GA375" s="335"/>
      <c r="GB375" s="335"/>
      <c r="GC375" s="335"/>
      <c r="GD375" s="335"/>
      <c r="GE375" s="335"/>
      <c r="GF375" s="335"/>
      <c r="GG375" s="335"/>
      <c r="GH375" s="335"/>
      <c r="GI375" s="335"/>
      <c r="GJ375" s="335"/>
      <c r="GK375" s="335"/>
      <c r="GL375" s="335"/>
      <c r="GM375" s="335"/>
      <c r="GN375" s="335"/>
      <c r="GO375" s="335"/>
      <c r="GP375" s="335"/>
      <c r="GQ375" s="335"/>
      <c r="GR375" s="335"/>
      <c r="GS375" s="335"/>
      <c r="GT375" s="335"/>
      <c r="GU375" s="335"/>
      <c r="GV375" s="335"/>
      <c r="GW375" s="335"/>
      <c r="GX375" s="335"/>
      <c r="GY375" s="335"/>
      <c r="GZ375" s="335"/>
    </row>
    <row r="376" spans="1:208" ht="15">
      <c r="A376" s="379"/>
      <c r="B376" s="335"/>
      <c r="C376" s="335"/>
      <c r="D376" s="335"/>
      <c r="E376" s="335"/>
      <c r="F376" s="335"/>
      <c r="G376" s="335"/>
      <c r="H376" s="335"/>
      <c r="I376" s="335"/>
      <c r="J376" s="335"/>
      <c r="K376" s="335"/>
      <c r="L376" s="335"/>
      <c r="M376" s="376"/>
      <c r="N376" s="335"/>
      <c r="O376" s="380"/>
      <c r="P376" s="335"/>
      <c r="Q376" s="335"/>
      <c r="R376" s="335"/>
      <c r="S376" s="335"/>
      <c r="T376" s="335"/>
      <c r="U376" s="335"/>
      <c r="V376" s="335"/>
      <c r="W376" s="335"/>
      <c r="X376" s="335"/>
      <c r="Y376" s="335"/>
      <c r="Z376" s="335"/>
      <c r="AA376" s="335"/>
      <c r="AB376" s="335"/>
      <c r="AC376" s="335"/>
      <c r="AD376" s="335"/>
      <c r="AE376" s="335"/>
      <c r="AF376" s="335"/>
      <c r="AG376" s="335"/>
      <c r="AH376" s="335"/>
      <c r="AI376" s="335"/>
      <c r="AJ376" s="335"/>
      <c r="AK376" s="335"/>
      <c r="AL376" s="335"/>
      <c r="AM376" s="335"/>
      <c r="AN376" s="335"/>
      <c r="AO376" s="335"/>
      <c r="AP376" s="335"/>
      <c r="AQ376" s="335"/>
      <c r="AR376" s="335"/>
      <c r="AS376" s="335"/>
      <c r="AT376" s="335"/>
      <c r="AU376" s="335"/>
      <c r="AV376" s="335"/>
      <c r="AW376" s="335"/>
      <c r="AX376" s="335"/>
      <c r="AY376" s="335"/>
      <c r="AZ376" s="335"/>
      <c r="BA376" s="335"/>
      <c r="BB376" s="335"/>
      <c r="BC376" s="335"/>
      <c r="BD376" s="335"/>
      <c r="BE376" s="335"/>
      <c r="BF376" s="335"/>
      <c r="BG376" s="335"/>
      <c r="BH376" s="335"/>
      <c r="BI376" s="335"/>
      <c r="BJ376" s="335"/>
      <c r="BK376" s="335"/>
      <c r="BL376" s="335"/>
      <c r="BM376" s="335"/>
      <c r="BN376" s="335"/>
      <c r="BO376" s="335"/>
      <c r="BP376" s="335"/>
      <c r="BQ376" s="335"/>
      <c r="BR376" s="335"/>
      <c r="BS376" s="335"/>
      <c r="BT376" s="335"/>
      <c r="BU376" s="335"/>
      <c r="BV376" s="335"/>
      <c r="BW376" s="335"/>
      <c r="BX376" s="335"/>
      <c r="BY376" s="335"/>
      <c r="BZ376" s="335"/>
      <c r="CA376" s="335"/>
      <c r="CB376" s="335"/>
      <c r="CC376" s="335"/>
      <c r="CD376" s="335"/>
      <c r="CE376" s="335"/>
      <c r="CF376" s="335"/>
      <c r="CG376" s="335"/>
      <c r="CH376" s="335"/>
      <c r="CI376" s="335"/>
      <c r="CJ376" s="335"/>
      <c r="CK376" s="335"/>
      <c r="CL376" s="335"/>
      <c r="CM376" s="335"/>
      <c r="CN376" s="335"/>
      <c r="CO376" s="335"/>
      <c r="CP376" s="335"/>
      <c r="CQ376" s="335"/>
      <c r="CR376" s="335"/>
      <c r="CS376" s="335"/>
      <c r="CT376" s="335"/>
      <c r="CU376" s="335"/>
      <c r="CV376" s="335"/>
      <c r="CW376" s="335"/>
      <c r="CX376" s="335"/>
      <c r="CY376" s="335"/>
      <c r="CZ376" s="335"/>
      <c r="DA376" s="335"/>
      <c r="DB376" s="335"/>
      <c r="DC376" s="335"/>
      <c r="DD376" s="335"/>
      <c r="DE376" s="335"/>
      <c r="DF376" s="335"/>
      <c r="DG376" s="335"/>
      <c r="DH376" s="335"/>
      <c r="DI376" s="335"/>
      <c r="DJ376" s="335"/>
      <c r="DK376" s="335"/>
      <c r="DL376" s="335"/>
      <c r="DM376" s="335"/>
      <c r="DN376" s="335"/>
      <c r="DO376" s="335"/>
      <c r="DP376" s="335"/>
      <c r="DQ376" s="335"/>
      <c r="DR376" s="335"/>
      <c r="DS376" s="335"/>
      <c r="DT376" s="335"/>
      <c r="DU376" s="335"/>
      <c r="DV376" s="335"/>
      <c r="DW376" s="335"/>
      <c r="DX376" s="335"/>
      <c r="DY376" s="335"/>
      <c r="DZ376" s="335"/>
      <c r="EA376" s="335"/>
      <c r="EB376" s="335"/>
      <c r="EC376" s="335"/>
      <c r="ED376" s="335"/>
      <c r="EE376" s="335"/>
      <c r="EF376" s="335"/>
      <c r="EG376" s="335"/>
      <c r="EH376" s="335"/>
      <c r="EI376" s="335"/>
      <c r="EJ376" s="335"/>
      <c r="EK376" s="335"/>
      <c r="EL376" s="335"/>
      <c r="EM376" s="335"/>
      <c r="EN376" s="335"/>
      <c r="EO376" s="335"/>
      <c r="EP376" s="335"/>
      <c r="EQ376" s="335"/>
      <c r="ER376" s="335"/>
      <c r="ES376" s="335"/>
      <c r="ET376" s="335"/>
      <c r="EU376" s="335"/>
      <c r="EV376" s="335"/>
      <c r="EW376" s="335"/>
      <c r="EX376" s="335"/>
      <c r="EY376" s="335"/>
      <c r="EZ376" s="335"/>
      <c r="FA376" s="335"/>
      <c r="FB376" s="335"/>
      <c r="FC376" s="335"/>
      <c r="FD376" s="335"/>
      <c r="FE376" s="335"/>
      <c r="FF376" s="335"/>
      <c r="FG376" s="335"/>
      <c r="FH376" s="335"/>
      <c r="FI376" s="335"/>
      <c r="FJ376" s="335"/>
      <c r="FK376" s="335"/>
      <c r="FL376" s="335"/>
      <c r="FM376" s="335"/>
      <c r="FN376" s="335"/>
      <c r="FO376" s="335"/>
      <c r="FP376" s="335"/>
      <c r="FQ376" s="335"/>
      <c r="FR376" s="335"/>
      <c r="FS376" s="335"/>
      <c r="FT376" s="335"/>
      <c r="FU376" s="335"/>
      <c r="FV376" s="335"/>
      <c r="FW376" s="335"/>
      <c r="FX376" s="335"/>
      <c r="FY376" s="335"/>
      <c r="FZ376" s="335"/>
      <c r="GA376" s="335"/>
      <c r="GB376" s="335"/>
      <c r="GC376" s="335"/>
      <c r="GD376" s="335"/>
      <c r="GE376" s="335"/>
      <c r="GF376" s="335"/>
      <c r="GG376" s="335"/>
      <c r="GH376" s="335"/>
      <c r="GI376" s="335"/>
      <c r="GJ376" s="335"/>
      <c r="GK376" s="335"/>
      <c r="GL376" s="335"/>
      <c r="GM376" s="335"/>
      <c r="GN376" s="335"/>
      <c r="GO376" s="335"/>
      <c r="GP376" s="335"/>
      <c r="GQ376" s="335"/>
      <c r="GR376" s="335"/>
      <c r="GS376" s="335"/>
      <c r="GT376" s="335"/>
      <c r="GU376" s="335"/>
      <c r="GV376" s="335"/>
      <c r="GW376" s="335"/>
      <c r="GX376" s="335"/>
      <c r="GY376" s="335"/>
      <c r="GZ376" s="335"/>
    </row>
    <row r="377" spans="1:208" ht="15">
      <c r="A377" s="379"/>
      <c r="B377" s="335"/>
      <c r="C377" s="335"/>
      <c r="D377" s="335"/>
      <c r="E377" s="335"/>
      <c r="F377" s="335"/>
      <c r="G377" s="335"/>
      <c r="H377" s="335"/>
      <c r="I377" s="335"/>
      <c r="J377" s="335"/>
      <c r="K377" s="335"/>
      <c r="L377" s="335"/>
      <c r="M377" s="376"/>
      <c r="N377" s="335"/>
      <c r="O377" s="380"/>
      <c r="P377" s="335"/>
      <c r="Q377" s="335"/>
      <c r="R377" s="335"/>
      <c r="S377" s="335"/>
      <c r="T377" s="335"/>
      <c r="U377" s="335"/>
      <c r="V377" s="335"/>
      <c r="W377" s="335"/>
      <c r="X377" s="335"/>
      <c r="Y377" s="335"/>
      <c r="Z377" s="335"/>
      <c r="AA377" s="335"/>
      <c r="AB377" s="335"/>
      <c r="AC377" s="335"/>
      <c r="AD377" s="335"/>
      <c r="AE377" s="335"/>
      <c r="AF377" s="335"/>
      <c r="AG377" s="335"/>
      <c r="AH377" s="335"/>
      <c r="AI377" s="335"/>
      <c r="AJ377" s="335"/>
      <c r="AK377" s="335"/>
      <c r="AL377" s="335"/>
      <c r="AM377" s="335"/>
      <c r="AN377" s="335"/>
      <c r="AO377" s="335"/>
      <c r="AP377" s="335"/>
      <c r="AQ377" s="335"/>
      <c r="AR377" s="335"/>
      <c r="AS377" s="335"/>
      <c r="AT377" s="335"/>
      <c r="AU377" s="335"/>
      <c r="AV377" s="335"/>
      <c r="AW377" s="335"/>
      <c r="AX377" s="335"/>
      <c r="AY377" s="335"/>
      <c r="AZ377" s="335"/>
      <c r="BA377" s="335"/>
      <c r="BB377" s="335"/>
      <c r="BC377" s="335"/>
      <c r="BD377" s="335"/>
      <c r="BE377" s="335"/>
      <c r="BF377" s="335"/>
      <c r="BG377" s="335"/>
      <c r="BH377" s="335"/>
      <c r="BI377" s="335"/>
      <c r="BJ377" s="335"/>
      <c r="BK377" s="335"/>
      <c r="BL377" s="335"/>
      <c r="BM377" s="335"/>
      <c r="BN377" s="335"/>
      <c r="BO377" s="335"/>
      <c r="BP377" s="335"/>
      <c r="BQ377" s="335"/>
      <c r="BR377" s="335"/>
      <c r="BS377" s="335"/>
      <c r="BT377" s="335"/>
      <c r="BU377" s="335"/>
      <c r="BV377" s="335"/>
      <c r="BW377" s="335"/>
      <c r="BX377" s="335"/>
      <c r="BY377" s="335"/>
      <c r="BZ377" s="335"/>
      <c r="CA377" s="335"/>
      <c r="CB377" s="335"/>
      <c r="CC377" s="335"/>
      <c r="CD377" s="335"/>
      <c r="CE377" s="335"/>
      <c r="CF377" s="335"/>
      <c r="CG377" s="335"/>
      <c r="CH377" s="335"/>
      <c r="CI377" s="335"/>
      <c r="CJ377" s="335"/>
      <c r="CK377" s="335"/>
      <c r="CL377" s="335"/>
      <c r="CM377" s="335"/>
      <c r="CN377" s="335"/>
      <c r="CO377" s="335"/>
      <c r="CP377" s="335"/>
      <c r="CQ377" s="335"/>
      <c r="CR377" s="335"/>
      <c r="CS377" s="335"/>
      <c r="CT377" s="335"/>
      <c r="CU377" s="335"/>
      <c r="CV377" s="335"/>
      <c r="CW377" s="335"/>
      <c r="CX377" s="335"/>
      <c r="CY377" s="335"/>
      <c r="CZ377" s="335"/>
      <c r="DA377" s="335"/>
      <c r="DB377" s="335"/>
      <c r="DC377" s="335"/>
      <c r="DD377" s="335"/>
      <c r="DE377" s="335"/>
      <c r="DF377" s="335"/>
      <c r="DG377" s="335"/>
      <c r="DH377" s="335"/>
      <c r="DI377" s="335"/>
      <c r="DJ377" s="335"/>
      <c r="DK377" s="335"/>
      <c r="DL377" s="335"/>
      <c r="DM377" s="335"/>
      <c r="DN377" s="335"/>
      <c r="DO377" s="335"/>
      <c r="DP377" s="335"/>
      <c r="DQ377" s="335"/>
      <c r="DR377" s="335"/>
      <c r="DS377" s="335"/>
      <c r="DT377" s="335"/>
      <c r="DU377" s="335"/>
      <c r="DV377" s="335"/>
      <c r="DW377" s="335"/>
      <c r="DX377" s="335"/>
      <c r="DY377" s="335"/>
      <c r="DZ377" s="335"/>
      <c r="EA377" s="335"/>
      <c r="EB377" s="335"/>
      <c r="EC377" s="335"/>
      <c r="ED377" s="335"/>
      <c r="EE377" s="335"/>
      <c r="EF377" s="335"/>
      <c r="EG377" s="335"/>
      <c r="EH377" s="335"/>
      <c r="EI377" s="335"/>
      <c r="EJ377" s="335"/>
      <c r="EK377" s="335"/>
      <c r="EL377" s="335"/>
      <c r="EM377" s="335"/>
      <c r="EN377" s="335"/>
      <c r="EO377" s="335"/>
      <c r="EP377" s="335"/>
      <c r="EQ377" s="335"/>
      <c r="ER377" s="335"/>
      <c r="ES377" s="335"/>
      <c r="ET377" s="335"/>
      <c r="EU377" s="335"/>
      <c r="EV377" s="335"/>
      <c r="EW377" s="335"/>
      <c r="EX377" s="335"/>
      <c r="EY377" s="335"/>
      <c r="EZ377" s="335"/>
      <c r="FA377" s="335"/>
      <c r="FB377" s="335"/>
      <c r="FC377" s="335"/>
      <c r="FD377" s="335"/>
      <c r="FE377" s="335"/>
      <c r="FF377" s="335"/>
      <c r="FG377" s="335"/>
      <c r="FH377" s="335"/>
      <c r="FI377" s="335"/>
      <c r="FJ377" s="335"/>
      <c r="FK377" s="335"/>
      <c r="FL377" s="335"/>
      <c r="FM377" s="335"/>
      <c r="FN377" s="335"/>
      <c r="FO377" s="335"/>
      <c r="FP377" s="335"/>
      <c r="FQ377" s="335"/>
      <c r="FR377" s="335"/>
      <c r="FS377" s="335"/>
      <c r="FT377" s="335"/>
      <c r="FU377" s="335"/>
      <c r="FV377" s="335"/>
      <c r="FW377" s="335"/>
      <c r="FX377" s="335"/>
      <c r="FY377" s="335"/>
      <c r="FZ377" s="335"/>
      <c r="GA377" s="335"/>
      <c r="GB377" s="335"/>
      <c r="GC377" s="335"/>
      <c r="GD377" s="335"/>
      <c r="GE377" s="335"/>
      <c r="GF377" s="335"/>
      <c r="GG377" s="335"/>
      <c r="GH377" s="335"/>
      <c r="GI377" s="335"/>
      <c r="GJ377" s="335"/>
      <c r="GK377" s="335"/>
      <c r="GL377" s="335"/>
      <c r="GM377" s="335"/>
      <c r="GN377" s="335"/>
      <c r="GO377" s="335"/>
      <c r="GP377" s="335"/>
      <c r="GQ377" s="335"/>
      <c r="GR377" s="335"/>
      <c r="GS377" s="335"/>
      <c r="GT377" s="335"/>
      <c r="GU377" s="335"/>
      <c r="GV377" s="335"/>
      <c r="GW377" s="335"/>
      <c r="GX377" s="335"/>
      <c r="GY377" s="335"/>
      <c r="GZ377" s="335"/>
    </row>
    <row r="378" spans="1:208" ht="15">
      <c r="A378" s="379"/>
      <c r="B378" s="335"/>
      <c r="C378" s="335"/>
      <c r="D378" s="335"/>
      <c r="E378" s="335"/>
      <c r="F378" s="335"/>
      <c r="G378" s="335"/>
      <c r="H378" s="335"/>
      <c r="I378" s="335"/>
      <c r="J378" s="335"/>
      <c r="K378" s="335"/>
      <c r="L378" s="335"/>
      <c r="M378" s="376"/>
      <c r="N378" s="335"/>
      <c r="O378" s="380"/>
      <c r="P378" s="335"/>
      <c r="Q378" s="335"/>
      <c r="R378" s="335"/>
      <c r="S378" s="335"/>
      <c r="T378" s="335"/>
      <c r="U378" s="335"/>
      <c r="V378" s="335"/>
      <c r="W378" s="335"/>
      <c r="X378" s="335"/>
      <c r="Y378" s="335"/>
      <c r="Z378" s="335"/>
      <c r="AA378" s="335"/>
      <c r="AB378" s="335"/>
      <c r="AC378" s="335"/>
      <c r="AD378" s="335"/>
      <c r="AE378" s="335"/>
      <c r="AF378" s="335"/>
      <c r="AG378" s="335"/>
      <c r="AH378" s="335"/>
      <c r="AI378" s="335"/>
      <c r="AJ378" s="335"/>
      <c r="AK378" s="335"/>
      <c r="AL378" s="335"/>
      <c r="AM378" s="335"/>
      <c r="AN378" s="335"/>
      <c r="AO378" s="335"/>
      <c r="AP378" s="335"/>
      <c r="AQ378" s="335"/>
      <c r="AR378" s="335"/>
      <c r="AS378" s="335"/>
      <c r="AT378" s="335"/>
      <c r="AU378" s="335"/>
      <c r="AV378" s="335"/>
      <c r="AW378" s="335"/>
      <c r="AX378" s="335"/>
      <c r="AY378" s="335"/>
      <c r="AZ378" s="335"/>
      <c r="BA378" s="335"/>
      <c r="BB378" s="335"/>
      <c r="BC378" s="335"/>
      <c r="BD378" s="335"/>
      <c r="BE378" s="335"/>
      <c r="BF378" s="335"/>
      <c r="BG378" s="335"/>
      <c r="BH378" s="335"/>
      <c r="BI378" s="335"/>
      <c r="BJ378" s="335"/>
      <c r="BK378" s="335"/>
      <c r="BL378" s="335"/>
      <c r="BM378" s="335"/>
      <c r="BN378" s="335"/>
      <c r="BO378" s="335"/>
      <c r="BP378" s="335"/>
      <c r="BQ378" s="335"/>
      <c r="BR378" s="335"/>
      <c r="BS378" s="335"/>
      <c r="BT378" s="335"/>
      <c r="BU378" s="335"/>
      <c r="BV378" s="335"/>
      <c r="BW378" s="335"/>
      <c r="BX378" s="335"/>
      <c r="BY378" s="335"/>
      <c r="BZ378" s="335"/>
      <c r="CA378" s="335"/>
      <c r="CB378" s="335"/>
      <c r="CC378" s="335"/>
      <c r="CD378" s="335"/>
      <c r="CE378" s="335"/>
      <c r="CF378" s="335"/>
      <c r="CG378" s="335"/>
      <c r="CH378" s="335"/>
      <c r="CI378" s="335"/>
      <c r="CJ378" s="335"/>
      <c r="CK378" s="335"/>
      <c r="CL378" s="335"/>
      <c r="CM378" s="335"/>
      <c r="CN378" s="335"/>
      <c r="CO378" s="335"/>
      <c r="CP378" s="335"/>
      <c r="CQ378" s="335"/>
      <c r="CR378" s="335"/>
      <c r="CS378" s="335"/>
      <c r="CT378" s="335"/>
      <c r="CU378" s="335"/>
      <c r="CV378" s="335"/>
      <c r="CW378" s="335"/>
      <c r="CX378" s="335"/>
      <c r="CY378" s="335"/>
      <c r="CZ378" s="335"/>
      <c r="DA378" s="335"/>
      <c r="DB378" s="335"/>
      <c r="DC378" s="335"/>
      <c r="DD378" s="335"/>
      <c r="DE378" s="335"/>
      <c r="DF378" s="335"/>
      <c r="DG378" s="335"/>
      <c r="DH378" s="335"/>
      <c r="DI378" s="335"/>
      <c r="DJ378" s="335"/>
      <c r="DK378" s="335"/>
      <c r="DL378" s="335"/>
      <c r="DM378" s="335"/>
      <c r="DN378" s="335"/>
      <c r="DO378" s="335"/>
      <c r="DP378" s="335"/>
      <c r="DQ378" s="335"/>
      <c r="DR378" s="335"/>
      <c r="DS378" s="335"/>
      <c r="DT378" s="335"/>
      <c r="DU378" s="335"/>
      <c r="DV378" s="335"/>
      <c r="DW378" s="335"/>
      <c r="DX378" s="335"/>
      <c r="DY378" s="335"/>
      <c r="DZ378" s="335"/>
      <c r="EA378" s="335"/>
      <c r="EB378" s="335"/>
      <c r="EC378" s="335"/>
      <c r="ED378" s="335"/>
      <c r="EE378" s="335"/>
      <c r="EF378" s="335"/>
      <c r="EG378" s="335"/>
      <c r="EH378" s="335"/>
      <c r="EI378" s="335"/>
      <c r="EJ378" s="335"/>
      <c r="EK378" s="335"/>
      <c r="EL378" s="335"/>
      <c r="EM378" s="335"/>
      <c r="EN378" s="335"/>
      <c r="EO378" s="335"/>
      <c r="EP378" s="335"/>
      <c r="EQ378" s="335"/>
      <c r="ER378" s="335"/>
      <c r="ES378" s="335"/>
      <c r="ET378" s="335"/>
      <c r="EU378" s="335"/>
      <c r="EV378" s="335"/>
      <c r="EW378" s="335"/>
      <c r="EX378" s="335"/>
      <c r="EY378" s="335"/>
      <c r="EZ378" s="335"/>
      <c r="FA378" s="335"/>
      <c r="FB378" s="335"/>
      <c r="FC378" s="335"/>
      <c r="FD378" s="335"/>
      <c r="FE378" s="335"/>
      <c r="FF378" s="335"/>
      <c r="FG378" s="335"/>
      <c r="FH378" s="335"/>
      <c r="FI378" s="335"/>
      <c r="FJ378" s="335"/>
      <c r="FK378" s="335"/>
      <c r="FL378" s="335"/>
      <c r="FM378" s="335"/>
      <c r="FN378" s="335"/>
      <c r="FO378" s="335"/>
      <c r="FP378" s="335"/>
      <c r="FQ378" s="335"/>
      <c r="FR378" s="335"/>
      <c r="FS378" s="335"/>
      <c r="FT378" s="335"/>
      <c r="FU378" s="335"/>
      <c r="FV378" s="335"/>
      <c r="FW378" s="335"/>
      <c r="FX378" s="335"/>
      <c r="FY378" s="335"/>
      <c r="FZ378" s="335"/>
      <c r="GA378" s="335"/>
      <c r="GB378" s="335"/>
      <c r="GC378" s="335"/>
      <c r="GD378" s="335"/>
      <c r="GE378" s="335"/>
      <c r="GF378" s="335"/>
      <c r="GG378" s="335"/>
      <c r="GH378" s="335"/>
      <c r="GI378" s="335"/>
      <c r="GJ378" s="335"/>
      <c r="GK378" s="335"/>
      <c r="GL378" s="335"/>
      <c r="GM378" s="335"/>
      <c r="GN378" s="335"/>
      <c r="GO378" s="335"/>
      <c r="GP378" s="335"/>
      <c r="GQ378" s="335"/>
      <c r="GR378" s="335"/>
      <c r="GS378" s="335"/>
      <c r="GT378" s="335"/>
      <c r="GU378" s="335"/>
      <c r="GV378" s="335"/>
      <c r="GW378" s="335"/>
      <c r="GX378" s="335"/>
      <c r="GY378" s="335"/>
      <c r="GZ378" s="335"/>
    </row>
    <row r="379" spans="1:208" ht="15">
      <c r="A379" s="379"/>
      <c r="B379" s="335"/>
      <c r="C379" s="335"/>
      <c r="D379" s="335"/>
      <c r="E379" s="335"/>
      <c r="F379" s="335"/>
      <c r="G379" s="335"/>
      <c r="H379" s="335"/>
      <c r="I379" s="335"/>
      <c r="J379" s="335"/>
      <c r="K379" s="335"/>
      <c r="L379" s="335"/>
      <c r="M379" s="376"/>
      <c r="N379" s="335"/>
      <c r="O379" s="380"/>
      <c r="P379" s="335"/>
      <c r="Q379" s="335"/>
      <c r="R379" s="335"/>
      <c r="S379" s="335"/>
      <c r="T379" s="335"/>
      <c r="U379" s="335"/>
      <c r="V379" s="335"/>
      <c r="W379" s="335"/>
      <c r="X379" s="335"/>
      <c r="Y379" s="335"/>
      <c r="Z379" s="335"/>
      <c r="AA379" s="335"/>
      <c r="AB379" s="335"/>
      <c r="AC379" s="335"/>
      <c r="AD379" s="335"/>
      <c r="AE379" s="335"/>
      <c r="AF379" s="335"/>
      <c r="AG379" s="335"/>
      <c r="AH379" s="335"/>
      <c r="AI379" s="335"/>
      <c r="AJ379" s="335"/>
      <c r="AK379" s="335"/>
      <c r="AL379" s="335"/>
      <c r="AM379" s="335"/>
      <c r="AN379" s="335"/>
      <c r="AO379" s="335"/>
      <c r="AP379" s="335"/>
      <c r="AQ379" s="335"/>
      <c r="AR379" s="335"/>
      <c r="AS379" s="335"/>
      <c r="AT379" s="335"/>
      <c r="AU379" s="335"/>
      <c r="AV379" s="335"/>
      <c r="AW379" s="335"/>
      <c r="AX379" s="335"/>
      <c r="AY379" s="335"/>
      <c r="AZ379" s="335"/>
      <c r="BA379" s="335"/>
      <c r="BB379" s="335"/>
      <c r="BC379" s="335"/>
      <c r="BD379" s="335"/>
      <c r="BE379" s="335"/>
      <c r="BF379" s="335"/>
      <c r="BG379" s="335"/>
      <c r="BH379" s="335"/>
      <c r="BI379" s="335"/>
      <c r="BJ379" s="335"/>
      <c r="BK379" s="335"/>
      <c r="BL379" s="335"/>
      <c r="BM379" s="335"/>
      <c r="BN379" s="335"/>
      <c r="BO379" s="335"/>
      <c r="BP379" s="335"/>
      <c r="BQ379" s="335"/>
      <c r="BR379" s="335"/>
      <c r="BS379" s="335"/>
      <c r="BT379" s="335"/>
      <c r="BU379" s="335"/>
      <c r="BV379" s="335"/>
      <c r="BW379" s="335"/>
      <c r="BX379" s="335"/>
      <c r="BY379" s="335"/>
      <c r="BZ379" s="335"/>
      <c r="CA379" s="335"/>
      <c r="CB379" s="335"/>
      <c r="CC379" s="335"/>
      <c r="CD379" s="335"/>
      <c r="CE379" s="335"/>
      <c r="CF379" s="335"/>
      <c r="CG379" s="335"/>
      <c r="CH379" s="335"/>
      <c r="CI379" s="335"/>
      <c r="CJ379" s="335"/>
      <c r="CK379" s="335"/>
      <c r="CL379" s="335"/>
      <c r="CM379" s="335"/>
      <c r="CN379" s="335"/>
      <c r="CO379" s="335"/>
      <c r="CP379" s="335"/>
      <c r="CQ379" s="335"/>
      <c r="CR379" s="335"/>
      <c r="CS379" s="335"/>
      <c r="CT379" s="335"/>
      <c r="CU379" s="335"/>
      <c r="CV379" s="335"/>
      <c r="CW379" s="335"/>
      <c r="CX379" s="335"/>
      <c r="CY379" s="335"/>
      <c r="CZ379" s="335"/>
      <c r="DA379" s="335"/>
      <c r="DB379" s="335"/>
      <c r="DC379" s="335"/>
      <c r="DD379" s="335"/>
      <c r="DE379" s="335"/>
      <c r="DF379" s="335"/>
      <c r="DG379" s="335"/>
      <c r="DH379" s="335"/>
      <c r="DI379" s="335"/>
      <c r="DJ379" s="335"/>
      <c r="DK379" s="335"/>
      <c r="DL379" s="335"/>
      <c r="DM379" s="335"/>
      <c r="DN379" s="335"/>
      <c r="DO379" s="335"/>
      <c r="DP379" s="335"/>
      <c r="DQ379" s="335"/>
      <c r="DR379" s="335"/>
      <c r="DS379" s="335"/>
      <c r="DT379" s="335"/>
      <c r="DU379" s="335"/>
      <c r="DV379" s="335"/>
      <c r="DW379" s="335"/>
      <c r="DX379" s="335"/>
      <c r="DY379" s="335"/>
      <c r="DZ379" s="335"/>
      <c r="EA379" s="335"/>
      <c r="EB379" s="335"/>
      <c r="EC379" s="335"/>
      <c r="ED379" s="335"/>
      <c r="EE379" s="335"/>
      <c r="EF379" s="335"/>
      <c r="EG379" s="335"/>
      <c r="EH379" s="335"/>
      <c r="EI379" s="335"/>
      <c r="EJ379" s="335"/>
      <c r="EK379" s="335"/>
      <c r="EL379" s="335"/>
      <c r="EM379" s="335"/>
      <c r="EN379" s="335"/>
      <c r="EO379" s="335"/>
      <c r="EP379" s="335"/>
      <c r="EQ379" s="335"/>
      <c r="ER379" s="335"/>
      <c r="ES379" s="335"/>
      <c r="ET379" s="335"/>
      <c r="EU379" s="335"/>
      <c r="EV379" s="335"/>
      <c r="EW379" s="335"/>
      <c r="EX379" s="335"/>
      <c r="EY379" s="335"/>
      <c r="EZ379" s="335"/>
      <c r="FA379" s="335"/>
      <c r="FB379" s="335"/>
      <c r="FC379" s="335"/>
      <c r="FD379" s="335"/>
      <c r="FE379" s="335"/>
      <c r="FF379" s="335"/>
      <c r="FG379" s="335"/>
      <c r="FH379" s="335"/>
      <c r="FI379" s="335"/>
      <c r="FJ379" s="335"/>
      <c r="FK379" s="335"/>
      <c r="FL379" s="335"/>
      <c r="FM379" s="335"/>
      <c r="FN379" s="335"/>
      <c r="FO379" s="335"/>
      <c r="FP379" s="335"/>
      <c r="FQ379" s="335"/>
      <c r="FR379" s="335"/>
      <c r="FS379" s="335"/>
      <c r="FT379" s="335"/>
      <c r="FU379" s="335"/>
      <c r="FV379" s="335"/>
      <c r="FW379" s="335"/>
      <c r="FX379" s="335"/>
      <c r="FY379" s="335"/>
      <c r="FZ379" s="335"/>
      <c r="GA379" s="335"/>
      <c r="GB379" s="335"/>
      <c r="GC379" s="335"/>
      <c r="GD379" s="335"/>
      <c r="GE379" s="335"/>
      <c r="GF379" s="335"/>
      <c r="GG379" s="335"/>
      <c r="GH379" s="335"/>
      <c r="GI379" s="335"/>
      <c r="GJ379" s="335"/>
      <c r="GK379" s="335"/>
      <c r="GL379" s="335"/>
      <c r="GM379" s="335"/>
      <c r="GN379" s="335"/>
      <c r="GO379" s="335"/>
      <c r="GP379" s="335"/>
      <c r="GQ379" s="335"/>
      <c r="GR379" s="335"/>
      <c r="GS379" s="335"/>
      <c r="GT379" s="335"/>
      <c r="GU379" s="335"/>
      <c r="GV379" s="335"/>
      <c r="GW379" s="335"/>
      <c r="GX379" s="335"/>
      <c r="GY379" s="335"/>
      <c r="GZ379" s="335"/>
    </row>
    <row r="380" spans="1:208" ht="15">
      <c r="A380" s="379"/>
      <c r="B380" s="335"/>
      <c r="C380" s="335"/>
      <c r="D380" s="335"/>
      <c r="E380" s="335"/>
      <c r="F380" s="335"/>
      <c r="G380" s="335"/>
      <c r="H380" s="335"/>
      <c r="I380" s="335"/>
      <c r="J380" s="335"/>
      <c r="K380" s="335"/>
      <c r="L380" s="335"/>
      <c r="M380" s="376"/>
      <c r="N380" s="335"/>
      <c r="O380" s="380"/>
      <c r="P380" s="335"/>
      <c r="Q380" s="335"/>
      <c r="R380" s="335"/>
      <c r="S380" s="335"/>
      <c r="T380" s="335"/>
      <c r="U380" s="335"/>
      <c r="V380" s="335"/>
      <c r="W380" s="335"/>
      <c r="X380" s="335"/>
      <c r="Y380" s="335"/>
      <c r="Z380" s="335"/>
      <c r="AA380" s="335"/>
      <c r="AB380" s="335"/>
      <c r="AC380" s="335"/>
      <c r="AD380" s="335"/>
      <c r="AE380" s="335"/>
      <c r="AF380" s="335"/>
      <c r="AG380" s="335"/>
      <c r="AH380" s="335"/>
      <c r="AI380" s="335"/>
      <c r="AJ380" s="335"/>
      <c r="AK380" s="335"/>
      <c r="AL380" s="335"/>
      <c r="AM380" s="335"/>
      <c r="AN380" s="335"/>
      <c r="AO380" s="335"/>
      <c r="AP380" s="335"/>
      <c r="AQ380" s="335"/>
      <c r="AR380" s="335"/>
      <c r="AS380" s="335"/>
      <c r="AT380" s="335"/>
      <c r="AU380" s="335"/>
      <c r="AV380" s="335"/>
      <c r="AW380" s="335"/>
      <c r="AX380" s="335"/>
      <c r="AY380" s="335"/>
      <c r="AZ380" s="335"/>
      <c r="BA380" s="335"/>
      <c r="BB380" s="335"/>
      <c r="BC380" s="335"/>
      <c r="BD380" s="335"/>
      <c r="BE380" s="335"/>
      <c r="BF380" s="335"/>
      <c r="BG380" s="335"/>
      <c r="BH380" s="335"/>
      <c r="BI380" s="335"/>
      <c r="BJ380" s="335"/>
      <c r="BK380" s="335"/>
      <c r="BL380" s="335"/>
      <c r="BM380" s="335"/>
      <c r="BN380" s="335"/>
      <c r="BO380" s="335"/>
      <c r="BP380" s="335"/>
      <c r="BQ380" s="335"/>
      <c r="BR380" s="335"/>
      <c r="BS380" s="335"/>
      <c r="BT380" s="335"/>
      <c r="BU380" s="335"/>
      <c r="BV380" s="335"/>
      <c r="BW380" s="335"/>
      <c r="BX380" s="335"/>
      <c r="BY380" s="335"/>
      <c r="BZ380" s="335"/>
      <c r="CA380" s="335"/>
      <c r="CB380" s="335"/>
      <c r="CC380" s="335"/>
      <c r="CD380" s="335"/>
      <c r="CE380" s="335"/>
      <c r="CF380" s="335"/>
      <c r="CG380" s="335"/>
      <c r="CH380" s="335"/>
      <c r="CI380" s="335"/>
      <c r="CJ380" s="335"/>
      <c r="CK380" s="335"/>
      <c r="CL380" s="335"/>
      <c r="CM380" s="335"/>
      <c r="CN380" s="335"/>
      <c r="CO380" s="335"/>
      <c r="CP380" s="335"/>
      <c r="CQ380" s="335"/>
      <c r="CR380" s="335"/>
      <c r="CS380" s="335"/>
      <c r="CT380" s="335"/>
      <c r="CU380" s="335"/>
      <c r="CV380" s="335"/>
      <c r="CW380" s="335"/>
      <c r="CX380" s="335"/>
      <c r="CY380" s="335"/>
      <c r="CZ380" s="335"/>
      <c r="DA380" s="335"/>
      <c r="DB380" s="335"/>
      <c r="DC380" s="335"/>
      <c r="DD380" s="335"/>
      <c r="DE380" s="335"/>
      <c r="DF380" s="335"/>
      <c r="DG380" s="335"/>
      <c r="DH380" s="335"/>
      <c r="DI380" s="335"/>
      <c r="DJ380" s="335"/>
      <c r="DK380" s="335"/>
      <c r="DL380" s="335"/>
      <c r="DM380" s="335"/>
      <c r="DN380" s="335"/>
      <c r="DO380" s="335"/>
      <c r="DP380" s="335"/>
      <c r="DQ380" s="335"/>
      <c r="DR380" s="335"/>
      <c r="DS380" s="335"/>
      <c r="DT380" s="335"/>
      <c r="DU380" s="335"/>
      <c r="DV380" s="335"/>
      <c r="DW380" s="335"/>
      <c r="DX380" s="335"/>
      <c r="DY380" s="335"/>
      <c r="DZ380" s="335"/>
      <c r="EA380" s="335"/>
      <c r="EB380" s="335"/>
      <c r="EC380" s="335"/>
      <c r="ED380" s="335"/>
      <c r="EE380" s="335"/>
      <c r="EF380" s="335"/>
      <c r="EG380" s="335"/>
      <c r="EH380" s="335"/>
      <c r="EI380" s="335"/>
      <c r="EJ380" s="335"/>
      <c r="EK380" s="335"/>
      <c r="EL380" s="335"/>
      <c r="EM380" s="335"/>
      <c r="EN380" s="335"/>
      <c r="EO380" s="335"/>
      <c r="EP380" s="335"/>
      <c r="EQ380" s="335"/>
      <c r="ER380" s="335"/>
      <c r="ES380" s="335"/>
      <c r="ET380" s="335"/>
      <c r="EU380" s="335"/>
      <c r="EV380" s="335"/>
      <c r="EW380" s="335"/>
      <c r="EX380" s="335"/>
      <c r="EY380" s="335"/>
      <c r="EZ380" s="335"/>
      <c r="FA380" s="335"/>
      <c r="FB380" s="335"/>
      <c r="FC380" s="335"/>
      <c r="FD380" s="335"/>
      <c r="FE380" s="335"/>
      <c r="FF380" s="335"/>
      <c r="FG380" s="335"/>
      <c r="FH380" s="335"/>
      <c r="FI380" s="335"/>
      <c r="FJ380" s="335"/>
      <c r="FK380" s="335"/>
      <c r="FL380" s="335"/>
      <c r="FM380" s="335"/>
      <c r="FN380" s="335"/>
      <c r="FO380" s="335"/>
      <c r="FP380" s="335"/>
      <c r="FQ380" s="335"/>
      <c r="FR380" s="335"/>
      <c r="FS380" s="335"/>
      <c r="FT380" s="335"/>
      <c r="FU380" s="335"/>
      <c r="FV380" s="335"/>
      <c r="FW380" s="335"/>
      <c r="FX380" s="335"/>
      <c r="FY380" s="335"/>
      <c r="FZ380" s="335"/>
      <c r="GA380" s="335"/>
      <c r="GB380" s="335"/>
      <c r="GC380" s="335"/>
      <c r="GD380" s="335"/>
      <c r="GE380" s="335"/>
      <c r="GF380" s="335"/>
      <c r="GG380" s="335"/>
      <c r="GH380" s="335"/>
      <c r="GI380" s="335"/>
      <c r="GJ380" s="335"/>
      <c r="GK380" s="335"/>
      <c r="GL380" s="335"/>
      <c r="GM380" s="335"/>
      <c r="GN380" s="335"/>
      <c r="GO380" s="335"/>
      <c r="GP380" s="335"/>
      <c r="GQ380" s="335"/>
      <c r="GR380" s="335"/>
      <c r="GS380" s="335"/>
      <c r="GT380" s="335"/>
      <c r="GU380" s="335"/>
      <c r="GV380" s="335"/>
      <c r="GW380" s="335"/>
      <c r="GX380" s="335"/>
      <c r="GY380" s="335"/>
      <c r="GZ380" s="335"/>
    </row>
    <row r="381" spans="1:208" ht="15">
      <c r="A381" s="379"/>
      <c r="B381" s="335"/>
      <c r="C381" s="335"/>
      <c r="D381" s="335"/>
      <c r="E381" s="335"/>
      <c r="F381" s="335"/>
      <c r="G381" s="335"/>
      <c r="H381" s="335"/>
      <c r="I381" s="335"/>
      <c r="J381" s="335"/>
      <c r="K381" s="335"/>
      <c r="L381" s="335"/>
      <c r="M381" s="376"/>
      <c r="N381" s="335"/>
      <c r="O381" s="380"/>
      <c r="P381" s="335"/>
      <c r="Q381" s="335"/>
      <c r="R381" s="335"/>
      <c r="S381" s="335"/>
      <c r="T381" s="335"/>
      <c r="U381" s="335"/>
      <c r="V381" s="335"/>
      <c r="W381" s="335"/>
      <c r="X381" s="335"/>
      <c r="Y381" s="335"/>
      <c r="Z381" s="335"/>
      <c r="AA381" s="335"/>
      <c r="AB381" s="335"/>
      <c r="AC381" s="335"/>
      <c r="AD381" s="335"/>
      <c r="AE381" s="335"/>
      <c r="AF381" s="335"/>
      <c r="AG381" s="335"/>
      <c r="AH381" s="335"/>
      <c r="AI381" s="335"/>
      <c r="AJ381" s="335"/>
      <c r="AK381" s="335"/>
      <c r="AL381" s="335"/>
      <c r="AM381" s="335"/>
      <c r="AN381" s="335"/>
      <c r="AO381" s="335"/>
      <c r="AP381" s="335"/>
      <c r="AQ381" s="335"/>
      <c r="AR381" s="335"/>
      <c r="AS381" s="335"/>
      <c r="AT381" s="335"/>
      <c r="AU381" s="335"/>
      <c r="AV381" s="335"/>
      <c r="AW381" s="335"/>
      <c r="AX381" s="335"/>
      <c r="AY381" s="335"/>
      <c r="AZ381" s="335"/>
      <c r="BA381" s="335"/>
      <c r="BB381" s="335"/>
      <c r="BC381" s="335"/>
      <c r="BD381" s="335"/>
      <c r="BE381" s="335"/>
      <c r="BF381" s="335"/>
      <c r="BG381" s="335"/>
      <c r="BH381" s="335"/>
      <c r="BI381" s="335"/>
      <c r="BJ381" s="335"/>
      <c r="BK381" s="335"/>
      <c r="BL381" s="335"/>
      <c r="BM381" s="335"/>
      <c r="BN381" s="335"/>
      <c r="BO381" s="335"/>
      <c r="BP381" s="335"/>
      <c r="BQ381" s="335"/>
      <c r="BR381" s="335"/>
      <c r="BS381" s="335"/>
      <c r="BT381" s="335"/>
      <c r="BU381" s="335"/>
      <c r="BV381" s="335"/>
      <c r="BW381" s="335"/>
      <c r="BX381" s="335"/>
      <c r="BY381" s="335"/>
      <c r="BZ381" s="335"/>
      <c r="CA381" s="335"/>
      <c r="CB381" s="335"/>
      <c r="CC381" s="335"/>
      <c r="CD381" s="335"/>
      <c r="CE381" s="335"/>
      <c r="CF381" s="335"/>
      <c r="CG381" s="335"/>
      <c r="CH381" s="335"/>
      <c r="CI381" s="335"/>
      <c r="CJ381" s="335"/>
      <c r="CK381" s="335"/>
      <c r="CL381" s="335"/>
      <c r="CM381" s="335"/>
      <c r="CN381" s="335"/>
      <c r="CO381" s="335"/>
      <c r="CP381" s="335"/>
      <c r="CQ381" s="335"/>
      <c r="CR381" s="335"/>
      <c r="CS381" s="335"/>
      <c r="CT381" s="335"/>
      <c r="CU381" s="335"/>
      <c r="CV381" s="335"/>
      <c r="CW381" s="335"/>
      <c r="CX381" s="335"/>
      <c r="CY381" s="335"/>
      <c r="CZ381" s="335"/>
      <c r="DA381" s="335"/>
      <c r="DB381" s="335"/>
      <c r="DC381" s="335"/>
      <c r="DD381" s="335"/>
      <c r="DE381" s="335"/>
      <c r="DF381" s="335"/>
      <c r="DG381" s="335"/>
      <c r="DH381" s="335"/>
      <c r="DI381" s="335"/>
      <c r="DJ381" s="335"/>
      <c r="DK381" s="335"/>
      <c r="DL381" s="335"/>
      <c r="DM381" s="335"/>
      <c r="DN381" s="335"/>
      <c r="DO381" s="335"/>
      <c r="DP381" s="335"/>
      <c r="DQ381" s="335"/>
      <c r="DR381" s="335"/>
      <c r="DS381" s="335"/>
      <c r="DT381" s="335"/>
      <c r="DU381" s="335"/>
      <c r="DV381" s="335"/>
      <c r="DW381" s="335"/>
      <c r="DX381" s="335"/>
      <c r="DY381" s="335"/>
      <c r="DZ381" s="335"/>
      <c r="EA381" s="335"/>
      <c r="EB381" s="335"/>
      <c r="EC381" s="335"/>
      <c r="ED381" s="335"/>
      <c r="EE381" s="335"/>
      <c r="EF381" s="335"/>
      <c r="EG381" s="335"/>
      <c r="EH381" s="335"/>
      <c r="EI381" s="335"/>
      <c r="EJ381" s="335"/>
      <c r="EK381" s="335"/>
      <c r="EL381" s="335"/>
      <c r="EM381" s="335"/>
      <c r="EN381" s="335"/>
      <c r="EO381" s="335"/>
      <c r="EP381" s="335"/>
      <c r="EQ381" s="335"/>
      <c r="ER381" s="335"/>
      <c r="ES381" s="335"/>
      <c r="ET381" s="335"/>
      <c r="EU381" s="335"/>
      <c r="EV381" s="335"/>
      <c r="EW381" s="335"/>
      <c r="EX381" s="335"/>
      <c r="EY381" s="335"/>
      <c r="EZ381" s="335"/>
      <c r="FA381" s="335"/>
      <c r="FB381" s="335"/>
      <c r="FC381" s="335"/>
      <c r="FD381" s="335"/>
      <c r="FE381" s="335"/>
      <c r="FF381" s="335"/>
      <c r="FG381" s="335"/>
      <c r="FH381" s="335"/>
      <c r="FI381" s="335"/>
      <c r="FJ381" s="335"/>
      <c r="FK381" s="335"/>
      <c r="FL381" s="335"/>
      <c r="FM381" s="335"/>
      <c r="FN381" s="335"/>
      <c r="FO381" s="335"/>
      <c r="FP381" s="335"/>
      <c r="FQ381" s="335"/>
      <c r="FR381" s="335"/>
      <c r="FS381" s="335"/>
      <c r="FT381" s="335"/>
      <c r="FU381" s="335"/>
      <c r="FV381" s="335"/>
      <c r="FW381" s="335"/>
      <c r="FX381" s="335"/>
      <c r="FY381" s="335"/>
      <c r="FZ381" s="335"/>
      <c r="GA381" s="335"/>
      <c r="GB381" s="335"/>
      <c r="GC381" s="335"/>
      <c r="GD381" s="335"/>
      <c r="GE381" s="335"/>
      <c r="GF381" s="335"/>
      <c r="GG381" s="335"/>
      <c r="GH381" s="335"/>
      <c r="GI381" s="335"/>
      <c r="GJ381" s="335"/>
      <c r="GK381" s="335"/>
      <c r="GL381" s="335"/>
      <c r="GM381" s="335"/>
      <c r="GN381" s="335"/>
      <c r="GO381" s="335"/>
      <c r="GP381" s="335"/>
      <c r="GQ381" s="335"/>
      <c r="GR381" s="335"/>
      <c r="GS381" s="335"/>
      <c r="GT381" s="335"/>
      <c r="GU381" s="335"/>
      <c r="GV381" s="335"/>
      <c r="GW381" s="335"/>
      <c r="GX381" s="335"/>
      <c r="GY381" s="335"/>
      <c r="GZ381" s="335"/>
    </row>
    <row r="382" spans="1:208" ht="15">
      <c r="A382" s="379"/>
      <c r="B382" s="335"/>
      <c r="C382" s="335"/>
      <c r="D382" s="335"/>
      <c r="E382" s="335"/>
      <c r="F382" s="335"/>
      <c r="G382" s="335"/>
      <c r="H382" s="335"/>
      <c r="I382" s="335"/>
      <c r="J382" s="335"/>
      <c r="K382" s="335"/>
      <c r="L382" s="335"/>
      <c r="M382" s="376"/>
      <c r="N382" s="335"/>
      <c r="O382" s="380"/>
      <c r="P382" s="335"/>
      <c r="Q382" s="335"/>
      <c r="R382" s="335"/>
      <c r="S382" s="335"/>
      <c r="T382" s="335"/>
      <c r="U382" s="335"/>
      <c r="V382" s="335"/>
      <c r="W382" s="335"/>
      <c r="X382" s="335"/>
      <c r="Y382" s="335"/>
      <c r="Z382" s="335"/>
      <c r="AA382" s="335"/>
      <c r="AB382" s="335"/>
      <c r="AC382" s="335"/>
      <c r="AD382" s="335"/>
      <c r="AE382" s="335"/>
      <c r="AF382" s="335"/>
      <c r="AG382" s="335"/>
      <c r="AH382" s="335"/>
      <c r="AI382" s="335"/>
      <c r="AJ382" s="335"/>
      <c r="AK382" s="335"/>
      <c r="AL382" s="335"/>
      <c r="AM382" s="335"/>
      <c r="AN382" s="335"/>
      <c r="AO382" s="335"/>
      <c r="AP382" s="335"/>
      <c r="AQ382" s="335"/>
      <c r="AR382" s="335"/>
      <c r="AS382" s="335"/>
      <c r="AT382" s="335"/>
      <c r="AU382" s="335"/>
      <c r="AV382" s="335"/>
      <c r="AW382" s="335"/>
      <c r="AX382" s="335"/>
      <c r="AY382" s="335"/>
      <c r="AZ382" s="335"/>
      <c r="BA382" s="335"/>
      <c r="BB382" s="335"/>
      <c r="BC382" s="335"/>
      <c r="BD382" s="335"/>
      <c r="BE382" s="335"/>
      <c r="BF382" s="335"/>
      <c r="BG382" s="335"/>
      <c r="BH382" s="335"/>
      <c r="BI382" s="335"/>
      <c r="BJ382" s="335"/>
      <c r="BK382" s="335"/>
      <c r="BL382" s="335"/>
      <c r="BM382" s="335"/>
      <c r="BN382" s="335"/>
      <c r="BO382" s="335"/>
      <c r="BP382" s="335"/>
      <c r="BQ382" s="335"/>
      <c r="BR382" s="335"/>
      <c r="BS382" s="335"/>
      <c r="BT382" s="335"/>
      <c r="BU382" s="335"/>
      <c r="BV382" s="335"/>
      <c r="BW382" s="335"/>
      <c r="BX382" s="335"/>
      <c r="BY382" s="335"/>
      <c r="BZ382" s="335"/>
      <c r="CA382" s="335"/>
      <c r="CB382" s="335"/>
      <c r="CC382" s="335"/>
      <c r="CD382" s="335"/>
      <c r="CE382" s="335"/>
      <c r="CF382" s="335"/>
      <c r="CG382" s="335"/>
      <c r="CH382" s="335"/>
      <c r="CI382" s="335"/>
      <c r="CJ382" s="335"/>
      <c r="CK382" s="335"/>
      <c r="CL382" s="335"/>
      <c r="CM382" s="335"/>
      <c r="CN382" s="335"/>
      <c r="CO382" s="335"/>
      <c r="CP382" s="335"/>
      <c r="CQ382" s="335"/>
      <c r="CR382" s="335"/>
      <c r="CS382" s="335"/>
      <c r="CT382" s="335"/>
      <c r="CU382" s="335"/>
      <c r="CV382" s="335"/>
      <c r="CW382" s="335"/>
      <c r="CX382" s="335"/>
      <c r="CY382" s="335"/>
      <c r="CZ382" s="335"/>
      <c r="DA382" s="335"/>
      <c r="DB382" s="335"/>
      <c r="DC382" s="335"/>
      <c r="DD382" s="335"/>
      <c r="DE382" s="335"/>
      <c r="DF382" s="335"/>
      <c r="DG382" s="335"/>
      <c r="DH382" s="335"/>
      <c r="DI382" s="335"/>
      <c r="DJ382" s="335"/>
      <c r="DK382" s="335"/>
      <c r="DL382" s="335"/>
      <c r="DM382" s="335"/>
      <c r="DN382" s="335"/>
      <c r="DO382" s="335"/>
      <c r="DP382" s="335"/>
      <c r="DQ382" s="335"/>
      <c r="DR382" s="335"/>
      <c r="DS382" s="335"/>
      <c r="DT382" s="335"/>
      <c r="DU382" s="335"/>
      <c r="DV382" s="335"/>
      <c r="DW382" s="335"/>
      <c r="DX382" s="335"/>
      <c r="DY382" s="335"/>
      <c r="DZ382" s="335"/>
      <c r="EA382" s="335"/>
      <c r="EB382" s="335"/>
      <c r="EC382" s="335"/>
      <c r="ED382" s="335"/>
      <c r="EE382" s="335"/>
      <c r="EF382" s="335"/>
      <c r="EG382" s="335"/>
      <c r="EH382" s="335"/>
      <c r="EI382" s="335"/>
      <c r="EJ382" s="335"/>
      <c r="EK382" s="335"/>
      <c r="EL382" s="335"/>
      <c r="EM382" s="335"/>
      <c r="EN382" s="335"/>
      <c r="EO382" s="335"/>
      <c r="EP382" s="335"/>
      <c r="EQ382" s="335"/>
      <c r="ER382" s="335"/>
      <c r="ES382" s="335"/>
      <c r="ET382" s="335"/>
      <c r="EU382" s="335"/>
      <c r="EV382" s="335"/>
      <c r="EW382" s="335"/>
      <c r="EX382" s="335"/>
      <c r="EY382" s="335"/>
      <c r="EZ382" s="335"/>
      <c r="FA382" s="335"/>
      <c r="FB382" s="335"/>
      <c r="FC382" s="335"/>
      <c r="FD382" s="335"/>
      <c r="FE382" s="335"/>
      <c r="FF382" s="335"/>
      <c r="FG382" s="335"/>
      <c r="FH382" s="335"/>
      <c r="FI382" s="335"/>
      <c r="FJ382" s="335"/>
      <c r="FK382" s="335"/>
      <c r="FL382" s="335"/>
      <c r="FM382" s="335"/>
      <c r="FN382" s="335"/>
      <c r="FO382" s="335"/>
      <c r="FP382" s="335"/>
      <c r="FQ382" s="335"/>
      <c r="FR382" s="335"/>
      <c r="FS382" s="335"/>
      <c r="FT382" s="335"/>
      <c r="FU382" s="335"/>
      <c r="FV382" s="335"/>
      <c r="FW382" s="335"/>
      <c r="FX382" s="335"/>
      <c r="FY382" s="335"/>
      <c r="FZ382" s="335"/>
      <c r="GA382" s="335"/>
      <c r="GB382" s="335"/>
      <c r="GC382" s="335"/>
      <c r="GD382" s="335"/>
      <c r="GE382" s="335"/>
      <c r="GF382" s="335"/>
      <c r="GG382" s="335"/>
      <c r="GH382" s="335"/>
      <c r="GI382" s="335"/>
      <c r="GJ382" s="335"/>
      <c r="GK382" s="335"/>
      <c r="GL382" s="335"/>
      <c r="GM382" s="335"/>
      <c r="GN382" s="335"/>
      <c r="GO382" s="335"/>
      <c r="GP382" s="335"/>
      <c r="GQ382" s="335"/>
      <c r="GR382" s="335"/>
      <c r="GS382" s="335"/>
      <c r="GT382" s="335"/>
      <c r="GU382" s="335"/>
      <c r="GV382" s="335"/>
      <c r="GW382" s="335"/>
      <c r="GX382" s="335"/>
      <c r="GY382" s="335"/>
      <c r="GZ382" s="335"/>
    </row>
    <row r="383" spans="1:208" ht="15">
      <c r="A383" s="379"/>
      <c r="B383" s="335"/>
      <c r="C383" s="335"/>
      <c r="D383" s="335"/>
      <c r="E383" s="335"/>
      <c r="F383" s="335"/>
      <c r="G383" s="335"/>
      <c r="H383" s="335"/>
      <c r="I383" s="335"/>
      <c r="J383" s="335"/>
      <c r="K383" s="335"/>
      <c r="L383" s="335"/>
      <c r="M383" s="376"/>
      <c r="N383" s="335"/>
      <c r="O383" s="380"/>
      <c r="P383" s="335"/>
      <c r="Q383" s="335"/>
      <c r="R383" s="335"/>
      <c r="S383" s="335"/>
      <c r="T383" s="335"/>
      <c r="U383" s="335"/>
      <c r="V383" s="335"/>
      <c r="W383" s="335"/>
      <c r="X383" s="335"/>
      <c r="Y383" s="335"/>
      <c r="Z383" s="335"/>
      <c r="AA383" s="335"/>
      <c r="AB383" s="335"/>
      <c r="AC383" s="335"/>
      <c r="AD383" s="335"/>
      <c r="AE383" s="335"/>
      <c r="AF383" s="335"/>
      <c r="AG383" s="335"/>
      <c r="AH383" s="335"/>
      <c r="AI383" s="335"/>
      <c r="AJ383" s="335"/>
      <c r="AK383" s="335"/>
      <c r="AL383" s="335"/>
      <c r="AM383" s="335"/>
      <c r="AN383" s="335"/>
      <c r="AO383" s="335"/>
      <c r="AP383" s="335"/>
      <c r="AQ383" s="335"/>
      <c r="AR383" s="335"/>
      <c r="AS383" s="335"/>
      <c r="AT383" s="335"/>
      <c r="AU383" s="335"/>
      <c r="AV383" s="335"/>
      <c r="AW383" s="335"/>
      <c r="AX383" s="335"/>
      <c r="AY383" s="335"/>
      <c r="AZ383" s="335"/>
      <c r="BA383" s="335"/>
      <c r="BB383" s="335"/>
      <c r="BC383" s="335"/>
      <c r="BD383" s="335"/>
      <c r="BE383" s="335"/>
      <c r="BF383" s="335"/>
      <c r="BG383" s="335"/>
      <c r="BH383" s="335"/>
      <c r="BI383" s="335"/>
      <c r="BJ383" s="335"/>
      <c r="BK383" s="335"/>
      <c r="BL383" s="335"/>
      <c r="BM383" s="335"/>
      <c r="BN383" s="335"/>
      <c r="BO383" s="335"/>
      <c r="BP383" s="335"/>
      <c r="BQ383" s="335"/>
      <c r="BR383" s="335"/>
      <c r="BS383" s="335"/>
      <c r="BT383" s="335"/>
      <c r="BU383" s="335"/>
      <c r="BV383" s="335"/>
      <c r="BW383" s="335"/>
      <c r="BX383" s="335"/>
      <c r="BY383" s="335"/>
      <c r="BZ383" s="335"/>
      <c r="CA383" s="335"/>
      <c r="CB383" s="335"/>
      <c r="CC383" s="335"/>
      <c r="CD383" s="335"/>
      <c r="CE383" s="335"/>
      <c r="CF383" s="335"/>
      <c r="CG383" s="335"/>
      <c r="CH383" s="335"/>
      <c r="CI383" s="335"/>
      <c r="CJ383" s="335"/>
      <c r="CK383" s="335"/>
      <c r="CL383" s="335"/>
      <c r="CM383" s="335"/>
      <c r="CN383" s="335"/>
      <c r="CO383" s="335"/>
      <c r="CP383" s="335"/>
      <c r="CQ383" s="335"/>
      <c r="CR383" s="335"/>
      <c r="CS383" s="335"/>
      <c r="CT383" s="335"/>
      <c r="CU383" s="335"/>
      <c r="CV383" s="335"/>
      <c r="CW383" s="335"/>
      <c r="CX383" s="335"/>
      <c r="CY383" s="335"/>
      <c r="CZ383" s="335"/>
      <c r="DA383" s="335"/>
      <c r="DB383" s="335"/>
      <c r="DC383" s="335"/>
      <c r="DD383" s="335"/>
      <c r="DE383" s="335"/>
      <c r="DF383" s="335"/>
      <c r="DG383" s="335"/>
      <c r="DH383" s="335"/>
      <c r="DI383" s="335"/>
      <c r="DJ383" s="335"/>
      <c r="DK383" s="335"/>
      <c r="DL383" s="335"/>
      <c r="DM383" s="335"/>
      <c r="DN383" s="335"/>
      <c r="DO383" s="335"/>
      <c r="DP383" s="335"/>
      <c r="DQ383" s="335"/>
      <c r="DR383" s="335"/>
      <c r="DS383" s="335"/>
      <c r="DT383" s="335"/>
      <c r="DU383" s="335"/>
      <c r="DV383" s="335"/>
      <c r="DW383" s="335"/>
      <c r="DX383" s="335"/>
      <c r="DY383" s="335"/>
      <c r="DZ383" s="335"/>
      <c r="EA383" s="335"/>
      <c r="EB383" s="335"/>
      <c r="EC383" s="335"/>
      <c r="ED383" s="335"/>
      <c r="EE383" s="335"/>
      <c r="EF383" s="335"/>
      <c r="EG383" s="335"/>
      <c r="EH383" s="335"/>
      <c r="EI383" s="335"/>
      <c r="EJ383" s="335"/>
      <c r="EK383" s="335"/>
      <c r="EL383" s="335"/>
      <c r="EM383" s="335"/>
      <c r="EN383" s="335"/>
      <c r="EO383" s="335"/>
      <c r="EP383" s="335"/>
      <c r="EQ383" s="335"/>
      <c r="ER383" s="335"/>
      <c r="ES383" s="335"/>
      <c r="ET383" s="335"/>
      <c r="EU383" s="335"/>
      <c r="EV383" s="335"/>
      <c r="EW383" s="335"/>
      <c r="EX383" s="335"/>
      <c r="EY383" s="335"/>
      <c r="EZ383" s="335"/>
      <c r="FA383" s="335"/>
      <c r="FB383" s="335"/>
      <c r="FC383" s="335"/>
      <c r="FD383" s="335"/>
      <c r="FE383" s="335"/>
      <c r="FF383" s="335"/>
      <c r="FG383" s="335"/>
      <c r="FH383" s="335"/>
      <c r="FI383" s="335"/>
      <c r="FJ383" s="335"/>
      <c r="FK383" s="335"/>
      <c r="FL383" s="335"/>
      <c r="FM383" s="335"/>
      <c r="FN383" s="335"/>
      <c r="FO383" s="335"/>
      <c r="FP383" s="335"/>
      <c r="FQ383" s="335"/>
      <c r="FR383" s="335"/>
      <c r="FS383" s="335"/>
      <c r="FT383" s="335"/>
      <c r="FU383" s="335"/>
      <c r="FV383" s="335"/>
      <c r="FW383" s="335"/>
      <c r="FX383" s="335"/>
      <c r="FY383" s="335"/>
      <c r="FZ383" s="335"/>
      <c r="GA383" s="335"/>
      <c r="GB383" s="335"/>
      <c r="GC383" s="335"/>
      <c r="GD383" s="335"/>
      <c r="GE383" s="335"/>
      <c r="GF383" s="335"/>
      <c r="GG383" s="335"/>
      <c r="GH383" s="335"/>
      <c r="GI383" s="335"/>
      <c r="GJ383" s="335"/>
      <c r="GK383" s="335"/>
      <c r="GL383" s="335"/>
      <c r="GM383" s="335"/>
      <c r="GN383" s="335"/>
      <c r="GO383" s="335"/>
      <c r="GP383" s="335"/>
      <c r="GQ383" s="335"/>
      <c r="GR383" s="335"/>
      <c r="GS383" s="335"/>
      <c r="GT383" s="335"/>
      <c r="GU383" s="335"/>
      <c r="GV383" s="335"/>
      <c r="GW383" s="335"/>
      <c r="GX383" s="335"/>
      <c r="GY383" s="335"/>
      <c r="GZ383" s="335"/>
    </row>
    <row r="384" spans="1:208" ht="15">
      <c r="A384" s="379"/>
      <c r="B384" s="335"/>
      <c r="C384" s="335"/>
      <c r="D384" s="335"/>
      <c r="E384" s="335"/>
      <c r="F384" s="335"/>
      <c r="G384" s="335"/>
      <c r="H384" s="335"/>
      <c r="I384" s="335"/>
      <c r="J384" s="335"/>
      <c r="K384" s="335"/>
      <c r="L384" s="335"/>
      <c r="M384" s="376"/>
      <c r="N384" s="335"/>
      <c r="O384" s="380"/>
      <c r="P384" s="335"/>
      <c r="Q384" s="335"/>
      <c r="R384" s="335"/>
      <c r="S384" s="335"/>
      <c r="T384" s="335"/>
      <c r="U384" s="335"/>
      <c r="V384" s="335"/>
      <c r="W384" s="335"/>
      <c r="X384" s="335"/>
      <c r="Y384" s="335"/>
      <c r="Z384" s="335"/>
      <c r="AA384" s="335"/>
      <c r="AB384" s="335"/>
      <c r="AC384" s="335"/>
      <c r="AD384" s="335"/>
      <c r="AE384" s="335"/>
      <c r="AF384" s="335"/>
      <c r="AG384" s="335"/>
      <c r="AH384" s="335"/>
      <c r="AI384" s="335"/>
      <c r="AJ384" s="335"/>
      <c r="AK384" s="335"/>
      <c r="AL384" s="335"/>
      <c r="AM384" s="335"/>
      <c r="AN384" s="335"/>
      <c r="AO384" s="335"/>
      <c r="AP384" s="335"/>
      <c r="AQ384" s="335"/>
      <c r="AR384" s="335"/>
      <c r="AS384" s="335"/>
      <c r="AT384" s="335"/>
      <c r="AU384" s="335"/>
      <c r="AV384" s="335"/>
      <c r="AW384" s="335"/>
      <c r="AX384" s="335"/>
      <c r="AY384" s="335"/>
      <c r="AZ384" s="335"/>
      <c r="BA384" s="335"/>
      <c r="BB384" s="335"/>
      <c r="BC384" s="335"/>
      <c r="BD384" s="335"/>
      <c r="BE384" s="335"/>
      <c r="BF384" s="335"/>
      <c r="BG384" s="335"/>
      <c r="BH384" s="335"/>
      <c r="BI384" s="335"/>
      <c r="BJ384" s="335"/>
      <c r="BK384" s="335"/>
      <c r="BL384" s="335"/>
      <c r="BM384" s="335"/>
      <c r="BN384" s="335"/>
      <c r="BO384" s="335"/>
      <c r="BP384" s="335"/>
      <c r="BQ384" s="335"/>
      <c r="BR384" s="335"/>
      <c r="BS384" s="335"/>
      <c r="BT384" s="335"/>
      <c r="BU384" s="335"/>
      <c r="BV384" s="335"/>
      <c r="BW384" s="335"/>
      <c r="BX384" s="335"/>
      <c r="BY384" s="335"/>
      <c r="BZ384" s="335"/>
      <c r="CA384" s="335"/>
      <c r="CB384" s="335"/>
      <c r="CC384" s="335"/>
      <c r="CD384" s="335"/>
      <c r="CE384" s="335"/>
      <c r="CF384" s="335"/>
      <c r="CG384" s="335"/>
      <c r="CH384" s="335"/>
      <c r="CI384" s="335"/>
      <c r="CJ384" s="335"/>
      <c r="CK384" s="335"/>
      <c r="CL384" s="335"/>
      <c r="CM384" s="335"/>
      <c r="CN384" s="335"/>
      <c r="CO384" s="335"/>
      <c r="CP384" s="335"/>
      <c r="CQ384" s="335"/>
      <c r="CR384" s="335"/>
      <c r="CS384" s="335"/>
      <c r="CT384" s="335"/>
      <c r="CU384" s="335"/>
      <c r="CV384" s="335"/>
      <c r="CW384" s="335"/>
      <c r="CX384" s="335"/>
      <c r="CY384" s="335"/>
      <c r="CZ384" s="335"/>
      <c r="DA384" s="335"/>
      <c r="DB384" s="335"/>
      <c r="DC384" s="335"/>
      <c r="DD384" s="335"/>
      <c r="DE384" s="335"/>
      <c r="DF384" s="335"/>
      <c r="DG384" s="335"/>
      <c r="DH384" s="335"/>
      <c r="DI384" s="335"/>
      <c r="DJ384" s="335"/>
      <c r="DK384" s="335"/>
      <c r="DL384" s="335"/>
      <c r="DM384" s="335"/>
      <c r="DN384" s="335"/>
      <c r="DO384" s="335"/>
      <c r="DP384" s="335"/>
      <c r="DQ384" s="335"/>
      <c r="DR384" s="335"/>
      <c r="DS384" s="335"/>
      <c r="DT384" s="335"/>
      <c r="DU384" s="335"/>
      <c r="DV384" s="335"/>
      <c r="DW384" s="335"/>
      <c r="DX384" s="335"/>
      <c r="DY384" s="335"/>
      <c r="DZ384" s="335"/>
      <c r="EA384" s="335"/>
      <c r="EB384" s="335"/>
      <c r="EC384" s="335"/>
      <c r="ED384" s="335"/>
      <c r="EE384" s="335"/>
      <c r="EF384" s="335"/>
      <c r="EG384" s="335"/>
      <c r="EH384" s="335"/>
      <c r="EI384" s="335"/>
      <c r="EJ384" s="335"/>
      <c r="EK384" s="335"/>
      <c r="EL384" s="335"/>
      <c r="EM384" s="335"/>
      <c r="EN384" s="335"/>
      <c r="EO384" s="335"/>
      <c r="EP384" s="335"/>
      <c r="EQ384" s="335"/>
      <c r="ER384" s="335"/>
      <c r="ES384" s="335"/>
      <c r="ET384" s="335"/>
      <c r="EU384" s="335"/>
      <c r="EV384" s="335"/>
      <c r="EW384" s="335"/>
      <c r="EX384" s="335"/>
      <c r="EY384" s="335"/>
      <c r="EZ384" s="335"/>
      <c r="FA384" s="335"/>
      <c r="FB384" s="335"/>
      <c r="FC384" s="335"/>
      <c r="FD384" s="335"/>
      <c r="FE384" s="335"/>
      <c r="FF384" s="335"/>
      <c r="FG384" s="335"/>
      <c r="FH384" s="335"/>
      <c r="FI384" s="335"/>
      <c r="FJ384" s="335"/>
      <c r="FK384" s="335"/>
      <c r="FL384" s="335"/>
      <c r="FM384" s="335"/>
      <c r="FN384" s="335"/>
      <c r="FO384" s="335"/>
      <c r="FP384" s="335"/>
      <c r="FQ384" s="335"/>
      <c r="FR384" s="335"/>
      <c r="FS384" s="335"/>
      <c r="FT384" s="335"/>
      <c r="FU384" s="335"/>
      <c r="FV384" s="335"/>
      <c r="FW384" s="335"/>
      <c r="FX384" s="335"/>
      <c r="FY384" s="335"/>
      <c r="FZ384" s="335"/>
      <c r="GA384" s="335"/>
      <c r="GB384" s="335"/>
      <c r="GC384" s="335"/>
      <c r="GD384" s="335"/>
      <c r="GE384" s="335"/>
      <c r="GF384" s="335"/>
      <c r="GG384" s="335"/>
      <c r="GH384" s="335"/>
      <c r="GI384" s="335"/>
      <c r="GJ384" s="335"/>
      <c r="GK384" s="335"/>
      <c r="GL384" s="335"/>
      <c r="GM384" s="335"/>
      <c r="GN384" s="335"/>
      <c r="GO384" s="335"/>
      <c r="GP384" s="335"/>
      <c r="GQ384" s="335"/>
      <c r="GR384" s="335"/>
      <c r="GS384" s="335"/>
      <c r="GT384" s="335"/>
      <c r="GU384" s="335"/>
      <c r="GV384" s="335"/>
      <c r="GW384" s="335"/>
      <c r="GX384" s="335"/>
      <c r="GY384" s="335"/>
      <c r="GZ384" s="335"/>
    </row>
    <row r="385" spans="1:208" ht="15">
      <c r="A385" s="379"/>
      <c r="B385" s="335"/>
      <c r="C385" s="335"/>
      <c r="D385" s="335"/>
      <c r="E385" s="335"/>
      <c r="F385" s="335"/>
      <c r="G385" s="335"/>
      <c r="H385" s="335"/>
      <c r="I385" s="335"/>
      <c r="J385" s="335"/>
      <c r="K385" s="335"/>
      <c r="L385" s="335"/>
      <c r="M385" s="376"/>
      <c r="N385" s="335"/>
      <c r="O385" s="380"/>
      <c r="P385" s="335"/>
      <c r="Q385" s="335"/>
      <c r="R385" s="335"/>
      <c r="S385" s="335"/>
      <c r="T385" s="335"/>
      <c r="U385" s="335"/>
      <c r="V385" s="335"/>
      <c r="W385" s="335"/>
      <c r="X385" s="335"/>
      <c r="Y385" s="335"/>
      <c r="Z385" s="335"/>
      <c r="AA385" s="335"/>
      <c r="AB385" s="335"/>
      <c r="AC385" s="335"/>
      <c r="AD385" s="335"/>
      <c r="AE385" s="335"/>
      <c r="AF385" s="335"/>
      <c r="AG385" s="335"/>
      <c r="AH385" s="335"/>
      <c r="AI385" s="335"/>
      <c r="AJ385" s="335"/>
      <c r="AK385" s="335"/>
      <c r="AL385" s="335"/>
      <c r="AM385" s="335"/>
      <c r="AN385" s="335"/>
      <c r="AO385" s="335"/>
      <c r="AP385" s="335"/>
      <c r="AQ385" s="335"/>
      <c r="AR385" s="335"/>
      <c r="AS385" s="335"/>
      <c r="AT385" s="335"/>
      <c r="AU385" s="335"/>
      <c r="AV385" s="335"/>
      <c r="AW385" s="335"/>
      <c r="AX385" s="335"/>
      <c r="AY385" s="335"/>
      <c r="AZ385" s="335"/>
      <c r="BA385" s="335"/>
      <c r="BB385" s="335"/>
      <c r="BC385" s="335"/>
      <c r="BD385" s="335"/>
      <c r="BE385" s="335"/>
      <c r="BF385" s="335"/>
      <c r="BG385" s="335"/>
      <c r="BH385" s="335"/>
      <c r="BI385" s="335"/>
      <c r="BJ385" s="335"/>
      <c r="BK385" s="335"/>
      <c r="BL385" s="335"/>
      <c r="BM385" s="335"/>
      <c r="BN385" s="335"/>
      <c r="BO385" s="335"/>
      <c r="BP385" s="335"/>
      <c r="BQ385" s="335"/>
      <c r="BR385" s="335"/>
      <c r="BS385" s="335"/>
      <c r="BT385" s="335"/>
      <c r="BU385" s="335"/>
      <c r="BV385" s="335"/>
      <c r="BW385" s="335"/>
      <c r="BX385" s="335"/>
      <c r="BY385" s="335"/>
      <c r="BZ385" s="335"/>
      <c r="CA385" s="335"/>
      <c r="CB385" s="335"/>
      <c r="CC385" s="335"/>
      <c r="CD385" s="335"/>
      <c r="CE385" s="335"/>
      <c r="CF385" s="335"/>
      <c r="CG385" s="335"/>
      <c r="CH385" s="335"/>
      <c r="CI385" s="335"/>
      <c r="CJ385" s="335"/>
      <c r="CK385" s="335"/>
      <c r="CL385" s="335"/>
      <c r="CM385" s="335"/>
      <c r="CN385" s="335"/>
      <c r="CO385" s="335"/>
      <c r="CP385" s="335"/>
      <c r="CQ385" s="335"/>
      <c r="CR385" s="335"/>
      <c r="CS385" s="335"/>
      <c r="CT385" s="335"/>
      <c r="CU385" s="335"/>
      <c r="CV385" s="335"/>
      <c r="CW385" s="335"/>
      <c r="CX385" s="335"/>
      <c r="CY385" s="335"/>
      <c r="CZ385" s="335"/>
      <c r="DA385" s="335"/>
      <c r="DB385" s="335"/>
      <c r="DC385" s="335"/>
      <c r="DD385" s="335"/>
      <c r="DE385" s="335"/>
      <c r="DF385" s="335"/>
      <c r="DG385" s="335"/>
      <c r="DH385" s="335"/>
      <c r="DI385" s="335"/>
      <c r="DJ385" s="335"/>
      <c r="DK385" s="335"/>
      <c r="DL385" s="335"/>
      <c r="DM385" s="335"/>
      <c r="DN385" s="335"/>
      <c r="DO385" s="335"/>
      <c r="DP385" s="335"/>
      <c r="DQ385" s="335"/>
      <c r="DR385" s="335"/>
      <c r="DS385" s="335"/>
      <c r="DT385" s="335"/>
      <c r="DU385" s="335"/>
      <c r="DV385" s="335"/>
      <c r="DW385" s="335"/>
      <c r="DX385" s="335"/>
      <c r="DY385" s="335"/>
      <c r="DZ385" s="335"/>
      <c r="EA385" s="335"/>
      <c r="EB385" s="335"/>
      <c r="EC385" s="335"/>
      <c r="ED385" s="335"/>
      <c r="EE385" s="335"/>
      <c r="EF385" s="335"/>
      <c r="EG385" s="335"/>
      <c r="EH385" s="335"/>
      <c r="EI385" s="335"/>
      <c r="EJ385" s="335"/>
      <c r="EK385" s="335"/>
      <c r="EL385" s="335"/>
      <c r="EM385" s="335"/>
      <c r="EN385" s="335"/>
      <c r="EO385" s="335"/>
      <c r="EP385" s="335"/>
      <c r="EQ385" s="335"/>
      <c r="ER385" s="335"/>
      <c r="ES385" s="335"/>
      <c r="ET385" s="335"/>
      <c r="EU385" s="335"/>
      <c r="EV385" s="335"/>
      <c r="EW385" s="335"/>
      <c r="EX385" s="335"/>
      <c r="EY385" s="335"/>
      <c r="EZ385" s="335"/>
      <c r="FA385" s="335"/>
      <c r="FB385" s="335"/>
      <c r="FC385" s="335"/>
      <c r="FD385" s="335"/>
      <c r="FE385" s="335"/>
      <c r="FF385" s="335"/>
      <c r="FG385" s="335"/>
      <c r="FH385" s="335"/>
      <c r="FI385" s="335"/>
      <c r="FJ385" s="335"/>
      <c r="FK385" s="335"/>
      <c r="FL385" s="335"/>
      <c r="FM385" s="335"/>
      <c r="FN385" s="335"/>
      <c r="FO385" s="335"/>
      <c r="FP385" s="335"/>
      <c r="FQ385" s="335"/>
      <c r="FR385" s="335"/>
      <c r="FS385" s="335"/>
      <c r="FT385" s="335"/>
      <c r="FU385" s="335"/>
      <c r="FV385" s="335"/>
      <c r="FW385" s="335"/>
      <c r="FX385" s="335"/>
      <c r="FY385" s="335"/>
      <c r="FZ385" s="335"/>
      <c r="GA385" s="335"/>
      <c r="GB385" s="335"/>
      <c r="GC385" s="335"/>
      <c r="GD385" s="335"/>
      <c r="GE385" s="335"/>
      <c r="GF385" s="335"/>
      <c r="GG385" s="335"/>
      <c r="GH385" s="335"/>
      <c r="GI385" s="335"/>
      <c r="GJ385" s="335"/>
      <c r="GK385" s="335"/>
      <c r="GL385" s="335"/>
      <c r="GM385" s="335"/>
      <c r="GN385" s="335"/>
      <c r="GO385" s="335"/>
      <c r="GP385" s="335"/>
      <c r="GQ385" s="335"/>
      <c r="GR385" s="335"/>
      <c r="GS385" s="335"/>
      <c r="GT385" s="335"/>
      <c r="GU385" s="335"/>
      <c r="GV385" s="335"/>
      <c r="GW385" s="335"/>
      <c r="GX385" s="335"/>
      <c r="GY385" s="335"/>
      <c r="GZ385" s="335"/>
    </row>
    <row r="386" spans="1:208" ht="15">
      <c r="A386" s="379"/>
      <c r="B386" s="335"/>
      <c r="C386" s="335"/>
      <c r="D386" s="335"/>
      <c r="E386" s="335"/>
      <c r="F386" s="335"/>
      <c r="G386" s="335"/>
      <c r="H386" s="335"/>
      <c r="I386" s="335"/>
      <c r="J386" s="335"/>
      <c r="K386" s="335"/>
      <c r="L386" s="335"/>
      <c r="M386" s="376"/>
      <c r="N386" s="335"/>
      <c r="O386" s="380"/>
      <c r="P386" s="335"/>
      <c r="Q386" s="335"/>
      <c r="R386" s="335"/>
      <c r="S386" s="335"/>
      <c r="T386" s="335"/>
      <c r="U386" s="335"/>
      <c r="V386" s="335"/>
      <c r="W386" s="335"/>
      <c r="X386" s="335"/>
      <c r="Y386" s="335"/>
      <c r="Z386" s="335"/>
      <c r="AA386" s="335"/>
      <c r="AB386" s="335"/>
      <c r="AC386" s="335"/>
      <c r="AD386" s="335"/>
      <c r="AE386" s="335"/>
      <c r="AF386" s="335"/>
      <c r="AG386" s="335"/>
      <c r="AH386" s="335"/>
      <c r="AI386" s="335"/>
      <c r="AJ386" s="335"/>
      <c r="AK386" s="335"/>
      <c r="AL386" s="335"/>
      <c r="AM386" s="335"/>
      <c r="AN386" s="335"/>
      <c r="AO386" s="335"/>
      <c r="AP386" s="335"/>
      <c r="AQ386" s="335"/>
      <c r="AR386" s="335"/>
      <c r="AS386" s="335"/>
      <c r="AT386" s="335"/>
      <c r="AU386" s="335"/>
      <c r="AV386" s="335"/>
      <c r="AW386" s="335"/>
      <c r="AX386" s="335"/>
      <c r="AY386" s="335"/>
      <c r="AZ386" s="335"/>
      <c r="BA386" s="335"/>
      <c r="BB386" s="335"/>
      <c r="BC386" s="335"/>
      <c r="BD386" s="335"/>
      <c r="BE386" s="335"/>
      <c r="BF386" s="335"/>
      <c r="BG386" s="335"/>
      <c r="BH386" s="335"/>
      <c r="BI386" s="335"/>
      <c r="BJ386" s="335"/>
      <c r="BK386" s="335"/>
      <c r="BL386" s="335"/>
      <c r="BM386" s="335"/>
      <c r="BN386" s="335"/>
      <c r="BO386" s="335"/>
      <c r="BP386" s="335"/>
      <c r="BQ386" s="335"/>
      <c r="BR386" s="335"/>
      <c r="BS386" s="335"/>
      <c r="BT386" s="335"/>
      <c r="BU386" s="335"/>
      <c r="BV386" s="335"/>
      <c r="BW386" s="335"/>
      <c r="BX386" s="335"/>
      <c r="BY386" s="335"/>
      <c r="BZ386" s="335"/>
      <c r="CA386" s="335"/>
      <c r="CB386" s="335"/>
      <c r="CC386" s="335"/>
      <c r="CD386" s="335"/>
      <c r="CE386" s="335"/>
      <c r="CF386" s="335"/>
      <c r="CG386" s="335"/>
      <c r="CH386" s="335"/>
      <c r="CI386" s="335"/>
      <c r="CJ386" s="335"/>
      <c r="CK386" s="335"/>
      <c r="CL386" s="335"/>
      <c r="CM386" s="335"/>
      <c r="CN386" s="335"/>
      <c r="CO386" s="335"/>
      <c r="CP386" s="335"/>
      <c r="CQ386" s="335"/>
      <c r="CR386" s="335"/>
      <c r="CS386" s="335"/>
      <c r="CT386" s="335"/>
      <c r="CU386" s="335"/>
      <c r="CV386" s="335"/>
      <c r="CW386" s="335"/>
      <c r="CX386" s="335"/>
      <c r="CY386" s="335"/>
      <c r="CZ386" s="335"/>
      <c r="DA386" s="335"/>
      <c r="DB386" s="335"/>
      <c r="DC386" s="335"/>
      <c r="DD386" s="335"/>
      <c r="DE386" s="335"/>
      <c r="DF386" s="335"/>
      <c r="DG386" s="335"/>
      <c r="DH386" s="335"/>
      <c r="DI386" s="335"/>
      <c r="DJ386" s="335"/>
      <c r="DK386" s="335"/>
      <c r="DL386" s="335"/>
      <c r="DM386" s="335"/>
      <c r="DN386" s="335"/>
      <c r="DO386" s="335"/>
      <c r="DP386" s="335"/>
      <c r="DQ386" s="335"/>
      <c r="DR386" s="335"/>
      <c r="DS386" s="335"/>
      <c r="DT386" s="335"/>
      <c r="DU386" s="335"/>
      <c r="DV386" s="335"/>
      <c r="DW386" s="335"/>
      <c r="DX386" s="335"/>
      <c r="DY386" s="335"/>
      <c r="DZ386" s="335"/>
      <c r="EA386" s="335"/>
      <c r="EB386" s="335"/>
      <c r="EC386" s="335"/>
      <c r="ED386" s="335"/>
      <c r="EE386" s="335"/>
      <c r="EF386" s="335"/>
      <c r="EG386" s="335"/>
      <c r="EH386" s="335"/>
      <c r="EI386" s="335"/>
      <c r="EJ386" s="335"/>
      <c r="EK386" s="335"/>
      <c r="EL386" s="335"/>
      <c r="EM386" s="335"/>
      <c r="EN386" s="335"/>
      <c r="EO386" s="335"/>
      <c r="EP386" s="335"/>
      <c r="EQ386" s="335"/>
      <c r="ER386" s="335"/>
      <c r="ES386" s="335"/>
      <c r="ET386" s="335"/>
      <c r="EU386" s="335"/>
      <c r="EV386" s="335"/>
      <c r="EW386" s="335"/>
      <c r="EX386" s="335"/>
      <c r="EY386" s="335"/>
      <c r="EZ386" s="335"/>
      <c r="FA386" s="335"/>
      <c r="FB386" s="335"/>
      <c r="FC386" s="335"/>
      <c r="FD386" s="335"/>
      <c r="FE386" s="335"/>
      <c r="FF386" s="335"/>
      <c r="FG386" s="335"/>
      <c r="FH386" s="335"/>
      <c r="FI386" s="335"/>
      <c r="FJ386" s="335"/>
      <c r="FK386" s="335"/>
      <c r="FL386" s="335"/>
      <c r="FM386" s="335"/>
      <c r="FN386" s="335"/>
      <c r="FO386" s="335"/>
      <c r="FP386" s="335"/>
      <c r="FQ386" s="335"/>
      <c r="FR386" s="335"/>
      <c r="FS386" s="335"/>
      <c r="FT386" s="335"/>
      <c r="FU386" s="335"/>
      <c r="FV386" s="335"/>
      <c r="FW386" s="335"/>
      <c r="FX386" s="335"/>
      <c r="FY386" s="335"/>
      <c r="FZ386" s="335"/>
      <c r="GA386" s="335"/>
      <c r="GB386" s="335"/>
      <c r="GC386" s="335"/>
      <c r="GD386" s="335"/>
      <c r="GE386" s="335"/>
      <c r="GF386" s="335"/>
      <c r="GG386" s="335"/>
      <c r="GH386" s="335"/>
      <c r="GI386" s="335"/>
      <c r="GJ386" s="335"/>
      <c r="GK386" s="335"/>
      <c r="GL386" s="335"/>
      <c r="GM386" s="335"/>
      <c r="GN386" s="335"/>
      <c r="GO386" s="335"/>
      <c r="GP386" s="335"/>
      <c r="GQ386" s="335"/>
      <c r="GR386" s="335"/>
      <c r="GS386" s="335"/>
      <c r="GT386" s="335"/>
      <c r="GU386" s="335"/>
      <c r="GV386" s="335"/>
      <c r="GW386" s="335"/>
      <c r="GX386" s="335"/>
      <c r="GY386" s="335"/>
      <c r="GZ386" s="335"/>
    </row>
    <row r="387" spans="1:208" ht="15">
      <c r="A387" s="379"/>
      <c r="B387" s="335"/>
      <c r="C387" s="335"/>
      <c r="D387" s="335"/>
      <c r="E387" s="335"/>
      <c r="F387" s="335"/>
      <c r="G387" s="335"/>
      <c r="H387" s="335"/>
      <c r="I387" s="335"/>
      <c r="J387" s="335"/>
      <c r="K387" s="335"/>
      <c r="L387" s="335"/>
      <c r="M387" s="376"/>
      <c r="N387" s="335"/>
      <c r="O387" s="380"/>
      <c r="P387" s="335"/>
      <c r="Q387" s="335"/>
      <c r="R387" s="335"/>
      <c r="S387" s="335"/>
      <c r="T387" s="335"/>
      <c r="U387" s="335"/>
      <c r="V387" s="335"/>
      <c r="W387" s="335"/>
      <c r="X387" s="335"/>
      <c r="Y387" s="335"/>
      <c r="Z387" s="335"/>
      <c r="AA387" s="335"/>
      <c r="AB387" s="335"/>
      <c r="AC387" s="335"/>
      <c r="AD387" s="335"/>
      <c r="AE387" s="335"/>
      <c r="AF387" s="335"/>
      <c r="AG387" s="335"/>
      <c r="AH387" s="335"/>
      <c r="AI387" s="335"/>
      <c r="AJ387" s="335"/>
      <c r="AK387" s="335"/>
      <c r="AL387" s="335"/>
      <c r="AM387" s="335"/>
      <c r="AN387" s="335"/>
      <c r="AO387" s="335"/>
      <c r="AP387" s="335"/>
      <c r="AQ387" s="335"/>
      <c r="AR387" s="335"/>
      <c r="AS387" s="335"/>
      <c r="AT387" s="335"/>
      <c r="AU387" s="335"/>
      <c r="AV387" s="335"/>
      <c r="AW387" s="335"/>
      <c r="AX387" s="335"/>
      <c r="AY387" s="335"/>
      <c r="AZ387" s="335"/>
      <c r="BA387" s="335"/>
      <c r="BB387" s="335"/>
      <c r="BC387" s="335"/>
      <c r="BD387" s="335"/>
      <c r="BE387" s="335"/>
      <c r="BF387" s="335"/>
      <c r="BG387" s="335"/>
      <c r="BH387" s="335"/>
      <c r="BI387" s="335"/>
      <c r="BJ387" s="335"/>
      <c r="BK387" s="335"/>
      <c r="BL387" s="335"/>
      <c r="BM387" s="335"/>
      <c r="BN387" s="335"/>
      <c r="BO387" s="335"/>
      <c r="BP387" s="335"/>
      <c r="BQ387" s="335"/>
      <c r="BR387" s="335"/>
      <c r="BS387" s="335"/>
      <c r="BT387" s="335"/>
      <c r="BU387" s="335"/>
      <c r="BV387" s="335"/>
      <c r="BW387" s="335"/>
      <c r="BX387" s="335"/>
      <c r="BY387" s="335"/>
      <c r="BZ387" s="335"/>
      <c r="CA387" s="335"/>
      <c r="CB387" s="335"/>
      <c r="CC387" s="335"/>
      <c r="CD387" s="335"/>
      <c r="CE387" s="335"/>
      <c r="CF387" s="335"/>
      <c r="CG387" s="335"/>
      <c r="CH387" s="335"/>
      <c r="CI387" s="335"/>
      <c r="CJ387" s="335"/>
      <c r="CK387" s="335"/>
      <c r="CL387" s="335"/>
      <c r="CM387" s="335"/>
      <c r="CN387" s="335"/>
      <c r="CO387" s="335"/>
      <c r="CP387" s="335"/>
      <c r="CQ387" s="335"/>
      <c r="CR387" s="335"/>
      <c r="CS387" s="335"/>
      <c r="CT387" s="335"/>
      <c r="CU387" s="335"/>
      <c r="CV387" s="335"/>
      <c r="CW387" s="335"/>
      <c r="CX387" s="335"/>
      <c r="CY387" s="335"/>
      <c r="CZ387" s="335"/>
      <c r="DA387" s="335"/>
      <c r="DB387" s="335"/>
      <c r="DC387" s="335"/>
      <c r="DD387" s="335"/>
      <c r="DE387" s="335"/>
      <c r="DF387" s="335"/>
      <c r="DG387" s="335"/>
      <c r="DH387" s="335"/>
      <c r="DI387" s="335"/>
      <c r="DJ387" s="335"/>
      <c r="DK387" s="335"/>
      <c r="DL387" s="335"/>
      <c r="DM387" s="335"/>
      <c r="DN387" s="335"/>
      <c r="DO387" s="335"/>
      <c r="DP387" s="335"/>
      <c r="DQ387" s="335"/>
      <c r="DR387" s="335"/>
      <c r="DS387" s="335"/>
      <c r="DT387" s="335"/>
      <c r="DU387" s="335"/>
      <c r="DV387" s="335"/>
      <c r="DW387" s="335"/>
      <c r="DX387" s="335"/>
      <c r="DY387" s="335"/>
      <c r="DZ387" s="335"/>
      <c r="EA387" s="335"/>
      <c r="EB387" s="335"/>
      <c r="EC387" s="335"/>
      <c r="ED387" s="335"/>
      <c r="EE387" s="335"/>
      <c r="EF387" s="335"/>
      <c r="EG387" s="335"/>
      <c r="EH387" s="335"/>
      <c r="EI387" s="335"/>
      <c r="EJ387" s="335"/>
      <c r="EK387" s="335"/>
      <c r="EL387" s="335"/>
      <c r="EM387" s="335"/>
      <c r="EN387" s="335"/>
      <c r="EO387" s="335"/>
      <c r="EP387" s="335"/>
      <c r="EQ387" s="335"/>
      <c r="ER387" s="335"/>
      <c r="ES387" s="335"/>
      <c r="ET387" s="335"/>
      <c r="EU387" s="335"/>
      <c r="EV387" s="335"/>
      <c r="EW387" s="335"/>
      <c r="EX387" s="335"/>
      <c r="EY387" s="335"/>
      <c r="EZ387" s="335"/>
      <c r="FA387" s="335"/>
      <c r="FB387" s="335"/>
      <c r="FC387" s="335"/>
      <c r="FD387" s="335"/>
      <c r="FE387" s="335"/>
      <c r="FF387" s="335"/>
      <c r="FG387" s="335"/>
      <c r="FH387" s="335"/>
      <c r="FI387" s="335"/>
      <c r="FJ387" s="335"/>
      <c r="FK387" s="335"/>
      <c r="FL387" s="335"/>
      <c r="FM387" s="335"/>
      <c r="FN387" s="335"/>
      <c r="FO387" s="335"/>
      <c r="FP387" s="335"/>
      <c r="FQ387" s="335"/>
      <c r="FR387" s="335"/>
      <c r="FS387" s="335"/>
      <c r="FT387" s="335"/>
      <c r="FU387" s="335"/>
      <c r="FV387" s="335"/>
      <c r="FW387" s="335"/>
      <c r="FX387" s="335"/>
      <c r="FY387" s="335"/>
      <c r="FZ387" s="335"/>
      <c r="GA387" s="335"/>
      <c r="GB387" s="335"/>
      <c r="GC387" s="335"/>
      <c r="GD387" s="335"/>
      <c r="GE387" s="335"/>
      <c r="GF387" s="335"/>
      <c r="GG387" s="335"/>
      <c r="GH387" s="335"/>
      <c r="GI387" s="335"/>
      <c r="GJ387" s="335"/>
      <c r="GK387" s="335"/>
      <c r="GL387" s="335"/>
      <c r="GM387" s="335"/>
      <c r="GN387" s="335"/>
      <c r="GO387" s="335"/>
      <c r="GP387" s="335"/>
      <c r="GQ387" s="335"/>
      <c r="GR387" s="335"/>
      <c r="GS387" s="335"/>
      <c r="GT387" s="335"/>
      <c r="GU387" s="335"/>
      <c r="GV387" s="335"/>
      <c r="GW387" s="335"/>
      <c r="GX387" s="335"/>
      <c r="GY387" s="335"/>
      <c r="GZ387" s="335"/>
    </row>
    <row r="388" spans="1:208" ht="15">
      <c r="A388" s="379"/>
      <c r="B388" s="335"/>
      <c r="C388" s="335"/>
      <c r="D388" s="335"/>
      <c r="E388" s="335"/>
      <c r="F388" s="335"/>
      <c r="G388" s="335"/>
      <c r="H388" s="335"/>
      <c r="I388" s="335"/>
      <c r="J388" s="335"/>
      <c r="K388" s="335"/>
      <c r="L388" s="335"/>
      <c r="M388" s="376"/>
      <c r="N388" s="335"/>
      <c r="O388" s="380"/>
      <c r="P388" s="335"/>
      <c r="Q388" s="335"/>
      <c r="R388" s="335"/>
      <c r="S388" s="335"/>
      <c r="T388" s="335"/>
      <c r="U388" s="335"/>
      <c r="V388" s="335"/>
      <c r="W388" s="335"/>
      <c r="X388" s="335"/>
      <c r="Y388" s="335"/>
      <c r="Z388" s="335"/>
      <c r="AA388" s="335"/>
      <c r="AB388" s="335"/>
      <c r="AC388" s="335"/>
      <c r="AD388" s="335"/>
      <c r="AE388" s="335"/>
      <c r="AF388" s="335"/>
      <c r="AG388" s="335"/>
      <c r="AH388" s="335"/>
      <c r="AI388" s="335"/>
      <c r="AJ388" s="335"/>
      <c r="AK388" s="335"/>
      <c r="AL388" s="335"/>
      <c r="AM388" s="335"/>
      <c r="AN388" s="335"/>
      <c r="AO388" s="335"/>
      <c r="AP388" s="335"/>
      <c r="AQ388" s="335"/>
      <c r="AR388" s="335"/>
      <c r="AS388" s="335"/>
      <c r="AT388" s="335"/>
      <c r="AU388" s="335"/>
      <c r="AV388" s="335"/>
      <c r="AW388" s="335"/>
      <c r="AX388" s="335"/>
      <c r="AY388" s="335"/>
      <c r="AZ388" s="335"/>
      <c r="BA388" s="335"/>
      <c r="BB388" s="335"/>
      <c r="BC388" s="335"/>
      <c r="BD388" s="335"/>
      <c r="BE388" s="335"/>
      <c r="BF388" s="335"/>
      <c r="BG388" s="335"/>
      <c r="BH388" s="335"/>
      <c r="BI388" s="335"/>
      <c r="BJ388" s="335"/>
      <c r="BK388" s="335"/>
      <c r="BL388" s="335"/>
      <c r="BM388" s="335"/>
      <c r="BN388" s="335"/>
      <c r="BO388" s="335"/>
      <c r="BP388" s="335"/>
      <c r="BQ388" s="335"/>
      <c r="BR388" s="335"/>
      <c r="BS388" s="335"/>
      <c r="BT388" s="335"/>
      <c r="BU388" s="335"/>
      <c r="BV388" s="335"/>
      <c r="BW388" s="335"/>
      <c r="BX388" s="335"/>
      <c r="BY388" s="335"/>
      <c r="BZ388" s="335"/>
      <c r="CA388" s="335"/>
      <c r="CB388" s="335"/>
      <c r="CC388" s="335"/>
      <c r="CD388" s="335"/>
      <c r="CE388" s="335"/>
      <c r="CF388" s="335"/>
      <c r="CG388" s="335"/>
      <c r="CH388" s="335"/>
      <c r="CI388" s="335"/>
      <c r="CJ388" s="335"/>
      <c r="CK388" s="335"/>
      <c r="CL388" s="335"/>
      <c r="CM388" s="335"/>
      <c r="CN388" s="335"/>
      <c r="CO388" s="335"/>
      <c r="CP388" s="335"/>
      <c r="CQ388" s="335"/>
      <c r="CR388" s="335"/>
      <c r="CS388" s="335"/>
      <c r="CT388" s="335"/>
      <c r="CU388" s="335"/>
      <c r="CV388" s="335"/>
      <c r="CW388" s="335"/>
      <c r="CX388" s="335"/>
      <c r="CY388" s="335"/>
      <c r="CZ388" s="335"/>
      <c r="DA388" s="335"/>
      <c r="DB388" s="335"/>
      <c r="DC388" s="335"/>
      <c r="DD388" s="335"/>
      <c r="DE388" s="335"/>
      <c r="DF388" s="335"/>
      <c r="DG388" s="335"/>
      <c r="DH388" s="335"/>
      <c r="DI388" s="335"/>
      <c r="DJ388" s="335"/>
      <c r="DK388" s="335"/>
      <c r="DL388" s="335"/>
      <c r="DM388" s="335"/>
      <c r="DN388" s="335"/>
      <c r="DO388" s="335"/>
      <c r="DP388" s="335"/>
      <c r="DQ388" s="335"/>
      <c r="DR388" s="335"/>
      <c r="DS388" s="335"/>
      <c r="DT388" s="335"/>
      <c r="DU388" s="335"/>
      <c r="DV388" s="335"/>
      <c r="DW388" s="335"/>
      <c r="DX388" s="335"/>
      <c r="DY388" s="335"/>
      <c r="DZ388" s="335"/>
      <c r="EA388" s="335"/>
      <c r="EB388" s="335"/>
      <c r="EC388" s="335"/>
      <c r="ED388" s="335"/>
      <c r="EE388" s="335"/>
      <c r="EF388" s="335"/>
      <c r="EG388" s="335"/>
      <c r="EH388" s="335"/>
      <c r="EI388" s="335"/>
      <c r="EJ388" s="335"/>
      <c r="EK388" s="335"/>
      <c r="EL388" s="335"/>
      <c r="EM388" s="335"/>
      <c r="EN388" s="335"/>
      <c r="EO388" s="335"/>
      <c r="EP388" s="335"/>
      <c r="EQ388" s="335"/>
      <c r="ER388" s="335"/>
      <c r="ES388" s="335"/>
      <c r="ET388" s="335"/>
      <c r="EU388" s="335"/>
      <c r="EV388" s="335"/>
      <c r="EW388" s="335"/>
      <c r="EX388" s="335"/>
      <c r="EY388" s="335"/>
      <c r="EZ388" s="335"/>
      <c r="FA388" s="335"/>
      <c r="FB388" s="335"/>
      <c r="FC388" s="335"/>
      <c r="FD388" s="335"/>
      <c r="FE388" s="335"/>
      <c r="FF388" s="335"/>
      <c r="FG388" s="335"/>
      <c r="FH388" s="335"/>
      <c r="FI388" s="335"/>
      <c r="FJ388" s="335"/>
      <c r="FK388" s="335"/>
      <c r="FL388" s="335"/>
      <c r="FM388" s="335"/>
      <c r="FN388" s="335"/>
      <c r="FO388" s="335"/>
      <c r="FP388" s="335"/>
      <c r="FQ388" s="335"/>
      <c r="FR388" s="335"/>
      <c r="FS388" s="335"/>
      <c r="FT388" s="335"/>
      <c r="FU388" s="335"/>
      <c r="FV388" s="335"/>
      <c r="FW388" s="335"/>
      <c r="FX388" s="335"/>
      <c r="FY388" s="335"/>
      <c r="FZ388" s="335"/>
      <c r="GA388" s="335"/>
      <c r="GB388" s="335"/>
      <c r="GC388" s="335"/>
      <c r="GD388" s="335"/>
      <c r="GE388" s="335"/>
      <c r="GF388" s="335"/>
      <c r="GG388" s="335"/>
      <c r="GH388" s="335"/>
      <c r="GI388" s="335"/>
      <c r="GJ388" s="335"/>
      <c r="GK388" s="335"/>
      <c r="GL388" s="335"/>
      <c r="GM388" s="335"/>
      <c r="GN388" s="335"/>
      <c r="GO388" s="335"/>
      <c r="GP388" s="335"/>
      <c r="GQ388" s="335"/>
      <c r="GR388" s="335"/>
      <c r="GS388" s="335"/>
      <c r="GT388" s="335"/>
      <c r="GU388" s="335"/>
      <c r="GV388" s="335"/>
      <c r="GW388" s="335"/>
      <c r="GX388" s="335"/>
      <c r="GY388" s="335"/>
      <c r="GZ388" s="335"/>
    </row>
    <row r="389" spans="1:208" ht="15">
      <c r="A389" s="379"/>
      <c r="B389" s="335"/>
      <c r="C389" s="335"/>
      <c r="D389" s="335"/>
      <c r="E389" s="335"/>
      <c r="F389" s="335"/>
      <c r="G389" s="335"/>
      <c r="H389" s="335"/>
      <c r="I389" s="335"/>
      <c r="J389" s="335"/>
      <c r="K389" s="335"/>
      <c r="L389" s="335"/>
      <c r="M389" s="376"/>
      <c r="N389" s="335"/>
      <c r="O389" s="380"/>
      <c r="P389" s="335"/>
      <c r="Q389" s="335"/>
      <c r="R389" s="335"/>
      <c r="S389" s="335"/>
      <c r="T389" s="335"/>
      <c r="U389" s="335"/>
      <c r="V389" s="335"/>
      <c r="W389" s="335"/>
      <c r="X389" s="335"/>
      <c r="Y389" s="335"/>
      <c r="Z389" s="335"/>
      <c r="AA389" s="335"/>
      <c r="AB389" s="335"/>
      <c r="AC389" s="335"/>
      <c r="AD389" s="335"/>
      <c r="AE389" s="335"/>
      <c r="AF389" s="335"/>
      <c r="AG389" s="335"/>
      <c r="AH389" s="335"/>
      <c r="AI389" s="335"/>
      <c r="AJ389" s="335"/>
      <c r="AK389" s="335"/>
      <c r="AL389" s="335"/>
      <c r="AM389" s="335"/>
      <c r="AN389" s="335"/>
      <c r="AO389" s="335"/>
      <c r="AP389" s="335"/>
      <c r="AQ389" s="335"/>
      <c r="AR389" s="335"/>
      <c r="AS389" s="335"/>
      <c r="AT389" s="335"/>
      <c r="AU389" s="335"/>
      <c r="AV389" s="335"/>
      <c r="AW389" s="335"/>
      <c r="AX389" s="335"/>
      <c r="AY389" s="335"/>
      <c r="AZ389" s="335"/>
      <c r="BA389" s="335"/>
      <c r="BB389" s="335"/>
      <c r="BC389" s="335"/>
      <c r="BD389" s="335"/>
      <c r="BE389" s="335"/>
      <c r="BF389" s="335"/>
      <c r="BG389" s="335"/>
      <c r="BH389" s="335"/>
      <c r="BI389" s="335"/>
      <c r="BJ389" s="335"/>
      <c r="BK389" s="335"/>
      <c r="BL389" s="335"/>
      <c r="BM389" s="335"/>
      <c r="BN389" s="335"/>
      <c r="BO389" s="335"/>
      <c r="BP389" s="335"/>
      <c r="BQ389" s="335"/>
      <c r="BR389" s="335"/>
      <c r="BS389" s="335"/>
      <c r="BT389" s="335"/>
      <c r="BU389" s="335"/>
      <c r="BV389" s="335"/>
      <c r="BW389" s="335"/>
      <c r="BX389" s="335"/>
      <c r="BY389" s="335"/>
      <c r="BZ389" s="335"/>
      <c r="CA389" s="335"/>
      <c r="CB389" s="335"/>
      <c r="CC389" s="335"/>
      <c r="CD389" s="335"/>
      <c r="CE389" s="335"/>
      <c r="CF389" s="335"/>
      <c r="CG389" s="335"/>
      <c r="CH389" s="335"/>
      <c r="CI389" s="335"/>
      <c r="CJ389" s="335"/>
      <c r="CK389" s="335"/>
      <c r="CL389" s="335"/>
      <c r="CM389" s="335"/>
      <c r="CN389" s="335"/>
      <c r="CO389" s="335"/>
      <c r="CP389" s="335"/>
      <c r="CQ389" s="335"/>
      <c r="CR389" s="335"/>
      <c r="CS389" s="335"/>
      <c r="CT389" s="335"/>
      <c r="CU389" s="335"/>
      <c r="CV389" s="335"/>
      <c r="CW389" s="335"/>
      <c r="CX389" s="335"/>
      <c r="CY389" s="335"/>
      <c r="CZ389" s="335"/>
      <c r="DA389" s="335"/>
      <c r="DB389" s="335"/>
      <c r="DC389" s="335"/>
      <c r="DD389" s="335"/>
      <c r="DE389" s="335"/>
      <c r="DF389" s="335"/>
      <c r="DG389" s="335"/>
      <c r="DH389" s="335"/>
      <c r="DI389" s="335"/>
      <c r="DJ389" s="335"/>
      <c r="DK389" s="335"/>
      <c r="DL389" s="335"/>
      <c r="DM389" s="335"/>
      <c r="DN389" s="335"/>
      <c r="DO389" s="335"/>
      <c r="DP389" s="335"/>
      <c r="DQ389" s="335"/>
      <c r="DR389" s="335"/>
      <c r="DS389" s="335"/>
      <c r="DT389" s="335"/>
      <c r="DU389" s="335"/>
      <c r="DV389" s="335"/>
      <c r="DW389" s="335"/>
      <c r="DX389" s="335"/>
      <c r="DY389" s="335"/>
      <c r="DZ389" s="335"/>
      <c r="EA389" s="335"/>
      <c r="EB389" s="335"/>
      <c r="EC389" s="335"/>
      <c r="ED389" s="335"/>
      <c r="EE389" s="335"/>
      <c r="EF389" s="335"/>
      <c r="EG389" s="335"/>
      <c r="EH389" s="335"/>
      <c r="EI389" s="335"/>
      <c r="EJ389" s="335"/>
      <c r="EK389" s="335"/>
      <c r="EL389" s="335"/>
      <c r="EM389" s="335"/>
      <c r="EN389" s="335"/>
      <c r="EO389" s="335"/>
      <c r="EP389" s="335"/>
      <c r="EQ389" s="335"/>
      <c r="ER389" s="335"/>
      <c r="ES389" s="335"/>
      <c r="ET389" s="335"/>
      <c r="EU389" s="335"/>
      <c r="EV389" s="335"/>
      <c r="EW389" s="335"/>
      <c r="EX389" s="335"/>
      <c r="EY389" s="335"/>
      <c r="EZ389" s="335"/>
      <c r="FA389" s="335"/>
      <c r="FB389" s="335"/>
      <c r="FC389" s="335"/>
      <c r="FD389" s="335"/>
      <c r="FE389" s="335"/>
      <c r="FF389" s="335"/>
      <c r="FG389" s="335"/>
      <c r="FH389" s="335"/>
      <c r="FI389" s="335"/>
      <c r="FJ389" s="335"/>
      <c r="FK389" s="335"/>
      <c r="FL389" s="335"/>
      <c r="FM389" s="335"/>
      <c r="FN389" s="335"/>
      <c r="FO389" s="335"/>
      <c r="FP389" s="335"/>
      <c r="FQ389" s="335"/>
      <c r="FR389" s="335"/>
      <c r="FS389" s="335"/>
      <c r="FT389" s="335"/>
      <c r="FU389" s="335"/>
      <c r="FV389" s="335"/>
      <c r="FW389" s="335"/>
      <c r="FX389" s="335"/>
      <c r="FY389" s="335"/>
      <c r="FZ389" s="335"/>
      <c r="GA389" s="335"/>
      <c r="GB389" s="335"/>
      <c r="GC389" s="335"/>
      <c r="GD389" s="335"/>
      <c r="GE389" s="335"/>
      <c r="GF389" s="335"/>
      <c r="GG389" s="335"/>
      <c r="GH389" s="335"/>
      <c r="GI389" s="335"/>
      <c r="GJ389" s="335"/>
      <c r="GK389" s="335"/>
      <c r="GL389" s="335"/>
      <c r="GM389" s="335"/>
      <c r="GN389" s="335"/>
      <c r="GO389" s="335"/>
      <c r="GP389" s="335"/>
      <c r="GQ389" s="335"/>
      <c r="GR389" s="335"/>
      <c r="GS389" s="335"/>
      <c r="GT389" s="335"/>
      <c r="GU389" s="335"/>
      <c r="GV389" s="335"/>
      <c r="GW389" s="335"/>
      <c r="GX389" s="335"/>
      <c r="GY389" s="335"/>
      <c r="GZ389" s="335"/>
    </row>
    <row r="390" spans="1:208" ht="15">
      <c r="A390" s="379"/>
      <c r="B390" s="335"/>
      <c r="C390" s="335"/>
      <c r="D390" s="335"/>
      <c r="E390" s="335"/>
      <c r="F390" s="335"/>
      <c r="G390" s="335"/>
      <c r="H390" s="335"/>
      <c r="I390" s="335"/>
      <c r="J390" s="335"/>
      <c r="K390" s="335"/>
      <c r="L390" s="335"/>
      <c r="M390" s="376"/>
      <c r="N390" s="335"/>
      <c r="O390" s="380"/>
      <c r="P390" s="335"/>
      <c r="Q390" s="335"/>
      <c r="R390" s="335"/>
      <c r="S390" s="335"/>
      <c r="T390" s="335"/>
      <c r="U390" s="335"/>
      <c r="V390" s="335"/>
      <c r="W390" s="335"/>
      <c r="X390" s="335"/>
      <c r="Y390" s="335"/>
      <c r="Z390" s="335"/>
      <c r="AA390" s="335"/>
      <c r="AB390" s="335"/>
      <c r="AC390" s="335"/>
      <c r="AD390" s="335"/>
      <c r="AE390" s="335"/>
      <c r="AF390" s="335"/>
      <c r="AG390" s="335"/>
      <c r="AH390" s="335"/>
      <c r="AI390" s="335"/>
      <c r="AJ390" s="335"/>
      <c r="AK390" s="335"/>
      <c r="AL390" s="335"/>
      <c r="AM390" s="335"/>
      <c r="AN390" s="335"/>
      <c r="AO390" s="335"/>
      <c r="AP390" s="335"/>
      <c r="AQ390" s="335"/>
      <c r="AR390" s="335"/>
      <c r="AS390" s="335"/>
      <c r="AT390" s="335"/>
      <c r="AU390" s="335"/>
      <c r="AV390" s="335"/>
      <c r="AW390" s="335"/>
      <c r="AX390" s="335"/>
      <c r="AY390" s="335"/>
      <c r="AZ390" s="335"/>
      <c r="BA390" s="335"/>
      <c r="BB390" s="335"/>
      <c r="BC390" s="335"/>
      <c r="BD390" s="335"/>
      <c r="BE390" s="335"/>
      <c r="BF390" s="335"/>
      <c r="BG390" s="335"/>
      <c r="BH390" s="335"/>
      <c r="BI390" s="335"/>
      <c r="BJ390" s="335"/>
      <c r="BK390" s="335"/>
      <c r="BL390" s="335"/>
      <c r="BM390" s="335"/>
      <c r="BN390" s="335"/>
      <c r="BO390" s="335"/>
      <c r="BP390" s="335"/>
      <c r="BQ390" s="335"/>
      <c r="BR390" s="335"/>
      <c r="BS390" s="335"/>
      <c r="BT390" s="335"/>
      <c r="BU390" s="335"/>
      <c r="BV390" s="335"/>
      <c r="BW390" s="335"/>
      <c r="BX390" s="335"/>
      <c r="BY390" s="335"/>
      <c r="BZ390" s="335"/>
      <c r="CA390" s="335"/>
      <c r="CB390" s="335"/>
      <c r="CC390" s="335"/>
      <c r="CD390" s="335"/>
      <c r="CE390" s="335"/>
      <c r="CF390" s="335"/>
      <c r="CG390" s="335"/>
      <c r="CH390" s="335"/>
      <c r="CI390" s="335"/>
      <c r="CJ390" s="335"/>
      <c r="CK390" s="335"/>
      <c r="CL390" s="335"/>
      <c r="CM390" s="335"/>
      <c r="CN390" s="335"/>
      <c r="CO390" s="335"/>
      <c r="CP390" s="335"/>
      <c r="CQ390" s="335"/>
      <c r="CR390" s="335"/>
      <c r="CS390" s="335"/>
      <c r="CT390" s="335"/>
      <c r="CU390" s="335"/>
      <c r="CV390" s="335"/>
      <c r="CW390" s="335"/>
      <c r="CX390" s="335"/>
      <c r="CY390" s="335"/>
      <c r="CZ390" s="335"/>
      <c r="DA390" s="335"/>
      <c r="DB390" s="335"/>
      <c r="DC390" s="335"/>
      <c r="DD390" s="335"/>
      <c r="DE390" s="335"/>
      <c r="DF390" s="335"/>
      <c r="DG390" s="335"/>
      <c r="DH390" s="335"/>
      <c r="DI390" s="335"/>
      <c r="DJ390" s="335"/>
      <c r="DK390" s="335"/>
      <c r="DL390" s="335"/>
      <c r="DM390" s="335"/>
      <c r="DN390" s="335"/>
      <c r="DO390" s="335"/>
      <c r="DP390" s="335"/>
      <c r="DQ390" s="335"/>
      <c r="DR390" s="335"/>
      <c r="DS390" s="335"/>
      <c r="DT390" s="335"/>
      <c r="DU390" s="335"/>
      <c r="DV390" s="335"/>
      <c r="DW390" s="335"/>
      <c r="DX390" s="335"/>
      <c r="DY390" s="335"/>
      <c r="DZ390" s="335"/>
      <c r="EA390" s="335"/>
      <c r="EB390" s="335"/>
      <c r="EC390" s="335"/>
      <c r="ED390" s="335"/>
      <c r="EE390" s="335"/>
      <c r="EF390" s="335"/>
      <c r="EG390" s="335"/>
      <c r="EH390" s="335"/>
      <c r="EI390" s="335"/>
      <c r="EJ390" s="335"/>
      <c r="EK390" s="335"/>
      <c r="EL390" s="335"/>
      <c r="EM390" s="335"/>
      <c r="EN390" s="335"/>
      <c r="EO390" s="335"/>
      <c r="EP390" s="335"/>
      <c r="EQ390" s="335"/>
      <c r="ER390" s="335"/>
      <c r="ES390" s="335"/>
      <c r="ET390" s="335"/>
      <c r="EU390" s="335"/>
      <c r="EV390" s="335"/>
      <c r="EW390" s="335"/>
      <c r="EX390" s="335"/>
      <c r="EY390" s="335"/>
      <c r="EZ390" s="335"/>
      <c r="FA390" s="335"/>
      <c r="FB390" s="335"/>
      <c r="FC390" s="335"/>
      <c r="FD390" s="335"/>
      <c r="FE390" s="335"/>
      <c r="FF390" s="335"/>
      <c r="FG390" s="335"/>
      <c r="FH390" s="335"/>
      <c r="FI390" s="335"/>
      <c r="FJ390" s="335"/>
      <c r="FK390" s="335"/>
      <c r="FL390" s="335"/>
      <c r="FM390" s="335"/>
      <c r="FN390" s="335"/>
      <c r="FO390" s="335"/>
      <c r="FP390" s="335"/>
      <c r="FQ390" s="335"/>
      <c r="FR390" s="335"/>
      <c r="FS390" s="335"/>
      <c r="FT390" s="335"/>
      <c r="FU390" s="335"/>
      <c r="FV390" s="335"/>
      <c r="FW390" s="335"/>
      <c r="FX390" s="335"/>
      <c r="FY390" s="335"/>
      <c r="FZ390" s="335"/>
      <c r="GA390" s="335"/>
      <c r="GB390" s="335"/>
      <c r="GC390" s="335"/>
      <c r="GD390" s="335"/>
      <c r="GE390" s="335"/>
      <c r="GF390" s="335"/>
      <c r="GG390" s="335"/>
      <c r="GH390" s="335"/>
      <c r="GI390" s="335"/>
      <c r="GJ390" s="335"/>
      <c r="GK390" s="335"/>
      <c r="GL390" s="335"/>
      <c r="GM390" s="335"/>
      <c r="GN390" s="335"/>
      <c r="GO390" s="335"/>
      <c r="GP390" s="335"/>
      <c r="GQ390" s="335"/>
      <c r="GR390" s="335"/>
      <c r="GS390" s="335"/>
      <c r="GT390" s="335"/>
      <c r="GU390" s="335"/>
      <c r="GV390" s="335"/>
      <c r="GW390" s="335"/>
      <c r="GX390" s="335"/>
      <c r="GY390" s="335"/>
      <c r="GZ390" s="335"/>
    </row>
    <row r="391" spans="1:208" ht="15">
      <c r="A391" s="379"/>
      <c r="B391" s="335"/>
      <c r="C391" s="335"/>
      <c r="D391" s="335"/>
      <c r="E391" s="335"/>
      <c r="F391" s="335"/>
      <c r="G391" s="335"/>
      <c r="H391" s="335"/>
      <c r="I391" s="335"/>
      <c r="J391" s="335"/>
      <c r="K391" s="335"/>
      <c r="L391" s="335"/>
      <c r="M391" s="376"/>
      <c r="N391" s="335"/>
      <c r="O391" s="380"/>
      <c r="P391" s="335"/>
      <c r="Q391" s="335"/>
      <c r="R391" s="335"/>
      <c r="S391" s="335"/>
      <c r="T391" s="335"/>
      <c r="U391" s="335"/>
      <c r="V391" s="335"/>
      <c r="W391" s="335"/>
      <c r="X391" s="335"/>
      <c r="Y391" s="335"/>
      <c r="Z391" s="335"/>
      <c r="AA391" s="335"/>
      <c r="AB391" s="335"/>
      <c r="AC391" s="335"/>
      <c r="AD391" s="335"/>
      <c r="AE391" s="335"/>
      <c r="AF391" s="335"/>
      <c r="AG391" s="335"/>
      <c r="AH391" s="335"/>
      <c r="AI391" s="335"/>
      <c r="AJ391" s="335"/>
      <c r="AK391" s="335"/>
      <c r="AL391" s="335"/>
      <c r="AM391" s="335"/>
      <c r="AN391" s="335"/>
      <c r="AO391" s="335"/>
      <c r="AP391" s="335"/>
      <c r="AQ391" s="335"/>
      <c r="AR391" s="335"/>
      <c r="AS391" s="335"/>
      <c r="AT391" s="335"/>
      <c r="AU391" s="335"/>
      <c r="AV391" s="335"/>
      <c r="AW391" s="335"/>
      <c r="AX391" s="335"/>
      <c r="AY391" s="335"/>
      <c r="AZ391" s="335"/>
      <c r="BA391" s="335"/>
      <c r="BB391" s="335"/>
      <c r="BC391" s="335"/>
      <c r="BD391" s="335"/>
      <c r="BE391" s="335"/>
      <c r="BF391" s="335"/>
      <c r="BG391" s="335"/>
      <c r="BH391" s="335"/>
      <c r="BI391" s="335"/>
      <c r="BJ391" s="335"/>
      <c r="BK391" s="335"/>
      <c r="BL391" s="335"/>
      <c r="BM391" s="335"/>
      <c r="BN391" s="335"/>
      <c r="BO391" s="335"/>
      <c r="BP391" s="335"/>
      <c r="BQ391" s="335"/>
      <c r="BR391" s="335"/>
      <c r="BS391" s="335"/>
      <c r="BT391" s="335"/>
      <c r="BU391" s="335"/>
      <c r="BV391" s="335"/>
      <c r="BW391" s="335"/>
      <c r="BX391" s="335"/>
      <c r="BY391" s="335"/>
      <c r="BZ391" s="335"/>
      <c r="CA391" s="335"/>
      <c r="CB391" s="335"/>
      <c r="CC391" s="335"/>
      <c r="CD391" s="335"/>
      <c r="CE391" s="335"/>
      <c r="CF391" s="335"/>
      <c r="CG391" s="335"/>
      <c r="CH391" s="335"/>
      <c r="CI391" s="335"/>
      <c r="CJ391" s="335"/>
      <c r="CK391" s="335"/>
      <c r="CL391" s="335"/>
      <c r="CM391" s="335"/>
      <c r="CN391" s="335"/>
      <c r="CO391" s="335"/>
      <c r="CP391" s="335"/>
      <c r="CQ391" s="335"/>
      <c r="CR391" s="335"/>
      <c r="CS391" s="335"/>
      <c r="CT391" s="335"/>
      <c r="CU391" s="335"/>
      <c r="CV391" s="335"/>
      <c r="CW391" s="335"/>
      <c r="CX391" s="335"/>
      <c r="CY391" s="335"/>
      <c r="CZ391" s="335"/>
      <c r="DA391" s="335"/>
      <c r="DB391" s="335"/>
      <c r="DC391" s="335"/>
      <c r="DD391" s="335"/>
      <c r="DE391" s="335"/>
      <c r="DF391" s="335"/>
      <c r="DG391" s="335"/>
      <c r="DH391" s="335"/>
      <c r="DI391" s="335"/>
      <c r="DJ391" s="335"/>
      <c r="DK391" s="335"/>
      <c r="DL391" s="335"/>
      <c r="DM391" s="335"/>
      <c r="DN391" s="335"/>
      <c r="DO391" s="335"/>
      <c r="DP391" s="335"/>
      <c r="DQ391" s="335"/>
      <c r="DR391" s="335"/>
      <c r="DS391" s="335"/>
      <c r="DT391" s="335"/>
      <c r="DU391" s="335"/>
      <c r="DV391" s="335"/>
      <c r="DW391" s="335"/>
      <c r="DX391" s="335"/>
      <c r="DY391" s="335"/>
      <c r="DZ391" s="335"/>
      <c r="EA391" s="335"/>
      <c r="EB391" s="335"/>
      <c r="EC391" s="335"/>
      <c r="ED391" s="335"/>
      <c r="EE391" s="335"/>
      <c r="EF391" s="335"/>
      <c r="EG391" s="335"/>
      <c r="EH391" s="335"/>
      <c r="EI391" s="335"/>
      <c r="EJ391" s="335"/>
      <c r="EK391" s="335"/>
      <c r="EL391" s="335"/>
      <c r="EM391" s="335"/>
      <c r="EN391" s="335"/>
      <c r="EO391" s="335"/>
      <c r="EP391" s="335"/>
      <c r="EQ391" s="335"/>
      <c r="ER391" s="335"/>
      <c r="ES391" s="335"/>
      <c r="ET391" s="335"/>
      <c r="EU391" s="335"/>
      <c r="EV391" s="335"/>
      <c r="EW391" s="335"/>
      <c r="EX391" s="335"/>
      <c r="EY391" s="335"/>
      <c r="EZ391" s="335"/>
      <c r="FA391" s="335"/>
      <c r="FB391" s="335"/>
      <c r="FC391" s="335"/>
      <c r="FD391" s="335"/>
      <c r="FE391" s="335"/>
      <c r="FF391" s="335"/>
      <c r="FG391" s="335"/>
      <c r="FH391" s="335"/>
      <c r="FI391" s="335"/>
      <c r="FJ391" s="335"/>
      <c r="FK391" s="335"/>
      <c r="FL391" s="335"/>
      <c r="FM391" s="335"/>
      <c r="FN391" s="335"/>
      <c r="FO391" s="335"/>
      <c r="FP391" s="335"/>
      <c r="FQ391" s="335"/>
      <c r="FR391" s="335"/>
      <c r="FS391" s="335"/>
      <c r="FT391" s="335"/>
      <c r="FU391" s="335"/>
      <c r="FV391" s="335"/>
      <c r="FW391" s="335"/>
      <c r="FX391" s="335"/>
      <c r="FY391" s="335"/>
      <c r="FZ391" s="335"/>
      <c r="GA391" s="335"/>
      <c r="GB391" s="335"/>
      <c r="GC391" s="335"/>
      <c r="GD391" s="335"/>
      <c r="GE391" s="335"/>
      <c r="GF391" s="335"/>
      <c r="GG391" s="335"/>
      <c r="GH391" s="335"/>
      <c r="GI391" s="335"/>
      <c r="GJ391" s="335"/>
      <c r="GK391" s="335"/>
      <c r="GL391" s="335"/>
      <c r="GM391" s="335"/>
      <c r="GN391" s="335"/>
      <c r="GO391" s="335"/>
      <c r="GP391" s="335"/>
      <c r="GQ391" s="335"/>
      <c r="GR391" s="335"/>
      <c r="GS391" s="335"/>
      <c r="GT391" s="335"/>
      <c r="GU391" s="335"/>
      <c r="GV391" s="335"/>
      <c r="GW391" s="335"/>
      <c r="GX391" s="335"/>
      <c r="GY391" s="335"/>
      <c r="GZ391" s="335"/>
    </row>
    <row r="392" spans="1:208" ht="15">
      <c r="A392" s="379"/>
      <c r="B392" s="335"/>
      <c r="C392" s="335"/>
      <c r="D392" s="335"/>
      <c r="E392" s="335"/>
      <c r="F392" s="335"/>
      <c r="G392" s="335"/>
      <c r="H392" s="335"/>
      <c r="I392" s="335"/>
      <c r="J392" s="335"/>
      <c r="K392" s="335"/>
      <c r="L392" s="335"/>
      <c r="M392" s="376"/>
      <c r="N392" s="335"/>
      <c r="O392" s="380"/>
      <c r="P392" s="335"/>
      <c r="Q392" s="335"/>
      <c r="R392" s="335"/>
      <c r="S392" s="335"/>
      <c r="T392" s="335"/>
      <c r="U392" s="335"/>
      <c r="V392" s="335"/>
      <c r="W392" s="335"/>
      <c r="X392" s="335"/>
      <c r="Y392" s="335"/>
      <c r="Z392" s="335"/>
      <c r="AA392" s="335"/>
      <c r="AB392" s="335"/>
      <c r="AC392" s="335"/>
      <c r="AD392" s="335"/>
      <c r="AE392" s="335"/>
      <c r="AF392" s="335"/>
      <c r="AG392" s="335"/>
      <c r="AH392" s="335"/>
      <c r="AI392" s="335"/>
      <c r="AJ392" s="335"/>
      <c r="AK392" s="335"/>
      <c r="AL392" s="335"/>
      <c r="AM392" s="335"/>
      <c r="AN392" s="335"/>
      <c r="AO392" s="335"/>
      <c r="AP392" s="335"/>
      <c r="AQ392" s="335"/>
      <c r="AR392" s="335"/>
      <c r="AS392" s="335"/>
      <c r="AT392" s="335"/>
      <c r="AU392" s="335"/>
      <c r="AV392" s="335"/>
      <c r="AW392" s="335"/>
      <c r="AX392" s="335"/>
      <c r="AY392" s="335"/>
      <c r="AZ392" s="335"/>
      <c r="BA392" s="335"/>
      <c r="BB392" s="335"/>
      <c r="BC392" s="335"/>
      <c r="BD392" s="335"/>
      <c r="BE392" s="335"/>
      <c r="BF392" s="335"/>
      <c r="BG392" s="335"/>
      <c r="BH392" s="335"/>
      <c r="BI392" s="335"/>
      <c r="BJ392" s="335"/>
      <c r="BK392" s="335"/>
      <c r="BL392" s="335"/>
      <c r="BM392" s="335"/>
      <c r="BN392" s="335"/>
      <c r="BO392" s="335"/>
      <c r="BP392" s="335"/>
      <c r="BQ392" s="335"/>
      <c r="BR392" s="335"/>
      <c r="BS392" s="335"/>
      <c r="BT392" s="335"/>
      <c r="BU392" s="335"/>
      <c r="BV392" s="335"/>
      <c r="BW392" s="335"/>
      <c r="BX392" s="335"/>
      <c r="BY392" s="335"/>
      <c r="BZ392" s="335"/>
      <c r="CA392" s="335"/>
      <c r="CB392" s="335"/>
      <c r="CC392" s="335"/>
      <c r="CD392" s="335"/>
      <c r="CE392" s="335"/>
      <c r="CF392" s="335"/>
      <c r="CG392" s="335"/>
      <c r="CH392" s="335"/>
      <c r="CI392" s="335"/>
      <c r="CJ392" s="335"/>
      <c r="CK392" s="335"/>
      <c r="CL392" s="335"/>
      <c r="CM392" s="335"/>
      <c r="CN392" s="335"/>
      <c r="CO392" s="335"/>
      <c r="CP392" s="335"/>
      <c r="CQ392" s="335"/>
      <c r="CR392" s="335"/>
      <c r="CS392" s="335"/>
      <c r="CT392" s="335"/>
      <c r="CU392" s="335"/>
      <c r="CV392" s="335"/>
      <c r="CW392" s="335"/>
      <c r="CX392" s="335"/>
      <c r="CY392" s="335"/>
      <c r="CZ392" s="335"/>
      <c r="DA392" s="335"/>
      <c r="DB392" s="335"/>
      <c r="DC392" s="335"/>
      <c r="DD392" s="335"/>
      <c r="DE392" s="335"/>
      <c r="DF392" s="335"/>
      <c r="DG392" s="335"/>
      <c r="DH392" s="335"/>
      <c r="DI392" s="335"/>
      <c r="DJ392" s="335"/>
      <c r="DK392" s="335"/>
      <c r="DL392" s="335"/>
      <c r="DM392" s="335"/>
      <c r="DN392" s="335"/>
      <c r="DO392" s="335"/>
      <c r="DP392" s="335"/>
      <c r="DQ392" s="335"/>
      <c r="DR392" s="335"/>
      <c r="DS392" s="335"/>
      <c r="DT392" s="335"/>
      <c r="DU392" s="335"/>
      <c r="DV392" s="335"/>
      <c r="DW392" s="335"/>
      <c r="DX392" s="335"/>
      <c r="DY392" s="335"/>
      <c r="DZ392" s="335"/>
      <c r="EA392" s="335"/>
      <c r="EB392" s="335"/>
      <c r="EC392" s="335"/>
      <c r="ED392" s="335"/>
      <c r="EE392" s="335"/>
      <c r="EF392" s="335"/>
      <c r="EG392" s="335"/>
      <c r="EH392" s="335"/>
      <c r="EI392" s="335"/>
      <c r="EJ392" s="335"/>
      <c r="EK392" s="335"/>
      <c r="EL392" s="335"/>
      <c r="EM392" s="335"/>
      <c r="EN392" s="335"/>
      <c r="EO392" s="335"/>
      <c r="EP392" s="335"/>
      <c r="EQ392" s="335"/>
      <c r="ER392" s="335"/>
      <c r="ES392" s="335"/>
      <c r="ET392" s="335"/>
      <c r="EU392" s="335"/>
      <c r="EV392" s="335"/>
      <c r="EW392" s="335"/>
      <c r="EX392" s="335"/>
      <c r="EY392" s="335"/>
      <c r="EZ392" s="335"/>
      <c r="FA392" s="335"/>
      <c r="FB392" s="335"/>
      <c r="FC392" s="335"/>
      <c r="FD392" s="335"/>
      <c r="FE392" s="335"/>
      <c r="FF392" s="335"/>
      <c r="FG392" s="335"/>
      <c r="FH392" s="335"/>
      <c r="FI392" s="335"/>
      <c r="FJ392" s="335"/>
      <c r="FK392" s="335"/>
      <c r="FL392" s="335"/>
      <c r="FM392" s="335"/>
      <c r="FN392" s="335"/>
      <c r="FO392" s="335"/>
      <c r="FP392" s="335"/>
      <c r="FQ392" s="335"/>
      <c r="FR392" s="335"/>
      <c r="FS392" s="335"/>
      <c r="FT392" s="335"/>
      <c r="FU392" s="335"/>
      <c r="FV392" s="335"/>
      <c r="FW392" s="335"/>
      <c r="FX392" s="335"/>
      <c r="FY392" s="335"/>
      <c r="FZ392" s="335"/>
      <c r="GA392" s="335"/>
      <c r="GB392" s="335"/>
      <c r="GC392" s="335"/>
      <c r="GD392" s="335"/>
      <c r="GE392" s="335"/>
      <c r="GF392" s="335"/>
      <c r="GG392" s="335"/>
      <c r="GH392" s="335"/>
      <c r="GI392" s="335"/>
      <c r="GJ392" s="335"/>
      <c r="GK392" s="335"/>
      <c r="GL392" s="335"/>
      <c r="GM392" s="335"/>
      <c r="GN392" s="335"/>
      <c r="GO392" s="335"/>
      <c r="GP392" s="335"/>
      <c r="GQ392" s="335"/>
      <c r="GR392" s="335"/>
      <c r="GS392" s="335"/>
      <c r="GT392" s="335"/>
      <c r="GU392" s="335"/>
      <c r="GV392" s="335"/>
      <c r="GW392" s="335"/>
      <c r="GX392" s="335"/>
      <c r="GY392" s="335"/>
      <c r="GZ392" s="335"/>
    </row>
    <row r="393" spans="1:208" ht="15">
      <c r="A393" s="379"/>
      <c r="B393" s="335"/>
      <c r="C393" s="335"/>
      <c r="D393" s="335"/>
      <c r="E393" s="335"/>
      <c r="F393" s="335"/>
      <c r="G393" s="335"/>
      <c r="H393" s="335"/>
      <c r="I393" s="335"/>
      <c r="J393" s="335"/>
      <c r="K393" s="335"/>
      <c r="L393" s="335"/>
      <c r="M393" s="376"/>
      <c r="N393" s="335"/>
      <c r="O393" s="380"/>
      <c r="P393" s="335"/>
      <c r="Q393" s="335"/>
      <c r="R393" s="335"/>
      <c r="S393" s="335"/>
      <c r="T393" s="335"/>
      <c r="U393" s="335"/>
      <c r="V393" s="335"/>
      <c r="W393" s="335"/>
      <c r="X393" s="335"/>
      <c r="Y393" s="335"/>
      <c r="Z393" s="335"/>
      <c r="AA393" s="335"/>
      <c r="AB393" s="335"/>
      <c r="AC393" s="335"/>
      <c r="AD393" s="335"/>
      <c r="AE393" s="335"/>
      <c r="AF393" s="335"/>
      <c r="AG393" s="335"/>
      <c r="AH393" s="335"/>
      <c r="AI393" s="335"/>
      <c r="AJ393" s="335"/>
      <c r="AK393" s="335"/>
      <c r="AL393" s="335"/>
      <c r="AM393" s="335"/>
      <c r="AN393" s="335"/>
      <c r="AO393" s="335"/>
      <c r="AP393" s="335"/>
      <c r="AQ393" s="335"/>
      <c r="AR393" s="335"/>
      <c r="AS393" s="335"/>
      <c r="AT393" s="335"/>
      <c r="AU393" s="335"/>
      <c r="AV393" s="335"/>
      <c r="AW393" s="335"/>
      <c r="AX393" s="335"/>
      <c r="AY393" s="335"/>
      <c r="AZ393" s="335"/>
      <c r="BA393" s="335"/>
      <c r="BB393" s="335"/>
      <c r="BC393" s="335"/>
      <c r="BD393" s="335"/>
      <c r="BE393" s="335"/>
      <c r="BF393" s="335"/>
      <c r="BG393" s="335"/>
      <c r="BH393" s="335"/>
      <c r="BI393" s="335"/>
      <c r="BJ393" s="335"/>
      <c r="BK393" s="335"/>
      <c r="BL393" s="335"/>
      <c r="BM393" s="335"/>
      <c r="BN393" s="335"/>
      <c r="BO393" s="335"/>
      <c r="BP393" s="335"/>
      <c r="BQ393" s="335"/>
      <c r="BR393" s="335"/>
      <c r="BS393" s="335"/>
      <c r="BT393" s="335"/>
      <c r="BU393" s="335"/>
      <c r="BV393" s="335"/>
      <c r="BW393" s="335"/>
      <c r="BX393" s="335"/>
      <c r="BY393" s="335"/>
      <c r="BZ393" s="335"/>
      <c r="CA393" s="335"/>
      <c r="CB393" s="335"/>
      <c r="CC393" s="335"/>
      <c r="CD393" s="335"/>
      <c r="CE393" s="335"/>
      <c r="CF393" s="335"/>
      <c r="CG393" s="335"/>
      <c r="CH393" s="335"/>
      <c r="CI393" s="335"/>
      <c r="CJ393" s="335"/>
      <c r="CK393" s="335"/>
      <c r="CL393" s="335"/>
      <c r="CM393" s="335"/>
      <c r="CN393" s="335"/>
      <c r="CO393" s="335"/>
      <c r="CP393" s="335"/>
      <c r="CQ393" s="335"/>
      <c r="CR393" s="335"/>
      <c r="CS393" s="335"/>
      <c r="CT393" s="335"/>
      <c r="CU393" s="335"/>
      <c r="CV393" s="335"/>
      <c r="CW393" s="335"/>
      <c r="CX393" s="335"/>
      <c r="CY393" s="335"/>
      <c r="CZ393" s="335"/>
      <c r="DA393" s="335"/>
      <c r="DB393" s="335"/>
      <c r="DC393" s="335"/>
      <c r="DD393" s="335"/>
      <c r="DE393" s="335"/>
      <c r="DF393" s="335"/>
      <c r="DG393" s="335"/>
      <c r="DH393" s="335"/>
      <c r="DI393" s="335"/>
      <c r="DJ393" s="335"/>
      <c r="DK393" s="335"/>
      <c r="DL393" s="335"/>
      <c r="DM393" s="335"/>
      <c r="DN393" s="335"/>
      <c r="DO393" s="335"/>
      <c r="DP393" s="335"/>
      <c r="DQ393" s="335"/>
      <c r="DR393" s="335"/>
      <c r="DS393" s="335"/>
      <c r="DT393" s="335"/>
      <c r="DU393" s="335"/>
      <c r="DV393" s="335"/>
      <c r="DW393" s="335"/>
      <c r="DX393" s="335"/>
      <c r="DY393" s="335"/>
      <c r="DZ393" s="335"/>
      <c r="EA393" s="335"/>
      <c r="EB393" s="335"/>
      <c r="EC393" s="335"/>
      <c r="ED393" s="335"/>
      <c r="EE393" s="335"/>
      <c r="EF393" s="335"/>
      <c r="EG393" s="335"/>
      <c r="EH393" s="335"/>
      <c r="EI393" s="335"/>
      <c r="EJ393" s="335"/>
      <c r="EK393" s="335"/>
      <c r="EL393" s="335"/>
      <c r="EM393" s="335"/>
      <c r="EN393" s="335"/>
      <c r="EO393" s="335"/>
      <c r="EP393" s="335"/>
      <c r="EQ393" s="335"/>
      <c r="ER393" s="335"/>
      <c r="ES393" s="335"/>
      <c r="ET393" s="335"/>
      <c r="EU393" s="335"/>
      <c r="EV393" s="335"/>
      <c r="EW393" s="335"/>
      <c r="EX393" s="335"/>
      <c r="EY393" s="335"/>
      <c r="EZ393" s="335"/>
      <c r="FA393" s="335"/>
      <c r="FB393" s="335"/>
      <c r="FC393" s="335"/>
      <c r="FD393" s="335"/>
      <c r="FE393" s="335"/>
      <c r="FF393" s="335"/>
      <c r="FG393" s="335"/>
      <c r="FH393" s="335"/>
      <c r="FI393" s="335"/>
      <c r="FJ393" s="335"/>
      <c r="FK393" s="335"/>
      <c r="FL393" s="335"/>
      <c r="FM393" s="335"/>
      <c r="FN393" s="335"/>
      <c r="FO393" s="335"/>
      <c r="FP393" s="335"/>
      <c r="FQ393" s="335"/>
      <c r="FR393" s="335"/>
      <c r="FS393" s="335"/>
      <c r="FT393" s="335"/>
      <c r="FU393" s="335"/>
      <c r="FV393" s="335"/>
      <c r="FW393" s="335"/>
      <c r="FX393" s="335"/>
      <c r="FY393" s="335"/>
      <c r="FZ393" s="335"/>
      <c r="GA393" s="335"/>
      <c r="GB393" s="335"/>
      <c r="GC393" s="335"/>
      <c r="GD393" s="335"/>
      <c r="GE393" s="335"/>
      <c r="GF393" s="335"/>
      <c r="GG393" s="335"/>
      <c r="GH393" s="335"/>
      <c r="GI393" s="335"/>
      <c r="GJ393" s="335"/>
      <c r="GK393" s="335"/>
      <c r="GL393" s="335"/>
      <c r="GM393" s="335"/>
      <c r="GN393" s="335"/>
      <c r="GO393" s="335"/>
      <c r="GP393" s="335"/>
      <c r="GQ393" s="335"/>
      <c r="GR393" s="335"/>
      <c r="GS393" s="335"/>
      <c r="GT393" s="335"/>
      <c r="GU393" s="335"/>
      <c r="GV393" s="335"/>
      <c r="GW393" s="335"/>
      <c r="GX393" s="335"/>
      <c r="GY393" s="335"/>
      <c r="GZ393" s="335"/>
    </row>
    <row r="394" spans="1:208" ht="15">
      <c r="A394" s="379"/>
      <c r="B394" s="335"/>
      <c r="C394" s="335"/>
      <c r="D394" s="335"/>
      <c r="E394" s="335"/>
      <c r="F394" s="335"/>
      <c r="G394" s="335"/>
      <c r="H394" s="335"/>
      <c r="I394" s="335"/>
      <c r="J394" s="335"/>
      <c r="K394" s="335"/>
      <c r="L394" s="335"/>
      <c r="M394" s="376"/>
      <c r="N394" s="335"/>
      <c r="O394" s="380"/>
      <c r="P394" s="335"/>
      <c r="Q394" s="335"/>
      <c r="R394" s="335"/>
      <c r="S394" s="335"/>
      <c r="T394" s="335"/>
      <c r="U394" s="335"/>
      <c r="V394" s="335"/>
      <c r="W394" s="335"/>
      <c r="X394" s="335"/>
      <c r="Y394" s="335"/>
      <c r="Z394" s="335"/>
      <c r="AA394" s="335"/>
      <c r="AB394" s="335"/>
      <c r="AC394" s="335"/>
      <c r="AD394" s="335"/>
      <c r="AE394" s="335"/>
      <c r="AF394" s="335"/>
      <c r="AG394" s="335"/>
      <c r="AH394" s="335"/>
      <c r="AI394" s="335"/>
      <c r="AJ394" s="335"/>
      <c r="AK394" s="335"/>
      <c r="AL394" s="335"/>
      <c r="AM394" s="335"/>
      <c r="AN394" s="335"/>
      <c r="AO394" s="335"/>
      <c r="AP394" s="335"/>
      <c r="AQ394" s="335"/>
      <c r="AR394" s="335"/>
      <c r="AS394" s="335"/>
      <c r="AT394" s="335"/>
      <c r="AU394" s="335"/>
      <c r="AV394" s="335"/>
      <c r="AW394" s="335"/>
      <c r="AX394" s="335"/>
      <c r="AY394" s="335"/>
      <c r="AZ394" s="335"/>
      <c r="BA394" s="335"/>
      <c r="BB394" s="335"/>
      <c r="BC394" s="335"/>
      <c r="BD394" s="335"/>
      <c r="BE394" s="335"/>
      <c r="BF394" s="335"/>
      <c r="BG394" s="335"/>
      <c r="BH394" s="335"/>
      <c r="BI394" s="335"/>
      <c r="BJ394" s="335"/>
      <c r="BK394" s="335"/>
      <c r="BL394" s="335"/>
      <c r="BM394" s="335"/>
      <c r="BN394" s="335"/>
      <c r="BO394" s="335"/>
      <c r="BP394" s="335"/>
      <c r="BQ394" s="335"/>
      <c r="BR394" s="335"/>
      <c r="BS394" s="335"/>
      <c r="BT394" s="335"/>
      <c r="BU394" s="335"/>
      <c r="BV394" s="335"/>
      <c r="BW394" s="335"/>
      <c r="BX394" s="335"/>
      <c r="BY394" s="335"/>
      <c r="BZ394" s="335"/>
      <c r="CA394" s="335"/>
      <c r="CB394" s="335"/>
      <c r="CC394" s="335"/>
      <c r="CD394" s="335"/>
      <c r="CE394" s="335"/>
      <c r="CF394" s="335"/>
      <c r="CG394" s="335"/>
      <c r="CH394" s="335"/>
      <c r="CI394" s="335"/>
      <c r="CJ394" s="335"/>
      <c r="CK394" s="335"/>
      <c r="CL394" s="335"/>
      <c r="CM394" s="335"/>
      <c r="CN394" s="335"/>
      <c r="CO394" s="335"/>
      <c r="CP394" s="335"/>
      <c r="CQ394" s="335"/>
      <c r="CR394" s="335"/>
      <c r="CS394" s="335"/>
      <c r="CT394" s="335"/>
      <c r="CU394" s="335"/>
      <c r="CV394" s="335"/>
      <c r="CW394" s="335"/>
      <c r="CX394" s="335"/>
      <c r="CY394" s="335"/>
      <c r="CZ394" s="335"/>
      <c r="DA394" s="335"/>
      <c r="DB394" s="335"/>
      <c r="DC394" s="335"/>
      <c r="DD394" s="335"/>
      <c r="DE394" s="335"/>
      <c r="DF394" s="335"/>
      <c r="DG394" s="335"/>
      <c r="DH394" s="335"/>
      <c r="DI394" s="335"/>
      <c r="DJ394" s="335"/>
      <c r="DK394" s="335"/>
      <c r="DL394" s="335"/>
      <c r="DM394" s="335"/>
      <c r="DN394" s="335"/>
      <c r="DO394" s="335"/>
      <c r="DP394" s="335"/>
      <c r="DQ394" s="335"/>
      <c r="DR394" s="335"/>
      <c r="DS394" s="335"/>
      <c r="DT394" s="335"/>
      <c r="DU394" s="335"/>
      <c r="DV394" s="335"/>
      <c r="DW394" s="335"/>
      <c r="DX394" s="335"/>
      <c r="DY394" s="335"/>
      <c r="DZ394" s="335"/>
      <c r="EA394" s="335"/>
      <c r="EB394" s="335"/>
      <c r="EC394" s="335"/>
      <c r="ED394" s="335"/>
      <c r="EE394" s="335"/>
      <c r="EF394" s="335"/>
      <c r="EG394" s="335"/>
      <c r="EH394" s="335"/>
      <c r="EI394" s="335"/>
      <c r="EJ394" s="335"/>
      <c r="EK394" s="335"/>
      <c r="EL394" s="335"/>
      <c r="EM394" s="335"/>
      <c r="EN394" s="335"/>
      <c r="EO394" s="335"/>
      <c r="EP394" s="335"/>
      <c r="EQ394" s="335"/>
      <c r="ER394" s="335"/>
      <c r="ES394" s="335"/>
      <c r="ET394" s="335"/>
      <c r="EU394" s="335"/>
      <c r="EV394" s="335"/>
      <c r="EW394" s="335"/>
      <c r="EX394" s="335"/>
      <c r="EY394" s="335"/>
      <c r="EZ394" s="335"/>
      <c r="FA394" s="335"/>
      <c r="FB394" s="335"/>
      <c r="FC394" s="335"/>
      <c r="FD394" s="335"/>
      <c r="FE394" s="335"/>
      <c r="FF394" s="335"/>
      <c r="FG394" s="335"/>
      <c r="FH394" s="335"/>
      <c r="FI394" s="335"/>
      <c r="FJ394" s="335"/>
      <c r="FK394" s="335"/>
      <c r="FL394" s="335"/>
      <c r="FM394" s="335"/>
      <c r="FN394" s="335"/>
      <c r="FO394" s="335"/>
      <c r="FP394" s="335"/>
      <c r="FQ394" s="335"/>
      <c r="FR394" s="335"/>
      <c r="FS394" s="335"/>
      <c r="FT394" s="335"/>
      <c r="FU394" s="335"/>
      <c r="FV394" s="335"/>
      <c r="FW394" s="335"/>
      <c r="FX394" s="335"/>
      <c r="FY394" s="335"/>
      <c r="FZ394" s="335"/>
      <c r="GA394" s="335"/>
      <c r="GB394" s="335"/>
      <c r="GC394" s="335"/>
      <c r="GD394" s="335"/>
      <c r="GE394" s="335"/>
      <c r="GF394" s="335"/>
      <c r="GG394" s="335"/>
      <c r="GH394" s="335"/>
      <c r="GI394" s="335"/>
      <c r="GJ394" s="335"/>
      <c r="GK394" s="335"/>
      <c r="GL394" s="335"/>
      <c r="GM394" s="335"/>
      <c r="GN394" s="335"/>
      <c r="GO394" s="335"/>
      <c r="GP394" s="335"/>
      <c r="GQ394" s="335"/>
      <c r="GR394" s="335"/>
      <c r="GS394" s="335"/>
      <c r="GT394" s="335"/>
      <c r="GU394" s="335"/>
      <c r="GV394" s="335"/>
      <c r="GW394" s="335"/>
      <c r="GX394" s="335"/>
      <c r="GY394" s="335"/>
      <c r="GZ394" s="335"/>
    </row>
    <row r="395" spans="1:208" ht="15">
      <c r="A395" s="379"/>
      <c r="B395" s="335"/>
      <c r="C395" s="335"/>
      <c r="D395" s="335"/>
      <c r="E395" s="335"/>
      <c r="F395" s="335"/>
      <c r="G395" s="335"/>
      <c r="H395" s="335"/>
      <c r="I395" s="335"/>
      <c r="J395" s="335"/>
      <c r="K395" s="335"/>
      <c r="L395" s="335"/>
      <c r="M395" s="376"/>
      <c r="N395" s="335"/>
      <c r="O395" s="380"/>
      <c r="P395" s="335"/>
      <c r="Q395" s="335"/>
      <c r="R395" s="335"/>
      <c r="S395" s="335"/>
      <c r="T395" s="335"/>
      <c r="U395" s="335"/>
      <c r="V395" s="335"/>
      <c r="W395" s="335"/>
      <c r="X395" s="335"/>
      <c r="Y395" s="335"/>
      <c r="Z395" s="335"/>
      <c r="AA395" s="335"/>
      <c r="AB395" s="335"/>
      <c r="AC395" s="335"/>
      <c r="AD395" s="335"/>
      <c r="AE395" s="335"/>
      <c r="AF395" s="335"/>
      <c r="AG395" s="335"/>
      <c r="AH395" s="335"/>
      <c r="AI395" s="335"/>
      <c r="AJ395" s="335"/>
      <c r="AK395" s="335"/>
      <c r="AL395" s="335"/>
      <c r="AM395" s="335"/>
      <c r="AN395" s="335"/>
      <c r="AO395" s="335"/>
      <c r="AP395" s="335"/>
      <c r="AQ395" s="335"/>
      <c r="AR395" s="335"/>
      <c r="AS395" s="335"/>
      <c r="AT395" s="335"/>
      <c r="AU395" s="335"/>
      <c r="AV395" s="335"/>
      <c r="AW395" s="335"/>
      <c r="AX395" s="335"/>
      <c r="AY395" s="335"/>
      <c r="AZ395" s="335"/>
      <c r="BA395" s="335"/>
      <c r="BB395" s="335"/>
      <c r="BC395" s="335"/>
      <c r="BD395" s="335"/>
      <c r="BE395" s="335"/>
      <c r="BF395" s="335"/>
      <c r="BG395" s="335"/>
      <c r="BH395" s="335"/>
      <c r="BI395" s="335"/>
      <c r="BJ395" s="335"/>
      <c r="BK395" s="335"/>
      <c r="BL395" s="335"/>
      <c r="BM395" s="335"/>
      <c r="BN395" s="335"/>
      <c r="BO395" s="335"/>
      <c r="BP395" s="335"/>
      <c r="BQ395" s="335"/>
      <c r="BR395" s="335"/>
      <c r="BS395" s="335"/>
      <c r="BT395" s="335"/>
      <c r="BU395" s="335"/>
      <c r="BV395" s="335"/>
      <c r="BW395" s="335"/>
      <c r="BX395" s="335"/>
      <c r="BY395" s="335"/>
      <c r="BZ395" s="335"/>
      <c r="CA395" s="335"/>
      <c r="CB395" s="335"/>
      <c r="CC395" s="335"/>
      <c r="CD395" s="335"/>
      <c r="CE395" s="335"/>
      <c r="CF395" s="335"/>
      <c r="CG395" s="335"/>
      <c r="CH395" s="335"/>
      <c r="CI395" s="335"/>
      <c r="CJ395" s="335"/>
      <c r="CK395" s="335"/>
      <c r="CL395" s="335"/>
      <c r="CM395" s="335"/>
      <c r="CN395" s="335"/>
      <c r="CO395" s="335"/>
      <c r="CP395" s="335"/>
      <c r="CQ395" s="335"/>
      <c r="CR395" s="335"/>
      <c r="CS395" s="335"/>
      <c r="CT395" s="335"/>
      <c r="CU395" s="335"/>
      <c r="CV395" s="335"/>
      <c r="CW395" s="335"/>
      <c r="CX395" s="335"/>
      <c r="CY395" s="335"/>
      <c r="CZ395" s="335"/>
      <c r="DA395" s="335"/>
      <c r="DB395" s="335"/>
      <c r="DC395" s="335"/>
      <c r="DD395" s="335"/>
      <c r="DE395" s="335"/>
      <c r="DF395" s="335"/>
      <c r="DG395" s="335"/>
      <c r="DH395" s="335"/>
      <c r="DI395" s="335"/>
      <c r="DJ395" s="335"/>
      <c r="DK395" s="335"/>
      <c r="DL395" s="335"/>
      <c r="DM395" s="335"/>
      <c r="DN395" s="335"/>
      <c r="DO395" s="335"/>
      <c r="DP395" s="335"/>
      <c r="DQ395" s="335"/>
      <c r="DR395" s="335"/>
      <c r="DS395" s="335"/>
      <c r="DT395" s="335"/>
      <c r="DU395" s="335"/>
      <c r="DV395" s="335"/>
      <c r="DW395" s="335"/>
      <c r="DX395" s="335"/>
      <c r="DY395" s="335"/>
      <c r="DZ395" s="335"/>
      <c r="EA395" s="335"/>
      <c r="EB395" s="335"/>
      <c r="EC395" s="335"/>
      <c r="ED395" s="335"/>
      <c r="EE395" s="335"/>
      <c r="EF395" s="335"/>
      <c r="EG395" s="335"/>
      <c r="EH395" s="335"/>
      <c r="EI395" s="335"/>
      <c r="EJ395" s="335"/>
      <c r="EK395" s="335"/>
      <c r="EL395" s="335"/>
      <c r="EM395" s="335"/>
      <c r="EN395" s="335"/>
      <c r="EO395" s="335"/>
      <c r="EP395" s="335"/>
      <c r="EQ395" s="335"/>
      <c r="ER395" s="335"/>
      <c r="ES395" s="335"/>
      <c r="ET395" s="335"/>
      <c r="EU395" s="335"/>
      <c r="EV395" s="335"/>
      <c r="EW395" s="335"/>
      <c r="EX395" s="335"/>
      <c r="EY395" s="335"/>
      <c r="EZ395" s="335"/>
      <c r="FA395" s="335"/>
      <c r="FB395" s="335"/>
      <c r="FC395" s="335"/>
      <c r="FD395" s="335"/>
      <c r="FE395" s="335"/>
      <c r="FF395" s="335"/>
      <c r="FG395" s="335"/>
      <c r="FH395" s="335"/>
      <c r="FI395" s="335"/>
      <c r="FJ395" s="335"/>
      <c r="FK395" s="335"/>
      <c r="FL395" s="335"/>
      <c r="FM395" s="335"/>
      <c r="FN395" s="335"/>
      <c r="FO395" s="335"/>
      <c r="FP395" s="335"/>
      <c r="FQ395" s="335"/>
      <c r="FR395" s="335"/>
      <c r="FS395" s="335"/>
      <c r="FT395" s="335"/>
      <c r="FU395" s="335"/>
      <c r="FV395" s="335"/>
      <c r="FW395" s="335"/>
      <c r="FX395" s="335"/>
      <c r="FY395" s="335"/>
      <c r="FZ395" s="335"/>
      <c r="GA395" s="335"/>
      <c r="GB395" s="335"/>
      <c r="GC395" s="335"/>
      <c r="GD395" s="335"/>
      <c r="GE395" s="335"/>
      <c r="GF395" s="335"/>
      <c r="GG395" s="335"/>
      <c r="GH395" s="335"/>
      <c r="GI395" s="335"/>
      <c r="GJ395" s="335"/>
      <c r="GK395" s="335"/>
      <c r="GL395" s="335"/>
      <c r="GM395" s="335"/>
      <c r="GN395" s="335"/>
      <c r="GO395" s="335"/>
      <c r="GP395" s="335"/>
      <c r="GQ395" s="335"/>
      <c r="GR395" s="335"/>
      <c r="GS395" s="335"/>
      <c r="GT395" s="335"/>
      <c r="GU395" s="335"/>
      <c r="GV395" s="335"/>
      <c r="GW395" s="335"/>
      <c r="GX395" s="335"/>
      <c r="GY395" s="335"/>
      <c r="GZ395" s="335"/>
    </row>
    <row r="396" spans="1:208" ht="15">
      <c r="A396" s="379"/>
      <c r="B396" s="335"/>
      <c r="C396" s="335"/>
      <c r="D396" s="335"/>
      <c r="E396" s="335"/>
      <c r="F396" s="335"/>
      <c r="G396" s="335"/>
      <c r="H396" s="335"/>
      <c r="I396" s="335"/>
      <c r="J396" s="335"/>
      <c r="K396" s="335"/>
      <c r="L396" s="335"/>
      <c r="M396" s="376"/>
      <c r="N396" s="335"/>
      <c r="O396" s="380"/>
      <c r="P396" s="335"/>
      <c r="Q396" s="335"/>
      <c r="R396" s="335"/>
      <c r="S396" s="335"/>
      <c r="T396" s="335"/>
      <c r="U396" s="335"/>
      <c r="V396" s="335"/>
      <c r="W396" s="335"/>
      <c r="X396" s="335"/>
      <c r="Y396" s="335"/>
      <c r="Z396" s="335"/>
      <c r="AA396" s="335"/>
      <c r="AB396" s="335"/>
      <c r="AC396" s="335"/>
      <c r="AD396" s="335"/>
      <c r="AE396" s="335"/>
      <c r="AF396" s="335"/>
      <c r="AG396" s="335"/>
      <c r="AH396" s="335"/>
      <c r="AI396" s="335"/>
      <c r="AJ396" s="335"/>
      <c r="AK396" s="335"/>
      <c r="AL396" s="335"/>
      <c r="AM396" s="335"/>
      <c r="AN396" s="335"/>
      <c r="AO396" s="335"/>
      <c r="AP396" s="335"/>
      <c r="AQ396" s="335"/>
      <c r="AR396" s="335"/>
      <c r="AS396" s="335"/>
      <c r="AT396" s="335"/>
      <c r="AU396" s="335"/>
      <c r="AV396" s="335"/>
      <c r="AW396" s="335"/>
      <c r="AX396" s="335"/>
      <c r="AY396" s="335"/>
      <c r="AZ396" s="335"/>
      <c r="BA396" s="335"/>
      <c r="BB396" s="335"/>
      <c r="BC396" s="335"/>
      <c r="BD396" s="335"/>
      <c r="BE396" s="335"/>
      <c r="BF396" s="335"/>
      <c r="BG396" s="335"/>
      <c r="BH396" s="335"/>
      <c r="BI396" s="335"/>
      <c r="BJ396" s="335"/>
      <c r="BK396" s="335"/>
      <c r="BL396" s="335"/>
      <c r="BM396" s="335"/>
      <c r="BN396" s="335"/>
      <c r="BO396" s="335"/>
      <c r="BP396" s="335"/>
      <c r="BQ396" s="335"/>
      <c r="BR396" s="335"/>
      <c r="BS396" s="335"/>
      <c r="BT396" s="335"/>
      <c r="BU396" s="335"/>
      <c r="BV396" s="335"/>
      <c r="BW396" s="335"/>
      <c r="BX396" s="335"/>
      <c r="BY396" s="335"/>
      <c r="BZ396" s="335"/>
      <c r="CA396" s="335"/>
      <c r="CB396" s="335"/>
      <c r="CC396" s="335"/>
      <c r="CD396" s="335"/>
      <c r="CE396" s="335"/>
      <c r="CF396" s="335"/>
      <c r="CG396" s="335"/>
      <c r="CH396" s="335"/>
      <c r="CI396" s="335"/>
      <c r="CJ396" s="335"/>
      <c r="CK396" s="335"/>
      <c r="CL396" s="335"/>
      <c r="CM396" s="335"/>
      <c r="CN396" s="335"/>
      <c r="CO396" s="335"/>
      <c r="CP396" s="335"/>
      <c r="CQ396" s="335"/>
      <c r="CR396" s="335"/>
      <c r="CS396" s="335"/>
      <c r="CT396" s="335"/>
      <c r="CU396" s="335"/>
      <c r="CV396" s="335"/>
      <c r="CW396" s="335"/>
      <c r="CX396" s="335"/>
      <c r="CY396" s="335"/>
      <c r="CZ396" s="335"/>
      <c r="DA396" s="335"/>
      <c r="DB396" s="335"/>
      <c r="DC396" s="335"/>
      <c r="DD396" s="335"/>
      <c r="DE396" s="335"/>
      <c r="DF396" s="335"/>
      <c r="DG396" s="335"/>
      <c r="DH396" s="335"/>
      <c r="DI396" s="335"/>
      <c r="DJ396" s="335"/>
      <c r="DK396" s="335"/>
      <c r="DL396" s="335"/>
      <c r="DM396" s="335"/>
      <c r="DN396" s="335"/>
      <c r="DO396" s="335"/>
      <c r="DP396" s="335"/>
      <c r="DQ396" s="335"/>
      <c r="DR396" s="335"/>
      <c r="DS396" s="335"/>
      <c r="DT396" s="335"/>
      <c r="DU396" s="335"/>
      <c r="DV396" s="335"/>
      <c r="DW396" s="335"/>
      <c r="DX396" s="335"/>
      <c r="DY396" s="335"/>
      <c r="DZ396" s="335"/>
      <c r="EA396" s="335"/>
      <c r="EB396" s="335"/>
      <c r="EC396" s="335"/>
      <c r="ED396" s="335"/>
      <c r="EE396" s="335"/>
      <c r="EF396" s="335"/>
      <c r="EG396" s="335"/>
      <c r="EH396" s="335"/>
      <c r="EI396" s="335"/>
      <c r="EJ396" s="335"/>
      <c r="EK396" s="335"/>
      <c r="EL396" s="335"/>
      <c r="EM396" s="335"/>
      <c r="EN396" s="335"/>
      <c r="EO396" s="335"/>
      <c r="EP396" s="335"/>
      <c r="EQ396" s="335"/>
      <c r="ER396" s="335"/>
      <c r="ES396" s="335"/>
      <c r="ET396" s="335"/>
      <c r="EU396" s="335"/>
      <c r="EV396" s="335"/>
      <c r="EW396" s="335"/>
      <c r="EX396" s="335"/>
      <c r="EY396" s="335"/>
      <c r="EZ396" s="335"/>
      <c r="FA396" s="335"/>
      <c r="FB396" s="335"/>
      <c r="FC396" s="335"/>
      <c r="FD396" s="335"/>
      <c r="FE396" s="335"/>
      <c r="FF396" s="335"/>
      <c r="FG396" s="335"/>
      <c r="FH396" s="335"/>
      <c r="FI396" s="335"/>
      <c r="FJ396" s="335"/>
      <c r="FK396" s="335"/>
      <c r="FL396" s="335"/>
      <c r="FM396" s="335"/>
      <c r="FN396" s="335"/>
      <c r="FO396" s="335"/>
      <c r="FP396" s="335"/>
      <c r="FQ396" s="335"/>
      <c r="FR396" s="335"/>
      <c r="FS396" s="335"/>
      <c r="FT396" s="335"/>
      <c r="FU396" s="335"/>
      <c r="FV396" s="335"/>
      <c r="FW396" s="335"/>
      <c r="FX396" s="335"/>
      <c r="FY396" s="335"/>
      <c r="FZ396" s="335"/>
      <c r="GA396" s="335"/>
      <c r="GB396" s="335"/>
      <c r="GC396" s="335"/>
      <c r="GD396" s="335"/>
      <c r="GE396" s="335"/>
      <c r="GF396" s="335"/>
      <c r="GG396" s="335"/>
      <c r="GH396" s="335"/>
      <c r="GI396" s="335"/>
      <c r="GJ396" s="335"/>
      <c r="GK396" s="335"/>
      <c r="GL396" s="335"/>
      <c r="GM396" s="335"/>
      <c r="GN396" s="335"/>
      <c r="GO396" s="335"/>
      <c r="GP396" s="335"/>
      <c r="GQ396" s="335"/>
      <c r="GR396" s="335"/>
      <c r="GS396" s="335"/>
      <c r="GT396" s="335"/>
      <c r="GU396" s="335"/>
      <c r="GV396" s="335"/>
      <c r="GW396" s="335"/>
      <c r="GX396" s="335"/>
      <c r="GY396" s="335"/>
      <c r="GZ396" s="335"/>
    </row>
    <row r="397" spans="1:208" ht="15">
      <c r="A397" s="379"/>
      <c r="B397" s="335"/>
      <c r="C397" s="335"/>
      <c r="D397" s="335"/>
      <c r="E397" s="335"/>
      <c r="F397" s="335"/>
      <c r="G397" s="335"/>
      <c r="H397" s="335"/>
      <c r="I397" s="335"/>
      <c r="J397" s="335"/>
      <c r="K397" s="335"/>
      <c r="L397" s="335"/>
      <c r="M397" s="376"/>
      <c r="N397" s="335"/>
      <c r="O397" s="380"/>
      <c r="P397" s="335"/>
      <c r="Q397" s="335"/>
      <c r="R397" s="335"/>
      <c r="S397" s="335"/>
      <c r="T397" s="335"/>
      <c r="U397" s="335"/>
      <c r="V397" s="335"/>
      <c r="W397" s="335"/>
      <c r="X397" s="335"/>
      <c r="Y397" s="335"/>
      <c r="Z397" s="335"/>
      <c r="AA397" s="335"/>
      <c r="AB397" s="335"/>
      <c r="AC397" s="335"/>
      <c r="AD397" s="335"/>
      <c r="AE397" s="335"/>
      <c r="AF397" s="335"/>
      <c r="AG397" s="335"/>
      <c r="AH397" s="335"/>
      <c r="AI397" s="335"/>
      <c r="AJ397" s="335"/>
      <c r="AK397" s="335"/>
      <c r="AL397" s="335"/>
      <c r="AM397" s="335"/>
      <c r="AN397" s="335"/>
      <c r="AO397" s="335"/>
      <c r="AP397" s="335"/>
      <c r="AQ397" s="335"/>
      <c r="AR397" s="335"/>
      <c r="AS397" s="335"/>
      <c r="AT397" s="335"/>
      <c r="AU397" s="335"/>
      <c r="AV397" s="335"/>
      <c r="AW397" s="335"/>
      <c r="AX397" s="335"/>
      <c r="AY397" s="335"/>
      <c r="AZ397" s="335"/>
      <c r="BA397" s="335"/>
      <c r="BB397" s="335"/>
      <c r="BC397" s="335"/>
      <c r="BD397" s="335"/>
      <c r="BE397" s="335"/>
      <c r="BF397" s="335"/>
      <c r="BG397" s="335"/>
      <c r="BH397" s="335"/>
      <c r="BI397" s="335"/>
      <c r="BJ397" s="335"/>
      <c r="BK397" s="335"/>
      <c r="BL397" s="335"/>
      <c r="BM397" s="335"/>
      <c r="BN397" s="335"/>
      <c r="BO397" s="335"/>
      <c r="BP397" s="335"/>
      <c r="BQ397" s="335"/>
      <c r="BR397" s="335"/>
      <c r="BS397" s="335"/>
      <c r="BT397" s="335"/>
      <c r="BU397" s="335"/>
      <c r="BV397" s="335"/>
      <c r="BW397" s="335"/>
      <c r="BX397" s="335"/>
      <c r="BY397" s="335"/>
      <c r="BZ397" s="335"/>
      <c r="CA397" s="335"/>
      <c r="CB397" s="335"/>
      <c r="CC397" s="335"/>
      <c r="CD397" s="335"/>
      <c r="CE397" s="335"/>
      <c r="CF397" s="335"/>
      <c r="CG397" s="335"/>
      <c r="CH397" s="335"/>
      <c r="CI397" s="335"/>
      <c r="CJ397" s="335"/>
      <c r="CK397" s="335"/>
      <c r="CL397" s="335"/>
      <c r="CM397" s="335"/>
      <c r="CN397" s="335"/>
      <c r="CO397" s="335"/>
      <c r="CP397" s="335"/>
      <c r="CQ397" s="335"/>
      <c r="CR397" s="335"/>
      <c r="CS397" s="335"/>
      <c r="CT397" s="335"/>
      <c r="CU397" s="335"/>
      <c r="CV397" s="335"/>
      <c r="CW397" s="335"/>
      <c r="CX397" s="335"/>
      <c r="CY397" s="335"/>
      <c r="CZ397" s="335"/>
      <c r="DA397" s="335"/>
      <c r="DB397" s="335"/>
      <c r="DC397" s="335"/>
      <c r="DD397" s="335"/>
      <c r="DE397" s="335"/>
      <c r="DF397" s="335"/>
      <c r="DG397" s="335"/>
      <c r="DH397" s="335"/>
      <c r="DI397" s="335"/>
      <c r="DJ397" s="335"/>
      <c r="DK397" s="335"/>
      <c r="DL397" s="335"/>
      <c r="DM397" s="335"/>
      <c r="DN397" s="335"/>
      <c r="DO397" s="335"/>
      <c r="DP397" s="335"/>
      <c r="DQ397" s="335"/>
      <c r="DR397" s="335"/>
      <c r="DS397" s="335"/>
      <c r="DT397" s="335"/>
      <c r="DU397" s="335"/>
      <c r="DV397" s="335"/>
      <c r="DW397" s="335"/>
      <c r="DX397" s="335"/>
      <c r="DY397" s="335"/>
      <c r="DZ397" s="335"/>
      <c r="EA397" s="335"/>
      <c r="EB397" s="335"/>
      <c r="EC397" s="335"/>
      <c r="ED397" s="335"/>
      <c r="EE397" s="335"/>
      <c r="EF397" s="335"/>
      <c r="EG397" s="335"/>
      <c r="EH397" s="335"/>
      <c r="EI397" s="335"/>
      <c r="EJ397" s="335"/>
      <c r="EK397" s="335"/>
      <c r="EL397" s="335"/>
      <c r="EM397" s="335"/>
      <c r="EN397" s="335"/>
      <c r="EO397" s="335"/>
      <c r="EP397" s="335"/>
      <c r="EQ397" s="335"/>
      <c r="ER397" s="335"/>
      <c r="ES397" s="335"/>
      <c r="ET397" s="335"/>
      <c r="EU397" s="335"/>
      <c r="EV397" s="335"/>
      <c r="EW397" s="335"/>
      <c r="EX397" s="335"/>
      <c r="EY397" s="335"/>
      <c r="EZ397" s="335"/>
      <c r="FA397" s="335"/>
      <c r="FB397" s="335"/>
      <c r="FC397" s="335"/>
      <c r="FD397" s="335"/>
      <c r="FE397" s="335"/>
      <c r="FF397" s="335"/>
      <c r="FG397" s="335"/>
      <c r="FH397" s="335"/>
      <c r="FI397" s="335"/>
      <c r="FJ397" s="335"/>
      <c r="FK397" s="335"/>
      <c r="FL397" s="335"/>
      <c r="FM397" s="335"/>
      <c r="FN397" s="335"/>
      <c r="FO397" s="335"/>
      <c r="FP397" s="335"/>
      <c r="FQ397" s="335"/>
      <c r="FR397" s="335"/>
      <c r="FS397" s="335"/>
      <c r="FT397" s="335"/>
      <c r="FU397" s="335"/>
      <c r="FV397" s="335"/>
      <c r="FW397" s="335"/>
      <c r="FX397" s="335"/>
      <c r="FY397" s="335"/>
      <c r="FZ397" s="335"/>
      <c r="GA397" s="335"/>
      <c r="GB397" s="335"/>
      <c r="GC397" s="335"/>
      <c r="GD397" s="335"/>
      <c r="GE397" s="335"/>
      <c r="GF397" s="335"/>
      <c r="GG397" s="335"/>
      <c r="GH397" s="335"/>
      <c r="GI397" s="335"/>
      <c r="GJ397" s="335"/>
      <c r="GK397" s="335"/>
      <c r="GL397" s="335"/>
      <c r="GM397" s="335"/>
      <c r="GN397" s="335"/>
      <c r="GO397" s="335"/>
      <c r="GP397" s="335"/>
      <c r="GQ397" s="335"/>
      <c r="GR397" s="335"/>
      <c r="GS397" s="335"/>
      <c r="GT397" s="335"/>
      <c r="GU397" s="335"/>
      <c r="GV397" s="335"/>
      <c r="GW397" s="335"/>
      <c r="GX397" s="335"/>
      <c r="GY397" s="335"/>
      <c r="GZ397" s="335"/>
    </row>
    <row r="398" spans="1:208" ht="15">
      <c r="A398" s="379"/>
      <c r="B398" s="335"/>
      <c r="C398" s="335"/>
      <c r="D398" s="335"/>
      <c r="E398" s="335"/>
      <c r="F398" s="335"/>
      <c r="G398" s="335"/>
      <c r="H398" s="335"/>
      <c r="I398" s="335"/>
      <c r="J398" s="335"/>
      <c r="K398" s="335"/>
      <c r="L398" s="335"/>
      <c r="M398" s="376"/>
      <c r="N398" s="335"/>
      <c r="O398" s="380"/>
      <c r="P398" s="335"/>
      <c r="Q398" s="335"/>
      <c r="R398" s="335"/>
      <c r="S398" s="335"/>
      <c r="T398" s="335"/>
      <c r="U398" s="335"/>
      <c r="V398" s="335"/>
      <c r="W398" s="335"/>
      <c r="X398" s="335"/>
      <c r="Y398" s="335"/>
      <c r="Z398" s="335"/>
      <c r="AA398" s="335"/>
      <c r="AB398" s="335"/>
      <c r="AC398" s="335"/>
      <c r="AD398" s="335"/>
      <c r="AE398" s="335"/>
      <c r="AF398" s="335"/>
      <c r="AG398" s="335"/>
      <c r="AH398" s="335"/>
      <c r="AI398" s="335"/>
      <c r="AJ398" s="335"/>
      <c r="AK398" s="335"/>
      <c r="AL398" s="335"/>
      <c r="AM398" s="335"/>
      <c r="AN398" s="335"/>
      <c r="AO398" s="335"/>
      <c r="AP398" s="335"/>
      <c r="AQ398" s="335"/>
      <c r="AR398" s="335"/>
      <c r="AS398" s="335"/>
      <c r="AT398" s="335"/>
      <c r="AU398" s="335"/>
      <c r="AV398" s="335"/>
      <c r="AW398" s="335"/>
      <c r="AX398" s="335"/>
      <c r="AY398" s="335"/>
      <c r="AZ398" s="335"/>
      <c r="BA398" s="335"/>
      <c r="BB398" s="335"/>
      <c r="BC398" s="335"/>
      <c r="BD398" s="335"/>
      <c r="BE398" s="335"/>
      <c r="BF398" s="335"/>
      <c r="BG398" s="335"/>
      <c r="BH398" s="335"/>
      <c r="BI398" s="335"/>
      <c r="BJ398" s="335"/>
      <c r="BK398" s="335"/>
      <c r="BL398" s="335"/>
      <c r="BM398" s="335"/>
      <c r="BN398" s="335"/>
      <c r="BO398" s="335"/>
      <c r="BP398" s="335"/>
      <c r="BQ398" s="335"/>
      <c r="BR398" s="335"/>
      <c r="BS398" s="335"/>
      <c r="BT398" s="335"/>
      <c r="BU398" s="335"/>
      <c r="BV398" s="335"/>
      <c r="BW398" s="335"/>
      <c r="BX398" s="335"/>
      <c r="BY398" s="335"/>
      <c r="BZ398" s="335"/>
      <c r="CA398" s="335"/>
      <c r="CB398" s="335"/>
      <c r="CC398" s="335"/>
      <c r="CD398" s="335"/>
      <c r="CE398" s="335"/>
      <c r="CF398" s="335"/>
      <c r="CG398" s="335"/>
      <c r="CH398" s="335"/>
      <c r="CI398" s="335"/>
      <c r="CJ398" s="335"/>
      <c r="CK398" s="335"/>
      <c r="CL398" s="335"/>
      <c r="CM398" s="335"/>
      <c r="CN398" s="335"/>
      <c r="CO398" s="335"/>
      <c r="CP398" s="335"/>
      <c r="CQ398" s="335"/>
      <c r="CR398" s="335"/>
      <c r="CS398" s="335"/>
      <c r="CT398" s="335"/>
      <c r="CU398" s="335"/>
      <c r="CV398" s="335"/>
      <c r="CW398" s="335"/>
      <c r="CX398" s="335"/>
      <c r="CY398" s="335"/>
      <c r="CZ398" s="335"/>
      <c r="DA398" s="335"/>
      <c r="DB398" s="335"/>
      <c r="DC398" s="335"/>
      <c r="DD398" s="335"/>
      <c r="DE398" s="335"/>
      <c r="DF398" s="335"/>
      <c r="DG398" s="335"/>
      <c r="DH398" s="335"/>
      <c r="DI398" s="335"/>
      <c r="DJ398" s="335"/>
      <c r="DK398" s="335"/>
      <c r="DL398" s="335"/>
      <c r="DM398" s="335"/>
      <c r="DN398" s="335"/>
      <c r="DO398" s="335"/>
      <c r="DP398" s="335"/>
      <c r="DQ398" s="335"/>
      <c r="DR398" s="335"/>
      <c r="DS398" s="335"/>
      <c r="DT398" s="335"/>
      <c r="DU398" s="335"/>
      <c r="DV398" s="335"/>
      <c r="DW398" s="335"/>
      <c r="DX398" s="335"/>
      <c r="DY398" s="335"/>
      <c r="DZ398" s="335"/>
      <c r="EA398" s="335"/>
      <c r="EB398" s="335"/>
      <c r="EC398" s="335"/>
      <c r="ED398" s="335"/>
      <c r="EE398" s="335"/>
      <c r="EF398" s="335"/>
      <c r="EG398" s="335"/>
      <c r="EH398" s="335"/>
      <c r="EI398" s="335"/>
      <c r="EJ398" s="335"/>
      <c r="EK398" s="335"/>
      <c r="EL398" s="335"/>
      <c r="EM398" s="335"/>
      <c r="EN398" s="335"/>
      <c r="EO398" s="335"/>
      <c r="EP398" s="335"/>
      <c r="EQ398" s="335"/>
      <c r="ER398" s="335"/>
      <c r="ES398" s="335"/>
      <c r="ET398" s="335"/>
      <c r="EU398" s="335"/>
      <c r="EV398" s="335"/>
      <c r="EW398" s="335"/>
      <c r="EX398" s="335"/>
      <c r="EY398" s="335"/>
      <c r="EZ398" s="335"/>
      <c r="FA398" s="335"/>
      <c r="FB398" s="335"/>
      <c r="FC398" s="335"/>
      <c r="FD398" s="335"/>
      <c r="FE398" s="335"/>
      <c r="FF398" s="335"/>
      <c r="FG398" s="335"/>
      <c r="FH398" s="335"/>
      <c r="FI398" s="335"/>
      <c r="FJ398" s="335"/>
      <c r="FK398" s="335"/>
      <c r="FL398" s="335"/>
      <c r="FM398" s="335"/>
      <c r="FN398" s="335"/>
      <c r="FO398" s="335"/>
      <c r="FP398" s="335"/>
      <c r="FQ398" s="335"/>
      <c r="FR398" s="335"/>
      <c r="FS398" s="335"/>
      <c r="FT398" s="335"/>
      <c r="FU398" s="335"/>
      <c r="FV398" s="335"/>
      <c r="FW398" s="335"/>
      <c r="FX398" s="335"/>
      <c r="FY398" s="335"/>
      <c r="FZ398" s="335"/>
      <c r="GA398" s="335"/>
      <c r="GB398" s="335"/>
      <c r="GC398" s="335"/>
      <c r="GD398" s="335"/>
      <c r="GE398" s="335"/>
      <c r="GF398" s="335"/>
      <c r="GG398" s="335"/>
      <c r="GH398" s="335"/>
      <c r="GI398" s="335"/>
      <c r="GJ398" s="335"/>
      <c r="GK398" s="335"/>
      <c r="GL398" s="335"/>
      <c r="GM398" s="335"/>
      <c r="GN398" s="335"/>
      <c r="GO398" s="335"/>
      <c r="GP398" s="335"/>
      <c r="GQ398" s="335"/>
      <c r="GR398" s="335"/>
      <c r="GS398" s="335"/>
      <c r="GT398" s="335"/>
      <c r="GU398" s="335"/>
      <c r="GV398" s="335"/>
      <c r="GW398" s="335"/>
      <c r="GX398" s="335"/>
      <c r="GY398" s="335"/>
      <c r="GZ398" s="335"/>
    </row>
    <row r="399" spans="1:208" ht="15">
      <c r="A399" s="379"/>
      <c r="B399" s="335"/>
      <c r="C399" s="335"/>
      <c r="D399" s="335"/>
      <c r="E399" s="335"/>
      <c r="F399" s="335"/>
      <c r="G399" s="335"/>
      <c r="H399" s="335"/>
      <c r="I399" s="335"/>
      <c r="J399" s="335"/>
      <c r="K399" s="335"/>
      <c r="L399" s="335"/>
      <c r="M399" s="376"/>
      <c r="N399" s="335"/>
      <c r="O399" s="380"/>
      <c r="P399" s="335"/>
      <c r="Q399" s="335"/>
      <c r="R399" s="335"/>
      <c r="S399" s="335"/>
      <c r="T399" s="335"/>
      <c r="U399" s="335"/>
      <c r="V399" s="335"/>
      <c r="W399" s="335"/>
      <c r="X399" s="335"/>
      <c r="Y399" s="335"/>
      <c r="Z399" s="335"/>
      <c r="AA399" s="335"/>
      <c r="AB399" s="335"/>
      <c r="AC399" s="335"/>
      <c r="AD399" s="335"/>
      <c r="AE399" s="335"/>
      <c r="AF399" s="335"/>
      <c r="AG399" s="335"/>
      <c r="AH399" s="335"/>
      <c r="AI399" s="335"/>
      <c r="AJ399" s="335"/>
      <c r="AK399" s="335"/>
      <c r="AL399" s="335"/>
      <c r="AM399" s="335"/>
      <c r="AN399" s="335"/>
      <c r="AO399" s="335"/>
      <c r="AP399" s="335"/>
      <c r="AQ399" s="335"/>
      <c r="AR399" s="335"/>
      <c r="AS399" s="335"/>
      <c r="AT399" s="335"/>
      <c r="AU399" s="335"/>
      <c r="AV399" s="335"/>
      <c r="AW399" s="335"/>
      <c r="AX399" s="335"/>
      <c r="AY399" s="335"/>
      <c r="AZ399" s="335"/>
      <c r="BA399" s="335"/>
      <c r="BB399" s="335"/>
      <c r="BC399" s="335"/>
      <c r="BD399" s="335"/>
      <c r="BE399" s="335"/>
      <c r="BF399" s="335"/>
      <c r="BG399" s="335"/>
      <c r="BH399" s="335"/>
      <c r="BI399" s="335"/>
      <c r="BJ399" s="335"/>
      <c r="BK399" s="335"/>
      <c r="BL399" s="335"/>
      <c r="BM399" s="335"/>
      <c r="BN399" s="335"/>
      <c r="BO399" s="335"/>
      <c r="BP399" s="335"/>
      <c r="BQ399" s="335"/>
      <c r="BR399" s="335"/>
      <c r="BS399" s="335"/>
      <c r="BT399" s="335"/>
      <c r="BU399" s="335"/>
      <c r="BV399" s="335"/>
      <c r="BW399" s="335"/>
      <c r="BX399" s="335"/>
      <c r="BY399" s="335"/>
      <c r="BZ399" s="335"/>
      <c r="CA399" s="335"/>
      <c r="CB399" s="335"/>
      <c r="CC399" s="335"/>
      <c r="CD399" s="335"/>
      <c r="CE399" s="335"/>
      <c r="CF399" s="335"/>
      <c r="CG399" s="335"/>
      <c r="CH399" s="335"/>
      <c r="CI399" s="335"/>
      <c r="CJ399" s="335"/>
      <c r="CK399" s="335"/>
      <c r="CL399" s="335"/>
      <c r="CM399" s="335"/>
      <c r="CN399" s="335"/>
      <c r="CO399" s="335"/>
      <c r="CP399" s="335"/>
      <c r="CQ399" s="335"/>
      <c r="CR399" s="335"/>
      <c r="CS399" s="335"/>
      <c r="CT399" s="335"/>
      <c r="CU399" s="335"/>
      <c r="CV399" s="335"/>
      <c r="CW399" s="335"/>
      <c r="CX399" s="335"/>
      <c r="CY399" s="335"/>
      <c r="CZ399" s="335"/>
      <c r="DA399" s="335"/>
      <c r="DB399" s="335"/>
      <c r="DC399" s="335"/>
      <c r="DD399" s="335"/>
      <c r="DE399" s="335"/>
      <c r="DF399" s="335"/>
      <c r="DG399" s="335"/>
      <c r="DH399" s="335"/>
      <c r="DI399" s="335"/>
      <c r="DJ399" s="335"/>
      <c r="DK399" s="335"/>
      <c r="DL399" s="335"/>
      <c r="DM399" s="335"/>
      <c r="DN399" s="335"/>
      <c r="DO399" s="335"/>
      <c r="DP399" s="335"/>
      <c r="DQ399" s="335"/>
      <c r="DR399" s="335"/>
      <c r="DS399" s="335"/>
      <c r="DT399" s="335"/>
      <c r="DU399" s="335"/>
      <c r="DV399" s="335"/>
      <c r="DW399" s="335"/>
      <c r="DX399" s="335"/>
      <c r="DY399" s="335"/>
      <c r="DZ399" s="335"/>
      <c r="EA399" s="335"/>
      <c r="EB399" s="335"/>
      <c r="EC399" s="335"/>
      <c r="ED399" s="335"/>
      <c r="EE399" s="335"/>
      <c r="EF399" s="335"/>
      <c r="EG399" s="335"/>
      <c r="EH399" s="335"/>
      <c r="EI399" s="335"/>
      <c r="EJ399" s="335"/>
      <c r="EK399" s="335"/>
      <c r="EL399" s="335"/>
      <c r="EM399" s="335"/>
      <c r="EN399" s="335"/>
      <c r="EO399" s="335"/>
      <c r="EP399" s="335"/>
      <c r="EQ399" s="335"/>
      <c r="ER399" s="335"/>
      <c r="ES399" s="335"/>
      <c r="ET399" s="335"/>
      <c r="EU399" s="335"/>
      <c r="EV399" s="335"/>
      <c r="EW399" s="335"/>
      <c r="EX399" s="335"/>
      <c r="EY399" s="335"/>
      <c r="EZ399" s="335"/>
      <c r="FA399" s="335"/>
      <c r="FB399" s="335"/>
      <c r="FC399" s="335"/>
      <c r="FD399" s="335"/>
      <c r="FE399" s="335"/>
      <c r="FF399" s="335"/>
      <c r="FG399" s="335"/>
      <c r="FH399" s="335"/>
      <c r="FI399" s="335"/>
      <c r="FJ399" s="335"/>
      <c r="FK399" s="335"/>
      <c r="FL399" s="335"/>
      <c r="FM399" s="335"/>
      <c r="FN399" s="335"/>
      <c r="FO399" s="335"/>
      <c r="FP399" s="335"/>
      <c r="FQ399" s="335"/>
      <c r="FR399" s="335"/>
      <c r="FS399" s="335"/>
      <c r="FT399" s="335"/>
      <c r="FU399" s="335"/>
      <c r="FV399" s="335"/>
      <c r="FW399" s="335"/>
      <c r="FX399" s="335"/>
      <c r="FY399" s="335"/>
      <c r="FZ399" s="335"/>
      <c r="GA399" s="335"/>
      <c r="GB399" s="335"/>
      <c r="GC399" s="335"/>
      <c r="GD399" s="335"/>
      <c r="GE399" s="335"/>
      <c r="GF399" s="335"/>
      <c r="GG399" s="335"/>
      <c r="GH399" s="335"/>
      <c r="GI399" s="335"/>
      <c r="GJ399" s="335"/>
      <c r="GK399" s="335"/>
      <c r="GL399" s="335"/>
      <c r="GM399" s="335"/>
      <c r="GN399" s="335"/>
      <c r="GO399" s="335"/>
      <c r="GP399" s="335"/>
      <c r="GQ399" s="335"/>
      <c r="GR399" s="335"/>
      <c r="GS399" s="335"/>
      <c r="GT399" s="335"/>
      <c r="GU399" s="335"/>
      <c r="GV399" s="335"/>
      <c r="GW399" s="335"/>
      <c r="GX399" s="335"/>
      <c r="GY399" s="335"/>
      <c r="GZ399" s="335"/>
    </row>
    <row r="400" spans="1:208" ht="15">
      <c r="A400" s="379"/>
      <c r="B400" s="335"/>
      <c r="C400" s="335"/>
      <c r="D400" s="335"/>
      <c r="E400" s="335"/>
      <c r="F400" s="335"/>
      <c r="G400" s="335"/>
      <c r="H400" s="335"/>
      <c r="I400" s="335"/>
      <c r="J400" s="335"/>
      <c r="K400" s="335"/>
      <c r="L400" s="335"/>
      <c r="M400" s="376"/>
      <c r="N400" s="335"/>
      <c r="O400" s="380"/>
      <c r="P400" s="335"/>
      <c r="Q400" s="335"/>
      <c r="R400" s="335"/>
      <c r="S400" s="335"/>
      <c r="T400" s="335"/>
      <c r="U400" s="335"/>
      <c r="V400" s="335"/>
      <c r="W400" s="335"/>
      <c r="X400" s="335"/>
      <c r="Y400" s="335"/>
      <c r="Z400" s="335"/>
      <c r="AA400" s="335"/>
      <c r="AB400" s="335"/>
      <c r="AC400" s="335"/>
      <c r="AD400" s="335"/>
      <c r="AE400" s="335"/>
      <c r="AF400" s="335"/>
      <c r="AG400" s="335"/>
      <c r="AH400" s="335"/>
      <c r="AI400" s="335"/>
      <c r="AJ400" s="335"/>
      <c r="AK400" s="335"/>
      <c r="AL400" s="335"/>
      <c r="AM400" s="335"/>
      <c r="AN400" s="335"/>
      <c r="AO400" s="335"/>
      <c r="AP400" s="335"/>
      <c r="AQ400" s="335"/>
      <c r="AR400" s="335"/>
      <c r="AS400" s="335"/>
      <c r="AT400" s="335"/>
      <c r="AU400" s="335"/>
      <c r="AV400" s="335"/>
      <c r="AW400" s="335"/>
      <c r="AX400" s="335"/>
      <c r="AY400" s="335"/>
      <c r="AZ400" s="335"/>
      <c r="BA400" s="335"/>
      <c r="BB400" s="335"/>
      <c r="BC400" s="335"/>
      <c r="BD400" s="335"/>
      <c r="BE400" s="335"/>
      <c r="BF400" s="335"/>
      <c r="BG400" s="335"/>
      <c r="BH400" s="335"/>
      <c r="BI400" s="335"/>
      <c r="BJ400" s="335"/>
      <c r="BK400" s="335"/>
      <c r="BL400" s="335"/>
      <c r="BM400" s="335"/>
      <c r="BN400" s="335"/>
      <c r="BO400" s="335"/>
      <c r="BP400" s="335"/>
      <c r="BQ400" s="335"/>
      <c r="BR400" s="335"/>
      <c r="BS400" s="335"/>
      <c r="BT400" s="335"/>
      <c r="BU400" s="335"/>
      <c r="BV400" s="335"/>
      <c r="BW400" s="335"/>
      <c r="BX400" s="335"/>
      <c r="BY400" s="335"/>
      <c r="BZ400" s="335"/>
      <c r="CA400" s="335"/>
      <c r="CB400" s="335"/>
      <c r="CC400" s="335"/>
      <c r="CD400" s="335"/>
      <c r="CE400" s="335"/>
      <c r="CF400" s="335"/>
      <c r="CG400" s="335"/>
      <c r="CH400" s="335"/>
      <c r="CI400" s="335"/>
      <c r="CJ400" s="335"/>
      <c r="CK400" s="335"/>
      <c r="CL400" s="335"/>
      <c r="CM400" s="335"/>
      <c r="CN400" s="335"/>
      <c r="CO400" s="335"/>
      <c r="CP400" s="335"/>
      <c r="CQ400" s="335"/>
      <c r="CR400" s="335"/>
      <c r="CS400" s="335"/>
      <c r="CT400" s="335"/>
      <c r="CU400" s="335"/>
      <c r="CV400" s="335"/>
      <c r="CW400" s="335"/>
      <c r="CX400" s="335"/>
      <c r="CY400" s="335"/>
      <c r="CZ400" s="335"/>
      <c r="DA400" s="335"/>
      <c r="DB400" s="335"/>
      <c r="DC400" s="335"/>
      <c r="DD400" s="335"/>
      <c r="DE400" s="335"/>
      <c r="DF400" s="335"/>
      <c r="DG400" s="335"/>
      <c r="DH400" s="335"/>
      <c r="DI400" s="335"/>
      <c r="DJ400" s="335"/>
      <c r="DK400" s="335"/>
      <c r="DL400" s="335"/>
      <c r="DM400" s="335"/>
      <c r="DN400" s="335"/>
      <c r="DO400" s="335"/>
      <c r="DP400" s="335"/>
      <c r="DQ400" s="335"/>
      <c r="DR400" s="335"/>
      <c r="DS400" s="335"/>
      <c r="DT400" s="335"/>
      <c r="DU400" s="335"/>
      <c r="DV400" s="335"/>
      <c r="DW400" s="335"/>
      <c r="DX400" s="335"/>
      <c r="DY400" s="335"/>
      <c r="DZ400" s="335"/>
      <c r="EA400" s="335"/>
      <c r="EB400" s="335"/>
      <c r="EC400" s="335"/>
      <c r="ED400" s="335"/>
      <c r="EE400" s="335"/>
      <c r="EF400" s="335"/>
      <c r="EG400" s="335"/>
      <c r="EH400" s="335"/>
      <c r="EI400" s="335"/>
      <c r="EJ400" s="335"/>
      <c r="EK400" s="335"/>
      <c r="EL400" s="335"/>
      <c r="EM400" s="335"/>
      <c r="EN400" s="335"/>
      <c r="EO400" s="335"/>
      <c r="EP400" s="335"/>
      <c r="EQ400" s="335"/>
      <c r="ER400" s="335"/>
      <c r="ES400" s="335"/>
      <c r="ET400" s="335"/>
      <c r="EU400" s="335"/>
      <c r="EV400" s="335"/>
      <c r="EW400" s="335"/>
      <c r="EX400" s="335"/>
      <c r="EY400" s="335"/>
      <c r="EZ400" s="335"/>
      <c r="FA400" s="335"/>
      <c r="FB400" s="335"/>
      <c r="FC400" s="335"/>
      <c r="FD400" s="335"/>
      <c r="FE400" s="335"/>
      <c r="FF400" s="335"/>
      <c r="FG400" s="335"/>
      <c r="FH400" s="335"/>
      <c r="FI400" s="335"/>
      <c r="FJ400" s="335"/>
      <c r="FK400" s="335"/>
      <c r="FL400" s="335"/>
      <c r="FM400" s="335"/>
      <c r="FN400" s="335"/>
      <c r="FO400" s="335"/>
      <c r="FP400" s="335"/>
      <c r="FQ400" s="335"/>
      <c r="FR400" s="335"/>
      <c r="FS400" s="335"/>
      <c r="FT400" s="335"/>
      <c r="FU400" s="335"/>
      <c r="FV400" s="335"/>
      <c r="FW400" s="335"/>
      <c r="FX400" s="335"/>
      <c r="FY400" s="335"/>
      <c r="FZ400" s="335"/>
      <c r="GA400" s="335"/>
      <c r="GB400" s="335"/>
      <c r="GC400" s="335"/>
      <c r="GD400" s="335"/>
      <c r="GE400" s="335"/>
      <c r="GF400" s="335"/>
      <c r="GG400" s="335"/>
      <c r="GH400" s="335"/>
      <c r="GI400" s="335"/>
      <c r="GJ400" s="335"/>
      <c r="GK400" s="335"/>
      <c r="GL400" s="335"/>
      <c r="GM400" s="335"/>
      <c r="GN400" s="335"/>
      <c r="GO400" s="335"/>
      <c r="GP400" s="335"/>
      <c r="GQ400" s="335"/>
      <c r="GR400" s="335"/>
      <c r="GS400" s="335"/>
      <c r="GT400" s="335"/>
      <c r="GU400" s="335"/>
      <c r="GV400" s="335"/>
      <c r="GW400" s="335"/>
      <c r="GX400" s="335"/>
      <c r="GY400" s="335"/>
      <c r="GZ400" s="335"/>
    </row>
    <row r="401" spans="1:208" ht="15">
      <c r="A401" s="379"/>
      <c r="B401" s="335"/>
      <c r="C401" s="335"/>
      <c r="D401" s="335"/>
      <c r="E401" s="335"/>
      <c r="F401" s="335"/>
      <c r="G401" s="335"/>
      <c r="H401" s="335"/>
      <c r="I401" s="335"/>
      <c r="J401" s="335"/>
      <c r="K401" s="335"/>
      <c r="L401" s="335"/>
      <c r="M401" s="376"/>
      <c r="N401" s="335"/>
      <c r="O401" s="380"/>
      <c r="P401" s="335"/>
      <c r="Q401" s="335"/>
      <c r="R401" s="335"/>
      <c r="S401" s="335"/>
      <c r="T401" s="335"/>
      <c r="U401" s="335"/>
      <c r="V401" s="335"/>
      <c r="W401" s="335"/>
      <c r="X401" s="335"/>
      <c r="Y401" s="335"/>
      <c r="Z401" s="335"/>
      <c r="AA401" s="335"/>
      <c r="AB401" s="335"/>
      <c r="AC401" s="335"/>
      <c r="AD401" s="335"/>
      <c r="AE401" s="335"/>
      <c r="AF401" s="335"/>
      <c r="AG401" s="335"/>
      <c r="AH401" s="335"/>
      <c r="AI401" s="335"/>
      <c r="AJ401" s="335"/>
      <c r="AK401" s="335"/>
      <c r="AL401" s="335"/>
      <c r="AM401" s="335"/>
      <c r="AN401" s="335"/>
      <c r="AO401" s="335"/>
      <c r="AP401" s="335"/>
      <c r="AQ401" s="335"/>
      <c r="AR401" s="335"/>
      <c r="AS401" s="335"/>
      <c r="AT401" s="335"/>
      <c r="AU401" s="335"/>
      <c r="AV401" s="335"/>
      <c r="AW401" s="335"/>
      <c r="AX401" s="335"/>
      <c r="AY401" s="335"/>
      <c r="AZ401" s="335"/>
      <c r="BA401" s="335"/>
      <c r="BB401" s="335"/>
      <c r="BC401" s="335"/>
      <c r="BD401" s="335"/>
      <c r="BE401" s="335"/>
      <c r="BF401" s="335"/>
      <c r="BG401" s="335"/>
      <c r="BH401" s="335"/>
      <c r="BI401" s="335"/>
      <c r="BJ401" s="335"/>
      <c r="BK401" s="335"/>
      <c r="BL401" s="335"/>
      <c r="BM401" s="335"/>
      <c r="BN401" s="335"/>
      <c r="BO401" s="335"/>
      <c r="BP401" s="335"/>
      <c r="BQ401" s="335"/>
      <c r="BR401" s="335"/>
      <c r="BS401" s="335"/>
      <c r="BT401" s="335"/>
      <c r="BU401" s="335"/>
      <c r="BV401" s="335"/>
      <c r="BW401" s="335"/>
      <c r="BX401" s="335"/>
      <c r="BY401" s="335"/>
      <c r="BZ401" s="335"/>
      <c r="CA401" s="335"/>
      <c r="CB401" s="335"/>
      <c r="CC401" s="335"/>
      <c r="CD401" s="335"/>
      <c r="CE401" s="335"/>
      <c r="CF401" s="335"/>
      <c r="CG401" s="335"/>
      <c r="CH401" s="335"/>
      <c r="CI401" s="335"/>
      <c r="CJ401" s="335"/>
      <c r="CK401" s="335"/>
      <c r="CL401" s="335"/>
      <c r="CM401" s="335"/>
      <c r="CN401" s="335"/>
      <c r="CO401" s="335"/>
      <c r="CP401" s="335"/>
      <c r="CQ401" s="335"/>
      <c r="CR401" s="335"/>
      <c r="CS401" s="335"/>
      <c r="CT401" s="335"/>
      <c r="CU401" s="335"/>
      <c r="CV401" s="335"/>
      <c r="CW401" s="335"/>
      <c r="CX401" s="335"/>
      <c r="CY401" s="335"/>
      <c r="CZ401" s="335"/>
      <c r="DA401" s="335"/>
      <c r="DB401" s="335"/>
      <c r="DC401" s="335"/>
      <c r="DD401" s="335"/>
      <c r="DE401" s="335"/>
      <c r="DF401" s="335"/>
      <c r="DG401" s="335"/>
      <c r="DH401" s="335"/>
      <c r="DI401" s="335"/>
      <c r="DJ401" s="335"/>
      <c r="DK401" s="335"/>
      <c r="DL401" s="335"/>
      <c r="DM401" s="335"/>
      <c r="DN401" s="335"/>
      <c r="DO401" s="335"/>
      <c r="DP401" s="335"/>
      <c r="DQ401" s="335"/>
      <c r="DR401" s="335"/>
      <c r="DS401" s="335"/>
      <c r="DT401" s="335"/>
      <c r="DU401" s="335"/>
      <c r="DV401" s="335"/>
      <c r="DW401" s="335"/>
      <c r="DX401" s="335"/>
      <c r="DY401" s="335"/>
      <c r="DZ401" s="335"/>
      <c r="EA401" s="335"/>
      <c r="EB401" s="335"/>
      <c r="EC401" s="335"/>
      <c r="ED401" s="335"/>
      <c r="EE401" s="335"/>
      <c r="EF401" s="335"/>
      <c r="EG401" s="335"/>
      <c r="EH401" s="335"/>
      <c r="EI401" s="335"/>
      <c r="EJ401" s="335"/>
      <c r="EK401" s="335"/>
      <c r="EL401" s="335"/>
      <c r="EM401" s="335"/>
      <c r="EN401" s="335"/>
      <c r="EO401" s="335"/>
      <c r="EP401" s="335"/>
      <c r="EQ401" s="335"/>
      <c r="ER401" s="335"/>
      <c r="ES401" s="335"/>
      <c r="ET401" s="335"/>
      <c r="EU401" s="335"/>
      <c r="EV401" s="335"/>
      <c r="EW401" s="335"/>
      <c r="EX401" s="335"/>
      <c r="EY401" s="335"/>
      <c r="EZ401" s="335"/>
      <c r="FA401" s="335"/>
      <c r="FB401" s="335"/>
      <c r="FC401" s="335"/>
      <c r="FD401" s="335"/>
      <c r="FE401" s="335"/>
      <c r="FF401" s="335"/>
      <c r="FG401" s="335"/>
      <c r="FH401" s="335"/>
      <c r="FI401" s="335"/>
      <c r="FJ401" s="335"/>
      <c r="FK401" s="335"/>
      <c r="FL401" s="335"/>
      <c r="FM401" s="335"/>
      <c r="FN401" s="335"/>
      <c r="FO401" s="335"/>
      <c r="FP401" s="335"/>
      <c r="FQ401" s="335"/>
      <c r="FR401" s="335"/>
      <c r="FS401" s="335"/>
      <c r="FT401" s="335"/>
      <c r="FU401" s="335"/>
      <c r="FV401" s="335"/>
      <c r="FW401" s="335"/>
      <c r="FX401" s="335"/>
      <c r="FY401" s="335"/>
      <c r="FZ401" s="335"/>
      <c r="GA401" s="335"/>
      <c r="GB401" s="335"/>
      <c r="GC401" s="335"/>
      <c r="GD401" s="335"/>
      <c r="GE401" s="335"/>
      <c r="GF401" s="335"/>
      <c r="GG401" s="335"/>
      <c r="GH401" s="335"/>
      <c r="GI401" s="335"/>
      <c r="GJ401" s="335"/>
      <c r="GK401" s="335"/>
      <c r="GL401" s="335"/>
      <c r="GM401" s="335"/>
      <c r="GN401" s="335"/>
      <c r="GO401" s="335"/>
      <c r="GP401" s="335"/>
      <c r="GQ401" s="335"/>
      <c r="GR401" s="335"/>
      <c r="GS401" s="335"/>
      <c r="GT401" s="335"/>
      <c r="GU401" s="335"/>
      <c r="GV401" s="335"/>
      <c r="GW401" s="335"/>
      <c r="GX401" s="335"/>
      <c r="GY401" s="335"/>
      <c r="GZ401" s="335"/>
    </row>
    <row r="402" spans="1:208" ht="15">
      <c r="A402" s="379"/>
      <c r="B402" s="335"/>
      <c r="C402" s="335"/>
      <c r="D402" s="335"/>
      <c r="E402" s="335"/>
      <c r="F402" s="335"/>
      <c r="G402" s="335"/>
      <c r="H402" s="335"/>
      <c r="I402" s="335"/>
      <c r="J402" s="335"/>
      <c r="K402" s="335"/>
      <c r="L402" s="335"/>
      <c r="M402" s="376"/>
      <c r="N402" s="335"/>
      <c r="O402" s="380"/>
      <c r="P402" s="335"/>
      <c r="Q402" s="335"/>
      <c r="R402" s="335"/>
      <c r="S402" s="335"/>
      <c r="T402" s="335"/>
      <c r="U402" s="335"/>
      <c r="V402" s="335"/>
      <c r="W402" s="335"/>
      <c r="X402" s="335"/>
      <c r="Y402" s="335"/>
      <c r="Z402" s="335"/>
      <c r="AA402" s="335"/>
      <c r="AB402" s="335"/>
      <c r="AC402" s="335"/>
      <c r="AD402" s="335"/>
      <c r="AE402" s="335"/>
      <c r="AF402" s="335"/>
      <c r="AG402" s="335"/>
      <c r="AH402" s="335"/>
      <c r="AI402" s="335"/>
      <c r="AJ402" s="335"/>
      <c r="AK402" s="335"/>
      <c r="AL402" s="335"/>
      <c r="AM402" s="335"/>
      <c r="AN402" s="335"/>
      <c r="AO402" s="335"/>
      <c r="AP402" s="335"/>
      <c r="AQ402" s="335"/>
      <c r="AR402" s="335"/>
      <c r="AS402" s="335"/>
      <c r="AT402" s="335"/>
      <c r="AU402" s="335"/>
      <c r="AV402" s="335"/>
      <c r="AW402" s="335"/>
      <c r="AX402" s="335"/>
      <c r="AY402" s="335"/>
      <c r="AZ402" s="335"/>
      <c r="BA402" s="335"/>
      <c r="BB402" s="335"/>
      <c r="BC402" s="335"/>
      <c r="BD402" s="335"/>
      <c r="BE402" s="335"/>
      <c r="BF402" s="335"/>
      <c r="BG402" s="335"/>
      <c r="BH402" s="335"/>
      <c r="BI402" s="335"/>
      <c r="BJ402" s="335"/>
      <c r="BK402" s="335"/>
      <c r="BL402" s="335"/>
      <c r="BM402" s="335"/>
      <c r="BN402" s="335"/>
      <c r="BO402" s="335"/>
      <c r="BP402" s="335"/>
      <c r="BQ402" s="335"/>
      <c r="BR402" s="335"/>
      <c r="BS402" s="335"/>
      <c r="BT402" s="335"/>
      <c r="BU402" s="335"/>
      <c r="BV402" s="335"/>
      <c r="BW402" s="335"/>
      <c r="BX402" s="335"/>
      <c r="BY402" s="335"/>
      <c r="BZ402" s="335"/>
      <c r="CA402" s="335"/>
      <c r="CB402" s="335"/>
      <c r="CC402" s="335"/>
      <c r="CD402" s="335"/>
      <c r="CE402" s="335"/>
      <c r="CF402" s="335"/>
      <c r="CG402" s="335"/>
      <c r="CH402" s="335"/>
      <c r="CI402" s="335"/>
      <c r="CJ402" s="335"/>
      <c r="CK402" s="335"/>
      <c r="CL402" s="335"/>
      <c r="CM402" s="335"/>
      <c r="CN402" s="335"/>
      <c r="CO402" s="335"/>
      <c r="CP402" s="335"/>
      <c r="CQ402" s="335"/>
      <c r="CR402" s="335"/>
      <c r="CS402" s="335"/>
      <c r="CT402" s="335"/>
      <c r="CU402" s="335"/>
      <c r="CV402" s="335"/>
      <c r="CW402" s="335"/>
      <c r="CX402" s="335"/>
      <c r="CY402" s="335"/>
      <c r="CZ402" s="335"/>
      <c r="DA402" s="335"/>
      <c r="DB402" s="335"/>
      <c r="DC402" s="335"/>
      <c r="DD402" s="335"/>
      <c r="DE402" s="335"/>
      <c r="DF402" s="335"/>
      <c r="DG402" s="335"/>
      <c r="DH402" s="335"/>
      <c r="DI402" s="335"/>
      <c r="DJ402" s="335"/>
      <c r="DK402" s="335"/>
      <c r="DL402" s="335"/>
      <c r="DM402" s="335"/>
      <c r="DN402" s="335"/>
      <c r="DO402" s="335"/>
      <c r="DP402" s="335"/>
      <c r="DQ402" s="335"/>
      <c r="DR402" s="335"/>
      <c r="DS402" s="335"/>
      <c r="DT402" s="335"/>
      <c r="DU402" s="335"/>
      <c r="DV402" s="335"/>
      <c r="DW402" s="335"/>
      <c r="DX402" s="335"/>
      <c r="DY402" s="335"/>
      <c r="DZ402" s="335"/>
      <c r="EA402" s="335"/>
      <c r="EB402" s="335"/>
      <c r="EC402" s="335"/>
      <c r="ED402" s="335"/>
      <c r="EE402" s="335"/>
      <c r="EF402" s="335"/>
      <c r="EG402" s="335"/>
      <c r="EH402" s="335"/>
      <c r="EI402" s="335"/>
      <c r="EJ402" s="335"/>
      <c r="EK402" s="335"/>
      <c r="EL402" s="335"/>
      <c r="EM402" s="335"/>
      <c r="EN402" s="335"/>
      <c r="EO402" s="335"/>
      <c r="EP402" s="335"/>
      <c r="EQ402" s="335"/>
      <c r="ER402" s="335"/>
      <c r="ES402" s="335"/>
      <c r="ET402" s="335"/>
      <c r="EU402" s="335"/>
      <c r="EV402" s="335"/>
      <c r="EW402" s="335"/>
      <c r="EX402" s="335"/>
      <c r="EY402" s="335"/>
      <c r="EZ402" s="335"/>
      <c r="FA402" s="335"/>
      <c r="FB402" s="335"/>
      <c r="FC402" s="335"/>
      <c r="FD402" s="335"/>
      <c r="FE402" s="335"/>
      <c r="FF402" s="335"/>
      <c r="FG402" s="335"/>
      <c r="FH402" s="335"/>
      <c r="FI402" s="335"/>
      <c r="FJ402" s="335"/>
      <c r="FK402" s="335"/>
      <c r="FL402" s="335"/>
      <c r="FM402" s="335"/>
      <c r="FN402" s="335"/>
      <c r="FO402" s="335"/>
      <c r="FP402" s="335"/>
      <c r="FQ402" s="335"/>
      <c r="FR402" s="335"/>
      <c r="FS402" s="335"/>
      <c r="FT402" s="335"/>
      <c r="FU402" s="335"/>
      <c r="FV402" s="335"/>
      <c r="FW402" s="335"/>
      <c r="FX402" s="335"/>
      <c r="FY402" s="335"/>
      <c r="FZ402" s="335"/>
      <c r="GA402" s="335"/>
      <c r="GB402" s="335"/>
      <c r="GC402" s="335"/>
      <c r="GD402" s="335"/>
      <c r="GE402" s="335"/>
      <c r="GF402" s="335"/>
      <c r="GG402" s="335"/>
      <c r="GH402" s="335"/>
      <c r="GI402" s="335"/>
      <c r="GJ402" s="335"/>
      <c r="GK402" s="335"/>
      <c r="GL402" s="335"/>
      <c r="GM402" s="335"/>
      <c r="GN402" s="335"/>
      <c r="GO402" s="335"/>
      <c r="GP402" s="335"/>
      <c r="GQ402" s="335"/>
      <c r="GR402" s="335"/>
      <c r="GS402" s="335"/>
      <c r="GT402" s="335"/>
      <c r="GU402" s="335"/>
      <c r="GV402" s="335"/>
      <c r="GW402" s="335"/>
      <c r="GX402" s="335"/>
      <c r="GY402" s="335"/>
      <c r="GZ402" s="335"/>
    </row>
    <row r="403" spans="1:208" ht="15">
      <c r="A403" s="379"/>
      <c r="B403" s="335"/>
      <c r="C403" s="335"/>
      <c r="D403" s="335"/>
      <c r="E403" s="335"/>
      <c r="F403" s="335"/>
      <c r="G403" s="335"/>
      <c r="H403" s="335"/>
      <c r="I403" s="335"/>
      <c r="J403" s="335"/>
      <c r="K403" s="335"/>
      <c r="L403" s="335"/>
      <c r="M403" s="376"/>
      <c r="N403" s="335"/>
      <c r="O403" s="380"/>
      <c r="P403" s="335"/>
      <c r="Q403" s="335"/>
      <c r="R403" s="335"/>
      <c r="S403" s="335"/>
      <c r="T403" s="335"/>
      <c r="U403" s="335"/>
      <c r="V403" s="335"/>
      <c r="W403" s="335"/>
      <c r="X403" s="335"/>
      <c r="Y403" s="335"/>
      <c r="Z403" s="335"/>
      <c r="AA403" s="335"/>
      <c r="AB403" s="335"/>
      <c r="AC403" s="335"/>
      <c r="AD403" s="335"/>
      <c r="AE403" s="335"/>
      <c r="AF403" s="335"/>
      <c r="AG403" s="335"/>
      <c r="AH403" s="335"/>
      <c r="AI403" s="335"/>
      <c r="AJ403" s="335"/>
      <c r="AK403" s="335"/>
      <c r="AL403" s="335"/>
      <c r="AM403" s="335"/>
      <c r="AN403" s="335"/>
      <c r="AO403" s="335"/>
      <c r="AP403" s="335"/>
      <c r="AQ403" s="335"/>
      <c r="AR403" s="335"/>
      <c r="AS403" s="335"/>
      <c r="AT403" s="335"/>
      <c r="AU403" s="335"/>
      <c r="AV403" s="335"/>
      <c r="AW403" s="335"/>
      <c r="AX403" s="335"/>
      <c r="AY403" s="335"/>
      <c r="AZ403" s="335"/>
      <c r="BA403" s="335"/>
      <c r="BB403" s="335"/>
      <c r="BC403" s="335"/>
      <c r="BD403" s="335"/>
      <c r="BE403" s="335"/>
      <c r="BF403" s="335"/>
      <c r="BG403" s="335"/>
      <c r="BH403" s="335"/>
      <c r="BI403" s="335"/>
      <c r="BJ403" s="335"/>
      <c r="BK403" s="335"/>
      <c r="BL403" s="335"/>
      <c r="BM403" s="335"/>
      <c r="BN403" s="335"/>
      <c r="BO403" s="335"/>
      <c r="BP403" s="335"/>
      <c r="BQ403" s="335"/>
      <c r="BR403" s="335"/>
      <c r="BS403" s="335"/>
      <c r="BT403" s="335"/>
      <c r="BU403" s="335"/>
      <c r="BV403" s="335"/>
      <c r="BW403" s="335"/>
      <c r="BX403" s="335"/>
      <c r="BY403" s="335"/>
      <c r="BZ403" s="335"/>
      <c r="CA403" s="335"/>
      <c r="CB403" s="335"/>
      <c r="CC403" s="335"/>
      <c r="CD403" s="335"/>
      <c r="CE403" s="335"/>
      <c r="CF403" s="335"/>
      <c r="CG403" s="335"/>
      <c r="CH403" s="335"/>
      <c r="CI403" s="335"/>
      <c r="CJ403" s="335"/>
      <c r="CK403" s="335"/>
      <c r="CL403" s="335"/>
      <c r="CM403" s="335"/>
      <c r="CN403" s="335"/>
      <c r="CO403" s="335"/>
      <c r="CP403" s="335"/>
      <c r="CQ403" s="335"/>
      <c r="CR403" s="335"/>
      <c r="CS403" s="335"/>
      <c r="CT403" s="335"/>
      <c r="CU403" s="335"/>
      <c r="CV403" s="335"/>
      <c r="CW403" s="335"/>
      <c r="CX403" s="335"/>
      <c r="CY403" s="335"/>
      <c r="CZ403" s="335"/>
      <c r="DA403" s="335"/>
      <c r="DB403" s="335"/>
      <c r="DC403" s="335"/>
      <c r="DD403" s="335"/>
      <c r="DE403" s="335"/>
      <c r="DF403" s="335"/>
      <c r="DG403" s="335"/>
      <c r="DH403" s="335"/>
      <c r="DI403" s="335"/>
      <c r="DJ403" s="335"/>
      <c r="DK403" s="335"/>
      <c r="DL403" s="335"/>
      <c r="DM403" s="335"/>
      <c r="DN403" s="335"/>
      <c r="DO403" s="335"/>
      <c r="DP403" s="335"/>
      <c r="DQ403" s="335"/>
      <c r="DR403" s="335"/>
      <c r="DS403" s="335"/>
      <c r="DT403" s="335"/>
      <c r="DU403" s="335"/>
      <c r="DV403" s="335"/>
      <c r="DW403" s="335"/>
      <c r="DX403" s="335"/>
      <c r="DY403" s="335"/>
      <c r="DZ403" s="335"/>
      <c r="EA403" s="335"/>
      <c r="EB403" s="335"/>
      <c r="EC403" s="335"/>
      <c r="ED403" s="335"/>
      <c r="EE403" s="335"/>
      <c r="EF403" s="335"/>
      <c r="EG403" s="335"/>
      <c r="EH403" s="335"/>
      <c r="EI403" s="335"/>
      <c r="EJ403" s="335"/>
      <c r="EK403" s="335"/>
      <c r="EL403" s="335"/>
      <c r="EM403" s="335"/>
      <c r="EN403" s="335"/>
      <c r="EO403" s="335"/>
      <c r="EP403" s="335"/>
      <c r="EQ403" s="335"/>
      <c r="ER403" s="335"/>
      <c r="ES403" s="335"/>
      <c r="ET403" s="335"/>
      <c r="EU403" s="335"/>
      <c r="EV403" s="335"/>
      <c r="EW403" s="335"/>
      <c r="EX403" s="335"/>
      <c r="EY403" s="335"/>
      <c r="EZ403" s="335"/>
      <c r="FA403" s="335"/>
      <c r="FB403" s="335"/>
      <c r="FC403" s="335"/>
      <c r="FD403" s="335"/>
      <c r="FE403" s="335"/>
      <c r="FF403" s="335"/>
      <c r="FG403" s="335"/>
      <c r="FH403" s="335"/>
      <c r="FI403" s="335"/>
      <c r="FJ403" s="335"/>
      <c r="FK403" s="335"/>
      <c r="FL403" s="335"/>
      <c r="FM403" s="335"/>
      <c r="FN403" s="335"/>
      <c r="FO403" s="335"/>
      <c r="FP403" s="335"/>
      <c r="FQ403" s="335"/>
      <c r="FR403" s="335"/>
      <c r="FS403" s="335"/>
      <c r="FT403" s="335"/>
      <c r="FU403" s="335"/>
      <c r="FV403" s="335"/>
      <c r="FW403" s="335"/>
      <c r="FX403" s="335"/>
      <c r="FY403" s="335"/>
      <c r="FZ403" s="335"/>
      <c r="GA403" s="335"/>
      <c r="GB403" s="335"/>
      <c r="GC403" s="335"/>
      <c r="GD403" s="335"/>
      <c r="GE403" s="335"/>
      <c r="GF403" s="335"/>
      <c r="GG403" s="335"/>
      <c r="GH403" s="335"/>
      <c r="GI403" s="335"/>
      <c r="GJ403" s="335"/>
      <c r="GK403" s="335"/>
      <c r="GL403" s="335"/>
      <c r="GM403" s="335"/>
      <c r="GN403" s="335"/>
      <c r="GO403" s="335"/>
      <c r="GP403" s="335"/>
      <c r="GQ403" s="335"/>
      <c r="GR403" s="335"/>
      <c r="GS403" s="335"/>
      <c r="GT403" s="335"/>
      <c r="GU403" s="335"/>
      <c r="GV403" s="335"/>
      <c r="GW403" s="335"/>
      <c r="GX403" s="335"/>
      <c r="GY403" s="335"/>
      <c r="GZ403" s="335"/>
    </row>
    <row r="404" spans="1:208" ht="15">
      <c r="A404" s="379"/>
      <c r="B404" s="335"/>
      <c r="C404" s="335"/>
      <c r="D404" s="335"/>
      <c r="E404" s="335"/>
      <c r="F404" s="335"/>
      <c r="G404" s="335"/>
      <c r="H404" s="335"/>
      <c r="I404" s="335"/>
      <c r="J404" s="335"/>
      <c r="K404" s="335"/>
      <c r="L404" s="335"/>
      <c r="M404" s="376"/>
      <c r="N404" s="335"/>
      <c r="O404" s="380"/>
      <c r="P404" s="335"/>
      <c r="Q404" s="335"/>
      <c r="R404" s="335"/>
      <c r="S404" s="335"/>
      <c r="T404" s="335"/>
      <c r="U404" s="335"/>
      <c r="V404" s="335"/>
      <c r="W404" s="335"/>
      <c r="X404" s="335"/>
      <c r="Y404" s="335"/>
      <c r="Z404" s="335"/>
      <c r="AA404" s="335"/>
      <c r="AB404" s="335"/>
      <c r="AC404" s="335"/>
      <c r="AD404" s="335"/>
      <c r="AE404" s="335"/>
      <c r="AF404" s="335"/>
      <c r="AG404" s="335"/>
      <c r="AH404" s="335"/>
      <c r="AI404" s="335"/>
      <c r="AJ404" s="335"/>
      <c r="AK404" s="335"/>
      <c r="AL404" s="335"/>
      <c r="AM404" s="335"/>
      <c r="AN404" s="335"/>
      <c r="AO404" s="335"/>
      <c r="AP404" s="335"/>
      <c r="AQ404" s="335"/>
      <c r="AR404" s="335"/>
      <c r="AS404" s="335"/>
      <c r="AT404" s="335"/>
      <c r="AU404" s="335"/>
      <c r="AV404" s="335"/>
      <c r="AW404" s="335"/>
      <c r="AX404" s="335"/>
      <c r="AY404" s="335"/>
      <c r="AZ404" s="335"/>
      <c r="BA404" s="335"/>
      <c r="BB404" s="335"/>
      <c r="BC404" s="335"/>
      <c r="BD404" s="335"/>
      <c r="BE404" s="335"/>
      <c r="BF404" s="335"/>
      <c r="BG404" s="335"/>
      <c r="BH404" s="335"/>
      <c r="BI404" s="335"/>
      <c r="BJ404" s="335"/>
      <c r="BK404" s="335"/>
      <c r="BL404" s="335"/>
      <c r="BM404" s="335"/>
      <c r="BN404" s="335"/>
      <c r="BO404" s="335"/>
      <c r="BP404" s="335"/>
      <c r="BQ404" s="335"/>
      <c r="BR404" s="335"/>
      <c r="BS404" s="335"/>
      <c r="BT404" s="335"/>
      <c r="BU404" s="335"/>
      <c r="BV404" s="335"/>
      <c r="BW404" s="335"/>
      <c r="BX404" s="335"/>
      <c r="BY404" s="335"/>
      <c r="BZ404" s="335"/>
      <c r="CA404" s="335"/>
      <c r="CB404" s="335"/>
      <c r="CC404" s="335"/>
      <c r="CD404" s="335"/>
      <c r="CE404" s="335"/>
      <c r="CF404" s="335"/>
      <c r="CG404" s="335"/>
      <c r="CH404" s="335"/>
      <c r="CI404" s="335"/>
      <c r="CJ404" s="335"/>
      <c r="CK404" s="335"/>
      <c r="CL404" s="335"/>
      <c r="CM404" s="335"/>
      <c r="CN404" s="335"/>
      <c r="CO404" s="335"/>
      <c r="CP404" s="335"/>
      <c r="CQ404" s="335"/>
      <c r="CR404" s="335"/>
      <c r="CS404" s="335"/>
      <c r="CT404" s="335"/>
      <c r="CU404" s="335"/>
      <c r="CV404" s="335"/>
      <c r="CW404" s="335"/>
      <c r="CX404" s="335"/>
      <c r="CY404" s="335"/>
      <c r="CZ404" s="335"/>
      <c r="DA404" s="335"/>
      <c r="DB404" s="335"/>
      <c r="DC404" s="335"/>
      <c r="DD404" s="335"/>
      <c r="DE404" s="335"/>
      <c r="DF404" s="335"/>
      <c r="DG404" s="335"/>
      <c r="DH404" s="335"/>
      <c r="DI404" s="335"/>
      <c r="DJ404" s="335"/>
      <c r="DK404" s="335"/>
      <c r="DL404" s="335"/>
      <c r="DM404" s="335"/>
      <c r="DN404" s="335"/>
      <c r="DO404" s="335"/>
      <c r="DP404" s="335"/>
      <c r="DQ404" s="335"/>
      <c r="DR404" s="335"/>
      <c r="DS404" s="335"/>
      <c r="DT404" s="335"/>
      <c r="DU404" s="335"/>
      <c r="DV404" s="335"/>
      <c r="DW404" s="335"/>
      <c r="DX404" s="335"/>
      <c r="DY404" s="335"/>
      <c r="DZ404" s="335"/>
      <c r="EA404" s="335"/>
      <c r="EB404" s="335"/>
      <c r="EC404" s="335"/>
      <c r="ED404" s="335"/>
      <c r="EE404" s="335"/>
      <c r="EF404" s="335"/>
      <c r="EG404" s="335"/>
      <c r="EH404" s="335"/>
      <c r="EI404" s="335"/>
      <c r="EJ404" s="335"/>
      <c r="EK404" s="335"/>
      <c r="EL404" s="335"/>
      <c r="EM404" s="335"/>
      <c r="EN404" s="335"/>
      <c r="EO404" s="335"/>
      <c r="EP404" s="335"/>
      <c r="EQ404" s="335"/>
      <c r="ER404" s="335"/>
      <c r="ES404" s="335"/>
      <c r="ET404" s="335"/>
      <c r="EU404" s="335"/>
      <c r="EV404" s="335"/>
      <c r="EW404" s="335"/>
      <c r="EX404" s="335"/>
      <c r="EY404" s="335"/>
      <c r="EZ404" s="335"/>
      <c r="FA404" s="335"/>
      <c r="FB404" s="335"/>
      <c r="FC404" s="335"/>
      <c r="FD404" s="335"/>
      <c r="FE404" s="335"/>
      <c r="FF404" s="335"/>
      <c r="FG404" s="335"/>
      <c r="FH404" s="335"/>
      <c r="FI404" s="335"/>
      <c r="FJ404" s="335"/>
      <c r="FK404" s="335"/>
      <c r="FL404" s="335"/>
      <c r="FM404" s="335"/>
      <c r="FN404" s="335"/>
      <c r="FO404" s="335"/>
      <c r="FP404" s="335"/>
      <c r="FQ404" s="335"/>
      <c r="FR404" s="335"/>
      <c r="FS404" s="335"/>
      <c r="FT404" s="335"/>
      <c r="FU404" s="335"/>
      <c r="FV404" s="335"/>
      <c r="FW404" s="335"/>
      <c r="FX404" s="335"/>
      <c r="FY404" s="335"/>
      <c r="FZ404" s="335"/>
      <c r="GA404" s="335"/>
      <c r="GB404" s="335"/>
      <c r="GC404" s="335"/>
      <c r="GD404" s="335"/>
      <c r="GE404" s="335"/>
      <c r="GF404" s="335"/>
      <c r="GG404" s="335"/>
      <c r="GH404" s="335"/>
      <c r="GI404" s="335"/>
      <c r="GJ404" s="335"/>
      <c r="GK404" s="335"/>
      <c r="GL404" s="335"/>
      <c r="GM404" s="335"/>
      <c r="GN404" s="335"/>
      <c r="GO404" s="335"/>
      <c r="GP404" s="335"/>
      <c r="GQ404" s="335"/>
      <c r="GR404" s="335"/>
      <c r="GS404" s="335"/>
      <c r="GT404" s="335"/>
      <c r="GU404" s="335"/>
      <c r="GV404" s="335"/>
      <c r="GW404" s="335"/>
      <c r="GX404" s="335"/>
      <c r="GY404" s="335"/>
      <c r="GZ404" s="335"/>
    </row>
    <row r="405" spans="1:208" ht="15">
      <c r="A405" s="379"/>
      <c r="B405" s="335"/>
      <c r="C405" s="335"/>
      <c r="D405" s="335"/>
      <c r="E405" s="335"/>
      <c r="F405" s="335"/>
      <c r="G405" s="335"/>
      <c r="H405" s="335"/>
      <c r="I405" s="335"/>
      <c r="J405" s="335"/>
      <c r="K405" s="335"/>
      <c r="L405" s="335"/>
      <c r="M405" s="376"/>
      <c r="N405" s="335"/>
      <c r="O405" s="380"/>
      <c r="P405" s="335"/>
      <c r="Q405" s="335"/>
      <c r="R405" s="335"/>
      <c r="S405" s="335"/>
      <c r="T405" s="335"/>
      <c r="U405" s="335"/>
      <c r="V405" s="335"/>
      <c r="W405" s="335"/>
      <c r="X405" s="335"/>
      <c r="Y405" s="335"/>
      <c r="Z405" s="335"/>
      <c r="AA405" s="335"/>
      <c r="AB405" s="335"/>
      <c r="AC405" s="335"/>
      <c r="AD405" s="335"/>
      <c r="AE405" s="335"/>
      <c r="AF405" s="335"/>
      <c r="AG405" s="335"/>
      <c r="AH405" s="335"/>
      <c r="AI405" s="335"/>
      <c r="AJ405" s="335"/>
      <c r="AK405" s="335"/>
      <c r="AL405" s="335"/>
      <c r="AM405" s="335"/>
      <c r="AN405" s="335"/>
      <c r="AO405" s="335"/>
      <c r="AP405" s="335"/>
      <c r="AQ405" s="335"/>
      <c r="AR405" s="335"/>
      <c r="AS405" s="335"/>
      <c r="AT405" s="335"/>
      <c r="AU405" s="335"/>
      <c r="AV405" s="335"/>
      <c r="AW405" s="335"/>
      <c r="AX405" s="335"/>
      <c r="AY405" s="335"/>
      <c r="AZ405" s="335"/>
      <c r="BA405" s="335"/>
      <c r="BB405" s="335"/>
      <c r="BC405" s="335"/>
      <c r="BD405" s="335"/>
      <c r="BE405" s="335"/>
      <c r="BF405" s="335"/>
      <c r="BG405" s="335"/>
      <c r="BH405" s="335"/>
      <c r="BI405" s="335"/>
      <c r="BJ405" s="335"/>
      <c r="BK405" s="335"/>
      <c r="BL405" s="335"/>
      <c r="BM405" s="335"/>
      <c r="BN405" s="335"/>
      <c r="BO405" s="335"/>
      <c r="BP405" s="335"/>
      <c r="BQ405" s="335"/>
      <c r="BR405" s="335"/>
      <c r="BS405" s="335"/>
      <c r="BT405" s="335"/>
      <c r="BU405" s="335"/>
      <c r="BV405" s="335"/>
      <c r="BW405" s="335"/>
      <c r="BX405" s="335"/>
      <c r="BY405" s="335"/>
      <c r="BZ405" s="335"/>
      <c r="CA405" s="335"/>
      <c r="CB405" s="335"/>
      <c r="CC405" s="335"/>
      <c r="CD405" s="335"/>
      <c r="CE405" s="335"/>
      <c r="CF405" s="335"/>
      <c r="CG405" s="335"/>
      <c r="CH405" s="335"/>
      <c r="CI405" s="335"/>
      <c r="CJ405" s="335"/>
      <c r="CK405" s="335"/>
      <c r="CL405" s="335"/>
      <c r="CM405" s="335"/>
      <c r="CN405" s="335"/>
      <c r="CO405" s="335"/>
      <c r="CP405" s="335"/>
      <c r="CQ405" s="335"/>
      <c r="CR405" s="335"/>
      <c r="CS405" s="335"/>
      <c r="CT405" s="335"/>
      <c r="CU405" s="335"/>
      <c r="CV405" s="335"/>
      <c r="CW405" s="335"/>
      <c r="CX405" s="335"/>
      <c r="CY405" s="335"/>
      <c r="CZ405" s="335"/>
      <c r="DA405" s="335"/>
      <c r="DB405" s="335"/>
      <c r="DC405" s="335"/>
      <c r="DD405" s="335"/>
      <c r="DE405" s="335"/>
      <c r="DF405" s="335"/>
      <c r="DG405" s="335"/>
      <c r="DH405" s="335"/>
      <c r="DI405" s="335"/>
      <c r="DJ405" s="335"/>
      <c r="DK405" s="335"/>
      <c r="DL405" s="335"/>
      <c r="DM405" s="335"/>
      <c r="DN405" s="335"/>
      <c r="DO405" s="335"/>
      <c r="DP405" s="335"/>
      <c r="DQ405" s="335"/>
      <c r="DR405" s="335"/>
      <c r="DS405" s="335"/>
      <c r="DT405" s="335"/>
      <c r="DU405" s="335"/>
      <c r="DV405" s="335"/>
      <c r="DW405" s="335"/>
      <c r="DX405" s="335"/>
      <c r="DY405" s="335"/>
      <c r="DZ405" s="335"/>
      <c r="EA405" s="335"/>
      <c r="EB405" s="335"/>
      <c r="EC405" s="335"/>
      <c r="ED405" s="335"/>
      <c r="EE405" s="335"/>
      <c r="EF405" s="335"/>
      <c r="EG405" s="335"/>
      <c r="EH405" s="335"/>
      <c r="EI405" s="335"/>
      <c r="EJ405" s="335"/>
      <c r="EK405" s="335"/>
      <c r="EL405" s="335"/>
      <c r="EM405" s="335"/>
      <c r="EN405" s="335"/>
      <c r="EO405" s="335"/>
      <c r="EP405" s="335"/>
      <c r="EQ405" s="335"/>
      <c r="ER405" s="335"/>
      <c r="ES405" s="335"/>
      <c r="ET405" s="335"/>
      <c r="EU405" s="335"/>
      <c r="EV405" s="335"/>
      <c r="EW405" s="335"/>
      <c r="EX405" s="335"/>
      <c r="EY405" s="335"/>
      <c r="EZ405" s="335"/>
      <c r="FA405" s="335"/>
      <c r="FB405" s="335"/>
      <c r="FC405" s="335"/>
      <c r="FD405" s="335"/>
      <c r="FE405" s="335"/>
      <c r="FF405" s="335"/>
      <c r="FG405" s="335"/>
      <c r="FH405" s="335"/>
      <c r="FI405" s="335"/>
      <c r="FJ405" s="335"/>
      <c r="FK405" s="335"/>
      <c r="FL405" s="335"/>
      <c r="FM405" s="335"/>
      <c r="FN405" s="335"/>
      <c r="FO405" s="335"/>
      <c r="FP405" s="335"/>
      <c r="FQ405" s="335"/>
      <c r="FR405" s="335"/>
      <c r="FS405" s="335"/>
      <c r="FT405" s="335"/>
      <c r="FU405" s="335"/>
      <c r="FV405" s="335"/>
      <c r="FW405" s="335"/>
      <c r="FX405" s="335"/>
      <c r="FY405" s="335"/>
      <c r="FZ405" s="335"/>
      <c r="GA405" s="335"/>
      <c r="GB405" s="335"/>
      <c r="GC405" s="335"/>
      <c r="GD405" s="335"/>
      <c r="GE405" s="335"/>
      <c r="GF405" s="335"/>
      <c r="GG405" s="335"/>
      <c r="GH405" s="335"/>
      <c r="GI405" s="335"/>
      <c r="GJ405" s="335"/>
      <c r="GK405" s="335"/>
      <c r="GL405" s="335"/>
      <c r="GM405" s="335"/>
      <c r="GN405" s="335"/>
      <c r="GO405" s="335"/>
      <c r="GP405" s="335"/>
      <c r="GQ405" s="335"/>
      <c r="GR405" s="335"/>
      <c r="GS405" s="335"/>
      <c r="GT405" s="335"/>
      <c r="GU405" s="335"/>
      <c r="GV405" s="335"/>
      <c r="GW405" s="335"/>
      <c r="GX405" s="335"/>
      <c r="GY405" s="335"/>
      <c r="GZ405" s="335"/>
    </row>
    <row r="406" spans="1:208" ht="15">
      <c r="A406" s="379"/>
      <c r="B406" s="335"/>
      <c r="C406" s="335"/>
      <c r="D406" s="335"/>
      <c r="E406" s="335"/>
      <c r="F406" s="335"/>
      <c r="G406" s="335"/>
      <c r="H406" s="335"/>
      <c r="I406" s="335"/>
      <c r="J406" s="335"/>
      <c r="K406" s="335"/>
      <c r="L406" s="335"/>
      <c r="M406" s="376"/>
      <c r="N406" s="335"/>
      <c r="O406" s="380"/>
      <c r="P406" s="335"/>
      <c r="Q406" s="335"/>
      <c r="R406" s="335"/>
      <c r="S406" s="335"/>
      <c r="T406" s="335"/>
      <c r="U406" s="335"/>
      <c r="V406" s="335"/>
      <c r="W406" s="335"/>
      <c r="X406" s="335"/>
      <c r="Y406" s="335"/>
      <c r="Z406" s="335"/>
      <c r="AA406" s="335"/>
      <c r="AB406" s="335"/>
      <c r="AC406" s="335"/>
      <c r="AD406" s="335"/>
      <c r="AE406" s="335"/>
      <c r="AF406" s="335"/>
      <c r="AG406" s="335"/>
      <c r="AH406" s="335"/>
      <c r="AI406" s="335"/>
      <c r="AJ406" s="335"/>
      <c r="AK406" s="335"/>
      <c r="AL406" s="335"/>
      <c r="AM406" s="335"/>
      <c r="AN406" s="335"/>
      <c r="AO406" s="335"/>
      <c r="AP406" s="335"/>
      <c r="AQ406" s="335"/>
      <c r="AR406" s="335"/>
      <c r="AS406" s="335"/>
      <c r="AT406" s="335"/>
      <c r="AU406" s="335"/>
      <c r="AV406" s="335"/>
      <c r="AW406" s="335"/>
      <c r="AX406" s="335"/>
      <c r="AY406" s="335"/>
      <c r="AZ406" s="335"/>
      <c r="BA406" s="335"/>
      <c r="BB406" s="335"/>
      <c r="BC406" s="335"/>
      <c r="BD406" s="335"/>
      <c r="BE406" s="335"/>
      <c r="BF406" s="335"/>
      <c r="BG406" s="335"/>
      <c r="BH406" s="335"/>
      <c r="BI406" s="335"/>
      <c r="BJ406" s="335"/>
      <c r="BK406" s="335"/>
      <c r="BL406" s="335"/>
      <c r="BM406" s="335"/>
      <c r="BN406" s="335"/>
      <c r="BO406" s="335"/>
      <c r="BP406" s="335"/>
      <c r="BQ406" s="335"/>
      <c r="BR406" s="335"/>
      <c r="BS406" s="335"/>
      <c r="BT406" s="335"/>
      <c r="BU406" s="335"/>
      <c r="BV406" s="335"/>
      <c r="BW406" s="335"/>
      <c r="BX406" s="335"/>
      <c r="BY406" s="335"/>
      <c r="BZ406" s="335"/>
      <c r="CA406" s="335"/>
      <c r="CB406" s="335"/>
      <c r="CC406" s="335"/>
      <c r="CD406" s="335"/>
      <c r="CE406" s="335"/>
      <c r="CF406" s="335"/>
      <c r="CG406" s="335"/>
      <c r="CH406" s="335"/>
      <c r="CI406" s="335"/>
      <c r="CJ406" s="335"/>
      <c r="CK406" s="335"/>
      <c r="CL406" s="335"/>
      <c r="CM406" s="335"/>
      <c r="CN406" s="335"/>
      <c r="CO406" s="335"/>
      <c r="CP406" s="335"/>
      <c r="CQ406" s="335"/>
      <c r="CR406" s="335"/>
      <c r="CS406" s="335"/>
      <c r="CT406" s="335"/>
      <c r="CU406" s="335"/>
      <c r="CV406" s="335"/>
      <c r="CW406" s="335"/>
      <c r="CX406" s="335"/>
      <c r="CY406" s="335"/>
      <c r="CZ406" s="335"/>
      <c r="DA406" s="335"/>
      <c r="DB406" s="335"/>
      <c r="DC406" s="335"/>
      <c r="DD406" s="335"/>
      <c r="DE406" s="335"/>
      <c r="DF406" s="335"/>
      <c r="DG406" s="335"/>
      <c r="DH406" s="335"/>
      <c r="DI406" s="335"/>
      <c r="DJ406" s="335"/>
      <c r="DK406" s="335"/>
      <c r="DL406" s="335"/>
      <c r="DM406" s="335"/>
      <c r="DN406" s="335"/>
      <c r="DO406" s="335"/>
      <c r="DP406" s="335"/>
      <c r="DQ406" s="335"/>
      <c r="DR406" s="335"/>
      <c r="DS406" s="335"/>
      <c r="DT406" s="335"/>
      <c r="DU406" s="335"/>
      <c r="DV406" s="335"/>
      <c r="DW406" s="335"/>
      <c r="DX406" s="335"/>
      <c r="DY406" s="335"/>
      <c r="DZ406" s="335"/>
      <c r="EA406" s="335"/>
      <c r="EB406" s="335"/>
      <c r="EC406" s="335"/>
      <c r="ED406" s="335"/>
      <c r="EE406" s="335"/>
      <c r="EF406" s="335"/>
      <c r="EG406" s="335"/>
      <c r="EH406" s="335"/>
      <c r="EI406" s="335"/>
      <c r="EJ406" s="335"/>
      <c r="EK406" s="335"/>
      <c r="EL406" s="335"/>
      <c r="EM406" s="335"/>
      <c r="EN406" s="335"/>
      <c r="EO406" s="335"/>
      <c r="EP406" s="335"/>
      <c r="EQ406" s="335"/>
      <c r="ER406" s="335"/>
      <c r="ES406" s="335"/>
      <c r="ET406" s="335"/>
      <c r="EU406" s="335"/>
      <c r="EV406" s="335"/>
      <c r="EW406" s="335"/>
      <c r="EX406" s="335"/>
      <c r="EY406" s="335"/>
      <c r="EZ406" s="335"/>
      <c r="FA406" s="335"/>
      <c r="FB406" s="335"/>
      <c r="FC406" s="335"/>
      <c r="FD406" s="335"/>
      <c r="FE406" s="335"/>
      <c r="FF406" s="335"/>
      <c r="FG406" s="335"/>
      <c r="FH406" s="335"/>
      <c r="FI406" s="335"/>
      <c r="FJ406" s="335"/>
      <c r="FK406" s="335"/>
      <c r="FL406" s="335"/>
      <c r="FM406" s="335"/>
      <c r="FN406" s="335"/>
      <c r="FO406" s="335"/>
      <c r="FP406" s="335"/>
      <c r="FQ406" s="335"/>
      <c r="FR406" s="335"/>
      <c r="FS406" s="335"/>
      <c r="FT406" s="335"/>
      <c r="FU406" s="335"/>
      <c r="FV406" s="335"/>
      <c r="FW406" s="335"/>
      <c r="FX406" s="335"/>
      <c r="FY406" s="335"/>
      <c r="FZ406" s="335"/>
      <c r="GA406" s="335"/>
      <c r="GB406" s="335"/>
      <c r="GC406" s="335"/>
      <c r="GD406" s="335"/>
      <c r="GE406" s="335"/>
      <c r="GF406" s="335"/>
      <c r="GG406" s="335"/>
      <c r="GH406" s="335"/>
      <c r="GI406" s="335"/>
      <c r="GJ406" s="335"/>
      <c r="GK406" s="335"/>
      <c r="GL406" s="335"/>
      <c r="GM406" s="335"/>
      <c r="GN406" s="335"/>
      <c r="GO406" s="335"/>
      <c r="GP406" s="335"/>
      <c r="GQ406" s="335"/>
      <c r="GR406" s="335"/>
      <c r="GS406" s="335"/>
      <c r="GT406" s="335"/>
      <c r="GU406" s="335"/>
      <c r="GV406" s="335"/>
      <c r="GW406" s="335"/>
      <c r="GX406" s="335"/>
      <c r="GY406" s="335"/>
      <c r="GZ406" s="335"/>
    </row>
    <row r="407" spans="1:208" ht="15">
      <c r="A407" s="379"/>
      <c r="B407" s="335"/>
      <c r="C407" s="335"/>
      <c r="D407" s="335"/>
      <c r="E407" s="335"/>
      <c r="F407" s="335"/>
      <c r="G407" s="335"/>
      <c r="H407" s="335"/>
      <c r="I407" s="335"/>
      <c r="J407" s="335"/>
      <c r="K407" s="335"/>
      <c r="L407" s="335"/>
      <c r="M407" s="376"/>
      <c r="N407" s="335"/>
      <c r="O407" s="380"/>
      <c r="P407" s="335"/>
      <c r="Q407" s="335"/>
      <c r="R407" s="335"/>
      <c r="S407" s="335"/>
      <c r="T407" s="335"/>
      <c r="U407" s="335"/>
      <c r="V407" s="335"/>
      <c r="W407" s="335"/>
      <c r="X407" s="335"/>
      <c r="Y407" s="335"/>
      <c r="Z407" s="335"/>
      <c r="AA407" s="335"/>
      <c r="AB407" s="335"/>
      <c r="AC407" s="335"/>
      <c r="AD407" s="335"/>
      <c r="AE407" s="335"/>
      <c r="AF407" s="335"/>
      <c r="AG407" s="335"/>
      <c r="AH407" s="335"/>
      <c r="AI407" s="335"/>
      <c r="AJ407" s="335"/>
      <c r="AK407" s="335"/>
      <c r="AL407" s="335"/>
      <c r="AM407" s="335"/>
      <c r="AN407" s="335"/>
      <c r="AO407" s="335"/>
      <c r="AP407" s="335"/>
      <c r="AQ407" s="335"/>
      <c r="AR407" s="335"/>
      <c r="AS407" s="335"/>
      <c r="AT407" s="335"/>
      <c r="AU407" s="335"/>
      <c r="AV407" s="335"/>
      <c r="AW407" s="335"/>
      <c r="AX407" s="335"/>
      <c r="AY407" s="335"/>
      <c r="AZ407" s="335"/>
      <c r="BA407" s="335"/>
      <c r="BB407" s="335"/>
      <c r="BC407" s="335"/>
      <c r="BD407" s="335"/>
      <c r="BE407" s="335"/>
      <c r="BF407" s="335"/>
      <c r="BG407" s="335"/>
      <c r="BH407" s="335"/>
      <c r="BI407" s="335"/>
      <c r="BJ407" s="335"/>
      <c r="BK407" s="335"/>
      <c r="BL407" s="335"/>
      <c r="BM407" s="335"/>
      <c r="BN407" s="335"/>
      <c r="BO407" s="335"/>
      <c r="BP407" s="335"/>
      <c r="BQ407" s="335"/>
      <c r="BR407" s="335"/>
      <c r="BS407" s="335"/>
      <c r="BT407" s="335"/>
      <c r="BU407" s="335"/>
      <c r="BV407" s="335"/>
      <c r="BW407" s="335"/>
      <c r="BX407" s="335"/>
      <c r="BY407" s="335"/>
      <c r="BZ407" s="335"/>
      <c r="CA407" s="335"/>
      <c r="CB407" s="335"/>
      <c r="CC407" s="335"/>
      <c r="CD407" s="335"/>
      <c r="CE407" s="335"/>
      <c r="CF407" s="335"/>
      <c r="CG407" s="335"/>
      <c r="CH407" s="335"/>
      <c r="CI407" s="335"/>
      <c r="CJ407" s="335"/>
      <c r="CK407" s="335"/>
      <c r="CL407" s="335"/>
      <c r="CM407" s="335"/>
      <c r="CN407" s="335"/>
      <c r="CO407" s="335"/>
      <c r="CP407" s="335"/>
      <c r="CQ407" s="335"/>
      <c r="CR407" s="335"/>
      <c r="CS407" s="335"/>
      <c r="CT407" s="335"/>
      <c r="CU407" s="335"/>
      <c r="CV407" s="335"/>
      <c r="CW407" s="335"/>
      <c r="CX407" s="335"/>
      <c r="CY407" s="335"/>
      <c r="CZ407" s="335"/>
      <c r="DA407" s="335"/>
      <c r="DB407" s="335"/>
      <c r="DC407" s="335"/>
      <c r="DD407" s="335"/>
      <c r="DE407" s="335"/>
      <c r="DF407" s="335"/>
      <c r="DG407" s="335"/>
      <c r="DH407" s="335"/>
      <c r="DI407" s="335"/>
      <c r="DJ407" s="335"/>
      <c r="DK407" s="335"/>
      <c r="DL407" s="335"/>
      <c r="DM407" s="335"/>
      <c r="DN407" s="335"/>
      <c r="DO407" s="335"/>
      <c r="DP407" s="335"/>
      <c r="DQ407" s="335"/>
      <c r="DR407" s="335"/>
      <c r="DS407" s="335"/>
      <c r="DT407" s="335"/>
      <c r="DU407" s="335"/>
      <c r="DV407" s="335"/>
      <c r="DW407" s="335"/>
      <c r="DX407" s="335"/>
      <c r="DY407" s="335"/>
      <c r="DZ407" s="335"/>
      <c r="EA407" s="335"/>
      <c r="EB407" s="335"/>
      <c r="EC407" s="335"/>
      <c r="ED407" s="335"/>
      <c r="EE407" s="335"/>
      <c r="EF407" s="335"/>
      <c r="EG407" s="335"/>
      <c r="EH407" s="335"/>
      <c r="EI407" s="335"/>
      <c r="EJ407" s="335"/>
      <c r="EK407" s="335"/>
      <c r="EL407" s="335"/>
      <c r="EM407" s="335"/>
      <c r="EN407" s="335"/>
      <c r="EO407" s="335"/>
      <c r="EP407" s="335"/>
      <c r="EQ407" s="335"/>
      <c r="ER407" s="335"/>
      <c r="ES407" s="335"/>
      <c r="ET407" s="335"/>
      <c r="EU407" s="335"/>
      <c r="EV407" s="335"/>
      <c r="EW407" s="335"/>
      <c r="EX407" s="335"/>
      <c r="EY407" s="335"/>
      <c r="EZ407" s="335"/>
      <c r="FA407" s="335"/>
      <c r="FB407" s="335"/>
      <c r="FC407" s="335"/>
      <c r="FD407" s="335"/>
      <c r="FE407" s="335"/>
      <c r="FF407" s="335"/>
      <c r="FG407" s="335"/>
      <c r="FH407" s="335"/>
      <c r="FI407" s="335"/>
      <c r="FJ407" s="335"/>
      <c r="FK407" s="335"/>
      <c r="FL407" s="335"/>
      <c r="FM407" s="335"/>
      <c r="FN407" s="335"/>
      <c r="FO407" s="335"/>
      <c r="FP407" s="335"/>
      <c r="FQ407" s="335"/>
      <c r="FR407" s="335"/>
      <c r="FS407" s="335"/>
      <c r="FT407" s="335"/>
      <c r="FU407" s="335"/>
      <c r="FV407" s="335"/>
      <c r="FW407" s="335"/>
      <c r="FX407" s="335"/>
      <c r="FY407" s="335"/>
      <c r="FZ407" s="335"/>
      <c r="GA407" s="335"/>
      <c r="GB407" s="335"/>
      <c r="GC407" s="335"/>
      <c r="GD407" s="335"/>
      <c r="GE407" s="335"/>
      <c r="GF407" s="335"/>
      <c r="GG407" s="335"/>
      <c r="GH407" s="335"/>
      <c r="GI407" s="335"/>
      <c r="GJ407" s="335"/>
      <c r="GK407" s="335"/>
      <c r="GL407" s="335"/>
      <c r="GM407" s="335"/>
      <c r="GN407" s="335"/>
      <c r="GO407" s="335"/>
      <c r="GP407" s="335"/>
      <c r="GQ407" s="335"/>
      <c r="GR407" s="335"/>
      <c r="GS407" s="335"/>
      <c r="GT407" s="335"/>
      <c r="GU407" s="335"/>
      <c r="GV407" s="335"/>
      <c r="GW407" s="335"/>
      <c r="GX407" s="335"/>
      <c r="GY407" s="335"/>
      <c r="GZ407" s="335"/>
    </row>
    <row r="408" spans="1:208" ht="15">
      <c r="A408" s="379"/>
      <c r="B408" s="335"/>
      <c r="C408" s="335"/>
      <c r="D408" s="335"/>
      <c r="E408" s="335"/>
      <c r="F408" s="335"/>
      <c r="G408" s="335"/>
      <c r="H408" s="335"/>
      <c r="I408" s="335"/>
      <c r="J408" s="335"/>
      <c r="K408" s="335"/>
      <c r="L408" s="335"/>
      <c r="M408" s="376"/>
      <c r="N408" s="335"/>
      <c r="O408" s="380"/>
      <c r="P408" s="335"/>
      <c r="Q408" s="335"/>
      <c r="R408" s="335"/>
      <c r="S408" s="335"/>
      <c r="T408" s="335"/>
      <c r="U408" s="335"/>
      <c r="V408" s="335"/>
      <c r="W408" s="335"/>
      <c r="X408" s="335"/>
      <c r="Y408" s="335"/>
      <c r="Z408" s="335"/>
      <c r="AA408" s="335"/>
      <c r="AB408" s="335"/>
      <c r="AC408" s="335"/>
      <c r="AD408" s="335"/>
      <c r="AE408" s="335"/>
      <c r="AF408" s="335"/>
      <c r="AG408" s="335"/>
      <c r="AH408" s="335"/>
      <c r="AI408" s="335"/>
      <c r="AJ408" s="335"/>
      <c r="AK408" s="335"/>
      <c r="AL408" s="335"/>
      <c r="AM408" s="335"/>
      <c r="AN408" s="335"/>
      <c r="AO408" s="335"/>
      <c r="AP408" s="335"/>
      <c r="AQ408" s="335"/>
      <c r="AR408" s="335"/>
      <c r="AS408" s="335"/>
      <c r="AT408" s="335"/>
      <c r="AU408" s="335"/>
      <c r="AV408" s="335"/>
      <c r="AW408" s="335"/>
      <c r="AX408" s="335"/>
      <c r="AY408" s="335"/>
      <c r="AZ408" s="335"/>
      <c r="BA408" s="335"/>
      <c r="BB408" s="335"/>
      <c r="BC408" s="335"/>
      <c r="BD408" s="335"/>
      <c r="BE408" s="335"/>
      <c r="BF408" s="335"/>
      <c r="BG408" s="335"/>
      <c r="BH408" s="335"/>
      <c r="BI408" s="335"/>
      <c r="BJ408" s="335"/>
      <c r="BK408" s="335"/>
      <c r="BL408" s="335"/>
      <c r="BM408" s="335"/>
      <c r="BN408" s="335"/>
      <c r="BO408" s="335"/>
      <c r="BP408" s="335"/>
      <c r="BQ408" s="335"/>
      <c r="BR408" s="335"/>
      <c r="BS408" s="335"/>
      <c r="BT408" s="335"/>
      <c r="BU408" s="335"/>
      <c r="BV408" s="335"/>
      <c r="BW408" s="335"/>
      <c r="BX408" s="335"/>
      <c r="BY408" s="335"/>
      <c r="BZ408" s="335"/>
      <c r="CA408" s="335"/>
      <c r="CB408" s="335"/>
      <c r="CC408" s="335"/>
      <c r="CD408" s="335"/>
      <c r="CE408" s="335"/>
      <c r="CF408" s="335"/>
      <c r="CG408" s="335"/>
      <c r="CH408" s="335"/>
      <c r="CI408" s="335"/>
      <c r="CJ408" s="335"/>
      <c r="CK408" s="335"/>
      <c r="CL408" s="335"/>
      <c r="CM408" s="335"/>
      <c r="CN408" s="335"/>
      <c r="CO408" s="335"/>
      <c r="CP408" s="335"/>
      <c r="CQ408" s="335"/>
      <c r="CR408" s="335"/>
      <c r="CS408" s="335"/>
      <c r="CT408" s="335"/>
      <c r="CU408" s="335"/>
      <c r="CV408" s="335"/>
      <c r="CW408" s="335"/>
      <c r="CX408" s="335"/>
      <c r="CY408" s="335"/>
      <c r="CZ408" s="335"/>
      <c r="DA408" s="335"/>
      <c r="DB408" s="335"/>
      <c r="DC408" s="335"/>
      <c r="DD408" s="335"/>
      <c r="DE408" s="335"/>
      <c r="DF408" s="335"/>
      <c r="DG408" s="335"/>
      <c r="DH408" s="335"/>
      <c r="DI408" s="335"/>
      <c r="DJ408" s="335"/>
      <c r="DK408" s="335"/>
      <c r="DL408" s="335"/>
      <c r="DM408" s="335"/>
      <c r="DN408" s="335"/>
      <c r="DO408" s="335"/>
      <c r="DP408" s="335"/>
      <c r="DQ408" s="335"/>
      <c r="DR408" s="335"/>
      <c r="DS408" s="335"/>
      <c r="DT408" s="335"/>
      <c r="DU408" s="335"/>
      <c r="DV408" s="335"/>
      <c r="DW408" s="335"/>
      <c r="DX408" s="335"/>
      <c r="DY408" s="335"/>
      <c r="DZ408" s="335"/>
      <c r="EA408" s="335"/>
      <c r="EB408" s="335"/>
      <c r="EC408" s="335"/>
      <c r="ED408" s="335"/>
      <c r="EE408" s="335"/>
      <c r="EF408" s="335"/>
      <c r="EG408" s="335"/>
      <c r="EH408" s="335"/>
      <c r="EI408" s="335"/>
      <c r="EJ408" s="335"/>
      <c r="EK408" s="335"/>
      <c r="EL408" s="335"/>
      <c r="EM408" s="335"/>
      <c r="EN408" s="335"/>
      <c r="EO408" s="335"/>
      <c r="EP408" s="335"/>
      <c r="EQ408" s="335"/>
      <c r="ER408" s="335"/>
      <c r="ES408" s="335"/>
      <c r="ET408" s="335"/>
      <c r="EU408" s="335"/>
      <c r="EV408" s="335"/>
      <c r="EW408" s="335"/>
      <c r="EX408" s="335"/>
      <c r="EY408" s="335"/>
      <c r="EZ408" s="335"/>
      <c r="FA408" s="335"/>
      <c r="FB408" s="335"/>
      <c r="FC408" s="335"/>
      <c r="FD408" s="335"/>
      <c r="FE408" s="335"/>
      <c r="FF408" s="335"/>
      <c r="FG408" s="335"/>
      <c r="FH408" s="335"/>
      <c r="FI408" s="335"/>
      <c r="FJ408" s="335"/>
      <c r="FK408" s="335"/>
      <c r="FL408" s="335"/>
      <c r="FM408" s="335"/>
      <c r="FN408" s="335"/>
      <c r="FO408" s="335"/>
      <c r="FP408" s="335"/>
      <c r="FQ408" s="335"/>
      <c r="FR408" s="335"/>
      <c r="FS408" s="335"/>
      <c r="FT408" s="335"/>
      <c r="FU408" s="335"/>
      <c r="FV408" s="335"/>
      <c r="FW408" s="335"/>
      <c r="FX408" s="335"/>
      <c r="FY408" s="335"/>
      <c r="FZ408" s="335"/>
      <c r="GA408" s="335"/>
      <c r="GB408" s="335"/>
      <c r="GC408" s="335"/>
      <c r="GD408" s="335"/>
      <c r="GE408" s="335"/>
      <c r="GF408" s="335"/>
      <c r="GG408" s="335"/>
      <c r="GH408" s="335"/>
      <c r="GI408" s="335"/>
      <c r="GJ408" s="335"/>
      <c r="GK408" s="335"/>
      <c r="GL408" s="335"/>
      <c r="GM408" s="335"/>
      <c r="GN408" s="335"/>
      <c r="GO408" s="335"/>
      <c r="GP408" s="335"/>
      <c r="GQ408" s="335"/>
      <c r="GR408" s="335"/>
      <c r="GS408" s="335"/>
      <c r="GT408" s="335"/>
      <c r="GU408" s="335"/>
      <c r="GV408" s="335"/>
      <c r="GW408" s="335"/>
      <c r="GX408" s="335"/>
      <c r="GY408" s="335"/>
      <c r="GZ408" s="335"/>
    </row>
    <row r="409" spans="1:208" ht="15">
      <c r="A409" s="379"/>
      <c r="B409" s="335"/>
      <c r="C409" s="335"/>
      <c r="D409" s="335"/>
      <c r="E409" s="335"/>
      <c r="F409" s="335"/>
      <c r="G409" s="335"/>
      <c r="H409" s="335"/>
      <c r="I409" s="335"/>
      <c r="J409" s="335"/>
      <c r="K409" s="335"/>
      <c r="L409" s="335"/>
      <c r="M409" s="376"/>
      <c r="N409" s="335"/>
      <c r="O409" s="380"/>
      <c r="P409" s="335"/>
      <c r="Q409" s="335"/>
      <c r="R409" s="335"/>
      <c r="S409" s="335"/>
      <c r="T409" s="335"/>
      <c r="U409" s="335"/>
      <c r="V409" s="335"/>
      <c r="W409" s="335"/>
      <c r="X409" s="335"/>
      <c r="Y409" s="335"/>
      <c r="Z409" s="335"/>
      <c r="AA409" s="335"/>
      <c r="AB409" s="335"/>
      <c r="AC409" s="335"/>
      <c r="AD409" s="335"/>
      <c r="AE409" s="335"/>
      <c r="AF409" s="335"/>
      <c r="AG409" s="335"/>
      <c r="AH409" s="335"/>
      <c r="AI409" s="335"/>
      <c r="AJ409" s="335"/>
      <c r="AK409" s="335"/>
      <c r="AL409" s="335"/>
      <c r="AM409" s="335"/>
      <c r="AN409" s="335"/>
      <c r="AO409" s="335"/>
      <c r="AP409" s="335"/>
      <c r="AQ409" s="335"/>
      <c r="AR409" s="335"/>
      <c r="AS409" s="335"/>
      <c r="AT409" s="335"/>
      <c r="AU409" s="335"/>
      <c r="AV409" s="335"/>
      <c r="AW409" s="335"/>
      <c r="AX409" s="335"/>
      <c r="AY409" s="335"/>
      <c r="AZ409" s="335"/>
      <c r="BA409" s="335"/>
      <c r="BB409" s="335"/>
      <c r="BC409" s="335"/>
      <c r="BD409" s="335"/>
      <c r="BE409" s="335"/>
      <c r="BF409" s="335"/>
      <c r="BG409" s="335"/>
      <c r="BH409" s="335"/>
      <c r="BI409" s="335"/>
      <c r="BJ409" s="335"/>
      <c r="BK409" s="335"/>
      <c r="BL409" s="335"/>
      <c r="BM409" s="335"/>
      <c r="BN409" s="335"/>
      <c r="BO409" s="335"/>
      <c r="BP409" s="335"/>
      <c r="BQ409" s="335"/>
      <c r="BR409" s="335"/>
      <c r="BS409" s="335"/>
      <c r="BT409" s="335"/>
      <c r="BU409" s="335"/>
      <c r="BV409" s="335"/>
      <c r="BW409" s="335"/>
      <c r="BX409" s="335"/>
      <c r="BY409" s="335"/>
      <c r="BZ409" s="335"/>
      <c r="CA409" s="335"/>
      <c r="CB409" s="335"/>
      <c r="CC409" s="335"/>
      <c r="CD409" s="335"/>
      <c r="CE409" s="335"/>
      <c r="CF409" s="335"/>
      <c r="CG409" s="335"/>
      <c r="CH409" s="335"/>
      <c r="CI409" s="335"/>
      <c r="CJ409" s="335"/>
      <c r="CK409" s="335"/>
      <c r="CL409" s="335"/>
      <c r="CM409" s="335"/>
      <c r="CN409" s="335"/>
      <c r="CO409" s="335"/>
      <c r="CP409" s="335"/>
      <c r="CQ409" s="335"/>
      <c r="CR409" s="335"/>
      <c r="CS409" s="335"/>
      <c r="CT409" s="335"/>
      <c r="CU409" s="335"/>
      <c r="CV409" s="335"/>
      <c r="CW409" s="335"/>
      <c r="CX409" s="335"/>
      <c r="CY409" s="335"/>
      <c r="CZ409" s="335"/>
      <c r="DA409" s="335"/>
      <c r="DB409" s="335"/>
      <c r="DC409" s="335"/>
      <c r="DD409" s="335"/>
      <c r="DE409" s="335"/>
      <c r="DF409" s="335"/>
      <c r="DG409" s="335"/>
      <c r="DH409" s="335"/>
      <c r="DI409" s="335"/>
      <c r="DJ409" s="335"/>
      <c r="DK409" s="335"/>
      <c r="DL409" s="335"/>
      <c r="DM409" s="335"/>
      <c r="DN409" s="335"/>
      <c r="DO409" s="335"/>
      <c r="DP409" s="335"/>
      <c r="DQ409" s="335"/>
      <c r="DR409" s="335"/>
      <c r="DS409" s="335"/>
      <c r="DT409" s="335"/>
      <c r="DU409" s="335"/>
      <c r="DV409" s="335"/>
      <c r="DW409" s="335"/>
      <c r="DX409" s="335"/>
      <c r="DY409" s="335"/>
      <c r="DZ409" s="335"/>
      <c r="EA409" s="335"/>
      <c r="EB409" s="335"/>
      <c r="EC409" s="335"/>
      <c r="ED409" s="335"/>
      <c r="EE409" s="335"/>
      <c r="EF409" s="335"/>
      <c r="EG409" s="335"/>
      <c r="EH409" s="335"/>
      <c r="EI409" s="335"/>
      <c r="EJ409" s="335"/>
      <c r="EK409" s="335"/>
      <c r="EL409" s="335"/>
      <c r="EM409" s="335"/>
      <c r="EN409" s="335"/>
      <c r="EO409" s="335"/>
      <c r="EP409" s="335"/>
      <c r="EQ409" s="335"/>
      <c r="ER409" s="335"/>
      <c r="ES409" s="335"/>
      <c r="ET409" s="335"/>
      <c r="EU409" s="335"/>
      <c r="EV409" s="335"/>
      <c r="EW409" s="335"/>
      <c r="EX409" s="335"/>
      <c r="EY409" s="335"/>
      <c r="EZ409" s="335"/>
      <c r="FA409" s="335"/>
      <c r="FB409" s="335"/>
      <c r="FC409" s="335"/>
      <c r="FD409" s="335"/>
      <c r="FE409" s="335"/>
      <c r="FF409" s="335"/>
      <c r="FG409" s="335"/>
      <c r="FH409" s="335"/>
      <c r="FI409" s="335"/>
      <c r="FJ409" s="335"/>
      <c r="FK409" s="335"/>
      <c r="FL409" s="335"/>
      <c r="FM409" s="335"/>
      <c r="FN409" s="335"/>
      <c r="FO409" s="335"/>
      <c r="FP409" s="335"/>
      <c r="FQ409" s="335"/>
      <c r="FR409" s="335"/>
      <c r="FS409" s="335"/>
      <c r="FT409" s="335"/>
      <c r="FU409" s="335"/>
      <c r="FV409" s="335"/>
      <c r="FW409" s="335"/>
      <c r="FX409" s="335"/>
      <c r="FY409" s="335"/>
      <c r="FZ409" s="335"/>
      <c r="GA409" s="335"/>
      <c r="GB409" s="335"/>
      <c r="GC409" s="335"/>
      <c r="GD409" s="335"/>
      <c r="GE409" s="335"/>
      <c r="GF409" s="335"/>
      <c r="GG409" s="335"/>
      <c r="GH409" s="335"/>
      <c r="GI409" s="335"/>
      <c r="GJ409" s="335"/>
      <c r="GK409" s="335"/>
      <c r="GL409" s="335"/>
      <c r="GM409" s="335"/>
      <c r="GN409" s="335"/>
      <c r="GO409" s="335"/>
      <c r="GP409" s="335"/>
      <c r="GQ409" s="335"/>
      <c r="GR409" s="335"/>
      <c r="GS409" s="335"/>
      <c r="GT409" s="335"/>
      <c r="GU409" s="335"/>
      <c r="GV409" s="335"/>
      <c r="GW409" s="335"/>
      <c r="GX409" s="335"/>
      <c r="GY409" s="335"/>
      <c r="GZ409" s="335"/>
    </row>
    <row r="410" spans="1:208" ht="15">
      <c r="A410" s="379"/>
      <c r="B410" s="335"/>
      <c r="C410" s="335"/>
      <c r="D410" s="335"/>
      <c r="E410" s="335"/>
      <c r="F410" s="335"/>
      <c r="G410" s="335"/>
      <c r="H410" s="335"/>
      <c r="I410" s="335"/>
      <c r="J410" s="335"/>
      <c r="K410" s="335"/>
      <c r="L410" s="335"/>
      <c r="M410" s="376"/>
      <c r="N410" s="335"/>
      <c r="O410" s="380"/>
      <c r="P410" s="335"/>
      <c r="Q410" s="335"/>
      <c r="R410" s="335"/>
      <c r="S410" s="335"/>
      <c r="T410" s="335"/>
      <c r="U410" s="335"/>
      <c r="V410" s="335"/>
      <c r="W410" s="335"/>
      <c r="X410" s="335"/>
      <c r="Y410" s="335"/>
      <c r="Z410" s="335"/>
      <c r="AA410" s="335"/>
      <c r="AB410" s="335"/>
      <c r="AC410" s="335"/>
      <c r="AD410" s="335"/>
      <c r="AE410" s="335"/>
      <c r="AF410" s="335"/>
      <c r="AG410" s="335"/>
      <c r="AH410" s="335"/>
      <c r="AI410" s="335"/>
      <c r="AJ410" s="335"/>
      <c r="AK410" s="335"/>
      <c r="AL410" s="335"/>
      <c r="AM410" s="335"/>
      <c r="AN410" s="335"/>
      <c r="AO410" s="335"/>
      <c r="AP410" s="335"/>
      <c r="AQ410" s="335"/>
      <c r="AR410" s="335"/>
      <c r="AS410" s="335"/>
      <c r="AT410" s="335"/>
      <c r="AU410" s="335"/>
      <c r="AV410" s="335"/>
      <c r="AW410" s="335"/>
      <c r="AX410" s="335"/>
      <c r="AY410" s="335"/>
      <c r="AZ410" s="335"/>
      <c r="BA410" s="335"/>
      <c r="BB410" s="335"/>
      <c r="BC410" s="335"/>
      <c r="BD410" s="335"/>
      <c r="BE410" s="335"/>
      <c r="BF410" s="335"/>
      <c r="BG410" s="335"/>
      <c r="BH410" s="335"/>
      <c r="BI410" s="335"/>
      <c r="BJ410" s="335"/>
      <c r="BK410" s="335"/>
      <c r="BL410" s="335"/>
      <c r="BM410" s="335"/>
      <c r="BN410" s="335"/>
      <c r="BO410" s="335"/>
      <c r="BP410" s="335"/>
      <c r="BQ410" s="335"/>
      <c r="BR410" s="335"/>
      <c r="BS410" s="335"/>
      <c r="BT410" s="335"/>
      <c r="BU410" s="335"/>
      <c r="BV410" s="335"/>
      <c r="BW410" s="335"/>
      <c r="BX410" s="335"/>
      <c r="BY410" s="335"/>
      <c r="BZ410" s="335"/>
      <c r="CA410" s="335"/>
      <c r="CB410" s="335"/>
      <c r="CC410" s="335"/>
      <c r="CD410" s="335"/>
      <c r="CE410" s="335"/>
      <c r="CF410" s="335"/>
      <c r="CG410" s="335"/>
      <c r="CH410" s="335"/>
      <c r="CI410" s="335"/>
      <c r="CJ410" s="335"/>
      <c r="CK410" s="335"/>
      <c r="CL410" s="335"/>
      <c r="CM410" s="335"/>
      <c r="CN410" s="335"/>
      <c r="CO410" s="335"/>
      <c r="CP410" s="335"/>
      <c r="CQ410" s="335"/>
      <c r="CR410" s="335"/>
      <c r="CS410" s="335"/>
      <c r="CT410" s="335"/>
      <c r="CU410" s="335"/>
      <c r="CV410" s="335"/>
      <c r="CW410" s="335"/>
      <c r="CX410" s="335"/>
      <c r="CY410" s="335"/>
      <c r="CZ410" s="335"/>
      <c r="DA410" s="335"/>
      <c r="DB410" s="335"/>
      <c r="DC410" s="335"/>
      <c r="DD410" s="335"/>
      <c r="DE410" s="335"/>
      <c r="DF410" s="335"/>
      <c r="DG410" s="335"/>
      <c r="DH410" s="335"/>
      <c r="DI410" s="335"/>
      <c r="DJ410" s="335"/>
      <c r="DK410" s="335"/>
      <c r="DL410" s="335"/>
      <c r="DM410" s="335"/>
      <c r="DN410" s="335"/>
      <c r="DO410" s="335"/>
      <c r="DP410" s="335"/>
      <c r="DQ410" s="335"/>
      <c r="DR410" s="335"/>
      <c r="DS410" s="335"/>
      <c r="DT410" s="335"/>
      <c r="DU410" s="335"/>
      <c r="DV410" s="335"/>
      <c r="DW410" s="335"/>
      <c r="DX410" s="335"/>
      <c r="DY410" s="335"/>
      <c r="DZ410" s="335"/>
      <c r="EA410" s="335"/>
      <c r="EB410" s="335"/>
      <c r="EC410" s="335"/>
      <c r="ED410" s="335"/>
      <c r="EE410" s="335"/>
      <c r="EF410" s="335"/>
      <c r="EG410" s="335"/>
      <c r="EH410" s="335"/>
      <c r="EI410" s="335"/>
      <c r="EJ410" s="335"/>
      <c r="EK410" s="335"/>
      <c r="EL410" s="335"/>
      <c r="EM410" s="335"/>
      <c r="EN410" s="335"/>
      <c r="EO410" s="335"/>
      <c r="EP410" s="335"/>
      <c r="EQ410" s="335"/>
      <c r="ER410" s="335"/>
      <c r="ES410" s="335"/>
      <c r="ET410" s="335"/>
      <c r="EU410" s="335"/>
      <c r="EV410" s="335"/>
      <c r="EW410" s="335"/>
      <c r="EX410" s="335"/>
      <c r="EY410" s="335"/>
      <c r="EZ410" s="335"/>
      <c r="FA410" s="335"/>
      <c r="FB410" s="335"/>
      <c r="FC410" s="335"/>
      <c r="FD410" s="335"/>
      <c r="FE410" s="335"/>
      <c r="FF410" s="335"/>
      <c r="FG410" s="335"/>
      <c r="FH410" s="335"/>
      <c r="FI410" s="335"/>
      <c r="FJ410" s="335"/>
      <c r="FK410" s="335"/>
      <c r="FL410" s="335"/>
      <c r="FM410" s="335"/>
      <c r="FN410" s="335"/>
      <c r="FO410" s="335"/>
      <c r="FP410" s="335"/>
      <c r="FQ410" s="335"/>
      <c r="FR410" s="335"/>
      <c r="FS410" s="335"/>
      <c r="FT410" s="335"/>
      <c r="FU410" s="335"/>
      <c r="FV410" s="335"/>
      <c r="FW410" s="335"/>
      <c r="FX410" s="335"/>
      <c r="FY410" s="335"/>
      <c r="FZ410" s="335"/>
      <c r="GA410" s="335"/>
      <c r="GB410" s="335"/>
      <c r="GC410" s="335"/>
      <c r="GD410" s="335"/>
      <c r="GE410" s="335"/>
      <c r="GF410" s="335"/>
      <c r="GG410" s="335"/>
      <c r="GH410" s="335"/>
      <c r="GI410" s="335"/>
      <c r="GJ410" s="335"/>
      <c r="GK410" s="335"/>
      <c r="GL410" s="335"/>
      <c r="GM410" s="335"/>
      <c r="GN410" s="335"/>
      <c r="GO410" s="335"/>
      <c r="GP410" s="335"/>
      <c r="GQ410" s="335"/>
      <c r="GR410" s="335"/>
      <c r="GS410" s="335"/>
      <c r="GT410" s="335"/>
      <c r="GU410" s="335"/>
      <c r="GV410" s="335"/>
      <c r="GW410" s="335"/>
      <c r="GX410" s="335"/>
      <c r="GY410" s="335"/>
      <c r="GZ410" s="335"/>
    </row>
    <row r="411" spans="1:208" ht="15">
      <c r="A411" s="379"/>
      <c r="B411" s="335"/>
      <c r="C411" s="335"/>
      <c r="D411" s="335"/>
      <c r="E411" s="335"/>
      <c r="F411" s="335"/>
      <c r="G411" s="335"/>
      <c r="H411" s="335"/>
      <c r="I411" s="335"/>
      <c r="J411" s="335"/>
      <c r="K411" s="335"/>
      <c r="L411" s="335"/>
      <c r="M411" s="376"/>
      <c r="N411" s="335"/>
      <c r="O411" s="380"/>
      <c r="P411" s="335"/>
      <c r="Q411" s="335"/>
      <c r="R411" s="335"/>
      <c r="S411" s="335"/>
      <c r="T411" s="335"/>
      <c r="U411" s="335"/>
      <c r="V411" s="335"/>
      <c r="W411" s="335"/>
      <c r="X411" s="335"/>
      <c r="Y411" s="335"/>
      <c r="Z411" s="335"/>
      <c r="AA411" s="335"/>
      <c r="AB411" s="335"/>
      <c r="AC411" s="335"/>
      <c r="AD411" s="335"/>
      <c r="AE411" s="335"/>
      <c r="AF411" s="335"/>
      <c r="AG411" s="335"/>
      <c r="AH411" s="335"/>
      <c r="AI411" s="335"/>
      <c r="AJ411" s="335"/>
      <c r="AK411" s="335"/>
      <c r="AL411" s="335"/>
      <c r="AM411" s="335"/>
      <c r="AN411" s="335"/>
      <c r="AO411" s="335"/>
      <c r="AP411" s="335"/>
      <c r="AQ411" s="335"/>
      <c r="AR411" s="335"/>
      <c r="AS411" s="335"/>
      <c r="AT411" s="335"/>
      <c r="AU411" s="335"/>
      <c r="AV411" s="335"/>
      <c r="AW411" s="335"/>
      <c r="AX411" s="335"/>
      <c r="AY411" s="335"/>
      <c r="AZ411" s="335"/>
      <c r="BA411" s="335"/>
      <c r="BB411" s="335"/>
      <c r="BC411" s="335"/>
      <c r="BD411" s="335"/>
      <c r="BE411" s="335"/>
      <c r="BF411" s="335"/>
      <c r="BG411" s="335"/>
      <c r="BH411" s="335"/>
      <c r="BI411" s="335"/>
      <c r="BJ411" s="335"/>
      <c r="BK411" s="335"/>
      <c r="BL411" s="335"/>
      <c r="BM411" s="335"/>
      <c r="BN411" s="335"/>
      <c r="BO411" s="335"/>
      <c r="BP411" s="335"/>
      <c r="BQ411" s="335"/>
      <c r="BR411" s="335"/>
      <c r="BS411" s="335"/>
      <c r="BT411" s="335"/>
      <c r="BU411" s="335"/>
      <c r="BV411" s="335"/>
      <c r="BW411" s="335"/>
      <c r="BX411" s="335"/>
      <c r="BY411" s="335"/>
      <c r="BZ411" s="335"/>
      <c r="CA411" s="335"/>
      <c r="CB411" s="335"/>
      <c r="CC411" s="335"/>
      <c r="CD411" s="335"/>
      <c r="CE411" s="335"/>
      <c r="CF411" s="335"/>
      <c r="CG411" s="335"/>
      <c r="CH411" s="335"/>
      <c r="CI411" s="335"/>
      <c r="CJ411" s="335"/>
      <c r="CK411" s="335"/>
      <c r="CL411" s="335"/>
      <c r="CM411" s="335"/>
      <c r="CN411" s="335"/>
      <c r="CO411" s="335"/>
      <c r="CP411" s="335"/>
      <c r="CQ411" s="335"/>
      <c r="CR411" s="335"/>
      <c r="CS411" s="335"/>
      <c r="CT411" s="335"/>
      <c r="CU411" s="335"/>
      <c r="CV411" s="335"/>
      <c r="CW411" s="335"/>
      <c r="CX411" s="335"/>
      <c r="CY411" s="335"/>
      <c r="CZ411" s="335"/>
      <c r="DA411" s="335"/>
      <c r="DB411" s="335"/>
      <c r="DC411" s="335"/>
      <c r="DD411" s="335"/>
      <c r="DE411" s="335"/>
      <c r="DF411" s="335"/>
      <c r="DG411" s="335"/>
      <c r="DH411" s="335"/>
      <c r="DI411" s="335"/>
      <c r="DJ411" s="335"/>
      <c r="DK411" s="335"/>
      <c r="DL411" s="335"/>
      <c r="DM411" s="335"/>
      <c r="DN411" s="335"/>
      <c r="DO411" s="335"/>
      <c r="DP411" s="335"/>
      <c r="DQ411" s="335"/>
      <c r="DR411" s="335"/>
      <c r="DS411" s="335"/>
      <c r="DT411" s="335"/>
      <c r="DU411" s="335"/>
      <c r="DV411" s="335"/>
      <c r="DW411" s="335"/>
      <c r="DX411" s="335"/>
      <c r="DY411" s="335"/>
      <c r="DZ411" s="335"/>
      <c r="EA411" s="335"/>
      <c r="EB411" s="335"/>
      <c r="EC411" s="335"/>
      <c r="ED411" s="335"/>
      <c r="EE411" s="335"/>
      <c r="EF411" s="335"/>
      <c r="EG411" s="335"/>
      <c r="EH411" s="335"/>
      <c r="EI411" s="335"/>
      <c r="EJ411" s="335"/>
      <c r="EK411" s="335"/>
      <c r="EL411" s="335"/>
      <c r="EM411" s="335"/>
      <c r="EN411" s="335"/>
      <c r="EO411" s="335"/>
      <c r="EP411" s="335"/>
      <c r="EQ411" s="335"/>
      <c r="ER411" s="335"/>
      <c r="ES411" s="335"/>
      <c r="ET411" s="335"/>
      <c r="EU411" s="335"/>
      <c r="EV411" s="335"/>
      <c r="EW411" s="335"/>
      <c r="EX411" s="335"/>
      <c r="EY411" s="335"/>
      <c r="EZ411" s="335"/>
      <c r="FA411" s="335"/>
      <c r="FB411" s="335"/>
      <c r="FC411" s="335"/>
      <c r="FD411" s="335"/>
      <c r="FE411" s="335"/>
      <c r="FF411" s="335"/>
      <c r="FG411" s="335"/>
      <c r="FH411" s="335"/>
      <c r="FI411" s="335"/>
      <c r="FJ411" s="335"/>
      <c r="FK411" s="335"/>
      <c r="FL411" s="335"/>
      <c r="FM411" s="335"/>
      <c r="FN411" s="335"/>
      <c r="FO411" s="335"/>
      <c r="FP411" s="335"/>
      <c r="FQ411" s="335"/>
      <c r="FR411" s="335"/>
      <c r="FS411" s="335"/>
      <c r="FT411" s="335"/>
      <c r="FU411" s="335"/>
      <c r="FV411" s="335"/>
      <c r="FW411" s="335"/>
      <c r="FX411" s="335"/>
      <c r="FY411" s="335"/>
      <c r="FZ411" s="335"/>
      <c r="GA411" s="335"/>
      <c r="GB411" s="335"/>
      <c r="GC411" s="335"/>
      <c r="GD411" s="335"/>
      <c r="GE411" s="335"/>
      <c r="GF411" s="335"/>
      <c r="GG411" s="335"/>
      <c r="GH411" s="335"/>
      <c r="GI411" s="335"/>
      <c r="GJ411" s="335"/>
      <c r="GK411" s="335"/>
      <c r="GL411" s="335"/>
      <c r="GM411" s="335"/>
      <c r="GN411" s="335"/>
      <c r="GO411" s="335"/>
      <c r="GP411" s="335"/>
      <c r="GQ411" s="335"/>
      <c r="GR411" s="335"/>
      <c r="GS411" s="335"/>
      <c r="GT411" s="335"/>
      <c r="GU411" s="335"/>
      <c r="GV411" s="335"/>
      <c r="GW411" s="335"/>
      <c r="GX411" s="335"/>
      <c r="GY411" s="335"/>
      <c r="GZ411" s="335"/>
    </row>
    <row r="412" spans="1:208" ht="15">
      <c r="A412" s="379"/>
      <c r="B412" s="335"/>
      <c r="C412" s="335"/>
      <c r="D412" s="335"/>
      <c r="E412" s="335"/>
      <c r="F412" s="335"/>
      <c r="G412" s="335"/>
      <c r="H412" s="335"/>
      <c r="I412" s="335"/>
      <c r="J412" s="335"/>
      <c r="K412" s="335"/>
      <c r="L412" s="335"/>
      <c r="M412" s="376"/>
      <c r="N412" s="335"/>
      <c r="O412" s="380"/>
      <c r="P412" s="335"/>
      <c r="Q412" s="335"/>
      <c r="R412" s="335"/>
      <c r="S412" s="335"/>
      <c r="T412" s="335"/>
      <c r="U412" s="335"/>
      <c r="V412" s="335"/>
      <c r="W412" s="335"/>
      <c r="X412" s="335"/>
      <c r="Y412" s="335"/>
      <c r="Z412" s="335"/>
      <c r="AA412" s="335"/>
      <c r="AB412" s="335"/>
      <c r="AC412" s="335"/>
      <c r="AD412" s="335"/>
      <c r="AE412" s="335"/>
      <c r="AF412" s="335"/>
      <c r="AG412" s="335"/>
      <c r="AH412" s="335"/>
      <c r="AI412" s="335"/>
      <c r="AJ412" s="335"/>
      <c r="AK412" s="335"/>
      <c r="AL412" s="335"/>
      <c r="AM412" s="335"/>
      <c r="AN412" s="335"/>
      <c r="AO412" s="335"/>
      <c r="AP412" s="335"/>
      <c r="AQ412" s="335"/>
      <c r="AR412" s="335"/>
      <c r="AS412" s="335"/>
      <c r="AT412" s="335"/>
      <c r="AU412" s="335"/>
      <c r="AV412" s="335"/>
      <c r="AW412" s="335"/>
      <c r="AX412" s="335"/>
      <c r="AY412" s="335"/>
      <c r="AZ412" s="335"/>
      <c r="BA412" s="335"/>
      <c r="BB412" s="335"/>
      <c r="BC412" s="335"/>
      <c r="BD412" s="335"/>
      <c r="BE412" s="335"/>
      <c r="BF412" s="335"/>
      <c r="BG412" s="335"/>
      <c r="BH412" s="335"/>
      <c r="BI412" s="335"/>
      <c r="BJ412" s="335"/>
      <c r="BK412" s="335"/>
      <c r="BL412" s="335"/>
      <c r="BM412" s="335"/>
      <c r="BN412" s="335"/>
      <c r="BO412" s="335"/>
      <c r="BP412" s="335"/>
      <c r="BQ412" s="335"/>
      <c r="BR412" s="335"/>
      <c r="BS412" s="335"/>
      <c r="BT412" s="335"/>
      <c r="BU412" s="335"/>
      <c r="BV412" s="335"/>
      <c r="BW412" s="335"/>
      <c r="BX412" s="335"/>
      <c r="BY412" s="335"/>
      <c r="BZ412" s="335"/>
      <c r="CA412" s="335"/>
      <c r="CB412" s="335"/>
      <c r="CC412" s="335"/>
      <c r="CD412" s="335"/>
      <c r="CE412" s="335"/>
      <c r="CF412" s="335"/>
      <c r="CG412" s="335"/>
      <c r="CH412" s="335"/>
      <c r="CI412" s="335"/>
      <c r="CJ412" s="335"/>
      <c r="CK412" s="335"/>
      <c r="CL412" s="335"/>
      <c r="CM412" s="335"/>
      <c r="CN412" s="335"/>
      <c r="CO412" s="335"/>
      <c r="CP412" s="335"/>
      <c r="CQ412" s="335"/>
      <c r="CR412" s="335"/>
      <c r="CS412" s="335"/>
      <c r="CT412" s="335"/>
      <c r="CU412" s="335"/>
      <c r="CV412" s="335"/>
      <c r="CW412" s="335"/>
      <c r="CX412" s="335"/>
      <c r="CY412" s="335"/>
      <c r="CZ412" s="335"/>
      <c r="DA412" s="335"/>
      <c r="DB412" s="335"/>
      <c r="DC412" s="335"/>
      <c r="DD412" s="335"/>
      <c r="DE412" s="335"/>
      <c r="DF412" s="335"/>
      <c r="DG412" s="335"/>
      <c r="DH412" s="335"/>
      <c r="DI412" s="335"/>
      <c r="DJ412" s="335"/>
      <c r="DK412" s="335"/>
      <c r="DL412" s="335"/>
      <c r="DM412" s="335"/>
      <c r="DN412" s="335"/>
      <c r="DO412" s="335"/>
      <c r="DP412" s="335"/>
      <c r="DQ412" s="335"/>
      <c r="DR412" s="335"/>
      <c r="DS412" s="335"/>
      <c r="DT412" s="335"/>
      <c r="DU412" s="335"/>
      <c r="DV412" s="335"/>
      <c r="DW412" s="335"/>
      <c r="DX412" s="335"/>
      <c r="DY412" s="335"/>
      <c r="DZ412" s="335"/>
      <c r="EA412" s="335"/>
      <c r="EB412" s="335"/>
      <c r="EC412" s="335"/>
      <c r="ED412" s="335"/>
      <c r="EE412" s="335"/>
      <c r="EF412" s="335"/>
      <c r="EG412" s="335"/>
      <c r="EH412" s="335"/>
      <c r="EI412" s="335"/>
      <c r="EJ412" s="335"/>
      <c r="EK412" s="335"/>
      <c r="EL412" s="335"/>
      <c r="EM412" s="335"/>
      <c r="EN412" s="335"/>
      <c r="EO412" s="335"/>
      <c r="EP412" s="335"/>
      <c r="EQ412" s="335"/>
      <c r="ER412" s="335"/>
      <c r="ES412" s="335"/>
      <c r="ET412" s="335"/>
      <c r="EU412" s="335"/>
      <c r="EV412" s="335"/>
      <c r="EW412" s="335"/>
      <c r="EX412" s="335"/>
      <c r="EY412" s="335"/>
      <c r="EZ412" s="335"/>
      <c r="FA412" s="335"/>
      <c r="FB412" s="335"/>
      <c r="FC412" s="335"/>
      <c r="FD412" s="335"/>
      <c r="FE412" s="335"/>
      <c r="FF412" s="335"/>
      <c r="FG412" s="335"/>
      <c r="FH412" s="335"/>
      <c r="FI412" s="335"/>
      <c r="FJ412" s="335"/>
      <c r="FK412" s="335"/>
      <c r="FL412" s="335"/>
      <c r="FM412" s="335"/>
      <c r="FN412" s="335"/>
      <c r="FO412" s="335"/>
      <c r="FP412" s="335"/>
      <c r="FQ412" s="335"/>
      <c r="FR412" s="335"/>
      <c r="FS412" s="335"/>
      <c r="FT412" s="335"/>
      <c r="FU412" s="335"/>
      <c r="FV412" s="335"/>
      <c r="FW412" s="335"/>
      <c r="FX412" s="335"/>
      <c r="FY412" s="335"/>
      <c r="FZ412" s="335"/>
      <c r="GA412" s="335"/>
      <c r="GB412" s="335"/>
      <c r="GC412" s="335"/>
      <c r="GD412" s="335"/>
      <c r="GE412" s="335"/>
      <c r="GF412" s="335"/>
      <c r="GG412" s="335"/>
      <c r="GH412" s="335"/>
      <c r="GI412" s="335"/>
      <c r="GJ412" s="335"/>
      <c r="GK412" s="335"/>
      <c r="GL412" s="335"/>
      <c r="GM412" s="335"/>
      <c r="GN412" s="335"/>
      <c r="GO412" s="335"/>
      <c r="GP412" s="335"/>
      <c r="GQ412" s="335"/>
      <c r="GR412" s="335"/>
      <c r="GS412" s="335"/>
      <c r="GT412" s="335"/>
      <c r="GU412" s="335"/>
      <c r="GV412" s="335"/>
      <c r="GW412" s="335"/>
      <c r="GX412" s="335"/>
      <c r="GY412" s="335"/>
      <c r="GZ412" s="335"/>
    </row>
    <row r="413" spans="1:208" ht="15">
      <c r="A413" s="379"/>
      <c r="B413" s="335"/>
      <c r="C413" s="335"/>
      <c r="D413" s="335"/>
      <c r="E413" s="335"/>
      <c r="F413" s="335"/>
      <c r="G413" s="335"/>
      <c r="H413" s="335"/>
      <c r="I413" s="335"/>
      <c r="J413" s="335"/>
      <c r="K413" s="335"/>
      <c r="L413" s="335"/>
      <c r="M413" s="376"/>
      <c r="N413" s="335"/>
      <c r="O413" s="380"/>
      <c r="P413" s="335"/>
      <c r="Q413" s="335"/>
      <c r="R413" s="335"/>
      <c r="S413" s="335"/>
      <c r="T413" s="335"/>
      <c r="U413" s="335"/>
      <c r="V413" s="335"/>
      <c r="W413" s="335"/>
      <c r="X413" s="335"/>
      <c r="Y413" s="335"/>
      <c r="Z413" s="335"/>
      <c r="AA413" s="335"/>
      <c r="AB413" s="335"/>
      <c r="AC413" s="335"/>
      <c r="AD413" s="335"/>
      <c r="AE413" s="335"/>
      <c r="AF413" s="335"/>
      <c r="AG413" s="335"/>
      <c r="AH413" s="335"/>
      <c r="AI413" s="335"/>
      <c r="AJ413" s="335"/>
      <c r="AK413" s="335"/>
      <c r="AL413" s="335"/>
      <c r="AM413" s="335"/>
      <c r="AN413" s="335"/>
      <c r="AO413" s="335"/>
      <c r="AP413" s="335"/>
      <c r="AQ413" s="335"/>
      <c r="AR413" s="335"/>
      <c r="AS413" s="335"/>
      <c r="AT413" s="335"/>
      <c r="AU413" s="335"/>
      <c r="AV413" s="335"/>
      <c r="AW413" s="335"/>
      <c r="AX413" s="335"/>
      <c r="AY413" s="335"/>
      <c r="AZ413" s="335"/>
      <c r="BA413" s="335"/>
      <c r="BB413" s="335"/>
      <c r="BC413" s="335"/>
      <c r="BD413" s="335"/>
      <c r="BE413" s="335"/>
      <c r="BF413" s="335"/>
      <c r="BG413" s="335"/>
      <c r="BH413" s="335"/>
      <c r="BI413" s="335"/>
      <c r="BJ413" s="335"/>
      <c r="BK413" s="335"/>
      <c r="BL413" s="335"/>
      <c r="BM413" s="335"/>
      <c r="BN413" s="335"/>
      <c r="BO413" s="335"/>
      <c r="BP413" s="335"/>
      <c r="BQ413" s="335"/>
      <c r="BR413" s="335"/>
      <c r="BS413" s="335"/>
      <c r="BT413" s="335"/>
      <c r="BU413" s="335"/>
      <c r="BV413" s="335"/>
      <c r="BW413" s="335"/>
      <c r="BX413" s="335"/>
      <c r="BY413" s="335"/>
      <c r="BZ413" s="335"/>
      <c r="CA413" s="335"/>
      <c r="CB413" s="335"/>
      <c r="CC413" s="335"/>
      <c r="CD413" s="335"/>
      <c r="CE413" s="335"/>
      <c r="CF413" s="335"/>
      <c r="CG413" s="335"/>
      <c r="CH413" s="335"/>
      <c r="CI413" s="335"/>
      <c r="CJ413" s="335"/>
      <c r="CK413" s="335"/>
      <c r="CL413" s="335"/>
      <c r="CM413" s="335"/>
      <c r="CN413" s="335"/>
      <c r="CO413" s="335"/>
      <c r="CP413" s="335"/>
      <c r="CQ413" s="335"/>
      <c r="CR413" s="335"/>
      <c r="CS413" s="335"/>
      <c r="CT413" s="335"/>
      <c r="CU413" s="335"/>
      <c r="CV413" s="335"/>
      <c r="CW413" s="335"/>
      <c r="CX413" s="335"/>
      <c r="CY413" s="335"/>
      <c r="CZ413" s="335"/>
      <c r="DA413" s="335"/>
      <c r="DB413" s="335"/>
      <c r="DC413" s="335"/>
      <c r="DD413" s="335"/>
      <c r="DE413" s="335"/>
      <c r="DF413" s="335"/>
      <c r="DG413" s="335"/>
      <c r="DH413" s="335"/>
      <c r="DI413" s="335"/>
      <c r="DJ413" s="335"/>
      <c r="DK413" s="335"/>
      <c r="DL413" s="335"/>
      <c r="DM413" s="335"/>
      <c r="DN413" s="335"/>
      <c r="DO413" s="335"/>
      <c r="DP413" s="335"/>
      <c r="DQ413" s="335"/>
      <c r="DR413" s="335"/>
      <c r="DS413" s="335"/>
      <c r="DT413" s="335"/>
      <c r="DU413" s="335"/>
      <c r="DV413" s="335"/>
      <c r="DW413" s="335"/>
      <c r="DX413" s="335"/>
      <c r="DY413" s="335"/>
      <c r="DZ413" s="335"/>
      <c r="EA413" s="335"/>
      <c r="EB413" s="335"/>
      <c r="EC413" s="335"/>
      <c r="ED413" s="335"/>
      <c r="EE413" s="335"/>
      <c r="EF413" s="335"/>
      <c r="EG413" s="335"/>
      <c r="EH413" s="335"/>
      <c r="EI413" s="335"/>
      <c r="EJ413" s="335"/>
      <c r="EK413" s="335"/>
      <c r="EL413" s="335"/>
      <c r="EM413" s="335"/>
      <c r="EN413" s="335"/>
      <c r="EO413" s="335"/>
      <c r="EP413" s="335"/>
      <c r="EQ413" s="335"/>
      <c r="ER413" s="335"/>
      <c r="ES413" s="335"/>
      <c r="ET413" s="335"/>
      <c r="EU413" s="335"/>
      <c r="EV413" s="335"/>
      <c r="EW413" s="335"/>
      <c r="EX413" s="335"/>
      <c r="EY413" s="335"/>
      <c r="EZ413" s="335"/>
      <c r="FA413" s="335"/>
      <c r="FB413" s="335"/>
      <c r="FC413" s="335"/>
      <c r="FD413" s="335"/>
      <c r="FE413" s="335"/>
      <c r="FF413" s="335"/>
      <c r="FG413" s="335"/>
      <c r="FH413" s="335"/>
      <c r="FI413" s="335"/>
      <c r="FJ413" s="335"/>
      <c r="FK413" s="335"/>
      <c r="FL413" s="335"/>
      <c r="FM413" s="335"/>
      <c r="FN413" s="335"/>
      <c r="FO413" s="335"/>
      <c r="FP413" s="335"/>
      <c r="FQ413" s="335"/>
      <c r="FR413" s="335"/>
      <c r="FS413" s="335"/>
      <c r="FT413" s="335"/>
      <c r="FU413" s="335"/>
      <c r="FV413" s="335"/>
      <c r="FW413" s="335"/>
      <c r="FX413" s="335"/>
      <c r="FY413" s="335"/>
      <c r="FZ413" s="335"/>
      <c r="GA413" s="335"/>
      <c r="GB413" s="335"/>
      <c r="GC413" s="335"/>
      <c r="GD413" s="335"/>
      <c r="GE413" s="335"/>
      <c r="GF413" s="335"/>
      <c r="GG413" s="335"/>
      <c r="GH413" s="335"/>
      <c r="GI413" s="335"/>
      <c r="GJ413" s="335"/>
      <c r="GK413" s="335"/>
      <c r="GL413" s="335"/>
      <c r="GM413" s="335"/>
      <c r="GN413" s="335"/>
      <c r="GO413" s="335"/>
      <c r="GP413" s="335"/>
      <c r="GQ413" s="335"/>
      <c r="GR413" s="335"/>
      <c r="GS413" s="335"/>
      <c r="GT413" s="335"/>
      <c r="GU413" s="335"/>
      <c r="GV413" s="335"/>
      <c r="GW413" s="335"/>
      <c r="GX413" s="335"/>
      <c r="GY413" s="335"/>
      <c r="GZ413" s="335"/>
    </row>
    <row r="414" spans="1:208" ht="15">
      <c r="A414" s="379"/>
      <c r="B414" s="335"/>
      <c r="C414" s="335"/>
      <c r="D414" s="335"/>
      <c r="E414" s="335"/>
      <c r="F414" s="335"/>
      <c r="G414" s="335"/>
      <c r="H414" s="335"/>
      <c r="I414" s="335"/>
      <c r="J414" s="335"/>
      <c r="K414" s="335"/>
      <c r="L414" s="335"/>
      <c r="M414" s="376"/>
      <c r="N414" s="335"/>
      <c r="O414" s="380"/>
      <c r="P414" s="335"/>
      <c r="Q414" s="335"/>
      <c r="R414" s="335"/>
      <c r="S414" s="335"/>
      <c r="T414" s="335"/>
      <c r="U414" s="335"/>
      <c r="V414" s="335"/>
      <c r="W414" s="335"/>
      <c r="X414" s="335"/>
      <c r="Y414" s="335"/>
      <c r="Z414" s="335"/>
      <c r="AA414" s="335"/>
      <c r="AB414" s="335"/>
      <c r="AC414" s="335"/>
      <c r="AD414" s="335"/>
      <c r="AE414" s="335"/>
      <c r="AF414" s="335"/>
      <c r="AG414" s="335"/>
      <c r="AH414" s="335"/>
      <c r="AI414" s="335"/>
      <c r="AJ414" s="335"/>
      <c r="AK414" s="335"/>
      <c r="AL414" s="335"/>
      <c r="AM414" s="335"/>
      <c r="AN414" s="335"/>
      <c r="AO414" s="335"/>
      <c r="AP414" s="335"/>
      <c r="AQ414" s="335"/>
      <c r="AR414" s="335"/>
      <c r="AS414" s="335"/>
      <c r="AT414" s="335"/>
      <c r="AU414" s="335"/>
      <c r="AV414" s="335"/>
      <c r="AW414" s="335"/>
      <c r="AX414" s="335"/>
      <c r="AY414" s="335"/>
      <c r="AZ414" s="335"/>
      <c r="BA414" s="335"/>
      <c r="BB414" s="335"/>
      <c r="BC414" s="335"/>
      <c r="BD414" s="335"/>
      <c r="BE414" s="335"/>
      <c r="BF414" s="335"/>
      <c r="BG414" s="335"/>
      <c r="BH414" s="335"/>
      <c r="BI414" s="335"/>
      <c r="BJ414" s="335"/>
      <c r="BK414" s="335"/>
      <c r="BL414" s="335"/>
      <c r="BM414" s="335"/>
      <c r="BN414" s="335"/>
      <c r="BO414" s="335"/>
      <c r="BP414" s="335"/>
      <c r="BQ414" s="335"/>
      <c r="BR414" s="335"/>
      <c r="BS414" s="335"/>
      <c r="BT414" s="335"/>
      <c r="BU414" s="335"/>
      <c r="BV414" s="335"/>
      <c r="BW414" s="335"/>
      <c r="BX414" s="335"/>
      <c r="BY414" s="335"/>
      <c r="BZ414" s="335"/>
      <c r="CA414" s="335"/>
      <c r="CB414" s="335"/>
      <c r="CC414" s="335"/>
      <c r="CD414" s="335"/>
      <c r="CE414" s="335"/>
      <c r="CF414" s="335"/>
      <c r="CG414" s="335"/>
      <c r="CH414" s="335"/>
      <c r="CI414" s="335"/>
      <c r="CJ414" s="335"/>
      <c r="CK414" s="335"/>
      <c r="CL414" s="335"/>
      <c r="CM414" s="335"/>
      <c r="CN414" s="335"/>
      <c r="CO414" s="335"/>
      <c r="CP414" s="335"/>
      <c r="CQ414" s="335"/>
      <c r="CR414" s="335"/>
      <c r="CS414" s="335"/>
      <c r="CT414" s="335"/>
      <c r="CU414" s="335"/>
      <c r="CV414" s="335"/>
      <c r="CW414" s="335"/>
      <c r="CX414" s="335"/>
      <c r="CY414" s="335"/>
      <c r="CZ414" s="335"/>
      <c r="DA414" s="335"/>
      <c r="DB414" s="335"/>
      <c r="DC414" s="335"/>
      <c r="DD414" s="335"/>
      <c r="DE414" s="335"/>
      <c r="DF414" s="335"/>
      <c r="DG414" s="335"/>
      <c r="DH414" s="335"/>
      <c r="DI414" s="335"/>
      <c r="DJ414" s="335"/>
      <c r="DK414" s="335"/>
      <c r="DL414" s="335"/>
      <c r="DM414" s="335"/>
      <c r="DN414" s="335"/>
      <c r="DO414" s="335"/>
      <c r="DP414" s="335"/>
      <c r="DQ414" s="335"/>
      <c r="DR414" s="335"/>
      <c r="DS414" s="335"/>
      <c r="DT414" s="335"/>
      <c r="DU414" s="335"/>
      <c r="DV414" s="335"/>
      <c r="DW414" s="335"/>
      <c r="DX414" s="335"/>
      <c r="DY414" s="335"/>
      <c r="DZ414" s="335"/>
      <c r="EA414" s="335"/>
      <c r="EB414" s="335"/>
      <c r="EC414" s="335"/>
      <c r="ED414" s="335"/>
      <c r="EE414" s="335"/>
      <c r="EF414" s="335"/>
      <c r="EG414" s="335"/>
      <c r="EH414" s="335"/>
      <c r="EI414" s="335"/>
      <c r="EJ414" s="335"/>
      <c r="EK414" s="335"/>
      <c r="EL414" s="335"/>
      <c r="EM414" s="335"/>
      <c r="EN414" s="335"/>
      <c r="EO414" s="335"/>
      <c r="EP414" s="335"/>
      <c r="EQ414" s="335"/>
      <c r="ER414" s="335"/>
      <c r="ES414" s="335"/>
      <c r="ET414" s="335"/>
      <c r="EU414" s="335"/>
      <c r="EV414" s="335"/>
      <c r="EW414" s="335"/>
      <c r="EX414" s="335"/>
      <c r="EY414" s="335"/>
      <c r="EZ414" s="335"/>
      <c r="FA414" s="335"/>
      <c r="FB414" s="335"/>
      <c r="FC414" s="335"/>
      <c r="FD414" s="335"/>
      <c r="FE414" s="335"/>
      <c r="FF414" s="335"/>
      <c r="FG414" s="335"/>
      <c r="FH414" s="335"/>
      <c r="FI414" s="335"/>
      <c r="FJ414" s="335"/>
      <c r="FK414" s="335"/>
      <c r="FL414" s="335"/>
      <c r="FM414" s="335"/>
      <c r="FN414" s="335"/>
      <c r="FO414" s="335"/>
      <c r="FP414" s="335"/>
      <c r="FQ414" s="335"/>
      <c r="FR414" s="335"/>
      <c r="FS414" s="335"/>
      <c r="FT414" s="335"/>
      <c r="FU414" s="335"/>
      <c r="FV414" s="335"/>
      <c r="FW414" s="335"/>
      <c r="FX414" s="335"/>
      <c r="FY414" s="335"/>
      <c r="FZ414" s="335"/>
      <c r="GA414" s="335"/>
      <c r="GB414" s="335"/>
      <c r="GC414" s="335"/>
      <c r="GD414" s="335"/>
      <c r="GE414" s="335"/>
      <c r="GF414" s="335"/>
      <c r="GG414" s="335"/>
      <c r="GH414" s="335"/>
      <c r="GI414" s="335"/>
      <c r="GJ414" s="335"/>
      <c r="GK414" s="335"/>
      <c r="GL414" s="335"/>
      <c r="GM414" s="335"/>
      <c r="GN414" s="335"/>
      <c r="GO414" s="335"/>
      <c r="GP414" s="335"/>
      <c r="GQ414" s="335"/>
      <c r="GR414" s="335"/>
      <c r="GS414" s="335"/>
      <c r="GT414" s="335"/>
      <c r="GU414" s="335"/>
      <c r="GV414" s="335"/>
      <c r="GW414" s="335"/>
      <c r="GX414" s="335"/>
      <c r="GY414" s="335"/>
      <c r="GZ414" s="335"/>
    </row>
    <row r="415" spans="1:208" ht="15">
      <c r="A415" s="379"/>
      <c r="B415" s="335"/>
      <c r="C415" s="335"/>
      <c r="D415" s="335"/>
      <c r="E415" s="335"/>
      <c r="F415" s="335"/>
      <c r="G415" s="335"/>
      <c r="H415" s="335"/>
      <c r="I415" s="335"/>
      <c r="J415" s="335"/>
      <c r="K415" s="335"/>
      <c r="L415" s="335"/>
      <c r="M415" s="376"/>
      <c r="N415" s="335"/>
      <c r="O415" s="380"/>
      <c r="P415" s="335"/>
      <c r="Q415" s="335"/>
      <c r="R415" s="335"/>
      <c r="S415" s="335"/>
      <c r="T415" s="335"/>
      <c r="U415" s="335"/>
      <c r="V415" s="335"/>
      <c r="W415" s="335"/>
      <c r="X415" s="335"/>
      <c r="Y415" s="335"/>
      <c r="Z415" s="335"/>
      <c r="AA415" s="335"/>
      <c r="AB415" s="335"/>
      <c r="AC415" s="335"/>
      <c r="AD415" s="335"/>
      <c r="AE415" s="335"/>
      <c r="AF415" s="335"/>
      <c r="AG415" s="335"/>
      <c r="AH415" s="335"/>
      <c r="AI415" s="335"/>
      <c r="AJ415" s="335"/>
      <c r="AK415" s="335"/>
      <c r="AL415" s="335"/>
      <c r="AM415" s="335"/>
      <c r="AN415" s="335"/>
      <c r="AO415" s="335"/>
      <c r="AP415" s="335"/>
      <c r="AQ415" s="335"/>
      <c r="AR415" s="335"/>
      <c r="AS415" s="335"/>
      <c r="AT415" s="335"/>
      <c r="AU415" s="335"/>
      <c r="AV415" s="335"/>
      <c r="AW415" s="335"/>
      <c r="AX415" s="335"/>
      <c r="AY415" s="335"/>
      <c r="AZ415" s="335"/>
      <c r="BA415" s="335"/>
      <c r="BB415" s="335"/>
      <c r="BC415" s="335"/>
      <c r="BD415" s="335"/>
      <c r="BE415" s="335"/>
      <c r="BF415" s="335"/>
      <c r="BG415" s="335"/>
      <c r="BH415" s="335"/>
      <c r="BI415" s="335"/>
      <c r="BJ415" s="335"/>
      <c r="BK415" s="335"/>
      <c r="BL415" s="335"/>
      <c r="BM415" s="335"/>
      <c r="BN415" s="335"/>
      <c r="BO415" s="335"/>
      <c r="BP415" s="335"/>
      <c r="BQ415" s="335"/>
      <c r="BR415" s="335"/>
      <c r="BS415" s="335"/>
      <c r="BT415" s="335"/>
      <c r="BU415" s="335"/>
      <c r="BV415" s="335"/>
      <c r="BW415" s="335"/>
      <c r="BX415" s="335"/>
      <c r="BY415" s="335"/>
      <c r="BZ415" s="335"/>
      <c r="CA415" s="335"/>
      <c r="CB415" s="335"/>
      <c r="CC415" s="335"/>
      <c r="CD415" s="335"/>
      <c r="CE415" s="335"/>
      <c r="CF415" s="335"/>
      <c r="CG415" s="335"/>
      <c r="CH415" s="335"/>
      <c r="CI415" s="335"/>
      <c r="CJ415" s="335"/>
      <c r="CK415" s="335"/>
      <c r="CL415" s="335"/>
      <c r="CM415" s="335"/>
      <c r="CN415" s="335"/>
      <c r="CO415" s="335"/>
      <c r="CP415" s="335"/>
      <c r="CQ415" s="335"/>
      <c r="CR415" s="335"/>
      <c r="CS415" s="335"/>
      <c r="CT415" s="335"/>
      <c r="CU415" s="335"/>
      <c r="CV415" s="335"/>
      <c r="CW415" s="335"/>
      <c r="CX415" s="335"/>
      <c r="CY415" s="335"/>
      <c r="CZ415" s="335"/>
      <c r="DA415" s="335"/>
      <c r="DB415" s="335"/>
      <c r="DC415" s="335"/>
      <c r="DD415" s="335"/>
      <c r="DE415" s="335"/>
      <c r="DF415" s="335"/>
      <c r="DG415" s="335"/>
      <c r="DH415" s="335"/>
      <c r="DI415" s="335"/>
      <c r="DJ415" s="335"/>
      <c r="DK415" s="335"/>
      <c r="DL415" s="335"/>
      <c r="DM415" s="335"/>
      <c r="DN415" s="335"/>
      <c r="DO415" s="335"/>
      <c r="DP415" s="335"/>
      <c r="DQ415" s="335"/>
      <c r="DR415" s="335"/>
      <c r="DS415" s="335"/>
      <c r="DT415" s="335"/>
      <c r="DU415" s="335"/>
      <c r="DV415" s="335"/>
      <c r="DW415" s="335"/>
      <c r="DX415" s="335"/>
      <c r="DY415" s="335"/>
      <c r="DZ415" s="335"/>
      <c r="EA415" s="335"/>
      <c r="EB415" s="335"/>
      <c r="EC415" s="335"/>
      <c r="ED415" s="335"/>
      <c r="EE415" s="335"/>
      <c r="EF415" s="335"/>
      <c r="EG415" s="335"/>
      <c r="EH415" s="335"/>
      <c r="EI415" s="335"/>
      <c r="EJ415" s="335"/>
      <c r="EK415" s="335"/>
      <c r="EL415" s="335"/>
      <c r="EM415" s="335"/>
      <c r="EN415" s="335"/>
      <c r="EO415" s="335"/>
      <c r="EP415" s="335"/>
      <c r="EQ415" s="335"/>
      <c r="ER415" s="335"/>
      <c r="ES415" s="335"/>
      <c r="ET415" s="335"/>
      <c r="EU415" s="335"/>
      <c r="EV415" s="335"/>
      <c r="EW415" s="335"/>
      <c r="EX415" s="335"/>
      <c r="EY415" s="335"/>
      <c r="EZ415" s="335"/>
      <c r="FA415" s="335"/>
      <c r="FB415" s="335"/>
      <c r="FC415" s="335"/>
      <c r="FD415" s="335"/>
      <c r="FE415" s="335"/>
      <c r="FF415" s="335"/>
      <c r="FG415" s="335"/>
      <c r="FH415" s="335"/>
      <c r="FI415" s="335"/>
      <c r="FJ415" s="335"/>
      <c r="FK415" s="335"/>
      <c r="FL415" s="335"/>
      <c r="FM415" s="335"/>
      <c r="FN415" s="335"/>
      <c r="FO415" s="335"/>
      <c r="FP415" s="335"/>
      <c r="FQ415" s="335"/>
      <c r="FR415" s="335"/>
      <c r="FS415" s="335"/>
      <c r="FT415" s="335"/>
      <c r="FU415" s="335"/>
      <c r="FV415" s="335"/>
      <c r="FW415" s="335"/>
      <c r="FX415" s="335"/>
      <c r="FY415" s="335"/>
      <c r="FZ415" s="335"/>
      <c r="GA415" s="335"/>
      <c r="GB415" s="335"/>
      <c r="GC415" s="335"/>
      <c r="GD415" s="335"/>
      <c r="GE415" s="335"/>
      <c r="GF415" s="335"/>
      <c r="GG415" s="335"/>
      <c r="GH415" s="335"/>
      <c r="GI415" s="335"/>
      <c r="GJ415" s="335"/>
      <c r="GK415" s="335"/>
      <c r="GL415" s="335"/>
      <c r="GM415" s="335"/>
      <c r="GN415" s="335"/>
      <c r="GO415" s="335"/>
      <c r="GP415" s="335"/>
      <c r="GQ415" s="335"/>
      <c r="GR415" s="335"/>
      <c r="GS415" s="335"/>
      <c r="GT415" s="335"/>
      <c r="GU415" s="335"/>
      <c r="GV415" s="335"/>
      <c r="GW415" s="335"/>
      <c r="GX415" s="335"/>
      <c r="GY415" s="335"/>
      <c r="GZ415" s="335"/>
    </row>
    <row r="416" spans="1:208" ht="15">
      <c r="A416" s="379"/>
      <c r="B416" s="335"/>
      <c r="C416" s="335"/>
      <c r="D416" s="335"/>
      <c r="E416" s="335"/>
      <c r="F416" s="335"/>
      <c r="G416" s="335"/>
      <c r="H416" s="335"/>
      <c r="I416" s="335"/>
      <c r="J416" s="335"/>
      <c r="K416" s="335"/>
      <c r="L416" s="335"/>
      <c r="M416" s="376"/>
      <c r="N416" s="335"/>
      <c r="O416" s="380"/>
      <c r="P416" s="335"/>
      <c r="Q416" s="335"/>
      <c r="R416" s="335"/>
      <c r="S416" s="335"/>
      <c r="T416" s="335"/>
      <c r="U416" s="335"/>
      <c r="V416" s="335"/>
      <c r="W416" s="335"/>
      <c r="X416" s="335"/>
      <c r="Y416" s="335"/>
      <c r="Z416" s="335"/>
      <c r="AA416" s="335"/>
      <c r="AB416" s="335"/>
      <c r="AC416" s="335"/>
      <c r="AD416" s="335"/>
      <c r="AE416" s="335"/>
      <c r="AF416" s="335"/>
      <c r="AG416" s="335"/>
      <c r="AH416" s="335"/>
      <c r="AI416" s="335"/>
      <c r="AJ416" s="335"/>
      <c r="AK416" s="335"/>
      <c r="AL416" s="335"/>
      <c r="AM416" s="335"/>
      <c r="AN416" s="335"/>
      <c r="AO416" s="335"/>
      <c r="AP416" s="335"/>
      <c r="AQ416" s="335"/>
      <c r="AR416" s="335"/>
      <c r="AS416" s="335"/>
      <c r="AT416" s="335"/>
      <c r="AU416" s="335"/>
      <c r="AV416" s="335"/>
      <c r="AW416" s="335"/>
      <c r="AX416" s="335"/>
      <c r="AY416" s="335"/>
      <c r="AZ416" s="335"/>
      <c r="BA416" s="335"/>
      <c r="BB416" s="335"/>
      <c r="BC416" s="335"/>
      <c r="BD416" s="335"/>
      <c r="BE416" s="335"/>
      <c r="BF416" s="335"/>
      <c r="BG416" s="335"/>
      <c r="BH416" s="335"/>
      <c r="BI416" s="335"/>
      <c r="BJ416" s="335"/>
      <c r="BK416" s="335"/>
      <c r="BL416" s="335"/>
      <c r="BM416" s="335"/>
      <c r="BN416" s="335"/>
      <c r="BO416" s="335"/>
      <c r="BP416" s="335"/>
      <c r="BQ416" s="335"/>
      <c r="BR416" s="335"/>
      <c r="BS416" s="335"/>
      <c r="BT416" s="335"/>
      <c r="BU416" s="335"/>
      <c r="BV416" s="335"/>
      <c r="BW416" s="335"/>
      <c r="BX416" s="335"/>
      <c r="BY416" s="335"/>
      <c r="BZ416" s="335"/>
      <c r="CA416" s="335"/>
      <c r="CB416" s="335"/>
      <c r="CC416" s="335"/>
      <c r="CD416" s="335"/>
      <c r="CE416" s="335"/>
      <c r="CF416" s="335"/>
      <c r="CG416" s="335"/>
      <c r="CH416" s="335"/>
      <c r="CI416" s="335"/>
      <c r="CJ416" s="335"/>
      <c r="CK416" s="335"/>
      <c r="CL416" s="335"/>
      <c r="CM416" s="335"/>
      <c r="CN416" s="335"/>
      <c r="CO416" s="335"/>
      <c r="CP416" s="335"/>
      <c r="CQ416" s="335"/>
      <c r="CR416" s="335"/>
      <c r="CS416" s="335"/>
      <c r="CT416" s="335"/>
      <c r="CU416" s="335"/>
      <c r="CV416" s="335"/>
      <c r="CW416" s="335"/>
      <c r="CX416" s="335"/>
      <c r="CY416" s="335"/>
      <c r="CZ416" s="335"/>
      <c r="DA416" s="335"/>
      <c r="DB416" s="335"/>
      <c r="DC416" s="335"/>
      <c r="DD416" s="335"/>
      <c r="DE416" s="335"/>
      <c r="DF416" s="335"/>
      <c r="DG416" s="335"/>
      <c r="DH416" s="335"/>
      <c r="DI416" s="335"/>
      <c r="DJ416" s="335"/>
      <c r="DK416" s="335"/>
      <c r="DL416" s="335"/>
      <c r="DM416" s="335"/>
      <c r="DN416" s="335"/>
      <c r="DO416" s="335"/>
      <c r="DP416" s="335"/>
      <c r="DQ416" s="335"/>
      <c r="DR416" s="335"/>
      <c r="DS416" s="335"/>
      <c r="DT416" s="335"/>
      <c r="DU416" s="335"/>
      <c r="DV416" s="335"/>
      <c r="DW416" s="335"/>
      <c r="DX416" s="335"/>
      <c r="DY416" s="335"/>
      <c r="DZ416" s="335"/>
      <c r="EA416" s="335"/>
      <c r="EB416" s="335"/>
      <c r="EC416" s="335"/>
      <c r="ED416" s="335"/>
      <c r="EE416" s="335"/>
      <c r="EF416" s="335"/>
      <c r="EG416" s="335"/>
      <c r="EH416" s="335"/>
      <c r="EI416" s="335"/>
      <c r="EJ416" s="335"/>
      <c r="EK416" s="335"/>
      <c r="EL416" s="335"/>
      <c r="EM416" s="335"/>
      <c r="EN416" s="335"/>
      <c r="EO416" s="335"/>
      <c r="EP416" s="335"/>
      <c r="EQ416" s="335"/>
      <c r="ER416" s="335"/>
      <c r="ES416" s="335"/>
      <c r="ET416" s="335"/>
      <c r="EU416" s="335"/>
      <c r="EV416" s="335"/>
      <c r="EW416" s="335"/>
      <c r="EX416" s="335"/>
      <c r="EY416" s="335"/>
      <c r="EZ416" s="335"/>
      <c r="FA416" s="335"/>
      <c r="FB416" s="335"/>
      <c r="FC416" s="335"/>
      <c r="FD416" s="335"/>
      <c r="FE416" s="335"/>
      <c r="FF416" s="335"/>
      <c r="FG416" s="335"/>
      <c r="FH416" s="335"/>
      <c r="FI416" s="335"/>
      <c r="FJ416" s="335"/>
      <c r="FK416" s="335"/>
      <c r="FL416" s="335"/>
      <c r="FM416" s="335"/>
      <c r="FN416" s="335"/>
      <c r="FO416" s="335"/>
      <c r="FP416" s="335"/>
      <c r="FQ416" s="335"/>
      <c r="FR416" s="335"/>
      <c r="FS416" s="335"/>
      <c r="FT416" s="335"/>
      <c r="FU416" s="335"/>
      <c r="FV416" s="335"/>
      <c r="FW416" s="335"/>
      <c r="FX416" s="335"/>
      <c r="FY416" s="335"/>
      <c r="FZ416" s="335"/>
      <c r="GA416" s="335"/>
      <c r="GB416" s="335"/>
      <c r="GC416" s="335"/>
      <c r="GD416" s="335"/>
      <c r="GE416" s="335"/>
      <c r="GF416" s="335"/>
      <c r="GG416" s="335"/>
      <c r="GH416" s="335"/>
      <c r="GI416" s="335"/>
      <c r="GJ416" s="335"/>
      <c r="GK416" s="335"/>
      <c r="GL416" s="335"/>
      <c r="GM416" s="335"/>
      <c r="GN416" s="335"/>
      <c r="GO416" s="335"/>
      <c r="GP416" s="335"/>
      <c r="GQ416" s="335"/>
      <c r="GR416" s="335"/>
      <c r="GS416" s="335"/>
      <c r="GT416" s="335"/>
      <c r="GU416" s="335"/>
      <c r="GV416" s="335"/>
      <c r="GW416" s="335"/>
      <c r="GX416" s="335"/>
      <c r="GY416" s="335"/>
      <c r="GZ416" s="335"/>
    </row>
    <row r="417" spans="1:208" ht="15">
      <c r="A417" s="379"/>
      <c r="B417" s="335"/>
      <c r="C417" s="335"/>
      <c r="D417" s="335"/>
      <c r="E417" s="335"/>
      <c r="F417" s="335"/>
      <c r="G417" s="335"/>
      <c r="H417" s="335"/>
      <c r="I417" s="335"/>
      <c r="J417" s="335"/>
      <c r="K417" s="335"/>
      <c r="L417" s="335"/>
      <c r="M417" s="376"/>
      <c r="N417" s="335"/>
      <c r="O417" s="380"/>
      <c r="P417" s="335"/>
      <c r="Q417" s="335"/>
      <c r="R417" s="335"/>
      <c r="S417" s="335"/>
      <c r="T417" s="335"/>
      <c r="U417" s="335"/>
      <c r="V417" s="335"/>
      <c r="W417" s="335"/>
      <c r="X417" s="335"/>
      <c r="Y417" s="335"/>
      <c r="Z417" s="335"/>
      <c r="AA417" s="335"/>
      <c r="AB417" s="335"/>
      <c r="AC417" s="335"/>
      <c r="AD417" s="335"/>
      <c r="AE417" s="335"/>
      <c r="AF417" s="335"/>
      <c r="AG417" s="335"/>
      <c r="AH417" s="335"/>
      <c r="AI417" s="335"/>
      <c r="AJ417" s="335"/>
      <c r="AK417" s="335"/>
      <c r="AL417" s="335"/>
      <c r="AM417" s="335"/>
      <c r="AN417" s="335"/>
      <c r="AO417" s="335"/>
      <c r="AP417" s="335"/>
      <c r="AQ417" s="335"/>
      <c r="AR417" s="335"/>
      <c r="AS417" s="335"/>
      <c r="AT417" s="335"/>
      <c r="AU417" s="335"/>
      <c r="AV417" s="335"/>
      <c r="AW417" s="335"/>
      <c r="AX417" s="335"/>
      <c r="AY417" s="335"/>
      <c r="AZ417" s="335"/>
      <c r="BA417" s="335"/>
      <c r="BB417" s="335"/>
      <c r="BC417" s="335"/>
      <c r="BD417" s="335"/>
      <c r="BE417" s="335"/>
      <c r="BF417" s="335"/>
      <c r="BG417" s="335"/>
      <c r="BH417" s="335"/>
      <c r="BI417" s="335"/>
      <c r="BJ417" s="335"/>
      <c r="BK417" s="335"/>
      <c r="BL417" s="335"/>
      <c r="BM417" s="335"/>
      <c r="BN417" s="335"/>
      <c r="BO417" s="335"/>
      <c r="BP417" s="335"/>
      <c r="BQ417" s="335"/>
      <c r="BR417" s="335"/>
      <c r="BS417" s="335"/>
      <c r="BT417" s="335"/>
      <c r="BU417" s="335"/>
      <c r="BV417" s="335"/>
      <c r="BW417" s="335"/>
      <c r="BX417" s="335"/>
      <c r="BY417" s="335"/>
      <c r="BZ417" s="335"/>
      <c r="CA417" s="335"/>
      <c r="CB417" s="335"/>
      <c r="CC417" s="335"/>
      <c r="CD417" s="335"/>
      <c r="CE417" s="335"/>
      <c r="CF417" s="335"/>
      <c r="CG417" s="335"/>
      <c r="CH417" s="335"/>
      <c r="CI417" s="335"/>
      <c r="CJ417" s="335"/>
      <c r="CK417" s="335"/>
      <c r="CL417" s="335"/>
      <c r="CM417" s="335"/>
      <c r="CN417" s="335"/>
      <c r="CO417" s="335"/>
      <c r="CP417" s="335"/>
      <c r="CQ417" s="335"/>
      <c r="CR417" s="335"/>
      <c r="CS417" s="335"/>
      <c r="CT417" s="335"/>
      <c r="CU417" s="335"/>
      <c r="CV417" s="335"/>
      <c r="CW417" s="335"/>
      <c r="CX417" s="335"/>
      <c r="CY417" s="335"/>
      <c r="CZ417" s="335"/>
      <c r="DA417" s="335"/>
      <c r="DB417" s="335"/>
      <c r="DC417" s="335"/>
      <c r="DD417" s="335"/>
      <c r="DE417" s="335"/>
      <c r="DF417" s="335"/>
      <c r="DG417" s="335"/>
      <c r="DH417" s="335"/>
      <c r="DI417" s="335"/>
      <c r="DJ417" s="335"/>
      <c r="DK417" s="335"/>
      <c r="DL417" s="335"/>
      <c r="DM417" s="335"/>
      <c r="DN417" s="335"/>
      <c r="DO417" s="335"/>
      <c r="DP417" s="335"/>
      <c r="DQ417" s="335"/>
      <c r="DR417" s="335"/>
      <c r="DS417" s="335"/>
      <c r="DT417" s="335"/>
      <c r="DU417" s="335"/>
      <c r="DV417" s="335"/>
      <c r="DW417" s="335"/>
      <c r="DX417" s="335"/>
      <c r="DY417" s="335"/>
      <c r="DZ417" s="335"/>
      <c r="EA417" s="335"/>
      <c r="EB417" s="335"/>
      <c r="EC417" s="335"/>
      <c r="ED417" s="335"/>
      <c r="EE417" s="335"/>
      <c r="EF417" s="335"/>
      <c r="EG417" s="335"/>
      <c r="EH417" s="335"/>
      <c r="EI417" s="335"/>
      <c r="EJ417" s="335"/>
      <c r="EK417" s="335"/>
      <c r="EL417" s="335"/>
      <c r="EM417" s="335"/>
      <c r="EN417" s="335"/>
      <c r="EO417" s="335"/>
      <c r="EP417" s="335"/>
      <c r="EQ417" s="335"/>
      <c r="ER417" s="335"/>
      <c r="ES417" s="335"/>
      <c r="ET417" s="335"/>
      <c r="EU417" s="335"/>
      <c r="EV417" s="335"/>
      <c r="EW417" s="335"/>
      <c r="EX417" s="335"/>
      <c r="EY417" s="335"/>
      <c r="EZ417" s="335"/>
      <c r="FA417" s="335"/>
      <c r="FB417" s="335"/>
      <c r="FC417" s="335"/>
      <c r="FD417" s="335"/>
      <c r="FE417" s="335"/>
      <c r="FF417" s="335"/>
      <c r="FG417" s="335"/>
      <c r="FH417" s="335"/>
      <c r="FI417" s="335"/>
      <c r="FJ417" s="335"/>
      <c r="FK417" s="335"/>
      <c r="FL417" s="335"/>
      <c r="FM417" s="335"/>
      <c r="FN417" s="335"/>
      <c r="FO417" s="335"/>
      <c r="FP417" s="335"/>
      <c r="FQ417" s="335"/>
      <c r="FR417" s="335"/>
      <c r="FS417" s="335"/>
      <c r="FT417" s="335"/>
      <c r="FU417" s="335"/>
      <c r="FV417" s="335"/>
      <c r="FW417" s="335"/>
      <c r="FX417" s="335"/>
      <c r="FY417" s="335"/>
      <c r="FZ417" s="335"/>
      <c r="GA417" s="335"/>
      <c r="GB417" s="335"/>
      <c r="GC417" s="335"/>
      <c r="GD417" s="335"/>
      <c r="GE417" s="335"/>
      <c r="GF417" s="335"/>
      <c r="GG417" s="335"/>
      <c r="GH417" s="335"/>
      <c r="GI417" s="335"/>
      <c r="GJ417" s="335"/>
      <c r="GK417" s="335"/>
      <c r="GL417" s="335"/>
      <c r="GM417" s="335"/>
      <c r="GN417" s="335"/>
      <c r="GO417" s="335"/>
      <c r="GP417" s="335"/>
      <c r="GQ417" s="335"/>
      <c r="GR417" s="335"/>
      <c r="GS417" s="335"/>
      <c r="GT417" s="335"/>
      <c r="GU417" s="335"/>
      <c r="GV417" s="335"/>
      <c r="GW417" s="335"/>
      <c r="GX417" s="335"/>
      <c r="GY417" s="335"/>
      <c r="GZ417" s="335"/>
    </row>
    <row r="418" spans="1:208" ht="15">
      <c r="A418" s="379"/>
      <c r="B418" s="335"/>
      <c r="C418" s="335"/>
      <c r="D418" s="335"/>
      <c r="E418" s="335"/>
      <c r="F418" s="335"/>
      <c r="G418" s="335"/>
      <c r="H418" s="335"/>
      <c r="I418" s="335"/>
      <c r="J418" s="335"/>
      <c r="K418" s="335"/>
      <c r="L418" s="335"/>
      <c r="M418" s="376"/>
      <c r="N418" s="335"/>
      <c r="O418" s="380"/>
      <c r="P418" s="335"/>
      <c r="Q418" s="335"/>
      <c r="R418" s="335"/>
      <c r="S418" s="335"/>
      <c r="T418" s="335"/>
      <c r="U418" s="335"/>
      <c r="V418" s="335"/>
      <c r="W418" s="335"/>
      <c r="X418" s="335"/>
      <c r="Y418" s="335"/>
      <c r="Z418" s="335"/>
      <c r="AA418" s="335"/>
      <c r="AB418" s="335"/>
      <c r="AC418" s="335"/>
      <c r="AD418" s="335"/>
      <c r="AE418" s="335"/>
      <c r="AF418" s="335"/>
      <c r="AG418" s="335"/>
      <c r="AH418" s="335"/>
      <c r="AI418" s="335"/>
      <c r="AJ418" s="335"/>
      <c r="AK418" s="335"/>
      <c r="AL418" s="335"/>
      <c r="AM418" s="335"/>
      <c r="AN418" s="335"/>
      <c r="AO418" s="335"/>
      <c r="AP418" s="335"/>
      <c r="AQ418" s="335"/>
      <c r="AR418" s="335"/>
      <c r="AS418" s="335"/>
      <c r="AT418" s="335"/>
      <c r="AU418" s="335"/>
      <c r="AV418" s="335"/>
      <c r="AW418" s="335"/>
      <c r="AX418" s="335"/>
      <c r="AY418" s="335"/>
      <c r="AZ418" s="335"/>
      <c r="BA418" s="335"/>
      <c r="BB418" s="335"/>
      <c r="BC418" s="335"/>
      <c r="BD418" s="335"/>
      <c r="BE418" s="335"/>
      <c r="BF418" s="335"/>
      <c r="BG418" s="335"/>
      <c r="BH418" s="335"/>
      <c r="BI418" s="335"/>
      <c r="BJ418" s="335"/>
      <c r="BK418" s="335"/>
      <c r="BL418" s="335"/>
      <c r="BM418" s="335"/>
      <c r="BN418" s="335"/>
      <c r="BO418" s="335"/>
      <c r="BP418" s="335"/>
      <c r="BQ418" s="335"/>
      <c r="BR418" s="335"/>
      <c r="BS418" s="335"/>
      <c r="BT418" s="335"/>
      <c r="BU418" s="335"/>
      <c r="BV418" s="335"/>
      <c r="BW418" s="335"/>
      <c r="BX418" s="335"/>
      <c r="BY418" s="335"/>
      <c r="BZ418" s="335"/>
      <c r="CA418" s="335"/>
      <c r="CB418" s="335"/>
      <c r="CC418" s="335"/>
      <c r="CD418" s="335"/>
      <c r="CE418" s="335"/>
      <c r="CF418" s="335"/>
      <c r="CG418" s="335"/>
      <c r="CH418" s="335"/>
      <c r="CI418" s="335"/>
      <c r="CJ418" s="335"/>
      <c r="CK418" s="335"/>
      <c r="CL418" s="335"/>
      <c r="CM418" s="335"/>
      <c r="CN418" s="335"/>
      <c r="CO418" s="335"/>
      <c r="CP418" s="335"/>
      <c r="CQ418" s="335"/>
      <c r="CR418" s="335"/>
      <c r="CS418" s="335"/>
      <c r="CT418" s="335"/>
      <c r="CU418" s="335"/>
      <c r="CV418" s="335"/>
      <c r="CW418" s="335"/>
      <c r="CX418" s="335"/>
      <c r="CY418" s="335"/>
      <c r="CZ418" s="335"/>
      <c r="DA418" s="335"/>
      <c r="DB418" s="335"/>
      <c r="DC418" s="335"/>
      <c r="DD418" s="335"/>
      <c r="DE418" s="335"/>
      <c r="DF418" s="335"/>
      <c r="DG418" s="335"/>
      <c r="DH418" s="335"/>
      <c r="DI418" s="335"/>
      <c r="DJ418" s="335"/>
      <c r="DK418" s="335"/>
      <c r="DL418" s="335"/>
      <c r="DM418" s="335"/>
      <c r="DN418" s="335"/>
      <c r="DO418" s="335"/>
      <c r="DP418" s="335"/>
      <c r="DQ418" s="335"/>
      <c r="DR418" s="335"/>
      <c r="DS418" s="335"/>
      <c r="DT418" s="335"/>
      <c r="DU418" s="335"/>
      <c r="DV418" s="335"/>
      <c r="DW418" s="335"/>
      <c r="DX418" s="335"/>
      <c r="DY418" s="335"/>
      <c r="DZ418" s="335"/>
      <c r="EA418" s="335"/>
      <c r="EB418" s="335"/>
      <c r="EC418" s="335"/>
      <c r="ED418" s="335"/>
      <c r="EE418" s="335"/>
      <c r="EF418" s="335"/>
      <c r="EG418" s="335"/>
      <c r="EH418" s="335"/>
      <c r="EI418" s="335"/>
      <c r="EJ418" s="335"/>
      <c r="EK418" s="335"/>
      <c r="EL418" s="335"/>
      <c r="EM418" s="335"/>
      <c r="EN418" s="335"/>
      <c r="EO418" s="335"/>
      <c r="EP418" s="335"/>
      <c r="EQ418" s="335"/>
      <c r="ER418" s="335"/>
      <c r="ES418" s="335"/>
      <c r="ET418" s="335"/>
      <c r="EU418" s="335"/>
      <c r="EV418" s="335"/>
      <c r="EW418" s="335"/>
      <c r="EX418" s="335"/>
      <c r="EY418" s="335"/>
      <c r="EZ418" s="335"/>
      <c r="FA418" s="335"/>
      <c r="FB418" s="335"/>
      <c r="FC418" s="335"/>
      <c r="FD418" s="335"/>
      <c r="FE418" s="335"/>
      <c r="FF418" s="335"/>
      <c r="FG418" s="335"/>
      <c r="FH418" s="335"/>
      <c r="FI418" s="335"/>
      <c r="FJ418" s="335"/>
      <c r="FK418" s="335"/>
      <c r="FL418" s="335"/>
      <c r="FM418" s="335"/>
      <c r="FN418" s="335"/>
      <c r="FO418" s="335"/>
      <c r="FP418" s="335"/>
      <c r="FQ418" s="335"/>
      <c r="FR418" s="335"/>
      <c r="FS418" s="335"/>
      <c r="FT418" s="335"/>
      <c r="FU418" s="335"/>
      <c r="FV418" s="335"/>
      <c r="FW418" s="335"/>
      <c r="FX418" s="335"/>
      <c r="FY418" s="335"/>
      <c r="FZ418" s="335"/>
      <c r="GA418" s="335"/>
      <c r="GB418" s="335"/>
      <c r="GC418" s="335"/>
      <c r="GD418" s="335"/>
      <c r="GE418" s="335"/>
      <c r="GF418" s="335"/>
      <c r="GG418" s="335"/>
      <c r="GH418" s="335"/>
      <c r="GI418" s="335"/>
      <c r="GJ418" s="335"/>
      <c r="GK418" s="335"/>
      <c r="GL418" s="335"/>
      <c r="GM418" s="335"/>
      <c r="GN418" s="335"/>
      <c r="GO418" s="335"/>
      <c r="GP418" s="335"/>
      <c r="GQ418" s="335"/>
      <c r="GR418" s="335"/>
      <c r="GS418" s="335"/>
      <c r="GT418" s="335"/>
      <c r="GU418" s="335"/>
      <c r="GV418" s="335"/>
      <c r="GW418" s="335"/>
      <c r="GX418" s="335"/>
      <c r="GY418" s="335"/>
      <c r="GZ418" s="335"/>
    </row>
    <row r="419" spans="1:208" ht="15">
      <c r="A419" s="379"/>
      <c r="B419" s="335"/>
      <c r="C419" s="335"/>
      <c r="D419" s="335"/>
      <c r="E419" s="335"/>
      <c r="F419" s="335"/>
      <c r="G419" s="335"/>
      <c r="H419" s="335"/>
      <c r="I419" s="335"/>
      <c r="J419" s="335"/>
      <c r="K419" s="335"/>
      <c r="L419" s="335"/>
      <c r="M419" s="376"/>
      <c r="N419" s="335"/>
      <c r="O419" s="380"/>
      <c r="P419" s="335"/>
      <c r="Q419" s="335"/>
      <c r="R419" s="335"/>
      <c r="S419" s="335"/>
      <c r="T419" s="335"/>
      <c r="U419" s="335"/>
      <c r="V419" s="335"/>
      <c r="W419" s="335"/>
      <c r="X419" s="335"/>
      <c r="Y419" s="335"/>
      <c r="Z419" s="335"/>
      <c r="AA419" s="335"/>
      <c r="AB419" s="335"/>
      <c r="AC419" s="335"/>
      <c r="AD419" s="335"/>
      <c r="AE419" s="335"/>
      <c r="AF419" s="335"/>
      <c r="AG419" s="335"/>
      <c r="AH419" s="335"/>
      <c r="AI419" s="335"/>
      <c r="AJ419" s="335"/>
      <c r="AK419" s="335"/>
      <c r="AL419" s="335"/>
      <c r="AM419" s="335"/>
      <c r="AN419" s="335"/>
      <c r="AO419" s="335"/>
      <c r="AP419" s="335"/>
      <c r="AQ419" s="335"/>
      <c r="AR419" s="335"/>
      <c r="AS419" s="335"/>
      <c r="AT419" s="335"/>
      <c r="AU419" s="335"/>
      <c r="AV419" s="335"/>
      <c r="AW419" s="335"/>
      <c r="AX419" s="335"/>
      <c r="AY419" s="335"/>
      <c r="AZ419" s="335"/>
      <c r="BA419" s="335"/>
      <c r="BB419" s="335"/>
      <c r="BC419" s="335"/>
      <c r="BD419" s="335"/>
      <c r="BE419" s="335"/>
      <c r="BF419" s="335"/>
      <c r="BG419" s="335"/>
      <c r="BH419" s="335"/>
      <c r="BI419" s="335"/>
      <c r="BJ419" s="335"/>
      <c r="BK419" s="335"/>
      <c r="BL419" s="335"/>
      <c r="BM419" s="335"/>
      <c r="BN419" s="335"/>
      <c r="BO419" s="335"/>
      <c r="BP419" s="335"/>
      <c r="BQ419" s="335"/>
      <c r="BR419" s="335"/>
      <c r="BS419" s="335"/>
      <c r="BT419" s="335"/>
      <c r="BU419" s="335"/>
      <c r="BV419" s="335"/>
      <c r="BW419" s="335"/>
      <c r="BX419" s="335"/>
      <c r="BY419" s="335"/>
      <c r="BZ419" s="335"/>
      <c r="CA419" s="335"/>
      <c r="CB419" s="335"/>
      <c r="CC419" s="335"/>
      <c r="CD419" s="335"/>
      <c r="CE419" s="335"/>
      <c r="CF419" s="335"/>
      <c r="CG419" s="335"/>
      <c r="CH419" s="335"/>
      <c r="CI419" s="335"/>
      <c r="CJ419" s="335"/>
      <c r="CK419" s="335"/>
      <c r="CL419" s="335"/>
      <c r="CM419" s="335"/>
      <c r="CN419" s="335"/>
      <c r="CO419" s="335"/>
      <c r="CP419" s="335"/>
      <c r="CQ419" s="335"/>
      <c r="CR419" s="335"/>
      <c r="CS419" s="335"/>
      <c r="CT419" s="335"/>
      <c r="CU419" s="335"/>
      <c r="CV419" s="335"/>
      <c r="CW419" s="335"/>
      <c r="CX419" s="335"/>
      <c r="CY419" s="335"/>
      <c r="CZ419" s="335"/>
      <c r="DA419" s="335"/>
      <c r="DB419" s="335"/>
      <c r="DC419" s="335"/>
      <c r="DD419" s="335"/>
      <c r="DE419" s="335"/>
      <c r="DF419" s="335"/>
      <c r="DG419" s="335"/>
      <c r="DH419" s="335"/>
      <c r="DI419" s="335"/>
      <c r="DJ419" s="335"/>
      <c r="DK419" s="335"/>
      <c r="DL419" s="335"/>
      <c r="DM419" s="335"/>
      <c r="DN419" s="335"/>
      <c r="DO419" s="335"/>
      <c r="DP419" s="335"/>
      <c r="DQ419" s="335"/>
      <c r="DR419" s="335"/>
      <c r="DS419" s="335"/>
      <c r="DT419" s="335"/>
      <c r="DU419" s="335"/>
      <c r="DV419" s="335"/>
      <c r="DW419" s="335"/>
      <c r="DX419" s="335"/>
      <c r="DY419" s="335"/>
      <c r="DZ419" s="335"/>
      <c r="EA419" s="335"/>
      <c r="EB419" s="335"/>
      <c r="EC419" s="335"/>
      <c r="ED419" s="335"/>
      <c r="EE419" s="335"/>
      <c r="EF419" s="335"/>
      <c r="EG419" s="335"/>
      <c r="EH419" s="335"/>
      <c r="EI419" s="335"/>
      <c r="EJ419" s="335"/>
      <c r="EK419" s="335"/>
      <c r="EL419" s="335"/>
      <c r="EM419" s="335"/>
      <c r="EN419" s="335"/>
      <c r="EO419" s="335"/>
      <c r="EP419" s="335"/>
      <c r="EQ419" s="335"/>
      <c r="ER419" s="335"/>
      <c r="ES419" s="335"/>
      <c r="ET419" s="335"/>
      <c r="EU419" s="335"/>
      <c r="EV419" s="335"/>
      <c r="EW419" s="335"/>
      <c r="EX419" s="335"/>
      <c r="EY419" s="335"/>
      <c r="EZ419" s="335"/>
      <c r="FA419" s="335"/>
      <c r="FB419" s="335"/>
      <c r="FC419" s="335"/>
      <c r="FD419" s="335"/>
      <c r="FE419" s="335"/>
      <c r="FF419" s="335"/>
      <c r="FG419" s="335"/>
      <c r="FH419" s="335"/>
      <c r="FI419" s="335"/>
      <c r="FJ419" s="335"/>
      <c r="FK419" s="335"/>
      <c r="FL419" s="335"/>
      <c r="FM419" s="335"/>
      <c r="FN419" s="335"/>
      <c r="FO419" s="335"/>
      <c r="FP419" s="335"/>
      <c r="FQ419" s="335"/>
      <c r="FR419" s="335"/>
      <c r="FS419" s="335"/>
      <c r="FT419" s="335"/>
      <c r="FU419" s="335"/>
      <c r="FV419" s="335"/>
      <c r="FW419" s="335"/>
      <c r="FX419" s="335"/>
      <c r="FY419" s="335"/>
      <c r="FZ419" s="335"/>
      <c r="GA419" s="335"/>
      <c r="GB419" s="335"/>
      <c r="GC419" s="335"/>
      <c r="GD419" s="335"/>
      <c r="GE419" s="335"/>
      <c r="GF419" s="335"/>
      <c r="GG419" s="335"/>
      <c r="GH419" s="335"/>
      <c r="GI419" s="335"/>
      <c r="GJ419" s="335"/>
      <c r="GK419" s="335"/>
      <c r="GL419" s="335"/>
      <c r="GM419" s="335"/>
      <c r="GN419" s="335"/>
      <c r="GO419" s="335"/>
      <c r="GP419" s="335"/>
      <c r="GQ419" s="335"/>
      <c r="GR419" s="335"/>
      <c r="GS419" s="335"/>
      <c r="GT419" s="335"/>
      <c r="GU419" s="335"/>
      <c r="GV419" s="335"/>
      <c r="GW419" s="335"/>
      <c r="GX419" s="335"/>
      <c r="GY419" s="335"/>
      <c r="GZ419" s="335"/>
    </row>
    <row r="420" spans="1:208" ht="15">
      <c r="A420" s="379"/>
      <c r="B420" s="335"/>
      <c r="C420" s="335"/>
      <c r="D420" s="335"/>
      <c r="E420" s="335"/>
      <c r="F420" s="335"/>
      <c r="G420" s="335"/>
      <c r="H420" s="335"/>
      <c r="I420" s="335"/>
      <c r="J420" s="335"/>
      <c r="K420" s="335"/>
      <c r="L420" s="335"/>
      <c r="M420" s="376"/>
      <c r="N420" s="335"/>
      <c r="O420" s="380"/>
      <c r="P420" s="335"/>
      <c r="Q420" s="335"/>
      <c r="R420" s="335"/>
      <c r="S420" s="335"/>
      <c r="T420" s="335"/>
      <c r="U420" s="335"/>
      <c r="V420" s="335"/>
      <c r="W420" s="335"/>
      <c r="X420" s="335"/>
      <c r="Y420" s="335"/>
      <c r="Z420" s="335"/>
      <c r="AA420" s="335"/>
      <c r="AB420" s="335"/>
      <c r="AC420" s="335"/>
      <c r="AD420" s="335"/>
      <c r="AE420" s="335"/>
      <c r="AF420" s="335"/>
      <c r="AG420" s="335"/>
      <c r="AH420" s="335"/>
      <c r="AI420" s="335"/>
      <c r="AJ420" s="335"/>
      <c r="AK420" s="335"/>
      <c r="AL420" s="335"/>
      <c r="AM420" s="335"/>
      <c r="AN420" s="335"/>
      <c r="AO420" s="335"/>
      <c r="AP420" s="335"/>
      <c r="AQ420" s="335"/>
      <c r="AR420" s="335"/>
      <c r="AS420" s="335"/>
      <c r="AT420" s="335"/>
      <c r="AU420" s="335"/>
      <c r="AV420" s="335"/>
      <c r="AW420" s="335"/>
      <c r="AX420" s="335"/>
      <c r="AY420" s="335"/>
      <c r="AZ420" s="335"/>
      <c r="BA420" s="335"/>
      <c r="BB420" s="335"/>
      <c r="BC420" s="335"/>
      <c r="BD420" s="335"/>
      <c r="BE420" s="335"/>
      <c r="BF420" s="335"/>
      <c r="BG420" s="335"/>
      <c r="BH420" s="335"/>
      <c r="BI420" s="335"/>
      <c r="BJ420" s="335"/>
      <c r="BK420" s="335"/>
      <c r="BL420" s="335"/>
      <c r="BM420" s="335"/>
      <c r="BN420" s="335"/>
      <c r="BO420" s="335"/>
      <c r="BP420" s="335"/>
      <c r="BQ420" s="335"/>
      <c r="BR420" s="335"/>
      <c r="BS420" s="335"/>
      <c r="BT420" s="335"/>
      <c r="BU420" s="335"/>
      <c r="BV420" s="335"/>
      <c r="BW420" s="335"/>
      <c r="BX420" s="335"/>
      <c r="BY420" s="335"/>
      <c r="BZ420" s="335"/>
      <c r="CA420" s="335"/>
      <c r="CB420" s="335"/>
      <c r="CC420" s="335"/>
      <c r="CD420" s="335"/>
      <c r="CE420" s="335"/>
      <c r="CF420" s="335"/>
      <c r="CG420" s="335"/>
      <c r="CH420" s="335"/>
      <c r="CI420" s="335"/>
      <c r="CJ420" s="335"/>
      <c r="CK420" s="335"/>
      <c r="CL420" s="335"/>
      <c r="CM420" s="335"/>
      <c r="CN420" s="335"/>
      <c r="CO420" s="335"/>
      <c r="CP420" s="335"/>
      <c r="CQ420" s="335"/>
      <c r="CR420" s="335"/>
      <c r="CS420" s="335"/>
      <c r="CT420" s="335"/>
      <c r="CU420" s="335"/>
      <c r="CV420" s="335"/>
      <c r="CW420" s="335"/>
      <c r="CX420" s="335"/>
      <c r="CY420" s="335"/>
      <c r="CZ420" s="335"/>
      <c r="DA420" s="335"/>
      <c r="DB420" s="335"/>
      <c r="DC420" s="335"/>
      <c r="DD420" s="335"/>
      <c r="DE420" s="335"/>
      <c r="DF420" s="335"/>
      <c r="DG420" s="335"/>
      <c r="DH420" s="335"/>
      <c r="DI420" s="335"/>
      <c r="DJ420" s="335"/>
      <c r="DK420" s="335"/>
      <c r="DL420" s="335"/>
      <c r="DM420" s="335"/>
      <c r="DN420" s="335"/>
      <c r="DO420" s="335"/>
      <c r="DP420" s="335"/>
      <c r="DQ420" s="335"/>
      <c r="DR420" s="335"/>
      <c r="DS420" s="335"/>
      <c r="DT420" s="335"/>
      <c r="DU420" s="335"/>
      <c r="DV420" s="335"/>
      <c r="DW420" s="335"/>
      <c r="DX420" s="335"/>
      <c r="DY420" s="335"/>
      <c r="DZ420" s="335"/>
      <c r="EA420" s="335"/>
      <c r="EB420" s="335"/>
      <c r="EC420" s="335"/>
      <c r="ED420" s="335"/>
      <c r="EE420" s="335"/>
      <c r="EF420" s="335"/>
      <c r="EG420" s="335"/>
      <c r="EH420" s="335"/>
      <c r="EI420" s="335"/>
      <c r="EJ420" s="335"/>
      <c r="EK420" s="335"/>
      <c r="EL420" s="335"/>
      <c r="EM420" s="335"/>
      <c r="EN420" s="335"/>
      <c r="EO420" s="335"/>
      <c r="EP420" s="335"/>
      <c r="EQ420" s="335"/>
      <c r="ER420" s="335"/>
      <c r="ES420" s="335"/>
      <c r="ET420" s="335"/>
      <c r="EU420" s="335"/>
      <c r="EV420" s="335"/>
      <c r="EW420" s="335"/>
      <c r="EX420" s="335"/>
      <c r="EY420" s="335"/>
      <c r="EZ420" s="335"/>
      <c r="FA420" s="335"/>
      <c r="FB420" s="335"/>
      <c r="FC420" s="335"/>
      <c r="FD420" s="335"/>
      <c r="FE420" s="335"/>
      <c r="FF420" s="335"/>
      <c r="FG420" s="335"/>
      <c r="FH420" s="335"/>
      <c r="FI420" s="335"/>
      <c r="FJ420" s="335"/>
      <c r="FK420" s="335"/>
      <c r="FL420" s="335"/>
      <c r="FM420" s="335"/>
      <c r="FN420" s="335"/>
      <c r="FO420" s="335"/>
      <c r="FP420" s="335"/>
      <c r="FQ420" s="335"/>
      <c r="FR420" s="335"/>
      <c r="FS420" s="335"/>
      <c r="FT420" s="335"/>
      <c r="FU420" s="335"/>
      <c r="FV420" s="335"/>
      <c r="FW420" s="335"/>
      <c r="FX420" s="335"/>
      <c r="FY420" s="335"/>
      <c r="FZ420" s="335"/>
      <c r="GA420" s="335"/>
      <c r="GB420" s="335"/>
      <c r="GC420" s="335"/>
      <c r="GD420" s="335"/>
      <c r="GE420" s="335"/>
      <c r="GF420" s="335"/>
      <c r="GG420" s="335"/>
      <c r="GH420" s="335"/>
      <c r="GI420" s="335"/>
      <c r="GJ420" s="335"/>
      <c r="GK420" s="335"/>
      <c r="GL420" s="335"/>
      <c r="GM420" s="335"/>
      <c r="GN420" s="335"/>
      <c r="GO420" s="335"/>
      <c r="GP420" s="335"/>
      <c r="GQ420" s="335"/>
      <c r="GR420" s="335"/>
      <c r="GS420" s="335"/>
      <c r="GT420" s="335"/>
      <c r="GU420" s="335"/>
      <c r="GV420" s="335"/>
      <c r="GW420" s="335"/>
      <c r="GX420" s="335"/>
      <c r="GY420" s="335"/>
      <c r="GZ420" s="335"/>
    </row>
    <row r="421" spans="1:208" ht="15">
      <c r="A421" s="379"/>
      <c r="B421" s="335"/>
      <c r="C421" s="335"/>
      <c r="D421" s="335"/>
      <c r="E421" s="335"/>
      <c r="F421" s="335"/>
      <c r="G421" s="335"/>
      <c r="H421" s="335"/>
      <c r="I421" s="335"/>
      <c r="J421" s="335"/>
      <c r="K421" s="335"/>
      <c r="L421" s="335"/>
      <c r="M421" s="376"/>
      <c r="N421" s="335"/>
      <c r="O421" s="380"/>
      <c r="P421" s="335"/>
      <c r="Q421" s="335"/>
      <c r="R421" s="335"/>
      <c r="S421" s="335"/>
      <c r="T421" s="335"/>
      <c r="U421" s="335"/>
      <c r="V421" s="335"/>
      <c r="W421" s="335"/>
      <c r="X421" s="335"/>
      <c r="Y421" s="335"/>
      <c r="Z421" s="335"/>
      <c r="AA421" s="335"/>
      <c r="AB421" s="335"/>
      <c r="AC421" s="335"/>
      <c r="AD421" s="335"/>
      <c r="AE421" s="335"/>
      <c r="AF421" s="335"/>
      <c r="AG421" s="335"/>
      <c r="AH421" s="335"/>
      <c r="AI421" s="335"/>
      <c r="AJ421" s="335"/>
      <c r="AK421" s="335"/>
      <c r="AL421" s="335"/>
      <c r="AM421" s="335"/>
      <c r="AN421" s="335"/>
      <c r="AO421" s="335"/>
      <c r="AP421" s="335"/>
      <c r="AQ421" s="335"/>
      <c r="AR421" s="335"/>
      <c r="AS421" s="335"/>
      <c r="AT421" s="335"/>
      <c r="AU421" s="335"/>
      <c r="AV421" s="335"/>
      <c r="AW421" s="335"/>
      <c r="AX421" s="335"/>
      <c r="AY421" s="335"/>
      <c r="AZ421" s="335"/>
      <c r="BA421" s="335"/>
      <c r="BB421" s="335"/>
      <c r="BC421" s="335"/>
      <c r="BD421" s="335"/>
      <c r="BE421" s="335"/>
      <c r="BF421" s="335"/>
      <c r="BG421" s="335"/>
      <c r="BH421" s="335"/>
      <c r="BI421" s="335"/>
      <c r="BJ421" s="335"/>
      <c r="BK421" s="335"/>
      <c r="BL421" s="335"/>
      <c r="BM421" s="335"/>
      <c r="BN421" s="335"/>
      <c r="BO421" s="335"/>
      <c r="BP421" s="335"/>
      <c r="BQ421" s="335"/>
      <c r="BR421" s="335"/>
      <c r="BS421" s="335"/>
      <c r="BT421" s="335"/>
      <c r="BU421" s="335"/>
      <c r="BV421" s="335"/>
      <c r="BW421" s="335"/>
      <c r="BX421" s="335"/>
      <c r="BY421" s="335"/>
      <c r="BZ421" s="335"/>
      <c r="CA421" s="335"/>
      <c r="CB421" s="335"/>
      <c r="CC421" s="335"/>
      <c r="CD421" s="335"/>
      <c r="CE421" s="335"/>
      <c r="CF421" s="335"/>
      <c r="CG421" s="335"/>
      <c r="CH421" s="335"/>
      <c r="CI421" s="335"/>
      <c r="CJ421" s="335"/>
      <c r="CK421" s="335"/>
      <c r="CL421" s="335"/>
      <c r="CM421" s="335"/>
      <c r="CN421" s="335"/>
      <c r="CO421" s="335"/>
      <c r="CP421" s="335"/>
      <c r="CQ421" s="335"/>
      <c r="CR421" s="335"/>
      <c r="CS421" s="335"/>
      <c r="CT421" s="335"/>
      <c r="CU421" s="335"/>
      <c r="CV421" s="335"/>
      <c r="CW421" s="335"/>
      <c r="CX421" s="335"/>
      <c r="CY421" s="335"/>
      <c r="CZ421" s="335"/>
      <c r="DA421" s="335"/>
      <c r="DB421" s="335"/>
      <c r="DC421" s="335"/>
      <c r="DD421" s="335"/>
      <c r="DE421" s="335"/>
      <c r="DF421" s="335"/>
      <c r="DG421" s="335"/>
      <c r="DH421" s="335"/>
      <c r="DI421" s="335"/>
      <c r="DJ421" s="335"/>
      <c r="DK421" s="335"/>
      <c r="DL421" s="335"/>
      <c r="DM421" s="335"/>
      <c r="DN421" s="335"/>
      <c r="DO421" s="335"/>
      <c r="DP421" s="335"/>
      <c r="DQ421" s="335"/>
      <c r="DR421" s="335"/>
      <c r="DS421" s="335"/>
      <c r="DT421" s="335"/>
      <c r="DU421" s="335"/>
      <c r="DV421" s="335"/>
      <c r="DW421" s="335"/>
      <c r="DX421" s="335"/>
      <c r="DY421" s="335"/>
      <c r="DZ421" s="335"/>
      <c r="EA421" s="335"/>
      <c r="EB421" s="335"/>
      <c r="EC421" s="335"/>
      <c r="ED421" s="335"/>
      <c r="EE421" s="335"/>
      <c r="EF421" s="335"/>
      <c r="EG421" s="335"/>
      <c r="EH421" s="335"/>
      <c r="EI421" s="335"/>
      <c r="EJ421" s="335"/>
      <c r="EK421" s="335"/>
      <c r="EL421" s="335"/>
      <c r="EM421" s="335"/>
      <c r="EN421" s="335"/>
      <c r="EO421" s="335"/>
      <c r="EP421" s="335"/>
      <c r="EQ421" s="335"/>
      <c r="ER421" s="335"/>
      <c r="ES421" s="335"/>
      <c r="ET421" s="335"/>
      <c r="EU421" s="335"/>
      <c r="EV421" s="335"/>
      <c r="EW421" s="335"/>
      <c r="EX421" s="335"/>
      <c r="EY421" s="335"/>
      <c r="EZ421" s="335"/>
      <c r="FA421" s="335"/>
      <c r="FB421" s="335"/>
      <c r="FC421" s="335"/>
      <c r="FD421" s="335"/>
      <c r="FE421" s="335"/>
      <c r="FF421" s="335"/>
      <c r="FG421" s="335"/>
      <c r="FH421" s="335"/>
      <c r="FI421" s="335"/>
      <c r="FJ421" s="335"/>
      <c r="FK421" s="335"/>
      <c r="FL421" s="335"/>
      <c r="FM421" s="335"/>
      <c r="FN421" s="335"/>
      <c r="FO421" s="335"/>
      <c r="FP421" s="335"/>
      <c r="FQ421" s="335"/>
      <c r="FR421" s="335"/>
      <c r="FS421" s="335"/>
      <c r="FT421" s="335"/>
      <c r="FU421" s="335"/>
      <c r="FV421" s="335"/>
      <c r="FW421" s="335"/>
      <c r="FX421" s="335"/>
      <c r="FY421" s="335"/>
      <c r="FZ421" s="335"/>
      <c r="GA421" s="335"/>
      <c r="GB421" s="335"/>
      <c r="GC421" s="335"/>
      <c r="GD421" s="335"/>
      <c r="GE421" s="335"/>
      <c r="GF421" s="335"/>
      <c r="GG421" s="335"/>
      <c r="GH421" s="335"/>
      <c r="GI421" s="335"/>
      <c r="GJ421" s="335"/>
      <c r="GK421" s="335"/>
      <c r="GL421" s="335"/>
      <c r="GM421" s="335"/>
      <c r="GN421" s="335"/>
      <c r="GO421" s="335"/>
      <c r="GP421" s="335"/>
      <c r="GQ421" s="335"/>
      <c r="GR421" s="335"/>
      <c r="GS421" s="335"/>
      <c r="GT421" s="335"/>
      <c r="GU421" s="335"/>
      <c r="GV421" s="335"/>
      <c r="GW421" s="335"/>
      <c r="GX421" s="335"/>
      <c r="GY421" s="335"/>
      <c r="GZ421" s="335"/>
    </row>
    <row r="422" spans="1:208" ht="15">
      <c r="A422" s="379"/>
      <c r="B422" s="335"/>
      <c r="C422" s="335"/>
      <c r="D422" s="335"/>
      <c r="E422" s="335"/>
      <c r="F422" s="335"/>
      <c r="G422" s="335"/>
      <c r="H422" s="335"/>
      <c r="I422" s="335"/>
      <c r="J422" s="335"/>
      <c r="K422" s="335"/>
      <c r="L422" s="335"/>
      <c r="M422" s="376"/>
      <c r="N422" s="335"/>
      <c r="O422" s="380"/>
      <c r="P422" s="335"/>
      <c r="Q422" s="335"/>
      <c r="R422" s="335"/>
      <c r="S422" s="335"/>
      <c r="T422" s="335"/>
      <c r="U422" s="335"/>
      <c r="V422" s="335"/>
      <c r="W422" s="335"/>
      <c r="X422" s="335"/>
      <c r="Y422" s="335"/>
      <c r="Z422" s="335"/>
      <c r="AA422" s="335"/>
      <c r="AB422" s="335"/>
      <c r="AC422" s="335"/>
      <c r="AD422" s="335"/>
      <c r="AE422" s="335"/>
      <c r="AF422" s="335"/>
      <c r="AG422" s="335"/>
      <c r="AH422" s="335"/>
      <c r="AI422" s="335"/>
      <c r="AJ422" s="335"/>
      <c r="AK422" s="335"/>
      <c r="AL422" s="335"/>
      <c r="AM422" s="335"/>
      <c r="AN422" s="335"/>
      <c r="AO422" s="335"/>
      <c r="AP422" s="335"/>
      <c r="AQ422" s="335"/>
      <c r="AR422" s="335"/>
      <c r="AS422" s="335"/>
      <c r="AT422" s="335"/>
      <c r="AU422" s="335"/>
      <c r="AV422" s="335"/>
      <c r="AW422" s="335"/>
      <c r="AX422" s="335"/>
      <c r="AY422" s="335"/>
      <c r="AZ422" s="335"/>
      <c r="BA422" s="335"/>
      <c r="BB422" s="335"/>
      <c r="BC422" s="335"/>
      <c r="BD422" s="335"/>
      <c r="BE422" s="335"/>
      <c r="BF422" s="335"/>
      <c r="BG422" s="335"/>
      <c r="BH422" s="335"/>
      <c r="BI422" s="335"/>
      <c r="BJ422" s="335"/>
      <c r="BK422" s="335"/>
      <c r="BL422" s="335"/>
      <c r="BM422" s="335"/>
      <c r="BN422" s="335"/>
      <c r="BO422" s="335"/>
      <c r="BP422" s="335"/>
      <c r="BQ422" s="335"/>
      <c r="BR422" s="335"/>
      <c r="BS422" s="335"/>
      <c r="BT422" s="335"/>
      <c r="BU422" s="335"/>
      <c r="BV422" s="335"/>
      <c r="BW422" s="335"/>
      <c r="BX422" s="335"/>
      <c r="BY422" s="335"/>
      <c r="BZ422" s="335"/>
      <c r="CA422" s="335"/>
      <c r="CB422" s="335"/>
      <c r="CC422" s="335"/>
      <c r="CD422" s="335"/>
      <c r="CE422" s="335"/>
      <c r="CF422" s="335"/>
      <c r="CG422" s="335"/>
      <c r="CH422" s="335"/>
      <c r="CI422" s="335"/>
      <c r="CJ422" s="335"/>
      <c r="CK422" s="335"/>
      <c r="CL422" s="335"/>
      <c r="CM422" s="335"/>
      <c r="CN422" s="335"/>
      <c r="CO422" s="335"/>
      <c r="CP422" s="335"/>
      <c r="CQ422" s="335"/>
      <c r="CR422" s="335"/>
      <c r="CS422" s="335"/>
      <c r="CT422" s="335"/>
      <c r="CU422" s="335"/>
      <c r="CV422" s="335"/>
      <c r="CW422" s="335"/>
      <c r="CX422" s="335"/>
      <c r="CY422" s="335"/>
      <c r="CZ422" s="335"/>
      <c r="DA422" s="335"/>
      <c r="DB422" s="335"/>
      <c r="DC422" s="335"/>
      <c r="DD422" s="335"/>
      <c r="DE422" s="335"/>
      <c r="DF422" s="335"/>
      <c r="DG422" s="335"/>
      <c r="DH422" s="335"/>
      <c r="DI422" s="335"/>
      <c r="DJ422" s="335"/>
      <c r="DK422" s="335"/>
      <c r="DL422" s="335"/>
      <c r="DM422" s="335"/>
      <c r="DN422" s="335"/>
      <c r="DO422" s="335"/>
      <c r="DP422" s="335"/>
      <c r="DQ422" s="335"/>
      <c r="DR422" s="335"/>
      <c r="DS422" s="335"/>
      <c r="DT422" s="335"/>
      <c r="DU422" s="335"/>
      <c r="DV422" s="335"/>
      <c r="DW422" s="335"/>
      <c r="DX422" s="335"/>
      <c r="DY422" s="335"/>
      <c r="DZ422" s="335"/>
      <c r="EA422" s="335"/>
      <c r="EB422" s="335"/>
      <c r="EC422" s="335"/>
      <c r="ED422" s="335"/>
      <c r="EE422" s="335"/>
      <c r="EF422" s="335"/>
      <c r="EG422" s="335"/>
      <c r="EH422" s="335"/>
      <c r="EI422" s="335"/>
      <c r="EJ422" s="335"/>
      <c r="EK422" s="335"/>
      <c r="EL422" s="335"/>
      <c r="EM422" s="335"/>
      <c r="EN422" s="335"/>
      <c r="EO422" s="335"/>
      <c r="EP422" s="335"/>
      <c r="EQ422" s="335"/>
      <c r="ER422" s="335"/>
      <c r="ES422" s="335"/>
      <c r="ET422" s="335"/>
      <c r="EU422" s="335"/>
      <c r="EV422" s="335"/>
      <c r="EW422" s="335"/>
      <c r="EX422" s="335"/>
      <c r="EY422" s="335"/>
      <c r="EZ422" s="335"/>
      <c r="FA422" s="335"/>
      <c r="FB422" s="335"/>
      <c r="FC422" s="335"/>
      <c r="FD422" s="335"/>
      <c r="FE422" s="335"/>
      <c r="FF422" s="335"/>
      <c r="FG422" s="335"/>
      <c r="FH422" s="335"/>
      <c r="FI422" s="335"/>
      <c r="FJ422" s="335"/>
      <c r="FK422" s="335"/>
      <c r="FL422" s="335"/>
      <c r="FM422" s="335"/>
      <c r="FN422" s="335"/>
      <c r="FO422" s="335"/>
      <c r="FP422" s="335"/>
      <c r="FQ422" s="335"/>
      <c r="FR422" s="335"/>
      <c r="FS422" s="335"/>
      <c r="FT422" s="335"/>
      <c r="FU422" s="335"/>
      <c r="FV422" s="335"/>
      <c r="FW422" s="335"/>
      <c r="FX422" s="335"/>
      <c r="FY422" s="335"/>
      <c r="FZ422" s="335"/>
      <c r="GA422" s="335"/>
      <c r="GB422" s="335"/>
      <c r="GC422" s="335"/>
      <c r="GD422" s="335"/>
      <c r="GE422" s="335"/>
      <c r="GF422" s="335"/>
      <c r="GG422" s="335"/>
      <c r="GH422" s="335"/>
      <c r="GI422" s="335"/>
      <c r="GJ422" s="335"/>
      <c r="GK422" s="335"/>
      <c r="GL422" s="335"/>
      <c r="GM422" s="335"/>
      <c r="GN422" s="335"/>
      <c r="GO422" s="335"/>
      <c r="GP422" s="335"/>
      <c r="GQ422" s="335"/>
      <c r="GR422" s="335"/>
      <c r="GS422" s="335"/>
      <c r="GT422" s="335"/>
      <c r="GU422" s="335"/>
      <c r="GV422" s="335"/>
      <c r="GW422" s="335"/>
      <c r="GX422" s="335"/>
      <c r="GY422" s="335"/>
      <c r="GZ422" s="335"/>
    </row>
    <row r="423" spans="1:208" ht="15">
      <c r="A423" s="379"/>
      <c r="B423" s="335"/>
      <c r="C423" s="335"/>
      <c r="D423" s="335"/>
      <c r="E423" s="335"/>
      <c r="F423" s="335"/>
      <c r="G423" s="335"/>
      <c r="H423" s="335"/>
      <c r="I423" s="335"/>
      <c r="J423" s="335"/>
      <c r="K423" s="335"/>
      <c r="L423" s="335"/>
      <c r="M423" s="376"/>
      <c r="N423" s="335"/>
      <c r="O423" s="380"/>
      <c r="P423" s="335"/>
      <c r="Q423" s="335"/>
      <c r="R423" s="335"/>
      <c r="S423" s="335"/>
      <c r="T423" s="335"/>
      <c r="U423" s="335"/>
      <c r="V423" s="335"/>
      <c r="W423" s="335"/>
      <c r="X423" s="335"/>
      <c r="Y423" s="335"/>
      <c r="Z423" s="335"/>
      <c r="AA423" s="335"/>
      <c r="AB423" s="335"/>
      <c r="AC423" s="335"/>
      <c r="AD423" s="335"/>
      <c r="AE423" s="335"/>
      <c r="AF423" s="335"/>
      <c r="AG423" s="335"/>
      <c r="AH423" s="335"/>
      <c r="AI423" s="335"/>
      <c r="AJ423" s="335"/>
      <c r="AK423" s="335"/>
      <c r="AL423" s="335"/>
      <c r="AM423" s="335"/>
      <c r="AN423" s="335"/>
      <c r="AO423" s="335"/>
      <c r="AP423" s="335"/>
      <c r="AQ423" s="335"/>
      <c r="AR423" s="335"/>
      <c r="AS423" s="335"/>
      <c r="AT423" s="335"/>
      <c r="AU423" s="335"/>
      <c r="AV423" s="335"/>
      <c r="AW423" s="335"/>
      <c r="AX423" s="335"/>
      <c r="AY423" s="335"/>
      <c r="AZ423" s="335"/>
      <c r="BA423" s="335"/>
      <c r="BB423" s="335"/>
      <c r="BC423" s="335"/>
      <c r="BD423" s="335"/>
      <c r="BE423" s="335"/>
      <c r="BF423" s="335"/>
      <c r="BG423" s="335"/>
      <c r="BH423" s="335"/>
      <c r="BI423" s="335"/>
      <c r="BJ423" s="335"/>
      <c r="BK423" s="335"/>
      <c r="BL423" s="335"/>
      <c r="BM423" s="335"/>
      <c r="BN423" s="335"/>
      <c r="BO423" s="335"/>
      <c r="BP423" s="335"/>
      <c r="BQ423" s="335"/>
      <c r="BR423" s="335"/>
      <c r="BS423" s="335"/>
      <c r="BT423" s="335"/>
      <c r="BU423" s="335"/>
      <c r="BV423" s="335"/>
      <c r="BW423" s="335"/>
      <c r="BX423" s="335"/>
      <c r="BY423" s="335"/>
      <c r="BZ423" s="335"/>
      <c r="CA423" s="335"/>
      <c r="CB423" s="335"/>
      <c r="CC423" s="335"/>
      <c r="CD423" s="335"/>
      <c r="CE423" s="335"/>
      <c r="CF423" s="335"/>
      <c r="CG423" s="335"/>
      <c r="CH423" s="335"/>
      <c r="CI423" s="335"/>
      <c r="CJ423" s="335"/>
      <c r="CK423" s="335"/>
      <c r="CL423" s="335"/>
      <c r="CM423" s="335"/>
      <c r="CN423" s="335"/>
      <c r="CO423" s="335"/>
      <c r="CP423" s="335"/>
      <c r="CQ423" s="335"/>
      <c r="CR423" s="335"/>
      <c r="CS423" s="335"/>
      <c r="CT423" s="335"/>
      <c r="CU423" s="335"/>
      <c r="CV423" s="335"/>
      <c r="CW423" s="335"/>
      <c r="CX423" s="335"/>
      <c r="CY423" s="335"/>
      <c r="CZ423" s="335"/>
      <c r="DA423" s="335"/>
      <c r="DB423" s="335"/>
      <c r="DC423" s="335"/>
      <c r="DD423" s="335"/>
      <c r="DE423" s="335"/>
      <c r="DF423" s="335"/>
      <c r="DG423" s="335"/>
      <c r="DH423" s="335"/>
      <c r="DI423" s="335"/>
      <c r="DJ423" s="335"/>
      <c r="DK423" s="335"/>
      <c r="DL423" s="335"/>
      <c r="DM423" s="335"/>
      <c r="DN423" s="335"/>
      <c r="DO423" s="335"/>
      <c r="DP423" s="335"/>
      <c r="DQ423" s="335"/>
      <c r="DR423" s="335"/>
      <c r="DS423" s="335"/>
      <c r="DT423" s="335"/>
      <c r="DU423" s="335"/>
      <c r="DV423" s="335"/>
      <c r="DW423" s="335"/>
      <c r="DX423" s="335"/>
      <c r="DY423" s="335"/>
      <c r="DZ423" s="335"/>
      <c r="EA423" s="335"/>
      <c r="EB423" s="335"/>
      <c r="EC423" s="335"/>
      <c r="ED423" s="335"/>
      <c r="EE423" s="335"/>
      <c r="EF423" s="335"/>
      <c r="EG423" s="335"/>
      <c r="EH423" s="335"/>
      <c r="EI423" s="335"/>
      <c r="EJ423" s="335"/>
      <c r="EK423" s="335"/>
      <c r="EL423" s="335"/>
      <c r="EM423" s="335"/>
      <c r="EN423" s="335"/>
      <c r="EO423" s="335"/>
      <c r="EP423" s="335"/>
      <c r="EQ423" s="335"/>
      <c r="ER423" s="335"/>
      <c r="ES423" s="335"/>
      <c r="ET423" s="335"/>
      <c r="EU423" s="335"/>
      <c r="EV423" s="335"/>
      <c r="EW423" s="335"/>
      <c r="EX423" s="335"/>
      <c r="EY423" s="335"/>
      <c r="EZ423" s="335"/>
      <c r="FA423" s="335"/>
      <c r="FB423" s="335"/>
      <c r="FC423" s="335"/>
      <c r="FD423" s="335"/>
      <c r="FE423" s="335"/>
      <c r="FF423" s="335"/>
      <c r="FG423" s="335"/>
      <c r="FH423" s="335"/>
      <c r="FI423" s="335"/>
      <c r="FJ423" s="335"/>
      <c r="FK423" s="335"/>
      <c r="FL423" s="335"/>
      <c r="FM423" s="335"/>
      <c r="FN423" s="335"/>
      <c r="FO423" s="335"/>
      <c r="FP423" s="335"/>
      <c r="FQ423" s="335"/>
      <c r="FR423" s="335"/>
      <c r="FS423" s="335"/>
      <c r="FT423" s="335"/>
      <c r="FU423" s="335"/>
      <c r="FV423" s="335"/>
      <c r="FW423" s="335"/>
      <c r="FX423" s="335"/>
      <c r="FY423" s="335"/>
      <c r="FZ423" s="335"/>
      <c r="GA423" s="335"/>
      <c r="GB423" s="335"/>
      <c r="GC423" s="335"/>
      <c r="GD423" s="335"/>
      <c r="GE423" s="335"/>
      <c r="GF423" s="335"/>
      <c r="GG423" s="335"/>
      <c r="GH423" s="335"/>
      <c r="GI423" s="335"/>
      <c r="GJ423" s="335"/>
      <c r="GK423" s="335"/>
      <c r="GL423" s="335"/>
      <c r="GM423" s="335"/>
      <c r="GN423" s="335"/>
      <c r="GO423" s="335"/>
      <c r="GP423" s="335"/>
      <c r="GQ423" s="335"/>
      <c r="GR423" s="335"/>
      <c r="GS423" s="335"/>
      <c r="GT423" s="335"/>
      <c r="GU423" s="335"/>
      <c r="GV423" s="335"/>
      <c r="GW423" s="335"/>
      <c r="GX423" s="335"/>
      <c r="GY423" s="335"/>
      <c r="GZ423" s="335"/>
    </row>
    <row r="424" spans="1:208" ht="15">
      <c r="A424" s="379"/>
      <c r="B424" s="335"/>
      <c r="C424" s="335"/>
      <c r="D424" s="335"/>
      <c r="E424" s="335"/>
      <c r="F424" s="335"/>
      <c r="G424" s="335"/>
      <c r="H424" s="335"/>
      <c r="I424" s="335"/>
      <c r="J424" s="335"/>
      <c r="K424" s="335"/>
      <c r="L424" s="335"/>
      <c r="M424" s="376"/>
      <c r="N424" s="335"/>
      <c r="O424" s="380"/>
      <c r="P424" s="335"/>
      <c r="Q424" s="335"/>
      <c r="R424" s="335"/>
      <c r="S424" s="335"/>
      <c r="T424" s="335"/>
      <c r="U424" s="335"/>
      <c r="V424" s="335"/>
      <c r="W424" s="335"/>
      <c r="X424" s="335"/>
      <c r="Y424" s="335"/>
      <c r="Z424" s="335"/>
      <c r="AA424" s="335"/>
      <c r="AB424" s="335"/>
      <c r="AC424" s="335"/>
      <c r="AD424" s="335"/>
      <c r="AE424" s="335"/>
      <c r="AF424" s="335"/>
      <c r="AG424" s="335"/>
      <c r="AH424" s="335"/>
      <c r="AI424" s="335"/>
      <c r="AJ424" s="335"/>
      <c r="AK424" s="335"/>
      <c r="AL424" s="335"/>
      <c r="AM424" s="335"/>
      <c r="AN424" s="335"/>
      <c r="AO424" s="335"/>
      <c r="AP424" s="335"/>
      <c r="AQ424" s="335"/>
      <c r="AR424" s="335"/>
      <c r="AS424" s="335"/>
      <c r="AT424" s="335"/>
      <c r="AU424" s="335"/>
      <c r="AV424" s="335"/>
      <c r="AW424" s="335"/>
      <c r="AX424" s="335"/>
      <c r="AY424" s="335"/>
      <c r="AZ424" s="335"/>
      <c r="BA424" s="335"/>
      <c r="BB424" s="335"/>
      <c r="BC424" s="335"/>
      <c r="BD424" s="335"/>
      <c r="BE424" s="335"/>
      <c r="BF424" s="335"/>
      <c r="BG424" s="335"/>
      <c r="BH424" s="335"/>
      <c r="BI424" s="335"/>
      <c r="BJ424" s="335"/>
      <c r="BK424" s="335"/>
      <c r="BL424" s="335"/>
      <c r="BM424" s="335"/>
      <c r="BN424" s="335"/>
      <c r="BO424" s="335"/>
      <c r="BP424" s="335"/>
      <c r="BQ424" s="335"/>
      <c r="BR424" s="335"/>
      <c r="BS424" s="335"/>
      <c r="BT424" s="335"/>
      <c r="BU424" s="335"/>
      <c r="BV424" s="335"/>
      <c r="BW424" s="335"/>
      <c r="BX424" s="335"/>
      <c r="BY424" s="335"/>
      <c r="BZ424" s="335"/>
      <c r="CA424" s="335"/>
      <c r="CB424" s="335"/>
      <c r="CC424" s="335"/>
      <c r="CD424" s="335"/>
      <c r="CE424" s="335"/>
      <c r="CF424" s="335"/>
      <c r="CG424" s="335"/>
      <c r="CH424" s="335"/>
      <c r="CI424" s="335"/>
      <c r="CJ424" s="335"/>
      <c r="CK424" s="335"/>
      <c r="CL424" s="335"/>
      <c r="CM424" s="335"/>
      <c r="CN424" s="335"/>
      <c r="CO424" s="335"/>
      <c r="CP424" s="335"/>
      <c r="CQ424" s="335"/>
      <c r="CR424" s="335"/>
      <c r="CS424" s="335"/>
      <c r="CT424" s="335"/>
      <c r="CU424" s="335"/>
      <c r="CV424" s="335"/>
      <c r="CW424" s="335"/>
      <c r="CX424" s="335"/>
      <c r="CY424" s="335"/>
      <c r="CZ424" s="335"/>
      <c r="DA424" s="335"/>
      <c r="DB424" s="335"/>
      <c r="DC424" s="335"/>
      <c r="DD424" s="335"/>
      <c r="DE424" s="335"/>
      <c r="DF424" s="335"/>
      <c r="DG424" s="335"/>
      <c r="DH424" s="335"/>
      <c r="DI424" s="335"/>
      <c r="DJ424" s="335"/>
      <c r="DK424" s="335"/>
      <c r="DL424" s="335"/>
      <c r="DM424" s="335"/>
      <c r="DN424" s="335"/>
      <c r="DO424" s="335"/>
      <c r="DP424" s="335"/>
      <c r="DQ424" s="335"/>
      <c r="DR424" s="335"/>
      <c r="DS424" s="335"/>
      <c r="DT424" s="335"/>
      <c r="DU424" s="335"/>
      <c r="DV424" s="335"/>
      <c r="DW424" s="335"/>
      <c r="DX424" s="335"/>
      <c r="DY424" s="335"/>
      <c r="DZ424" s="335"/>
      <c r="EA424" s="335"/>
      <c r="EB424" s="335"/>
      <c r="EC424" s="335"/>
      <c r="ED424" s="335"/>
      <c r="EE424" s="335"/>
      <c r="EF424" s="335"/>
      <c r="EG424" s="335"/>
      <c r="EH424" s="335"/>
      <c r="EI424" s="335"/>
      <c r="EJ424" s="335"/>
      <c r="EK424" s="335"/>
      <c r="EL424" s="335"/>
      <c r="EM424" s="335"/>
      <c r="EN424" s="335"/>
      <c r="EO424" s="335"/>
      <c r="EP424" s="335"/>
      <c r="EQ424" s="335"/>
      <c r="ER424" s="335"/>
      <c r="ES424" s="335"/>
      <c r="ET424" s="335"/>
      <c r="EU424" s="335"/>
      <c r="EV424" s="335"/>
      <c r="EW424" s="335"/>
      <c r="EX424" s="335"/>
      <c r="EY424" s="335"/>
      <c r="EZ424" s="335"/>
      <c r="FA424" s="335"/>
      <c r="FB424" s="335"/>
      <c r="FC424" s="335"/>
      <c r="FD424" s="335"/>
      <c r="FE424" s="335"/>
      <c r="FF424" s="335"/>
      <c r="FG424" s="335"/>
      <c r="FH424" s="335"/>
      <c r="FI424" s="335"/>
      <c r="FJ424" s="335"/>
      <c r="FK424" s="335"/>
      <c r="FL424" s="335"/>
      <c r="FM424" s="335"/>
      <c r="FN424" s="335"/>
      <c r="FO424" s="335"/>
      <c r="FP424" s="335"/>
      <c r="FQ424" s="335"/>
      <c r="FR424" s="335"/>
      <c r="FS424" s="335"/>
      <c r="FT424" s="335"/>
      <c r="FU424" s="335"/>
      <c r="FV424" s="335"/>
      <c r="FW424" s="335"/>
      <c r="FX424" s="335"/>
      <c r="FY424" s="335"/>
      <c r="FZ424" s="335"/>
      <c r="GA424" s="335"/>
      <c r="GB424" s="335"/>
      <c r="GC424" s="335"/>
      <c r="GD424" s="335"/>
      <c r="GE424" s="335"/>
      <c r="GF424" s="335"/>
      <c r="GG424" s="335"/>
      <c r="GH424" s="335"/>
      <c r="GI424" s="335"/>
      <c r="GJ424" s="335"/>
      <c r="GK424" s="335"/>
      <c r="GL424" s="335"/>
      <c r="GM424" s="335"/>
      <c r="GN424" s="335"/>
      <c r="GO424" s="335"/>
      <c r="GP424" s="335"/>
      <c r="GQ424" s="335"/>
      <c r="GR424" s="335"/>
      <c r="GS424" s="335"/>
      <c r="GT424" s="335"/>
      <c r="GU424" s="335"/>
      <c r="GV424" s="335"/>
      <c r="GW424" s="335"/>
      <c r="GX424" s="335"/>
      <c r="GY424" s="335"/>
      <c r="GZ424" s="335"/>
    </row>
    <row r="425" spans="1:208" ht="15">
      <c r="A425" s="379"/>
      <c r="B425" s="335"/>
      <c r="C425" s="335"/>
      <c r="D425" s="335"/>
      <c r="E425" s="335"/>
      <c r="F425" s="335"/>
      <c r="G425" s="335"/>
      <c r="H425" s="335"/>
      <c r="I425" s="335"/>
      <c r="J425" s="335"/>
      <c r="K425" s="335"/>
      <c r="L425" s="335"/>
      <c r="M425" s="376"/>
      <c r="N425" s="335"/>
      <c r="O425" s="380"/>
      <c r="P425" s="335"/>
      <c r="Q425" s="335"/>
      <c r="R425" s="335"/>
      <c r="S425" s="335"/>
      <c r="T425" s="335"/>
      <c r="U425" s="335"/>
      <c r="V425" s="335"/>
      <c r="W425" s="335"/>
      <c r="X425" s="335"/>
      <c r="Y425" s="335"/>
      <c r="Z425" s="335"/>
      <c r="AA425" s="335"/>
      <c r="AB425" s="335"/>
      <c r="AC425" s="335"/>
      <c r="AD425" s="335"/>
      <c r="AE425" s="335"/>
      <c r="AF425" s="335"/>
      <c r="AG425" s="335"/>
      <c r="AH425" s="335"/>
      <c r="AI425" s="335"/>
      <c r="AJ425" s="335"/>
      <c r="AK425" s="335"/>
      <c r="AL425" s="335"/>
      <c r="AM425" s="335"/>
      <c r="AN425" s="335"/>
      <c r="AO425" s="335"/>
      <c r="AP425" s="335"/>
      <c r="AQ425" s="335"/>
      <c r="AR425" s="335"/>
      <c r="AS425" s="335"/>
      <c r="AT425" s="335"/>
      <c r="AU425" s="335"/>
      <c r="AV425" s="335"/>
      <c r="AW425" s="335"/>
      <c r="AX425" s="335"/>
      <c r="AY425" s="335"/>
      <c r="AZ425" s="335"/>
      <c r="BA425" s="335"/>
      <c r="BB425" s="335"/>
      <c r="BC425" s="335"/>
      <c r="BD425" s="335"/>
      <c r="BE425" s="335"/>
      <c r="BF425" s="335"/>
      <c r="BG425" s="335"/>
      <c r="BH425" s="335"/>
      <c r="BI425" s="335"/>
      <c r="BJ425" s="335"/>
      <c r="BK425" s="335"/>
      <c r="BL425" s="335"/>
      <c r="BM425" s="335"/>
      <c r="BN425" s="335"/>
      <c r="BO425" s="335"/>
      <c r="BP425" s="335"/>
      <c r="BQ425" s="335"/>
      <c r="BR425" s="335"/>
      <c r="BS425" s="335"/>
      <c r="BT425" s="335"/>
      <c r="BU425" s="335"/>
      <c r="BV425" s="335"/>
      <c r="BW425" s="335"/>
      <c r="BX425" s="335"/>
      <c r="BY425" s="335"/>
      <c r="BZ425" s="335"/>
      <c r="CA425" s="335"/>
      <c r="CB425" s="335"/>
      <c r="CC425" s="335"/>
      <c r="CD425" s="335"/>
      <c r="CE425" s="335"/>
      <c r="CF425" s="335"/>
      <c r="CG425" s="335"/>
      <c r="CH425" s="335"/>
      <c r="CI425" s="335"/>
      <c r="CJ425" s="335"/>
      <c r="CK425" s="335"/>
      <c r="CL425" s="335"/>
      <c r="CM425" s="335"/>
      <c r="CN425" s="335"/>
      <c r="CO425" s="335"/>
      <c r="CP425" s="335"/>
      <c r="CQ425" s="335"/>
      <c r="CR425" s="335"/>
      <c r="CS425" s="335"/>
      <c r="CT425" s="335"/>
      <c r="CU425" s="335"/>
      <c r="CV425" s="335"/>
      <c r="CW425" s="335"/>
      <c r="CX425" s="335"/>
      <c r="CY425" s="335"/>
      <c r="CZ425" s="335"/>
      <c r="DA425" s="335"/>
      <c r="DB425" s="335"/>
      <c r="DC425" s="335"/>
      <c r="DD425" s="335"/>
      <c r="DE425" s="335"/>
      <c r="DF425" s="335"/>
      <c r="DG425" s="335"/>
      <c r="DH425" s="335"/>
      <c r="DI425" s="335"/>
      <c r="DJ425" s="335"/>
      <c r="DK425" s="335"/>
      <c r="DL425" s="335"/>
      <c r="DM425" s="335"/>
      <c r="DN425" s="335"/>
      <c r="DO425" s="335"/>
      <c r="DP425" s="335"/>
      <c r="DQ425" s="335"/>
      <c r="DR425" s="335"/>
      <c r="DS425" s="335"/>
      <c r="DT425" s="335"/>
      <c r="DU425" s="335"/>
      <c r="DV425" s="335"/>
      <c r="DW425" s="335"/>
      <c r="DX425" s="335"/>
      <c r="DY425" s="335"/>
      <c r="DZ425" s="335"/>
      <c r="EA425" s="335"/>
      <c r="EB425" s="335"/>
      <c r="EC425" s="335"/>
      <c r="ED425" s="335"/>
      <c r="EE425" s="335"/>
      <c r="EF425" s="335"/>
      <c r="EG425" s="335"/>
      <c r="EH425" s="335"/>
      <c r="EI425" s="335"/>
      <c r="EJ425" s="335"/>
      <c r="EK425" s="335"/>
      <c r="EL425" s="335"/>
      <c r="EM425" s="335"/>
      <c r="EN425" s="335"/>
      <c r="EO425" s="335"/>
      <c r="EP425" s="335"/>
      <c r="EQ425" s="335"/>
      <c r="ER425" s="335"/>
      <c r="ES425" s="335"/>
      <c r="ET425" s="335"/>
      <c r="EU425" s="335"/>
      <c r="EV425" s="335"/>
      <c r="EW425" s="335"/>
      <c r="EX425" s="335"/>
      <c r="EY425" s="335"/>
      <c r="EZ425" s="335"/>
      <c r="FA425" s="335"/>
      <c r="FB425" s="335"/>
      <c r="FC425" s="335"/>
      <c r="FD425" s="335"/>
      <c r="FE425" s="335"/>
      <c r="FF425" s="335"/>
      <c r="FG425" s="335"/>
      <c r="FH425" s="335"/>
      <c r="FI425" s="335"/>
      <c r="FJ425" s="335"/>
      <c r="FK425" s="335"/>
      <c r="FL425" s="335"/>
      <c r="FM425" s="335"/>
      <c r="FN425" s="335"/>
      <c r="FO425" s="335"/>
      <c r="FP425" s="335"/>
      <c r="FQ425" s="335"/>
      <c r="FR425" s="335"/>
      <c r="FS425" s="335"/>
      <c r="FT425" s="335"/>
      <c r="FU425" s="335"/>
      <c r="FV425" s="335"/>
      <c r="FW425" s="335"/>
      <c r="FX425" s="335"/>
      <c r="FY425" s="335"/>
      <c r="FZ425" s="335"/>
      <c r="GA425" s="335"/>
      <c r="GB425" s="335"/>
      <c r="GC425" s="335"/>
      <c r="GD425" s="335"/>
      <c r="GE425" s="335"/>
      <c r="GF425" s="335"/>
      <c r="GG425" s="335"/>
      <c r="GH425" s="335"/>
      <c r="GI425" s="335"/>
      <c r="GJ425" s="335"/>
      <c r="GK425" s="335"/>
      <c r="GL425" s="335"/>
      <c r="GM425" s="335"/>
      <c r="GN425" s="335"/>
      <c r="GO425" s="335"/>
      <c r="GP425" s="335"/>
      <c r="GQ425" s="335"/>
      <c r="GR425" s="335"/>
      <c r="GS425" s="335"/>
      <c r="GT425" s="335"/>
      <c r="GU425" s="335"/>
      <c r="GV425" s="335"/>
      <c r="GW425" s="335"/>
      <c r="GX425" s="335"/>
      <c r="GY425" s="335"/>
      <c r="GZ425" s="335"/>
    </row>
    <row r="426" spans="1:208" ht="15">
      <c r="A426" s="379"/>
      <c r="B426" s="335"/>
      <c r="C426" s="335"/>
      <c r="D426" s="335"/>
      <c r="E426" s="335"/>
      <c r="F426" s="335"/>
      <c r="G426" s="335"/>
      <c r="H426" s="335"/>
      <c r="I426" s="335"/>
      <c r="J426" s="335"/>
      <c r="K426" s="335"/>
      <c r="L426" s="335"/>
      <c r="M426" s="376"/>
      <c r="N426" s="335"/>
      <c r="O426" s="380"/>
      <c r="P426" s="335"/>
      <c r="Q426" s="335"/>
      <c r="R426" s="335"/>
      <c r="S426" s="335"/>
      <c r="T426" s="335"/>
      <c r="U426" s="335"/>
      <c r="V426" s="335"/>
      <c r="W426" s="335"/>
      <c r="X426" s="335"/>
      <c r="Y426" s="335"/>
      <c r="Z426" s="335"/>
      <c r="AA426" s="335"/>
      <c r="AB426" s="335"/>
      <c r="AC426" s="335"/>
      <c r="AD426" s="335"/>
      <c r="AE426" s="335"/>
      <c r="AF426" s="335"/>
      <c r="AG426" s="335"/>
      <c r="AH426" s="335"/>
      <c r="AI426" s="335"/>
      <c r="AJ426" s="335"/>
      <c r="AK426" s="335"/>
      <c r="AL426" s="335"/>
      <c r="AM426" s="335"/>
      <c r="AN426" s="335"/>
      <c r="AO426" s="335"/>
      <c r="AP426" s="335"/>
      <c r="AQ426" s="335"/>
      <c r="AR426" s="335"/>
      <c r="AS426" s="335"/>
      <c r="AT426" s="335"/>
      <c r="AU426" s="335"/>
      <c r="AV426" s="335"/>
      <c r="AW426" s="335"/>
      <c r="AX426" s="335"/>
      <c r="AY426" s="335"/>
      <c r="AZ426" s="335"/>
      <c r="BA426" s="335"/>
      <c r="BB426" s="335"/>
      <c r="BC426" s="335"/>
      <c r="BD426" s="335"/>
      <c r="BE426" s="335"/>
      <c r="BF426" s="335"/>
      <c r="BG426" s="335"/>
      <c r="BH426" s="335"/>
      <c r="BI426" s="335"/>
      <c r="BJ426" s="335"/>
      <c r="BK426" s="335"/>
      <c r="BL426" s="335"/>
      <c r="BM426" s="335"/>
      <c r="BN426" s="335"/>
      <c r="BO426" s="335"/>
      <c r="BP426" s="335"/>
      <c r="BQ426" s="335"/>
      <c r="BR426" s="335"/>
      <c r="BS426" s="335"/>
      <c r="BT426" s="335"/>
      <c r="BU426" s="335"/>
      <c r="BV426" s="335"/>
      <c r="BW426" s="335"/>
      <c r="BX426" s="335"/>
      <c r="BY426" s="335"/>
      <c r="BZ426" s="335"/>
      <c r="CA426" s="335"/>
      <c r="CB426" s="335"/>
      <c r="CC426" s="335"/>
      <c r="CD426" s="335"/>
      <c r="CE426" s="335"/>
      <c r="CF426" s="335"/>
      <c r="CG426" s="335"/>
      <c r="CH426" s="335"/>
      <c r="CI426" s="335"/>
      <c r="CJ426" s="335"/>
      <c r="CK426" s="335"/>
      <c r="CL426" s="335"/>
      <c r="CM426" s="335"/>
      <c r="CN426" s="335"/>
      <c r="CO426" s="335"/>
      <c r="CP426" s="335"/>
      <c r="CQ426" s="335"/>
      <c r="CR426" s="335"/>
      <c r="CS426" s="335"/>
      <c r="CT426" s="335"/>
      <c r="CU426" s="335"/>
      <c r="CV426" s="335"/>
      <c r="CW426" s="335"/>
      <c r="CX426" s="335"/>
      <c r="CY426" s="335"/>
      <c r="CZ426" s="335"/>
      <c r="DA426" s="335"/>
      <c r="DB426" s="335"/>
      <c r="DC426" s="335"/>
      <c r="DD426" s="335"/>
      <c r="DE426" s="335"/>
      <c r="DF426" s="335"/>
      <c r="DG426" s="335"/>
      <c r="DH426" s="335"/>
      <c r="DI426" s="335"/>
      <c r="DJ426" s="335"/>
      <c r="DK426" s="335"/>
      <c r="DL426" s="335"/>
      <c r="DM426" s="335"/>
      <c r="DN426" s="335"/>
      <c r="DO426" s="335"/>
      <c r="DP426" s="335"/>
      <c r="DQ426" s="335"/>
      <c r="DR426" s="335"/>
      <c r="DS426" s="335"/>
      <c r="DT426" s="335"/>
      <c r="DU426" s="335"/>
      <c r="DV426" s="335"/>
      <c r="DW426" s="335"/>
      <c r="DX426" s="335"/>
      <c r="DY426" s="335"/>
      <c r="DZ426" s="335"/>
      <c r="EA426" s="335"/>
      <c r="EB426" s="335"/>
      <c r="EC426" s="335"/>
      <c r="ED426" s="335"/>
      <c r="EE426" s="335"/>
      <c r="EF426" s="335"/>
      <c r="EG426" s="335"/>
      <c r="EH426" s="335"/>
      <c r="EI426" s="335"/>
      <c r="EJ426" s="335"/>
      <c r="EK426" s="335"/>
      <c r="EL426" s="335"/>
      <c r="EM426" s="335"/>
      <c r="EN426" s="335"/>
      <c r="EO426" s="335"/>
      <c r="EP426" s="335"/>
      <c r="EQ426" s="335"/>
      <c r="ER426" s="335"/>
      <c r="ES426" s="335"/>
      <c r="ET426" s="335"/>
      <c r="EU426" s="335"/>
      <c r="EV426" s="335"/>
      <c r="EW426" s="335"/>
      <c r="EX426" s="335"/>
      <c r="EY426" s="335"/>
      <c r="EZ426" s="335"/>
      <c r="FA426" s="335"/>
      <c r="FB426" s="335"/>
      <c r="FC426" s="335"/>
      <c r="FD426" s="335"/>
      <c r="FE426" s="335"/>
      <c r="FF426" s="335"/>
      <c r="FG426" s="335"/>
      <c r="FH426" s="335"/>
      <c r="FI426" s="335"/>
      <c r="FJ426" s="335"/>
      <c r="FK426" s="335"/>
      <c r="FL426" s="335"/>
      <c r="FM426" s="335"/>
      <c r="FN426" s="335"/>
      <c r="FO426" s="335"/>
      <c r="FP426" s="335"/>
      <c r="FQ426" s="335"/>
      <c r="FR426" s="335"/>
      <c r="FS426" s="335"/>
      <c r="FT426" s="335"/>
      <c r="FU426" s="335"/>
      <c r="FV426" s="335"/>
      <c r="FW426" s="335"/>
      <c r="FX426" s="335"/>
      <c r="FY426" s="335"/>
      <c r="FZ426" s="335"/>
      <c r="GA426" s="335"/>
      <c r="GB426" s="335"/>
      <c r="GC426" s="335"/>
      <c r="GD426" s="335"/>
      <c r="GE426" s="335"/>
      <c r="GF426" s="335"/>
      <c r="GG426" s="335"/>
      <c r="GH426" s="335"/>
      <c r="GI426" s="335"/>
      <c r="GJ426" s="335"/>
      <c r="GK426" s="335"/>
      <c r="GL426" s="335"/>
      <c r="GM426" s="335"/>
      <c r="GN426" s="335"/>
      <c r="GO426" s="335"/>
      <c r="GP426" s="335"/>
      <c r="GQ426" s="335"/>
      <c r="GR426" s="335"/>
      <c r="GS426" s="335"/>
      <c r="GT426" s="335"/>
      <c r="GU426" s="335"/>
      <c r="GV426" s="335"/>
      <c r="GW426" s="335"/>
      <c r="GX426" s="335"/>
      <c r="GY426" s="335"/>
      <c r="GZ426" s="335"/>
    </row>
    <row r="427" spans="1:208" ht="15">
      <c r="A427" s="379"/>
      <c r="B427" s="335"/>
      <c r="C427" s="335"/>
      <c r="D427" s="335"/>
      <c r="E427" s="335"/>
      <c r="F427" s="335"/>
      <c r="G427" s="335"/>
      <c r="H427" s="335"/>
      <c r="I427" s="335"/>
      <c r="J427" s="335"/>
      <c r="K427" s="335"/>
      <c r="L427" s="335"/>
      <c r="M427" s="376"/>
      <c r="N427" s="335"/>
      <c r="O427" s="380"/>
      <c r="P427" s="335"/>
      <c r="Q427" s="335"/>
      <c r="R427" s="335"/>
      <c r="S427" s="335"/>
      <c r="T427" s="335"/>
      <c r="U427" s="335"/>
      <c r="V427" s="335"/>
      <c r="W427" s="335"/>
      <c r="X427" s="335"/>
      <c r="Y427" s="335"/>
      <c r="Z427" s="335"/>
      <c r="AA427" s="335"/>
      <c r="AB427" s="335"/>
      <c r="AC427" s="335"/>
      <c r="AD427" s="335"/>
      <c r="AE427" s="335"/>
      <c r="AF427" s="335"/>
      <c r="AG427" s="335"/>
      <c r="AH427" s="335"/>
      <c r="AI427" s="335"/>
      <c r="AJ427" s="335"/>
      <c r="AK427" s="335"/>
      <c r="AL427" s="335"/>
      <c r="AM427" s="335"/>
      <c r="AN427" s="335"/>
      <c r="AO427" s="335"/>
      <c r="AP427" s="335"/>
      <c r="AQ427" s="335"/>
      <c r="AR427" s="335"/>
      <c r="AS427" s="335"/>
      <c r="AT427" s="335"/>
      <c r="AU427" s="335"/>
      <c r="AV427" s="335"/>
      <c r="AW427" s="335"/>
      <c r="AX427" s="335"/>
      <c r="AY427" s="335"/>
      <c r="AZ427" s="335"/>
      <c r="BA427" s="335"/>
      <c r="BB427" s="335"/>
      <c r="BC427" s="335"/>
      <c r="BD427" s="335"/>
      <c r="BE427" s="335"/>
      <c r="BF427" s="335"/>
      <c r="BG427" s="335"/>
      <c r="BH427" s="335"/>
      <c r="BI427" s="335"/>
      <c r="BJ427" s="335"/>
      <c r="BK427" s="335"/>
      <c r="BL427" s="335"/>
      <c r="BM427" s="335"/>
      <c r="BN427" s="335"/>
      <c r="BO427" s="335"/>
      <c r="BP427" s="335"/>
      <c r="BQ427" s="335"/>
      <c r="BR427" s="335"/>
      <c r="BS427" s="335"/>
      <c r="BT427" s="335"/>
      <c r="BU427" s="335"/>
      <c r="BV427" s="335"/>
      <c r="BW427" s="335"/>
      <c r="BX427" s="335"/>
      <c r="BY427" s="335"/>
      <c r="BZ427" s="335"/>
      <c r="CA427" s="335"/>
      <c r="CB427" s="335"/>
      <c r="CC427" s="335"/>
      <c r="CD427" s="335"/>
      <c r="CE427" s="335"/>
      <c r="CF427" s="335"/>
      <c r="CG427" s="335"/>
      <c r="CH427" s="335"/>
      <c r="CI427" s="335"/>
      <c r="CJ427" s="335"/>
      <c r="CK427" s="335"/>
      <c r="CL427" s="335"/>
      <c r="CM427" s="335"/>
      <c r="CN427" s="335"/>
      <c r="CO427" s="335"/>
      <c r="CP427" s="335"/>
      <c r="CQ427" s="335"/>
      <c r="CR427" s="335"/>
      <c r="CS427" s="335"/>
      <c r="CT427" s="335"/>
      <c r="CU427" s="335"/>
      <c r="CV427" s="335"/>
      <c r="CW427" s="335"/>
      <c r="CX427" s="335"/>
      <c r="CY427" s="335"/>
      <c r="CZ427" s="335"/>
      <c r="DA427" s="335"/>
      <c r="DB427" s="335"/>
      <c r="DC427" s="335"/>
      <c r="DD427" s="335"/>
      <c r="DE427" s="335"/>
      <c r="DF427" s="335"/>
      <c r="DG427" s="335"/>
      <c r="DH427" s="335"/>
      <c r="DI427" s="335"/>
      <c r="DJ427" s="335"/>
      <c r="DK427" s="335"/>
      <c r="DL427" s="335"/>
      <c r="DM427" s="335"/>
      <c r="DN427" s="335"/>
      <c r="DO427" s="335"/>
      <c r="DP427" s="335"/>
      <c r="DQ427" s="335"/>
      <c r="DR427" s="335"/>
      <c r="DS427" s="335"/>
      <c r="DT427" s="335"/>
      <c r="DU427" s="335"/>
      <c r="DV427" s="335"/>
      <c r="DW427" s="335"/>
      <c r="DX427" s="335"/>
      <c r="DY427" s="335"/>
      <c r="DZ427" s="335"/>
      <c r="EA427" s="335"/>
      <c r="EB427" s="335"/>
      <c r="EC427" s="335"/>
      <c r="ED427" s="335"/>
      <c r="EE427" s="335"/>
      <c r="EF427" s="335"/>
      <c r="EG427" s="335"/>
      <c r="EH427" s="335"/>
      <c r="EI427" s="335"/>
      <c r="EJ427" s="335"/>
      <c r="EK427" s="335"/>
      <c r="EL427" s="335"/>
      <c r="EM427" s="335"/>
      <c r="EN427" s="335"/>
      <c r="EO427" s="335"/>
      <c r="EP427" s="335"/>
      <c r="EQ427" s="335"/>
      <c r="ER427" s="335"/>
      <c r="ES427" s="335"/>
      <c r="ET427" s="335"/>
      <c r="EU427" s="335"/>
      <c r="EV427" s="335"/>
      <c r="EW427" s="335"/>
      <c r="EX427" s="335"/>
      <c r="EY427" s="335"/>
      <c r="EZ427" s="335"/>
      <c r="FA427" s="335"/>
      <c r="FB427" s="335"/>
      <c r="FC427" s="335"/>
      <c r="FD427" s="335"/>
      <c r="FE427" s="335"/>
      <c r="FF427" s="335"/>
      <c r="FG427" s="335"/>
      <c r="FH427" s="335"/>
      <c r="FI427" s="335"/>
      <c r="FJ427" s="335"/>
      <c r="FK427" s="335"/>
      <c r="FL427" s="335"/>
      <c r="FM427" s="335"/>
      <c r="FN427" s="335"/>
      <c r="FO427" s="335"/>
      <c r="FP427" s="335"/>
      <c r="FQ427" s="335"/>
      <c r="FR427" s="335"/>
      <c r="FS427" s="335"/>
      <c r="FT427" s="335"/>
      <c r="FU427" s="335"/>
      <c r="FV427" s="335"/>
      <c r="FW427" s="335"/>
      <c r="FX427" s="335"/>
      <c r="FY427" s="335"/>
      <c r="FZ427" s="335"/>
      <c r="GA427" s="335"/>
      <c r="GB427" s="335"/>
      <c r="GC427" s="335"/>
      <c r="GD427" s="335"/>
      <c r="GE427" s="335"/>
      <c r="GF427" s="335"/>
      <c r="GG427" s="335"/>
      <c r="GH427" s="335"/>
      <c r="GI427" s="335"/>
      <c r="GJ427" s="335"/>
      <c r="GK427" s="335"/>
      <c r="GL427" s="335"/>
      <c r="GM427" s="335"/>
      <c r="GN427" s="335"/>
      <c r="GO427" s="335"/>
      <c r="GP427" s="335"/>
      <c r="GQ427" s="335"/>
      <c r="GR427" s="335"/>
      <c r="GS427" s="335"/>
      <c r="GT427" s="335"/>
      <c r="GU427" s="335"/>
      <c r="GV427" s="335"/>
      <c r="GW427" s="335"/>
      <c r="GX427" s="335"/>
      <c r="GY427" s="335"/>
      <c r="GZ427" s="335"/>
    </row>
    <row r="428" spans="1:208" ht="15">
      <c r="A428" s="379"/>
      <c r="B428" s="335"/>
      <c r="C428" s="335"/>
      <c r="D428" s="335"/>
      <c r="E428" s="335"/>
      <c r="F428" s="335"/>
      <c r="G428" s="335"/>
      <c r="H428" s="335"/>
      <c r="I428" s="335"/>
      <c r="J428" s="335"/>
      <c r="K428" s="335"/>
      <c r="L428" s="335"/>
      <c r="M428" s="376"/>
      <c r="N428" s="335"/>
      <c r="O428" s="380"/>
      <c r="P428" s="335"/>
      <c r="Q428" s="335"/>
      <c r="R428" s="335"/>
      <c r="S428" s="335"/>
      <c r="T428" s="335"/>
      <c r="U428" s="335"/>
      <c r="V428" s="335"/>
      <c r="W428" s="335"/>
      <c r="X428" s="335"/>
      <c r="Y428" s="335"/>
      <c r="Z428" s="335"/>
      <c r="AA428" s="335"/>
      <c r="AB428" s="335"/>
      <c r="AC428" s="335"/>
      <c r="AD428" s="335"/>
      <c r="AE428" s="335"/>
      <c r="AF428" s="335"/>
      <c r="AG428" s="335"/>
      <c r="AH428" s="335"/>
      <c r="AI428" s="335"/>
      <c r="AJ428" s="335"/>
      <c r="AK428" s="335"/>
      <c r="AL428" s="335"/>
      <c r="AM428" s="335"/>
      <c r="AN428" s="335"/>
      <c r="AO428" s="335"/>
      <c r="AP428" s="335"/>
      <c r="AQ428" s="335"/>
      <c r="AR428" s="335"/>
      <c r="AS428" s="335"/>
      <c r="AT428" s="335"/>
      <c r="AU428" s="335"/>
      <c r="AV428" s="335"/>
      <c r="AW428" s="335"/>
      <c r="AX428" s="335"/>
      <c r="AY428" s="335"/>
      <c r="AZ428" s="335"/>
      <c r="BA428" s="335"/>
      <c r="BB428" s="335"/>
      <c r="BC428" s="335"/>
      <c r="BD428" s="335"/>
      <c r="BE428" s="335"/>
      <c r="BF428" s="335"/>
      <c r="BG428" s="335"/>
      <c r="BH428" s="335"/>
      <c r="BI428" s="335"/>
      <c r="BJ428" s="335"/>
      <c r="BK428" s="335"/>
      <c r="BL428" s="335"/>
      <c r="BM428" s="335"/>
      <c r="BN428" s="335"/>
      <c r="BO428" s="335"/>
      <c r="BP428" s="335"/>
      <c r="BQ428" s="335"/>
      <c r="BR428" s="335"/>
      <c r="BS428" s="335"/>
      <c r="BT428" s="335"/>
      <c r="BU428" s="335"/>
      <c r="BV428" s="335"/>
      <c r="BW428" s="335"/>
      <c r="BX428" s="335"/>
      <c r="BY428" s="335"/>
      <c r="BZ428" s="335"/>
      <c r="CA428" s="335"/>
      <c r="CB428" s="335"/>
      <c r="CC428" s="335"/>
      <c r="CD428" s="335"/>
      <c r="CE428" s="335"/>
      <c r="CF428" s="335"/>
      <c r="CG428" s="335"/>
      <c r="CH428" s="335"/>
      <c r="CI428" s="335"/>
      <c r="CJ428" s="335"/>
      <c r="CK428" s="335"/>
      <c r="CL428" s="335"/>
      <c r="CM428" s="335"/>
      <c r="CN428" s="335"/>
      <c r="CO428" s="335"/>
      <c r="CP428" s="335"/>
      <c r="CQ428" s="335"/>
      <c r="CR428" s="335"/>
      <c r="CS428" s="335"/>
      <c r="CT428" s="335"/>
      <c r="CU428" s="335"/>
      <c r="CV428" s="335"/>
      <c r="CW428" s="335"/>
      <c r="CX428" s="335"/>
      <c r="CY428" s="335"/>
      <c r="CZ428" s="335"/>
      <c r="DA428" s="335"/>
      <c r="DB428" s="335"/>
      <c r="DC428" s="335"/>
      <c r="DD428" s="335"/>
      <c r="DE428" s="335"/>
      <c r="DF428" s="335"/>
      <c r="DG428" s="335"/>
      <c r="DH428" s="335"/>
      <c r="DI428" s="335"/>
      <c r="DJ428" s="335"/>
      <c r="DK428" s="335"/>
      <c r="DL428" s="335"/>
      <c r="DM428" s="335"/>
      <c r="DN428" s="335"/>
      <c r="DO428" s="335"/>
      <c r="DP428" s="335"/>
      <c r="DQ428" s="335"/>
      <c r="DR428" s="335"/>
      <c r="DS428" s="335"/>
      <c r="DT428" s="335"/>
      <c r="DU428" s="335"/>
      <c r="DV428" s="335"/>
      <c r="DW428" s="335"/>
      <c r="DX428" s="335"/>
      <c r="DY428" s="335"/>
      <c r="DZ428" s="335"/>
      <c r="EA428" s="335"/>
      <c r="EB428" s="335"/>
      <c r="EC428" s="335"/>
      <c r="ED428" s="335"/>
      <c r="EE428" s="335"/>
      <c r="EF428" s="335"/>
      <c r="EG428" s="335"/>
      <c r="EH428" s="335"/>
      <c r="EI428" s="335"/>
      <c r="EJ428" s="335"/>
      <c r="EK428" s="335"/>
      <c r="EL428" s="335"/>
      <c r="EM428" s="335"/>
      <c r="EN428" s="335"/>
      <c r="EO428" s="335"/>
      <c r="EP428" s="335"/>
      <c r="EQ428" s="335"/>
      <c r="ER428" s="335"/>
      <c r="ES428" s="335"/>
      <c r="ET428" s="335"/>
      <c r="EU428" s="335"/>
      <c r="EV428" s="335"/>
      <c r="EW428" s="335"/>
      <c r="EX428" s="335"/>
      <c r="EY428" s="335"/>
      <c r="EZ428" s="335"/>
      <c r="FA428" s="335"/>
      <c r="FB428" s="335"/>
      <c r="FC428" s="335"/>
      <c r="FD428" s="335"/>
      <c r="FE428" s="335"/>
      <c r="FF428" s="335"/>
      <c r="FG428" s="335"/>
      <c r="FH428" s="335"/>
      <c r="FI428" s="335"/>
      <c r="FJ428" s="335"/>
      <c r="FK428" s="335"/>
      <c r="FL428" s="335"/>
      <c r="FM428" s="335"/>
      <c r="FN428" s="335"/>
      <c r="FO428" s="335"/>
      <c r="FP428" s="335"/>
      <c r="FQ428" s="335"/>
      <c r="FR428" s="335"/>
      <c r="FS428" s="335"/>
      <c r="FT428" s="335"/>
      <c r="FU428" s="335"/>
      <c r="FV428" s="335"/>
      <c r="FW428" s="335"/>
      <c r="FX428" s="335"/>
      <c r="FY428" s="335"/>
      <c r="FZ428" s="335"/>
      <c r="GA428" s="335"/>
      <c r="GB428" s="335"/>
      <c r="GC428" s="335"/>
      <c r="GD428" s="335"/>
      <c r="GE428" s="335"/>
      <c r="GF428" s="335"/>
      <c r="GG428" s="335"/>
      <c r="GH428" s="335"/>
      <c r="GI428" s="335"/>
      <c r="GJ428" s="335"/>
      <c r="GK428" s="335"/>
      <c r="GL428" s="335"/>
      <c r="GM428" s="335"/>
      <c r="GN428" s="335"/>
      <c r="GO428" s="335"/>
      <c r="GP428" s="335"/>
      <c r="GQ428" s="335"/>
      <c r="GR428" s="335"/>
      <c r="GS428" s="335"/>
      <c r="GT428" s="335"/>
      <c r="GU428" s="335"/>
      <c r="GV428" s="335"/>
      <c r="GW428" s="335"/>
      <c r="GX428" s="335"/>
      <c r="GY428" s="335"/>
      <c r="GZ428" s="335"/>
    </row>
    <row r="429" spans="1:208" ht="15">
      <c r="A429" s="379"/>
      <c r="B429" s="335"/>
      <c r="C429" s="335"/>
      <c r="D429" s="335"/>
      <c r="E429" s="335"/>
      <c r="F429" s="335"/>
      <c r="G429" s="335"/>
      <c r="H429" s="335"/>
      <c r="I429" s="335"/>
      <c r="J429" s="335"/>
      <c r="K429" s="335"/>
      <c r="L429" s="335"/>
      <c r="M429" s="376"/>
      <c r="N429" s="335"/>
      <c r="O429" s="380"/>
      <c r="P429" s="335"/>
      <c r="Q429" s="335"/>
      <c r="R429" s="335"/>
      <c r="S429" s="335"/>
      <c r="T429" s="335"/>
      <c r="U429" s="335"/>
      <c r="V429" s="335"/>
      <c r="W429" s="335"/>
      <c r="X429" s="335"/>
      <c r="Y429" s="335"/>
      <c r="Z429" s="335"/>
      <c r="AA429" s="335"/>
      <c r="AB429" s="335"/>
      <c r="AC429" s="335"/>
      <c r="AD429" s="335"/>
      <c r="AE429" s="335"/>
      <c r="AF429" s="335"/>
      <c r="AG429" s="335"/>
      <c r="AH429" s="335"/>
      <c r="AI429" s="335"/>
      <c r="AJ429" s="335"/>
      <c r="AK429" s="335"/>
      <c r="AL429" s="335"/>
      <c r="AM429" s="335"/>
      <c r="AN429" s="335"/>
      <c r="AO429" s="335"/>
      <c r="AP429" s="335"/>
      <c r="AQ429" s="335"/>
      <c r="AR429" s="335"/>
      <c r="AS429" s="335"/>
      <c r="AT429" s="335"/>
      <c r="AU429" s="335"/>
      <c r="AV429" s="335"/>
      <c r="AW429" s="335"/>
      <c r="AX429" s="335"/>
      <c r="AY429" s="335"/>
      <c r="AZ429" s="335"/>
      <c r="BA429" s="335"/>
      <c r="BB429" s="335"/>
      <c r="BC429" s="335"/>
      <c r="BD429" s="335"/>
      <c r="BE429" s="335"/>
      <c r="BF429" s="335"/>
      <c r="BG429" s="335"/>
      <c r="BH429" s="335"/>
      <c r="BI429" s="335"/>
      <c r="BJ429" s="335"/>
      <c r="BK429" s="335"/>
      <c r="BL429" s="335"/>
      <c r="BM429" s="335"/>
      <c r="BN429" s="335"/>
      <c r="BO429" s="335"/>
      <c r="BP429" s="335"/>
      <c r="BQ429" s="335"/>
      <c r="BR429" s="335"/>
      <c r="BS429" s="335"/>
      <c r="BT429" s="335"/>
      <c r="BU429" s="335"/>
      <c r="BV429" s="335"/>
      <c r="BW429" s="335"/>
      <c r="BX429" s="335"/>
      <c r="BY429" s="335"/>
      <c r="BZ429" s="335"/>
      <c r="CA429" s="335"/>
      <c r="CB429" s="335"/>
      <c r="CC429" s="335"/>
      <c r="CD429" s="335"/>
      <c r="CE429" s="335"/>
      <c r="CF429" s="335"/>
      <c r="CG429" s="335"/>
      <c r="CH429" s="335"/>
      <c r="CI429" s="335"/>
      <c r="CJ429" s="335"/>
      <c r="CK429" s="335"/>
      <c r="CL429" s="335"/>
      <c r="CM429" s="335"/>
      <c r="CN429" s="335"/>
      <c r="CO429" s="335"/>
      <c r="CP429" s="335"/>
      <c r="CQ429" s="335"/>
      <c r="CR429" s="335"/>
      <c r="CS429" s="335"/>
      <c r="CT429" s="335"/>
      <c r="CU429" s="335"/>
      <c r="CV429" s="335"/>
      <c r="CW429" s="335"/>
      <c r="CX429" s="335"/>
      <c r="CY429" s="335"/>
      <c r="CZ429" s="335"/>
      <c r="DA429" s="335"/>
      <c r="DB429" s="335"/>
      <c r="DC429" s="335"/>
      <c r="DD429" s="335"/>
      <c r="DE429" s="335"/>
      <c r="DF429" s="335"/>
      <c r="DG429" s="335"/>
      <c r="DH429" s="335"/>
      <c r="DI429" s="335"/>
      <c r="DJ429" s="335"/>
      <c r="DK429" s="335"/>
      <c r="DL429" s="335"/>
      <c r="DM429" s="335"/>
      <c r="DN429" s="335"/>
      <c r="DO429" s="335"/>
      <c r="DP429" s="335"/>
      <c r="DQ429" s="335"/>
      <c r="DR429" s="335"/>
      <c r="DS429" s="335"/>
      <c r="DT429" s="335"/>
      <c r="DU429" s="335"/>
      <c r="DV429" s="335"/>
      <c r="DW429" s="335"/>
      <c r="DX429" s="335"/>
      <c r="DY429" s="335"/>
      <c r="DZ429" s="335"/>
      <c r="EA429" s="335"/>
      <c r="EB429" s="335"/>
      <c r="EC429" s="335"/>
      <c r="ED429" s="335"/>
      <c r="EE429" s="335"/>
      <c r="EF429" s="335"/>
      <c r="EG429" s="335"/>
      <c r="EH429" s="335"/>
      <c r="EI429" s="335"/>
      <c r="EJ429" s="335"/>
      <c r="EK429" s="335"/>
      <c r="EL429" s="335"/>
      <c r="EM429" s="335"/>
      <c r="EN429" s="335"/>
      <c r="EO429" s="335"/>
      <c r="EP429" s="335"/>
      <c r="EQ429" s="335"/>
      <c r="ER429" s="335"/>
      <c r="ES429" s="335"/>
      <c r="ET429" s="335"/>
      <c r="EU429" s="335"/>
      <c r="EV429" s="335"/>
      <c r="EW429" s="335"/>
      <c r="EX429" s="335"/>
      <c r="EY429" s="335"/>
      <c r="EZ429" s="335"/>
      <c r="FA429" s="335"/>
      <c r="FB429" s="335"/>
      <c r="FC429" s="335"/>
      <c r="FD429" s="335"/>
      <c r="FE429" s="335"/>
      <c r="FF429" s="335"/>
      <c r="FG429" s="335"/>
      <c r="FH429" s="335"/>
      <c r="FI429" s="335"/>
      <c r="FJ429" s="335"/>
      <c r="FK429" s="335"/>
      <c r="FL429" s="335"/>
      <c r="FM429" s="335"/>
      <c r="FN429" s="335"/>
      <c r="FO429" s="335"/>
      <c r="FP429" s="335"/>
      <c r="FQ429" s="335"/>
      <c r="FR429" s="335"/>
      <c r="FS429" s="335"/>
      <c r="FT429" s="335"/>
      <c r="FU429" s="335"/>
      <c r="FV429" s="335"/>
      <c r="FW429" s="335"/>
      <c r="FX429" s="335"/>
      <c r="FY429" s="335"/>
      <c r="FZ429" s="335"/>
      <c r="GA429" s="335"/>
      <c r="GB429" s="335"/>
      <c r="GC429" s="335"/>
      <c r="GD429" s="335"/>
      <c r="GE429" s="335"/>
      <c r="GF429" s="335"/>
      <c r="GG429" s="335"/>
      <c r="GH429" s="335"/>
      <c r="GI429" s="335"/>
      <c r="GJ429" s="335"/>
      <c r="GK429" s="335"/>
      <c r="GL429" s="335"/>
      <c r="GM429" s="335"/>
      <c r="GN429" s="335"/>
      <c r="GO429" s="335"/>
      <c r="GP429" s="335"/>
      <c r="GQ429" s="335"/>
      <c r="GR429" s="335"/>
      <c r="GS429" s="335"/>
      <c r="GT429" s="335"/>
      <c r="GU429" s="335"/>
      <c r="GV429" s="335"/>
      <c r="GW429" s="335"/>
      <c r="GX429" s="335"/>
      <c r="GY429" s="335"/>
      <c r="GZ429" s="335"/>
    </row>
    <row r="430" spans="1:208" ht="15">
      <c r="A430" s="379"/>
      <c r="B430" s="335"/>
      <c r="C430" s="335"/>
      <c r="D430" s="335"/>
      <c r="E430" s="335"/>
      <c r="F430" s="335"/>
      <c r="G430" s="335"/>
      <c r="H430" s="335"/>
      <c r="I430" s="335"/>
      <c r="J430" s="335"/>
      <c r="K430" s="335"/>
      <c r="L430" s="335"/>
      <c r="M430" s="376"/>
      <c r="N430" s="335"/>
      <c r="O430" s="380"/>
      <c r="P430" s="335"/>
      <c r="Q430" s="335"/>
      <c r="R430" s="335"/>
      <c r="S430" s="335"/>
      <c r="T430" s="335"/>
      <c r="U430" s="335"/>
      <c r="V430" s="335"/>
      <c r="W430" s="335"/>
      <c r="X430" s="335"/>
      <c r="Y430" s="335"/>
      <c r="Z430" s="335"/>
      <c r="AA430" s="335"/>
      <c r="AB430" s="335"/>
      <c r="AC430" s="335"/>
      <c r="AD430" s="335"/>
      <c r="AE430" s="335"/>
      <c r="AF430" s="335"/>
      <c r="AG430" s="335"/>
      <c r="AH430" s="335"/>
      <c r="AI430" s="335"/>
      <c r="AJ430" s="335"/>
      <c r="AK430" s="335"/>
      <c r="AL430" s="335"/>
      <c r="AM430" s="335"/>
      <c r="AN430" s="335"/>
      <c r="AO430" s="335"/>
      <c r="AP430" s="335"/>
      <c r="AQ430" s="335"/>
      <c r="AR430" s="335"/>
      <c r="AS430" s="335"/>
      <c r="AT430" s="335"/>
      <c r="AU430" s="335"/>
      <c r="AV430" s="335"/>
      <c r="AW430" s="335"/>
      <c r="AX430" s="335"/>
      <c r="AY430" s="335"/>
      <c r="AZ430" s="335"/>
      <c r="BA430" s="335"/>
      <c r="BB430" s="335"/>
      <c r="BC430" s="335"/>
      <c r="BD430" s="335"/>
      <c r="BE430" s="335"/>
      <c r="BF430" s="335"/>
      <c r="BG430" s="335"/>
      <c r="BH430" s="335"/>
      <c r="BI430" s="335"/>
      <c r="BJ430" s="335"/>
      <c r="BK430" s="335"/>
      <c r="BL430" s="335"/>
      <c r="BM430" s="335"/>
      <c r="BN430" s="335"/>
      <c r="BO430" s="335"/>
      <c r="BP430" s="335"/>
      <c r="BQ430" s="335"/>
      <c r="BR430" s="335"/>
      <c r="BS430" s="335"/>
      <c r="BT430" s="335"/>
      <c r="BU430" s="335"/>
      <c r="BV430" s="335"/>
      <c r="BW430" s="335"/>
      <c r="BX430" s="335"/>
      <c r="BY430" s="335"/>
      <c r="BZ430" s="335"/>
      <c r="CA430" s="335"/>
      <c r="CB430" s="335"/>
      <c r="CC430" s="335"/>
      <c r="CD430" s="335"/>
      <c r="CE430" s="335"/>
      <c r="CF430" s="335"/>
      <c r="CG430" s="335"/>
      <c r="CH430" s="335"/>
      <c r="CI430" s="335"/>
      <c r="CJ430" s="335"/>
      <c r="CK430" s="335"/>
      <c r="CL430" s="335"/>
      <c r="CM430" s="335"/>
      <c r="CN430" s="335"/>
      <c r="CO430" s="335"/>
      <c r="CP430" s="335"/>
      <c r="CQ430" s="335"/>
      <c r="CR430" s="335"/>
      <c r="CS430" s="335"/>
      <c r="CT430" s="335"/>
      <c r="CU430" s="335"/>
      <c r="CV430" s="335"/>
      <c r="CW430" s="335"/>
      <c r="CX430" s="335"/>
      <c r="CY430" s="335"/>
      <c r="CZ430" s="335"/>
      <c r="DA430" s="335"/>
      <c r="DB430" s="335"/>
      <c r="DC430" s="335"/>
      <c r="DD430" s="335"/>
      <c r="DE430" s="335"/>
      <c r="DF430" s="335"/>
      <c r="DG430" s="335"/>
      <c r="DH430" s="335"/>
      <c r="DI430" s="335"/>
      <c r="DJ430" s="335"/>
      <c r="DK430" s="335"/>
      <c r="DL430" s="335"/>
      <c r="DM430" s="335"/>
      <c r="DN430" s="335"/>
      <c r="DO430" s="335"/>
      <c r="DP430" s="335"/>
      <c r="DQ430" s="335"/>
      <c r="DR430" s="335"/>
      <c r="DS430" s="335"/>
      <c r="DT430" s="335"/>
      <c r="DU430" s="335"/>
      <c r="DV430" s="335"/>
      <c r="DW430" s="335"/>
      <c r="DX430" s="335"/>
      <c r="DY430" s="335"/>
      <c r="DZ430" s="335"/>
      <c r="EA430" s="335"/>
      <c r="EB430" s="335"/>
      <c r="EC430" s="335"/>
      <c r="ED430" s="335"/>
      <c r="EE430" s="335"/>
      <c r="EF430" s="335"/>
      <c r="EG430" s="335"/>
      <c r="EH430" s="335"/>
      <c r="EI430" s="335"/>
      <c r="EJ430" s="335"/>
      <c r="EK430" s="335"/>
      <c r="EL430" s="335"/>
      <c r="EM430" s="335"/>
      <c r="EN430" s="335"/>
      <c r="EO430" s="335"/>
      <c r="EP430" s="335"/>
      <c r="EQ430" s="335"/>
      <c r="ER430" s="335"/>
      <c r="ES430" s="335"/>
      <c r="ET430" s="335"/>
      <c r="EU430" s="335"/>
      <c r="EV430" s="335"/>
      <c r="EW430" s="335"/>
      <c r="EX430" s="335"/>
      <c r="EY430" s="335"/>
      <c r="EZ430" s="335"/>
      <c r="FA430" s="335"/>
      <c r="FB430" s="335"/>
      <c r="FC430" s="335"/>
      <c r="FD430" s="335"/>
      <c r="FE430" s="335"/>
      <c r="FF430" s="335"/>
      <c r="FG430" s="335"/>
      <c r="FH430" s="335"/>
      <c r="FI430" s="335"/>
      <c r="FJ430" s="335"/>
      <c r="FK430" s="335"/>
      <c r="FL430" s="335"/>
      <c r="FM430" s="335"/>
      <c r="FN430" s="335"/>
      <c r="FO430" s="335"/>
      <c r="FP430" s="335"/>
      <c r="FQ430" s="335"/>
      <c r="FR430" s="335"/>
      <c r="FS430" s="335"/>
      <c r="FT430" s="335"/>
      <c r="FU430" s="335"/>
      <c r="FV430" s="335"/>
      <c r="FW430" s="335"/>
      <c r="FX430" s="335"/>
      <c r="FY430" s="335"/>
      <c r="FZ430" s="335"/>
      <c r="GA430" s="335"/>
      <c r="GB430" s="335"/>
      <c r="GC430" s="335"/>
      <c r="GD430" s="335"/>
      <c r="GE430" s="335"/>
      <c r="GF430" s="335"/>
      <c r="GG430" s="335"/>
      <c r="GH430" s="335"/>
      <c r="GI430" s="335"/>
      <c r="GJ430" s="335"/>
      <c r="GK430" s="335"/>
      <c r="GL430" s="335"/>
      <c r="GM430" s="335"/>
      <c r="GN430" s="335"/>
      <c r="GO430" s="335"/>
      <c r="GP430" s="335"/>
      <c r="GQ430" s="335"/>
      <c r="GR430" s="335"/>
      <c r="GS430" s="335"/>
      <c r="GT430" s="335"/>
      <c r="GU430" s="335"/>
      <c r="GV430" s="335"/>
      <c r="GW430" s="335"/>
      <c r="GX430" s="335"/>
      <c r="GY430" s="335"/>
      <c r="GZ430" s="335"/>
    </row>
    <row r="431" spans="1:208" ht="15">
      <c r="A431" s="379"/>
      <c r="B431" s="335"/>
      <c r="C431" s="335"/>
      <c r="D431" s="335"/>
      <c r="E431" s="335"/>
      <c r="F431" s="335"/>
      <c r="G431" s="335"/>
      <c r="H431" s="335"/>
      <c r="I431" s="335"/>
      <c r="J431" s="335"/>
      <c r="K431" s="335"/>
      <c r="L431" s="335"/>
      <c r="M431" s="376"/>
      <c r="N431" s="335"/>
      <c r="O431" s="380"/>
      <c r="P431" s="335"/>
      <c r="Q431" s="335"/>
      <c r="R431" s="335"/>
      <c r="S431" s="335"/>
      <c r="T431" s="335"/>
      <c r="U431" s="335"/>
      <c r="V431" s="335"/>
      <c r="W431" s="335"/>
      <c r="X431" s="335"/>
      <c r="Y431" s="335"/>
      <c r="Z431" s="335"/>
      <c r="AA431" s="335"/>
      <c r="AB431" s="335"/>
      <c r="AC431" s="335"/>
      <c r="AD431" s="335"/>
      <c r="AE431" s="335"/>
      <c r="AF431" s="335"/>
      <c r="AG431" s="335"/>
      <c r="AH431" s="335"/>
      <c r="AI431" s="335"/>
      <c r="AJ431" s="335"/>
      <c r="AK431" s="335"/>
      <c r="AL431" s="335"/>
      <c r="AM431" s="335"/>
      <c r="AN431" s="335"/>
      <c r="AO431" s="335"/>
      <c r="AP431" s="335"/>
      <c r="AQ431" s="335"/>
      <c r="AR431" s="335"/>
      <c r="AS431" s="335"/>
      <c r="AT431" s="335"/>
      <c r="AU431" s="335"/>
      <c r="AV431" s="335"/>
      <c r="AW431" s="335"/>
      <c r="AX431" s="335"/>
      <c r="AY431" s="335"/>
      <c r="AZ431" s="335"/>
      <c r="BA431" s="335"/>
      <c r="BB431" s="335"/>
      <c r="BC431" s="335"/>
      <c r="BD431" s="335"/>
      <c r="BE431" s="335"/>
      <c r="BF431" s="335"/>
      <c r="BG431" s="335"/>
      <c r="BH431" s="335"/>
      <c r="BI431" s="335"/>
      <c r="BJ431" s="335"/>
      <c r="BK431" s="335"/>
      <c r="BL431" s="335"/>
      <c r="BM431" s="335"/>
      <c r="BN431" s="335"/>
      <c r="BO431" s="335"/>
      <c r="BP431" s="335"/>
      <c r="BQ431" s="335"/>
      <c r="BR431" s="335"/>
      <c r="BS431" s="335"/>
      <c r="BT431" s="335"/>
      <c r="BU431" s="335"/>
      <c r="BV431" s="335"/>
      <c r="BW431" s="335"/>
      <c r="BX431" s="335"/>
      <c r="BY431" s="335"/>
      <c r="BZ431" s="335"/>
      <c r="CA431" s="335"/>
      <c r="CB431" s="335"/>
      <c r="CC431" s="335"/>
      <c r="CD431" s="335"/>
      <c r="CE431" s="335"/>
      <c r="CF431" s="335"/>
      <c r="CG431" s="335"/>
      <c r="CH431" s="335"/>
      <c r="CI431" s="335"/>
      <c r="CJ431" s="335"/>
      <c r="CK431" s="335"/>
      <c r="CL431" s="335"/>
      <c r="CM431" s="335"/>
      <c r="CN431" s="335"/>
      <c r="CO431" s="335"/>
      <c r="CP431" s="335"/>
      <c r="CQ431" s="335"/>
      <c r="CR431" s="335"/>
      <c r="CS431" s="335"/>
      <c r="CT431" s="335"/>
      <c r="CU431" s="335"/>
      <c r="CV431" s="335"/>
      <c r="CW431" s="335"/>
      <c r="CX431" s="335"/>
      <c r="CY431" s="335"/>
      <c r="CZ431" s="335"/>
      <c r="DA431" s="335"/>
      <c r="DB431" s="335"/>
      <c r="DC431" s="335"/>
      <c r="DD431" s="335"/>
      <c r="DE431" s="335"/>
      <c r="DF431" s="335"/>
      <c r="DG431" s="335"/>
      <c r="DH431" s="335"/>
      <c r="DI431" s="335"/>
      <c r="DJ431" s="335"/>
      <c r="DK431" s="335"/>
      <c r="DL431" s="335"/>
      <c r="DM431" s="335"/>
      <c r="DN431" s="335"/>
      <c r="DO431" s="335"/>
      <c r="DP431" s="335"/>
      <c r="DQ431" s="335"/>
      <c r="DR431" s="335"/>
      <c r="DS431" s="335"/>
      <c r="DT431" s="335"/>
      <c r="DU431" s="335"/>
      <c r="DV431" s="335"/>
      <c r="DW431" s="335"/>
      <c r="DX431" s="335"/>
      <c r="DY431" s="335"/>
      <c r="DZ431" s="335"/>
      <c r="EA431" s="335"/>
      <c r="EB431" s="335"/>
      <c r="EC431" s="335"/>
      <c r="ED431" s="335"/>
      <c r="EE431" s="335"/>
      <c r="EF431" s="335"/>
      <c r="EG431" s="335"/>
      <c r="EH431" s="335"/>
      <c r="EI431" s="335"/>
      <c r="EJ431" s="335"/>
      <c r="EK431" s="335"/>
      <c r="EL431" s="335"/>
      <c r="EM431" s="335"/>
      <c r="EN431" s="335"/>
      <c r="EO431" s="335"/>
      <c r="EP431" s="335"/>
      <c r="EQ431" s="335"/>
      <c r="ER431" s="335"/>
      <c r="ES431" s="335"/>
      <c r="ET431" s="335"/>
      <c r="EU431" s="335"/>
      <c r="EV431" s="335"/>
      <c r="EW431" s="335"/>
      <c r="EX431" s="335"/>
      <c r="EY431" s="335"/>
      <c r="EZ431" s="335"/>
      <c r="FA431" s="335"/>
      <c r="FB431" s="335"/>
      <c r="FC431" s="335"/>
      <c r="FD431" s="335"/>
      <c r="FE431" s="335"/>
      <c r="FF431" s="335"/>
      <c r="FG431" s="335"/>
      <c r="FH431" s="335"/>
      <c r="FI431" s="335"/>
      <c r="FJ431" s="335"/>
      <c r="FK431" s="335"/>
      <c r="FL431" s="335"/>
      <c r="FM431" s="335"/>
      <c r="FN431" s="335"/>
      <c r="FO431" s="335"/>
      <c r="FP431" s="335"/>
      <c r="FQ431" s="335"/>
      <c r="FR431" s="335"/>
      <c r="FS431" s="335"/>
      <c r="FT431" s="335"/>
      <c r="FU431" s="335"/>
      <c r="FV431" s="335"/>
      <c r="FW431" s="335"/>
      <c r="FX431" s="335"/>
      <c r="FY431" s="335"/>
      <c r="FZ431" s="335"/>
      <c r="GA431" s="335"/>
      <c r="GB431" s="335"/>
      <c r="GC431" s="335"/>
      <c r="GD431" s="335"/>
      <c r="GE431" s="335"/>
      <c r="GF431" s="335"/>
      <c r="GG431" s="335"/>
      <c r="GH431" s="335"/>
      <c r="GI431" s="335"/>
      <c r="GJ431" s="335"/>
      <c r="GK431" s="335"/>
      <c r="GL431" s="335"/>
      <c r="GM431" s="335"/>
      <c r="GN431" s="335"/>
      <c r="GO431" s="335"/>
      <c r="GP431" s="335"/>
      <c r="GQ431" s="335"/>
      <c r="GR431" s="335"/>
      <c r="GS431" s="335"/>
      <c r="GT431" s="335"/>
      <c r="GU431" s="335"/>
      <c r="GV431" s="335"/>
      <c r="GW431" s="335"/>
      <c r="GX431" s="335"/>
      <c r="GY431" s="335"/>
      <c r="GZ431" s="335"/>
    </row>
    <row r="432" spans="1:208" ht="15">
      <c r="A432" s="379"/>
      <c r="B432" s="335"/>
      <c r="C432" s="335"/>
      <c r="D432" s="335"/>
      <c r="E432" s="335"/>
      <c r="F432" s="335"/>
      <c r="G432" s="335"/>
      <c r="H432" s="335"/>
      <c r="I432" s="335"/>
      <c r="J432" s="335"/>
      <c r="K432" s="335"/>
      <c r="L432" s="335"/>
      <c r="M432" s="376"/>
      <c r="N432" s="335"/>
      <c r="O432" s="380"/>
      <c r="P432" s="335"/>
      <c r="Q432" s="335"/>
      <c r="R432" s="335"/>
      <c r="S432" s="335"/>
      <c r="T432" s="335"/>
      <c r="U432" s="335"/>
      <c r="V432" s="335"/>
      <c r="W432" s="335"/>
      <c r="X432" s="335"/>
      <c r="Y432" s="335"/>
      <c r="Z432" s="335"/>
      <c r="AA432" s="335"/>
      <c r="AB432" s="335"/>
      <c r="AC432" s="335"/>
      <c r="AD432" s="335"/>
      <c r="AE432" s="335"/>
      <c r="AF432" s="335"/>
      <c r="AG432" s="335"/>
      <c r="AH432" s="335"/>
      <c r="AI432" s="335"/>
      <c r="AJ432" s="335"/>
      <c r="AK432" s="335"/>
      <c r="AL432" s="335"/>
      <c r="AM432" s="335"/>
      <c r="AN432" s="335"/>
      <c r="AO432" s="335"/>
      <c r="AP432" s="335"/>
      <c r="AQ432" s="335"/>
      <c r="AR432" s="335"/>
      <c r="AS432" s="335"/>
      <c r="AT432" s="335"/>
      <c r="AU432" s="335"/>
      <c r="AV432" s="335"/>
      <c r="AW432" s="335"/>
      <c r="AX432" s="335"/>
      <c r="AY432" s="335"/>
      <c r="AZ432" s="335"/>
      <c r="BA432" s="335"/>
      <c r="BB432" s="335"/>
      <c r="BC432" s="335"/>
      <c r="BD432" s="335"/>
      <c r="BE432" s="335"/>
      <c r="BF432" s="335"/>
      <c r="BG432" s="335"/>
      <c r="BH432" s="335"/>
      <c r="BI432" s="335"/>
      <c r="BJ432" s="335"/>
      <c r="BK432" s="335"/>
      <c r="BL432" s="335"/>
      <c r="BM432" s="335"/>
      <c r="BN432" s="335"/>
      <c r="BO432" s="335"/>
      <c r="BP432" s="335"/>
      <c r="BQ432" s="335"/>
      <c r="BR432" s="335"/>
      <c r="BS432" s="335"/>
      <c r="BT432" s="335"/>
      <c r="BU432" s="335"/>
      <c r="BV432" s="335"/>
      <c r="BW432" s="335"/>
      <c r="BX432" s="335"/>
      <c r="BY432" s="335"/>
      <c r="BZ432" s="335"/>
      <c r="CA432" s="335"/>
      <c r="CB432" s="335"/>
      <c r="CC432" s="335"/>
      <c r="CD432" s="335"/>
      <c r="CE432" s="335"/>
      <c r="CF432" s="335"/>
      <c r="CG432" s="335"/>
      <c r="CH432" s="335"/>
      <c r="CI432" s="335"/>
      <c r="CJ432" s="335"/>
      <c r="CK432" s="335"/>
      <c r="CL432" s="335"/>
      <c r="CM432" s="335"/>
      <c r="CN432" s="335"/>
      <c r="CO432" s="335"/>
      <c r="CP432" s="335"/>
      <c r="CQ432" s="335"/>
      <c r="CR432" s="335"/>
      <c r="CS432" s="335"/>
      <c r="CT432" s="335"/>
      <c r="CU432" s="335"/>
      <c r="CV432" s="335"/>
      <c r="CW432" s="335"/>
      <c r="CX432" s="335"/>
      <c r="CY432" s="335"/>
      <c r="CZ432" s="335"/>
      <c r="DA432" s="335"/>
      <c r="DB432" s="335"/>
      <c r="DC432" s="335"/>
      <c r="DD432" s="335"/>
      <c r="DE432" s="335"/>
      <c r="DF432" s="335"/>
      <c r="DG432" s="335"/>
      <c r="DH432" s="335"/>
      <c r="DI432" s="335"/>
      <c r="DJ432" s="335"/>
      <c r="DK432" s="335"/>
      <c r="DL432" s="335"/>
      <c r="DM432" s="335"/>
      <c r="DN432" s="335"/>
      <c r="DO432" s="335"/>
      <c r="DP432" s="335"/>
      <c r="DQ432" s="335"/>
      <c r="DR432" s="335"/>
      <c r="DS432" s="335"/>
      <c r="DT432" s="335"/>
      <c r="DU432" s="335"/>
      <c r="DV432" s="335"/>
      <c r="DW432" s="335"/>
      <c r="DX432" s="335"/>
      <c r="DY432" s="335"/>
      <c r="DZ432" s="335"/>
      <c r="EA432" s="335"/>
      <c r="EB432" s="335"/>
      <c r="EC432" s="335"/>
      <c r="ED432" s="335"/>
      <c r="EE432" s="335"/>
      <c r="EF432" s="335"/>
      <c r="EG432" s="335"/>
      <c r="EH432" s="335"/>
      <c r="EI432" s="335"/>
      <c r="EJ432" s="335"/>
      <c r="EK432" s="335"/>
      <c r="EL432" s="335"/>
      <c r="EM432" s="335"/>
      <c r="EN432" s="335"/>
      <c r="EO432" s="335"/>
      <c r="EP432" s="335"/>
      <c r="EQ432" s="335"/>
      <c r="ER432" s="335"/>
      <c r="ES432" s="335"/>
      <c r="ET432" s="335"/>
      <c r="EU432" s="335"/>
      <c r="EV432" s="335"/>
      <c r="EW432" s="335"/>
      <c r="EX432" s="335"/>
      <c r="EY432" s="335"/>
      <c r="EZ432" s="335"/>
      <c r="FA432" s="335"/>
      <c r="FB432" s="335"/>
      <c r="FC432" s="335"/>
      <c r="FD432" s="335"/>
      <c r="FE432" s="335"/>
      <c r="FF432" s="335"/>
      <c r="FG432" s="335"/>
      <c r="FH432" s="335"/>
      <c r="FI432" s="335"/>
      <c r="FJ432" s="335"/>
      <c r="FK432" s="335"/>
      <c r="FL432" s="335"/>
      <c r="FM432" s="335"/>
      <c r="FN432" s="335"/>
      <c r="FO432" s="335"/>
      <c r="FP432" s="335"/>
      <c r="FQ432" s="335"/>
      <c r="FR432" s="335"/>
      <c r="FS432" s="335"/>
      <c r="FT432" s="335"/>
      <c r="FU432" s="335"/>
      <c r="FV432" s="335"/>
      <c r="FW432" s="335"/>
      <c r="FX432" s="335"/>
      <c r="FY432" s="335"/>
      <c r="FZ432" s="335"/>
      <c r="GA432" s="335"/>
      <c r="GB432" s="335"/>
      <c r="GC432" s="335"/>
      <c r="GD432" s="335"/>
      <c r="GE432" s="335"/>
      <c r="GF432" s="335"/>
      <c r="GG432" s="335"/>
      <c r="GH432" s="335"/>
      <c r="GI432" s="335"/>
      <c r="GJ432" s="335"/>
      <c r="GK432" s="335"/>
      <c r="GL432" s="335"/>
      <c r="GM432" s="335"/>
      <c r="GN432" s="335"/>
      <c r="GO432" s="335"/>
      <c r="GP432" s="335"/>
      <c r="GQ432" s="335"/>
      <c r="GR432" s="335"/>
      <c r="GS432" s="335"/>
      <c r="GT432" s="335"/>
      <c r="GU432" s="335"/>
      <c r="GV432" s="335"/>
      <c r="GW432" s="335"/>
      <c r="GX432" s="335"/>
      <c r="GY432" s="335"/>
      <c r="GZ432" s="335"/>
    </row>
    <row r="433" spans="1:208" ht="15">
      <c r="A433" s="379"/>
      <c r="B433" s="335"/>
      <c r="C433" s="335"/>
      <c r="D433" s="335"/>
      <c r="E433" s="335"/>
      <c r="F433" s="335"/>
      <c r="G433" s="335"/>
      <c r="H433" s="335"/>
      <c r="I433" s="335"/>
      <c r="J433" s="335"/>
      <c r="K433" s="335"/>
      <c r="L433" s="335"/>
      <c r="M433" s="376"/>
      <c r="N433" s="335"/>
      <c r="O433" s="380"/>
      <c r="P433" s="335"/>
      <c r="Q433" s="335"/>
      <c r="R433" s="335"/>
      <c r="S433" s="335"/>
      <c r="T433" s="335"/>
      <c r="U433" s="335"/>
      <c r="V433" s="335"/>
      <c r="W433" s="335"/>
      <c r="X433" s="335"/>
      <c r="Y433" s="335"/>
      <c r="Z433" s="335"/>
      <c r="AA433" s="335"/>
      <c r="AB433" s="335"/>
      <c r="AC433" s="335"/>
      <c r="AD433" s="335"/>
      <c r="AE433" s="335"/>
      <c r="AF433" s="335"/>
      <c r="AG433" s="335"/>
      <c r="AH433" s="335"/>
      <c r="AI433" s="335"/>
      <c r="AJ433" s="335"/>
      <c r="AK433" s="335"/>
      <c r="AL433" s="335"/>
      <c r="AM433" s="335"/>
      <c r="AN433" s="335"/>
      <c r="AO433" s="335"/>
      <c r="AP433" s="335"/>
      <c r="AQ433" s="335"/>
      <c r="AR433" s="335"/>
      <c r="AS433" s="335"/>
      <c r="AT433" s="335"/>
      <c r="AU433" s="335"/>
      <c r="AV433" s="335"/>
      <c r="AW433" s="335"/>
      <c r="AX433" s="335"/>
      <c r="AY433" s="335"/>
      <c r="AZ433" s="335"/>
      <c r="BA433" s="335"/>
      <c r="BB433" s="335"/>
      <c r="BC433" s="335"/>
      <c r="BD433" s="335"/>
      <c r="BE433" s="335"/>
      <c r="BF433" s="335"/>
      <c r="BG433" s="335"/>
      <c r="BH433" s="335"/>
      <c r="BI433" s="335"/>
      <c r="BJ433" s="335"/>
      <c r="BK433" s="335"/>
      <c r="BL433" s="335"/>
      <c r="BM433" s="335"/>
      <c r="BN433" s="335"/>
      <c r="BO433" s="335"/>
      <c r="BP433" s="335"/>
      <c r="BQ433" s="335"/>
      <c r="BR433" s="335"/>
      <c r="BS433" s="335"/>
      <c r="BT433" s="335"/>
      <c r="BU433" s="335"/>
      <c r="BV433" s="335"/>
      <c r="BW433" s="335"/>
      <c r="BX433" s="335"/>
      <c r="BY433" s="335"/>
      <c r="BZ433" s="335"/>
      <c r="CA433" s="335"/>
      <c r="CB433" s="335"/>
      <c r="CC433" s="335"/>
      <c r="CD433" s="335"/>
      <c r="CE433" s="335"/>
      <c r="CF433" s="335"/>
      <c r="CG433" s="335"/>
      <c r="CH433" s="335"/>
      <c r="CI433" s="335"/>
      <c r="CJ433" s="335"/>
      <c r="CK433" s="335"/>
      <c r="CL433" s="335"/>
      <c r="CM433" s="335"/>
      <c r="CN433" s="335"/>
      <c r="CO433" s="335"/>
      <c r="CP433" s="335"/>
      <c r="CQ433" s="335"/>
      <c r="CR433" s="335"/>
      <c r="CS433" s="335"/>
      <c r="CT433" s="335"/>
      <c r="CU433" s="335"/>
      <c r="CV433" s="335"/>
      <c r="CW433" s="335"/>
      <c r="CX433" s="335"/>
      <c r="CY433" s="335"/>
      <c r="CZ433" s="335"/>
      <c r="DA433" s="335"/>
      <c r="DB433" s="335"/>
      <c r="DC433" s="335"/>
      <c r="DD433" s="335"/>
      <c r="DE433" s="335"/>
      <c r="DF433" s="335"/>
      <c r="DG433" s="335"/>
      <c r="DH433" s="335"/>
      <c r="DI433" s="335"/>
      <c r="DJ433" s="335"/>
      <c r="DK433" s="335"/>
      <c r="DL433" s="335"/>
      <c r="DM433" s="335"/>
      <c r="DN433" s="335"/>
      <c r="DO433" s="335"/>
      <c r="DP433" s="335"/>
      <c r="DQ433" s="335"/>
      <c r="DR433" s="335"/>
      <c r="DS433" s="335"/>
      <c r="DT433" s="335"/>
      <c r="DU433" s="335"/>
      <c r="DV433" s="335"/>
      <c r="DW433" s="335"/>
      <c r="DX433" s="335"/>
      <c r="DY433" s="335"/>
      <c r="DZ433" s="335"/>
      <c r="EA433" s="335"/>
      <c r="EB433" s="335"/>
      <c r="EC433" s="335"/>
      <c r="ED433" s="335"/>
      <c r="EE433" s="335"/>
      <c r="EF433" s="335"/>
      <c r="EG433" s="335"/>
      <c r="EH433" s="335"/>
      <c r="EI433" s="335"/>
      <c r="EJ433" s="335"/>
      <c r="EK433" s="335"/>
      <c r="EL433" s="335"/>
      <c r="EM433" s="335"/>
      <c r="EN433" s="335"/>
      <c r="EO433" s="335"/>
      <c r="EP433" s="335"/>
      <c r="EQ433" s="335"/>
      <c r="ER433" s="335"/>
      <c r="ES433" s="335"/>
      <c r="ET433" s="335"/>
      <c r="EU433" s="335"/>
      <c r="EV433" s="335"/>
      <c r="EW433" s="335"/>
      <c r="EX433" s="335"/>
      <c r="EY433" s="335"/>
      <c r="EZ433" s="335"/>
      <c r="FA433" s="335"/>
      <c r="FB433" s="335"/>
      <c r="FC433" s="335"/>
      <c r="FD433" s="335"/>
      <c r="FE433" s="335"/>
      <c r="FF433" s="335"/>
      <c r="FG433" s="335"/>
      <c r="FH433" s="335"/>
      <c r="FI433" s="335"/>
      <c r="FJ433" s="335"/>
      <c r="FK433" s="335"/>
      <c r="FL433" s="335"/>
      <c r="FM433" s="335"/>
      <c r="FN433" s="335"/>
      <c r="FO433" s="335"/>
      <c r="FP433" s="335"/>
      <c r="FQ433" s="335"/>
      <c r="FR433" s="335"/>
      <c r="FS433" s="335"/>
      <c r="FT433" s="335"/>
      <c r="FU433" s="335"/>
      <c r="FV433" s="335"/>
      <c r="FW433" s="335"/>
      <c r="FX433" s="335"/>
      <c r="FY433" s="335"/>
      <c r="FZ433" s="335"/>
      <c r="GA433" s="335"/>
      <c r="GB433" s="335"/>
      <c r="GC433" s="335"/>
      <c r="GD433" s="335"/>
      <c r="GE433" s="335"/>
      <c r="GF433" s="335"/>
      <c r="GG433" s="335"/>
      <c r="GH433" s="335"/>
      <c r="GI433" s="335"/>
      <c r="GJ433" s="335"/>
      <c r="GK433" s="335"/>
      <c r="GL433" s="335"/>
      <c r="GM433" s="335"/>
      <c r="GN433" s="335"/>
      <c r="GO433" s="335"/>
      <c r="GP433" s="335"/>
      <c r="GQ433" s="335"/>
      <c r="GR433" s="335"/>
      <c r="GS433" s="335"/>
      <c r="GT433" s="335"/>
      <c r="GU433" s="335"/>
      <c r="GV433" s="335"/>
      <c r="GW433" s="335"/>
      <c r="GX433" s="335"/>
      <c r="GY433" s="335"/>
      <c r="GZ433" s="335"/>
    </row>
    <row r="434" spans="1:208" ht="15">
      <c r="A434" s="379"/>
      <c r="B434" s="335"/>
      <c r="C434" s="335"/>
      <c r="D434" s="335"/>
      <c r="E434" s="335"/>
      <c r="F434" s="335"/>
      <c r="G434" s="335"/>
      <c r="H434" s="335"/>
      <c r="I434" s="335"/>
      <c r="J434" s="335"/>
      <c r="K434" s="335"/>
      <c r="L434" s="335"/>
      <c r="M434" s="376"/>
      <c r="N434" s="335"/>
      <c r="O434" s="380"/>
      <c r="P434" s="335"/>
      <c r="Q434" s="335"/>
      <c r="R434" s="335"/>
      <c r="S434" s="335"/>
      <c r="T434" s="335"/>
      <c r="U434" s="335"/>
      <c r="V434" s="335"/>
      <c r="W434" s="335"/>
      <c r="X434" s="335"/>
      <c r="Y434" s="335"/>
      <c r="Z434" s="335"/>
      <c r="AA434" s="335"/>
      <c r="AB434" s="335"/>
      <c r="AC434" s="335"/>
      <c r="AD434" s="335"/>
      <c r="AE434" s="335"/>
      <c r="AF434" s="335"/>
      <c r="AG434" s="335"/>
      <c r="AH434" s="335"/>
      <c r="AI434" s="335"/>
      <c r="AJ434" s="335"/>
      <c r="AK434" s="335"/>
      <c r="AL434" s="335"/>
      <c r="AM434" s="335"/>
      <c r="AN434" s="335"/>
      <c r="AO434" s="335"/>
      <c r="AP434" s="335"/>
      <c r="AQ434" s="335"/>
      <c r="AR434" s="335"/>
      <c r="AS434" s="335"/>
      <c r="AT434" s="335"/>
      <c r="AU434" s="335"/>
      <c r="AV434" s="335"/>
      <c r="AW434" s="335"/>
      <c r="AX434" s="335"/>
      <c r="AY434" s="335"/>
      <c r="AZ434" s="335"/>
      <c r="BA434" s="335"/>
      <c r="BB434" s="335"/>
      <c r="BC434" s="335"/>
      <c r="BD434" s="335"/>
      <c r="BE434" s="335"/>
      <c r="BF434" s="335"/>
      <c r="BG434" s="335"/>
      <c r="BH434" s="335"/>
      <c r="BI434" s="335"/>
      <c r="BJ434" s="335"/>
      <c r="BK434" s="335"/>
      <c r="BL434" s="335"/>
      <c r="BM434" s="335"/>
      <c r="BN434" s="335"/>
      <c r="BO434" s="335"/>
      <c r="BP434" s="335"/>
      <c r="BQ434" s="335"/>
      <c r="BR434" s="335"/>
      <c r="BS434" s="335"/>
      <c r="BT434" s="335"/>
      <c r="BU434" s="335"/>
      <c r="BV434" s="335"/>
      <c r="BW434" s="335"/>
      <c r="BX434" s="335"/>
      <c r="BY434" s="335"/>
      <c r="BZ434" s="335"/>
      <c r="CA434" s="335"/>
      <c r="CB434" s="335"/>
      <c r="CC434" s="335"/>
      <c r="CD434" s="335"/>
      <c r="CE434" s="335"/>
      <c r="CF434" s="335"/>
      <c r="CG434" s="335"/>
      <c r="CH434" s="335"/>
      <c r="CI434" s="335"/>
      <c r="CJ434" s="335"/>
      <c r="CK434" s="335"/>
      <c r="CL434" s="335"/>
      <c r="CM434" s="335"/>
      <c r="CN434" s="335"/>
      <c r="CO434" s="335"/>
      <c r="CP434" s="335"/>
      <c r="CQ434" s="335"/>
      <c r="CR434" s="335"/>
      <c r="CS434" s="335"/>
      <c r="CT434" s="335"/>
      <c r="CU434" s="335"/>
      <c r="CV434" s="335"/>
      <c r="CW434" s="335"/>
      <c r="CX434" s="335"/>
      <c r="CY434" s="335"/>
      <c r="CZ434" s="335"/>
      <c r="DA434" s="335"/>
      <c r="DB434" s="335"/>
      <c r="DC434" s="335"/>
      <c r="DD434" s="335"/>
      <c r="DE434" s="335"/>
      <c r="DF434" s="335"/>
      <c r="DG434" s="335"/>
      <c r="DH434" s="335"/>
      <c r="DI434" s="335"/>
      <c r="DJ434" s="335"/>
      <c r="DK434" s="335"/>
      <c r="DL434" s="335"/>
      <c r="DM434" s="335"/>
      <c r="DN434" s="335"/>
      <c r="DO434" s="335"/>
      <c r="DP434" s="335"/>
      <c r="DQ434" s="335"/>
      <c r="DR434" s="335"/>
      <c r="DS434" s="335"/>
      <c r="DT434" s="335"/>
      <c r="DU434" s="335"/>
      <c r="DV434" s="335"/>
      <c r="DW434" s="335"/>
      <c r="DX434" s="335"/>
      <c r="DY434" s="335"/>
      <c r="DZ434" s="335"/>
      <c r="EA434" s="335"/>
      <c r="EB434" s="335"/>
      <c r="EC434" s="335"/>
      <c r="ED434" s="335"/>
      <c r="EE434" s="335"/>
      <c r="EF434" s="335"/>
      <c r="EG434" s="335"/>
      <c r="EH434" s="335"/>
      <c r="EI434" s="335"/>
      <c r="EJ434" s="335"/>
      <c r="EK434" s="335"/>
      <c r="EL434" s="335"/>
      <c r="EM434" s="335"/>
      <c r="EN434" s="335"/>
      <c r="EO434" s="335"/>
      <c r="EP434" s="335"/>
      <c r="EQ434" s="335"/>
      <c r="ER434" s="335"/>
      <c r="ES434" s="335"/>
      <c r="ET434" s="335"/>
      <c r="EU434" s="335"/>
      <c r="EV434" s="335"/>
      <c r="EW434" s="335"/>
      <c r="EX434" s="335"/>
      <c r="EY434" s="335"/>
      <c r="EZ434" s="335"/>
      <c r="FA434" s="335"/>
      <c r="FB434" s="335"/>
      <c r="FC434" s="335"/>
      <c r="FD434" s="335"/>
      <c r="FE434" s="335"/>
      <c r="FF434" s="335"/>
      <c r="FG434" s="335"/>
      <c r="FH434" s="335"/>
      <c r="FI434" s="335"/>
      <c r="FJ434" s="335"/>
      <c r="FK434" s="335"/>
      <c r="FL434" s="335"/>
      <c r="FM434" s="335"/>
      <c r="FN434" s="335"/>
      <c r="FO434" s="335"/>
      <c r="FP434" s="335"/>
      <c r="FQ434" s="335"/>
      <c r="FR434" s="335"/>
      <c r="FS434" s="335"/>
      <c r="FT434" s="335"/>
      <c r="FU434" s="335"/>
      <c r="FV434" s="335"/>
      <c r="FW434" s="335"/>
      <c r="FX434" s="335"/>
      <c r="FY434" s="335"/>
      <c r="FZ434" s="335"/>
      <c r="GA434" s="335"/>
      <c r="GB434" s="335"/>
      <c r="GC434" s="335"/>
      <c r="GD434" s="335"/>
      <c r="GE434" s="335"/>
      <c r="GF434" s="335"/>
      <c r="GG434" s="335"/>
      <c r="GH434" s="335"/>
      <c r="GI434" s="335"/>
      <c r="GJ434" s="335"/>
      <c r="GK434" s="335"/>
      <c r="GL434" s="335"/>
      <c r="GM434" s="335"/>
      <c r="GN434" s="335"/>
      <c r="GO434" s="335"/>
      <c r="GP434" s="335"/>
      <c r="GQ434" s="335"/>
      <c r="GR434" s="335"/>
      <c r="GS434" s="335"/>
      <c r="GT434" s="335"/>
      <c r="GU434" s="335"/>
      <c r="GV434" s="335"/>
      <c r="GW434" s="335"/>
      <c r="GX434" s="335"/>
      <c r="GY434" s="335"/>
      <c r="GZ434" s="335"/>
    </row>
    <row r="435" spans="1:208" ht="15">
      <c r="A435" s="379"/>
      <c r="B435" s="335"/>
      <c r="C435" s="335"/>
      <c r="D435" s="335"/>
      <c r="E435" s="335"/>
      <c r="F435" s="335"/>
      <c r="G435" s="335"/>
      <c r="H435" s="335"/>
      <c r="I435" s="335"/>
      <c r="J435" s="335"/>
      <c r="K435" s="335"/>
      <c r="L435" s="335"/>
      <c r="M435" s="376"/>
      <c r="N435" s="335"/>
      <c r="O435" s="380"/>
      <c r="P435" s="335"/>
      <c r="Q435" s="335"/>
      <c r="R435" s="335"/>
      <c r="S435" s="335"/>
      <c r="T435" s="335"/>
      <c r="U435" s="335"/>
      <c r="V435" s="335"/>
      <c r="W435" s="335"/>
      <c r="X435" s="335"/>
      <c r="Y435" s="335"/>
      <c r="Z435" s="335"/>
      <c r="AA435" s="335"/>
      <c r="AB435" s="335"/>
      <c r="AC435" s="335"/>
      <c r="AD435" s="335"/>
      <c r="AE435" s="335"/>
      <c r="AF435" s="335"/>
      <c r="AG435" s="335"/>
      <c r="AH435" s="335"/>
      <c r="AI435" s="335"/>
      <c r="AJ435" s="335"/>
      <c r="AK435" s="335"/>
      <c r="AL435" s="335"/>
      <c r="AM435" s="335"/>
      <c r="AN435" s="335"/>
      <c r="AO435" s="335"/>
      <c r="AP435" s="335"/>
      <c r="AQ435" s="335"/>
      <c r="AR435" s="335"/>
      <c r="AS435" s="335"/>
      <c r="AT435" s="335"/>
      <c r="AU435" s="335"/>
      <c r="AV435" s="335"/>
      <c r="AW435" s="335"/>
      <c r="AX435" s="335"/>
      <c r="AY435" s="335"/>
      <c r="AZ435" s="335"/>
      <c r="BA435" s="335"/>
      <c r="BB435" s="335"/>
      <c r="BC435" s="335"/>
      <c r="BD435" s="335"/>
      <c r="BE435" s="335"/>
      <c r="BF435" s="335"/>
      <c r="BG435" s="335"/>
      <c r="BH435" s="335"/>
      <c r="BI435" s="335"/>
      <c r="BJ435" s="335"/>
      <c r="BK435" s="335"/>
      <c r="BL435" s="335"/>
      <c r="BM435" s="335"/>
      <c r="BN435" s="335"/>
      <c r="BO435" s="335"/>
      <c r="BP435" s="335"/>
      <c r="BQ435" s="335"/>
      <c r="BR435" s="335"/>
      <c r="BS435" s="335"/>
      <c r="BT435" s="335"/>
      <c r="BU435" s="335"/>
      <c r="BV435" s="335"/>
      <c r="BW435" s="335"/>
      <c r="BX435" s="335"/>
      <c r="BY435" s="335"/>
      <c r="BZ435" s="335"/>
      <c r="CA435" s="335"/>
      <c r="CB435" s="335"/>
      <c r="CC435" s="335"/>
      <c r="CD435" s="335"/>
      <c r="CE435" s="335"/>
      <c r="CF435" s="335"/>
      <c r="CG435" s="335"/>
      <c r="CH435" s="335"/>
      <c r="CI435" s="335"/>
      <c r="CJ435" s="335"/>
      <c r="CK435" s="335"/>
      <c r="CL435" s="335"/>
      <c r="CM435" s="335"/>
      <c r="CN435" s="335"/>
      <c r="CO435" s="335"/>
      <c r="CP435" s="335"/>
      <c r="CQ435" s="335"/>
      <c r="CR435" s="335"/>
      <c r="CS435" s="335"/>
      <c r="CT435" s="335"/>
      <c r="CU435" s="335"/>
      <c r="CV435" s="335"/>
      <c r="CW435" s="335"/>
      <c r="CX435" s="335"/>
      <c r="CY435" s="335"/>
      <c r="CZ435" s="335"/>
      <c r="DA435" s="335"/>
      <c r="DB435" s="335"/>
      <c r="DC435" s="335"/>
      <c r="DD435" s="335"/>
      <c r="DE435" s="335"/>
      <c r="DF435" s="335"/>
      <c r="DG435" s="335"/>
      <c r="DH435" s="335"/>
      <c r="DI435" s="335"/>
      <c r="DJ435" s="335"/>
      <c r="DK435" s="335"/>
      <c r="DL435" s="335"/>
      <c r="DM435" s="335"/>
      <c r="DN435" s="335"/>
      <c r="DO435" s="335"/>
      <c r="DP435" s="335"/>
      <c r="DQ435" s="335"/>
      <c r="DR435" s="335"/>
      <c r="DS435" s="335"/>
      <c r="DT435" s="335"/>
      <c r="DU435" s="335"/>
      <c r="DV435" s="335"/>
      <c r="DW435" s="335"/>
      <c r="DX435" s="335"/>
      <c r="DY435" s="335"/>
      <c r="DZ435" s="335"/>
      <c r="EA435" s="335"/>
      <c r="EB435" s="335"/>
      <c r="EC435" s="335"/>
      <c r="ED435" s="335"/>
      <c r="EE435" s="335"/>
      <c r="EF435" s="335"/>
      <c r="EG435" s="335"/>
      <c r="EH435" s="335"/>
      <c r="EI435" s="335"/>
      <c r="EJ435" s="335"/>
      <c r="EK435" s="335"/>
      <c r="EL435" s="335"/>
      <c r="EM435" s="335"/>
      <c r="EN435" s="335"/>
      <c r="EO435" s="335"/>
      <c r="EP435" s="335"/>
      <c r="EQ435" s="335"/>
      <c r="ER435" s="335"/>
      <c r="ES435" s="335"/>
      <c r="ET435" s="335"/>
      <c r="EU435" s="335"/>
      <c r="EV435" s="335"/>
      <c r="EW435" s="335"/>
      <c r="EX435" s="335"/>
      <c r="EY435" s="335"/>
      <c r="EZ435" s="335"/>
      <c r="FA435" s="335"/>
      <c r="FB435" s="335"/>
      <c r="FC435" s="335"/>
      <c r="FD435" s="335"/>
      <c r="FE435" s="335"/>
      <c r="FF435" s="335"/>
      <c r="FG435" s="335"/>
      <c r="FH435" s="335"/>
      <c r="FI435" s="335"/>
      <c r="FJ435" s="335"/>
      <c r="FK435" s="335"/>
      <c r="FL435" s="335"/>
      <c r="FM435" s="335"/>
      <c r="FN435" s="335"/>
      <c r="FO435" s="335"/>
      <c r="FP435" s="335"/>
      <c r="FQ435" s="335"/>
      <c r="FR435" s="335"/>
      <c r="FS435" s="335"/>
      <c r="FT435" s="335"/>
      <c r="FU435" s="335"/>
      <c r="FV435" s="335"/>
      <c r="FW435" s="335"/>
      <c r="FX435" s="335"/>
      <c r="FY435" s="335"/>
      <c r="FZ435" s="335"/>
      <c r="GA435" s="335"/>
      <c r="GB435" s="335"/>
      <c r="GC435" s="335"/>
      <c r="GD435" s="335"/>
      <c r="GE435" s="335"/>
      <c r="GF435" s="335"/>
      <c r="GG435" s="335"/>
      <c r="GH435" s="335"/>
      <c r="GI435" s="335"/>
      <c r="GJ435" s="335"/>
      <c r="GK435" s="335"/>
      <c r="GL435" s="335"/>
      <c r="GM435" s="335"/>
      <c r="GN435" s="335"/>
      <c r="GO435" s="335"/>
      <c r="GP435" s="335"/>
      <c r="GQ435" s="335"/>
      <c r="GR435" s="335"/>
      <c r="GS435" s="335"/>
      <c r="GT435" s="335"/>
      <c r="GU435" s="335"/>
      <c r="GV435" s="335"/>
      <c r="GW435" s="335"/>
      <c r="GX435" s="335"/>
      <c r="GY435" s="335"/>
      <c r="GZ435" s="335"/>
    </row>
    <row r="436" spans="1:208" ht="15">
      <c r="A436" s="379"/>
      <c r="B436" s="335"/>
      <c r="C436" s="335"/>
      <c r="D436" s="335"/>
      <c r="E436" s="335"/>
      <c r="F436" s="335"/>
      <c r="G436" s="335"/>
      <c r="H436" s="335"/>
      <c r="I436" s="335"/>
      <c r="J436" s="335"/>
      <c r="K436" s="335"/>
      <c r="L436" s="335"/>
      <c r="M436" s="376"/>
      <c r="N436" s="335"/>
      <c r="O436" s="380"/>
      <c r="P436" s="335"/>
      <c r="Q436" s="335"/>
      <c r="R436" s="335"/>
      <c r="S436" s="335"/>
      <c r="T436" s="335"/>
      <c r="U436" s="335"/>
      <c r="V436" s="335"/>
      <c r="W436" s="335"/>
      <c r="X436" s="335"/>
      <c r="Y436" s="335"/>
      <c r="Z436" s="335"/>
      <c r="AA436" s="335"/>
      <c r="AB436" s="335"/>
      <c r="AC436" s="335"/>
      <c r="AD436" s="335"/>
      <c r="AE436" s="335"/>
      <c r="AF436" s="335"/>
      <c r="AG436" s="335"/>
      <c r="AH436" s="335"/>
      <c r="AI436" s="335"/>
      <c r="AJ436" s="335"/>
      <c r="AK436" s="335"/>
      <c r="AL436" s="335"/>
      <c r="AM436" s="335"/>
      <c r="AN436" s="335"/>
      <c r="AO436" s="335"/>
      <c r="AP436" s="335"/>
      <c r="AQ436" s="335"/>
      <c r="AR436" s="335"/>
      <c r="AS436" s="335"/>
      <c r="AT436" s="335"/>
      <c r="AU436" s="335"/>
      <c r="AV436" s="335"/>
      <c r="AW436" s="335"/>
      <c r="AX436" s="335"/>
      <c r="AY436" s="335"/>
      <c r="AZ436" s="335"/>
      <c r="BA436" s="335"/>
      <c r="BB436" s="335"/>
      <c r="BC436" s="335"/>
      <c r="BD436" s="335"/>
      <c r="BE436" s="335"/>
      <c r="BF436" s="335"/>
      <c r="BG436" s="335"/>
      <c r="BH436" s="335"/>
      <c r="BI436" s="335"/>
      <c r="BJ436" s="335"/>
      <c r="BK436" s="335"/>
      <c r="BL436" s="335"/>
      <c r="BM436" s="335"/>
      <c r="BN436" s="335"/>
      <c r="BO436" s="335"/>
      <c r="BP436" s="335"/>
      <c r="BQ436" s="335"/>
      <c r="BR436" s="335"/>
      <c r="BS436" s="335"/>
      <c r="BT436" s="335"/>
      <c r="BU436" s="335"/>
      <c r="BV436" s="335"/>
      <c r="BW436" s="335"/>
      <c r="BX436" s="335"/>
      <c r="BY436" s="335"/>
      <c r="BZ436" s="335"/>
      <c r="CA436" s="335"/>
      <c r="CB436" s="335"/>
      <c r="CC436" s="335"/>
      <c r="CD436" s="335"/>
      <c r="CE436" s="335"/>
      <c r="CF436" s="335"/>
      <c r="CG436" s="335"/>
      <c r="CH436" s="335"/>
      <c r="CI436" s="335"/>
      <c r="CJ436" s="335"/>
      <c r="CK436" s="335"/>
      <c r="CL436" s="335"/>
      <c r="CM436" s="335"/>
      <c r="CN436" s="335"/>
      <c r="CO436" s="335"/>
      <c r="CP436" s="335"/>
      <c r="CQ436" s="335"/>
      <c r="CR436" s="335"/>
      <c r="CS436" s="335"/>
      <c r="CT436" s="335"/>
      <c r="CU436" s="335"/>
      <c r="CV436" s="335"/>
      <c r="CW436" s="335"/>
      <c r="CX436" s="335"/>
      <c r="CY436" s="335"/>
      <c r="CZ436" s="335"/>
      <c r="DA436" s="335"/>
      <c r="DB436" s="335"/>
      <c r="DC436" s="335"/>
      <c r="DD436" s="335"/>
      <c r="DE436" s="335"/>
      <c r="DF436" s="335"/>
      <c r="DG436" s="335"/>
      <c r="DH436" s="335"/>
      <c r="DI436" s="335"/>
      <c r="DJ436" s="335"/>
      <c r="DK436" s="335"/>
      <c r="DL436" s="335"/>
      <c r="DM436" s="335"/>
      <c r="DN436" s="335"/>
      <c r="DO436" s="335"/>
      <c r="DP436" s="335"/>
      <c r="DQ436" s="335"/>
      <c r="DR436" s="335"/>
      <c r="DS436" s="335"/>
      <c r="DT436" s="335"/>
      <c r="DU436" s="335"/>
      <c r="DV436" s="335"/>
      <c r="DW436" s="335"/>
      <c r="DX436" s="335"/>
      <c r="DY436" s="335"/>
      <c r="DZ436" s="335"/>
      <c r="EA436" s="335"/>
      <c r="EB436" s="335"/>
      <c r="EC436" s="335"/>
      <c r="ED436" s="335"/>
      <c r="EE436" s="335"/>
      <c r="EF436" s="335"/>
      <c r="EG436" s="335"/>
      <c r="EH436" s="335"/>
      <c r="EI436" s="335"/>
      <c r="EJ436" s="335"/>
      <c r="EK436" s="335"/>
      <c r="EL436" s="335"/>
      <c r="EM436" s="335"/>
      <c r="EN436" s="335"/>
      <c r="EO436" s="335"/>
      <c r="EP436" s="335"/>
      <c r="EQ436" s="335"/>
      <c r="ER436" s="335"/>
      <c r="ES436" s="335"/>
      <c r="ET436" s="335"/>
      <c r="EU436" s="335"/>
      <c r="EV436" s="335"/>
      <c r="EW436" s="335"/>
      <c r="EX436" s="335"/>
      <c r="EY436" s="335"/>
      <c r="EZ436" s="335"/>
      <c r="FA436" s="335"/>
      <c r="FB436" s="335"/>
      <c r="FC436" s="335"/>
      <c r="FD436" s="335"/>
      <c r="FE436" s="335"/>
      <c r="FF436" s="335"/>
      <c r="FG436" s="335"/>
      <c r="FH436" s="335"/>
      <c r="FI436" s="335"/>
      <c r="FJ436" s="335"/>
      <c r="FK436" s="335"/>
      <c r="FL436" s="335"/>
      <c r="FM436" s="335"/>
      <c r="FN436" s="335"/>
      <c r="FO436" s="335"/>
      <c r="FP436" s="335"/>
      <c r="FQ436" s="335"/>
      <c r="FR436" s="335"/>
      <c r="FS436" s="335"/>
      <c r="FT436" s="335"/>
      <c r="FU436" s="335"/>
      <c r="FV436" s="335"/>
      <c r="FW436" s="335"/>
      <c r="FX436" s="335"/>
      <c r="FY436" s="335"/>
      <c r="FZ436" s="335"/>
      <c r="GA436" s="335"/>
      <c r="GB436" s="335"/>
      <c r="GC436" s="335"/>
      <c r="GD436" s="335"/>
      <c r="GE436" s="335"/>
      <c r="GF436" s="335"/>
      <c r="GG436" s="335"/>
      <c r="GH436" s="335"/>
      <c r="GI436" s="335"/>
      <c r="GJ436" s="335"/>
      <c r="GK436" s="335"/>
      <c r="GL436" s="335"/>
      <c r="GM436" s="335"/>
      <c r="GN436" s="335"/>
      <c r="GO436" s="335"/>
      <c r="GP436" s="335"/>
      <c r="GQ436" s="335"/>
      <c r="GR436" s="335"/>
      <c r="GS436" s="335"/>
      <c r="GT436" s="335"/>
      <c r="GU436" s="335"/>
      <c r="GV436" s="335"/>
      <c r="GW436" s="335"/>
      <c r="GX436" s="335"/>
      <c r="GY436" s="335"/>
      <c r="GZ436" s="335"/>
    </row>
    <row r="437" spans="1:208" ht="15">
      <c r="A437" s="379"/>
      <c r="B437" s="335"/>
      <c r="C437" s="335"/>
      <c r="D437" s="335"/>
      <c r="E437" s="335"/>
      <c r="F437" s="335"/>
      <c r="G437" s="335"/>
      <c r="H437" s="335"/>
      <c r="I437" s="335"/>
      <c r="J437" s="335"/>
      <c r="K437" s="335"/>
      <c r="L437" s="335"/>
      <c r="M437" s="376"/>
      <c r="N437" s="335"/>
      <c r="O437" s="380"/>
      <c r="P437" s="335"/>
      <c r="Q437" s="335"/>
      <c r="R437" s="335"/>
      <c r="S437" s="335"/>
      <c r="T437" s="335"/>
      <c r="U437" s="335"/>
      <c r="V437" s="335"/>
      <c r="W437" s="335"/>
      <c r="X437" s="335"/>
      <c r="Y437" s="335"/>
      <c r="Z437" s="335"/>
      <c r="AA437" s="335"/>
      <c r="AB437" s="335"/>
      <c r="AC437" s="335"/>
      <c r="AD437" s="335"/>
      <c r="AE437" s="335"/>
      <c r="AF437" s="335"/>
      <c r="AG437" s="335"/>
      <c r="AH437" s="335"/>
      <c r="AI437" s="335"/>
      <c r="AJ437" s="335"/>
      <c r="AK437" s="335"/>
      <c r="AL437" s="335"/>
      <c r="AM437" s="335"/>
      <c r="AN437" s="335"/>
      <c r="AO437" s="335"/>
      <c r="AP437" s="335"/>
      <c r="AQ437" s="335"/>
      <c r="AR437" s="335"/>
      <c r="AS437" s="335"/>
      <c r="AT437" s="335"/>
      <c r="AU437" s="335"/>
      <c r="AV437" s="335"/>
      <c r="AW437" s="335"/>
      <c r="AX437" s="335"/>
      <c r="AY437" s="335"/>
      <c r="AZ437" s="335"/>
      <c r="BA437" s="335"/>
      <c r="BB437" s="335"/>
      <c r="BC437" s="335"/>
      <c r="BD437" s="335"/>
      <c r="BE437" s="335"/>
      <c r="BF437" s="335"/>
      <c r="BG437" s="335"/>
      <c r="BH437" s="335"/>
      <c r="BI437" s="335"/>
      <c r="BJ437" s="335"/>
      <c r="BK437" s="335"/>
      <c r="BL437" s="335"/>
      <c r="BM437" s="335"/>
      <c r="BN437" s="335"/>
      <c r="BO437" s="335"/>
      <c r="BP437" s="335"/>
      <c r="BQ437" s="335"/>
      <c r="BR437" s="335"/>
      <c r="BS437" s="335"/>
      <c r="BT437" s="335"/>
      <c r="BU437" s="335"/>
      <c r="BV437" s="335"/>
      <c r="BW437" s="335"/>
      <c r="BX437" s="335"/>
      <c r="BY437" s="335"/>
      <c r="BZ437" s="335"/>
      <c r="CA437" s="335"/>
      <c r="CB437" s="335"/>
      <c r="CC437" s="335"/>
      <c r="CD437" s="335"/>
      <c r="CE437" s="335"/>
      <c r="CF437" s="335"/>
      <c r="CG437" s="335"/>
      <c r="CH437" s="335"/>
      <c r="CI437" s="335"/>
      <c r="CJ437" s="335"/>
      <c r="CK437" s="335"/>
      <c r="CL437" s="335"/>
      <c r="CM437" s="335"/>
      <c r="CN437" s="335"/>
      <c r="CO437" s="335"/>
      <c r="CP437" s="335"/>
      <c r="CQ437" s="335"/>
      <c r="CR437" s="335"/>
      <c r="CS437" s="335"/>
      <c r="CT437" s="335"/>
      <c r="CU437" s="335"/>
      <c r="CV437" s="335"/>
      <c r="CW437" s="335"/>
      <c r="CX437" s="335"/>
      <c r="CY437" s="335"/>
      <c r="CZ437" s="335"/>
      <c r="DA437" s="335"/>
      <c r="DB437" s="335"/>
      <c r="DC437" s="335"/>
      <c r="DD437" s="335"/>
      <c r="DE437" s="335"/>
      <c r="DF437" s="335"/>
      <c r="DG437" s="335"/>
      <c r="DH437" s="335"/>
      <c r="DI437" s="335"/>
      <c r="DJ437" s="335"/>
      <c r="DK437" s="335"/>
      <c r="DL437" s="335"/>
      <c r="DM437" s="335"/>
      <c r="DN437" s="335"/>
      <c r="DO437" s="335"/>
      <c r="DP437" s="335"/>
      <c r="DQ437" s="335"/>
      <c r="DR437" s="335"/>
      <c r="DS437" s="335"/>
      <c r="DT437" s="335"/>
      <c r="DU437" s="335"/>
      <c r="DV437" s="335"/>
      <c r="DW437" s="335"/>
      <c r="DX437" s="335"/>
      <c r="DY437" s="335"/>
      <c r="DZ437" s="335"/>
      <c r="EA437" s="335"/>
      <c r="EB437" s="335"/>
      <c r="EC437" s="335"/>
      <c r="ED437" s="335"/>
      <c r="EE437" s="335"/>
      <c r="EF437" s="335"/>
      <c r="EG437" s="335"/>
      <c r="EH437" s="335"/>
      <c r="EI437" s="335"/>
      <c r="EJ437" s="335"/>
      <c r="EK437" s="335"/>
      <c r="EL437" s="335"/>
      <c r="EM437" s="335"/>
      <c r="EN437" s="335"/>
      <c r="EO437" s="335"/>
      <c r="EP437" s="335"/>
      <c r="EQ437" s="335"/>
      <c r="ER437" s="335"/>
      <c r="ES437" s="335"/>
      <c r="ET437" s="335"/>
      <c r="EU437" s="335"/>
      <c r="EV437" s="335"/>
      <c r="EW437" s="335"/>
      <c r="EX437" s="335"/>
      <c r="EY437" s="335"/>
      <c r="EZ437" s="335"/>
      <c r="FA437" s="335"/>
      <c r="FB437" s="335"/>
      <c r="FC437" s="335"/>
      <c r="FD437" s="335"/>
      <c r="FE437" s="335"/>
      <c r="FF437" s="335"/>
      <c r="FG437" s="335"/>
      <c r="FH437" s="335"/>
      <c r="FI437" s="335"/>
      <c r="FJ437" s="335"/>
      <c r="FK437" s="335"/>
      <c r="FL437" s="335"/>
      <c r="FM437" s="335"/>
      <c r="FN437" s="335"/>
      <c r="FO437" s="335"/>
      <c r="FP437" s="335"/>
      <c r="FQ437" s="335"/>
      <c r="FR437" s="335"/>
      <c r="FS437" s="335"/>
      <c r="FT437" s="335"/>
      <c r="FU437" s="335"/>
      <c r="FV437" s="335"/>
      <c r="FW437" s="335"/>
      <c r="FX437" s="335"/>
      <c r="FY437" s="335"/>
      <c r="FZ437" s="335"/>
      <c r="GA437" s="335"/>
      <c r="GB437" s="335"/>
      <c r="GC437" s="335"/>
      <c r="GD437" s="335"/>
      <c r="GE437" s="335"/>
      <c r="GF437" s="335"/>
      <c r="GG437" s="335"/>
      <c r="GH437" s="335"/>
      <c r="GI437" s="335"/>
      <c r="GJ437" s="335"/>
      <c r="GK437" s="335"/>
      <c r="GL437" s="335"/>
      <c r="GM437" s="335"/>
      <c r="GN437" s="335"/>
      <c r="GO437" s="335"/>
      <c r="GP437" s="335"/>
      <c r="GQ437" s="335"/>
      <c r="GR437" s="335"/>
      <c r="GS437" s="335"/>
      <c r="GT437" s="335"/>
      <c r="GU437" s="335"/>
      <c r="GV437" s="335"/>
      <c r="GW437" s="335"/>
      <c r="GX437" s="335"/>
      <c r="GY437" s="335"/>
      <c r="GZ437" s="335"/>
    </row>
    <row r="438" spans="1:208" ht="15">
      <c r="A438" s="379"/>
      <c r="B438" s="335"/>
      <c r="C438" s="335"/>
      <c r="D438" s="335"/>
      <c r="E438" s="335"/>
      <c r="F438" s="335"/>
      <c r="G438" s="335"/>
      <c r="H438" s="335"/>
      <c r="I438" s="335"/>
      <c r="J438" s="335"/>
      <c r="K438" s="335"/>
      <c r="L438" s="335"/>
      <c r="M438" s="376"/>
      <c r="N438" s="335"/>
      <c r="O438" s="380"/>
      <c r="P438" s="335"/>
      <c r="Q438" s="335"/>
      <c r="R438" s="335"/>
      <c r="S438" s="335"/>
      <c r="T438" s="335"/>
      <c r="U438" s="335"/>
      <c r="V438" s="335"/>
      <c r="W438" s="335"/>
      <c r="X438" s="335"/>
      <c r="Y438" s="335"/>
      <c r="Z438" s="335"/>
      <c r="AA438" s="335"/>
      <c r="AB438" s="335"/>
      <c r="AC438" s="335"/>
      <c r="AD438" s="335"/>
      <c r="AE438" s="335"/>
      <c r="AF438" s="335"/>
      <c r="AG438" s="335"/>
      <c r="AH438" s="335"/>
      <c r="AI438" s="335"/>
      <c r="AJ438" s="335"/>
      <c r="AK438" s="335"/>
      <c r="AL438" s="335"/>
      <c r="AM438" s="335"/>
      <c r="AN438" s="335"/>
      <c r="AO438" s="335"/>
      <c r="AP438" s="335"/>
      <c r="AQ438" s="335"/>
      <c r="AR438" s="335"/>
      <c r="AS438" s="335"/>
      <c r="AT438" s="335"/>
      <c r="AU438" s="335"/>
      <c r="AV438" s="335"/>
      <c r="AW438" s="335"/>
      <c r="AX438" s="335"/>
      <c r="AY438" s="335"/>
      <c r="AZ438" s="335"/>
      <c r="BA438" s="335"/>
      <c r="BB438" s="335"/>
      <c r="BC438" s="335"/>
      <c r="BD438" s="335"/>
      <c r="BE438" s="335"/>
      <c r="BF438" s="335"/>
      <c r="BG438" s="335"/>
      <c r="BH438" s="335"/>
      <c r="BI438" s="335"/>
      <c r="BJ438" s="335"/>
      <c r="BK438" s="335"/>
      <c r="BL438" s="335"/>
      <c r="BM438" s="335"/>
      <c r="BN438" s="335"/>
      <c r="BO438" s="335"/>
      <c r="BP438" s="335"/>
      <c r="BQ438" s="335"/>
      <c r="BR438" s="335"/>
      <c r="BS438" s="335"/>
      <c r="BT438" s="335"/>
      <c r="BU438" s="335"/>
      <c r="BV438" s="335"/>
      <c r="BW438" s="335"/>
      <c r="BX438" s="335"/>
      <c r="BY438" s="335"/>
      <c r="BZ438" s="335"/>
      <c r="CA438" s="335"/>
      <c r="CB438" s="335"/>
      <c r="CC438" s="335"/>
      <c r="CD438" s="335"/>
      <c r="CE438" s="335"/>
      <c r="CF438" s="335"/>
      <c r="CG438" s="335"/>
      <c r="CH438" s="335"/>
      <c r="CI438" s="335"/>
      <c r="CJ438" s="335"/>
      <c r="CK438" s="335"/>
      <c r="CL438" s="335"/>
      <c r="CM438" s="335"/>
      <c r="CN438" s="335"/>
      <c r="CO438" s="335"/>
      <c r="CP438" s="335"/>
      <c r="CQ438" s="335"/>
      <c r="CR438" s="335"/>
      <c r="CS438" s="335"/>
      <c r="CT438" s="335"/>
      <c r="CU438" s="335"/>
      <c r="CV438" s="335"/>
      <c r="CW438" s="335"/>
      <c r="CX438" s="335"/>
      <c r="CY438" s="335"/>
      <c r="CZ438" s="335"/>
      <c r="DA438" s="335"/>
      <c r="DB438" s="335"/>
      <c r="DC438" s="335"/>
      <c r="DD438" s="335"/>
      <c r="DE438" s="335"/>
      <c r="DF438" s="335"/>
      <c r="DG438" s="335"/>
      <c r="DH438" s="335"/>
      <c r="DI438" s="335"/>
      <c r="DJ438" s="335"/>
      <c r="DK438" s="335"/>
      <c r="DL438" s="335"/>
      <c r="DM438" s="335"/>
      <c r="DN438" s="335"/>
      <c r="DO438" s="335"/>
      <c r="DP438" s="335"/>
      <c r="DQ438" s="335"/>
      <c r="DR438" s="335"/>
      <c r="DS438" s="335"/>
      <c r="DT438" s="335"/>
      <c r="DU438" s="335"/>
      <c r="DV438" s="335"/>
      <c r="DW438" s="335"/>
      <c r="DX438" s="335"/>
      <c r="DY438" s="335"/>
      <c r="DZ438" s="335"/>
      <c r="EA438" s="335"/>
      <c r="EB438" s="335"/>
      <c r="EC438" s="335"/>
      <c r="ED438" s="335"/>
      <c r="EE438" s="335"/>
      <c r="EF438" s="335"/>
      <c r="EG438" s="335"/>
      <c r="EH438" s="335"/>
      <c r="EI438" s="335"/>
      <c r="EJ438" s="335"/>
      <c r="EK438" s="335"/>
      <c r="EL438" s="335"/>
      <c r="EM438" s="335"/>
      <c r="EN438" s="335"/>
      <c r="EO438" s="335"/>
      <c r="EP438" s="335"/>
      <c r="EQ438" s="335"/>
      <c r="ER438" s="335"/>
      <c r="ES438" s="335"/>
      <c r="ET438" s="335"/>
      <c r="EU438" s="335"/>
      <c r="EV438" s="335"/>
      <c r="EW438" s="335"/>
      <c r="EX438" s="335"/>
      <c r="EY438" s="335"/>
      <c r="EZ438" s="335"/>
      <c r="FA438" s="335"/>
      <c r="FB438" s="335"/>
      <c r="FC438" s="335"/>
      <c r="FD438" s="335"/>
      <c r="FE438" s="335"/>
      <c r="FF438" s="335"/>
      <c r="FG438" s="335"/>
      <c r="FH438" s="335"/>
      <c r="FI438" s="335"/>
      <c r="FJ438" s="335"/>
      <c r="FK438" s="335"/>
      <c r="FL438" s="335"/>
      <c r="FM438" s="335"/>
      <c r="FN438" s="335"/>
      <c r="FO438" s="335"/>
      <c r="FP438" s="335"/>
      <c r="FQ438" s="335"/>
      <c r="FR438" s="335"/>
      <c r="FS438" s="335"/>
      <c r="FT438" s="335"/>
      <c r="FU438" s="335"/>
      <c r="FV438" s="335"/>
      <c r="FW438" s="335"/>
      <c r="FX438" s="335"/>
      <c r="FY438" s="335"/>
      <c r="FZ438" s="335"/>
      <c r="GA438" s="335"/>
      <c r="GB438" s="335"/>
      <c r="GC438" s="335"/>
      <c r="GD438" s="335"/>
      <c r="GE438" s="335"/>
      <c r="GF438" s="335"/>
      <c r="GG438" s="335"/>
      <c r="GH438" s="335"/>
      <c r="GI438" s="335"/>
      <c r="GJ438" s="335"/>
      <c r="GK438" s="335"/>
      <c r="GL438" s="335"/>
      <c r="GM438" s="335"/>
      <c r="GN438" s="335"/>
      <c r="GO438" s="335"/>
      <c r="GP438" s="335"/>
      <c r="GQ438" s="335"/>
      <c r="GR438" s="335"/>
      <c r="GS438" s="335"/>
      <c r="GT438" s="335"/>
      <c r="GU438" s="335"/>
      <c r="GV438" s="335"/>
      <c r="GW438" s="335"/>
      <c r="GX438" s="335"/>
      <c r="GY438" s="335"/>
      <c r="GZ438" s="335"/>
    </row>
    <row r="439" spans="1:208" ht="15">
      <c r="A439" s="379"/>
      <c r="B439" s="335"/>
      <c r="C439" s="335"/>
      <c r="D439" s="335"/>
      <c r="E439" s="335"/>
      <c r="F439" s="335"/>
      <c r="G439" s="335"/>
      <c r="H439" s="335"/>
      <c r="I439" s="335"/>
      <c r="J439" s="335"/>
      <c r="K439" s="335"/>
      <c r="L439" s="335"/>
      <c r="M439" s="376"/>
      <c r="N439" s="335"/>
      <c r="O439" s="380"/>
      <c r="P439" s="335"/>
      <c r="Q439" s="335"/>
      <c r="R439" s="335"/>
      <c r="S439" s="335"/>
      <c r="T439" s="335"/>
      <c r="U439" s="335"/>
      <c r="V439" s="335"/>
      <c r="W439" s="335"/>
      <c r="X439" s="335"/>
      <c r="Y439" s="335"/>
      <c r="Z439" s="335"/>
      <c r="AA439" s="335"/>
      <c r="AB439" s="335"/>
      <c r="AC439" s="335"/>
      <c r="AD439" s="335"/>
      <c r="AE439" s="335"/>
      <c r="AF439" s="335"/>
      <c r="AG439" s="335"/>
      <c r="AH439" s="335"/>
      <c r="AI439" s="335"/>
      <c r="AJ439" s="335"/>
      <c r="AK439" s="335"/>
      <c r="AL439" s="335"/>
      <c r="AM439" s="335"/>
      <c r="AN439" s="335"/>
      <c r="AO439" s="335"/>
      <c r="AP439" s="335"/>
      <c r="AQ439" s="335"/>
      <c r="AR439" s="335"/>
      <c r="AS439" s="335"/>
      <c r="AT439" s="335"/>
      <c r="AU439" s="335"/>
      <c r="AV439" s="335"/>
      <c r="AW439" s="335"/>
      <c r="AX439" s="335"/>
      <c r="AY439" s="335"/>
      <c r="AZ439" s="335"/>
      <c r="BA439" s="335"/>
      <c r="BB439" s="335"/>
      <c r="BC439" s="335"/>
      <c r="BD439" s="335"/>
      <c r="BE439" s="335"/>
      <c r="BF439" s="335"/>
      <c r="BG439" s="335"/>
      <c r="BH439" s="335"/>
      <c r="BI439" s="335"/>
      <c r="BJ439" s="335"/>
      <c r="BK439" s="335"/>
      <c r="BL439" s="335"/>
      <c r="BM439" s="335"/>
      <c r="BN439" s="335"/>
      <c r="BO439" s="335"/>
      <c r="BP439" s="335"/>
      <c r="BQ439" s="335"/>
      <c r="BR439" s="335"/>
      <c r="BS439" s="335"/>
      <c r="BT439" s="335"/>
      <c r="BU439" s="335"/>
      <c r="BV439" s="335"/>
      <c r="BW439" s="335"/>
      <c r="BX439" s="335"/>
      <c r="BY439" s="335"/>
      <c r="BZ439" s="335"/>
      <c r="CA439" s="335"/>
      <c r="CB439" s="335"/>
      <c r="CC439" s="335"/>
      <c r="CD439" s="335"/>
      <c r="CE439" s="335"/>
      <c r="CF439" s="335"/>
      <c r="CG439" s="335"/>
      <c r="CH439" s="335"/>
      <c r="CI439" s="335"/>
      <c r="CJ439" s="335"/>
      <c r="CK439" s="335"/>
      <c r="CL439" s="335"/>
      <c r="CM439" s="335"/>
      <c r="CN439" s="335"/>
      <c r="CO439" s="335"/>
      <c r="CP439" s="335"/>
      <c r="CQ439" s="335"/>
      <c r="CR439" s="335"/>
      <c r="CS439" s="335"/>
      <c r="CT439" s="335"/>
      <c r="CU439" s="335"/>
      <c r="CV439" s="335"/>
      <c r="CW439" s="335"/>
      <c r="CX439" s="335"/>
      <c r="CY439" s="335"/>
      <c r="CZ439" s="335"/>
      <c r="DA439" s="335"/>
      <c r="DB439" s="335"/>
      <c r="DC439" s="335"/>
      <c r="DD439" s="335"/>
      <c r="DE439" s="335"/>
      <c r="DF439" s="335"/>
      <c r="DG439" s="335"/>
      <c r="DH439" s="335"/>
      <c r="DI439" s="335"/>
      <c r="DJ439" s="335"/>
      <c r="DK439" s="335"/>
      <c r="DL439" s="335"/>
      <c r="DM439" s="335"/>
      <c r="DN439" s="335"/>
      <c r="DO439" s="335"/>
      <c r="DP439" s="335"/>
      <c r="DQ439" s="335"/>
      <c r="DR439" s="335"/>
      <c r="DS439" s="335"/>
      <c r="DT439" s="335"/>
      <c r="DU439" s="335"/>
      <c r="DV439" s="335"/>
      <c r="DW439" s="335"/>
      <c r="DX439" s="335"/>
      <c r="DY439" s="335"/>
      <c r="DZ439" s="335"/>
      <c r="EA439" s="335"/>
      <c r="EB439" s="335"/>
      <c r="EC439" s="335"/>
      <c r="ED439" s="335"/>
      <c r="EE439" s="335"/>
      <c r="EF439" s="335"/>
      <c r="EG439" s="335"/>
      <c r="EH439" s="335"/>
      <c r="EI439" s="335"/>
      <c r="EJ439" s="335"/>
      <c r="EK439" s="335"/>
      <c r="EL439" s="335"/>
      <c r="EM439" s="335"/>
      <c r="EN439" s="335"/>
      <c r="EO439" s="335"/>
      <c r="EP439" s="335"/>
      <c r="EQ439" s="335"/>
      <c r="ER439" s="335"/>
      <c r="ES439" s="335"/>
      <c r="ET439" s="335"/>
      <c r="EU439" s="335"/>
      <c r="EV439" s="335"/>
      <c r="EW439" s="335"/>
      <c r="EX439" s="335"/>
      <c r="EY439" s="335"/>
      <c r="EZ439" s="335"/>
      <c r="FA439" s="335"/>
      <c r="FB439" s="335"/>
      <c r="FC439" s="335"/>
      <c r="FD439" s="335"/>
      <c r="FE439" s="335"/>
      <c r="FF439" s="335"/>
      <c r="FG439" s="335"/>
      <c r="FH439" s="335"/>
      <c r="FI439" s="335"/>
      <c r="FJ439" s="335"/>
      <c r="FK439" s="335"/>
      <c r="FL439" s="335"/>
      <c r="FM439" s="335"/>
      <c r="FN439" s="335"/>
      <c r="FO439" s="335"/>
      <c r="FP439" s="335"/>
      <c r="FQ439" s="335"/>
      <c r="FR439" s="335"/>
      <c r="FS439" s="335"/>
      <c r="FT439" s="335"/>
      <c r="FU439" s="335"/>
      <c r="FV439" s="335"/>
      <c r="FW439" s="335"/>
      <c r="FX439" s="335"/>
      <c r="FY439" s="335"/>
      <c r="FZ439" s="335"/>
      <c r="GA439" s="335"/>
      <c r="GB439" s="335"/>
      <c r="GC439" s="335"/>
      <c r="GD439" s="335"/>
      <c r="GE439" s="335"/>
      <c r="GF439" s="335"/>
      <c r="GG439" s="335"/>
      <c r="GH439" s="335"/>
      <c r="GI439" s="335"/>
      <c r="GJ439" s="335"/>
      <c r="GK439" s="335"/>
      <c r="GL439" s="335"/>
      <c r="GM439" s="335"/>
      <c r="GN439" s="335"/>
      <c r="GO439" s="335"/>
      <c r="GP439" s="335"/>
      <c r="GQ439" s="335"/>
      <c r="GR439" s="335"/>
      <c r="GS439" s="335"/>
      <c r="GT439" s="335"/>
      <c r="GU439" s="335"/>
      <c r="GV439" s="335"/>
      <c r="GW439" s="335"/>
      <c r="GX439" s="335"/>
      <c r="GY439" s="335"/>
      <c r="GZ439" s="335"/>
    </row>
    <row r="440" spans="1:208" ht="15">
      <c r="A440" s="379"/>
      <c r="B440" s="335"/>
      <c r="C440" s="335"/>
      <c r="D440" s="335"/>
      <c r="E440" s="335"/>
      <c r="F440" s="335"/>
      <c r="G440" s="335"/>
      <c r="H440" s="335"/>
      <c r="I440" s="335"/>
      <c r="J440" s="335"/>
      <c r="K440" s="335"/>
      <c r="L440" s="335"/>
      <c r="M440" s="376"/>
      <c r="N440" s="335"/>
      <c r="O440" s="380"/>
      <c r="P440" s="335"/>
      <c r="Q440" s="335"/>
      <c r="R440" s="335"/>
      <c r="S440" s="335"/>
      <c r="T440" s="335"/>
      <c r="U440" s="335"/>
      <c r="V440" s="335"/>
      <c r="W440" s="335"/>
      <c r="X440" s="335"/>
      <c r="Y440" s="335"/>
      <c r="Z440" s="335"/>
      <c r="AA440" s="335"/>
      <c r="AB440" s="335"/>
      <c r="AC440" s="335"/>
      <c r="AD440" s="335"/>
      <c r="AE440" s="335"/>
      <c r="AF440" s="335"/>
      <c r="AG440" s="335"/>
      <c r="AH440" s="335"/>
      <c r="AI440" s="335"/>
      <c r="AJ440" s="335"/>
      <c r="AK440" s="335"/>
      <c r="AL440" s="335"/>
      <c r="AM440" s="335"/>
      <c r="AN440" s="335"/>
      <c r="AO440" s="335"/>
      <c r="AP440" s="335"/>
      <c r="AQ440" s="335"/>
      <c r="AR440" s="335"/>
      <c r="AS440" s="335"/>
      <c r="AT440" s="335"/>
      <c r="AU440" s="335"/>
      <c r="AV440" s="335"/>
      <c r="AW440" s="335"/>
      <c r="AX440" s="335"/>
      <c r="AY440" s="335"/>
      <c r="AZ440" s="335"/>
      <c r="BA440" s="335"/>
      <c r="BB440" s="335"/>
      <c r="BC440" s="335"/>
      <c r="BD440" s="335"/>
      <c r="BE440" s="335"/>
      <c r="BF440" s="335"/>
      <c r="BG440" s="335"/>
      <c r="BH440" s="335"/>
      <c r="BI440" s="335"/>
      <c r="BJ440" s="335"/>
      <c r="BK440" s="335"/>
      <c r="BL440" s="335"/>
      <c r="BM440" s="335"/>
      <c r="BN440" s="335"/>
      <c r="BO440" s="335"/>
      <c r="BP440" s="335"/>
      <c r="BQ440" s="335"/>
      <c r="BR440" s="335"/>
      <c r="BS440" s="335"/>
      <c r="BT440" s="335"/>
      <c r="BU440" s="335"/>
      <c r="BV440" s="335"/>
      <c r="BW440" s="335"/>
      <c r="BX440" s="335"/>
      <c r="BY440" s="335"/>
      <c r="BZ440" s="335"/>
      <c r="CA440" s="335"/>
      <c r="CB440" s="335"/>
      <c r="CC440" s="335"/>
      <c r="CD440" s="335"/>
      <c r="CE440" s="335"/>
      <c r="CF440" s="335"/>
      <c r="CG440" s="335"/>
      <c r="CH440" s="335"/>
      <c r="CI440" s="335"/>
      <c r="CJ440" s="335"/>
      <c r="CK440" s="335"/>
      <c r="CL440" s="335"/>
      <c r="CM440" s="335"/>
      <c r="CN440" s="335"/>
      <c r="CO440" s="335"/>
      <c r="CP440" s="335"/>
      <c r="CQ440" s="335"/>
      <c r="CR440" s="335"/>
      <c r="CS440" s="335"/>
      <c r="CT440" s="335"/>
      <c r="CU440" s="335"/>
      <c r="CV440" s="335"/>
      <c r="CW440" s="335"/>
      <c r="CX440" s="335"/>
      <c r="CY440" s="335"/>
      <c r="CZ440" s="335"/>
      <c r="DA440" s="335"/>
      <c r="DB440" s="335"/>
      <c r="DC440" s="335"/>
      <c r="DD440" s="335"/>
      <c r="DE440" s="335"/>
      <c r="DF440" s="335"/>
      <c r="DG440" s="335"/>
      <c r="DH440" s="335"/>
      <c r="DI440" s="335"/>
      <c r="DJ440" s="335"/>
      <c r="DK440" s="335"/>
      <c r="DL440" s="335"/>
      <c r="DM440" s="335"/>
      <c r="DN440" s="335"/>
      <c r="DO440" s="335"/>
      <c r="DP440" s="335"/>
      <c r="DQ440" s="335"/>
      <c r="DR440" s="335"/>
      <c r="DS440" s="335"/>
      <c r="DT440" s="335"/>
      <c r="DU440" s="335"/>
      <c r="DV440" s="335"/>
      <c r="DW440" s="335"/>
      <c r="DX440" s="335"/>
      <c r="DY440" s="335"/>
      <c r="DZ440" s="335"/>
      <c r="EA440" s="335"/>
      <c r="EB440" s="335"/>
      <c r="EC440" s="335"/>
      <c r="ED440" s="335"/>
      <c r="EE440" s="335"/>
      <c r="EF440" s="335"/>
      <c r="EG440" s="335"/>
      <c r="EH440" s="335"/>
      <c r="EI440" s="335"/>
      <c r="EJ440" s="335"/>
      <c r="EK440" s="335"/>
      <c r="EL440" s="335"/>
      <c r="EM440" s="335"/>
      <c r="EN440" s="335"/>
      <c r="EO440" s="335"/>
      <c r="EP440" s="335"/>
      <c r="EQ440" s="335"/>
      <c r="ER440" s="335"/>
      <c r="ES440" s="335"/>
      <c r="ET440" s="335"/>
      <c r="EU440" s="335"/>
      <c r="EV440" s="335"/>
      <c r="EW440" s="335"/>
      <c r="EX440" s="335"/>
      <c r="EY440" s="335"/>
      <c r="EZ440" s="335"/>
      <c r="FA440" s="335"/>
      <c r="FB440" s="335"/>
      <c r="FC440" s="335"/>
      <c r="FD440" s="335"/>
      <c r="FE440" s="335"/>
      <c r="FF440" s="335"/>
      <c r="FG440" s="335"/>
      <c r="FH440" s="335"/>
      <c r="FI440" s="335"/>
      <c r="FJ440" s="335"/>
      <c r="FK440" s="335"/>
      <c r="FL440" s="335"/>
      <c r="FM440" s="335"/>
      <c r="FN440" s="335"/>
      <c r="FO440" s="335"/>
      <c r="FP440" s="335"/>
      <c r="FQ440" s="335"/>
      <c r="FR440" s="335"/>
      <c r="FS440" s="335"/>
      <c r="FT440" s="335"/>
      <c r="FU440" s="335"/>
      <c r="FV440" s="335"/>
      <c r="FW440" s="335"/>
      <c r="FX440" s="335"/>
      <c r="FY440" s="335"/>
      <c r="FZ440" s="335"/>
      <c r="GA440" s="335"/>
      <c r="GB440" s="335"/>
      <c r="GC440" s="335"/>
      <c r="GD440" s="335"/>
      <c r="GE440" s="335"/>
      <c r="GF440" s="335"/>
      <c r="GG440" s="335"/>
      <c r="GH440" s="335"/>
      <c r="GI440" s="335"/>
      <c r="GJ440" s="335"/>
      <c r="GK440" s="335"/>
      <c r="GL440" s="335"/>
      <c r="GM440" s="335"/>
      <c r="GN440" s="335"/>
      <c r="GO440" s="335"/>
      <c r="GP440" s="335"/>
      <c r="GQ440" s="335"/>
      <c r="GR440" s="335"/>
      <c r="GS440" s="335"/>
      <c r="GT440" s="335"/>
      <c r="GU440" s="335"/>
      <c r="GV440" s="335"/>
      <c r="GW440" s="335"/>
      <c r="GX440" s="335"/>
      <c r="GY440" s="335"/>
      <c r="GZ440" s="335"/>
    </row>
    <row r="441" spans="1:208" ht="15">
      <c r="A441" s="379"/>
      <c r="B441" s="335"/>
      <c r="C441" s="335"/>
      <c r="D441" s="335"/>
      <c r="E441" s="335"/>
      <c r="F441" s="335"/>
      <c r="G441" s="335"/>
      <c r="H441" s="335"/>
      <c r="I441" s="335"/>
      <c r="J441" s="335"/>
      <c r="K441" s="335"/>
      <c r="L441" s="335"/>
      <c r="M441" s="376"/>
      <c r="N441" s="335"/>
      <c r="O441" s="380"/>
      <c r="P441" s="335"/>
      <c r="Q441" s="335"/>
      <c r="R441" s="335"/>
      <c r="S441" s="335"/>
      <c r="T441" s="335"/>
      <c r="U441" s="335"/>
      <c r="V441" s="335"/>
      <c r="W441" s="335"/>
      <c r="X441" s="335"/>
      <c r="Y441" s="335"/>
      <c r="Z441" s="335"/>
      <c r="AA441" s="335"/>
      <c r="AB441" s="335"/>
      <c r="AC441" s="335"/>
      <c r="AD441" s="335"/>
      <c r="AE441" s="335"/>
      <c r="AF441" s="335"/>
      <c r="AG441" s="335"/>
      <c r="AH441" s="335"/>
      <c r="AI441" s="335"/>
      <c r="AJ441" s="335"/>
      <c r="AK441" s="335"/>
      <c r="AL441" s="335"/>
      <c r="AM441" s="335"/>
      <c r="AN441" s="335"/>
      <c r="AO441" s="335"/>
      <c r="AP441" s="335"/>
      <c r="AQ441" s="335"/>
      <c r="AR441" s="335"/>
      <c r="AS441" s="335"/>
      <c r="AT441" s="335"/>
      <c r="AU441" s="335"/>
      <c r="AV441" s="335"/>
      <c r="AW441" s="335"/>
      <c r="AX441" s="335"/>
      <c r="AY441" s="335"/>
      <c r="AZ441" s="335"/>
      <c r="BA441" s="335"/>
      <c r="BB441" s="335"/>
      <c r="BC441" s="335"/>
      <c r="BD441" s="335"/>
      <c r="BE441" s="335"/>
      <c r="BF441" s="335"/>
      <c r="BG441" s="335"/>
      <c r="BH441" s="335"/>
      <c r="BI441" s="335"/>
      <c r="BJ441" s="335"/>
      <c r="BK441" s="335"/>
      <c r="BL441" s="335"/>
      <c r="BM441" s="335"/>
      <c r="BN441" s="335"/>
      <c r="BO441" s="335"/>
      <c r="BP441" s="335"/>
      <c r="BQ441" s="335"/>
      <c r="BR441" s="335"/>
      <c r="BS441" s="335"/>
      <c r="BT441" s="335"/>
      <c r="BU441" s="335"/>
      <c r="BV441" s="335"/>
      <c r="BW441" s="335"/>
      <c r="BX441" s="335"/>
      <c r="BY441" s="335"/>
      <c r="BZ441" s="335"/>
      <c r="CA441" s="335"/>
      <c r="CB441" s="335"/>
      <c r="CC441" s="335"/>
      <c r="CD441" s="335"/>
      <c r="CE441" s="335"/>
      <c r="CF441" s="335"/>
      <c r="CG441" s="335"/>
      <c r="CH441" s="335"/>
      <c r="CI441" s="335"/>
      <c r="CJ441" s="335"/>
      <c r="CK441" s="335"/>
      <c r="CL441" s="335"/>
      <c r="CM441" s="335"/>
      <c r="CN441" s="335"/>
      <c r="CO441" s="335"/>
      <c r="CP441" s="335"/>
      <c r="CQ441" s="335"/>
      <c r="CR441" s="335"/>
      <c r="CS441" s="335"/>
      <c r="CT441" s="335"/>
      <c r="CU441" s="335"/>
      <c r="CV441" s="335"/>
      <c r="CW441" s="335"/>
      <c r="CX441" s="335"/>
      <c r="CY441" s="335"/>
      <c r="CZ441" s="335"/>
      <c r="DA441" s="335"/>
      <c r="DB441" s="335"/>
      <c r="DC441" s="335"/>
      <c r="DD441" s="335"/>
      <c r="DE441" s="335"/>
      <c r="DF441" s="335"/>
      <c r="DG441" s="335"/>
      <c r="DH441" s="335"/>
      <c r="DI441" s="335"/>
      <c r="DJ441" s="335"/>
      <c r="DK441" s="335"/>
      <c r="DL441" s="335"/>
      <c r="DM441" s="335"/>
      <c r="DN441" s="335"/>
      <c r="DO441" s="335"/>
      <c r="DP441" s="335"/>
      <c r="DQ441" s="335"/>
      <c r="DR441" s="335"/>
      <c r="DS441" s="335"/>
      <c r="DT441" s="335"/>
      <c r="DU441" s="335"/>
      <c r="DV441" s="335"/>
      <c r="DW441" s="335"/>
      <c r="DX441" s="335"/>
      <c r="DY441" s="335"/>
      <c r="DZ441" s="335"/>
      <c r="EA441" s="335"/>
      <c r="EB441" s="335"/>
      <c r="EC441" s="335"/>
      <c r="ED441" s="335"/>
      <c r="EE441" s="335"/>
      <c r="EF441" s="335"/>
      <c r="EG441" s="335"/>
      <c r="EH441" s="335"/>
      <c r="EI441" s="335"/>
      <c r="EJ441" s="335"/>
      <c r="EK441" s="335"/>
      <c r="EL441" s="335"/>
      <c r="EM441" s="335"/>
      <c r="EN441" s="335"/>
      <c r="EO441" s="335"/>
      <c r="EP441" s="335"/>
      <c r="EQ441" s="335"/>
      <c r="ER441" s="335"/>
      <c r="ES441" s="335"/>
      <c r="ET441" s="335"/>
      <c r="EU441" s="335"/>
      <c r="EV441" s="335"/>
      <c r="EW441" s="335"/>
      <c r="EX441" s="335"/>
      <c r="EY441" s="335"/>
      <c r="EZ441" s="335"/>
      <c r="FA441" s="335"/>
      <c r="FB441" s="335"/>
      <c r="FC441" s="335"/>
      <c r="FD441" s="335"/>
      <c r="FE441" s="335"/>
      <c r="FF441" s="335"/>
      <c r="FG441" s="335"/>
      <c r="FH441" s="335"/>
      <c r="FI441" s="335"/>
      <c r="FJ441" s="335"/>
      <c r="FK441" s="335"/>
      <c r="FL441" s="335"/>
      <c r="FM441" s="335"/>
      <c r="FN441" s="335"/>
      <c r="FO441" s="335"/>
      <c r="FP441" s="335"/>
      <c r="FQ441" s="335"/>
      <c r="FR441" s="335"/>
      <c r="FS441" s="335"/>
      <c r="FT441" s="335"/>
      <c r="FU441" s="335"/>
      <c r="FV441" s="335"/>
      <c r="FW441" s="335"/>
      <c r="FX441" s="335"/>
      <c r="FY441" s="335"/>
      <c r="FZ441" s="335"/>
      <c r="GA441" s="335"/>
      <c r="GB441" s="335"/>
      <c r="GC441" s="335"/>
      <c r="GD441" s="335"/>
      <c r="GE441" s="335"/>
      <c r="GF441" s="335"/>
      <c r="GG441" s="335"/>
      <c r="GH441" s="335"/>
      <c r="GI441" s="335"/>
      <c r="GJ441" s="335"/>
      <c r="GK441" s="335"/>
      <c r="GL441" s="335"/>
      <c r="GM441" s="335"/>
      <c r="GN441" s="335"/>
      <c r="GO441" s="335"/>
      <c r="GP441" s="335"/>
      <c r="GQ441" s="335"/>
      <c r="GR441" s="335"/>
      <c r="GS441" s="335"/>
      <c r="GT441" s="335"/>
      <c r="GU441" s="335"/>
      <c r="GV441" s="335"/>
      <c r="GW441" s="335"/>
      <c r="GX441" s="335"/>
      <c r="GY441" s="335"/>
      <c r="GZ441" s="335"/>
    </row>
    <row r="442" spans="1:208" ht="15">
      <c r="A442" s="379"/>
      <c r="B442" s="335"/>
      <c r="C442" s="335"/>
      <c r="D442" s="335"/>
      <c r="E442" s="335"/>
      <c r="F442" s="335"/>
      <c r="G442" s="335"/>
      <c r="H442" s="335"/>
      <c r="I442" s="335"/>
      <c r="J442" s="335"/>
      <c r="K442" s="335"/>
      <c r="L442" s="335"/>
      <c r="M442" s="376"/>
      <c r="N442" s="335"/>
      <c r="O442" s="380"/>
      <c r="P442" s="335"/>
      <c r="Q442" s="335"/>
      <c r="R442" s="335"/>
      <c r="S442" s="335"/>
      <c r="T442" s="335"/>
      <c r="U442" s="335"/>
      <c r="V442" s="335"/>
      <c r="W442" s="335"/>
      <c r="X442" s="335"/>
      <c r="Y442" s="335"/>
      <c r="Z442" s="335"/>
      <c r="AA442" s="335"/>
      <c r="AB442" s="335"/>
      <c r="AC442" s="335"/>
      <c r="AD442" s="335"/>
      <c r="AE442" s="335"/>
      <c r="AF442" s="335"/>
      <c r="AG442" s="335"/>
      <c r="AH442" s="335"/>
      <c r="AI442" s="335"/>
      <c r="AJ442" s="335"/>
      <c r="AK442" s="335"/>
      <c r="AL442" s="335"/>
      <c r="AM442" s="335"/>
      <c r="AN442" s="335"/>
      <c r="AO442" s="335"/>
      <c r="AP442" s="335"/>
      <c r="AQ442" s="335"/>
      <c r="AR442" s="335"/>
      <c r="AS442" s="335"/>
      <c r="AT442" s="335"/>
      <c r="AU442" s="335"/>
      <c r="AV442" s="335"/>
      <c r="AW442" s="335"/>
      <c r="AX442" s="335"/>
      <c r="AY442" s="335"/>
      <c r="AZ442" s="335"/>
      <c r="BA442" s="335"/>
      <c r="BB442" s="335"/>
      <c r="BC442" s="335"/>
      <c r="BD442" s="335"/>
      <c r="BE442" s="335"/>
      <c r="BF442" s="335"/>
      <c r="BG442" s="335"/>
      <c r="BH442" s="335"/>
      <c r="BI442" s="335"/>
      <c r="BJ442" s="335"/>
      <c r="BK442" s="335"/>
      <c r="BL442" s="335"/>
      <c r="BM442" s="335"/>
      <c r="BN442" s="335"/>
      <c r="BO442" s="335"/>
      <c r="BP442" s="335"/>
      <c r="BQ442" s="335"/>
      <c r="BR442" s="335"/>
      <c r="BS442" s="335"/>
      <c r="BT442" s="335"/>
      <c r="BU442" s="335"/>
      <c r="BV442" s="335"/>
      <c r="BW442" s="335"/>
      <c r="BX442" s="335"/>
      <c r="BY442" s="335"/>
      <c r="BZ442" s="335"/>
      <c r="CA442" s="335"/>
      <c r="CB442" s="335"/>
      <c r="CC442" s="335"/>
      <c r="CD442" s="335"/>
      <c r="CE442" s="335"/>
      <c r="CF442" s="335"/>
      <c r="CG442" s="335"/>
      <c r="CH442" s="335"/>
      <c r="CI442" s="335"/>
      <c r="CJ442" s="335"/>
      <c r="CK442" s="335"/>
      <c r="CL442" s="335"/>
      <c r="CM442" s="335"/>
      <c r="CN442" s="335"/>
      <c r="CO442" s="335"/>
      <c r="CP442" s="335"/>
      <c r="CQ442" s="335"/>
      <c r="CR442" s="335"/>
      <c r="CS442" s="335"/>
      <c r="CT442" s="335"/>
      <c r="CU442" s="335"/>
      <c r="CV442" s="335"/>
      <c r="CW442" s="335"/>
      <c r="CX442" s="335"/>
      <c r="CY442" s="335"/>
      <c r="CZ442" s="335"/>
      <c r="DA442" s="335"/>
      <c r="DB442" s="335"/>
      <c r="DC442" s="335"/>
      <c r="DD442" s="335"/>
      <c r="DE442" s="335"/>
      <c r="DF442" s="335"/>
      <c r="DG442" s="335"/>
      <c r="DH442" s="335"/>
      <c r="DI442" s="335"/>
      <c r="DJ442" s="335"/>
      <c r="DK442" s="335"/>
      <c r="DL442" s="335"/>
      <c r="DM442" s="335"/>
      <c r="DN442" s="335"/>
      <c r="DO442" s="335"/>
      <c r="DP442" s="335"/>
      <c r="DQ442" s="335"/>
      <c r="DR442" s="335"/>
      <c r="DS442" s="335"/>
      <c r="DT442" s="335"/>
      <c r="DU442" s="335"/>
      <c r="DV442" s="335"/>
      <c r="DW442" s="335"/>
      <c r="DX442" s="335"/>
      <c r="DY442" s="335"/>
      <c r="DZ442" s="335"/>
      <c r="EA442" s="335"/>
      <c r="EB442" s="335"/>
      <c r="EC442" s="335"/>
      <c r="ED442" s="335"/>
      <c r="EE442" s="335"/>
      <c r="EF442" s="335"/>
      <c r="EG442" s="335"/>
      <c r="EH442" s="335"/>
      <c r="EI442" s="335"/>
      <c r="EJ442" s="335"/>
      <c r="EK442" s="335"/>
      <c r="EL442" s="335"/>
      <c r="EM442" s="335"/>
      <c r="EN442" s="335"/>
      <c r="EO442" s="335"/>
      <c r="EP442" s="335"/>
      <c r="EQ442" s="335"/>
      <c r="ER442" s="335"/>
      <c r="ES442" s="335"/>
      <c r="ET442" s="335"/>
      <c r="EU442" s="335"/>
      <c r="EV442" s="335"/>
      <c r="EW442" s="335"/>
      <c r="EX442" s="335"/>
      <c r="EY442" s="335"/>
      <c r="EZ442" s="335"/>
      <c r="FA442" s="335"/>
      <c r="FB442" s="335"/>
      <c r="FC442" s="335"/>
      <c r="FD442" s="335"/>
      <c r="FE442" s="335"/>
      <c r="FF442" s="335"/>
      <c r="FG442" s="335"/>
      <c r="FH442" s="335"/>
      <c r="FI442" s="335"/>
      <c r="FJ442" s="335"/>
      <c r="FK442" s="335"/>
      <c r="FL442" s="335"/>
      <c r="FM442" s="335"/>
      <c r="FN442" s="335"/>
      <c r="FO442" s="335"/>
      <c r="FP442" s="335"/>
      <c r="FQ442" s="335"/>
      <c r="FR442" s="335"/>
      <c r="FS442" s="335"/>
      <c r="FT442" s="335"/>
      <c r="FU442" s="335"/>
      <c r="FV442" s="335"/>
      <c r="FW442" s="335"/>
      <c r="FX442" s="335"/>
      <c r="FY442" s="335"/>
      <c r="FZ442" s="335"/>
      <c r="GA442" s="335"/>
      <c r="GB442" s="335"/>
      <c r="GC442" s="335"/>
      <c r="GD442" s="335"/>
      <c r="GE442" s="335"/>
      <c r="GF442" s="335"/>
      <c r="GG442" s="335"/>
      <c r="GH442" s="335"/>
      <c r="GI442" s="335"/>
      <c r="GJ442" s="335"/>
      <c r="GK442" s="335"/>
      <c r="GL442" s="335"/>
      <c r="GM442" s="335"/>
      <c r="GN442" s="335"/>
      <c r="GO442" s="335"/>
      <c r="GP442" s="335"/>
      <c r="GQ442" s="335"/>
      <c r="GR442" s="335"/>
      <c r="GS442" s="335"/>
      <c r="GT442" s="335"/>
      <c r="GU442" s="335"/>
      <c r="GV442" s="335"/>
      <c r="GW442" s="335"/>
      <c r="GX442" s="335"/>
      <c r="GY442" s="335"/>
      <c r="GZ442" s="335"/>
    </row>
    <row r="443" spans="1:208" ht="15">
      <c r="A443" s="379"/>
      <c r="B443" s="335"/>
      <c r="C443" s="335"/>
      <c r="D443" s="335"/>
      <c r="E443" s="335"/>
      <c r="F443" s="335"/>
      <c r="G443" s="335"/>
      <c r="H443" s="335"/>
      <c r="I443" s="335"/>
      <c r="J443" s="335"/>
      <c r="K443" s="335"/>
      <c r="L443" s="335"/>
      <c r="M443" s="376"/>
      <c r="N443" s="335"/>
      <c r="O443" s="380"/>
      <c r="P443" s="335"/>
      <c r="Q443" s="335"/>
      <c r="R443" s="335"/>
      <c r="S443" s="335"/>
      <c r="T443" s="335"/>
      <c r="U443" s="335"/>
      <c r="V443" s="335"/>
      <c r="W443" s="335"/>
      <c r="X443" s="335"/>
      <c r="Y443" s="335"/>
      <c r="Z443" s="335"/>
      <c r="AA443" s="335"/>
      <c r="AB443" s="335"/>
      <c r="AC443" s="335"/>
      <c r="AD443" s="335"/>
      <c r="AE443" s="335"/>
      <c r="AF443" s="335"/>
      <c r="AG443" s="335"/>
      <c r="AH443" s="335"/>
      <c r="AI443" s="335"/>
      <c r="AJ443" s="335"/>
      <c r="AK443" s="335"/>
      <c r="AL443" s="335"/>
      <c r="AM443" s="335"/>
      <c r="AN443" s="335"/>
      <c r="AO443" s="335"/>
      <c r="AP443" s="335"/>
      <c r="AQ443" s="335"/>
      <c r="AR443" s="335"/>
      <c r="AS443" s="335"/>
      <c r="AT443" s="335"/>
      <c r="AU443" s="335"/>
      <c r="AV443" s="335"/>
      <c r="AW443" s="335"/>
      <c r="AX443" s="335"/>
      <c r="AY443" s="335"/>
      <c r="AZ443" s="335"/>
      <c r="BA443" s="335"/>
      <c r="BB443" s="335"/>
      <c r="BC443" s="335"/>
      <c r="BD443" s="335"/>
      <c r="BE443" s="335"/>
      <c r="BF443" s="335"/>
      <c r="BG443" s="335"/>
      <c r="BH443" s="335"/>
      <c r="BI443" s="335"/>
      <c r="BJ443" s="335"/>
      <c r="BK443" s="335"/>
      <c r="BL443" s="335"/>
      <c r="BM443" s="335"/>
      <c r="BN443" s="335"/>
      <c r="BO443" s="335"/>
      <c r="BP443" s="335"/>
      <c r="BQ443" s="335"/>
      <c r="BR443" s="335"/>
      <c r="BS443" s="335"/>
      <c r="BT443" s="335"/>
      <c r="BU443" s="335"/>
      <c r="BV443" s="335"/>
      <c r="BW443" s="335"/>
      <c r="BX443" s="335"/>
      <c r="BY443" s="335"/>
      <c r="BZ443" s="335"/>
      <c r="CA443" s="335"/>
      <c r="CB443" s="335"/>
      <c r="CC443" s="335"/>
      <c r="CD443" s="335"/>
      <c r="CE443" s="335"/>
      <c r="CF443" s="335"/>
      <c r="CG443" s="335"/>
      <c r="CH443" s="335"/>
      <c r="CI443" s="335"/>
      <c r="CJ443" s="335"/>
      <c r="CK443" s="335"/>
      <c r="CL443" s="335"/>
      <c r="CM443" s="335"/>
      <c r="CN443" s="335"/>
      <c r="CO443" s="335"/>
      <c r="CP443" s="335"/>
      <c r="CQ443" s="335"/>
      <c r="CR443" s="335"/>
      <c r="CS443" s="335"/>
      <c r="CT443" s="335"/>
      <c r="CU443" s="335"/>
      <c r="CV443" s="335"/>
      <c r="CW443" s="335"/>
      <c r="CX443" s="335"/>
      <c r="CY443" s="335"/>
      <c r="CZ443" s="335"/>
      <c r="DA443" s="335"/>
      <c r="DB443" s="335"/>
      <c r="DC443" s="335"/>
      <c r="DD443" s="335"/>
      <c r="DE443" s="335"/>
      <c r="DF443" s="335"/>
      <c r="DG443" s="335"/>
      <c r="DH443" s="335"/>
      <c r="DI443" s="335"/>
      <c r="DJ443" s="335"/>
      <c r="DK443" s="335"/>
      <c r="DL443" s="335"/>
      <c r="DM443" s="335"/>
      <c r="DN443" s="335"/>
      <c r="DO443" s="335"/>
      <c r="DP443" s="335"/>
      <c r="DQ443" s="335"/>
      <c r="DR443" s="335"/>
      <c r="DS443" s="335"/>
      <c r="DT443" s="335"/>
      <c r="DU443" s="335"/>
      <c r="DV443" s="335"/>
      <c r="DW443" s="335"/>
      <c r="DX443" s="335"/>
      <c r="DY443" s="335"/>
      <c r="DZ443" s="335"/>
      <c r="EA443" s="335"/>
      <c r="EB443" s="335"/>
      <c r="EC443" s="335"/>
      <c r="ED443" s="335"/>
      <c r="EE443" s="335"/>
      <c r="EF443" s="335"/>
      <c r="EG443" s="335"/>
      <c r="EH443" s="335"/>
      <c r="EI443" s="335"/>
      <c r="EJ443" s="335"/>
      <c r="EK443" s="335"/>
      <c r="EL443" s="335"/>
      <c r="EM443" s="335"/>
      <c r="EN443" s="335"/>
      <c r="EO443" s="335"/>
      <c r="EP443" s="335"/>
      <c r="EQ443" s="335"/>
      <c r="ER443" s="335"/>
      <c r="ES443" s="335"/>
      <c r="ET443" s="335"/>
      <c r="EU443" s="335"/>
      <c r="EV443" s="335"/>
      <c r="EW443" s="335"/>
      <c r="EX443" s="335"/>
      <c r="EY443" s="335"/>
      <c r="EZ443" s="335"/>
      <c r="FA443" s="335"/>
      <c r="FB443" s="335"/>
      <c r="FC443" s="335"/>
      <c r="FD443" s="335"/>
      <c r="FE443" s="335"/>
      <c r="FF443" s="335"/>
      <c r="FG443" s="335"/>
      <c r="FH443" s="335"/>
      <c r="FI443" s="335"/>
      <c r="FJ443" s="335"/>
      <c r="FK443" s="335"/>
      <c r="FL443" s="335"/>
      <c r="FM443" s="335"/>
      <c r="FN443" s="335"/>
      <c r="FO443" s="335"/>
      <c r="FP443" s="335"/>
      <c r="FQ443" s="335"/>
      <c r="FR443" s="335"/>
      <c r="FS443" s="335"/>
      <c r="FT443" s="335"/>
      <c r="FU443" s="335"/>
      <c r="FV443" s="335"/>
      <c r="FW443" s="335"/>
      <c r="FX443" s="335"/>
      <c r="FY443" s="335"/>
      <c r="FZ443" s="335"/>
      <c r="GA443" s="335"/>
      <c r="GB443" s="335"/>
      <c r="GC443" s="335"/>
      <c r="GD443" s="335"/>
      <c r="GE443" s="335"/>
      <c r="GF443" s="335"/>
      <c r="GG443" s="335"/>
      <c r="GH443" s="335"/>
      <c r="GI443" s="335"/>
      <c r="GJ443" s="335"/>
      <c r="GK443" s="335"/>
      <c r="GL443" s="335"/>
      <c r="GM443" s="335"/>
      <c r="GN443" s="335"/>
      <c r="GO443" s="335"/>
      <c r="GP443" s="335"/>
      <c r="GQ443" s="335"/>
      <c r="GR443" s="335"/>
      <c r="GS443" s="335"/>
      <c r="GT443" s="335"/>
      <c r="GU443" s="335"/>
      <c r="GV443" s="335"/>
      <c r="GW443" s="335"/>
      <c r="GX443" s="335"/>
      <c r="GY443" s="335"/>
      <c r="GZ443" s="335"/>
    </row>
    <row r="444" spans="1:208" ht="15">
      <c r="A444" s="379"/>
      <c r="B444" s="335"/>
      <c r="C444" s="335"/>
      <c r="D444" s="335"/>
      <c r="E444" s="335"/>
      <c r="F444" s="335"/>
      <c r="G444" s="335"/>
      <c r="H444" s="335"/>
      <c r="I444" s="335"/>
      <c r="J444" s="335"/>
      <c r="K444" s="335"/>
      <c r="L444" s="335"/>
      <c r="M444" s="376"/>
      <c r="N444" s="335"/>
      <c r="O444" s="380"/>
      <c r="P444" s="335"/>
      <c r="Q444" s="335"/>
      <c r="R444" s="335"/>
      <c r="S444" s="335"/>
      <c r="T444" s="335"/>
      <c r="U444" s="335"/>
      <c r="V444" s="335"/>
      <c r="W444" s="335"/>
      <c r="X444" s="335"/>
      <c r="Y444" s="335"/>
      <c r="Z444" s="335"/>
      <c r="AA444" s="335"/>
      <c r="AB444" s="335"/>
      <c r="AC444" s="335"/>
      <c r="AD444" s="335"/>
      <c r="AE444" s="335"/>
      <c r="AF444" s="335"/>
      <c r="AG444" s="335"/>
      <c r="AH444" s="335"/>
      <c r="AI444" s="335"/>
      <c r="AJ444" s="335"/>
      <c r="AK444" s="335"/>
      <c r="AL444" s="335"/>
      <c r="AM444" s="335"/>
      <c r="AN444" s="335"/>
      <c r="AO444" s="335"/>
      <c r="AP444" s="335"/>
      <c r="AQ444" s="335"/>
      <c r="AR444" s="335"/>
      <c r="AS444" s="335"/>
      <c r="AT444" s="335"/>
      <c r="AU444" s="335"/>
      <c r="AV444" s="335"/>
      <c r="AW444" s="335"/>
      <c r="AX444" s="335"/>
      <c r="AY444" s="335"/>
      <c r="AZ444" s="335"/>
      <c r="BA444" s="335"/>
      <c r="BB444" s="335"/>
      <c r="BC444" s="335"/>
      <c r="BD444" s="335"/>
      <c r="BE444" s="335"/>
      <c r="BF444" s="335"/>
      <c r="BG444" s="335"/>
      <c r="BH444" s="335"/>
      <c r="BI444" s="335"/>
      <c r="BJ444" s="335"/>
      <c r="BK444" s="335"/>
      <c r="BL444" s="335"/>
      <c r="BM444" s="335"/>
      <c r="BN444" s="335"/>
      <c r="BO444" s="335"/>
      <c r="BP444" s="335"/>
      <c r="BQ444" s="335"/>
      <c r="BR444" s="335"/>
      <c r="BS444" s="335"/>
      <c r="BT444" s="335"/>
      <c r="BU444" s="335"/>
      <c r="BV444" s="335"/>
      <c r="BW444" s="335"/>
      <c r="BX444" s="335"/>
      <c r="BY444" s="335"/>
      <c r="BZ444" s="335"/>
      <c r="CA444" s="335"/>
      <c r="CB444" s="335"/>
      <c r="CC444" s="335"/>
      <c r="CD444" s="335"/>
      <c r="CE444" s="335"/>
      <c r="CF444" s="335"/>
      <c r="CG444" s="335"/>
      <c r="CH444" s="335"/>
      <c r="CI444" s="335"/>
      <c r="CJ444" s="335"/>
      <c r="CK444" s="335"/>
      <c r="CL444" s="335"/>
      <c r="CM444" s="335"/>
      <c r="CN444" s="335"/>
      <c r="CO444" s="335"/>
      <c r="CP444" s="335"/>
      <c r="CQ444" s="335"/>
      <c r="CR444" s="335"/>
      <c r="CS444" s="335"/>
      <c r="CT444" s="335"/>
      <c r="CU444" s="335"/>
      <c r="CV444" s="335"/>
      <c r="CW444" s="335"/>
      <c r="CX444" s="335"/>
      <c r="CY444" s="335"/>
      <c r="CZ444" s="335"/>
      <c r="DA444" s="335"/>
      <c r="DB444" s="335"/>
      <c r="DC444" s="335"/>
      <c r="DD444" s="335"/>
      <c r="DE444" s="335"/>
      <c r="DF444" s="335"/>
      <c r="DG444" s="335"/>
      <c r="DH444" s="335"/>
      <c r="DI444" s="335"/>
      <c r="DJ444" s="335"/>
      <c r="DK444" s="335"/>
      <c r="DL444" s="335"/>
      <c r="DM444" s="335"/>
      <c r="DN444" s="335"/>
      <c r="DO444" s="335"/>
      <c r="DP444" s="335"/>
      <c r="DQ444" s="335"/>
      <c r="DR444" s="335"/>
      <c r="DS444" s="335"/>
      <c r="DT444" s="335"/>
      <c r="DU444" s="335"/>
      <c r="DV444" s="335"/>
      <c r="DW444" s="335"/>
      <c r="DX444" s="335"/>
      <c r="DY444" s="335"/>
      <c r="DZ444" s="335"/>
      <c r="EA444" s="335"/>
      <c r="EB444" s="335"/>
      <c r="EC444" s="335"/>
      <c r="ED444" s="335"/>
      <c r="EE444" s="335"/>
      <c r="EF444" s="335"/>
      <c r="EG444" s="335"/>
      <c r="EH444" s="335"/>
      <c r="EI444" s="335"/>
      <c r="EJ444" s="335"/>
      <c r="EK444" s="335"/>
      <c r="EL444" s="335"/>
      <c r="EM444" s="335"/>
      <c r="EN444" s="335"/>
      <c r="EO444" s="335"/>
      <c r="EP444" s="335"/>
      <c r="EQ444" s="335"/>
      <c r="ER444" s="335"/>
      <c r="ES444" s="335"/>
      <c r="ET444" s="335"/>
      <c r="EU444" s="335"/>
      <c r="EV444" s="335"/>
      <c r="EW444" s="335"/>
      <c r="EX444" s="335"/>
      <c r="EY444" s="335"/>
      <c r="EZ444" s="335"/>
      <c r="FA444" s="335"/>
      <c r="FB444" s="335"/>
      <c r="FC444" s="335"/>
      <c r="FD444" s="335"/>
      <c r="FE444" s="335"/>
      <c r="FF444" s="335"/>
      <c r="FG444" s="335"/>
      <c r="FH444" s="335"/>
      <c r="FI444" s="335"/>
      <c r="FJ444" s="335"/>
      <c r="FK444" s="335"/>
      <c r="FL444" s="335"/>
      <c r="FM444" s="335"/>
      <c r="FN444" s="335"/>
      <c r="FO444" s="335"/>
      <c r="FP444" s="335"/>
      <c r="FQ444" s="335"/>
      <c r="FR444" s="335"/>
      <c r="FS444" s="335"/>
      <c r="FT444" s="335"/>
      <c r="FU444" s="335"/>
      <c r="FV444" s="335"/>
      <c r="FW444" s="335"/>
      <c r="FX444" s="335"/>
      <c r="FY444" s="335"/>
      <c r="FZ444" s="335"/>
      <c r="GA444" s="335"/>
      <c r="GB444" s="335"/>
      <c r="GC444" s="335"/>
      <c r="GD444" s="335"/>
      <c r="GE444" s="335"/>
      <c r="GF444" s="335"/>
      <c r="GG444" s="335"/>
      <c r="GH444" s="335"/>
      <c r="GI444" s="335"/>
      <c r="GJ444" s="335"/>
      <c r="GK444" s="335"/>
      <c r="GL444" s="335"/>
      <c r="GM444" s="335"/>
      <c r="GN444" s="335"/>
      <c r="GO444" s="335"/>
      <c r="GP444" s="335"/>
      <c r="GQ444" s="335"/>
      <c r="GR444" s="335"/>
      <c r="GS444" s="335"/>
      <c r="GT444" s="335"/>
      <c r="GU444" s="335"/>
      <c r="GV444" s="335"/>
      <c r="GW444" s="335"/>
      <c r="GX444" s="335"/>
      <c r="GY444" s="335"/>
      <c r="GZ444" s="335"/>
    </row>
    <row r="445" spans="1:208" ht="15">
      <c r="A445" s="379"/>
      <c r="B445" s="335"/>
      <c r="C445" s="335"/>
      <c r="D445" s="335"/>
      <c r="E445" s="335"/>
      <c r="F445" s="335"/>
      <c r="G445" s="335"/>
      <c r="H445" s="335"/>
      <c r="I445" s="335"/>
      <c r="J445" s="335"/>
      <c r="K445" s="335"/>
      <c r="L445" s="335"/>
      <c r="M445" s="376"/>
      <c r="N445" s="335"/>
      <c r="O445" s="380"/>
      <c r="P445" s="335"/>
      <c r="Q445" s="335"/>
      <c r="R445" s="335"/>
      <c r="S445" s="335"/>
      <c r="T445" s="335"/>
      <c r="U445" s="335"/>
      <c r="V445" s="335"/>
      <c r="W445" s="335"/>
      <c r="X445" s="335"/>
      <c r="Y445" s="335"/>
      <c r="Z445" s="335"/>
      <c r="AA445" s="335"/>
      <c r="AB445" s="335"/>
      <c r="AC445" s="335"/>
      <c r="AD445" s="335"/>
      <c r="AE445" s="335"/>
      <c r="AF445" s="335"/>
      <c r="AG445" s="335"/>
      <c r="AH445" s="335"/>
      <c r="AI445" s="335"/>
      <c r="AJ445" s="335"/>
      <c r="AK445" s="335"/>
      <c r="AL445" s="335"/>
      <c r="AM445" s="335"/>
      <c r="AN445" s="335"/>
      <c r="AO445" s="335"/>
      <c r="AP445" s="335"/>
      <c r="AQ445" s="335"/>
      <c r="AR445" s="335"/>
      <c r="AS445" s="335"/>
      <c r="AT445" s="335"/>
      <c r="AU445" s="335"/>
      <c r="AV445" s="335"/>
      <c r="AW445" s="335"/>
      <c r="AX445" s="335"/>
      <c r="AY445" s="335"/>
      <c r="AZ445" s="335"/>
      <c r="BA445" s="335"/>
      <c r="BB445" s="335"/>
      <c r="BC445" s="335"/>
      <c r="BD445" s="335"/>
      <c r="BE445" s="335"/>
      <c r="BF445" s="335"/>
      <c r="BG445" s="335"/>
      <c r="BH445" s="335"/>
      <c r="BI445" s="335"/>
      <c r="BJ445" s="335"/>
      <c r="BK445" s="335"/>
      <c r="BL445" s="335"/>
      <c r="BM445" s="335"/>
      <c r="BN445" s="335"/>
      <c r="BO445" s="335"/>
      <c r="BP445" s="335"/>
      <c r="BQ445" s="335"/>
      <c r="BR445" s="335"/>
      <c r="BS445" s="335"/>
      <c r="BT445" s="335"/>
      <c r="BU445" s="335"/>
      <c r="BV445" s="335"/>
      <c r="BW445" s="335"/>
      <c r="BX445" s="335"/>
      <c r="BY445" s="335"/>
      <c r="BZ445" s="335"/>
      <c r="CA445" s="335"/>
      <c r="CB445" s="335"/>
      <c r="CC445" s="335"/>
      <c r="CD445" s="335"/>
      <c r="CE445" s="335"/>
      <c r="CF445" s="335"/>
      <c r="CG445" s="335"/>
      <c r="CH445" s="335"/>
      <c r="CI445" s="335"/>
      <c r="CJ445" s="335"/>
      <c r="CK445" s="335"/>
      <c r="CL445" s="335"/>
      <c r="CM445" s="335"/>
      <c r="CN445" s="335"/>
      <c r="CO445" s="335"/>
      <c r="CP445" s="335"/>
      <c r="CQ445" s="335"/>
      <c r="CR445" s="335"/>
      <c r="CS445" s="335"/>
      <c r="CT445" s="335"/>
      <c r="CU445" s="335"/>
      <c r="CV445" s="335"/>
      <c r="CW445" s="335"/>
      <c r="CX445" s="335"/>
      <c r="CY445" s="335"/>
      <c r="CZ445" s="335"/>
      <c r="DA445" s="335"/>
      <c r="DB445" s="335"/>
      <c r="DC445" s="335"/>
      <c r="DD445" s="335"/>
      <c r="DE445" s="335"/>
      <c r="DF445" s="335"/>
      <c r="DG445" s="335"/>
      <c r="DH445" s="335"/>
      <c r="DI445" s="335"/>
      <c r="DJ445" s="335"/>
      <c r="DK445" s="335"/>
      <c r="DL445" s="335"/>
      <c r="DM445" s="335"/>
      <c r="DN445" s="335"/>
      <c r="DO445" s="335"/>
      <c r="DP445" s="335"/>
      <c r="DQ445" s="335"/>
      <c r="DR445" s="335"/>
      <c r="DS445" s="335"/>
      <c r="DT445" s="335"/>
      <c r="DU445" s="335"/>
      <c r="DV445" s="335"/>
      <c r="DW445" s="335"/>
      <c r="DX445" s="335"/>
      <c r="DY445" s="335"/>
      <c r="DZ445" s="335"/>
      <c r="EA445" s="335"/>
      <c r="EB445" s="335"/>
      <c r="EC445" s="335"/>
      <c r="ED445" s="335"/>
      <c r="EE445" s="335"/>
      <c r="EF445" s="335"/>
      <c r="EG445" s="335"/>
      <c r="EH445" s="335"/>
      <c r="EI445" s="335"/>
      <c r="EJ445" s="335"/>
      <c r="EK445" s="335"/>
      <c r="EL445" s="335"/>
      <c r="EM445" s="335"/>
      <c r="EN445" s="335"/>
      <c r="EO445" s="335"/>
      <c r="EP445" s="335"/>
      <c r="EQ445" s="335"/>
      <c r="ER445" s="335"/>
      <c r="ES445" s="335"/>
      <c r="ET445" s="335"/>
      <c r="EU445" s="335"/>
      <c r="EV445" s="335"/>
      <c r="EW445" s="335"/>
      <c r="EX445" s="335"/>
      <c r="EY445" s="335"/>
      <c r="EZ445" s="335"/>
      <c r="FA445" s="335"/>
      <c r="FB445" s="335"/>
      <c r="FC445" s="335"/>
      <c r="FD445" s="335"/>
      <c r="FE445" s="335"/>
      <c r="FF445" s="335"/>
      <c r="FG445" s="335"/>
      <c r="FH445" s="335"/>
      <c r="FI445" s="335"/>
      <c r="FJ445" s="335"/>
      <c r="FK445" s="335"/>
      <c r="FL445" s="335"/>
      <c r="FM445" s="335"/>
      <c r="FN445" s="335"/>
      <c r="FO445" s="335"/>
      <c r="FP445" s="335"/>
      <c r="FQ445" s="335"/>
      <c r="FR445" s="335"/>
      <c r="FS445" s="335"/>
      <c r="FT445" s="335"/>
      <c r="FU445" s="335"/>
      <c r="FV445" s="335"/>
      <c r="FW445" s="335"/>
      <c r="FX445" s="335"/>
      <c r="FY445" s="335"/>
      <c r="FZ445" s="335"/>
      <c r="GA445" s="335"/>
      <c r="GB445" s="335"/>
      <c r="GC445" s="335"/>
      <c r="GD445" s="335"/>
      <c r="GE445" s="335"/>
      <c r="GF445" s="335"/>
      <c r="GG445" s="335"/>
      <c r="GH445" s="335"/>
      <c r="GI445" s="335"/>
      <c r="GJ445" s="335"/>
      <c r="GK445" s="335"/>
      <c r="GL445" s="335"/>
      <c r="GM445" s="335"/>
      <c r="GN445" s="335"/>
      <c r="GO445" s="335"/>
      <c r="GP445" s="335"/>
      <c r="GQ445" s="335"/>
      <c r="GR445" s="335"/>
      <c r="GS445" s="335"/>
      <c r="GT445" s="335"/>
      <c r="GU445" s="335"/>
      <c r="GV445" s="335"/>
      <c r="GW445" s="335"/>
      <c r="GX445" s="335"/>
      <c r="GY445" s="335"/>
      <c r="GZ445" s="335"/>
    </row>
    <row r="446" spans="1:208" ht="15">
      <c r="A446" s="379"/>
      <c r="B446" s="335"/>
      <c r="C446" s="335"/>
      <c r="D446" s="335"/>
      <c r="E446" s="335"/>
      <c r="F446" s="335"/>
      <c r="G446" s="335"/>
      <c r="H446" s="335"/>
      <c r="I446" s="335"/>
      <c r="J446" s="335"/>
      <c r="K446" s="335"/>
      <c r="L446" s="335"/>
      <c r="M446" s="376"/>
      <c r="N446" s="335"/>
      <c r="O446" s="380"/>
      <c r="P446" s="335"/>
      <c r="Q446" s="335"/>
      <c r="R446" s="335"/>
      <c r="S446" s="335"/>
      <c r="T446" s="335"/>
      <c r="U446" s="335"/>
      <c r="V446" s="335"/>
      <c r="W446" s="335"/>
      <c r="X446" s="335"/>
      <c r="Y446" s="335"/>
      <c r="Z446" s="335"/>
      <c r="AA446" s="335"/>
      <c r="AB446" s="335"/>
      <c r="AC446" s="335"/>
      <c r="AD446" s="335"/>
      <c r="AE446" s="335"/>
      <c r="AF446" s="335"/>
      <c r="AG446" s="335"/>
      <c r="AH446" s="335"/>
      <c r="AI446" s="335"/>
      <c r="AJ446" s="335"/>
      <c r="AK446" s="335"/>
      <c r="AL446" s="335"/>
      <c r="AM446" s="335"/>
      <c r="AN446" s="335"/>
      <c r="AO446" s="335"/>
      <c r="AP446" s="335"/>
      <c r="AQ446" s="335"/>
      <c r="AR446" s="335"/>
      <c r="AS446" s="335"/>
      <c r="AT446" s="335"/>
      <c r="AU446" s="335"/>
      <c r="AV446" s="335"/>
      <c r="AW446" s="335"/>
      <c r="AX446" s="335"/>
      <c r="AY446" s="335"/>
      <c r="AZ446" s="335"/>
      <c r="BA446" s="335"/>
      <c r="BB446" s="335"/>
      <c r="BC446" s="335"/>
      <c r="BD446" s="335"/>
      <c r="BE446" s="335"/>
      <c r="BF446" s="335"/>
      <c r="BG446" s="335"/>
      <c r="BH446" s="335"/>
      <c r="BI446" s="335"/>
      <c r="BJ446" s="335"/>
      <c r="BK446" s="335"/>
      <c r="BL446" s="335"/>
      <c r="BM446" s="335"/>
      <c r="BN446" s="335"/>
      <c r="BO446" s="335"/>
      <c r="BP446" s="335"/>
      <c r="BQ446" s="335"/>
      <c r="BR446" s="335"/>
      <c r="BS446" s="335"/>
      <c r="BT446" s="335"/>
      <c r="BU446" s="335"/>
      <c r="BV446" s="335"/>
      <c r="BW446" s="335"/>
      <c r="BX446" s="335"/>
      <c r="BY446" s="335"/>
      <c r="BZ446" s="335"/>
      <c r="CA446" s="335"/>
      <c r="CB446" s="335"/>
      <c r="CC446" s="335"/>
      <c r="CD446" s="335"/>
      <c r="CE446" s="335"/>
      <c r="CF446" s="335"/>
      <c r="CG446" s="335"/>
      <c r="CH446" s="335"/>
      <c r="CI446" s="335"/>
      <c r="CJ446" s="335"/>
      <c r="CK446" s="335"/>
      <c r="CL446" s="335"/>
      <c r="CM446" s="335"/>
      <c r="CN446" s="335"/>
      <c r="CO446" s="335"/>
      <c r="CP446" s="335"/>
      <c r="CQ446" s="335"/>
      <c r="CR446" s="335"/>
      <c r="CS446" s="335"/>
      <c r="CT446" s="335"/>
      <c r="CU446" s="335"/>
      <c r="CV446" s="335"/>
      <c r="CW446" s="335"/>
      <c r="CX446" s="335"/>
      <c r="CY446" s="335"/>
      <c r="CZ446" s="335"/>
      <c r="DA446" s="335"/>
      <c r="DB446" s="335"/>
      <c r="DC446" s="335"/>
      <c r="DD446" s="335"/>
      <c r="DE446" s="335"/>
      <c r="DF446" s="335"/>
      <c r="DG446" s="335"/>
      <c r="DH446" s="335"/>
      <c r="DI446" s="335"/>
      <c r="DJ446" s="335"/>
      <c r="DK446" s="335"/>
      <c r="DL446" s="335"/>
      <c r="DM446" s="335"/>
      <c r="DN446" s="335"/>
      <c r="DO446" s="335"/>
      <c r="DP446" s="335"/>
      <c r="DQ446" s="335"/>
      <c r="DR446" s="335"/>
      <c r="DS446" s="335"/>
      <c r="DT446" s="335"/>
      <c r="DU446" s="335"/>
      <c r="DV446" s="335"/>
      <c r="DW446" s="335"/>
      <c r="DX446" s="335"/>
      <c r="DY446" s="335"/>
      <c r="DZ446" s="335"/>
      <c r="EA446" s="335"/>
      <c r="EB446" s="335"/>
      <c r="EC446" s="335"/>
      <c r="ED446" s="335"/>
      <c r="EE446" s="335"/>
      <c r="EF446" s="335"/>
      <c r="EG446" s="335"/>
      <c r="EH446" s="335"/>
      <c r="EI446" s="335"/>
      <c r="EJ446" s="335"/>
      <c r="EK446" s="335"/>
      <c r="EL446" s="335"/>
      <c r="EM446" s="335"/>
      <c r="EN446" s="335"/>
      <c r="EO446" s="335"/>
      <c r="EP446" s="335"/>
      <c r="EQ446" s="335"/>
      <c r="ER446" s="335"/>
      <c r="ES446" s="335"/>
      <c r="ET446" s="335"/>
      <c r="EU446" s="335"/>
      <c r="EV446" s="335"/>
      <c r="EW446" s="335"/>
      <c r="EX446" s="335"/>
      <c r="EY446" s="335"/>
      <c r="EZ446" s="335"/>
      <c r="FA446" s="335"/>
      <c r="FB446" s="335"/>
      <c r="FC446" s="335"/>
      <c r="FD446" s="335"/>
      <c r="FE446" s="335"/>
      <c r="FF446" s="335"/>
      <c r="FG446" s="335"/>
      <c r="FH446" s="335"/>
      <c r="FI446" s="335"/>
      <c r="FJ446" s="335"/>
      <c r="FK446" s="335"/>
      <c r="FL446" s="335"/>
      <c r="FM446" s="335"/>
      <c r="FN446" s="335"/>
      <c r="FO446" s="335"/>
      <c r="FP446" s="335"/>
      <c r="FQ446" s="335"/>
      <c r="FR446" s="335"/>
      <c r="FS446" s="335"/>
      <c r="FT446" s="335"/>
      <c r="FU446" s="335"/>
      <c r="FV446" s="335"/>
      <c r="FW446" s="335"/>
      <c r="FX446" s="335"/>
      <c r="FY446" s="335"/>
      <c r="FZ446" s="335"/>
      <c r="GA446" s="335"/>
      <c r="GB446" s="335"/>
      <c r="GC446" s="335"/>
      <c r="GD446" s="335"/>
      <c r="GE446" s="335"/>
      <c r="GF446" s="335"/>
      <c r="GG446" s="335"/>
      <c r="GH446" s="335"/>
      <c r="GI446" s="335"/>
      <c r="GJ446" s="335"/>
      <c r="GK446" s="335"/>
      <c r="GL446" s="335"/>
      <c r="GM446" s="335"/>
      <c r="GN446" s="335"/>
      <c r="GO446" s="335"/>
      <c r="GP446" s="335"/>
      <c r="GQ446" s="335"/>
      <c r="GR446" s="335"/>
      <c r="GS446" s="335"/>
      <c r="GT446" s="335"/>
      <c r="GU446" s="335"/>
      <c r="GV446" s="335"/>
      <c r="GW446" s="335"/>
      <c r="GX446" s="335"/>
      <c r="GY446" s="335"/>
      <c r="GZ446" s="335"/>
    </row>
    <row r="447" spans="1:208" ht="15">
      <c r="A447" s="379"/>
      <c r="B447" s="335"/>
      <c r="C447" s="335"/>
      <c r="D447" s="335"/>
      <c r="E447" s="335"/>
      <c r="F447" s="335"/>
      <c r="G447" s="335"/>
      <c r="H447" s="335"/>
      <c r="I447" s="335"/>
      <c r="J447" s="335"/>
      <c r="K447" s="335"/>
      <c r="L447" s="335"/>
      <c r="M447" s="376"/>
      <c r="N447" s="335"/>
      <c r="O447" s="380"/>
      <c r="P447" s="335"/>
      <c r="Q447" s="335"/>
      <c r="R447" s="335"/>
      <c r="S447" s="335"/>
      <c r="T447" s="335"/>
      <c r="U447" s="335"/>
      <c r="V447" s="335"/>
      <c r="W447" s="335"/>
      <c r="X447" s="335"/>
      <c r="Y447" s="335"/>
      <c r="Z447" s="335"/>
      <c r="AA447" s="335"/>
      <c r="AB447" s="335"/>
      <c r="AC447" s="335"/>
      <c r="AD447" s="335"/>
      <c r="AE447" s="335"/>
      <c r="AF447" s="335"/>
      <c r="AG447" s="335"/>
      <c r="AH447" s="335"/>
      <c r="AI447" s="335"/>
      <c r="AJ447" s="335"/>
      <c r="AK447" s="335"/>
      <c r="AL447" s="335"/>
      <c r="AM447" s="335"/>
      <c r="AN447" s="335"/>
      <c r="AO447" s="335"/>
      <c r="AP447" s="335"/>
      <c r="AQ447" s="335"/>
      <c r="AR447" s="335"/>
      <c r="AS447" s="335"/>
      <c r="AT447" s="335"/>
      <c r="AU447" s="335"/>
      <c r="AV447" s="335"/>
      <c r="AW447" s="335"/>
      <c r="AX447" s="335"/>
      <c r="AY447" s="335"/>
      <c r="AZ447" s="335"/>
      <c r="BA447" s="335"/>
      <c r="BB447" s="335"/>
      <c r="BC447" s="335"/>
      <c r="BD447" s="335"/>
      <c r="BE447" s="335"/>
      <c r="BF447" s="335"/>
      <c r="BG447" s="335"/>
      <c r="BH447" s="335"/>
      <c r="BI447" s="335"/>
      <c r="BJ447" s="335"/>
      <c r="BK447" s="335"/>
      <c r="BL447" s="335"/>
      <c r="BM447" s="335"/>
      <c r="BN447" s="335"/>
      <c r="BO447" s="335"/>
      <c r="BP447" s="335"/>
      <c r="BQ447" s="335"/>
      <c r="BR447" s="335"/>
      <c r="BS447" s="335"/>
      <c r="BT447" s="335"/>
      <c r="BU447" s="335"/>
      <c r="BV447" s="335"/>
      <c r="BW447" s="335"/>
      <c r="BX447" s="335"/>
      <c r="BY447" s="335"/>
      <c r="BZ447" s="335"/>
      <c r="CA447" s="335"/>
      <c r="CB447" s="335"/>
      <c r="CC447" s="335"/>
      <c r="CD447" s="335"/>
      <c r="CE447" s="335"/>
      <c r="CF447" s="335"/>
      <c r="CG447" s="335"/>
      <c r="CH447" s="335"/>
      <c r="CI447" s="335"/>
      <c r="CJ447" s="335"/>
      <c r="CK447" s="335"/>
      <c r="CL447" s="335"/>
      <c r="CM447" s="335"/>
      <c r="CN447" s="335"/>
      <c r="CO447" s="335"/>
      <c r="CP447" s="335"/>
      <c r="CQ447" s="335"/>
      <c r="CR447" s="335"/>
      <c r="CS447" s="335"/>
      <c r="CT447" s="335"/>
      <c r="CU447" s="335"/>
      <c r="CV447" s="335"/>
      <c r="CW447" s="335"/>
      <c r="CX447" s="335"/>
      <c r="CY447" s="335"/>
      <c r="CZ447" s="335"/>
      <c r="DA447" s="335"/>
      <c r="DB447" s="335"/>
      <c r="DC447" s="335"/>
      <c r="DD447" s="335"/>
      <c r="DE447" s="335"/>
      <c r="DF447" s="335"/>
      <c r="DG447" s="335"/>
      <c r="DH447" s="335"/>
      <c r="DI447" s="335"/>
      <c r="DJ447" s="335"/>
      <c r="DK447" s="335"/>
      <c r="DL447" s="335"/>
      <c r="DM447" s="335"/>
      <c r="DN447" s="335"/>
      <c r="DO447" s="335"/>
      <c r="DP447" s="335"/>
      <c r="DQ447" s="335"/>
      <c r="DR447" s="335"/>
      <c r="DS447" s="335"/>
      <c r="DT447" s="335"/>
      <c r="DU447" s="335"/>
      <c r="DV447" s="335"/>
      <c r="DW447" s="335"/>
      <c r="DX447" s="335"/>
      <c r="DY447" s="335"/>
      <c r="DZ447" s="335"/>
      <c r="EA447" s="335"/>
      <c r="EB447" s="335"/>
      <c r="EC447" s="335"/>
      <c r="ED447" s="335"/>
      <c r="EE447" s="335"/>
      <c r="EF447" s="335"/>
      <c r="EG447" s="335"/>
      <c r="EH447" s="335"/>
      <c r="EI447" s="335"/>
      <c r="EJ447" s="335"/>
      <c r="EK447" s="335"/>
      <c r="EL447" s="335"/>
      <c r="EM447" s="335"/>
      <c r="EN447" s="335"/>
      <c r="EO447" s="335"/>
      <c r="EP447" s="335"/>
      <c r="EQ447" s="335"/>
      <c r="ER447" s="335"/>
      <c r="ES447" s="335"/>
      <c r="ET447" s="335"/>
      <c r="EU447" s="335"/>
      <c r="EV447" s="335"/>
      <c r="EW447" s="335"/>
      <c r="EX447" s="335"/>
      <c r="EY447" s="335"/>
      <c r="EZ447" s="335"/>
      <c r="FA447" s="335"/>
      <c r="FB447" s="335"/>
      <c r="FC447" s="335"/>
      <c r="FD447" s="335"/>
      <c r="FE447" s="335"/>
      <c r="FF447" s="335"/>
      <c r="FG447" s="335"/>
      <c r="FH447" s="335"/>
      <c r="FI447" s="335"/>
      <c r="FJ447" s="335"/>
      <c r="FK447" s="335"/>
      <c r="FL447" s="335"/>
      <c r="FM447" s="335"/>
      <c r="FN447" s="335"/>
      <c r="FO447" s="335"/>
      <c r="FP447" s="335"/>
      <c r="FQ447" s="335"/>
      <c r="FR447" s="335"/>
      <c r="FS447" s="335"/>
      <c r="FT447" s="335"/>
      <c r="FU447" s="335"/>
      <c r="FV447" s="335"/>
      <c r="FW447" s="335"/>
      <c r="FX447" s="335"/>
      <c r="FY447" s="335"/>
      <c r="FZ447" s="335"/>
      <c r="GA447" s="335"/>
      <c r="GB447" s="335"/>
      <c r="GC447" s="335"/>
      <c r="GD447" s="335"/>
      <c r="GE447" s="335"/>
      <c r="GF447" s="335"/>
      <c r="GG447" s="335"/>
      <c r="GH447" s="335"/>
      <c r="GI447" s="335"/>
      <c r="GJ447" s="335"/>
      <c r="GK447" s="335"/>
      <c r="GL447" s="335"/>
      <c r="GM447" s="335"/>
      <c r="GN447" s="335"/>
      <c r="GO447" s="335"/>
      <c r="GP447" s="335"/>
      <c r="GQ447" s="335"/>
      <c r="GR447" s="335"/>
      <c r="GS447" s="335"/>
      <c r="GT447" s="335"/>
      <c r="GU447" s="335"/>
      <c r="GV447" s="335"/>
      <c r="GW447" s="335"/>
      <c r="GX447" s="335"/>
      <c r="GY447" s="335"/>
      <c r="GZ447" s="335"/>
    </row>
    <row r="448" spans="1:208" ht="15">
      <c r="A448" s="379"/>
      <c r="B448" s="335"/>
      <c r="C448" s="335"/>
      <c r="D448" s="335"/>
      <c r="E448" s="335"/>
      <c r="F448" s="335"/>
      <c r="G448" s="335"/>
      <c r="H448" s="335"/>
      <c r="I448" s="335"/>
      <c r="J448" s="335"/>
      <c r="K448" s="335"/>
      <c r="L448" s="335"/>
      <c r="M448" s="376"/>
      <c r="N448" s="335"/>
      <c r="O448" s="380"/>
      <c r="P448" s="335"/>
      <c r="Q448" s="335"/>
      <c r="R448" s="335"/>
      <c r="S448" s="335"/>
      <c r="T448" s="335"/>
      <c r="U448" s="335"/>
      <c r="V448" s="335"/>
      <c r="W448" s="335"/>
      <c r="X448" s="335"/>
      <c r="Y448" s="335"/>
      <c r="Z448" s="335"/>
      <c r="AA448" s="335"/>
      <c r="AB448" s="335"/>
      <c r="AC448" s="335"/>
      <c r="AD448" s="335"/>
      <c r="AE448" s="335"/>
      <c r="AF448" s="335"/>
      <c r="AG448" s="335"/>
      <c r="AH448" s="335"/>
      <c r="AI448" s="335"/>
      <c r="AJ448" s="335"/>
      <c r="AK448" s="335"/>
      <c r="AL448" s="335"/>
      <c r="AM448" s="335"/>
      <c r="AN448" s="335"/>
      <c r="AO448" s="335"/>
      <c r="AP448" s="335"/>
      <c r="AQ448" s="335"/>
      <c r="AR448" s="335"/>
      <c r="AS448" s="335"/>
      <c r="AT448" s="335"/>
      <c r="AU448" s="335"/>
      <c r="AV448" s="335"/>
      <c r="AW448" s="335"/>
      <c r="AX448" s="335"/>
      <c r="AY448" s="335"/>
      <c r="AZ448" s="335"/>
      <c r="BA448" s="335"/>
      <c r="BB448" s="335"/>
      <c r="BC448" s="335"/>
      <c r="BD448" s="335"/>
      <c r="BE448" s="335"/>
      <c r="BF448" s="335"/>
      <c r="BG448" s="335"/>
      <c r="BH448" s="335"/>
      <c r="BI448" s="335"/>
      <c r="BJ448" s="335"/>
      <c r="BK448" s="335"/>
      <c r="BL448" s="335"/>
      <c r="BM448" s="335"/>
      <c r="BN448" s="335"/>
      <c r="BO448" s="335"/>
      <c r="BP448" s="335"/>
      <c r="BQ448" s="335"/>
      <c r="BR448" s="335"/>
      <c r="BS448" s="335"/>
      <c r="BT448" s="335"/>
      <c r="BU448" s="335"/>
      <c r="BV448" s="335"/>
      <c r="BW448" s="335"/>
      <c r="BX448" s="335"/>
      <c r="BY448" s="335"/>
      <c r="BZ448" s="335"/>
      <c r="CA448" s="335"/>
      <c r="CB448" s="335"/>
      <c r="CC448" s="335"/>
      <c r="CD448" s="335"/>
      <c r="CE448" s="335"/>
      <c r="CF448" s="335"/>
      <c r="CG448" s="335"/>
      <c r="CH448" s="335"/>
      <c r="CI448" s="335"/>
      <c r="CJ448" s="335"/>
      <c r="CK448" s="335"/>
      <c r="CL448" s="335"/>
      <c r="CM448" s="335"/>
      <c r="CN448" s="335"/>
      <c r="CO448" s="335"/>
      <c r="CP448" s="335"/>
      <c r="CQ448" s="335"/>
      <c r="CR448" s="335"/>
      <c r="CS448" s="335"/>
      <c r="CT448" s="335"/>
      <c r="CU448" s="335"/>
      <c r="CV448" s="335"/>
      <c r="CW448" s="335"/>
      <c r="CX448" s="335"/>
      <c r="CY448" s="335"/>
      <c r="CZ448" s="335"/>
      <c r="DA448" s="335"/>
      <c r="DB448" s="335"/>
      <c r="DC448" s="335"/>
      <c r="DD448" s="335"/>
      <c r="DE448" s="335"/>
      <c r="DF448" s="335"/>
      <c r="DG448" s="335"/>
      <c r="DH448" s="335"/>
      <c r="DI448" s="335"/>
      <c r="DJ448" s="335"/>
      <c r="DK448" s="335"/>
      <c r="DL448" s="335"/>
      <c r="DM448" s="335"/>
      <c r="DN448" s="335"/>
      <c r="DO448" s="335"/>
      <c r="DP448" s="335"/>
      <c r="DQ448" s="335"/>
      <c r="DR448" s="335"/>
      <c r="DS448" s="335"/>
      <c r="DT448" s="335"/>
      <c r="DU448" s="335"/>
      <c r="DV448" s="335"/>
      <c r="DW448" s="335"/>
      <c r="DX448" s="335"/>
      <c r="DY448" s="335"/>
      <c r="DZ448" s="335"/>
      <c r="EA448" s="335"/>
      <c r="EB448" s="335"/>
      <c r="EC448" s="335"/>
      <c r="ED448" s="335"/>
      <c r="EE448" s="335"/>
      <c r="EF448" s="335"/>
      <c r="EG448" s="335"/>
      <c r="EH448" s="335"/>
      <c r="EI448" s="335"/>
      <c r="EJ448" s="335"/>
      <c r="EK448" s="335"/>
      <c r="EL448" s="335"/>
      <c r="EM448" s="335"/>
      <c r="EN448" s="335"/>
      <c r="EO448" s="335"/>
      <c r="EP448" s="335"/>
      <c r="EQ448" s="335"/>
      <c r="ER448" s="335"/>
      <c r="ES448" s="335"/>
      <c r="ET448" s="335"/>
      <c r="EU448" s="335"/>
      <c r="EV448" s="335"/>
      <c r="EW448" s="335"/>
      <c r="EX448" s="335"/>
      <c r="EY448" s="335"/>
      <c r="EZ448" s="335"/>
      <c r="FA448" s="335"/>
      <c r="FB448" s="335"/>
      <c r="FC448" s="335"/>
      <c r="FD448" s="335"/>
      <c r="FE448" s="335"/>
      <c r="FF448" s="335"/>
      <c r="FG448" s="335"/>
      <c r="FH448" s="335"/>
      <c r="FI448" s="335"/>
      <c r="FJ448" s="335"/>
      <c r="FK448" s="335"/>
      <c r="FL448" s="335"/>
      <c r="FM448" s="335"/>
      <c r="FN448" s="335"/>
      <c r="FO448" s="335"/>
      <c r="FP448" s="335"/>
      <c r="FQ448" s="335"/>
      <c r="FR448" s="335"/>
      <c r="FS448" s="335"/>
      <c r="FT448" s="335"/>
      <c r="FU448" s="335"/>
      <c r="FV448" s="335"/>
      <c r="FW448" s="335"/>
      <c r="FX448" s="335"/>
      <c r="FY448" s="335"/>
      <c r="FZ448" s="335"/>
      <c r="GA448" s="335"/>
      <c r="GB448" s="335"/>
      <c r="GC448" s="335"/>
      <c r="GD448" s="335"/>
      <c r="GE448" s="335"/>
      <c r="GF448" s="335"/>
      <c r="GG448" s="335"/>
      <c r="GH448" s="335"/>
      <c r="GI448" s="335"/>
      <c r="GJ448" s="335"/>
      <c r="GK448" s="335"/>
      <c r="GL448" s="335"/>
      <c r="GM448" s="335"/>
      <c r="GN448" s="335"/>
      <c r="GO448" s="335"/>
      <c r="GP448" s="335"/>
      <c r="GQ448" s="335"/>
      <c r="GR448" s="335"/>
      <c r="GS448" s="335"/>
      <c r="GT448" s="335"/>
      <c r="GU448" s="335"/>
      <c r="GV448" s="335"/>
      <c r="GW448" s="335"/>
      <c r="GX448" s="335"/>
      <c r="GY448" s="335"/>
      <c r="GZ448" s="335"/>
    </row>
    <row r="449" spans="1:208" ht="15">
      <c r="A449" s="379"/>
      <c r="B449" s="335"/>
      <c r="C449" s="335"/>
      <c r="D449" s="335"/>
      <c r="E449" s="335"/>
      <c r="F449" s="335"/>
      <c r="G449" s="335"/>
      <c r="H449" s="335"/>
      <c r="I449" s="335"/>
      <c r="J449" s="335"/>
      <c r="K449" s="335"/>
      <c r="L449" s="335"/>
      <c r="M449" s="376"/>
      <c r="N449" s="335"/>
      <c r="O449" s="380"/>
      <c r="P449" s="335"/>
      <c r="Q449" s="335"/>
      <c r="R449" s="335"/>
      <c r="S449" s="335"/>
      <c r="T449" s="335"/>
      <c r="U449" s="335"/>
      <c r="V449" s="335"/>
      <c r="W449" s="335"/>
      <c r="X449" s="335"/>
      <c r="Y449" s="335"/>
      <c r="Z449" s="335"/>
      <c r="AA449" s="335"/>
      <c r="AB449" s="335"/>
      <c r="AC449" s="335"/>
      <c r="AD449" s="335"/>
      <c r="AE449" s="335"/>
      <c r="AF449" s="335"/>
      <c r="AG449" s="335"/>
      <c r="AH449" s="335"/>
      <c r="AI449" s="335"/>
      <c r="AJ449" s="335"/>
      <c r="AK449" s="335"/>
      <c r="AL449" s="335"/>
      <c r="AM449" s="335"/>
      <c r="AN449" s="335"/>
      <c r="AO449" s="335"/>
      <c r="AP449" s="335"/>
      <c r="AQ449" s="335"/>
      <c r="AR449" s="335"/>
      <c r="AS449" s="335"/>
      <c r="AT449" s="335"/>
      <c r="AU449" s="335"/>
      <c r="AV449" s="335"/>
      <c r="AW449" s="335"/>
      <c r="AX449" s="335"/>
      <c r="AY449" s="335"/>
      <c r="AZ449" s="335"/>
      <c r="BA449" s="335"/>
      <c r="BB449" s="335"/>
      <c r="BC449" s="335"/>
      <c r="BD449" s="335"/>
      <c r="BE449" s="335"/>
      <c r="BF449" s="335"/>
      <c r="BG449" s="335"/>
      <c r="BH449" s="335"/>
      <c r="BI449" s="335"/>
      <c r="BJ449" s="335"/>
      <c r="BK449" s="335"/>
      <c r="BL449" s="335"/>
      <c r="BM449" s="335"/>
      <c r="BN449" s="335"/>
      <c r="BO449" s="335"/>
      <c r="BP449" s="335"/>
      <c r="BQ449" s="335"/>
      <c r="BR449" s="335"/>
      <c r="BS449" s="335"/>
      <c r="BT449" s="335"/>
      <c r="BU449" s="335"/>
      <c r="BV449" s="335"/>
      <c r="BW449" s="335"/>
      <c r="BX449" s="335"/>
      <c r="BY449" s="335"/>
      <c r="BZ449" s="335"/>
      <c r="CA449" s="335"/>
      <c r="CB449" s="335"/>
      <c r="CC449" s="335"/>
      <c r="CD449" s="335"/>
      <c r="CE449" s="335"/>
      <c r="CF449" s="335"/>
      <c r="CG449" s="335"/>
      <c r="CH449" s="335"/>
      <c r="CI449" s="335"/>
      <c r="CJ449" s="335"/>
      <c r="CK449" s="335"/>
      <c r="CL449" s="335"/>
      <c r="CM449" s="335"/>
      <c r="CN449" s="335"/>
      <c r="CO449" s="335"/>
      <c r="CP449" s="335"/>
      <c r="CQ449" s="335"/>
      <c r="CR449" s="335"/>
      <c r="CS449" s="335"/>
      <c r="CT449" s="335"/>
      <c r="CU449" s="335"/>
      <c r="CV449" s="335"/>
      <c r="CW449" s="335"/>
      <c r="CX449" s="335"/>
      <c r="CY449" s="335"/>
      <c r="CZ449" s="335"/>
      <c r="DA449" s="335"/>
      <c r="DB449" s="335"/>
      <c r="DC449" s="335"/>
      <c r="DD449" s="335"/>
      <c r="DE449" s="335"/>
      <c r="DF449" s="335"/>
      <c r="DG449" s="335"/>
      <c r="DH449" s="335"/>
      <c r="DI449" s="335"/>
      <c r="DJ449" s="335"/>
      <c r="DK449" s="335"/>
      <c r="DL449" s="335"/>
      <c r="DM449" s="335"/>
      <c r="DN449" s="335"/>
      <c r="DO449" s="335"/>
      <c r="DP449" s="335"/>
      <c r="DQ449" s="335"/>
      <c r="DR449" s="335"/>
      <c r="DS449" s="335"/>
      <c r="DT449" s="335"/>
      <c r="DU449" s="335"/>
      <c r="DV449" s="335"/>
      <c r="DW449" s="335"/>
      <c r="DX449" s="335"/>
      <c r="DY449" s="335"/>
      <c r="DZ449" s="335"/>
      <c r="EA449" s="335"/>
      <c r="EB449" s="335"/>
      <c r="EC449" s="335"/>
      <c r="ED449" s="335"/>
      <c r="EE449" s="335"/>
      <c r="EF449" s="335"/>
      <c r="EG449" s="335"/>
      <c r="EH449" s="335"/>
      <c r="EI449" s="335"/>
      <c r="EJ449" s="335"/>
      <c r="EK449" s="335"/>
      <c r="EL449" s="335"/>
      <c r="EM449" s="335"/>
      <c r="EN449" s="335"/>
      <c r="EO449" s="335"/>
      <c r="EP449" s="335"/>
      <c r="EQ449" s="335"/>
      <c r="ER449" s="335"/>
      <c r="ES449" s="335"/>
      <c r="ET449" s="335"/>
      <c r="EU449" s="335"/>
      <c r="EV449" s="335"/>
      <c r="EW449" s="335"/>
      <c r="EX449" s="335"/>
      <c r="EY449" s="335"/>
      <c r="EZ449" s="335"/>
      <c r="FA449" s="335"/>
      <c r="FB449" s="335"/>
      <c r="FC449" s="335"/>
      <c r="FD449" s="335"/>
      <c r="FE449" s="335"/>
      <c r="FF449" s="335"/>
      <c r="FG449" s="335"/>
      <c r="FH449" s="335"/>
      <c r="FI449" s="335"/>
      <c r="FJ449" s="335"/>
      <c r="FK449" s="335"/>
      <c r="FL449" s="335"/>
      <c r="FM449" s="335"/>
      <c r="FN449" s="335"/>
      <c r="FO449" s="335"/>
      <c r="FP449" s="335"/>
      <c r="FQ449" s="335"/>
      <c r="FR449" s="335"/>
      <c r="FS449" s="335"/>
      <c r="FT449" s="335"/>
      <c r="FU449" s="335"/>
      <c r="FV449" s="335"/>
      <c r="FW449" s="335"/>
      <c r="FX449" s="335"/>
      <c r="FY449" s="335"/>
      <c r="FZ449" s="335"/>
      <c r="GA449" s="335"/>
      <c r="GB449" s="335"/>
      <c r="GC449" s="335"/>
      <c r="GD449" s="335"/>
      <c r="GE449" s="335"/>
      <c r="GF449" s="335"/>
      <c r="GG449" s="335"/>
      <c r="GH449" s="335"/>
      <c r="GI449" s="335"/>
      <c r="GJ449" s="335"/>
      <c r="GK449" s="335"/>
      <c r="GL449" s="335"/>
      <c r="GM449" s="335"/>
      <c r="GN449" s="335"/>
      <c r="GO449" s="335"/>
      <c r="GP449" s="335"/>
      <c r="GQ449" s="335"/>
      <c r="GR449" s="335"/>
      <c r="GS449" s="335"/>
      <c r="GT449" s="335"/>
      <c r="GU449" s="335"/>
      <c r="GV449" s="335"/>
      <c r="GW449" s="335"/>
      <c r="GX449" s="335"/>
      <c r="GY449" s="335"/>
      <c r="GZ449" s="335"/>
    </row>
    <row r="450" spans="1:208" ht="15">
      <c r="A450" s="379"/>
      <c r="B450" s="335"/>
      <c r="C450" s="335"/>
      <c r="D450" s="335"/>
      <c r="E450" s="335"/>
      <c r="F450" s="335"/>
      <c r="G450" s="335"/>
      <c r="H450" s="335"/>
      <c r="I450" s="335"/>
      <c r="J450" s="335"/>
      <c r="K450" s="335"/>
      <c r="L450" s="335"/>
      <c r="M450" s="376"/>
      <c r="N450" s="335"/>
      <c r="O450" s="380"/>
      <c r="P450" s="335"/>
      <c r="Q450" s="335"/>
      <c r="R450" s="335"/>
      <c r="S450" s="335"/>
      <c r="T450" s="335"/>
      <c r="U450" s="335"/>
      <c r="V450" s="335"/>
      <c r="W450" s="335"/>
      <c r="X450" s="335"/>
      <c r="Y450" s="335"/>
      <c r="Z450" s="335"/>
      <c r="AA450" s="335"/>
      <c r="AB450" s="335"/>
      <c r="AC450" s="335"/>
      <c r="AD450" s="335"/>
      <c r="AE450" s="335"/>
      <c r="AF450" s="335"/>
      <c r="AG450" s="335"/>
      <c r="AH450" s="335"/>
      <c r="AI450" s="335"/>
      <c r="AJ450" s="335"/>
      <c r="AK450" s="335"/>
      <c r="AL450" s="335"/>
      <c r="AM450" s="335"/>
      <c r="AN450" s="335"/>
      <c r="AO450" s="335"/>
      <c r="AP450" s="335"/>
      <c r="AQ450" s="335"/>
      <c r="AR450" s="335"/>
      <c r="AS450" s="335"/>
      <c r="AT450" s="335"/>
      <c r="AU450" s="335"/>
      <c r="AV450" s="335"/>
      <c r="AW450" s="335"/>
      <c r="AX450" s="335"/>
      <c r="AY450" s="335"/>
      <c r="AZ450" s="335"/>
      <c r="BA450" s="335"/>
      <c r="BB450" s="335"/>
      <c r="BC450" s="335"/>
      <c r="BD450" s="335"/>
      <c r="BE450" s="335"/>
      <c r="BF450" s="335"/>
      <c r="BG450" s="335"/>
      <c r="BH450" s="335"/>
      <c r="BI450" s="335"/>
      <c r="BJ450" s="335"/>
      <c r="BK450" s="335"/>
      <c r="BL450" s="335"/>
      <c r="BM450" s="335"/>
      <c r="BN450" s="335"/>
      <c r="BO450" s="335"/>
      <c r="BP450" s="335"/>
      <c r="BQ450" s="335"/>
      <c r="BR450" s="335"/>
      <c r="BS450" s="335"/>
      <c r="BT450" s="335"/>
      <c r="BU450" s="335"/>
      <c r="BV450" s="335"/>
      <c r="BW450" s="335"/>
      <c r="BX450" s="335"/>
      <c r="BY450" s="335"/>
      <c r="BZ450" s="335"/>
      <c r="CA450" s="335"/>
      <c r="CB450" s="335"/>
      <c r="CC450" s="335"/>
      <c r="CD450" s="335"/>
      <c r="CE450" s="335"/>
      <c r="CF450" s="335"/>
      <c r="CG450" s="335"/>
      <c r="CH450" s="335"/>
      <c r="CI450" s="335"/>
      <c r="CJ450" s="335"/>
      <c r="CK450" s="335"/>
      <c r="CL450" s="335"/>
      <c r="CM450" s="335"/>
      <c r="CN450" s="335"/>
      <c r="CO450" s="335"/>
      <c r="CP450" s="335"/>
      <c r="CQ450" s="335"/>
      <c r="CR450" s="335"/>
      <c r="CS450" s="335"/>
      <c r="CT450" s="335"/>
      <c r="CU450" s="335"/>
      <c r="CV450" s="335"/>
      <c r="CW450" s="335"/>
      <c r="CX450" s="335"/>
      <c r="CY450" s="335"/>
      <c r="CZ450" s="335"/>
      <c r="DA450" s="335"/>
      <c r="DB450" s="335"/>
      <c r="DC450" s="335"/>
      <c r="DD450" s="335"/>
      <c r="DE450" s="335"/>
      <c r="DF450" s="335"/>
      <c r="DG450" s="335"/>
      <c r="DH450" s="335"/>
      <c r="DI450" s="335"/>
      <c r="DJ450" s="335"/>
      <c r="DK450" s="335"/>
      <c r="DL450" s="335"/>
      <c r="DM450" s="335"/>
      <c r="DN450" s="335"/>
      <c r="DO450" s="335"/>
      <c r="DP450" s="335"/>
      <c r="DQ450" s="335"/>
      <c r="DR450" s="335"/>
      <c r="DS450" s="335"/>
      <c r="DT450" s="335"/>
      <c r="DU450" s="335"/>
      <c r="DV450" s="335"/>
      <c r="DW450" s="335"/>
      <c r="DX450" s="335"/>
      <c r="DY450" s="335"/>
      <c r="DZ450" s="335"/>
      <c r="EA450" s="335"/>
      <c r="EB450" s="335"/>
      <c r="EC450" s="335"/>
      <c r="ED450" s="335"/>
      <c r="EE450" s="335"/>
      <c r="EF450" s="335"/>
      <c r="EG450" s="335"/>
      <c r="EH450" s="335"/>
      <c r="EI450" s="335"/>
      <c r="EJ450" s="335"/>
      <c r="EK450" s="335"/>
      <c r="EL450" s="335"/>
      <c r="EM450" s="335"/>
      <c r="EN450" s="335"/>
      <c r="EO450" s="335"/>
      <c r="EP450" s="335"/>
      <c r="EQ450" s="335"/>
      <c r="ER450" s="335"/>
      <c r="ES450" s="335"/>
      <c r="ET450" s="335"/>
      <c r="EU450" s="335"/>
      <c r="EV450" s="335"/>
      <c r="EW450" s="335"/>
      <c r="EX450" s="335"/>
      <c r="EY450" s="335"/>
      <c r="EZ450" s="335"/>
      <c r="FA450" s="335"/>
      <c r="FB450" s="335"/>
      <c r="FC450" s="335"/>
      <c r="FD450" s="335"/>
      <c r="FE450" s="335"/>
      <c r="FF450" s="335"/>
      <c r="FG450" s="335"/>
      <c r="FH450" s="335"/>
      <c r="FI450" s="335"/>
      <c r="FJ450" s="335"/>
      <c r="FK450" s="335"/>
      <c r="FL450" s="335"/>
      <c r="FM450" s="335"/>
      <c r="FN450" s="335"/>
      <c r="FO450" s="335"/>
      <c r="FP450" s="335"/>
      <c r="FQ450" s="335"/>
      <c r="FR450" s="335"/>
      <c r="FS450" s="335"/>
      <c r="FT450" s="335"/>
      <c r="FU450" s="335"/>
      <c r="FV450" s="335"/>
      <c r="FW450" s="335"/>
      <c r="FX450" s="335"/>
      <c r="FY450" s="335"/>
      <c r="FZ450" s="335"/>
      <c r="GA450" s="335"/>
      <c r="GB450" s="335"/>
      <c r="GC450" s="335"/>
      <c r="GD450" s="335"/>
      <c r="GE450" s="335"/>
      <c r="GF450" s="335"/>
      <c r="GG450" s="335"/>
      <c r="GH450" s="335"/>
      <c r="GI450" s="335"/>
      <c r="GJ450" s="335"/>
      <c r="GK450" s="335"/>
      <c r="GL450" s="335"/>
      <c r="GM450" s="335"/>
      <c r="GN450" s="335"/>
      <c r="GO450" s="335"/>
      <c r="GP450" s="335"/>
      <c r="GQ450" s="335"/>
      <c r="GR450" s="335"/>
      <c r="GS450" s="335"/>
      <c r="GT450" s="335"/>
      <c r="GU450" s="335"/>
      <c r="GV450" s="335"/>
      <c r="GW450" s="335"/>
      <c r="GX450" s="335"/>
      <c r="GY450" s="335"/>
      <c r="GZ450" s="335"/>
    </row>
    <row r="451" spans="1:208" ht="15">
      <c r="A451" s="379"/>
      <c r="B451" s="335"/>
      <c r="C451" s="335"/>
      <c r="D451" s="335"/>
      <c r="E451" s="335"/>
      <c r="F451" s="335"/>
      <c r="G451" s="335"/>
      <c r="H451" s="335"/>
      <c r="I451" s="335"/>
      <c r="J451" s="335"/>
      <c r="K451" s="335"/>
      <c r="L451" s="335"/>
      <c r="M451" s="376"/>
      <c r="N451" s="335"/>
      <c r="O451" s="380"/>
      <c r="P451" s="335"/>
      <c r="Q451" s="335"/>
      <c r="R451" s="335"/>
      <c r="S451" s="335"/>
      <c r="T451" s="335"/>
      <c r="U451" s="335"/>
      <c r="V451" s="335"/>
      <c r="W451" s="335"/>
      <c r="X451" s="335"/>
      <c r="Y451" s="335"/>
      <c r="Z451" s="335"/>
      <c r="AA451" s="335"/>
      <c r="AB451" s="335"/>
      <c r="AC451" s="335"/>
      <c r="AD451" s="335"/>
      <c r="AE451" s="335"/>
      <c r="AF451" s="335"/>
      <c r="AG451" s="335"/>
      <c r="AH451" s="335"/>
      <c r="AI451" s="335"/>
      <c r="AJ451" s="335"/>
      <c r="AK451" s="335"/>
      <c r="AL451" s="335"/>
      <c r="AM451" s="335"/>
      <c r="AN451" s="335"/>
      <c r="AO451" s="335"/>
      <c r="AP451" s="335"/>
      <c r="AQ451" s="335"/>
      <c r="AR451" s="335"/>
      <c r="AS451" s="335"/>
      <c r="AT451" s="335"/>
      <c r="AU451" s="335"/>
      <c r="AV451" s="335"/>
      <c r="AW451" s="335"/>
      <c r="AX451" s="335"/>
      <c r="AY451" s="335"/>
      <c r="AZ451" s="335"/>
      <c r="BA451" s="335"/>
      <c r="BB451" s="335"/>
      <c r="BC451" s="335"/>
      <c r="BD451" s="335"/>
      <c r="BE451" s="335"/>
      <c r="BF451" s="335"/>
      <c r="BG451" s="335"/>
      <c r="BH451" s="335"/>
      <c r="BI451" s="335"/>
      <c r="BJ451" s="335"/>
      <c r="BK451" s="335"/>
      <c r="BL451" s="335"/>
      <c r="BM451" s="335"/>
      <c r="BN451" s="335"/>
      <c r="BO451" s="335"/>
      <c r="BP451" s="335"/>
      <c r="BQ451" s="335"/>
      <c r="BR451" s="335"/>
      <c r="BS451" s="335"/>
      <c r="BT451" s="335"/>
      <c r="BU451" s="335"/>
      <c r="BV451" s="335"/>
      <c r="BW451" s="335"/>
      <c r="BX451" s="335"/>
      <c r="BY451" s="335"/>
      <c r="BZ451" s="335"/>
      <c r="CA451" s="335"/>
      <c r="CB451" s="335"/>
      <c r="CC451" s="335"/>
      <c r="CD451" s="335"/>
      <c r="CE451" s="335"/>
      <c r="CF451" s="335"/>
      <c r="CG451" s="335"/>
      <c r="CH451" s="335"/>
      <c r="CI451" s="335"/>
      <c r="CJ451" s="335"/>
      <c r="CK451" s="335"/>
      <c r="CL451" s="335"/>
      <c r="CM451" s="335"/>
      <c r="CN451" s="335"/>
      <c r="CO451" s="335"/>
      <c r="CP451" s="335"/>
      <c r="CQ451" s="335"/>
      <c r="CR451" s="335"/>
      <c r="CS451" s="335"/>
      <c r="CT451" s="335"/>
      <c r="CU451" s="335"/>
      <c r="CV451" s="335"/>
      <c r="CW451" s="335"/>
      <c r="CX451" s="335"/>
      <c r="CY451" s="335"/>
      <c r="CZ451" s="335"/>
      <c r="DA451" s="335"/>
      <c r="DB451" s="335"/>
      <c r="DC451" s="335"/>
      <c r="DD451" s="335"/>
      <c r="DE451" s="335"/>
      <c r="DF451" s="335"/>
      <c r="DG451" s="335"/>
      <c r="DH451" s="335"/>
      <c r="DI451" s="335"/>
      <c r="DJ451" s="335"/>
      <c r="DK451" s="335"/>
      <c r="DL451" s="335"/>
      <c r="DM451" s="335"/>
      <c r="DN451" s="335"/>
      <c r="DO451" s="335"/>
      <c r="DP451" s="335"/>
      <c r="DQ451" s="335"/>
      <c r="DR451" s="335"/>
      <c r="DS451" s="335"/>
      <c r="DT451" s="335"/>
      <c r="DU451" s="335"/>
      <c r="DV451" s="335"/>
      <c r="DW451" s="335"/>
      <c r="DX451" s="335"/>
      <c r="DY451" s="335"/>
      <c r="DZ451" s="335"/>
      <c r="EA451" s="335"/>
      <c r="EB451" s="335"/>
      <c r="EC451" s="335"/>
      <c r="ED451" s="335"/>
      <c r="EE451" s="335"/>
      <c r="EF451" s="335"/>
      <c r="EG451" s="335"/>
      <c r="EH451" s="335"/>
      <c r="EI451" s="335"/>
      <c r="EJ451" s="335"/>
      <c r="EK451" s="335"/>
      <c r="EL451" s="335"/>
      <c r="EM451" s="335"/>
      <c r="EN451" s="335"/>
      <c r="EO451" s="335"/>
      <c r="EP451" s="335"/>
      <c r="EQ451" s="335"/>
      <c r="ER451" s="335"/>
      <c r="ES451" s="335"/>
      <c r="ET451" s="335"/>
      <c r="EU451" s="335"/>
      <c r="EV451" s="335"/>
      <c r="EW451" s="335"/>
      <c r="EX451" s="335"/>
      <c r="EY451" s="335"/>
      <c r="EZ451" s="335"/>
      <c r="FA451" s="335"/>
      <c r="FB451" s="335"/>
      <c r="FC451" s="335"/>
      <c r="FD451" s="335"/>
      <c r="FE451" s="335"/>
      <c r="FF451" s="335"/>
      <c r="FG451" s="335"/>
      <c r="FH451" s="335"/>
      <c r="FI451" s="335"/>
      <c r="FJ451" s="335"/>
      <c r="FK451" s="335"/>
      <c r="FL451" s="335"/>
      <c r="FM451" s="335"/>
      <c r="FN451" s="335"/>
      <c r="FO451" s="335"/>
      <c r="FP451" s="335"/>
      <c r="FQ451" s="335"/>
      <c r="FR451" s="335"/>
      <c r="FS451" s="335"/>
      <c r="FT451" s="335"/>
      <c r="FU451" s="335"/>
      <c r="FV451" s="335"/>
      <c r="FW451" s="335"/>
      <c r="FX451" s="335"/>
      <c r="FY451" s="335"/>
      <c r="FZ451" s="335"/>
      <c r="GA451" s="335"/>
      <c r="GB451" s="335"/>
      <c r="GC451" s="335"/>
      <c r="GD451" s="335"/>
      <c r="GE451" s="335"/>
      <c r="GF451" s="335"/>
      <c r="GG451" s="335"/>
      <c r="GH451" s="335"/>
      <c r="GI451" s="335"/>
      <c r="GJ451" s="335"/>
      <c r="GK451" s="335"/>
      <c r="GL451" s="335"/>
      <c r="GM451" s="335"/>
      <c r="GN451" s="335"/>
      <c r="GO451" s="335"/>
      <c r="GP451" s="335"/>
      <c r="GQ451" s="335"/>
      <c r="GR451" s="335"/>
      <c r="GS451" s="335"/>
      <c r="GT451" s="335"/>
      <c r="GU451" s="335"/>
      <c r="GV451" s="335"/>
      <c r="GW451" s="335"/>
      <c r="GX451" s="335"/>
      <c r="GY451" s="335"/>
      <c r="GZ451" s="335"/>
    </row>
    <row r="452" spans="1:208" ht="15">
      <c r="A452" s="379"/>
      <c r="B452" s="335"/>
      <c r="C452" s="335"/>
      <c r="D452" s="335"/>
      <c r="E452" s="335"/>
      <c r="F452" s="335"/>
      <c r="G452" s="335"/>
      <c r="H452" s="335"/>
      <c r="I452" s="335"/>
      <c r="J452" s="335"/>
      <c r="K452" s="335"/>
      <c r="L452" s="335"/>
      <c r="M452" s="376"/>
      <c r="N452" s="335"/>
      <c r="O452" s="380"/>
      <c r="P452" s="335"/>
      <c r="Q452" s="335"/>
      <c r="R452" s="335"/>
      <c r="S452" s="335"/>
      <c r="T452" s="335"/>
      <c r="U452" s="335"/>
      <c r="V452" s="335"/>
      <c r="W452" s="335"/>
      <c r="X452" s="335"/>
      <c r="Y452" s="335"/>
      <c r="Z452" s="335"/>
      <c r="AA452" s="335"/>
      <c r="AB452" s="335"/>
      <c r="AC452" s="335"/>
      <c r="AD452" s="335"/>
      <c r="AE452" s="335"/>
      <c r="AF452" s="335"/>
      <c r="AG452" s="335"/>
      <c r="AH452" s="335"/>
      <c r="AI452" s="335"/>
      <c r="AJ452" s="335"/>
      <c r="AK452" s="335"/>
      <c r="AL452" s="335"/>
      <c r="AM452" s="335"/>
      <c r="AN452" s="335"/>
      <c r="AO452" s="335"/>
      <c r="AP452" s="335"/>
      <c r="AQ452" s="335"/>
      <c r="AR452" s="335"/>
      <c r="AS452" s="335"/>
      <c r="AT452" s="335"/>
      <c r="AU452" s="335"/>
      <c r="AV452" s="335"/>
      <c r="AW452" s="335"/>
      <c r="AX452" s="335"/>
      <c r="AY452" s="335"/>
      <c r="AZ452" s="335"/>
      <c r="BA452" s="335"/>
      <c r="BB452" s="335"/>
      <c r="BC452" s="335"/>
      <c r="BD452" s="335"/>
      <c r="BE452" s="335"/>
      <c r="BF452" s="335"/>
      <c r="BG452" s="335"/>
      <c r="BH452" s="335"/>
      <c r="BI452" s="335"/>
      <c r="BJ452" s="335"/>
      <c r="BK452" s="335"/>
      <c r="BL452" s="335"/>
      <c r="BM452" s="335"/>
      <c r="BN452" s="335"/>
      <c r="BO452" s="335"/>
      <c r="BP452" s="335"/>
      <c r="BQ452" s="335"/>
      <c r="BR452" s="335"/>
      <c r="BS452" s="335"/>
      <c r="BT452" s="335"/>
      <c r="BU452" s="335"/>
      <c r="BV452" s="335"/>
      <c r="BW452" s="335"/>
      <c r="BX452" s="335"/>
      <c r="BY452" s="335"/>
      <c r="BZ452" s="335"/>
      <c r="CA452" s="335"/>
      <c r="CB452" s="335"/>
      <c r="CC452" s="335"/>
      <c r="CD452" s="335"/>
      <c r="CE452" s="335"/>
      <c r="CF452" s="335"/>
      <c r="CG452" s="335"/>
      <c r="CH452" s="335"/>
      <c r="CI452" s="335"/>
      <c r="CJ452" s="335"/>
      <c r="CK452" s="335"/>
      <c r="CL452" s="335"/>
      <c r="CM452" s="335"/>
      <c r="CN452" s="335"/>
      <c r="CO452" s="335"/>
      <c r="CP452" s="335"/>
      <c r="CQ452" s="335"/>
      <c r="CR452" s="335"/>
      <c r="CS452" s="335"/>
      <c r="CT452" s="335"/>
      <c r="CU452" s="335"/>
      <c r="CV452" s="335"/>
      <c r="CW452" s="335"/>
      <c r="CX452" s="335"/>
      <c r="CY452" s="335"/>
      <c r="CZ452" s="335"/>
      <c r="DA452" s="335"/>
      <c r="DB452" s="335"/>
      <c r="DC452" s="335"/>
      <c r="DD452" s="335"/>
      <c r="DE452" s="335"/>
      <c r="DF452" s="335"/>
      <c r="DG452" s="335"/>
      <c r="DH452" s="335"/>
      <c r="DI452" s="335"/>
      <c r="DJ452" s="335"/>
      <c r="DK452" s="335"/>
      <c r="DL452" s="335"/>
      <c r="DM452" s="335"/>
      <c r="DN452" s="335"/>
      <c r="DO452" s="335"/>
      <c r="DP452" s="335"/>
      <c r="DQ452" s="335"/>
      <c r="DR452" s="335"/>
      <c r="DS452" s="335"/>
      <c r="DT452" s="335"/>
      <c r="DU452" s="335"/>
      <c r="DV452" s="335"/>
      <c r="DW452" s="335"/>
      <c r="DX452" s="335"/>
      <c r="DY452" s="335"/>
      <c r="DZ452" s="335"/>
      <c r="EA452" s="335"/>
      <c r="EB452" s="335"/>
      <c r="EC452" s="335"/>
      <c r="ED452" s="335"/>
      <c r="EE452" s="335"/>
      <c r="EF452" s="335"/>
      <c r="EG452" s="335"/>
      <c r="EH452" s="335"/>
      <c r="EI452" s="335"/>
      <c r="EJ452" s="335"/>
      <c r="EK452" s="335"/>
      <c r="EL452" s="335"/>
      <c r="EM452" s="335"/>
      <c r="EN452" s="335"/>
      <c r="EO452" s="335"/>
      <c r="EP452" s="335"/>
      <c r="EQ452" s="335"/>
      <c r="ER452" s="335"/>
      <c r="ES452" s="335"/>
      <c r="ET452" s="335"/>
      <c r="EU452" s="335"/>
      <c r="EV452" s="335"/>
      <c r="EW452" s="335"/>
      <c r="EX452" s="335"/>
      <c r="EY452" s="335"/>
      <c r="EZ452" s="335"/>
      <c r="FA452" s="335"/>
      <c r="FB452" s="335"/>
      <c r="FC452" s="335"/>
      <c r="FD452" s="335"/>
      <c r="FE452" s="335"/>
      <c r="FF452" s="335"/>
      <c r="FG452" s="335"/>
      <c r="FH452" s="335"/>
      <c r="FI452" s="335"/>
      <c r="FJ452" s="335"/>
      <c r="FK452" s="335"/>
      <c r="FL452" s="335"/>
      <c r="FM452" s="335"/>
      <c r="FN452" s="335"/>
      <c r="FO452" s="335"/>
      <c r="FP452" s="335"/>
      <c r="FQ452" s="335"/>
      <c r="FR452" s="335"/>
      <c r="FS452" s="335"/>
      <c r="FT452" s="335"/>
      <c r="FU452" s="335"/>
      <c r="FV452" s="335"/>
      <c r="FW452" s="335"/>
      <c r="FX452" s="335"/>
      <c r="FY452" s="335"/>
      <c r="FZ452" s="335"/>
      <c r="GA452" s="335"/>
      <c r="GB452" s="335"/>
      <c r="GC452" s="335"/>
      <c r="GD452" s="335"/>
      <c r="GE452" s="335"/>
      <c r="GF452" s="335"/>
      <c r="GG452" s="335"/>
      <c r="GH452" s="335"/>
      <c r="GI452" s="335"/>
      <c r="GJ452" s="335"/>
      <c r="GK452" s="335"/>
      <c r="GL452" s="335"/>
      <c r="GM452" s="335"/>
      <c r="GN452" s="335"/>
      <c r="GO452" s="335"/>
      <c r="GP452" s="335"/>
      <c r="GQ452" s="335"/>
      <c r="GR452" s="335"/>
      <c r="GS452" s="335"/>
      <c r="GT452" s="335"/>
      <c r="GU452" s="335"/>
      <c r="GV452" s="335"/>
      <c r="GW452" s="335"/>
      <c r="GX452" s="335"/>
      <c r="GY452" s="335"/>
      <c r="GZ452" s="335"/>
    </row>
    <row r="453" spans="1:208" ht="15">
      <c r="A453" s="379"/>
      <c r="B453" s="335"/>
      <c r="C453" s="335"/>
      <c r="D453" s="335"/>
      <c r="E453" s="335"/>
      <c r="F453" s="335"/>
      <c r="G453" s="335"/>
      <c r="H453" s="335"/>
      <c r="I453" s="335"/>
      <c r="J453" s="335"/>
      <c r="K453" s="335"/>
      <c r="L453" s="335"/>
      <c r="M453" s="376"/>
      <c r="N453" s="335"/>
      <c r="O453" s="380"/>
      <c r="P453" s="335"/>
      <c r="Q453" s="335"/>
      <c r="R453" s="335"/>
      <c r="S453" s="335"/>
      <c r="T453" s="335"/>
      <c r="U453" s="335"/>
      <c r="V453" s="335"/>
      <c r="W453" s="335"/>
      <c r="X453" s="335"/>
      <c r="Y453" s="335"/>
      <c r="Z453" s="335"/>
      <c r="AA453" s="335"/>
      <c r="AB453" s="335"/>
      <c r="AC453" s="335"/>
      <c r="AD453" s="335"/>
      <c r="AE453" s="335"/>
      <c r="AF453" s="335"/>
      <c r="AG453" s="335"/>
      <c r="AH453" s="335"/>
      <c r="AI453" s="335"/>
      <c r="AJ453" s="335"/>
      <c r="AK453" s="335"/>
      <c r="AL453" s="335"/>
      <c r="AM453" s="335"/>
      <c r="AN453" s="335"/>
      <c r="AO453" s="335"/>
      <c r="AP453" s="335"/>
      <c r="AQ453" s="335"/>
      <c r="AR453" s="335"/>
      <c r="AS453" s="335"/>
      <c r="AT453" s="335"/>
      <c r="AU453" s="335"/>
      <c r="AV453" s="335"/>
      <c r="AW453" s="335"/>
      <c r="AX453" s="335"/>
      <c r="AY453" s="335"/>
      <c r="AZ453" s="335"/>
      <c r="BA453" s="335"/>
      <c r="BB453" s="335"/>
      <c r="BC453" s="335"/>
      <c r="BD453" s="335"/>
      <c r="BE453" s="335"/>
      <c r="BF453" s="335"/>
      <c r="BG453" s="335"/>
      <c r="BH453" s="335"/>
      <c r="BI453" s="335"/>
      <c r="BJ453" s="335"/>
      <c r="BK453" s="335"/>
      <c r="BL453" s="335"/>
      <c r="BM453" s="335"/>
      <c r="BN453" s="335"/>
      <c r="BO453" s="335"/>
      <c r="BP453" s="335"/>
      <c r="BQ453" s="335"/>
      <c r="BR453" s="335"/>
      <c r="BS453" s="335"/>
      <c r="BT453" s="335"/>
      <c r="BU453" s="335"/>
      <c r="BV453" s="335"/>
      <c r="BW453" s="335"/>
      <c r="BX453" s="335"/>
      <c r="BY453" s="335"/>
      <c r="BZ453" s="335"/>
      <c r="CA453" s="335"/>
      <c r="CB453" s="335"/>
      <c r="CC453" s="335"/>
      <c r="CD453" s="335"/>
      <c r="CE453" s="335"/>
      <c r="CF453" s="335"/>
      <c r="CG453" s="335"/>
      <c r="CH453" s="335"/>
      <c r="CI453" s="335"/>
      <c r="CJ453" s="335"/>
      <c r="CK453" s="335"/>
      <c r="CL453" s="335"/>
      <c r="CM453" s="335"/>
      <c r="CN453" s="335"/>
      <c r="CO453" s="335"/>
      <c r="CP453" s="335"/>
      <c r="CQ453" s="335"/>
      <c r="CR453" s="335"/>
      <c r="CS453" s="335"/>
      <c r="CT453" s="335"/>
      <c r="CU453" s="335"/>
      <c r="CV453" s="335"/>
      <c r="CW453" s="335"/>
      <c r="CX453" s="335"/>
      <c r="CY453" s="335"/>
      <c r="CZ453" s="335"/>
      <c r="DA453" s="335"/>
      <c r="DB453" s="335"/>
      <c r="DC453" s="335"/>
      <c r="DD453" s="335"/>
      <c r="DE453" s="335"/>
      <c r="DF453" s="335"/>
      <c r="DG453" s="335"/>
      <c r="DH453" s="335"/>
      <c r="DI453" s="335"/>
      <c r="DJ453" s="335"/>
      <c r="DK453" s="335"/>
      <c r="DL453" s="335"/>
      <c r="DM453" s="335"/>
      <c r="DN453" s="335"/>
      <c r="DO453" s="335"/>
      <c r="DP453" s="335"/>
      <c r="DQ453" s="335"/>
      <c r="DR453" s="335"/>
      <c r="DS453" s="335"/>
      <c r="DT453" s="335"/>
      <c r="DU453" s="335"/>
      <c r="DV453" s="335"/>
      <c r="DW453" s="335"/>
      <c r="DX453" s="335"/>
      <c r="DY453" s="335"/>
      <c r="DZ453" s="335"/>
      <c r="EA453" s="335"/>
      <c r="EB453" s="335"/>
      <c r="EC453" s="335"/>
      <c r="ED453" s="335"/>
      <c r="EE453" s="335"/>
      <c r="EF453" s="335"/>
      <c r="EG453" s="335"/>
      <c r="EH453" s="335"/>
      <c r="EI453" s="335"/>
      <c r="EJ453" s="335"/>
      <c r="EK453" s="335"/>
      <c r="EL453" s="335"/>
      <c r="EM453" s="335"/>
      <c r="EN453" s="335"/>
      <c r="EO453" s="335"/>
      <c r="EP453" s="335"/>
      <c r="EQ453" s="335"/>
      <c r="ER453" s="335"/>
      <c r="ES453" s="335"/>
      <c r="ET453" s="335"/>
      <c r="EU453" s="335"/>
      <c r="EV453" s="335"/>
      <c r="EW453" s="335"/>
      <c r="EX453" s="335"/>
      <c r="EY453" s="335"/>
      <c r="EZ453" s="335"/>
      <c r="FA453" s="335"/>
      <c r="FB453" s="335"/>
      <c r="FC453" s="335"/>
      <c r="FD453" s="335"/>
      <c r="FE453" s="335"/>
      <c r="FF453" s="335"/>
      <c r="FG453" s="335"/>
      <c r="FH453" s="335"/>
      <c r="FI453" s="335"/>
      <c r="FJ453" s="335"/>
      <c r="FK453" s="335"/>
      <c r="FL453" s="335"/>
      <c r="FM453" s="335"/>
      <c r="FN453" s="335"/>
      <c r="FO453" s="335"/>
      <c r="FP453" s="335"/>
      <c r="FQ453" s="335"/>
      <c r="FR453" s="335"/>
      <c r="FS453" s="335"/>
      <c r="FT453" s="335"/>
      <c r="FU453" s="335"/>
      <c r="FV453" s="335"/>
      <c r="FW453" s="335"/>
      <c r="FX453" s="335"/>
      <c r="FY453" s="335"/>
      <c r="FZ453" s="335"/>
      <c r="GA453" s="335"/>
      <c r="GB453" s="335"/>
      <c r="GC453" s="335"/>
      <c r="GD453" s="335"/>
      <c r="GE453" s="335"/>
      <c r="GF453" s="335"/>
      <c r="GG453" s="335"/>
      <c r="GH453" s="335"/>
      <c r="GI453" s="335"/>
      <c r="GJ453" s="335"/>
      <c r="GK453" s="335"/>
      <c r="GL453" s="335"/>
      <c r="GM453" s="335"/>
      <c r="GN453" s="335"/>
      <c r="GO453" s="335"/>
      <c r="GP453" s="335"/>
      <c r="GQ453" s="335"/>
      <c r="GR453" s="335"/>
      <c r="GS453" s="335"/>
      <c r="GT453" s="335"/>
      <c r="GU453" s="335"/>
      <c r="GV453" s="335"/>
      <c r="GW453" s="335"/>
      <c r="GX453" s="335"/>
      <c r="GY453" s="335"/>
      <c r="GZ453" s="335"/>
    </row>
    <row r="454" spans="1:208" ht="15">
      <c r="A454" s="379"/>
      <c r="B454" s="335"/>
      <c r="C454" s="335"/>
      <c r="D454" s="335"/>
      <c r="E454" s="335"/>
      <c r="F454" s="335"/>
      <c r="G454" s="335"/>
      <c r="H454" s="335"/>
      <c r="I454" s="335"/>
      <c r="J454" s="335"/>
      <c r="K454" s="335"/>
      <c r="L454" s="335"/>
      <c r="M454" s="376"/>
      <c r="N454" s="335"/>
      <c r="O454" s="380"/>
      <c r="P454" s="335"/>
      <c r="Q454" s="335"/>
      <c r="R454" s="335"/>
      <c r="S454" s="335"/>
      <c r="T454" s="335"/>
      <c r="U454" s="335"/>
      <c r="V454" s="335"/>
      <c r="W454" s="335"/>
      <c r="X454" s="335"/>
      <c r="Y454" s="335"/>
      <c r="Z454" s="335"/>
      <c r="AA454" s="335"/>
      <c r="AB454" s="335"/>
      <c r="AC454" s="335"/>
      <c r="AD454" s="335"/>
      <c r="AE454" s="335"/>
      <c r="AF454" s="335"/>
      <c r="AG454" s="335"/>
      <c r="AH454" s="335"/>
      <c r="AI454" s="335"/>
      <c r="AJ454" s="335"/>
      <c r="AK454" s="335"/>
      <c r="AL454" s="335"/>
      <c r="AM454" s="335"/>
      <c r="AN454" s="335"/>
      <c r="AO454" s="335"/>
      <c r="AP454" s="335"/>
      <c r="AQ454" s="335"/>
      <c r="AR454" s="335"/>
      <c r="AS454" s="335"/>
      <c r="AT454" s="335"/>
      <c r="AU454" s="335"/>
      <c r="AV454" s="335"/>
      <c r="AW454" s="335"/>
      <c r="AX454" s="335"/>
      <c r="AY454" s="335"/>
      <c r="AZ454" s="335"/>
      <c r="BA454" s="335"/>
      <c r="BB454" s="335"/>
      <c r="BC454" s="335"/>
      <c r="BD454" s="335"/>
      <c r="BE454" s="335"/>
      <c r="BF454" s="335"/>
      <c r="BG454" s="335"/>
      <c r="BH454" s="335"/>
      <c r="BI454" s="335"/>
      <c r="BJ454" s="335"/>
      <c r="BK454" s="335"/>
      <c r="BL454" s="335"/>
      <c r="BM454" s="335"/>
      <c r="BN454" s="335"/>
      <c r="BO454" s="335"/>
      <c r="BP454" s="335"/>
      <c r="BQ454" s="335"/>
      <c r="BR454" s="335"/>
      <c r="BS454" s="335"/>
      <c r="BT454" s="335"/>
      <c r="BU454" s="335"/>
      <c r="BV454" s="335"/>
      <c r="BW454" s="335"/>
      <c r="BX454" s="335"/>
      <c r="BY454" s="335"/>
      <c r="BZ454" s="335"/>
      <c r="CA454" s="335"/>
      <c r="CB454" s="335"/>
      <c r="CC454" s="335"/>
      <c r="CD454" s="335"/>
      <c r="CE454" s="335"/>
      <c r="CF454" s="335"/>
      <c r="CG454" s="335"/>
      <c r="CH454" s="335"/>
      <c r="CI454" s="335"/>
      <c r="CJ454" s="335"/>
      <c r="CK454" s="335"/>
      <c r="CL454" s="335"/>
      <c r="CM454" s="335"/>
      <c r="CN454" s="335"/>
      <c r="CO454" s="335"/>
      <c r="CP454" s="335"/>
      <c r="CQ454" s="335"/>
      <c r="CR454" s="335"/>
      <c r="CS454" s="335"/>
      <c r="CT454" s="335"/>
      <c r="CU454" s="335"/>
      <c r="CV454" s="335"/>
      <c r="CW454" s="335"/>
      <c r="CX454" s="335"/>
      <c r="CY454" s="335"/>
      <c r="CZ454" s="335"/>
      <c r="DA454" s="335"/>
      <c r="DB454" s="335"/>
      <c r="DC454" s="335"/>
      <c r="DD454" s="335"/>
      <c r="DE454" s="335"/>
      <c r="DF454" s="335"/>
      <c r="DG454" s="335"/>
      <c r="DH454" s="335"/>
      <c r="DI454" s="335"/>
      <c r="DJ454" s="335"/>
      <c r="DK454" s="335"/>
      <c r="DL454" s="335"/>
      <c r="DM454" s="335"/>
      <c r="DN454" s="335"/>
      <c r="DO454" s="335"/>
      <c r="DP454" s="335"/>
      <c r="DQ454" s="335"/>
      <c r="DR454" s="335"/>
      <c r="DS454" s="335"/>
      <c r="DT454" s="335"/>
      <c r="DU454" s="335"/>
      <c r="DV454" s="335"/>
      <c r="DW454" s="335"/>
      <c r="DX454" s="335"/>
      <c r="DY454" s="335"/>
      <c r="DZ454" s="335"/>
      <c r="EA454" s="335"/>
      <c r="EB454" s="335"/>
      <c r="EC454" s="335"/>
      <c r="ED454" s="335"/>
      <c r="EE454" s="335"/>
      <c r="EF454" s="335"/>
      <c r="EG454" s="335"/>
      <c r="EH454" s="335"/>
      <c r="EI454" s="335"/>
      <c r="EJ454" s="335"/>
      <c r="EK454" s="335"/>
      <c r="EL454" s="335"/>
      <c r="EM454" s="335"/>
      <c r="EN454" s="335"/>
      <c r="EO454" s="335"/>
      <c r="EP454" s="335"/>
      <c r="EQ454" s="335"/>
      <c r="ER454" s="335"/>
      <c r="ES454" s="335"/>
      <c r="ET454" s="335"/>
      <c r="EU454" s="335"/>
      <c r="EV454" s="335"/>
      <c r="EW454" s="335"/>
      <c r="EX454" s="335"/>
      <c r="EY454" s="335"/>
      <c r="EZ454" s="335"/>
      <c r="FA454" s="335"/>
      <c r="FB454" s="335"/>
      <c r="FC454" s="335"/>
      <c r="FD454" s="335"/>
      <c r="FE454" s="335"/>
      <c r="FF454" s="335"/>
      <c r="FG454" s="335"/>
      <c r="FH454" s="335"/>
      <c r="FI454" s="335"/>
      <c r="FJ454" s="335"/>
      <c r="FK454" s="335"/>
      <c r="FL454" s="335"/>
      <c r="FM454" s="335"/>
      <c r="FN454" s="335"/>
      <c r="FO454" s="335"/>
      <c r="FP454" s="335"/>
      <c r="FQ454" s="335"/>
      <c r="FR454" s="335"/>
      <c r="FS454" s="335"/>
      <c r="FT454" s="335"/>
      <c r="FU454" s="335"/>
      <c r="FV454" s="335"/>
      <c r="FW454" s="335"/>
      <c r="FX454" s="335"/>
      <c r="FY454" s="335"/>
      <c r="FZ454" s="335"/>
      <c r="GA454" s="335"/>
      <c r="GB454" s="335"/>
      <c r="GC454" s="335"/>
      <c r="GD454" s="335"/>
      <c r="GE454" s="335"/>
      <c r="GF454" s="335"/>
      <c r="GG454" s="335"/>
      <c r="GH454" s="335"/>
      <c r="GI454" s="335"/>
      <c r="GJ454" s="335"/>
      <c r="GK454" s="335"/>
      <c r="GL454" s="335"/>
      <c r="GM454" s="335"/>
      <c r="GN454" s="335"/>
      <c r="GO454" s="335"/>
      <c r="GP454" s="335"/>
      <c r="GQ454" s="335"/>
      <c r="GR454" s="335"/>
      <c r="GS454" s="335"/>
      <c r="GT454" s="335"/>
      <c r="GU454" s="335"/>
      <c r="GV454" s="335"/>
      <c r="GW454" s="335"/>
      <c r="GX454" s="335"/>
      <c r="GY454" s="335"/>
      <c r="GZ454" s="335"/>
    </row>
    <row r="455" spans="1:208" ht="15">
      <c r="A455" s="379"/>
      <c r="B455" s="335"/>
      <c r="C455" s="335"/>
      <c r="D455" s="335"/>
      <c r="E455" s="335"/>
      <c r="F455" s="335"/>
      <c r="G455" s="335"/>
      <c r="H455" s="335"/>
      <c r="I455" s="335"/>
      <c r="J455" s="335"/>
      <c r="K455" s="335"/>
      <c r="L455" s="335"/>
      <c r="M455" s="376"/>
      <c r="N455" s="335"/>
      <c r="O455" s="380"/>
      <c r="P455" s="335"/>
      <c r="Q455" s="335"/>
      <c r="R455" s="335"/>
      <c r="S455" s="335"/>
      <c r="T455" s="335"/>
      <c r="U455" s="335"/>
      <c r="V455" s="335"/>
      <c r="W455" s="335"/>
      <c r="X455" s="335"/>
      <c r="Y455" s="335"/>
      <c r="Z455" s="335"/>
      <c r="AA455" s="335"/>
      <c r="AB455" s="335"/>
      <c r="AC455" s="335"/>
      <c r="AD455" s="335"/>
      <c r="AE455" s="335"/>
      <c r="AF455" s="335"/>
      <c r="AG455" s="335"/>
      <c r="AH455" s="335"/>
      <c r="AI455" s="335"/>
      <c r="AJ455" s="335"/>
      <c r="AK455" s="335"/>
      <c r="AL455" s="335"/>
      <c r="AM455" s="335"/>
      <c r="AN455" s="335"/>
      <c r="AO455" s="335"/>
      <c r="AP455" s="335"/>
      <c r="AQ455" s="335"/>
      <c r="AR455" s="335"/>
      <c r="AS455" s="335"/>
      <c r="AT455" s="335"/>
      <c r="AU455" s="335"/>
      <c r="AV455" s="335"/>
      <c r="AW455" s="335"/>
      <c r="AX455" s="335"/>
      <c r="AY455" s="335"/>
      <c r="AZ455" s="335"/>
      <c r="BA455" s="335"/>
      <c r="BB455" s="335"/>
      <c r="BC455" s="335"/>
      <c r="BD455" s="335"/>
      <c r="BE455" s="335"/>
      <c r="BF455" s="335"/>
      <c r="BG455" s="335"/>
      <c r="BH455" s="335"/>
      <c r="BI455" s="335"/>
      <c r="BJ455" s="335"/>
      <c r="BK455" s="335"/>
      <c r="BL455" s="335"/>
      <c r="BM455" s="335"/>
      <c r="BN455" s="335"/>
      <c r="BO455" s="335"/>
      <c r="BP455" s="335"/>
      <c r="BQ455" s="335"/>
      <c r="BR455" s="335"/>
      <c r="BS455" s="335"/>
      <c r="BT455" s="335"/>
      <c r="BU455" s="335"/>
      <c r="BV455" s="335"/>
      <c r="BW455" s="335"/>
      <c r="BX455" s="335"/>
      <c r="BY455" s="335"/>
      <c r="BZ455" s="335"/>
      <c r="CA455" s="335"/>
      <c r="CB455" s="335"/>
      <c r="CC455" s="335"/>
      <c r="CD455" s="335"/>
      <c r="CE455" s="335"/>
      <c r="CF455" s="335"/>
      <c r="CG455" s="335"/>
      <c r="CH455" s="335"/>
      <c r="CI455" s="335"/>
      <c r="CJ455" s="335"/>
      <c r="CK455" s="335"/>
      <c r="CL455" s="335"/>
      <c r="CM455" s="335"/>
      <c r="CN455" s="335"/>
      <c r="CO455" s="335"/>
      <c r="CP455" s="335"/>
      <c r="CQ455" s="335"/>
      <c r="CR455" s="335"/>
      <c r="CS455" s="335"/>
      <c r="CT455" s="335"/>
      <c r="CU455" s="335"/>
      <c r="CV455" s="335"/>
      <c r="CW455" s="335"/>
      <c r="CX455" s="335"/>
      <c r="CY455" s="335"/>
      <c r="CZ455" s="335"/>
      <c r="DA455" s="335"/>
      <c r="DB455" s="335"/>
      <c r="DC455" s="335"/>
      <c r="DD455" s="335"/>
      <c r="DE455" s="335"/>
      <c r="DF455" s="335"/>
      <c r="DG455" s="335"/>
      <c r="DH455" s="335"/>
      <c r="DI455" s="335"/>
      <c r="DJ455" s="335"/>
      <c r="DK455" s="335"/>
      <c r="DL455" s="335"/>
      <c r="DM455" s="335"/>
      <c r="DN455" s="335"/>
      <c r="DO455" s="335"/>
      <c r="DP455" s="335"/>
      <c r="DQ455" s="335"/>
      <c r="DR455" s="335"/>
      <c r="DS455" s="335"/>
      <c r="DT455" s="335"/>
      <c r="DU455" s="335"/>
      <c r="DV455" s="335"/>
      <c r="DW455" s="335"/>
      <c r="DX455" s="335"/>
      <c r="DY455" s="335"/>
      <c r="DZ455" s="335"/>
      <c r="EA455" s="335"/>
      <c r="EB455" s="335"/>
      <c r="EC455" s="335"/>
      <c r="ED455" s="335"/>
      <c r="EE455" s="335"/>
      <c r="EF455" s="335"/>
      <c r="EG455" s="335"/>
      <c r="EH455" s="335"/>
      <c r="EI455" s="335"/>
      <c r="EJ455" s="335"/>
      <c r="EK455" s="335"/>
      <c r="EL455" s="335"/>
      <c r="EM455" s="335"/>
      <c r="EN455" s="335"/>
      <c r="EO455" s="335"/>
      <c r="EP455" s="335"/>
      <c r="EQ455" s="335"/>
      <c r="ER455" s="335"/>
      <c r="ES455" s="335"/>
      <c r="ET455" s="335"/>
      <c r="EU455" s="335"/>
      <c r="EV455" s="335"/>
      <c r="EW455" s="335"/>
      <c r="EX455" s="335"/>
      <c r="EY455" s="335"/>
      <c r="EZ455" s="335"/>
      <c r="FA455" s="335"/>
      <c r="FB455" s="335"/>
      <c r="FC455" s="335"/>
      <c r="FD455" s="335"/>
      <c r="FE455" s="335"/>
      <c r="FF455" s="335"/>
      <c r="FG455" s="335"/>
      <c r="FH455" s="335"/>
      <c r="FI455" s="335"/>
      <c r="FJ455" s="335"/>
      <c r="FK455" s="335"/>
      <c r="FL455" s="335"/>
      <c r="FM455" s="335"/>
      <c r="FN455" s="335"/>
      <c r="FO455" s="335"/>
      <c r="FP455" s="335"/>
      <c r="FQ455" s="335"/>
      <c r="FR455" s="335"/>
      <c r="FS455" s="335"/>
      <c r="FT455" s="335"/>
      <c r="FU455" s="335"/>
      <c r="FV455" s="335"/>
      <c r="FW455" s="335"/>
      <c r="FX455" s="335"/>
      <c r="FY455" s="335"/>
      <c r="FZ455" s="335"/>
      <c r="GA455" s="335"/>
      <c r="GB455" s="335"/>
      <c r="GC455" s="335"/>
      <c r="GD455" s="335"/>
      <c r="GE455" s="335"/>
      <c r="GF455" s="335"/>
      <c r="GG455" s="335"/>
      <c r="GH455" s="335"/>
      <c r="GI455" s="335"/>
      <c r="GJ455" s="335"/>
      <c r="GK455" s="335"/>
      <c r="GL455" s="335"/>
      <c r="GM455" s="335"/>
      <c r="GN455" s="335"/>
      <c r="GO455" s="335"/>
      <c r="GP455" s="335"/>
      <c r="GQ455" s="335"/>
      <c r="GR455" s="335"/>
      <c r="GS455" s="335"/>
      <c r="GT455" s="335"/>
      <c r="GU455" s="335"/>
      <c r="GV455" s="335"/>
      <c r="GW455" s="335"/>
      <c r="GX455" s="335"/>
      <c r="GY455" s="335"/>
      <c r="GZ455" s="335"/>
    </row>
    <row r="456" spans="1:208" ht="15">
      <c r="A456" s="379"/>
      <c r="B456" s="335"/>
      <c r="C456" s="335"/>
      <c r="D456" s="335"/>
      <c r="E456" s="335"/>
      <c r="F456" s="335"/>
      <c r="G456" s="335"/>
      <c r="H456" s="335"/>
      <c r="I456" s="335"/>
      <c r="J456" s="335"/>
      <c r="K456" s="335"/>
      <c r="L456" s="335"/>
      <c r="M456" s="376"/>
      <c r="N456" s="335"/>
      <c r="O456" s="380"/>
      <c r="P456" s="335"/>
      <c r="Q456" s="335"/>
      <c r="R456" s="335"/>
      <c r="S456" s="335"/>
      <c r="T456" s="335"/>
      <c r="U456" s="335"/>
      <c r="V456" s="335"/>
      <c r="W456" s="335"/>
      <c r="X456" s="335"/>
      <c r="Y456" s="335"/>
      <c r="Z456" s="335"/>
      <c r="AA456" s="335"/>
      <c r="AB456" s="335"/>
      <c r="AC456" s="335"/>
      <c r="AD456" s="335"/>
      <c r="AE456" s="335"/>
      <c r="AF456" s="335"/>
      <c r="AG456" s="335"/>
      <c r="AH456" s="335"/>
      <c r="AI456" s="335"/>
      <c r="AJ456" s="335"/>
      <c r="AK456" s="335"/>
      <c r="AL456" s="335"/>
      <c r="AM456" s="335"/>
      <c r="AN456" s="335"/>
      <c r="AO456" s="335"/>
      <c r="AP456" s="335"/>
      <c r="AQ456" s="335"/>
      <c r="AR456" s="335"/>
      <c r="AS456" s="335"/>
      <c r="AT456" s="335"/>
      <c r="AU456" s="335"/>
      <c r="AV456" s="335"/>
      <c r="AW456" s="335"/>
      <c r="AX456" s="335"/>
      <c r="AY456" s="335"/>
      <c r="AZ456" s="335"/>
      <c r="BA456" s="335"/>
      <c r="BB456" s="335"/>
      <c r="BC456" s="335"/>
      <c r="BD456" s="335"/>
      <c r="BE456" s="335"/>
      <c r="BF456" s="335"/>
      <c r="BG456" s="335"/>
      <c r="BH456" s="335"/>
      <c r="BI456" s="335"/>
      <c r="BJ456" s="335"/>
      <c r="BK456" s="335"/>
      <c r="BL456" s="335"/>
      <c r="BM456" s="335"/>
      <c r="BN456" s="335"/>
      <c r="BO456" s="335"/>
      <c r="BP456" s="335"/>
      <c r="BQ456" s="335"/>
      <c r="BR456" s="335"/>
      <c r="BS456" s="335"/>
      <c r="BT456" s="335"/>
      <c r="BU456" s="335"/>
      <c r="BV456" s="335"/>
      <c r="BW456" s="335"/>
      <c r="BX456" s="335"/>
      <c r="BY456" s="335"/>
      <c r="BZ456" s="335"/>
      <c r="CA456" s="335"/>
      <c r="CB456" s="335"/>
      <c r="CC456" s="335"/>
      <c r="CD456" s="335"/>
      <c r="CE456" s="335"/>
      <c r="CF456" s="335"/>
      <c r="CG456" s="335"/>
      <c r="CH456" s="335"/>
      <c r="CI456" s="335"/>
      <c r="CJ456" s="335"/>
      <c r="CK456" s="335"/>
      <c r="CL456" s="335"/>
      <c r="CM456" s="335"/>
      <c r="CN456" s="335"/>
      <c r="CO456" s="335"/>
      <c r="CP456" s="335"/>
      <c r="CQ456" s="335"/>
      <c r="CR456" s="335"/>
      <c r="CS456" s="335"/>
      <c r="CT456" s="335"/>
      <c r="CU456" s="335"/>
      <c r="CV456" s="335"/>
      <c r="CW456" s="335"/>
      <c r="CX456" s="335"/>
      <c r="CY456" s="335"/>
      <c r="CZ456" s="335"/>
      <c r="DA456" s="335"/>
      <c r="DB456" s="335"/>
      <c r="DC456" s="335"/>
      <c r="DD456" s="335"/>
      <c r="DE456" s="335"/>
      <c r="DF456" s="335"/>
      <c r="DG456" s="335"/>
      <c r="DH456" s="335"/>
      <c r="DI456" s="335"/>
      <c r="DJ456" s="335"/>
      <c r="DK456" s="335"/>
      <c r="DL456" s="335"/>
      <c r="DM456" s="335"/>
      <c r="DN456" s="335"/>
      <c r="DO456" s="335"/>
      <c r="DP456" s="335"/>
      <c r="DQ456" s="335"/>
      <c r="DR456" s="335"/>
      <c r="DS456" s="335"/>
      <c r="DT456" s="335"/>
      <c r="DU456" s="335"/>
      <c r="DV456" s="335"/>
      <c r="DW456" s="335"/>
      <c r="DX456" s="335"/>
      <c r="DY456" s="335"/>
      <c r="DZ456" s="335"/>
      <c r="EA456" s="335"/>
      <c r="EB456" s="335"/>
      <c r="EC456" s="335"/>
      <c r="ED456" s="335"/>
      <c r="EE456" s="335"/>
      <c r="EF456" s="335"/>
      <c r="EG456" s="335"/>
      <c r="EH456" s="335"/>
      <c r="EI456" s="335"/>
      <c r="EJ456" s="335"/>
      <c r="EK456" s="335"/>
      <c r="EL456" s="335"/>
      <c r="EM456" s="335"/>
      <c r="EN456" s="335"/>
      <c r="EO456" s="335"/>
      <c r="EP456" s="335"/>
      <c r="EQ456" s="335"/>
      <c r="ER456" s="335"/>
      <c r="ES456" s="335"/>
      <c r="ET456" s="335"/>
      <c r="EU456" s="335"/>
      <c r="EV456" s="335"/>
      <c r="EW456" s="335"/>
      <c r="EX456" s="335"/>
      <c r="EY456" s="335"/>
      <c r="EZ456" s="335"/>
      <c r="FA456" s="335"/>
      <c r="FB456" s="335"/>
      <c r="FC456" s="335"/>
      <c r="FD456" s="335"/>
      <c r="FE456" s="335"/>
      <c r="FF456" s="335"/>
      <c r="FG456" s="335"/>
      <c r="FH456" s="335"/>
      <c r="FI456" s="335"/>
      <c r="FJ456" s="335"/>
      <c r="FK456" s="335"/>
      <c r="FL456" s="335"/>
      <c r="FM456" s="335"/>
      <c r="FN456" s="335"/>
      <c r="FO456" s="335"/>
      <c r="FP456" s="335"/>
      <c r="FQ456" s="335"/>
      <c r="FR456" s="335"/>
      <c r="FS456" s="335"/>
      <c r="FT456" s="335"/>
      <c r="FU456" s="335"/>
      <c r="FV456" s="335"/>
      <c r="FW456" s="335"/>
      <c r="FX456" s="335"/>
      <c r="FY456" s="335"/>
      <c r="FZ456" s="335"/>
      <c r="GA456" s="335"/>
      <c r="GB456" s="335"/>
      <c r="GC456" s="335"/>
      <c r="GD456" s="335"/>
      <c r="GE456" s="335"/>
      <c r="GF456" s="335"/>
      <c r="GG456" s="335"/>
      <c r="GH456" s="335"/>
      <c r="GI456" s="335"/>
      <c r="GJ456" s="335"/>
      <c r="GK456" s="335"/>
      <c r="GL456" s="335"/>
      <c r="GM456" s="335"/>
      <c r="GN456" s="335"/>
      <c r="GO456" s="335"/>
      <c r="GP456" s="335"/>
      <c r="GQ456" s="335"/>
      <c r="GR456" s="335"/>
      <c r="GS456" s="335"/>
      <c r="GT456" s="335"/>
      <c r="GU456" s="335"/>
      <c r="GV456" s="335"/>
      <c r="GW456" s="335"/>
      <c r="GX456" s="335"/>
      <c r="GY456" s="335"/>
      <c r="GZ456" s="335"/>
    </row>
    <row r="457" spans="1:208" ht="15">
      <c r="A457" s="379"/>
      <c r="B457" s="335"/>
      <c r="C457" s="335"/>
      <c r="D457" s="335"/>
      <c r="E457" s="335"/>
      <c r="F457" s="335"/>
      <c r="G457" s="335"/>
      <c r="H457" s="335"/>
      <c r="I457" s="335"/>
      <c r="J457" s="335"/>
      <c r="K457" s="335"/>
      <c r="L457" s="335"/>
      <c r="M457" s="376"/>
      <c r="N457" s="335"/>
      <c r="O457" s="380"/>
      <c r="P457" s="335"/>
      <c r="Q457" s="335"/>
      <c r="R457" s="335"/>
      <c r="S457" s="335"/>
      <c r="T457" s="335"/>
      <c r="U457" s="335"/>
      <c r="V457" s="335"/>
      <c r="W457" s="335"/>
      <c r="X457" s="335"/>
      <c r="Y457" s="335"/>
      <c r="Z457" s="335"/>
      <c r="AA457" s="335"/>
      <c r="AB457" s="335"/>
      <c r="AC457" s="335"/>
      <c r="AD457" s="335"/>
      <c r="AE457" s="335"/>
      <c r="AF457" s="335"/>
      <c r="AG457" s="335"/>
      <c r="AH457" s="335"/>
      <c r="AI457" s="335"/>
      <c r="AJ457" s="335"/>
      <c r="AK457" s="335"/>
      <c r="AL457" s="335"/>
      <c r="AM457" s="335"/>
      <c r="AN457" s="335"/>
      <c r="AO457" s="335"/>
      <c r="AP457" s="335"/>
      <c r="AQ457" s="335"/>
      <c r="AR457" s="335"/>
      <c r="AS457" s="335"/>
      <c r="AT457" s="335"/>
      <c r="AU457" s="335"/>
      <c r="AV457" s="335"/>
      <c r="AW457" s="335"/>
      <c r="AX457" s="335"/>
      <c r="AY457" s="335"/>
      <c r="AZ457" s="335"/>
      <c r="BA457" s="335"/>
      <c r="BB457" s="335"/>
      <c r="BC457" s="335"/>
      <c r="BD457" s="335"/>
      <c r="BE457" s="335"/>
      <c r="BF457" s="335"/>
      <c r="BG457" s="335"/>
      <c r="BH457" s="335"/>
      <c r="BI457" s="335"/>
      <c r="BJ457" s="335"/>
      <c r="BK457" s="335"/>
      <c r="BL457" s="335"/>
      <c r="BM457" s="335"/>
      <c r="BN457" s="335"/>
      <c r="BO457" s="335"/>
      <c r="BP457" s="335"/>
      <c r="BQ457" s="335"/>
      <c r="BR457" s="335"/>
      <c r="BS457" s="335"/>
      <c r="BT457" s="335"/>
      <c r="BU457" s="335"/>
      <c r="BV457" s="335"/>
      <c r="BW457" s="335"/>
      <c r="BX457" s="335"/>
      <c r="BY457" s="335"/>
      <c r="BZ457" s="335"/>
      <c r="CA457" s="335"/>
      <c r="CB457" s="335"/>
      <c r="CC457" s="335"/>
      <c r="CD457" s="335"/>
      <c r="CE457" s="335"/>
      <c r="CF457" s="335"/>
      <c r="CG457" s="335"/>
      <c r="CH457" s="335"/>
      <c r="CI457" s="335"/>
      <c r="CJ457" s="335"/>
      <c r="CK457" s="335"/>
      <c r="CL457" s="335"/>
      <c r="CM457" s="335"/>
      <c r="CN457" s="335"/>
      <c r="CO457" s="335"/>
      <c r="CP457" s="335"/>
      <c r="CQ457" s="335"/>
      <c r="CR457" s="335"/>
      <c r="CS457" s="335"/>
      <c r="CT457" s="335"/>
      <c r="CU457" s="335"/>
      <c r="CV457" s="335"/>
      <c r="CW457" s="335"/>
      <c r="CX457" s="335"/>
      <c r="CY457" s="335"/>
      <c r="CZ457" s="335"/>
      <c r="DA457" s="335"/>
      <c r="DB457" s="335"/>
      <c r="DC457" s="335"/>
      <c r="DD457" s="335"/>
      <c r="DE457" s="335"/>
      <c r="DF457" s="335"/>
      <c r="DG457" s="335"/>
      <c r="DH457" s="335"/>
      <c r="DI457" s="335"/>
      <c r="DJ457" s="335"/>
      <c r="DK457" s="335"/>
      <c r="DL457" s="335"/>
      <c r="DM457" s="335"/>
      <c r="DN457" s="335"/>
      <c r="DO457" s="335"/>
      <c r="DP457" s="335"/>
      <c r="DQ457" s="335"/>
      <c r="DR457" s="335"/>
      <c r="DS457" s="335"/>
      <c r="DT457" s="335"/>
      <c r="DU457" s="335"/>
      <c r="DV457" s="335"/>
      <c r="DW457" s="335"/>
      <c r="DX457" s="335"/>
      <c r="DY457" s="335"/>
      <c r="DZ457" s="335"/>
      <c r="EA457" s="335"/>
      <c r="EB457" s="335"/>
      <c r="EC457" s="335"/>
      <c r="ED457" s="335"/>
      <c r="EE457" s="335"/>
      <c r="EF457" s="335"/>
      <c r="EG457" s="335"/>
      <c r="EH457" s="335"/>
      <c r="EI457" s="335"/>
      <c r="EJ457" s="335"/>
      <c r="EK457" s="335"/>
      <c r="EL457" s="335"/>
      <c r="EM457" s="335"/>
      <c r="EN457" s="335"/>
      <c r="EO457" s="335"/>
      <c r="EP457" s="335"/>
      <c r="EQ457" s="335"/>
      <c r="ER457" s="335"/>
      <c r="ES457" s="335"/>
      <c r="ET457" s="335"/>
      <c r="EU457" s="335"/>
      <c r="EV457" s="335"/>
      <c r="EW457" s="335"/>
      <c r="EX457" s="335"/>
      <c r="EY457" s="335"/>
      <c r="EZ457" s="335"/>
      <c r="FA457" s="335"/>
      <c r="FB457" s="335"/>
      <c r="FC457" s="335"/>
      <c r="FD457" s="335"/>
      <c r="FE457" s="335"/>
      <c r="FF457" s="335"/>
      <c r="FG457" s="335"/>
      <c r="FH457" s="335"/>
      <c r="FI457" s="335"/>
      <c r="FJ457" s="335"/>
      <c r="FK457" s="335"/>
      <c r="FL457" s="335"/>
      <c r="FM457" s="335"/>
      <c r="FN457" s="335"/>
      <c r="FO457" s="335"/>
      <c r="FP457" s="335"/>
      <c r="FQ457" s="335"/>
      <c r="FR457" s="335"/>
      <c r="FS457" s="335"/>
      <c r="FT457" s="335"/>
      <c r="FU457" s="335"/>
      <c r="FV457" s="335"/>
      <c r="FW457" s="335"/>
      <c r="FX457" s="335"/>
      <c r="FY457" s="335"/>
      <c r="FZ457" s="335"/>
      <c r="GA457" s="335"/>
      <c r="GB457" s="335"/>
      <c r="GC457" s="335"/>
      <c r="GD457" s="335"/>
      <c r="GE457" s="335"/>
      <c r="GF457" s="335"/>
      <c r="GG457" s="335"/>
      <c r="GH457" s="335"/>
      <c r="GI457" s="335"/>
      <c r="GJ457" s="335"/>
      <c r="GK457" s="335"/>
      <c r="GL457" s="335"/>
      <c r="GM457" s="335"/>
      <c r="GN457" s="335"/>
      <c r="GO457" s="335"/>
      <c r="GP457" s="335"/>
      <c r="GQ457" s="335"/>
      <c r="GR457" s="335"/>
      <c r="GS457" s="335"/>
      <c r="GT457" s="335"/>
      <c r="GU457" s="335"/>
      <c r="GV457" s="335"/>
      <c r="GW457" s="335"/>
      <c r="GX457" s="335"/>
      <c r="GY457" s="335"/>
      <c r="GZ457" s="335"/>
    </row>
    <row r="458" spans="1:208" ht="15">
      <c r="A458" s="379"/>
      <c r="B458" s="335"/>
      <c r="C458" s="335"/>
      <c r="D458" s="335"/>
      <c r="E458" s="335"/>
      <c r="F458" s="335"/>
      <c r="G458" s="335"/>
      <c r="H458" s="335"/>
      <c r="I458" s="335"/>
      <c r="J458" s="335"/>
      <c r="K458" s="335"/>
      <c r="L458" s="335"/>
      <c r="M458" s="376"/>
      <c r="N458" s="335"/>
      <c r="O458" s="380"/>
      <c r="P458" s="335"/>
      <c r="Q458" s="335"/>
      <c r="R458" s="335"/>
      <c r="S458" s="335"/>
      <c r="T458" s="335"/>
      <c r="U458" s="335"/>
      <c r="V458" s="335"/>
      <c r="W458" s="335"/>
      <c r="X458" s="335"/>
      <c r="Y458" s="335"/>
      <c r="Z458" s="335"/>
      <c r="AA458" s="335"/>
      <c r="AB458" s="335"/>
      <c r="AC458" s="335"/>
      <c r="AD458" s="335"/>
      <c r="AE458" s="335"/>
      <c r="AF458" s="335"/>
      <c r="AG458" s="335"/>
      <c r="AH458" s="335"/>
      <c r="AI458" s="335"/>
      <c r="AJ458" s="335"/>
      <c r="AK458" s="335"/>
      <c r="AL458" s="335"/>
      <c r="AM458" s="335"/>
      <c r="AN458" s="335"/>
      <c r="AO458" s="335"/>
      <c r="AP458" s="335"/>
      <c r="AQ458" s="335"/>
      <c r="AR458" s="335"/>
      <c r="AS458" s="335"/>
      <c r="AT458" s="335"/>
      <c r="AU458" s="335"/>
      <c r="AV458" s="335"/>
      <c r="AW458" s="335"/>
      <c r="AX458" s="335"/>
      <c r="AY458" s="335"/>
      <c r="AZ458" s="335"/>
      <c r="BA458" s="335"/>
      <c r="BB458" s="335"/>
      <c r="BC458" s="335"/>
      <c r="BD458" s="335"/>
      <c r="BE458" s="335"/>
      <c r="BF458" s="335"/>
      <c r="BG458" s="335"/>
      <c r="BH458" s="335"/>
      <c r="BI458" s="335"/>
      <c r="BJ458" s="335"/>
      <c r="BK458" s="335"/>
      <c r="BL458" s="335"/>
      <c r="BM458" s="335"/>
      <c r="BN458" s="335"/>
      <c r="BO458" s="335"/>
      <c r="BP458" s="335"/>
      <c r="BQ458" s="335"/>
      <c r="BR458" s="335"/>
      <c r="BS458" s="335"/>
      <c r="BT458" s="335"/>
      <c r="BU458" s="335"/>
      <c r="BV458" s="335"/>
      <c r="BW458" s="335"/>
      <c r="BX458" s="335"/>
      <c r="BY458" s="335"/>
      <c r="BZ458" s="335"/>
      <c r="CA458" s="335"/>
      <c r="CB458" s="335"/>
      <c r="CC458" s="335"/>
      <c r="CD458" s="335"/>
      <c r="CE458" s="335"/>
      <c r="CF458" s="335"/>
      <c r="CG458" s="335"/>
      <c r="CH458" s="335"/>
      <c r="CI458" s="335"/>
      <c r="CJ458" s="335"/>
      <c r="CK458" s="335"/>
      <c r="CL458" s="335"/>
      <c r="CM458" s="335"/>
      <c r="CN458" s="335"/>
      <c r="CO458" s="335"/>
      <c r="CP458" s="335"/>
      <c r="CQ458" s="335"/>
      <c r="CR458" s="335"/>
      <c r="CS458" s="335"/>
      <c r="CT458" s="335"/>
      <c r="CU458" s="335"/>
      <c r="CV458" s="335"/>
      <c r="CW458" s="335"/>
      <c r="CX458" s="335"/>
      <c r="CY458" s="335"/>
      <c r="CZ458" s="335"/>
      <c r="DA458" s="335"/>
      <c r="DB458" s="335"/>
      <c r="DC458" s="335"/>
      <c r="DD458" s="335"/>
      <c r="DE458" s="335"/>
      <c r="DF458" s="335"/>
      <c r="DG458" s="335"/>
      <c r="DH458" s="335"/>
      <c r="DI458" s="335"/>
      <c r="DJ458" s="335"/>
      <c r="DK458" s="335"/>
      <c r="DL458" s="335"/>
      <c r="DM458" s="335"/>
      <c r="DN458" s="335"/>
      <c r="DO458" s="335"/>
      <c r="DP458" s="335"/>
      <c r="DQ458" s="335"/>
      <c r="DR458" s="335"/>
      <c r="DS458" s="335"/>
      <c r="DT458" s="335"/>
      <c r="DU458" s="335"/>
      <c r="DV458" s="335"/>
      <c r="DW458" s="335"/>
      <c r="DX458" s="335"/>
      <c r="DY458" s="335"/>
      <c r="DZ458" s="335"/>
      <c r="EA458" s="335"/>
      <c r="EB458" s="335"/>
      <c r="EC458" s="335"/>
      <c r="ED458" s="335"/>
      <c r="EE458" s="335"/>
      <c r="EF458" s="335"/>
      <c r="EG458" s="335"/>
      <c r="EH458" s="335"/>
      <c r="EI458" s="335"/>
      <c r="EJ458" s="335"/>
      <c r="EK458" s="335"/>
      <c r="EL458" s="335"/>
      <c r="EM458" s="335"/>
      <c r="EN458" s="335"/>
      <c r="EO458" s="335"/>
      <c r="EP458" s="335"/>
      <c r="EQ458" s="335"/>
      <c r="ER458" s="335"/>
      <c r="ES458" s="335"/>
      <c r="ET458" s="335"/>
      <c r="EU458" s="335"/>
      <c r="EV458" s="335"/>
      <c r="EW458" s="335"/>
      <c r="EX458" s="335"/>
      <c r="EY458" s="335"/>
      <c r="EZ458" s="335"/>
      <c r="FA458" s="335"/>
      <c r="FB458" s="335"/>
      <c r="FC458" s="335"/>
      <c r="FD458" s="335"/>
      <c r="FE458" s="335"/>
      <c r="FF458" s="335"/>
      <c r="FG458" s="335"/>
      <c r="FH458" s="335"/>
      <c r="FI458" s="335"/>
      <c r="FJ458" s="335"/>
      <c r="FK458" s="335"/>
      <c r="FL458" s="335"/>
      <c r="FM458" s="335"/>
      <c r="FN458" s="335"/>
      <c r="FO458" s="335"/>
      <c r="FP458" s="335"/>
      <c r="FQ458" s="335"/>
      <c r="FR458" s="335"/>
      <c r="FS458" s="335"/>
      <c r="FT458" s="335"/>
      <c r="FU458" s="335"/>
      <c r="FV458" s="335"/>
      <c r="FW458" s="335"/>
      <c r="FX458" s="335"/>
      <c r="FY458" s="335"/>
      <c r="FZ458" s="335"/>
      <c r="GA458" s="335"/>
      <c r="GB458" s="335"/>
      <c r="GC458" s="335"/>
      <c r="GD458" s="335"/>
      <c r="GE458" s="335"/>
      <c r="GF458" s="335"/>
      <c r="GG458" s="335"/>
      <c r="GH458" s="335"/>
      <c r="GI458" s="335"/>
      <c r="GJ458" s="335"/>
      <c r="GK458" s="335"/>
      <c r="GL458" s="335"/>
      <c r="GM458" s="335"/>
      <c r="GN458" s="335"/>
      <c r="GO458" s="335"/>
      <c r="GP458" s="335"/>
      <c r="GQ458" s="335"/>
      <c r="GR458" s="335"/>
      <c r="GS458" s="335"/>
      <c r="GT458" s="335"/>
      <c r="GU458" s="335"/>
      <c r="GV458" s="335"/>
      <c r="GW458" s="335"/>
      <c r="GX458" s="335"/>
      <c r="GY458" s="335"/>
      <c r="GZ458" s="335"/>
    </row>
    <row r="459" spans="1:208" ht="15">
      <c r="A459" s="379"/>
      <c r="B459" s="335"/>
      <c r="C459" s="335"/>
      <c r="D459" s="335"/>
      <c r="E459" s="335"/>
      <c r="F459" s="335"/>
      <c r="G459" s="335"/>
      <c r="H459" s="335"/>
      <c r="I459" s="335"/>
      <c r="J459" s="335"/>
      <c r="K459" s="335"/>
      <c r="L459" s="335"/>
      <c r="M459" s="376"/>
      <c r="N459" s="335"/>
      <c r="O459" s="380"/>
      <c r="P459" s="335"/>
      <c r="Q459" s="335"/>
      <c r="R459" s="335"/>
      <c r="S459" s="335"/>
      <c r="T459" s="335"/>
      <c r="U459" s="335"/>
      <c r="V459" s="335"/>
      <c r="W459" s="335"/>
      <c r="X459" s="335"/>
      <c r="Y459" s="335"/>
      <c r="Z459" s="335"/>
      <c r="AA459" s="335"/>
      <c r="AB459" s="335"/>
      <c r="AC459" s="335"/>
      <c r="AD459" s="335"/>
      <c r="AE459" s="335"/>
      <c r="AF459" s="335"/>
      <c r="AG459" s="335"/>
      <c r="AH459" s="335"/>
      <c r="AI459" s="335"/>
      <c r="AJ459" s="335"/>
      <c r="AK459" s="335"/>
      <c r="AL459" s="335"/>
      <c r="AM459" s="335"/>
      <c r="AN459" s="335"/>
      <c r="AO459" s="335"/>
      <c r="AP459" s="335"/>
      <c r="AQ459" s="335"/>
      <c r="AR459" s="335"/>
      <c r="AS459" s="335"/>
      <c r="AT459" s="335"/>
      <c r="AU459" s="335"/>
      <c r="AV459" s="335"/>
      <c r="AW459" s="335"/>
      <c r="AX459" s="335"/>
      <c r="AY459" s="335"/>
      <c r="AZ459" s="335"/>
      <c r="BA459" s="335"/>
      <c r="BB459" s="335"/>
      <c r="BC459" s="335"/>
      <c r="BD459" s="335"/>
      <c r="BE459" s="335"/>
      <c r="BF459" s="335"/>
      <c r="BG459" s="335"/>
      <c r="BH459" s="335"/>
      <c r="BI459" s="335"/>
      <c r="BJ459" s="335"/>
      <c r="BK459" s="335"/>
      <c r="BL459" s="335"/>
      <c r="BM459" s="335"/>
      <c r="BN459" s="335"/>
      <c r="BO459" s="335"/>
      <c r="BP459" s="335"/>
      <c r="BQ459" s="335"/>
      <c r="BR459" s="335"/>
      <c r="BS459" s="335"/>
      <c r="BT459" s="335"/>
      <c r="BU459" s="335"/>
      <c r="BV459" s="335"/>
      <c r="BW459" s="335"/>
      <c r="BX459" s="335"/>
      <c r="BY459" s="335"/>
      <c r="BZ459" s="335"/>
      <c r="CA459" s="335"/>
      <c r="CB459" s="335"/>
      <c r="CC459" s="335"/>
      <c r="CD459" s="335"/>
      <c r="CE459" s="335"/>
      <c r="CF459" s="335"/>
      <c r="CG459" s="335"/>
      <c r="CH459" s="335"/>
      <c r="CI459" s="335"/>
      <c r="CJ459" s="335"/>
      <c r="CK459" s="335"/>
      <c r="CL459" s="335"/>
      <c r="CM459" s="335"/>
      <c r="CN459" s="335"/>
      <c r="CO459" s="335"/>
      <c r="CP459" s="335"/>
      <c r="CQ459" s="335"/>
      <c r="CR459" s="335"/>
      <c r="CS459" s="335"/>
      <c r="CT459" s="335"/>
      <c r="CU459" s="335"/>
      <c r="CV459" s="335"/>
      <c r="CW459" s="335"/>
      <c r="CX459" s="335"/>
      <c r="CY459" s="335"/>
      <c r="CZ459" s="335"/>
      <c r="DA459" s="335"/>
      <c r="DB459" s="335"/>
      <c r="DC459" s="335"/>
      <c r="DD459" s="335"/>
      <c r="DE459" s="335"/>
      <c r="DF459" s="335"/>
      <c r="DG459" s="335"/>
      <c r="DH459" s="335"/>
      <c r="DI459" s="335"/>
      <c r="DJ459" s="335"/>
      <c r="DK459" s="335"/>
      <c r="DL459" s="335"/>
      <c r="DM459" s="335"/>
      <c r="DN459" s="335"/>
      <c r="DO459" s="335"/>
      <c r="DP459" s="335"/>
      <c r="DQ459" s="335"/>
      <c r="DR459" s="335"/>
      <c r="DS459" s="335"/>
      <c r="DT459" s="335"/>
      <c r="DU459" s="335"/>
      <c r="DV459" s="335"/>
      <c r="DW459" s="335"/>
      <c r="DX459" s="335"/>
      <c r="DY459" s="335"/>
      <c r="DZ459" s="335"/>
      <c r="EA459" s="335"/>
      <c r="EB459" s="335"/>
      <c r="EC459" s="335"/>
      <c r="ED459" s="335"/>
      <c r="EE459" s="335"/>
      <c r="EF459" s="335"/>
      <c r="EG459" s="335"/>
      <c r="EH459" s="335"/>
      <c r="EI459" s="335"/>
      <c r="EJ459" s="335"/>
      <c r="EK459" s="335"/>
      <c r="EL459" s="335"/>
      <c r="EM459" s="335"/>
      <c r="EN459" s="335"/>
      <c r="EO459" s="335"/>
      <c r="EP459" s="335"/>
      <c r="EQ459" s="335"/>
      <c r="ER459" s="335"/>
      <c r="ES459" s="335"/>
      <c r="ET459" s="335"/>
      <c r="EU459" s="335"/>
      <c r="EV459" s="335"/>
      <c r="EW459" s="335"/>
      <c r="EX459" s="335"/>
      <c r="EY459" s="335"/>
      <c r="EZ459" s="335"/>
      <c r="FA459" s="335"/>
      <c r="FB459" s="335"/>
      <c r="FC459" s="335"/>
      <c r="FD459" s="335"/>
      <c r="FE459" s="335"/>
      <c r="FF459" s="335"/>
      <c r="FG459" s="335"/>
      <c r="FH459" s="335"/>
      <c r="FI459" s="335"/>
      <c r="FJ459" s="335"/>
      <c r="FK459" s="335"/>
      <c r="FL459" s="335"/>
      <c r="FM459" s="335"/>
      <c r="FN459" s="335"/>
      <c r="FO459" s="335"/>
      <c r="FP459" s="335"/>
      <c r="FQ459" s="335"/>
      <c r="FR459" s="335"/>
      <c r="FS459" s="335"/>
      <c r="FT459" s="335"/>
      <c r="FU459" s="335"/>
      <c r="FV459" s="335"/>
      <c r="FW459" s="335"/>
      <c r="FX459" s="335"/>
      <c r="FY459" s="335"/>
      <c r="FZ459" s="335"/>
      <c r="GA459" s="335"/>
      <c r="GB459" s="335"/>
      <c r="GC459" s="335"/>
      <c r="GD459" s="335"/>
      <c r="GE459" s="335"/>
      <c r="GF459" s="335"/>
      <c r="GG459" s="335"/>
      <c r="GH459" s="335"/>
      <c r="GI459" s="335"/>
      <c r="GJ459" s="335"/>
      <c r="GK459" s="335"/>
      <c r="GL459" s="335"/>
      <c r="GM459" s="335"/>
      <c r="GN459" s="335"/>
      <c r="GO459" s="335"/>
      <c r="GP459" s="335"/>
      <c r="GQ459" s="335"/>
      <c r="GR459" s="335"/>
      <c r="GS459" s="335"/>
      <c r="GT459" s="335"/>
      <c r="GU459" s="335"/>
      <c r="GV459" s="335"/>
      <c r="GW459" s="335"/>
      <c r="GX459" s="335"/>
      <c r="GY459" s="335"/>
      <c r="GZ459" s="335"/>
    </row>
    <row r="460" spans="1:208" ht="15">
      <c r="A460" s="379"/>
      <c r="B460" s="335"/>
      <c r="C460" s="335"/>
      <c r="D460" s="335"/>
      <c r="E460" s="335"/>
      <c r="F460" s="335"/>
      <c r="G460" s="335"/>
      <c r="H460" s="335"/>
      <c r="I460" s="335"/>
      <c r="J460" s="335"/>
      <c r="K460" s="335"/>
      <c r="L460" s="335"/>
      <c r="M460" s="376"/>
      <c r="N460" s="335"/>
      <c r="O460" s="380"/>
      <c r="P460" s="335"/>
      <c r="Q460" s="335"/>
      <c r="R460" s="335"/>
      <c r="S460" s="335"/>
      <c r="T460" s="335"/>
      <c r="U460" s="335"/>
      <c r="V460" s="335"/>
      <c r="W460" s="335"/>
      <c r="X460" s="335"/>
      <c r="Y460" s="335"/>
      <c r="Z460" s="335"/>
      <c r="AA460" s="335"/>
      <c r="AB460" s="335"/>
      <c r="AC460" s="335"/>
      <c r="AD460" s="335"/>
      <c r="AE460" s="335"/>
      <c r="AF460" s="335"/>
      <c r="AG460" s="335"/>
      <c r="AH460" s="335"/>
      <c r="AI460" s="335"/>
      <c r="AJ460" s="335"/>
      <c r="AK460" s="335"/>
      <c r="AL460" s="335"/>
      <c r="AM460" s="335"/>
      <c r="AN460" s="335"/>
      <c r="AO460" s="335"/>
      <c r="AP460" s="335"/>
      <c r="AQ460" s="335"/>
      <c r="AR460" s="335"/>
      <c r="AS460" s="335"/>
      <c r="AT460" s="335"/>
      <c r="AU460" s="335"/>
      <c r="AV460" s="335"/>
      <c r="AW460" s="335"/>
      <c r="AX460" s="335"/>
      <c r="AY460" s="335"/>
      <c r="AZ460" s="335"/>
      <c r="BA460" s="335"/>
      <c r="BB460" s="335"/>
      <c r="BC460" s="335"/>
      <c r="BD460" s="335"/>
      <c r="BE460" s="335"/>
      <c r="BF460" s="335"/>
      <c r="BG460" s="335"/>
      <c r="BH460" s="335"/>
      <c r="BI460" s="335"/>
      <c r="BJ460" s="335"/>
      <c r="BK460" s="335"/>
      <c r="BL460" s="335"/>
      <c r="BM460" s="335"/>
      <c r="BN460" s="335"/>
      <c r="BO460" s="335"/>
      <c r="BP460" s="335"/>
      <c r="BQ460" s="335"/>
      <c r="BR460" s="335"/>
      <c r="BS460" s="335"/>
      <c r="BT460" s="335"/>
      <c r="BU460" s="335"/>
      <c r="BV460" s="335"/>
      <c r="BW460" s="335"/>
      <c r="BX460" s="335"/>
      <c r="BY460" s="335"/>
      <c r="BZ460" s="335"/>
      <c r="CA460" s="335"/>
      <c r="CB460" s="335"/>
      <c r="CC460" s="335"/>
      <c r="CD460" s="335"/>
      <c r="CE460" s="335"/>
      <c r="CF460" s="335"/>
      <c r="CG460" s="335"/>
      <c r="CH460" s="335"/>
      <c r="CI460" s="335"/>
      <c r="CJ460" s="335"/>
      <c r="CK460" s="335"/>
      <c r="CL460" s="335"/>
      <c r="CM460" s="335"/>
      <c r="CN460" s="335"/>
      <c r="CO460" s="335"/>
      <c r="CP460" s="335"/>
      <c r="CQ460" s="335"/>
      <c r="CR460" s="335"/>
      <c r="CS460" s="335"/>
      <c r="CT460" s="335"/>
      <c r="CU460" s="335"/>
      <c r="CV460" s="335"/>
      <c r="CW460" s="335"/>
      <c r="CX460" s="335"/>
      <c r="CY460" s="335"/>
      <c r="CZ460" s="335"/>
      <c r="DA460" s="335"/>
      <c r="DB460" s="335"/>
      <c r="DC460" s="335"/>
      <c r="DD460" s="335"/>
      <c r="DE460" s="335"/>
      <c r="DF460" s="335"/>
      <c r="DG460" s="335"/>
      <c r="DH460" s="335"/>
      <c r="DI460" s="335"/>
      <c r="DJ460" s="335"/>
      <c r="DK460" s="335"/>
      <c r="DL460" s="335"/>
      <c r="DM460" s="335"/>
      <c r="DN460" s="335"/>
      <c r="DO460" s="335"/>
      <c r="DP460" s="335"/>
      <c r="DQ460" s="335"/>
      <c r="DR460" s="335"/>
      <c r="DS460" s="335"/>
      <c r="DT460" s="335"/>
      <c r="DU460" s="335"/>
      <c r="DV460" s="335"/>
      <c r="DW460" s="335"/>
      <c r="DX460" s="335"/>
      <c r="DY460" s="335"/>
      <c r="DZ460" s="335"/>
      <c r="EA460" s="335"/>
      <c r="EB460" s="335"/>
      <c r="EC460" s="335"/>
      <c r="ED460" s="335"/>
      <c r="EE460" s="335"/>
      <c r="EF460" s="335"/>
      <c r="EG460" s="335"/>
      <c r="EH460" s="335"/>
      <c r="EI460" s="335"/>
      <c r="EJ460" s="335"/>
      <c r="EK460" s="335"/>
      <c r="EL460" s="335"/>
      <c r="EM460" s="335"/>
      <c r="EN460" s="335"/>
      <c r="EO460" s="335"/>
      <c r="EP460" s="335"/>
      <c r="EQ460" s="335"/>
      <c r="ER460" s="335"/>
      <c r="ES460" s="335"/>
      <c r="ET460" s="335"/>
      <c r="EU460" s="335"/>
      <c r="EV460" s="335"/>
      <c r="EW460" s="335"/>
      <c r="EX460" s="335"/>
      <c r="EY460" s="335"/>
      <c r="EZ460" s="335"/>
      <c r="FA460" s="335"/>
      <c r="FB460" s="335"/>
      <c r="FC460" s="335"/>
      <c r="FD460" s="335"/>
      <c r="FE460" s="335"/>
      <c r="FF460" s="335"/>
      <c r="FG460" s="335"/>
      <c r="FH460" s="335"/>
      <c r="FI460" s="335"/>
      <c r="FJ460" s="335"/>
      <c r="FK460" s="335"/>
      <c r="FL460" s="335"/>
      <c r="FM460" s="335"/>
      <c r="FN460" s="335"/>
      <c r="FO460" s="335"/>
      <c r="FP460" s="335"/>
      <c r="FQ460" s="335"/>
      <c r="FR460" s="335"/>
      <c r="FS460" s="335"/>
      <c r="FT460" s="335"/>
      <c r="FU460" s="335"/>
      <c r="FV460" s="335"/>
      <c r="FW460" s="335"/>
      <c r="FX460" s="335"/>
      <c r="FY460" s="335"/>
      <c r="FZ460" s="335"/>
      <c r="GA460" s="335"/>
      <c r="GB460" s="335"/>
      <c r="GC460" s="335"/>
      <c r="GD460" s="335"/>
      <c r="GE460" s="335"/>
      <c r="GF460" s="335"/>
      <c r="GG460" s="335"/>
      <c r="GH460" s="335"/>
      <c r="GI460" s="335"/>
      <c r="GJ460" s="335"/>
      <c r="GK460" s="335"/>
      <c r="GL460" s="335"/>
      <c r="GM460" s="335"/>
      <c r="GN460" s="335"/>
      <c r="GO460" s="335"/>
      <c r="GP460" s="335"/>
      <c r="GQ460" s="335"/>
      <c r="GR460" s="335"/>
      <c r="GS460" s="335"/>
      <c r="GT460" s="335"/>
      <c r="GU460" s="335"/>
      <c r="GV460" s="335"/>
      <c r="GW460" s="335"/>
      <c r="GX460" s="335"/>
      <c r="GY460" s="335"/>
      <c r="GZ460" s="335"/>
    </row>
    <row r="461" spans="1:208" ht="15">
      <c r="A461" s="379"/>
      <c r="B461" s="335"/>
      <c r="C461" s="335"/>
      <c r="D461" s="335"/>
      <c r="E461" s="335"/>
      <c r="F461" s="335"/>
      <c r="G461" s="335"/>
      <c r="H461" s="335"/>
      <c r="I461" s="335"/>
      <c r="J461" s="335"/>
      <c r="K461" s="335"/>
      <c r="L461" s="335"/>
      <c r="M461" s="376"/>
      <c r="N461" s="335"/>
      <c r="O461" s="380"/>
      <c r="P461" s="335"/>
      <c r="Q461" s="335"/>
      <c r="R461" s="335"/>
      <c r="S461" s="335"/>
      <c r="T461" s="335"/>
      <c r="U461" s="335"/>
      <c r="V461" s="335"/>
      <c r="W461" s="335"/>
      <c r="X461" s="335"/>
      <c r="Y461" s="335"/>
      <c r="Z461" s="335"/>
      <c r="AA461" s="335"/>
      <c r="AB461" s="335"/>
      <c r="AC461" s="335"/>
      <c r="AD461" s="335"/>
      <c r="AE461" s="335"/>
      <c r="AF461" s="335"/>
      <c r="AG461" s="335"/>
      <c r="AH461" s="335"/>
      <c r="AI461" s="335"/>
      <c r="AJ461" s="335"/>
      <c r="AK461" s="335"/>
      <c r="AL461" s="335"/>
      <c r="AM461" s="335"/>
      <c r="AN461" s="335"/>
      <c r="AO461" s="335"/>
      <c r="AP461" s="335"/>
      <c r="AQ461" s="335"/>
      <c r="AR461" s="335"/>
      <c r="AS461" s="335"/>
      <c r="AT461" s="335"/>
      <c r="AU461" s="335"/>
      <c r="AV461" s="335"/>
      <c r="AW461" s="335"/>
      <c r="AX461" s="335"/>
      <c r="AY461" s="335"/>
      <c r="AZ461" s="335"/>
      <c r="BA461" s="335"/>
      <c r="BB461" s="335"/>
      <c r="BC461" s="335"/>
      <c r="BD461" s="335"/>
      <c r="BE461" s="335"/>
      <c r="BF461" s="335"/>
      <c r="BG461" s="335"/>
      <c r="BH461" s="335"/>
      <c r="BI461" s="335"/>
      <c r="BJ461" s="335"/>
      <c r="BK461" s="335"/>
      <c r="BL461" s="335"/>
      <c r="BM461" s="335"/>
      <c r="BN461" s="335"/>
      <c r="BO461" s="335"/>
      <c r="BP461" s="335"/>
      <c r="BQ461" s="335"/>
      <c r="BR461" s="335"/>
      <c r="BS461" s="335"/>
      <c r="BT461" s="335"/>
      <c r="BU461" s="335"/>
      <c r="BV461" s="335"/>
      <c r="BW461" s="335"/>
      <c r="BX461" s="335"/>
      <c r="BY461" s="335"/>
      <c r="BZ461" s="335"/>
      <c r="CA461" s="335"/>
      <c r="CB461" s="335"/>
      <c r="CC461" s="335"/>
      <c r="CD461" s="335"/>
      <c r="CE461" s="335"/>
      <c r="CF461" s="335"/>
      <c r="CG461" s="335"/>
      <c r="CH461" s="335"/>
      <c r="CI461" s="335"/>
      <c r="CJ461" s="335"/>
      <c r="CK461" s="335"/>
      <c r="CL461" s="335"/>
      <c r="CM461" s="335"/>
      <c r="CN461" s="335"/>
      <c r="CO461" s="335"/>
      <c r="CP461" s="335"/>
      <c r="CQ461" s="335"/>
      <c r="CR461" s="335"/>
      <c r="CS461" s="335"/>
      <c r="CT461" s="335"/>
      <c r="CU461" s="335"/>
      <c r="CV461" s="335"/>
      <c r="CW461" s="335"/>
      <c r="CX461" s="335"/>
      <c r="CY461" s="335"/>
      <c r="CZ461" s="335"/>
      <c r="DA461" s="335"/>
      <c r="DB461" s="335"/>
      <c r="DC461" s="335"/>
      <c r="DD461" s="335"/>
      <c r="DE461" s="335"/>
      <c r="DF461" s="335"/>
      <c r="DG461" s="335"/>
      <c r="DH461" s="335"/>
      <c r="DI461" s="335"/>
      <c r="DJ461" s="335"/>
      <c r="DK461" s="335"/>
      <c r="DL461" s="335"/>
      <c r="DM461" s="335"/>
      <c r="DN461" s="335"/>
      <c r="DO461" s="335"/>
      <c r="DP461" s="335"/>
      <c r="DQ461" s="335"/>
      <c r="DR461" s="335"/>
      <c r="DS461" s="335"/>
      <c r="DT461" s="335"/>
      <c r="DU461" s="335"/>
      <c r="DV461" s="335"/>
      <c r="DW461" s="335"/>
      <c r="DX461" s="335"/>
      <c r="DY461" s="335"/>
      <c r="DZ461" s="335"/>
      <c r="EA461" s="335"/>
      <c r="EB461" s="335"/>
      <c r="EC461" s="335"/>
      <c r="ED461" s="335"/>
      <c r="EE461" s="335"/>
      <c r="EF461" s="335"/>
      <c r="EG461" s="335"/>
      <c r="EH461" s="335"/>
      <c r="EI461" s="335"/>
      <c r="EJ461" s="335"/>
      <c r="EK461" s="335"/>
      <c r="EL461" s="335"/>
      <c r="EM461" s="335"/>
      <c r="EN461" s="335"/>
      <c r="EO461" s="335"/>
      <c r="EP461" s="335"/>
      <c r="EQ461" s="335"/>
      <c r="ER461" s="335"/>
      <c r="ES461" s="335"/>
      <c r="ET461" s="335"/>
      <c r="EU461" s="335"/>
      <c r="EV461" s="335"/>
      <c r="EW461" s="335"/>
      <c r="EX461" s="335"/>
      <c r="EY461" s="335"/>
      <c r="EZ461" s="335"/>
      <c r="FA461" s="335"/>
      <c r="FB461" s="335"/>
      <c r="FC461" s="335"/>
      <c r="FD461" s="335"/>
      <c r="FE461" s="335"/>
      <c r="FF461" s="335"/>
      <c r="FG461" s="335"/>
      <c r="FH461" s="335"/>
      <c r="FI461" s="335"/>
      <c r="FJ461" s="335"/>
      <c r="FK461" s="335"/>
      <c r="FL461" s="335"/>
      <c r="FM461" s="335"/>
      <c r="FN461" s="335"/>
      <c r="FO461" s="335"/>
      <c r="FP461" s="335"/>
      <c r="FQ461" s="335"/>
      <c r="FR461" s="335"/>
      <c r="FS461" s="335"/>
      <c r="FT461" s="335"/>
      <c r="FU461" s="335"/>
      <c r="FV461" s="335"/>
      <c r="FW461" s="335"/>
      <c r="FX461" s="335"/>
      <c r="FY461" s="335"/>
      <c r="FZ461" s="335"/>
      <c r="GA461" s="335"/>
      <c r="GB461" s="335"/>
      <c r="GC461" s="335"/>
      <c r="GD461" s="335"/>
      <c r="GE461" s="335"/>
      <c r="GF461" s="335"/>
      <c r="GG461" s="335"/>
      <c r="GH461" s="335"/>
      <c r="GI461" s="335"/>
      <c r="GJ461" s="335"/>
      <c r="GK461" s="335"/>
      <c r="GL461" s="335"/>
      <c r="GM461" s="335"/>
      <c r="GN461" s="335"/>
      <c r="GO461" s="335"/>
      <c r="GP461" s="335"/>
      <c r="GQ461" s="335"/>
      <c r="GR461" s="335"/>
      <c r="GS461" s="335"/>
      <c r="GT461" s="335"/>
      <c r="GU461" s="335"/>
      <c r="GV461" s="335"/>
      <c r="GW461" s="335"/>
      <c r="GX461" s="335"/>
      <c r="GY461" s="335"/>
      <c r="GZ461" s="335"/>
    </row>
    <row r="462" spans="1:208" ht="15">
      <c r="A462" s="379"/>
      <c r="B462" s="335"/>
      <c r="C462" s="335"/>
      <c r="D462" s="335"/>
      <c r="E462" s="335"/>
      <c r="F462" s="335"/>
      <c r="G462" s="335"/>
      <c r="H462" s="335"/>
      <c r="I462" s="335"/>
      <c r="J462" s="335"/>
      <c r="K462" s="335"/>
      <c r="L462" s="335"/>
      <c r="M462" s="376"/>
      <c r="N462" s="335"/>
      <c r="O462" s="380"/>
      <c r="P462" s="335"/>
      <c r="Q462" s="335"/>
      <c r="R462" s="335"/>
      <c r="S462" s="335"/>
      <c r="T462" s="335"/>
      <c r="U462" s="335"/>
      <c r="V462" s="335"/>
      <c r="W462" s="335"/>
      <c r="X462" s="335"/>
      <c r="Y462" s="335"/>
      <c r="Z462" s="335"/>
      <c r="AA462" s="335"/>
      <c r="AB462" s="335"/>
      <c r="AC462" s="335"/>
      <c r="AD462" s="335"/>
      <c r="AE462" s="335"/>
      <c r="AF462" s="335"/>
      <c r="AG462" s="335"/>
      <c r="AH462" s="335"/>
      <c r="AI462" s="335"/>
      <c r="AJ462" s="335"/>
      <c r="AK462" s="335"/>
      <c r="AL462" s="335"/>
      <c r="AM462" s="335"/>
      <c r="AN462" s="335"/>
      <c r="AO462" s="335"/>
      <c r="AP462" s="335"/>
      <c r="AQ462" s="335"/>
      <c r="AR462" s="335"/>
      <c r="AS462" s="335"/>
      <c r="AT462" s="335"/>
      <c r="AU462" s="335"/>
      <c r="AV462" s="335"/>
      <c r="AW462" s="335"/>
      <c r="AX462" s="335"/>
      <c r="AY462" s="335"/>
      <c r="AZ462" s="335"/>
      <c r="BA462" s="335"/>
      <c r="BB462" s="335"/>
      <c r="BC462" s="335"/>
      <c r="BD462" s="335"/>
      <c r="BE462" s="335"/>
      <c r="BF462" s="335"/>
      <c r="BG462" s="335"/>
      <c r="BH462" s="335"/>
      <c r="BI462" s="335"/>
      <c r="BJ462" s="335"/>
      <c r="BK462" s="335"/>
      <c r="BL462" s="335"/>
      <c r="BM462" s="335"/>
      <c r="BN462" s="335"/>
      <c r="BO462" s="335"/>
      <c r="BP462" s="335"/>
      <c r="BQ462" s="335"/>
      <c r="BR462" s="335"/>
      <c r="BS462" s="335"/>
      <c r="BT462" s="335"/>
      <c r="BU462" s="335"/>
      <c r="BV462" s="335"/>
      <c r="BW462" s="335"/>
      <c r="BX462" s="335"/>
      <c r="BY462" s="335"/>
      <c r="BZ462" s="335"/>
      <c r="CA462" s="335"/>
      <c r="CB462" s="335"/>
      <c r="CC462" s="335"/>
      <c r="CD462" s="335"/>
      <c r="CE462" s="335"/>
      <c r="CF462" s="335"/>
      <c r="CG462" s="335"/>
      <c r="CH462" s="335"/>
      <c r="CI462" s="335"/>
      <c r="CJ462" s="335"/>
      <c r="CK462" s="335"/>
      <c r="CL462" s="335"/>
      <c r="CM462" s="335"/>
      <c r="CN462" s="335"/>
      <c r="CO462" s="335"/>
      <c r="CP462" s="335"/>
      <c r="CQ462" s="335"/>
      <c r="CR462" s="335"/>
      <c r="CS462" s="335"/>
      <c r="CT462" s="335"/>
      <c r="CU462" s="335"/>
      <c r="CV462" s="335"/>
      <c r="CW462" s="335"/>
      <c r="CX462" s="335"/>
      <c r="CY462" s="335"/>
      <c r="CZ462" s="335"/>
      <c r="DA462" s="335"/>
      <c r="DB462" s="335"/>
      <c r="DC462" s="335"/>
      <c r="DD462" s="335"/>
      <c r="DE462" s="335"/>
      <c r="DF462" s="335"/>
      <c r="DG462" s="335"/>
      <c r="DH462" s="335"/>
      <c r="DI462" s="335"/>
      <c r="DJ462" s="335"/>
      <c r="DK462" s="335"/>
      <c r="DL462" s="335"/>
      <c r="DM462" s="335"/>
      <c r="DN462" s="335"/>
      <c r="DO462" s="335"/>
      <c r="DP462" s="335"/>
      <c r="DQ462" s="335"/>
      <c r="DR462" s="335"/>
      <c r="DS462" s="335"/>
      <c r="DT462" s="335"/>
      <c r="DU462" s="335"/>
      <c r="DV462" s="335"/>
      <c r="DW462" s="335"/>
      <c r="DX462" s="335"/>
      <c r="DY462" s="335"/>
      <c r="DZ462" s="335"/>
      <c r="EA462" s="335"/>
      <c r="EB462" s="335"/>
      <c r="EC462" s="335"/>
      <c r="ED462" s="335"/>
      <c r="EE462" s="335"/>
      <c r="EF462" s="335"/>
      <c r="EG462" s="335"/>
      <c r="EH462" s="335"/>
      <c r="EI462" s="335"/>
      <c r="EJ462" s="335"/>
      <c r="EK462" s="335"/>
      <c r="EL462" s="335"/>
      <c r="EM462" s="335"/>
      <c r="EN462" s="335"/>
      <c r="EO462" s="335"/>
      <c r="EP462" s="335"/>
      <c r="EQ462" s="335"/>
      <c r="ER462" s="335"/>
      <c r="ES462" s="335"/>
      <c r="ET462" s="335"/>
      <c r="EU462" s="335"/>
      <c r="EV462" s="335"/>
      <c r="EW462" s="335"/>
      <c r="EX462" s="335"/>
      <c r="EY462" s="335"/>
      <c r="EZ462" s="335"/>
      <c r="FA462" s="335"/>
      <c r="FB462" s="335"/>
      <c r="FC462" s="335"/>
      <c r="FD462" s="335"/>
      <c r="FE462" s="335"/>
      <c r="FF462" s="335"/>
      <c r="FG462" s="335"/>
      <c r="FH462" s="335"/>
      <c r="FI462" s="335"/>
      <c r="FJ462" s="335"/>
      <c r="FK462" s="335"/>
      <c r="FL462" s="335"/>
      <c r="FM462" s="335"/>
      <c r="FN462" s="335"/>
      <c r="FO462" s="335"/>
      <c r="FP462" s="335"/>
      <c r="FQ462" s="335"/>
      <c r="FR462" s="335"/>
      <c r="FS462" s="335"/>
      <c r="FT462" s="335"/>
      <c r="FU462" s="335"/>
      <c r="FV462" s="335"/>
      <c r="FW462" s="335"/>
      <c r="FX462" s="335"/>
      <c r="FY462" s="335"/>
      <c r="FZ462" s="335"/>
      <c r="GA462" s="335"/>
      <c r="GB462" s="335"/>
      <c r="GC462" s="335"/>
      <c r="GD462" s="335"/>
      <c r="GE462" s="335"/>
      <c r="GF462" s="335"/>
      <c r="GG462" s="335"/>
      <c r="GH462" s="335"/>
      <c r="GI462" s="335"/>
      <c r="GJ462" s="335"/>
      <c r="GK462" s="335"/>
      <c r="GL462" s="335"/>
      <c r="GM462" s="335"/>
      <c r="GN462" s="335"/>
      <c r="GO462" s="335"/>
      <c r="GP462" s="335"/>
      <c r="GQ462" s="335"/>
      <c r="GR462" s="335"/>
      <c r="GS462" s="335"/>
      <c r="GT462" s="335"/>
      <c r="GU462" s="335"/>
      <c r="GV462" s="335"/>
      <c r="GW462" s="335"/>
      <c r="GX462" s="335"/>
      <c r="GY462" s="335"/>
      <c r="GZ462" s="335"/>
    </row>
    <row r="463" spans="1:208" ht="15">
      <c r="A463" s="379"/>
      <c r="B463" s="335"/>
      <c r="C463" s="335"/>
      <c r="D463" s="335"/>
      <c r="E463" s="335"/>
      <c r="F463" s="335"/>
      <c r="G463" s="335"/>
      <c r="H463" s="335"/>
      <c r="I463" s="335"/>
      <c r="J463" s="335"/>
      <c r="K463" s="335"/>
      <c r="L463" s="335"/>
      <c r="M463" s="376"/>
      <c r="N463" s="335"/>
      <c r="O463" s="380"/>
      <c r="P463" s="335"/>
      <c r="Q463" s="335"/>
      <c r="R463" s="335"/>
      <c r="S463" s="335"/>
      <c r="T463" s="335"/>
      <c r="U463" s="335"/>
      <c r="V463" s="335"/>
      <c r="W463" s="335"/>
      <c r="X463" s="335"/>
      <c r="Y463" s="335"/>
      <c r="Z463" s="335"/>
      <c r="AA463" s="335"/>
      <c r="AB463" s="335"/>
      <c r="AC463" s="335"/>
      <c r="AD463" s="335"/>
      <c r="AE463" s="335"/>
      <c r="AF463" s="335"/>
      <c r="AG463" s="335"/>
      <c r="AH463" s="335"/>
      <c r="AI463" s="335"/>
      <c r="AJ463" s="335"/>
      <c r="AK463" s="335"/>
      <c r="AL463" s="335"/>
      <c r="AM463" s="335"/>
      <c r="AN463" s="335"/>
      <c r="AO463" s="335"/>
      <c r="AP463" s="335"/>
      <c r="AQ463" s="335"/>
      <c r="AR463" s="335"/>
      <c r="AS463" s="335"/>
      <c r="AT463" s="335"/>
      <c r="AU463" s="335"/>
      <c r="AV463" s="335"/>
      <c r="AW463" s="335"/>
      <c r="AX463" s="335"/>
      <c r="AY463" s="335"/>
      <c r="AZ463" s="335"/>
      <c r="BA463" s="335"/>
      <c r="BB463" s="335"/>
      <c r="BC463" s="335"/>
      <c r="BD463" s="335"/>
      <c r="BE463" s="335"/>
      <c r="BF463" s="335"/>
      <c r="BG463" s="335"/>
      <c r="BH463" s="335"/>
      <c r="BI463" s="335"/>
      <c r="BJ463" s="335"/>
      <c r="BK463" s="335"/>
      <c r="BL463" s="335"/>
      <c r="BM463" s="335"/>
      <c r="BN463" s="335"/>
      <c r="BO463" s="335"/>
      <c r="BP463" s="335"/>
      <c r="BQ463" s="335"/>
      <c r="BR463" s="335"/>
      <c r="BS463" s="335"/>
      <c r="BT463" s="335"/>
      <c r="BU463" s="335"/>
      <c r="BV463" s="335"/>
      <c r="BW463" s="335"/>
      <c r="BX463" s="335"/>
      <c r="BY463" s="335"/>
      <c r="BZ463" s="335"/>
      <c r="CA463" s="335"/>
      <c r="CB463" s="335"/>
      <c r="CC463" s="335"/>
      <c r="CD463" s="335"/>
      <c r="CE463" s="335"/>
      <c r="CF463" s="335"/>
      <c r="CG463" s="335"/>
      <c r="CH463" s="335"/>
      <c r="CI463" s="335"/>
      <c r="CJ463" s="335"/>
      <c r="CK463" s="335"/>
      <c r="CL463" s="335"/>
      <c r="CM463" s="335"/>
      <c r="CN463" s="335"/>
      <c r="CO463" s="335"/>
      <c r="CP463" s="335"/>
      <c r="CQ463" s="335"/>
      <c r="CR463" s="335"/>
      <c r="CS463" s="335"/>
      <c r="CT463" s="335"/>
      <c r="CU463" s="335"/>
      <c r="CV463" s="335"/>
      <c r="CW463" s="335"/>
      <c r="CX463" s="335"/>
      <c r="CY463" s="335"/>
      <c r="CZ463" s="335"/>
      <c r="DA463" s="335"/>
      <c r="DB463" s="335"/>
      <c r="DC463" s="335"/>
      <c r="DD463" s="335"/>
      <c r="DE463" s="335"/>
      <c r="DF463" s="335"/>
      <c r="DG463" s="335"/>
      <c r="DH463" s="335"/>
      <c r="DI463" s="335"/>
      <c r="DJ463" s="335"/>
      <c r="DK463" s="335"/>
      <c r="DL463" s="335"/>
      <c r="DM463" s="335"/>
      <c r="DN463" s="335"/>
      <c r="DO463" s="335"/>
      <c r="DP463" s="335"/>
      <c r="DQ463" s="335"/>
      <c r="DR463" s="335"/>
      <c r="DS463" s="335"/>
      <c r="DT463" s="335"/>
      <c r="DU463" s="335"/>
      <c r="DV463" s="335"/>
      <c r="DW463" s="335"/>
      <c r="DX463" s="335"/>
      <c r="DY463" s="335"/>
      <c r="DZ463" s="335"/>
      <c r="EA463" s="335"/>
      <c r="EB463" s="335"/>
      <c r="EC463" s="335"/>
      <c r="ED463" s="335"/>
      <c r="EE463" s="335"/>
      <c r="EF463" s="335"/>
      <c r="EG463" s="335"/>
      <c r="EH463" s="335"/>
      <c r="EI463" s="335"/>
      <c r="EJ463" s="335"/>
      <c r="EK463" s="335"/>
      <c r="EL463" s="335"/>
      <c r="EM463" s="335"/>
      <c r="EN463" s="335"/>
      <c r="EO463" s="335"/>
      <c r="EP463" s="335"/>
      <c r="EQ463" s="335"/>
      <c r="ER463" s="335"/>
      <c r="ES463" s="335"/>
      <c r="ET463" s="335"/>
      <c r="EU463" s="335"/>
      <c r="EV463" s="335"/>
      <c r="EW463" s="335"/>
      <c r="EX463" s="335"/>
      <c r="EY463" s="335"/>
      <c r="EZ463" s="335"/>
      <c r="FA463" s="335"/>
      <c r="FB463" s="335"/>
      <c r="FC463" s="335"/>
      <c r="FD463" s="335"/>
      <c r="FE463" s="335"/>
      <c r="FF463" s="335"/>
      <c r="FG463" s="335"/>
      <c r="FH463" s="335"/>
      <c r="FI463" s="335"/>
      <c r="FJ463" s="335"/>
      <c r="FK463" s="335"/>
      <c r="FL463" s="335"/>
      <c r="FM463" s="335"/>
      <c r="FN463" s="335"/>
      <c r="FO463" s="335"/>
      <c r="FP463" s="335"/>
      <c r="FQ463" s="335"/>
      <c r="FR463" s="335"/>
      <c r="FS463" s="335"/>
      <c r="FT463" s="335"/>
      <c r="FU463" s="335"/>
      <c r="FV463" s="335"/>
      <c r="FW463" s="335"/>
      <c r="FX463" s="335"/>
      <c r="FY463" s="335"/>
      <c r="FZ463" s="335"/>
      <c r="GA463" s="335"/>
      <c r="GB463" s="335"/>
      <c r="GC463" s="335"/>
      <c r="GD463" s="335"/>
      <c r="GE463" s="335"/>
      <c r="GF463" s="335"/>
      <c r="GG463" s="335"/>
      <c r="GH463" s="335"/>
      <c r="GI463" s="335"/>
      <c r="GJ463" s="335"/>
      <c r="GK463" s="335"/>
      <c r="GL463" s="335"/>
      <c r="GM463" s="335"/>
      <c r="GN463" s="335"/>
      <c r="GO463" s="335"/>
      <c r="GP463" s="335"/>
      <c r="GQ463" s="335"/>
      <c r="GR463" s="335"/>
      <c r="GS463" s="335"/>
      <c r="GT463" s="335"/>
      <c r="GU463" s="335"/>
      <c r="GV463" s="335"/>
      <c r="GW463" s="335"/>
      <c r="GX463" s="335"/>
      <c r="GY463" s="335"/>
      <c r="GZ463" s="335"/>
    </row>
    <row r="464" spans="1:208" ht="15">
      <c r="A464" s="379"/>
      <c r="B464" s="335"/>
      <c r="C464" s="335"/>
      <c r="D464" s="335"/>
      <c r="E464" s="335"/>
      <c r="F464" s="335"/>
      <c r="G464" s="335"/>
      <c r="H464" s="335"/>
      <c r="I464" s="335"/>
      <c r="J464" s="335"/>
      <c r="K464" s="335"/>
      <c r="L464" s="335"/>
      <c r="M464" s="376"/>
      <c r="N464" s="335"/>
      <c r="O464" s="380"/>
      <c r="P464" s="335"/>
      <c r="Q464" s="335"/>
      <c r="R464" s="335"/>
      <c r="S464" s="335"/>
      <c r="T464" s="335"/>
      <c r="U464" s="335"/>
      <c r="V464" s="335"/>
      <c r="W464" s="335"/>
      <c r="X464" s="335"/>
      <c r="Y464" s="335"/>
      <c r="Z464" s="335"/>
      <c r="AA464" s="335"/>
      <c r="AB464" s="335"/>
      <c r="AC464" s="335"/>
      <c r="AD464" s="335"/>
      <c r="AE464" s="335"/>
      <c r="AF464" s="335"/>
      <c r="AG464" s="335"/>
      <c r="AH464" s="335"/>
      <c r="AI464" s="335"/>
      <c r="AJ464" s="335"/>
      <c r="AK464" s="335"/>
      <c r="AL464" s="335"/>
      <c r="AM464" s="335"/>
      <c r="AN464" s="335"/>
      <c r="AO464" s="335"/>
      <c r="AP464" s="335"/>
      <c r="AQ464" s="335"/>
      <c r="AR464" s="335"/>
      <c r="AS464" s="335"/>
      <c r="AT464" s="335"/>
      <c r="AU464" s="335"/>
      <c r="AV464" s="335"/>
      <c r="AW464" s="335"/>
      <c r="AX464" s="335"/>
      <c r="AY464" s="335"/>
      <c r="AZ464" s="335"/>
      <c r="BA464" s="335"/>
      <c r="BB464" s="335"/>
      <c r="BC464" s="335"/>
      <c r="BD464" s="335"/>
      <c r="BE464" s="335"/>
      <c r="BF464" s="335"/>
      <c r="BG464" s="335"/>
      <c r="BH464" s="335"/>
      <c r="BI464" s="335"/>
      <c r="BJ464" s="335"/>
      <c r="BK464" s="335"/>
      <c r="BL464" s="335"/>
      <c r="BM464" s="335"/>
      <c r="BN464" s="335"/>
      <c r="BO464" s="335"/>
      <c r="BP464" s="335"/>
      <c r="BQ464" s="335"/>
      <c r="BR464" s="335"/>
      <c r="BS464" s="335"/>
      <c r="BT464" s="335"/>
      <c r="BU464" s="335"/>
      <c r="BV464" s="335"/>
      <c r="BW464" s="335"/>
      <c r="BX464" s="335"/>
      <c r="BY464" s="335"/>
      <c r="BZ464" s="335"/>
      <c r="CA464" s="335"/>
      <c r="CB464" s="335"/>
      <c r="CC464" s="335"/>
      <c r="CD464" s="335"/>
      <c r="CE464" s="335"/>
      <c r="CF464" s="335"/>
      <c r="CG464" s="335"/>
      <c r="CH464" s="335"/>
      <c r="CI464" s="335"/>
      <c r="CJ464" s="335"/>
      <c r="CK464" s="335"/>
      <c r="CL464" s="335"/>
      <c r="CM464" s="335"/>
      <c r="CN464" s="335"/>
      <c r="CO464" s="335"/>
      <c r="CP464" s="335"/>
      <c r="CQ464" s="335"/>
      <c r="CR464" s="335"/>
      <c r="CS464" s="335"/>
      <c r="CT464" s="335"/>
      <c r="CU464" s="335"/>
      <c r="CV464" s="335"/>
      <c r="CW464" s="335"/>
      <c r="CX464" s="335"/>
      <c r="CY464" s="335"/>
      <c r="CZ464" s="335"/>
      <c r="DA464" s="335"/>
      <c r="DB464" s="335"/>
      <c r="DC464" s="335"/>
      <c r="DD464" s="335"/>
      <c r="DE464" s="335"/>
      <c r="DF464" s="335"/>
      <c r="DG464" s="335"/>
      <c r="DH464" s="335"/>
      <c r="DI464" s="335"/>
      <c r="DJ464" s="335"/>
      <c r="DK464" s="335"/>
      <c r="DL464" s="335"/>
      <c r="DM464" s="335"/>
      <c r="DN464" s="335"/>
      <c r="DO464" s="335"/>
      <c r="DP464" s="335"/>
      <c r="DQ464" s="335"/>
      <c r="DR464" s="335"/>
      <c r="DS464" s="335"/>
      <c r="DT464" s="335"/>
      <c r="DU464" s="335"/>
      <c r="DV464" s="335"/>
      <c r="DW464" s="335"/>
      <c r="DX464" s="335"/>
      <c r="DY464" s="335"/>
      <c r="DZ464" s="335"/>
      <c r="EA464" s="335"/>
      <c r="EB464" s="335"/>
      <c r="EC464" s="335"/>
      <c r="ED464" s="335"/>
      <c r="EE464" s="335"/>
      <c r="EF464" s="335"/>
      <c r="EG464" s="335"/>
      <c r="EH464" s="335"/>
      <c r="EI464" s="335"/>
      <c r="EJ464" s="335"/>
      <c r="EK464" s="335"/>
      <c r="EL464" s="335"/>
      <c r="EM464" s="335"/>
      <c r="EN464" s="335"/>
      <c r="EO464" s="335"/>
      <c r="EP464" s="335"/>
      <c r="EQ464" s="335"/>
      <c r="ER464" s="335"/>
      <c r="ES464" s="335"/>
      <c r="ET464" s="335"/>
      <c r="EU464" s="335"/>
      <c r="EV464" s="335"/>
      <c r="EW464" s="335"/>
      <c r="EX464" s="335"/>
      <c r="EY464" s="335"/>
      <c r="EZ464" s="335"/>
      <c r="FA464" s="335"/>
      <c r="FB464" s="335"/>
      <c r="FC464" s="335"/>
      <c r="FD464" s="335"/>
      <c r="FE464" s="335"/>
      <c r="FF464" s="335"/>
      <c r="FG464" s="335"/>
      <c r="FH464" s="335"/>
      <c r="FI464" s="335"/>
      <c r="FJ464" s="335"/>
      <c r="FK464" s="335"/>
      <c r="FL464" s="335"/>
      <c r="FM464" s="335"/>
      <c r="FN464" s="335"/>
      <c r="FO464" s="335"/>
      <c r="FP464" s="335"/>
      <c r="FQ464" s="335"/>
      <c r="FR464" s="335"/>
      <c r="FS464" s="335"/>
      <c r="FT464" s="335"/>
      <c r="FU464" s="335"/>
      <c r="FV464" s="335"/>
      <c r="FW464" s="335"/>
      <c r="FX464" s="335"/>
      <c r="FY464" s="335"/>
      <c r="FZ464" s="335"/>
      <c r="GA464" s="335"/>
      <c r="GB464" s="335"/>
      <c r="GC464" s="335"/>
      <c r="GD464" s="335"/>
      <c r="GE464" s="335"/>
      <c r="GF464" s="335"/>
      <c r="GG464" s="335"/>
      <c r="GH464" s="335"/>
      <c r="GI464" s="335"/>
      <c r="GJ464" s="335"/>
      <c r="GK464" s="335"/>
      <c r="GL464" s="335"/>
      <c r="GM464" s="335"/>
      <c r="GN464" s="335"/>
      <c r="GO464" s="335"/>
      <c r="GP464" s="335"/>
      <c r="GQ464" s="335"/>
      <c r="GR464" s="335"/>
      <c r="GS464" s="335"/>
      <c r="GT464" s="335"/>
      <c r="GU464" s="335"/>
      <c r="GV464" s="335"/>
      <c r="GW464" s="335"/>
      <c r="GX464" s="335"/>
      <c r="GY464" s="335"/>
      <c r="GZ464" s="335"/>
    </row>
    <row r="465" spans="1:208" ht="15">
      <c r="A465" s="379"/>
      <c r="B465" s="335"/>
      <c r="C465" s="335"/>
      <c r="D465" s="335"/>
      <c r="E465" s="335"/>
      <c r="F465" s="335"/>
      <c r="G465" s="335"/>
      <c r="H465" s="335"/>
      <c r="I465" s="335"/>
      <c r="J465" s="335"/>
      <c r="K465" s="335"/>
      <c r="L465" s="335"/>
      <c r="M465" s="376"/>
      <c r="N465" s="335"/>
      <c r="O465" s="380"/>
      <c r="P465" s="335"/>
      <c r="Q465" s="335"/>
      <c r="R465" s="335"/>
      <c r="S465" s="335"/>
      <c r="T465" s="335"/>
      <c r="U465" s="335"/>
      <c r="V465" s="335"/>
      <c r="W465" s="335"/>
      <c r="X465" s="335"/>
      <c r="Y465" s="335"/>
      <c r="Z465" s="335"/>
      <c r="AA465" s="335"/>
      <c r="AB465" s="335"/>
      <c r="AC465" s="335"/>
      <c r="AD465" s="335"/>
      <c r="AE465" s="335"/>
      <c r="AF465" s="335"/>
      <c r="AG465" s="335"/>
      <c r="AH465" s="335"/>
      <c r="AI465" s="335"/>
      <c r="AJ465" s="335"/>
      <c r="AK465" s="335"/>
      <c r="AL465" s="335"/>
      <c r="AM465" s="335"/>
      <c r="AN465" s="335"/>
      <c r="AO465" s="335"/>
      <c r="AP465" s="335"/>
      <c r="AQ465" s="335"/>
      <c r="AR465" s="335"/>
      <c r="AS465" s="335"/>
      <c r="AT465" s="335"/>
      <c r="AU465" s="335"/>
      <c r="AV465" s="335"/>
      <c r="AW465" s="335"/>
      <c r="AX465" s="335"/>
      <c r="AY465" s="335"/>
      <c r="AZ465" s="335"/>
      <c r="BA465" s="335"/>
      <c r="BB465" s="335"/>
      <c r="BC465" s="335"/>
      <c r="BD465" s="335"/>
      <c r="BE465" s="335"/>
      <c r="BF465" s="335"/>
      <c r="BG465" s="335"/>
      <c r="BH465" s="335"/>
      <c r="BI465" s="335"/>
      <c r="BJ465" s="335"/>
      <c r="BK465" s="335"/>
      <c r="BL465" s="335"/>
      <c r="BM465" s="335"/>
      <c r="BN465" s="335"/>
      <c r="BO465" s="335"/>
      <c r="BP465" s="335"/>
      <c r="BQ465" s="335"/>
      <c r="BR465" s="335"/>
      <c r="BS465" s="335"/>
      <c r="BT465" s="335"/>
      <c r="BU465" s="335"/>
      <c r="BV465" s="335"/>
      <c r="BW465" s="335"/>
      <c r="BX465" s="335"/>
      <c r="BY465" s="335"/>
      <c r="BZ465" s="335"/>
      <c r="CA465" s="335"/>
      <c r="CB465" s="335"/>
      <c r="CC465" s="335"/>
      <c r="CD465" s="335"/>
      <c r="CE465" s="335"/>
      <c r="CF465" s="335"/>
      <c r="CG465" s="335"/>
      <c r="CH465" s="335"/>
      <c r="CI465" s="335"/>
      <c r="CJ465" s="335"/>
      <c r="CK465" s="335"/>
      <c r="CL465" s="335"/>
      <c r="CM465" s="335"/>
      <c r="CN465" s="335"/>
      <c r="CO465" s="335"/>
      <c r="CP465" s="335"/>
      <c r="CQ465" s="335"/>
      <c r="CR465" s="335"/>
      <c r="CS465" s="335"/>
      <c r="CT465" s="335"/>
      <c r="CU465" s="335"/>
      <c r="CV465" s="335"/>
      <c r="CW465" s="335"/>
      <c r="CX465" s="335"/>
      <c r="CY465" s="335"/>
      <c r="CZ465" s="335"/>
      <c r="DA465" s="335"/>
      <c r="DB465" s="335"/>
      <c r="DC465" s="335"/>
      <c r="DD465" s="335"/>
      <c r="DE465" s="335"/>
      <c r="DF465" s="335"/>
      <c r="DG465" s="335"/>
      <c r="DH465" s="335"/>
      <c r="DI465" s="335"/>
      <c r="DJ465" s="335"/>
      <c r="DK465" s="335"/>
      <c r="DL465" s="335"/>
      <c r="DM465" s="335"/>
      <c r="DN465" s="335"/>
      <c r="DO465" s="335"/>
      <c r="DP465" s="335"/>
      <c r="DQ465" s="335"/>
      <c r="DR465" s="335"/>
      <c r="DS465" s="335"/>
      <c r="DT465" s="335"/>
      <c r="DU465" s="335"/>
      <c r="DV465" s="335"/>
      <c r="DW465" s="335"/>
      <c r="DX465" s="335"/>
      <c r="DY465" s="335"/>
      <c r="DZ465" s="335"/>
      <c r="EA465" s="335"/>
      <c r="EB465" s="335"/>
      <c r="EC465" s="335"/>
      <c r="ED465" s="335"/>
      <c r="EE465" s="335"/>
      <c r="EF465" s="335"/>
      <c r="EG465" s="335"/>
      <c r="EH465" s="335"/>
      <c r="EI465" s="335"/>
      <c r="EJ465" s="335"/>
      <c r="EK465" s="335"/>
      <c r="EL465" s="335"/>
      <c r="EM465" s="335"/>
      <c r="EN465" s="335"/>
      <c r="EO465" s="335"/>
      <c r="EP465" s="335"/>
      <c r="EQ465" s="335"/>
      <c r="ER465" s="335"/>
      <c r="ES465" s="335"/>
      <c r="ET465" s="335"/>
      <c r="EU465" s="335"/>
      <c r="EV465" s="335"/>
      <c r="EW465" s="335"/>
      <c r="EX465" s="335"/>
      <c r="EY465" s="335"/>
      <c r="EZ465" s="335"/>
      <c r="FA465" s="335"/>
      <c r="FB465" s="335"/>
      <c r="FC465" s="335"/>
      <c r="FD465" s="335"/>
      <c r="FE465" s="335"/>
      <c r="FF465" s="335"/>
      <c r="FG465" s="335"/>
      <c r="FH465" s="335"/>
      <c r="FI465" s="335"/>
      <c r="FJ465" s="335"/>
      <c r="FK465" s="335"/>
      <c r="FL465" s="335"/>
      <c r="FM465" s="335"/>
      <c r="FN465" s="335"/>
      <c r="FO465" s="335"/>
      <c r="FP465" s="335"/>
      <c r="FQ465" s="335"/>
      <c r="FR465" s="335"/>
      <c r="FS465" s="335"/>
      <c r="FT465" s="335"/>
      <c r="FU465" s="335"/>
      <c r="FV465" s="335"/>
      <c r="FW465" s="335"/>
      <c r="FX465" s="335"/>
      <c r="FY465" s="335"/>
      <c r="FZ465" s="335"/>
      <c r="GA465" s="335"/>
      <c r="GB465" s="335"/>
      <c r="GC465" s="335"/>
      <c r="GD465" s="335"/>
      <c r="GE465" s="335"/>
      <c r="GF465" s="335"/>
      <c r="GG465" s="335"/>
      <c r="GH465" s="335"/>
      <c r="GI465" s="335"/>
      <c r="GJ465" s="335"/>
      <c r="GK465" s="335"/>
      <c r="GL465" s="335"/>
      <c r="GM465" s="335"/>
      <c r="GN465" s="335"/>
      <c r="GO465" s="335"/>
      <c r="GP465" s="335"/>
      <c r="GQ465" s="335"/>
      <c r="GR465" s="335"/>
      <c r="GS465" s="335"/>
      <c r="GT465" s="335"/>
      <c r="GU465" s="335"/>
      <c r="GV465" s="335"/>
      <c r="GW465" s="335"/>
      <c r="GX465" s="335"/>
      <c r="GY465" s="335"/>
      <c r="GZ465" s="335"/>
    </row>
    <row r="466" spans="1:208" ht="15">
      <c r="A466" s="379"/>
      <c r="B466" s="335"/>
      <c r="C466" s="335"/>
      <c r="D466" s="335"/>
      <c r="E466" s="335"/>
      <c r="F466" s="335"/>
      <c r="G466" s="335"/>
      <c r="H466" s="335"/>
      <c r="I466" s="335"/>
      <c r="J466" s="335"/>
      <c r="K466" s="335"/>
      <c r="L466" s="335"/>
      <c r="M466" s="376"/>
      <c r="N466" s="335"/>
      <c r="O466" s="380"/>
      <c r="P466" s="335"/>
      <c r="Q466" s="335"/>
      <c r="R466" s="335"/>
      <c r="S466" s="335"/>
      <c r="T466" s="335"/>
      <c r="U466" s="335"/>
      <c r="V466" s="335"/>
      <c r="W466" s="335"/>
      <c r="X466" s="335"/>
      <c r="Y466" s="335"/>
      <c r="Z466" s="335"/>
      <c r="AA466" s="335"/>
      <c r="AB466" s="335"/>
      <c r="AC466" s="335"/>
      <c r="AD466" s="335"/>
      <c r="AE466" s="335"/>
      <c r="AF466" s="335"/>
      <c r="AG466" s="335"/>
      <c r="AH466" s="335"/>
      <c r="AI466" s="335"/>
      <c r="AJ466" s="335"/>
      <c r="AK466" s="335"/>
      <c r="AL466" s="335"/>
      <c r="AM466" s="335"/>
      <c r="AN466" s="335"/>
      <c r="AO466" s="335"/>
      <c r="AP466" s="335"/>
      <c r="AQ466" s="335"/>
      <c r="AR466" s="335"/>
      <c r="AS466" s="335"/>
      <c r="AT466" s="335"/>
      <c r="AU466" s="335"/>
      <c r="AV466" s="335"/>
      <c r="AW466" s="335"/>
      <c r="AX466" s="335"/>
      <c r="AY466" s="335"/>
      <c r="AZ466" s="335"/>
      <c r="BA466" s="335"/>
      <c r="BB466" s="335"/>
      <c r="BC466" s="335"/>
      <c r="BD466" s="335"/>
      <c r="BE466" s="335"/>
      <c r="BF466" s="335"/>
      <c r="BG466" s="335"/>
      <c r="BH466" s="335"/>
      <c r="BI466" s="335"/>
      <c r="BJ466" s="335"/>
      <c r="BK466" s="335"/>
      <c r="BL466" s="335"/>
      <c r="BM466" s="335"/>
      <c r="BN466" s="335"/>
      <c r="BO466" s="335"/>
      <c r="BP466" s="335"/>
      <c r="BQ466" s="335"/>
      <c r="BR466" s="335"/>
      <c r="BS466" s="335"/>
      <c r="BT466" s="335"/>
      <c r="BU466" s="335"/>
      <c r="BV466" s="335"/>
      <c r="BW466" s="335"/>
      <c r="BX466" s="335"/>
      <c r="BY466" s="335"/>
      <c r="BZ466" s="335"/>
      <c r="CA466" s="335"/>
      <c r="CB466" s="335"/>
      <c r="CC466" s="335"/>
      <c r="CD466" s="335"/>
      <c r="CE466" s="335"/>
      <c r="CF466" s="335"/>
      <c r="CG466" s="335"/>
      <c r="CH466" s="335"/>
      <c r="CI466" s="335"/>
      <c r="CJ466" s="335"/>
      <c r="CK466" s="335"/>
      <c r="CL466" s="335"/>
      <c r="CM466" s="335"/>
      <c r="CN466" s="335"/>
      <c r="CO466" s="335"/>
      <c r="CP466" s="335"/>
      <c r="CQ466" s="335"/>
      <c r="CR466" s="335"/>
      <c r="CS466" s="335"/>
      <c r="CT466" s="335"/>
      <c r="CU466" s="335"/>
      <c r="CV466" s="335"/>
      <c r="CW466" s="335"/>
      <c r="CX466" s="335"/>
      <c r="CY466" s="335"/>
      <c r="CZ466" s="335"/>
      <c r="DA466" s="335"/>
      <c r="DB466" s="335"/>
      <c r="DC466" s="335"/>
      <c r="DD466" s="335"/>
      <c r="DE466" s="335"/>
      <c r="DF466" s="335"/>
      <c r="DG466" s="335"/>
      <c r="DH466" s="335"/>
      <c r="DI466" s="335"/>
      <c r="DJ466" s="335"/>
      <c r="DK466" s="335"/>
      <c r="DL466" s="335"/>
      <c r="DM466" s="335"/>
      <c r="DN466" s="335"/>
      <c r="DO466" s="335"/>
      <c r="DP466" s="335"/>
      <c r="DQ466" s="335"/>
      <c r="DR466" s="335"/>
      <c r="DS466" s="335"/>
      <c r="DT466" s="335"/>
      <c r="DU466" s="335"/>
      <c r="DV466" s="335"/>
      <c r="DW466" s="335"/>
      <c r="DX466" s="335"/>
      <c r="DY466" s="335"/>
      <c r="DZ466" s="335"/>
      <c r="EA466" s="335"/>
      <c r="EB466" s="335"/>
      <c r="EC466" s="335"/>
      <c r="ED466" s="335"/>
      <c r="EE466" s="335"/>
      <c r="EF466" s="335"/>
      <c r="EG466" s="335"/>
      <c r="EH466" s="335"/>
      <c r="EI466" s="335"/>
      <c r="EJ466" s="335"/>
      <c r="EK466" s="335"/>
      <c r="EL466" s="335"/>
      <c r="EM466" s="335"/>
      <c r="EN466" s="335"/>
      <c r="EO466" s="335"/>
      <c r="EP466" s="335"/>
      <c r="EQ466" s="335"/>
      <c r="ER466" s="335"/>
      <c r="ES466" s="335"/>
      <c r="ET466" s="335"/>
      <c r="EU466" s="335"/>
      <c r="EV466" s="335"/>
      <c r="EW466" s="335"/>
      <c r="EX466" s="335"/>
      <c r="EY466" s="335"/>
      <c r="EZ466" s="335"/>
      <c r="FA466" s="335"/>
      <c r="FB466" s="335"/>
      <c r="FC466" s="335"/>
      <c r="FD466" s="335"/>
      <c r="FE466" s="335"/>
      <c r="FF466" s="335"/>
      <c r="FG466" s="335"/>
      <c r="FH466" s="335"/>
      <c r="FI466" s="335"/>
      <c r="FJ466" s="335"/>
      <c r="FK466" s="335"/>
      <c r="FL466" s="335"/>
      <c r="FM466" s="335"/>
      <c r="FN466" s="335"/>
      <c r="FO466" s="335"/>
      <c r="FP466" s="335"/>
      <c r="FQ466" s="335"/>
      <c r="FR466" s="335"/>
      <c r="FS466" s="335"/>
      <c r="FT466" s="335"/>
      <c r="FU466" s="335"/>
      <c r="FV466" s="335"/>
      <c r="FW466" s="335"/>
      <c r="FX466" s="335"/>
      <c r="FY466" s="335"/>
      <c r="FZ466" s="335"/>
      <c r="GA466" s="335"/>
      <c r="GB466" s="335"/>
      <c r="GC466" s="335"/>
      <c r="GD466" s="335"/>
      <c r="GE466" s="335"/>
      <c r="GF466" s="335"/>
      <c r="GG466" s="335"/>
      <c r="GH466" s="335"/>
      <c r="GI466" s="335"/>
      <c r="GJ466" s="335"/>
      <c r="GK466" s="335"/>
      <c r="GL466" s="335"/>
      <c r="GM466" s="335"/>
      <c r="GN466" s="335"/>
      <c r="GO466" s="335"/>
      <c r="GP466" s="335"/>
      <c r="GQ466" s="335"/>
      <c r="GR466" s="335"/>
      <c r="GS466" s="335"/>
      <c r="GT466" s="335"/>
      <c r="GU466" s="335"/>
      <c r="GV466" s="335"/>
      <c r="GW466" s="335"/>
      <c r="GX466" s="335"/>
      <c r="GY466" s="335"/>
      <c r="GZ466" s="335"/>
    </row>
    <row r="467" spans="1:208" ht="15">
      <c r="A467" s="379"/>
      <c r="B467" s="335"/>
      <c r="C467" s="335"/>
      <c r="D467" s="335"/>
      <c r="E467" s="335"/>
      <c r="F467" s="335"/>
      <c r="G467" s="335"/>
      <c r="H467" s="335"/>
      <c r="I467" s="335"/>
      <c r="J467" s="335"/>
      <c r="K467" s="335"/>
      <c r="L467" s="335"/>
      <c r="M467" s="376"/>
      <c r="N467" s="335"/>
      <c r="O467" s="380"/>
      <c r="P467" s="335"/>
      <c r="Q467" s="335"/>
      <c r="R467" s="335"/>
      <c r="S467" s="335"/>
      <c r="T467" s="335"/>
      <c r="U467" s="335"/>
      <c r="V467" s="335"/>
      <c r="W467" s="335"/>
      <c r="X467" s="335"/>
      <c r="Y467" s="335"/>
      <c r="Z467" s="335"/>
      <c r="AA467" s="335"/>
      <c r="AB467" s="335"/>
      <c r="AC467" s="335"/>
      <c r="AD467" s="335"/>
      <c r="AE467" s="335"/>
      <c r="AF467" s="335"/>
      <c r="AG467" s="335"/>
      <c r="AH467" s="335"/>
      <c r="AI467" s="335"/>
      <c r="AJ467" s="335"/>
      <c r="AK467" s="335"/>
      <c r="AL467" s="335"/>
      <c r="AM467" s="335"/>
      <c r="AN467" s="335"/>
      <c r="AO467" s="335"/>
      <c r="AP467" s="335"/>
      <c r="AQ467" s="335"/>
      <c r="AR467" s="335"/>
      <c r="AS467" s="335"/>
      <c r="AT467" s="335"/>
      <c r="AU467" s="335"/>
      <c r="AV467" s="335"/>
      <c r="AW467" s="335"/>
      <c r="AX467" s="335"/>
      <c r="AY467" s="335"/>
      <c r="AZ467" s="335"/>
      <c r="BA467" s="335"/>
      <c r="BB467" s="335"/>
      <c r="BC467" s="335"/>
      <c r="BD467" s="335"/>
      <c r="BE467" s="335"/>
      <c r="BF467" s="335"/>
      <c r="BG467" s="335"/>
      <c r="BH467" s="335"/>
      <c r="BI467" s="335"/>
      <c r="BJ467" s="335"/>
      <c r="BK467" s="335"/>
      <c r="BL467" s="335"/>
      <c r="BM467" s="335"/>
      <c r="BN467" s="335"/>
      <c r="BO467" s="335"/>
      <c r="BP467" s="335"/>
      <c r="BQ467" s="335"/>
      <c r="BR467" s="335"/>
      <c r="BS467" s="335"/>
      <c r="BT467" s="335"/>
      <c r="BU467" s="335"/>
      <c r="BV467" s="335"/>
      <c r="BW467" s="335"/>
      <c r="BX467" s="335"/>
      <c r="BY467" s="335"/>
      <c r="BZ467" s="335"/>
      <c r="CA467" s="335"/>
      <c r="CB467" s="335"/>
      <c r="CC467" s="335"/>
      <c r="CD467" s="335"/>
      <c r="CE467" s="335"/>
      <c r="CF467" s="335"/>
      <c r="CG467" s="335"/>
      <c r="CH467" s="335"/>
      <c r="CI467" s="335"/>
      <c r="CJ467" s="335"/>
      <c r="CK467" s="335"/>
      <c r="CL467" s="335"/>
      <c r="CM467" s="335"/>
      <c r="CN467" s="335"/>
      <c r="CO467" s="335"/>
      <c r="CP467" s="335"/>
      <c r="CQ467" s="335"/>
      <c r="CR467" s="335"/>
      <c r="CS467" s="335"/>
      <c r="CT467" s="335"/>
      <c r="CU467" s="335"/>
      <c r="CV467" s="335"/>
      <c r="CW467" s="335"/>
      <c r="CX467" s="335"/>
      <c r="CY467" s="335"/>
      <c r="CZ467" s="335"/>
      <c r="DA467" s="335"/>
      <c r="DB467" s="335"/>
      <c r="DC467" s="335"/>
      <c r="DD467" s="335"/>
      <c r="DE467" s="335"/>
      <c r="DF467" s="335"/>
      <c r="DG467" s="335"/>
      <c r="DH467" s="335"/>
      <c r="DI467" s="335"/>
      <c r="DJ467" s="335"/>
      <c r="DK467" s="335"/>
      <c r="DL467" s="335"/>
      <c r="DM467" s="335"/>
      <c r="DN467" s="335"/>
      <c r="DO467" s="335"/>
      <c r="DP467" s="335"/>
      <c r="DQ467" s="335"/>
      <c r="DR467" s="335"/>
      <c r="DS467" s="335"/>
      <c r="DT467" s="335"/>
      <c r="DU467" s="335"/>
      <c r="DV467" s="335"/>
      <c r="DW467" s="335"/>
      <c r="DX467" s="335"/>
      <c r="DY467" s="335"/>
      <c r="DZ467" s="335"/>
      <c r="EA467" s="335"/>
      <c r="EB467" s="335"/>
      <c r="EC467" s="335"/>
      <c r="ED467" s="335"/>
      <c r="EE467" s="335"/>
      <c r="EF467" s="335"/>
      <c r="EG467" s="335"/>
      <c r="EH467" s="335"/>
      <c r="EI467" s="335"/>
      <c r="EJ467" s="335"/>
      <c r="EK467" s="335"/>
      <c r="EL467" s="335"/>
      <c r="EM467" s="335"/>
      <c r="EN467" s="335"/>
      <c r="EO467" s="335"/>
      <c r="EP467" s="335"/>
      <c r="EQ467" s="335"/>
      <c r="ER467" s="335"/>
      <c r="ES467" s="335"/>
      <c r="ET467" s="335"/>
      <c r="EU467" s="335"/>
      <c r="EV467" s="335"/>
      <c r="EW467" s="335"/>
      <c r="EX467" s="335"/>
      <c r="EY467" s="335"/>
      <c r="EZ467" s="335"/>
      <c r="FA467" s="335"/>
      <c r="FB467" s="335"/>
      <c r="FC467" s="335"/>
      <c r="FD467" s="335"/>
      <c r="FE467" s="335"/>
      <c r="FF467" s="335"/>
      <c r="FG467" s="335"/>
      <c r="FH467" s="335"/>
      <c r="FI467" s="335"/>
      <c r="FJ467" s="335"/>
      <c r="FK467" s="335"/>
      <c r="FL467" s="335"/>
      <c r="FM467" s="335"/>
      <c r="FN467" s="335"/>
      <c r="FO467" s="335"/>
      <c r="FP467" s="335"/>
      <c r="FQ467" s="335"/>
      <c r="FR467" s="335"/>
      <c r="FS467" s="335"/>
      <c r="FT467" s="335"/>
      <c r="FU467" s="335"/>
      <c r="FV467" s="335"/>
      <c r="FW467" s="335"/>
      <c r="FX467" s="335"/>
      <c r="FY467" s="335"/>
      <c r="FZ467" s="335"/>
      <c r="GA467" s="335"/>
      <c r="GB467" s="335"/>
      <c r="GC467" s="335"/>
      <c r="GD467" s="335"/>
      <c r="GE467" s="335"/>
      <c r="GF467" s="335"/>
      <c r="GG467" s="335"/>
      <c r="GH467" s="335"/>
      <c r="GI467" s="335"/>
      <c r="GJ467" s="335"/>
      <c r="GK467" s="335"/>
      <c r="GL467" s="335"/>
      <c r="GM467" s="335"/>
      <c r="GN467" s="335"/>
      <c r="GO467" s="335"/>
      <c r="GP467" s="335"/>
      <c r="GQ467" s="335"/>
      <c r="GR467" s="335"/>
      <c r="GS467" s="335"/>
      <c r="GT467" s="335"/>
      <c r="GU467" s="335"/>
      <c r="GV467" s="335"/>
      <c r="GW467" s="335"/>
      <c r="GX467" s="335"/>
      <c r="GY467" s="335"/>
      <c r="GZ467" s="335"/>
    </row>
    <row r="468" spans="1:208" ht="15">
      <c r="A468" s="379"/>
      <c r="B468" s="335"/>
      <c r="C468" s="335"/>
      <c r="D468" s="335"/>
      <c r="E468" s="335"/>
      <c r="F468" s="335"/>
      <c r="G468" s="335"/>
      <c r="H468" s="335"/>
      <c r="I468" s="335"/>
      <c r="J468" s="335"/>
      <c r="K468" s="335"/>
      <c r="L468" s="335"/>
      <c r="M468" s="376"/>
      <c r="N468" s="335"/>
      <c r="O468" s="380"/>
      <c r="P468" s="335"/>
      <c r="Q468" s="335"/>
      <c r="R468" s="335"/>
      <c r="S468" s="335"/>
      <c r="T468" s="335"/>
      <c r="U468" s="335"/>
      <c r="V468" s="335"/>
      <c r="W468" s="335"/>
      <c r="X468" s="335"/>
      <c r="Y468" s="335"/>
      <c r="Z468" s="335"/>
      <c r="AA468" s="335"/>
      <c r="AB468" s="335"/>
      <c r="AC468" s="335"/>
      <c r="AD468" s="335"/>
      <c r="AE468" s="335"/>
      <c r="AF468" s="335"/>
      <c r="AG468" s="335"/>
      <c r="AH468" s="335"/>
      <c r="AI468" s="335"/>
      <c r="AJ468" s="335"/>
      <c r="AK468" s="335"/>
      <c r="AL468" s="335"/>
      <c r="AM468" s="335"/>
      <c r="AN468" s="335"/>
      <c r="AO468" s="335"/>
      <c r="AP468" s="335"/>
      <c r="AQ468" s="335"/>
      <c r="AR468" s="335"/>
      <c r="AS468" s="335"/>
      <c r="AT468" s="335"/>
      <c r="AU468" s="335"/>
      <c r="AV468" s="335"/>
      <c r="AW468" s="335"/>
      <c r="AX468" s="335"/>
      <c r="AY468" s="335"/>
      <c r="AZ468" s="335"/>
      <c r="BA468" s="335"/>
      <c r="BB468" s="335"/>
      <c r="BC468" s="335"/>
      <c r="BD468" s="335"/>
      <c r="BE468" s="335"/>
      <c r="BF468" s="335"/>
      <c r="BG468" s="335"/>
      <c r="BH468" s="335"/>
      <c r="BI468" s="335"/>
      <c r="BJ468" s="335"/>
      <c r="BK468" s="335"/>
      <c r="BL468" s="335"/>
      <c r="BM468" s="335"/>
      <c r="BN468" s="335"/>
      <c r="BO468" s="335"/>
      <c r="BP468" s="335"/>
      <c r="BQ468" s="335"/>
      <c r="BR468" s="335"/>
      <c r="BS468" s="335"/>
      <c r="BT468" s="335"/>
      <c r="BU468" s="335"/>
      <c r="BV468" s="335"/>
      <c r="BW468" s="335"/>
      <c r="BX468" s="335"/>
      <c r="BY468" s="335"/>
      <c r="BZ468" s="335"/>
      <c r="CA468" s="335"/>
      <c r="CB468" s="335"/>
      <c r="CC468" s="335"/>
      <c r="CD468" s="335"/>
      <c r="CE468" s="335"/>
      <c r="CF468" s="335"/>
      <c r="CG468" s="335"/>
      <c r="CH468" s="335"/>
      <c r="CI468" s="335"/>
      <c r="CJ468" s="335"/>
      <c r="CK468" s="335"/>
      <c r="CL468" s="335"/>
      <c r="CM468" s="335"/>
      <c r="CN468" s="335"/>
      <c r="CO468" s="335"/>
      <c r="CP468" s="335"/>
      <c r="CQ468" s="335"/>
      <c r="CR468" s="335"/>
      <c r="CS468" s="335"/>
      <c r="CT468" s="335"/>
      <c r="CU468" s="335"/>
      <c r="CV468" s="335"/>
      <c r="CW468" s="335"/>
      <c r="CX468" s="335"/>
      <c r="CY468" s="335"/>
      <c r="CZ468" s="335"/>
      <c r="DA468" s="335"/>
      <c r="DB468" s="335"/>
      <c r="DC468" s="335"/>
      <c r="DD468" s="335"/>
      <c r="DE468" s="335"/>
      <c r="DF468" s="335"/>
      <c r="DG468" s="335"/>
      <c r="DH468" s="335"/>
      <c r="DI468" s="335"/>
      <c r="DJ468" s="335"/>
      <c r="DK468" s="335"/>
      <c r="DL468" s="335"/>
      <c r="DM468" s="335"/>
      <c r="DN468" s="335"/>
      <c r="DO468" s="335"/>
      <c r="DP468" s="335"/>
      <c r="DQ468" s="335"/>
      <c r="DR468" s="335"/>
      <c r="DS468" s="335"/>
      <c r="DT468" s="335"/>
      <c r="DU468" s="335"/>
      <c r="DV468" s="335"/>
      <c r="DW468" s="335"/>
      <c r="DX468" s="335"/>
      <c r="DY468" s="335"/>
      <c r="DZ468" s="335"/>
      <c r="EA468" s="335"/>
      <c r="EB468" s="335"/>
      <c r="EC468" s="335"/>
      <c r="ED468" s="335"/>
      <c r="EE468" s="335"/>
      <c r="EF468" s="335"/>
      <c r="EG468" s="335"/>
      <c r="EH468" s="335"/>
      <c r="EI468" s="335"/>
      <c r="EJ468" s="335"/>
      <c r="EK468" s="335"/>
      <c r="EL468" s="335"/>
      <c r="EM468" s="335"/>
      <c r="EN468" s="335"/>
      <c r="EO468" s="335"/>
      <c r="EP468" s="335"/>
      <c r="EQ468" s="335"/>
      <c r="ER468" s="335"/>
      <c r="ES468" s="335"/>
      <c r="ET468" s="335"/>
      <c r="EU468" s="335"/>
      <c r="EV468" s="335"/>
      <c r="EW468" s="335"/>
      <c r="EX468" s="335"/>
      <c r="EY468" s="335"/>
      <c r="EZ468" s="335"/>
      <c r="FA468" s="335"/>
      <c r="FB468" s="335"/>
      <c r="FC468" s="335"/>
      <c r="FD468" s="335"/>
      <c r="FE468" s="335"/>
      <c r="FF468" s="335"/>
      <c r="FG468" s="335"/>
      <c r="FH468" s="335"/>
      <c r="FI468" s="335"/>
      <c r="FJ468" s="335"/>
      <c r="FK468" s="335"/>
      <c r="FL468" s="335"/>
      <c r="FM468" s="335"/>
      <c r="FN468" s="335"/>
      <c r="FO468" s="335"/>
      <c r="FP468" s="335"/>
      <c r="FQ468" s="335"/>
      <c r="FR468" s="335"/>
      <c r="FS468" s="335"/>
      <c r="FT468" s="335"/>
      <c r="FU468" s="335"/>
      <c r="FV468" s="335"/>
      <c r="FW468" s="335"/>
      <c r="FX468" s="335"/>
      <c r="FY468" s="335"/>
      <c r="FZ468" s="335"/>
      <c r="GA468" s="335"/>
      <c r="GB468" s="335"/>
      <c r="GC468" s="335"/>
      <c r="GD468" s="335"/>
      <c r="GE468" s="335"/>
      <c r="GF468" s="335"/>
      <c r="GG468" s="335"/>
      <c r="GH468" s="335"/>
      <c r="GI468" s="335"/>
      <c r="GJ468" s="335"/>
      <c r="GK468" s="335"/>
      <c r="GL468" s="335"/>
      <c r="GM468" s="335"/>
      <c r="GN468" s="335"/>
      <c r="GO468" s="335"/>
      <c r="GP468" s="335"/>
      <c r="GQ468" s="335"/>
      <c r="GR468" s="335"/>
      <c r="GS468" s="335"/>
      <c r="GT468" s="335"/>
      <c r="GU468" s="335"/>
      <c r="GV468" s="335"/>
      <c r="GW468" s="335"/>
      <c r="GX468" s="335"/>
      <c r="GY468" s="335"/>
      <c r="GZ468" s="335"/>
    </row>
    <row r="469" spans="1:208" ht="15">
      <c r="A469" s="379"/>
      <c r="B469" s="335"/>
      <c r="C469" s="335"/>
      <c r="D469" s="335"/>
      <c r="E469" s="335"/>
      <c r="F469" s="335"/>
      <c r="G469" s="335"/>
      <c r="H469" s="335"/>
      <c r="I469" s="335"/>
      <c r="J469" s="335"/>
      <c r="K469" s="335"/>
      <c r="L469" s="335"/>
      <c r="M469" s="376"/>
      <c r="N469" s="335"/>
      <c r="O469" s="380"/>
      <c r="P469" s="335"/>
      <c r="Q469" s="335"/>
      <c r="R469" s="335"/>
      <c r="S469" s="335"/>
      <c r="T469" s="335"/>
      <c r="U469" s="335"/>
      <c r="V469" s="335"/>
      <c r="W469" s="335"/>
      <c r="X469" s="335"/>
      <c r="Y469" s="335"/>
      <c r="Z469" s="335"/>
      <c r="AA469" s="335"/>
      <c r="AB469" s="335"/>
      <c r="AC469" s="335"/>
      <c r="AD469" s="335"/>
      <c r="AE469" s="335"/>
      <c r="AF469" s="335"/>
      <c r="AG469" s="335"/>
      <c r="AH469" s="335"/>
      <c r="AI469" s="335"/>
      <c r="AJ469" s="335"/>
      <c r="AK469" s="335"/>
      <c r="AL469" s="335"/>
      <c r="AM469" s="335"/>
      <c r="AN469" s="335"/>
      <c r="AO469" s="335"/>
      <c r="AP469" s="335"/>
      <c r="AQ469" s="335"/>
      <c r="AR469" s="335"/>
      <c r="AS469" s="335"/>
      <c r="AT469" s="335"/>
      <c r="AU469" s="335"/>
      <c r="AV469" s="335"/>
      <c r="AW469" s="335"/>
      <c r="AX469" s="335"/>
      <c r="AY469" s="335"/>
      <c r="AZ469" s="335"/>
      <c r="BA469" s="335"/>
      <c r="BB469" s="335"/>
      <c r="BC469" s="335"/>
      <c r="BD469" s="335"/>
      <c r="BE469" s="335"/>
      <c r="BF469" s="335"/>
      <c r="BG469" s="335"/>
      <c r="BH469" s="335"/>
      <c r="BI469" s="335"/>
      <c r="BJ469" s="335"/>
      <c r="BK469" s="335"/>
      <c r="BL469" s="335"/>
      <c r="BM469" s="335"/>
      <c r="BN469" s="335"/>
      <c r="BO469" s="335"/>
      <c r="BP469" s="335"/>
      <c r="BQ469" s="335"/>
      <c r="BR469" s="335"/>
      <c r="BS469" s="335"/>
      <c r="BT469" s="335"/>
      <c r="BU469" s="335"/>
      <c r="BV469" s="335"/>
      <c r="BW469" s="335"/>
      <c r="BX469" s="335"/>
      <c r="BY469" s="335"/>
      <c r="BZ469" s="335"/>
      <c r="CA469" s="335"/>
      <c r="CB469" s="335"/>
      <c r="CC469" s="335"/>
      <c r="CD469" s="335"/>
      <c r="CE469" s="335"/>
      <c r="CF469" s="335"/>
      <c r="CG469" s="335"/>
      <c r="CH469" s="335"/>
      <c r="CI469" s="335"/>
      <c r="CJ469" s="335"/>
      <c r="CK469" s="335"/>
      <c r="CL469" s="335"/>
      <c r="CM469" s="335"/>
      <c r="CN469" s="335"/>
      <c r="CO469" s="335"/>
      <c r="CP469" s="335"/>
      <c r="CQ469" s="335"/>
      <c r="CR469" s="335"/>
      <c r="CS469" s="335"/>
      <c r="CT469" s="335"/>
      <c r="CU469" s="335"/>
      <c r="CV469" s="335"/>
      <c r="CW469" s="335"/>
      <c r="CX469" s="335"/>
      <c r="CY469" s="335"/>
      <c r="CZ469" s="335"/>
      <c r="DA469" s="335"/>
      <c r="DB469" s="335"/>
      <c r="DC469" s="335"/>
      <c r="DD469" s="335"/>
      <c r="DE469" s="335"/>
      <c r="DF469" s="335"/>
      <c r="DG469" s="335"/>
      <c r="DH469" s="335"/>
      <c r="DI469" s="335"/>
      <c r="DJ469" s="335"/>
      <c r="DK469" s="335"/>
      <c r="DL469" s="335"/>
      <c r="DM469" s="335"/>
      <c r="DN469" s="335"/>
      <c r="DO469" s="335"/>
      <c r="DP469" s="335"/>
      <c r="DQ469" s="335"/>
      <c r="DR469" s="335"/>
      <c r="DS469" s="335"/>
      <c r="DT469" s="335"/>
      <c r="DU469" s="335"/>
      <c r="DV469" s="335"/>
      <c r="DW469" s="335"/>
      <c r="DX469" s="335"/>
      <c r="DY469" s="335"/>
      <c r="DZ469" s="335"/>
      <c r="EA469" s="335"/>
      <c r="EB469" s="335"/>
      <c r="EC469" s="335"/>
      <c r="ED469" s="335"/>
      <c r="EE469" s="335"/>
      <c r="EF469" s="335"/>
      <c r="EG469" s="335"/>
      <c r="EH469" s="335"/>
      <c r="EI469" s="335"/>
      <c r="EJ469" s="335"/>
      <c r="EK469" s="335"/>
      <c r="EL469" s="335"/>
      <c r="EM469" s="335"/>
      <c r="EN469" s="335"/>
      <c r="EO469" s="335"/>
      <c r="EP469" s="335"/>
      <c r="EQ469" s="335"/>
      <c r="ER469" s="335"/>
      <c r="ES469" s="335"/>
      <c r="ET469" s="335"/>
      <c r="EU469" s="335"/>
      <c r="EV469" s="335"/>
      <c r="EW469" s="335"/>
      <c r="EX469" s="335"/>
      <c r="EY469" s="335"/>
      <c r="EZ469" s="335"/>
      <c r="FA469" s="335"/>
      <c r="FB469" s="335"/>
      <c r="FC469" s="335"/>
      <c r="FD469" s="335"/>
      <c r="FE469" s="335"/>
      <c r="FF469" s="335"/>
      <c r="FG469" s="335"/>
      <c r="FH469" s="335"/>
      <c r="FI469" s="335"/>
      <c r="FJ469" s="335"/>
      <c r="FK469" s="335"/>
      <c r="FL469" s="335"/>
      <c r="FM469" s="335"/>
      <c r="FN469" s="335"/>
      <c r="FO469" s="335"/>
      <c r="FP469" s="335"/>
      <c r="FQ469" s="335"/>
      <c r="FR469" s="335"/>
      <c r="FS469" s="335"/>
      <c r="FT469" s="335"/>
      <c r="FU469" s="335"/>
      <c r="FV469" s="335"/>
      <c r="FW469" s="335"/>
      <c r="FX469" s="335"/>
      <c r="FY469" s="335"/>
      <c r="FZ469" s="335"/>
      <c r="GA469" s="335"/>
      <c r="GB469" s="335"/>
      <c r="GC469" s="335"/>
      <c r="GD469" s="335"/>
      <c r="GE469" s="335"/>
      <c r="GF469" s="335"/>
      <c r="GG469" s="335"/>
      <c r="GH469" s="335"/>
      <c r="GI469" s="335"/>
      <c r="GJ469" s="335"/>
      <c r="GK469" s="335"/>
      <c r="GL469" s="335"/>
      <c r="GM469" s="335"/>
      <c r="GN469" s="335"/>
      <c r="GO469" s="335"/>
      <c r="GP469" s="335"/>
      <c r="GQ469" s="335"/>
      <c r="GR469" s="335"/>
      <c r="GS469" s="335"/>
      <c r="GT469" s="335"/>
      <c r="GU469" s="335"/>
      <c r="GV469" s="335"/>
      <c r="GW469" s="335"/>
      <c r="GX469" s="335"/>
      <c r="GY469" s="335"/>
      <c r="GZ469" s="335"/>
    </row>
    <row r="470" spans="1:208" ht="15">
      <c r="A470" s="379"/>
      <c r="B470" s="335"/>
      <c r="C470" s="335"/>
      <c r="D470" s="335"/>
      <c r="E470" s="335"/>
      <c r="F470" s="335"/>
      <c r="G470" s="335"/>
      <c r="H470" s="335"/>
      <c r="I470" s="335"/>
      <c r="J470" s="335"/>
      <c r="K470" s="335"/>
      <c r="L470" s="335"/>
      <c r="M470" s="376"/>
      <c r="N470" s="335"/>
      <c r="O470" s="380"/>
      <c r="P470" s="335"/>
      <c r="Q470" s="335"/>
      <c r="R470" s="335"/>
      <c r="S470" s="335"/>
      <c r="T470" s="335"/>
      <c r="U470" s="335"/>
      <c r="V470" s="335"/>
      <c r="W470" s="335"/>
      <c r="X470" s="335"/>
      <c r="Y470" s="335"/>
      <c r="Z470" s="335"/>
      <c r="AA470" s="335"/>
      <c r="AB470" s="335"/>
      <c r="AC470" s="335"/>
      <c r="AD470" s="335"/>
      <c r="AE470" s="335"/>
      <c r="AF470" s="335"/>
      <c r="AG470" s="335"/>
      <c r="AH470" s="335"/>
      <c r="AI470" s="335"/>
      <c r="AJ470" s="335"/>
      <c r="AK470" s="335"/>
      <c r="AL470" s="335"/>
      <c r="AM470" s="335"/>
      <c r="AN470" s="335"/>
      <c r="AO470" s="335"/>
      <c r="AP470" s="335"/>
      <c r="AQ470" s="335"/>
      <c r="AR470" s="335"/>
      <c r="AS470" s="335"/>
      <c r="AT470" s="335"/>
      <c r="AU470" s="335"/>
      <c r="AV470" s="335"/>
      <c r="AW470" s="335"/>
      <c r="AX470" s="335"/>
      <c r="AY470" s="335"/>
      <c r="AZ470" s="335"/>
      <c r="BA470" s="335"/>
      <c r="BB470" s="335"/>
      <c r="BC470" s="335"/>
      <c r="BD470" s="335"/>
      <c r="BE470" s="335"/>
      <c r="BF470" s="335"/>
      <c r="BG470" s="335"/>
      <c r="BH470" s="335"/>
      <c r="BI470" s="335"/>
      <c r="BJ470" s="335"/>
      <c r="BK470" s="335"/>
      <c r="BL470" s="335"/>
      <c r="BM470" s="335"/>
      <c r="BN470" s="335"/>
      <c r="BO470" s="335"/>
      <c r="BP470" s="335"/>
      <c r="BQ470" s="335"/>
      <c r="BR470" s="335"/>
      <c r="BS470" s="335"/>
      <c r="BT470" s="335"/>
      <c r="BU470" s="335"/>
      <c r="BV470" s="335"/>
      <c r="BW470" s="335"/>
      <c r="BX470" s="335"/>
      <c r="BY470" s="335"/>
      <c r="BZ470" s="335"/>
      <c r="CA470" s="335"/>
      <c r="CB470" s="335"/>
      <c r="CC470" s="335"/>
      <c r="CD470" s="335"/>
      <c r="CE470" s="335"/>
      <c r="CF470" s="335"/>
      <c r="CG470" s="335"/>
      <c r="CH470" s="335"/>
      <c r="CI470" s="335"/>
      <c r="CJ470" s="335"/>
      <c r="CK470" s="335"/>
      <c r="CL470" s="335"/>
      <c r="CM470" s="335"/>
      <c r="CN470" s="335"/>
      <c r="CO470" s="335"/>
      <c r="CP470" s="335"/>
      <c r="CQ470" s="335"/>
      <c r="CR470" s="335"/>
      <c r="CS470" s="335"/>
      <c r="CT470" s="335"/>
      <c r="CU470" s="335"/>
      <c r="CV470" s="335"/>
      <c r="CW470" s="335"/>
      <c r="CX470" s="335"/>
      <c r="CY470" s="335"/>
      <c r="CZ470" s="335"/>
      <c r="DA470" s="335"/>
      <c r="DB470" s="335"/>
      <c r="DC470" s="335"/>
      <c r="DD470" s="335"/>
      <c r="DE470" s="335"/>
      <c r="DF470" s="335"/>
      <c r="DG470" s="335"/>
      <c r="DH470" s="335"/>
      <c r="DI470" s="335"/>
      <c r="DJ470" s="335"/>
      <c r="DK470" s="335"/>
      <c r="DL470" s="335"/>
      <c r="DM470" s="335"/>
      <c r="DN470" s="335"/>
      <c r="DO470" s="335"/>
      <c r="DP470" s="335"/>
      <c r="DQ470" s="335"/>
      <c r="DR470" s="335"/>
      <c r="DS470" s="335"/>
      <c r="DT470" s="335"/>
      <c r="DU470" s="335"/>
      <c r="DV470" s="335"/>
      <c r="DW470" s="335"/>
      <c r="DX470" s="335"/>
      <c r="DY470" s="335"/>
      <c r="DZ470" s="335"/>
      <c r="EA470" s="335"/>
      <c r="EB470" s="335"/>
      <c r="EC470" s="335"/>
      <c r="ED470" s="335"/>
      <c r="EE470" s="335"/>
      <c r="EF470" s="335"/>
      <c r="EG470" s="335"/>
      <c r="EH470" s="335"/>
      <c r="EI470" s="335"/>
      <c r="EJ470" s="335"/>
      <c r="EK470" s="335"/>
      <c r="EL470" s="335"/>
      <c r="EM470" s="335"/>
      <c r="EN470" s="335"/>
      <c r="EO470" s="335"/>
      <c r="EP470" s="335"/>
      <c r="EQ470" s="335"/>
      <c r="ER470" s="335"/>
      <c r="ES470" s="335"/>
      <c r="ET470" s="335"/>
      <c r="EU470" s="335"/>
      <c r="EV470" s="335"/>
      <c r="EW470" s="335"/>
      <c r="EX470" s="335"/>
      <c r="EY470" s="335"/>
      <c r="EZ470" s="335"/>
      <c r="FA470" s="335"/>
      <c r="FB470" s="335"/>
      <c r="FC470" s="335"/>
      <c r="FD470" s="335"/>
      <c r="FE470" s="335"/>
      <c r="FF470" s="335"/>
      <c r="FG470" s="335"/>
      <c r="FH470" s="335"/>
      <c r="FI470" s="335"/>
      <c r="FJ470" s="335"/>
      <c r="FK470" s="335"/>
      <c r="FL470" s="335"/>
      <c r="FM470" s="335"/>
      <c r="FN470" s="335"/>
      <c r="FO470" s="335"/>
      <c r="FP470" s="335"/>
      <c r="FQ470" s="335"/>
      <c r="FR470" s="335"/>
      <c r="FS470" s="335"/>
      <c r="FT470" s="335"/>
      <c r="FU470" s="335"/>
      <c r="FV470" s="335"/>
      <c r="FW470" s="335"/>
      <c r="FX470" s="335"/>
      <c r="FY470" s="335"/>
      <c r="FZ470" s="335"/>
      <c r="GA470" s="335"/>
      <c r="GB470" s="335"/>
      <c r="GC470" s="335"/>
      <c r="GD470" s="335"/>
      <c r="GE470" s="335"/>
      <c r="GF470" s="335"/>
      <c r="GG470" s="335"/>
      <c r="GH470" s="335"/>
      <c r="GI470" s="335"/>
      <c r="GJ470" s="335"/>
      <c r="GK470" s="335"/>
      <c r="GL470" s="335"/>
      <c r="GM470" s="335"/>
      <c r="GN470" s="335"/>
      <c r="GO470" s="335"/>
      <c r="GP470" s="335"/>
      <c r="GQ470" s="335"/>
      <c r="GR470" s="335"/>
      <c r="GS470" s="335"/>
      <c r="GT470" s="335"/>
      <c r="GU470" s="335"/>
      <c r="GV470" s="335"/>
      <c r="GW470" s="335"/>
      <c r="GX470" s="335"/>
      <c r="GY470" s="335"/>
      <c r="GZ470" s="335"/>
    </row>
    <row r="471" spans="1:208" ht="15">
      <c r="A471" s="379"/>
      <c r="B471" s="335"/>
      <c r="C471" s="335"/>
      <c r="D471" s="335"/>
      <c r="E471" s="335"/>
      <c r="F471" s="335"/>
      <c r="G471" s="335"/>
      <c r="H471" s="335"/>
      <c r="I471" s="335"/>
      <c r="J471" s="335"/>
      <c r="K471" s="335"/>
      <c r="L471" s="335"/>
      <c r="M471" s="376"/>
      <c r="N471" s="335"/>
      <c r="O471" s="380"/>
      <c r="P471" s="335"/>
      <c r="Q471" s="335"/>
      <c r="R471" s="335"/>
      <c r="S471" s="335"/>
      <c r="T471" s="335"/>
      <c r="U471" s="335"/>
      <c r="V471" s="335"/>
      <c r="W471" s="335"/>
      <c r="X471" s="335"/>
      <c r="Y471" s="335"/>
      <c r="Z471" s="335"/>
      <c r="AA471" s="335"/>
      <c r="AB471" s="335"/>
      <c r="AC471" s="335"/>
      <c r="AD471" s="335"/>
      <c r="AE471" s="335"/>
      <c r="AF471" s="335"/>
      <c r="AG471" s="335"/>
      <c r="AH471" s="335"/>
      <c r="AI471" s="335"/>
      <c r="AJ471" s="335"/>
      <c r="AK471" s="335"/>
      <c r="AL471" s="335"/>
      <c r="AM471" s="335"/>
      <c r="AN471" s="335"/>
      <c r="AO471" s="335"/>
      <c r="AP471" s="335"/>
      <c r="AQ471" s="335"/>
      <c r="AR471" s="335"/>
      <c r="AS471" s="335"/>
      <c r="AT471" s="335"/>
      <c r="AU471" s="335"/>
      <c r="AV471" s="335"/>
      <c r="AW471" s="335"/>
      <c r="AX471" s="335"/>
      <c r="AY471" s="335"/>
      <c r="AZ471" s="335"/>
      <c r="BA471" s="335"/>
      <c r="BB471" s="335"/>
      <c r="BC471" s="335"/>
      <c r="BD471" s="335"/>
      <c r="BE471" s="335"/>
      <c r="BF471" s="335"/>
      <c r="BG471" s="335"/>
      <c r="BH471" s="335"/>
      <c r="BI471" s="335"/>
      <c r="BJ471" s="335"/>
      <c r="BK471" s="335"/>
      <c r="BL471" s="335"/>
      <c r="BM471" s="335"/>
      <c r="BN471" s="335"/>
      <c r="BO471" s="335"/>
      <c r="BP471" s="335"/>
      <c r="BQ471" s="335"/>
      <c r="BR471" s="335"/>
      <c r="BS471" s="335"/>
      <c r="BT471" s="335"/>
      <c r="BU471" s="335"/>
      <c r="BV471" s="335"/>
      <c r="BW471" s="335"/>
      <c r="BX471" s="335"/>
      <c r="BY471" s="335"/>
      <c r="BZ471" s="335"/>
      <c r="CA471" s="335"/>
      <c r="CB471" s="335"/>
      <c r="CC471" s="335"/>
      <c r="CD471" s="335"/>
      <c r="CE471" s="335"/>
      <c r="CF471" s="335"/>
      <c r="CG471" s="335"/>
      <c r="CH471" s="335"/>
      <c r="CI471" s="335"/>
      <c r="CJ471" s="335"/>
      <c r="CK471" s="335"/>
      <c r="CL471" s="335"/>
      <c r="CM471" s="335"/>
      <c r="CN471" s="335"/>
      <c r="CO471" s="335"/>
      <c r="CP471" s="335"/>
      <c r="CQ471" s="335"/>
      <c r="CR471" s="335"/>
      <c r="CS471" s="335"/>
      <c r="CT471" s="335"/>
      <c r="CU471" s="335"/>
      <c r="CV471" s="335"/>
      <c r="CW471" s="335"/>
      <c r="CX471" s="335"/>
      <c r="CY471" s="335"/>
      <c r="CZ471" s="335"/>
      <c r="DA471" s="335"/>
      <c r="DB471" s="335"/>
      <c r="DC471" s="335"/>
      <c r="DD471" s="335"/>
      <c r="DE471" s="335"/>
      <c r="DF471" s="335"/>
      <c r="DG471" s="335"/>
      <c r="DH471" s="335"/>
      <c r="DI471" s="335"/>
      <c r="DJ471" s="335"/>
      <c r="DK471" s="335"/>
      <c r="DL471" s="335"/>
      <c r="DM471" s="335"/>
      <c r="DN471" s="335"/>
      <c r="DO471" s="335"/>
      <c r="DP471" s="335"/>
      <c r="DQ471" s="335"/>
      <c r="DR471" s="335"/>
      <c r="DS471" s="335"/>
      <c r="DT471" s="335"/>
      <c r="DU471" s="335"/>
      <c r="DV471" s="335"/>
      <c r="DW471" s="335"/>
      <c r="DX471" s="335"/>
      <c r="DY471" s="335"/>
      <c r="DZ471" s="335"/>
      <c r="EA471" s="335"/>
      <c r="EB471" s="335"/>
      <c r="EC471" s="335"/>
      <c r="ED471" s="335"/>
      <c r="EE471" s="335"/>
      <c r="EF471" s="335"/>
      <c r="EG471" s="335"/>
      <c r="EH471" s="335"/>
      <c r="EI471" s="335"/>
      <c r="EJ471" s="335"/>
      <c r="EK471" s="335"/>
      <c r="EL471" s="335"/>
      <c r="EM471" s="335"/>
      <c r="EN471" s="335"/>
      <c r="EO471" s="335"/>
      <c r="EP471" s="335"/>
      <c r="EQ471" s="335"/>
      <c r="ER471" s="335"/>
      <c r="ES471" s="335"/>
      <c r="ET471" s="335"/>
      <c r="EU471" s="335"/>
      <c r="EV471" s="335"/>
      <c r="EW471" s="335"/>
      <c r="EX471" s="335"/>
      <c r="EY471" s="335"/>
      <c r="EZ471" s="335"/>
      <c r="FA471" s="335"/>
      <c r="FB471" s="335"/>
      <c r="FC471" s="335"/>
      <c r="FD471" s="335"/>
      <c r="FE471" s="335"/>
      <c r="FF471" s="335"/>
      <c r="FG471" s="335"/>
      <c r="FH471" s="335"/>
      <c r="FI471" s="335"/>
      <c r="FJ471" s="335"/>
      <c r="FK471" s="335"/>
      <c r="FL471" s="335"/>
      <c r="FM471" s="335"/>
      <c r="FN471" s="335"/>
      <c r="FO471" s="335"/>
      <c r="FP471" s="335"/>
      <c r="FQ471" s="335"/>
      <c r="FR471" s="335"/>
      <c r="FS471" s="335"/>
      <c r="FT471" s="335"/>
      <c r="FU471" s="335"/>
      <c r="FV471" s="335"/>
      <c r="FW471" s="335"/>
      <c r="FX471" s="335"/>
      <c r="FY471" s="335"/>
      <c r="FZ471" s="335"/>
      <c r="GA471" s="335"/>
      <c r="GB471" s="335"/>
      <c r="GC471" s="335"/>
      <c r="GD471" s="335"/>
      <c r="GE471" s="335"/>
      <c r="GF471" s="335"/>
      <c r="GG471" s="335"/>
      <c r="GH471" s="335"/>
      <c r="GI471" s="335"/>
      <c r="GJ471" s="335"/>
      <c r="GK471" s="335"/>
      <c r="GL471" s="335"/>
      <c r="GM471" s="335"/>
      <c r="GN471" s="335"/>
      <c r="GO471" s="335"/>
      <c r="GP471" s="335"/>
      <c r="GQ471" s="335"/>
      <c r="GR471" s="335"/>
      <c r="GS471" s="335"/>
      <c r="GT471" s="335"/>
      <c r="GU471" s="335"/>
      <c r="GV471" s="335"/>
      <c r="GW471" s="335"/>
      <c r="GX471" s="335"/>
      <c r="GY471" s="335"/>
      <c r="GZ471" s="335"/>
    </row>
    <row r="472" spans="1:208" ht="15">
      <c r="A472" s="379"/>
      <c r="B472" s="335"/>
      <c r="C472" s="335"/>
      <c r="D472" s="335"/>
      <c r="E472" s="335"/>
      <c r="F472" s="335"/>
      <c r="G472" s="335"/>
      <c r="H472" s="335"/>
      <c r="I472" s="335"/>
      <c r="J472" s="335"/>
      <c r="K472" s="335"/>
      <c r="L472" s="335"/>
      <c r="M472" s="376"/>
      <c r="N472" s="335"/>
      <c r="O472" s="380"/>
      <c r="P472" s="335"/>
      <c r="Q472" s="335"/>
      <c r="R472" s="335"/>
      <c r="S472" s="335"/>
      <c r="T472" s="335"/>
      <c r="U472" s="335"/>
      <c r="V472" s="335"/>
      <c r="W472" s="335"/>
      <c r="X472" s="335"/>
      <c r="Y472" s="335"/>
      <c r="Z472" s="335"/>
      <c r="AA472" s="335"/>
      <c r="AB472" s="335"/>
      <c r="AC472" s="335"/>
      <c r="AD472" s="335"/>
      <c r="AE472" s="335"/>
      <c r="AF472" s="335"/>
      <c r="AG472" s="335"/>
      <c r="AH472" s="335"/>
      <c r="AI472" s="335"/>
      <c r="AJ472" s="335"/>
      <c r="AK472" s="335"/>
      <c r="AL472" s="335"/>
      <c r="AM472" s="335"/>
      <c r="AN472" s="335"/>
      <c r="AO472" s="335"/>
      <c r="AP472" s="335"/>
      <c r="AQ472" s="335"/>
      <c r="AR472" s="335"/>
      <c r="AS472" s="335"/>
      <c r="AT472" s="335"/>
      <c r="AU472" s="335"/>
      <c r="AV472" s="335"/>
      <c r="AW472" s="335"/>
      <c r="AX472" s="335"/>
      <c r="AY472" s="335"/>
      <c r="AZ472" s="335"/>
      <c r="BA472" s="335"/>
      <c r="BB472" s="335"/>
      <c r="BC472" s="335"/>
      <c r="BD472" s="335"/>
      <c r="BE472" s="335"/>
      <c r="BF472" s="335"/>
      <c r="BG472" s="335"/>
      <c r="BH472" s="335"/>
      <c r="BI472" s="335"/>
      <c r="BJ472" s="335"/>
      <c r="BK472" s="335"/>
      <c r="BL472" s="335"/>
      <c r="BM472" s="335"/>
      <c r="BN472" s="335"/>
      <c r="BO472" s="335"/>
      <c r="BP472" s="335"/>
      <c r="BQ472" s="335"/>
      <c r="BR472" s="335"/>
      <c r="BS472" s="335"/>
      <c r="BT472" s="335"/>
      <c r="BU472" s="335"/>
      <c r="BV472" s="335"/>
      <c r="BW472" s="335"/>
      <c r="BX472" s="335"/>
      <c r="BY472" s="335"/>
      <c r="BZ472" s="335"/>
      <c r="CA472" s="335"/>
      <c r="CB472" s="335"/>
      <c r="CC472" s="335"/>
      <c r="CD472" s="335"/>
      <c r="CE472" s="335"/>
      <c r="CF472" s="335"/>
      <c r="CG472" s="335"/>
      <c r="CH472" s="335"/>
      <c r="CI472" s="335"/>
      <c r="CJ472" s="335"/>
      <c r="CK472" s="335"/>
      <c r="CL472" s="335"/>
      <c r="CM472" s="335"/>
      <c r="CN472" s="335"/>
      <c r="CO472" s="335"/>
      <c r="CP472" s="335"/>
      <c r="CQ472" s="335"/>
      <c r="CR472" s="335"/>
      <c r="CS472" s="335"/>
      <c r="CT472" s="335"/>
      <c r="CU472" s="335"/>
      <c r="CV472" s="335"/>
      <c r="CW472" s="335"/>
      <c r="CX472" s="335"/>
      <c r="CY472" s="335"/>
      <c r="CZ472" s="335"/>
      <c r="DA472" s="335"/>
      <c r="DB472" s="335"/>
      <c r="DC472" s="335"/>
      <c r="DD472" s="335"/>
      <c r="DE472" s="335"/>
      <c r="DF472" s="335"/>
      <c r="DG472" s="335"/>
      <c r="DH472" s="335"/>
      <c r="DI472" s="335"/>
      <c r="DJ472" s="335"/>
      <c r="DK472" s="335"/>
      <c r="DL472" s="335"/>
      <c r="DM472" s="335"/>
      <c r="DN472" s="335"/>
      <c r="DO472" s="335"/>
      <c r="DP472" s="335"/>
      <c r="DQ472" s="335"/>
      <c r="DR472" s="335"/>
      <c r="DS472" s="335"/>
      <c r="DT472" s="335"/>
      <c r="DU472" s="335"/>
      <c r="DV472" s="335"/>
      <c r="DW472" s="335"/>
      <c r="DX472" s="335"/>
      <c r="DY472" s="335"/>
      <c r="DZ472" s="335"/>
      <c r="EA472" s="335"/>
      <c r="EB472" s="335"/>
      <c r="EC472" s="335"/>
      <c r="ED472" s="335"/>
      <c r="EE472" s="335"/>
      <c r="EF472" s="335"/>
      <c r="EG472" s="335"/>
      <c r="EH472" s="335"/>
      <c r="EI472" s="335"/>
      <c r="EJ472" s="335"/>
      <c r="EK472" s="335"/>
      <c r="EL472" s="335"/>
      <c r="EM472" s="335"/>
      <c r="EN472" s="335"/>
      <c r="EO472" s="335"/>
      <c r="EP472" s="335"/>
      <c r="EQ472" s="335"/>
      <c r="ER472" s="335"/>
      <c r="ES472" s="335"/>
      <c r="ET472" s="335"/>
      <c r="EU472" s="335"/>
      <c r="EV472" s="335"/>
      <c r="EW472" s="335"/>
      <c r="EX472" s="335"/>
      <c r="EY472" s="335"/>
      <c r="EZ472" s="335"/>
      <c r="FA472" s="335"/>
      <c r="FB472" s="335"/>
      <c r="FC472" s="335"/>
      <c r="FD472" s="335"/>
      <c r="FE472" s="335"/>
      <c r="FF472" s="335"/>
      <c r="FG472" s="335"/>
      <c r="FH472" s="335"/>
      <c r="FI472" s="335"/>
      <c r="FJ472" s="335"/>
      <c r="FK472" s="335"/>
      <c r="FL472" s="335"/>
      <c r="FM472" s="335"/>
      <c r="FN472" s="335"/>
      <c r="FO472" s="335"/>
      <c r="FP472" s="335"/>
      <c r="FQ472" s="335"/>
      <c r="FR472" s="335"/>
      <c r="FS472" s="335"/>
      <c r="FT472" s="335"/>
      <c r="FU472" s="335"/>
      <c r="FV472" s="335"/>
      <c r="FW472" s="335"/>
      <c r="FX472" s="335"/>
      <c r="FY472" s="335"/>
      <c r="FZ472" s="335"/>
      <c r="GA472" s="335"/>
      <c r="GB472" s="335"/>
      <c r="GC472" s="335"/>
      <c r="GD472" s="335"/>
      <c r="GE472" s="335"/>
      <c r="GF472" s="335"/>
      <c r="GG472" s="335"/>
      <c r="GH472" s="335"/>
      <c r="GI472" s="335"/>
      <c r="GJ472" s="335"/>
      <c r="GK472" s="335"/>
      <c r="GL472" s="335"/>
      <c r="GM472" s="335"/>
      <c r="GN472" s="335"/>
      <c r="GO472" s="335"/>
      <c r="GP472" s="335"/>
      <c r="GQ472" s="335"/>
      <c r="GR472" s="335"/>
      <c r="GS472" s="335"/>
      <c r="GT472" s="335"/>
      <c r="GU472" s="335"/>
      <c r="GV472" s="335"/>
      <c r="GW472" s="335"/>
      <c r="GX472" s="335"/>
      <c r="GY472" s="335"/>
      <c r="GZ472" s="335"/>
    </row>
    <row r="473" spans="1:208" ht="15">
      <c r="A473" s="379"/>
      <c r="B473" s="335"/>
      <c r="C473" s="335"/>
      <c r="D473" s="335"/>
      <c r="E473" s="335"/>
      <c r="F473" s="335"/>
      <c r="G473" s="335"/>
      <c r="H473" s="335"/>
      <c r="I473" s="335"/>
      <c r="J473" s="335"/>
      <c r="K473" s="335"/>
      <c r="L473" s="335"/>
      <c r="M473" s="376"/>
      <c r="N473" s="335"/>
      <c r="O473" s="380"/>
      <c r="P473" s="335"/>
      <c r="Q473" s="335"/>
      <c r="R473" s="335"/>
      <c r="S473" s="335"/>
      <c r="T473" s="335"/>
      <c r="U473" s="335"/>
      <c r="V473" s="335"/>
      <c r="W473" s="335"/>
      <c r="X473" s="335"/>
      <c r="Y473" s="335"/>
      <c r="Z473" s="335"/>
      <c r="AA473" s="335"/>
      <c r="AB473" s="335"/>
      <c r="AC473" s="335"/>
      <c r="AD473" s="335"/>
      <c r="AE473" s="335"/>
      <c r="AF473" s="335"/>
      <c r="AG473" s="335"/>
      <c r="AH473" s="335"/>
      <c r="AI473" s="335"/>
      <c r="AJ473" s="335"/>
      <c r="AK473" s="335"/>
      <c r="AL473" s="335"/>
      <c r="AM473" s="335"/>
      <c r="AN473" s="335"/>
      <c r="AO473" s="335"/>
      <c r="AP473" s="335"/>
      <c r="AQ473" s="335"/>
      <c r="AR473" s="335"/>
      <c r="AS473" s="335"/>
      <c r="AT473" s="335"/>
      <c r="AU473" s="335"/>
      <c r="AV473" s="335"/>
      <c r="AW473" s="335"/>
      <c r="AX473" s="335"/>
      <c r="AY473" s="335"/>
      <c r="AZ473" s="335"/>
      <c r="BA473" s="335"/>
      <c r="BB473" s="335"/>
      <c r="BC473" s="335"/>
      <c r="BD473" s="335"/>
      <c r="BE473" s="335"/>
      <c r="BF473" s="335"/>
      <c r="BG473" s="335"/>
      <c r="BH473" s="335"/>
      <c r="BI473" s="335"/>
      <c r="BJ473" s="335"/>
      <c r="BK473" s="335"/>
      <c r="BL473" s="335"/>
      <c r="BM473" s="335"/>
      <c r="BN473" s="335"/>
      <c r="BO473" s="335"/>
      <c r="BP473" s="335"/>
      <c r="BQ473" s="335"/>
      <c r="BR473" s="335"/>
      <c r="BS473" s="335"/>
      <c r="BT473" s="335"/>
      <c r="BU473" s="335"/>
      <c r="BV473" s="335"/>
      <c r="BW473" s="335"/>
      <c r="BX473" s="335"/>
      <c r="BY473" s="335"/>
      <c r="BZ473" s="335"/>
      <c r="CA473" s="335"/>
      <c r="CB473" s="335"/>
      <c r="CC473" s="335"/>
      <c r="CD473" s="335"/>
      <c r="CE473" s="335"/>
      <c r="CF473" s="335"/>
      <c r="CG473" s="335"/>
      <c r="CH473" s="335"/>
      <c r="CI473" s="335"/>
      <c r="CJ473" s="335"/>
      <c r="CK473" s="335"/>
      <c r="CL473" s="335"/>
      <c r="CM473" s="335"/>
      <c r="CN473" s="335"/>
      <c r="CO473" s="335"/>
      <c r="CP473" s="335"/>
      <c r="CQ473" s="335"/>
      <c r="CR473" s="335"/>
      <c r="CS473" s="335"/>
      <c r="CT473" s="335"/>
      <c r="CU473" s="335"/>
      <c r="CV473" s="335"/>
      <c r="CW473" s="335"/>
      <c r="CX473" s="335"/>
      <c r="CY473" s="335"/>
      <c r="CZ473" s="335"/>
      <c r="DA473" s="335"/>
      <c r="DB473" s="335"/>
      <c r="DC473" s="335"/>
      <c r="DD473" s="335"/>
      <c r="DE473" s="335"/>
      <c r="DF473" s="335"/>
      <c r="DG473" s="335"/>
      <c r="DH473" s="335"/>
      <c r="DI473" s="335"/>
      <c r="DJ473" s="335"/>
      <c r="DK473" s="335"/>
      <c r="DL473" s="335"/>
      <c r="DM473" s="335"/>
      <c r="DN473" s="335"/>
      <c r="DO473" s="335"/>
      <c r="DP473" s="335"/>
      <c r="DQ473" s="335"/>
      <c r="DR473" s="335"/>
      <c r="DS473" s="335"/>
      <c r="DT473" s="335"/>
      <c r="DU473" s="335"/>
      <c r="DV473" s="335"/>
      <c r="DW473" s="335"/>
      <c r="DX473" s="335"/>
      <c r="DY473" s="335"/>
      <c r="DZ473" s="335"/>
      <c r="EA473" s="335"/>
      <c r="EB473" s="335"/>
      <c r="EC473" s="335"/>
      <c r="ED473" s="335"/>
      <c r="EE473" s="335"/>
      <c r="EF473" s="335"/>
      <c r="EG473" s="335"/>
      <c r="EH473" s="335"/>
      <c r="EI473" s="335"/>
      <c r="EJ473" s="335"/>
      <c r="EK473" s="335"/>
      <c r="EL473" s="335"/>
      <c r="EM473" s="335"/>
      <c r="EN473" s="335"/>
      <c r="EO473" s="335"/>
      <c r="EP473" s="335"/>
      <c r="EQ473" s="335"/>
      <c r="ER473" s="335"/>
      <c r="ES473" s="335"/>
      <c r="ET473" s="335"/>
      <c r="EU473" s="335"/>
      <c r="EV473" s="335"/>
      <c r="EW473" s="335"/>
      <c r="EX473" s="335"/>
      <c r="EY473" s="335"/>
      <c r="EZ473" s="335"/>
      <c r="FA473" s="335"/>
      <c r="FB473" s="335"/>
      <c r="FC473" s="335"/>
      <c r="FD473" s="335"/>
      <c r="FE473" s="335"/>
      <c r="FF473" s="335"/>
      <c r="FG473" s="335"/>
      <c r="FH473" s="335"/>
      <c r="FI473" s="335"/>
      <c r="FJ473" s="335"/>
      <c r="FK473" s="335"/>
      <c r="FL473" s="335"/>
      <c r="FM473" s="335"/>
      <c r="FN473" s="335"/>
      <c r="FO473" s="335"/>
      <c r="FP473" s="335"/>
      <c r="FQ473" s="335"/>
      <c r="FR473" s="335"/>
      <c r="FS473" s="335"/>
      <c r="FT473" s="335"/>
      <c r="FU473" s="335"/>
      <c r="FV473" s="335"/>
      <c r="FW473" s="335"/>
      <c r="FX473" s="335"/>
      <c r="FY473" s="335"/>
      <c r="FZ473" s="335"/>
      <c r="GA473" s="335"/>
      <c r="GB473" s="335"/>
      <c r="GC473" s="335"/>
      <c r="GD473" s="335"/>
      <c r="GE473" s="335"/>
      <c r="GF473" s="335"/>
      <c r="GG473" s="335"/>
      <c r="GH473" s="335"/>
      <c r="GI473" s="335"/>
      <c r="GJ473" s="335"/>
      <c r="GK473" s="335"/>
      <c r="GL473" s="335"/>
      <c r="GM473" s="335"/>
      <c r="GN473" s="335"/>
      <c r="GO473" s="335"/>
      <c r="GP473" s="335"/>
      <c r="GQ473" s="335"/>
      <c r="GR473" s="335"/>
      <c r="GS473" s="335"/>
      <c r="GT473" s="335"/>
      <c r="GU473" s="335"/>
      <c r="GV473" s="335"/>
      <c r="GW473" s="335"/>
      <c r="GX473" s="335"/>
      <c r="GY473" s="335"/>
      <c r="GZ473" s="335"/>
    </row>
    <row r="474" spans="1:208" ht="15">
      <c r="A474" s="379"/>
      <c r="B474" s="335"/>
      <c r="C474" s="335"/>
      <c r="D474" s="335"/>
      <c r="E474" s="335"/>
      <c r="F474" s="335"/>
      <c r="G474" s="335"/>
      <c r="H474" s="335"/>
      <c r="I474" s="335"/>
      <c r="J474" s="335"/>
      <c r="K474" s="335"/>
      <c r="L474" s="335"/>
      <c r="M474" s="376"/>
      <c r="N474" s="335"/>
      <c r="O474" s="380"/>
      <c r="P474" s="335"/>
      <c r="Q474" s="335"/>
      <c r="R474" s="335"/>
      <c r="S474" s="335"/>
      <c r="T474" s="335"/>
      <c r="U474" s="335"/>
      <c r="V474" s="335"/>
      <c r="W474" s="335"/>
      <c r="X474" s="335"/>
      <c r="Y474" s="335"/>
      <c r="Z474" s="335"/>
      <c r="AA474" s="335"/>
      <c r="AB474" s="335"/>
      <c r="AC474" s="335"/>
      <c r="AD474" s="335"/>
      <c r="AE474" s="335"/>
      <c r="AF474" s="335"/>
      <c r="AG474" s="335"/>
      <c r="AH474" s="335"/>
      <c r="AI474" s="335"/>
      <c r="AJ474" s="335"/>
      <c r="AK474" s="335"/>
      <c r="AL474" s="335"/>
      <c r="AM474" s="335"/>
      <c r="AN474" s="335"/>
      <c r="AO474" s="335"/>
      <c r="AP474" s="335"/>
      <c r="AQ474" s="335"/>
      <c r="AR474" s="335"/>
      <c r="AS474" s="335"/>
      <c r="AT474" s="335"/>
      <c r="AU474" s="335"/>
      <c r="AV474" s="335"/>
      <c r="AW474" s="335"/>
      <c r="AX474" s="335"/>
      <c r="AY474" s="335"/>
      <c r="AZ474" s="335"/>
      <c r="BA474" s="335"/>
      <c r="BB474" s="335"/>
      <c r="BC474" s="335"/>
      <c r="BD474" s="335"/>
      <c r="BE474" s="335"/>
      <c r="BF474" s="335"/>
      <c r="BG474" s="335"/>
      <c r="BH474" s="335"/>
      <c r="BI474" s="335"/>
      <c r="BJ474" s="335"/>
      <c r="BK474" s="335"/>
      <c r="BL474" s="335"/>
      <c r="BM474" s="335"/>
      <c r="BN474" s="335"/>
      <c r="BO474" s="335"/>
      <c r="BP474" s="335"/>
      <c r="BQ474" s="335"/>
      <c r="BR474" s="335"/>
      <c r="BS474" s="335"/>
      <c r="BT474" s="335"/>
      <c r="BU474" s="335"/>
      <c r="BV474" s="335"/>
      <c r="BW474" s="335"/>
      <c r="BX474" s="335"/>
      <c r="BY474" s="335"/>
      <c r="BZ474" s="335"/>
      <c r="CA474" s="335"/>
      <c r="CB474" s="335"/>
      <c r="CC474" s="335"/>
      <c r="CD474" s="335"/>
      <c r="CE474" s="335"/>
      <c r="CF474" s="335"/>
      <c r="CG474" s="335"/>
      <c r="CH474" s="335"/>
      <c r="CI474" s="335"/>
      <c r="CJ474" s="335"/>
      <c r="CK474" s="335"/>
      <c r="CL474" s="335"/>
      <c r="CM474" s="335"/>
      <c r="CN474" s="335"/>
      <c r="CO474" s="335"/>
      <c r="CP474" s="335"/>
      <c r="CQ474" s="335"/>
      <c r="CR474" s="335"/>
      <c r="CS474" s="335"/>
      <c r="CT474" s="335"/>
      <c r="CU474" s="335"/>
      <c r="CV474" s="335"/>
      <c r="CW474" s="335"/>
      <c r="CX474" s="335"/>
      <c r="CY474" s="335"/>
      <c r="CZ474" s="335"/>
      <c r="DA474" s="335"/>
      <c r="DB474" s="335"/>
      <c r="DC474" s="335"/>
      <c r="DD474" s="335"/>
      <c r="DE474" s="335"/>
      <c r="DF474" s="335"/>
      <c r="DG474" s="335"/>
      <c r="DH474" s="335"/>
      <c r="DI474" s="335"/>
      <c r="DJ474" s="335"/>
      <c r="DK474" s="335"/>
      <c r="DL474" s="335"/>
      <c r="DM474" s="335"/>
      <c r="DN474" s="335"/>
      <c r="DO474" s="335"/>
      <c r="DP474" s="335"/>
      <c r="DQ474" s="335"/>
      <c r="DR474" s="335"/>
      <c r="DS474" s="335"/>
      <c r="DT474" s="335"/>
      <c r="DU474" s="335"/>
      <c r="DV474" s="335"/>
      <c r="DW474" s="335"/>
      <c r="DX474" s="335"/>
      <c r="DY474" s="335"/>
      <c r="DZ474" s="335"/>
      <c r="EA474" s="335"/>
      <c r="EB474" s="335"/>
      <c r="EC474" s="335"/>
      <c r="ED474" s="335"/>
      <c r="EE474" s="335"/>
      <c r="EF474" s="335"/>
      <c r="EG474" s="335"/>
      <c r="EH474" s="335"/>
      <c r="EI474" s="335"/>
      <c r="EJ474" s="335"/>
      <c r="EK474" s="335"/>
      <c r="EL474" s="335"/>
      <c r="EM474" s="335"/>
      <c r="EN474" s="335"/>
      <c r="EO474" s="335"/>
      <c r="EP474" s="335"/>
      <c r="EQ474" s="335"/>
      <c r="ER474" s="335"/>
      <c r="ES474" s="335"/>
      <c r="ET474" s="335"/>
      <c r="EU474" s="335"/>
      <c r="EV474" s="335"/>
      <c r="EW474" s="335"/>
      <c r="EX474" s="335"/>
      <c r="EY474" s="335"/>
      <c r="EZ474" s="335"/>
      <c r="FA474" s="335"/>
      <c r="FB474" s="335"/>
      <c r="FC474" s="335"/>
      <c r="FD474" s="335"/>
      <c r="FE474" s="335"/>
      <c r="FF474" s="335"/>
      <c r="FG474" s="335"/>
      <c r="FH474" s="335"/>
      <c r="FI474" s="335"/>
      <c r="FJ474" s="335"/>
      <c r="FK474" s="335"/>
      <c r="FL474" s="335"/>
      <c r="FM474" s="335"/>
      <c r="FN474" s="335"/>
      <c r="FO474" s="335"/>
      <c r="FP474" s="335"/>
      <c r="FQ474" s="335"/>
      <c r="FR474" s="335"/>
      <c r="FS474" s="335"/>
      <c r="FT474" s="335"/>
      <c r="FU474" s="335"/>
      <c r="FV474" s="335"/>
      <c r="FW474" s="335"/>
      <c r="FX474" s="335"/>
      <c r="FY474" s="335"/>
      <c r="FZ474" s="335"/>
      <c r="GA474" s="335"/>
      <c r="GB474" s="335"/>
      <c r="GC474" s="335"/>
      <c r="GD474" s="335"/>
      <c r="GE474" s="335"/>
      <c r="GF474" s="335"/>
      <c r="GG474" s="335"/>
      <c r="GH474" s="335"/>
      <c r="GI474" s="335"/>
      <c r="GJ474" s="335"/>
      <c r="GK474" s="335"/>
      <c r="GL474" s="335"/>
      <c r="GM474" s="335"/>
      <c r="GN474" s="335"/>
      <c r="GO474" s="335"/>
      <c r="GP474" s="335"/>
      <c r="GQ474" s="335"/>
      <c r="GR474" s="335"/>
      <c r="GS474" s="335"/>
      <c r="GT474" s="335"/>
      <c r="GU474" s="335"/>
      <c r="GV474" s="335"/>
      <c r="GW474" s="335"/>
      <c r="GX474" s="335"/>
      <c r="GY474" s="335"/>
      <c r="GZ474" s="335"/>
    </row>
    <row r="475" spans="1:208" ht="15">
      <c r="A475" s="379"/>
      <c r="B475" s="335"/>
      <c r="C475" s="335"/>
      <c r="D475" s="335"/>
      <c r="E475" s="335"/>
      <c r="F475" s="335"/>
      <c r="G475" s="335"/>
      <c r="H475" s="335"/>
      <c r="I475" s="335"/>
      <c r="J475" s="335"/>
      <c r="K475" s="335"/>
      <c r="L475" s="335"/>
      <c r="M475" s="376"/>
      <c r="N475" s="335"/>
      <c r="O475" s="380"/>
      <c r="P475" s="335"/>
      <c r="Q475" s="335"/>
      <c r="R475" s="335"/>
      <c r="S475" s="335"/>
      <c r="T475" s="335"/>
      <c r="U475" s="335"/>
      <c r="V475" s="335"/>
      <c r="W475" s="335"/>
      <c r="X475" s="335"/>
      <c r="Y475" s="335"/>
      <c r="Z475" s="335"/>
      <c r="AA475" s="335"/>
      <c r="AB475" s="335"/>
      <c r="AC475" s="335"/>
      <c r="AD475" s="335"/>
      <c r="AE475" s="335"/>
      <c r="AF475" s="335"/>
      <c r="AG475" s="335"/>
      <c r="AH475" s="335"/>
      <c r="AI475" s="335"/>
      <c r="AJ475" s="335"/>
      <c r="AK475" s="335"/>
      <c r="AL475" s="335"/>
      <c r="AM475" s="335"/>
      <c r="AN475" s="335"/>
      <c r="AO475" s="335"/>
      <c r="AP475" s="335"/>
      <c r="AQ475" s="335"/>
      <c r="AR475" s="335"/>
      <c r="AS475" s="335"/>
      <c r="AT475" s="335"/>
      <c r="AU475" s="335"/>
      <c r="AV475" s="335"/>
      <c r="AW475" s="335"/>
      <c r="AX475" s="335"/>
      <c r="AY475" s="335"/>
      <c r="AZ475" s="335"/>
      <c r="BA475" s="335"/>
      <c r="BB475" s="335"/>
      <c r="BC475" s="335"/>
      <c r="BD475" s="335"/>
      <c r="BE475" s="335"/>
      <c r="BF475" s="335"/>
      <c r="BG475" s="335"/>
      <c r="BH475" s="335"/>
      <c r="BI475" s="335"/>
      <c r="BJ475" s="335"/>
      <c r="BK475" s="335"/>
      <c r="BL475" s="335"/>
      <c r="BM475" s="335"/>
      <c r="BN475" s="335"/>
      <c r="BO475" s="335"/>
      <c r="BP475" s="335"/>
      <c r="BQ475" s="335"/>
      <c r="BR475" s="335"/>
      <c r="BS475" s="335"/>
      <c r="BT475" s="335"/>
      <c r="BU475" s="335"/>
      <c r="BV475" s="335"/>
      <c r="BW475" s="335"/>
      <c r="BX475" s="335"/>
      <c r="BY475" s="335"/>
      <c r="BZ475" s="335"/>
      <c r="CA475" s="335"/>
      <c r="CB475" s="335"/>
      <c r="CC475" s="335"/>
      <c r="CD475" s="335"/>
      <c r="CE475" s="335"/>
      <c r="CF475" s="335"/>
      <c r="CG475" s="335"/>
      <c r="CH475" s="335"/>
      <c r="CI475" s="335"/>
      <c r="CJ475" s="335"/>
      <c r="CK475" s="335"/>
      <c r="CL475" s="335"/>
      <c r="CM475" s="335"/>
      <c r="CN475" s="335"/>
      <c r="CO475" s="335"/>
      <c r="CP475" s="335"/>
      <c r="CQ475" s="335"/>
      <c r="CR475" s="335"/>
      <c r="CS475" s="335"/>
      <c r="CT475" s="335"/>
      <c r="CU475" s="335"/>
      <c r="CV475" s="335"/>
      <c r="CW475" s="335"/>
      <c r="CX475" s="335"/>
      <c r="CY475" s="335"/>
      <c r="CZ475" s="335"/>
      <c r="DA475" s="335"/>
      <c r="DB475" s="335"/>
      <c r="DC475" s="335"/>
      <c r="DD475" s="335"/>
      <c r="DE475" s="335"/>
      <c r="DF475" s="335"/>
      <c r="DG475" s="335"/>
      <c r="DH475" s="335"/>
      <c r="DI475" s="335"/>
      <c r="DJ475" s="335"/>
      <c r="DK475" s="335"/>
      <c r="DL475" s="335"/>
      <c r="DM475" s="335"/>
      <c r="DN475" s="335"/>
      <c r="DO475" s="335"/>
      <c r="DP475" s="335"/>
      <c r="DQ475" s="335"/>
      <c r="DR475" s="335"/>
      <c r="DS475" s="335"/>
      <c r="DT475" s="335"/>
      <c r="DU475" s="335"/>
      <c r="DV475" s="335"/>
      <c r="DW475" s="335"/>
      <c r="DX475" s="335"/>
      <c r="DY475" s="335"/>
      <c r="DZ475" s="335"/>
      <c r="EA475" s="335"/>
      <c r="EB475" s="335"/>
      <c r="EC475" s="335"/>
      <c r="ED475" s="335"/>
      <c r="EE475" s="335"/>
      <c r="EF475" s="335"/>
      <c r="EG475" s="335"/>
      <c r="EH475" s="335"/>
      <c r="EI475" s="335"/>
      <c r="EJ475" s="335"/>
      <c r="EK475" s="335"/>
      <c r="EL475" s="335"/>
      <c r="EM475" s="335"/>
      <c r="EN475" s="335"/>
      <c r="EO475" s="335"/>
      <c r="EP475" s="335"/>
      <c r="EQ475" s="335"/>
      <c r="ER475" s="335"/>
      <c r="ES475" s="335"/>
      <c r="ET475" s="335"/>
      <c r="EU475" s="335"/>
      <c r="EV475" s="335"/>
      <c r="EW475" s="335"/>
      <c r="EX475" s="335"/>
      <c r="EY475" s="335"/>
      <c r="EZ475" s="335"/>
      <c r="FA475" s="335"/>
      <c r="FB475" s="335"/>
      <c r="FC475" s="335"/>
      <c r="FD475" s="335"/>
      <c r="FE475" s="335"/>
      <c r="FF475" s="335"/>
      <c r="FG475" s="335"/>
      <c r="FH475" s="335"/>
      <c r="FI475" s="335"/>
      <c r="FJ475" s="335"/>
      <c r="FK475" s="335"/>
      <c r="FL475" s="335"/>
      <c r="FM475" s="335"/>
      <c r="FN475" s="335"/>
      <c r="FO475" s="335"/>
      <c r="FP475" s="335"/>
      <c r="FQ475" s="335"/>
      <c r="FR475" s="335"/>
      <c r="FS475" s="335"/>
      <c r="FT475" s="335"/>
      <c r="FU475" s="335"/>
      <c r="FV475" s="335"/>
      <c r="FW475" s="335"/>
      <c r="FX475" s="335"/>
      <c r="FY475" s="335"/>
      <c r="FZ475" s="335"/>
      <c r="GA475" s="335"/>
      <c r="GB475" s="335"/>
      <c r="GC475" s="335"/>
      <c r="GD475" s="335"/>
      <c r="GE475" s="335"/>
      <c r="GF475" s="335"/>
      <c r="GG475" s="335"/>
      <c r="GH475" s="335"/>
      <c r="GI475" s="335"/>
      <c r="GJ475" s="335"/>
      <c r="GK475" s="335"/>
      <c r="GL475" s="335"/>
      <c r="GM475" s="335"/>
      <c r="GN475" s="335"/>
      <c r="GO475" s="335"/>
      <c r="GP475" s="335"/>
      <c r="GQ475" s="335"/>
      <c r="GR475" s="335"/>
      <c r="GS475" s="335"/>
      <c r="GT475" s="335"/>
      <c r="GU475" s="335"/>
      <c r="GV475" s="335"/>
      <c r="GW475" s="335"/>
      <c r="GX475" s="335"/>
      <c r="GY475" s="335"/>
      <c r="GZ475" s="335"/>
    </row>
    <row r="476" spans="1:208" ht="15">
      <c r="A476" s="379"/>
      <c r="B476" s="335"/>
      <c r="C476" s="335"/>
      <c r="D476" s="335"/>
      <c r="E476" s="335"/>
      <c r="F476" s="335"/>
      <c r="G476" s="335"/>
      <c r="H476" s="335"/>
      <c r="I476" s="335"/>
      <c r="J476" s="335"/>
      <c r="K476" s="335"/>
      <c r="L476" s="335"/>
      <c r="M476" s="376"/>
      <c r="N476" s="335"/>
      <c r="O476" s="380"/>
      <c r="P476" s="335"/>
      <c r="Q476" s="335"/>
      <c r="R476" s="335"/>
      <c r="S476" s="335"/>
      <c r="T476" s="335"/>
      <c r="U476" s="335"/>
      <c r="V476" s="335"/>
      <c r="W476" s="335"/>
      <c r="X476" s="335"/>
      <c r="Y476" s="335"/>
      <c r="Z476" s="335"/>
      <c r="AA476" s="335"/>
      <c r="AB476" s="335"/>
      <c r="AC476" s="335"/>
      <c r="AD476" s="335"/>
      <c r="AE476" s="335"/>
      <c r="AF476" s="335"/>
      <c r="AG476" s="335"/>
      <c r="AH476" s="335"/>
      <c r="AI476" s="335"/>
      <c r="AJ476" s="335"/>
      <c r="AK476" s="335"/>
      <c r="AL476" s="335"/>
      <c r="AM476" s="335"/>
      <c r="AN476" s="335"/>
      <c r="AO476" s="335"/>
      <c r="AP476" s="335"/>
      <c r="AQ476" s="335"/>
      <c r="AR476" s="335"/>
      <c r="AS476" s="335"/>
      <c r="AT476" s="335"/>
      <c r="AU476" s="335"/>
      <c r="AV476" s="335"/>
      <c r="AW476" s="335"/>
      <c r="AX476" s="335"/>
      <c r="AY476" s="335"/>
      <c r="AZ476" s="335"/>
      <c r="BA476" s="335"/>
      <c r="BB476" s="335"/>
      <c r="BC476" s="335"/>
      <c r="BD476" s="335"/>
      <c r="BE476" s="335"/>
      <c r="BF476" s="335"/>
      <c r="BG476" s="335"/>
      <c r="BH476" s="335"/>
      <c r="BI476" s="335"/>
      <c r="BJ476" s="335"/>
      <c r="BK476" s="335"/>
      <c r="BL476" s="335"/>
      <c r="BM476" s="335"/>
      <c r="BN476" s="335"/>
      <c r="BO476" s="335"/>
      <c r="BP476" s="335"/>
      <c r="BQ476" s="335"/>
      <c r="BR476" s="335"/>
      <c r="BS476" s="335"/>
      <c r="BT476" s="335"/>
      <c r="BU476" s="335"/>
      <c r="BV476" s="335"/>
      <c r="BW476" s="335"/>
      <c r="BX476" s="335"/>
      <c r="BY476" s="335"/>
      <c r="BZ476" s="335"/>
      <c r="CA476" s="335"/>
      <c r="CB476" s="335"/>
      <c r="CC476" s="335"/>
      <c r="CD476" s="335"/>
      <c r="CE476" s="335"/>
      <c r="CF476" s="335"/>
      <c r="CG476" s="335"/>
      <c r="CH476" s="335"/>
      <c r="CI476" s="335"/>
      <c r="CJ476" s="335"/>
      <c r="CK476" s="335"/>
      <c r="CL476" s="335"/>
      <c r="CM476" s="335"/>
      <c r="CN476" s="335"/>
      <c r="CO476" s="335"/>
      <c r="CP476" s="335"/>
      <c r="CQ476" s="335"/>
      <c r="CR476" s="335"/>
      <c r="CS476" s="335"/>
      <c r="CT476" s="335"/>
      <c r="CU476" s="335"/>
      <c r="CV476" s="335"/>
      <c r="CW476" s="335"/>
      <c r="CX476" s="335"/>
      <c r="CY476" s="335"/>
      <c r="CZ476" s="335"/>
      <c r="DA476" s="335"/>
      <c r="DB476" s="335"/>
      <c r="DC476" s="335"/>
      <c r="DD476" s="335"/>
      <c r="DE476" s="335"/>
      <c r="DF476" s="335"/>
      <c r="DG476" s="335"/>
      <c r="DH476" s="335"/>
      <c r="DI476" s="335"/>
      <c r="DJ476" s="335"/>
      <c r="DK476" s="335"/>
      <c r="DL476" s="335"/>
      <c r="DM476" s="335"/>
      <c r="DN476" s="335"/>
      <c r="DO476" s="335"/>
      <c r="DP476" s="335"/>
      <c r="DQ476" s="335"/>
      <c r="DR476" s="335"/>
      <c r="DS476" s="335"/>
      <c r="DT476" s="335"/>
      <c r="DU476" s="335"/>
      <c r="DV476" s="335"/>
      <c r="DW476" s="335"/>
      <c r="DX476" s="335"/>
      <c r="DY476" s="335"/>
      <c r="DZ476" s="335"/>
      <c r="EA476" s="335"/>
      <c r="EB476" s="335"/>
      <c r="EC476" s="335"/>
      <c r="ED476" s="335"/>
      <c r="EE476" s="335"/>
      <c r="EF476" s="335"/>
      <c r="EG476" s="335"/>
      <c r="EH476" s="335"/>
      <c r="EI476" s="335"/>
      <c r="EJ476" s="335"/>
      <c r="EK476" s="335"/>
      <c r="EL476" s="335"/>
      <c r="EM476" s="335"/>
      <c r="EN476" s="335"/>
      <c r="EO476" s="335"/>
      <c r="EP476" s="335"/>
      <c r="EQ476" s="335"/>
      <c r="ER476" s="335"/>
      <c r="ES476" s="335"/>
      <c r="ET476" s="335"/>
      <c r="EU476" s="335"/>
      <c r="EV476" s="335"/>
      <c r="EW476" s="335"/>
      <c r="EX476" s="335"/>
      <c r="EY476" s="335"/>
      <c r="EZ476" s="335"/>
      <c r="FA476" s="335"/>
      <c r="FB476" s="335"/>
      <c r="FC476" s="335"/>
      <c r="FD476" s="335"/>
      <c r="FE476" s="335"/>
      <c r="FF476" s="335"/>
      <c r="FG476" s="335"/>
      <c r="FH476" s="335"/>
      <c r="FI476" s="335"/>
      <c r="FJ476" s="335"/>
      <c r="FK476" s="335"/>
      <c r="FL476" s="335"/>
      <c r="FM476" s="335"/>
      <c r="FN476" s="335"/>
      <c r="FO476" s="335"/>
      <c r="FP476" s="335"/>
      <c r="FQ476" s="335"/>
      <c r="FR476" s="335"/>
      <c r="FS476" s="335"/>
      <c r="FT476" s="335"/>
      <c r="FU476" s="335"/>
      <c r="FV476" s="335"/>
      <c r="FW476" s="335"/>
      <c r="FX476" s="335"/>
      <c r="FY476" s="335"/>
      <c r="FZ476" s="335"/>
      <c r="GA476" s="335"/>
      <c r="GB476" s="335"/>
      <c r="GC476" s="335"/>
      <c r="GD476" s="335"/>
      <c r="GE476" s="335"/>
      <c r="GF476" s="335"/>
      <c r="GG476" s="335"/>
      <c r="GH476" s="335"/>
      <c r="GI476" s="335"/>
      <c r="GJ476" s="335"/>
      <c r="GK476" s="335"/>
      <c r="GL476" s="335"/>
      <c r="GM476" s="335"/>
      <c r="GN476" s="335"/>
      <c r="GO476" s="335"/>
      <c r="GP476" s="335"/>
      <c r="GQ476" s="335"/>
      <c r="GR476" s="335"/>
      <c r="GS476" s="335"/>
      <c r="GT476" s="335"/>
      <c r="GU476" s="335"/>
      <c r="GV476" s="335"/>
      <c r="GW476" s="335"/>
      <c r="GX476" s="335"/>
      <c r="GY476" s="335"/>
      <c r="GZ476" s="335"/>
    </row>
    <row r="477" spans="1:208" ht="15">
      <c r="A477" s="379"/>
      <c r="B477" s="335"/>
      <c r="C477" s="335"/>
      <c r="D477" s="335"/>
      <c r="E477" s="335"/>
      <c r="F477" s="335"/>
      <c r="G477" s="335"/>
      <c r="H477" s="335"/>
      <c r="I477" s="335"/>
      <c r="J477" s="335"/>
      <c r="K477" s="335"/>
      <c r="L477" s="335"/>
      <c r="M477" s="376"/>
      <c r="N477" s="335"/>
      <c r="O477" s="380"/>
      <c r="P477" s="335"/>
      <c r="Q477" s="335"/>
      <c r="R477" s="335"/>
      <c r="S477" s="335"/>
      <c r="T477" s="335"/>
      <c r="U477" s="335"/>
      <c r="V477" s="335"/>
      <c r="W477" s="335"/>
      <c r="X477" s="335"/>
      <c r="Y477" s="335"/>
      <c r="Z477" s="335"/>
      <c r="AA477" s="335"/>
      <c r="AB477" s="335"/>
      <c r="AC477" s="335"/>
      <c r="AD477" s="335"/>
      <c r="AE477" s="335"/>
      <c r="AF477" s="335"/>
      <c r="AG477" s="335"/>
      <c r="AH477" s="335"/>
      <c r="AI477" s="335"/>
      <c r="AJ477" s="335"/>
      <c r="AK477" s="335"/>
      <c r="AL477" s="335"/>
      <c r="AM477" s="335"/>
      <c r="AN477" s="335"/>
      <c r="AO477" s="335"/>
      <c r="AP477" s="335"/>
      <c r="AQ477" s="335"/>
      <c r="AR477" s="335"/>
      <c r="AS477" s="335"/>
      <c r="AT477" s="335"/>
      <c r="AU477" s="335"/>
      <c r="AV477" s="335"/>
      <c r="AW477" s="335"/>
      <c r="AX477" s="335"/>
      <c r="AY477" s="335"/>
      <c r="AZ477" s="335"/>
      <c r="BA477" s="335"/>
      <c r="BB477" s="335"/>
      <c r="BC477" s="335"/>
      <c r="BD477" s="335"/>
      <c r="BE477" s="335"/>
      <c r="BF477" s="335"/>
      <c r="BG477" s="335"/>
      <c r="BH477" s="335"/>
      <c r="BI477" s="335"/>
      <c r="BJ477" s="335"/>
      <c r="BK477" s="335"/>
      <c r="BL477" s="335"/>
      <c r="BM477" s="335"/>
      <c r="BN477" s="335"/>
      <c r="BO477" s="335"/>
      <c r="BP477" s="335"/>
      <c r="BQ477" s="335"/>
      <c r="BR477" s="335"/>
      <c r="BS477" s="335"/>
      <c r="BT477" s="335"/>
      <c r="BU477" s="335"/>
      <c r="BV477" s="335"/>
      <c r="BW477" s="335"/>
      <c r="BX477" s="335"/>
      <c r="BY477" s="335"/>
      <c r="BZ477" s="335"/>
      <c r="CA477" s="335"/>
      <c r="CB477" s="335"/>
      <c r="CC477" s="335"/>
      <c r="CD477" s="335"/>
      <c r="CE477" s="335"/>
      <c r="CF477" s="335"/>
      <c r="CG477" s="335"/>
      <c r="CH477" s="335"/>
      <c r="CI477" s="335"/>
      <c r="CJ477" s="335"/>
      <c r="CK477" s="335"/>
      <c r="CL477" s="335"/>
      <c r="CM477" s="335"/>
      <c r="CN477" s="335"/>
      <c r="CO477" s="335"/>
      <c r="CP477" s="335"/>
      <c r="CQ477" s="335"/>
      <c r="CR477" s="335"/>
      <c r="CS477" s="335"/>
      <c r="CT477" s="335"/>
      <c r="CU477" s="335"/>
      <c r="CV477" s="335"/>
      <c r="CW477" s="335"/>
      <c r="CX477" s="335"/>
      <c r="CY477" s="335"/>
      <c r="CZ477" s="335"/>
      <c r="DA477" s="335"/>
      <c r="DB477" s="335"/>
      <c r="DC477" s="335"/>
      <c r="DD477" s="335"/>
      <c r="DE477" s="335"/>
      <c r="DF477" s="335"/>
      <c r="DG477" s="335"/>
      <c r="DH477" s="335"/>
      <c r="DI477" s="335"/>
      <c r="DJ477" s="335"/>
      <c r="DK477" s="335"/>
      <c r="DL477" s="335"/>
      <c r="DM477" s="335"/>
      <c r="DN477" s="335"/>
      <c r="DO477" s="335"/>
      <c r="DP477" s="335"/>
      <c r="DQ477" s="335"/>
      <c r="DR477" s="335"/>
      <c r="DS477" s="335"/>
      <c r="DT477" s="335"/>
      <c r="DU477" s="335"/>
      <c r="DV477" s="335"/>
      <c r="DW477" s="335"/>
      <c r="DX477" s="335"/>
      <c r="DY477" s="335"/>
      <c r="DZ477" s="335"/>
      <c r="EA477" s="335"/>
      <c r="EB477" s="335"/>
      <c r="EC477" s="335"/>
      <c r="ED477" s="335"/>
      <c r="EE477" s="335"/>
      <c r="EF477" s="335"/>
      <c r="EG477" s="335"/>
      <c r="EH477" s="335"/>
      <c r="EI477" s="335"/>
      <c r="EJ477" s="335"/>
      <c r="EK477" s="335"/>
      <c r="EL477" s="335"/>
      <c r="EM477" s="335"/>
      <c r="EN477" s="335"/>
      <c r="EO477" s="335"/>
      <c r="EP477" s="335"/>
      <c r="EQ477" s="335"/>
      <c r="ER477" s="335"/>
      <c r="ES477" s="335"/>
      <c r="ET477" s="335"/>
      <c r="EU477" s="335"/>
      <c r="EV477" s="335"/>
      <c r="EW477" s="335"/>
      <c r="EX477" s="335"/>
      <c r="EY477" s="335"/>
      <c r="EZ477" s="335"/>
      <c r="FA477" s="335"/>
      <c r="FB477" s="335"/>
      <c r="FC477" s="335"/>
      <c r="FD477" s="335"/>
      <c r="FE477" s="335"/>
      <c r="FF477" s="335"/>
      <c r="FG477" s="335"/>
      <c r="FH477" s="335"/>
      <c r="FI477" s="335"/>
      <c r="FJ477" s="335"/>
      <c r="FK477" s="335"/>
      <c r="FL477" s="335"/>
      <c r="FM477" s="335"/>
      <c r="FN477" s="335"/>
      <c r="FO477" s="335"/>
      <c r="FP477" s="335"/>
      <c r="FQ477" s="335"/>
      <c r="FR477" s="335"/>
      <c r="FS477" s="335"/>
      <c r="FT477" s="335"/>
      <c r="FU477" s="335"/>
      <c r="FV477" s="335"/>
      <c r="FW477" s="335"/>
      <c r="FX477" s="335"/>
      <c r="FY477" s="335"/>
      <c r="FZ477" s="335"/>
      <c r="GA477" s="335"/>
      <c r="GB477" s="335"/>
      <c r="GC477" s="335"/>
      <c r="GD477" s="335"/>
      <c r="GE477" s="335"/>
      <c r="GF477" s="335"/>
      <c r="GG477" s="335"/>
      <c r="GH477" s="335"/>
      <c r="GI477" s="335"/>
      <c r="GJ477" s="335"/>
      <c r="GK477" s="335"/>
      <c r="GL477" s="335"/>
      <c r="GM477" s="335"/>
      <c r="GN477" s="335"/>
      <c r="GO477" s="335"/>
      <c r="GP477" s="335"/>
      <c r="GQ477" s="335"/>
      <c r="GR477" s="335"/>
      <c r="GS477" s="335"/>
      <c r="GT477" s="335"/>
      <c r="GU477" s="335"/>
      <c r="GV477" s="335"/>
      <c r="GW477" s="335"/>
      <c r="GX477" s="335"/>
      <c r="GY477" s="335"/>
      <c r="GZ477" s="335"/>
    </row>
    <row r="478" spans="1:208" ht="15">
      <c r="A478" s="379"/>
      <c r="B478" s="335"/>
      <c r="C478" s="335"/>
      <c r="D478" s="335"/>
      <c r="E478" s="335"/>
      <c r="F478" s="335"/>
      <c r="G478" s="335"/>
      <c r="H478" s="335"/>
      <c r="I478" s="335"/>
      <c r="J478" s="335"/>
      <c r="K478" s="335"/>
      <c r="L478" s="335"/>
      <c r="M478" s="376"/>
      <c r="N478" s="335"/>
      <c r="O478" s="380"/>
      <c r="P478" s="335"/>
      <c r="Q478" s="335"/>
      <c r="R478" s="335"/>
      <c r="S478" s="335"/>
      <c r="T478" s="335"/>
      <c r="U478" s="335"/>
      <c r="V478" s="335"/>
      <c r="W478" s="335"/>
      <c r="X478" s="335"/>
      <c r="Y478" s="335"/>
      <c r="Z478" s="335"/>
      <c r="AA478" s="335"/>
      <c r="AB478" s="335"/>
      <c r="AC478" s="335"/>
      <c r="AD478" s="335"/>
      <c r="AE478" s="335"/>
      <c r="AF478" s="335"/>
      <c r="AG478" s="335"/>
      <c r="AH478" s="335"/>
      <c r="AI478" s="335"/>
      <c r="AJ478" s="335"/>
      <c r="AK478" s="335"/>
      <c r="AL478" s="335"/>
      <c r="AM478" s="335"/>
      <c r="AN478" s="335"/>
      <c r="AO478" s="335"/>
      <c r="AP478" s="335"/>
      <c r="AQ478" s="335"/>
      <c r="AR478" s="335"/>
      <c r="AS478" s="335"/>
      <c r="AT478" s="335"/>
      <c r="AU478" s="335"/>
      <c r="AV478" s="335"/>
      <c r="AW478" s="335"/>
      <c r="AX478" s="335"/>
      <c r="AY478" s="335"/>
      <c r="AZ478" s="335"/>
      <c r="BA478" s="335"/>
      <c r="BB478" s="335"/>
      <c r="BC478" s="335"/>
      <c r="BD478" s="335"/>
      <c r="BE478" s="335"/>
      <c r="BF478" s="335"/>
      <c r="BG478" s="335"/>
      <c r="BH478" s="335"/>
      <c r="BI478" s="335"/>
      <c r="BJ478" s="335"/>
      <c r="BK478" s="335"/>
      <c r="BL478" s="335"/>
      <c r="BM478" s="335"/>
      <c r="BN478" s="335"/>
      <c r="BO478" s="335"/>
      <c r="BP478" s="335"/>
      <c r="BQ478" s="335"/>
      <c r="BR478" s="335"/>
      <c r="BS478" s="335"/>
      <c r="BT478" s="335"/>
      <c r="BU478" s="335"/>
      <c r="BV478" s="335"/>
      <c r="BW478" s="335"/>
      <c r="BX478" s="335"/>
      <c r="BY478" s="335"/>
      <c r="BZ478" s="335"/>
      <c r="CA478" s="335"/>
      <c r="CB478" s="335"/>
      <c r="CC478" s="335"/>
      <c r="CD478" s="335"/>
      <c r="CE478" s="335"/>
      <c r="CF478" s="335"/>
      <c r="CG478" s="335"/>
      <c r="CH478" s="335"/>
      <c r="CI478" s="335"/>
      <c r="CJ478" s="335"/>
      <c r="CK478" s="335"/>
      <c r="CL478" s="335"/>
      <c r="CM478" s="335"/>
      <c r="CN478" s="335"/>
      <c r="CO478" s="335"/>
      <c r="CP478" s="335"/>
      <c r="CQ478" s="335"/>
      <c r="CR478" s="335"/>
      <c r="CS478" s="335"/>
      <c r="CT478" s="335"/>
      <c r="CU478" s="335"/>
      <c r="CV478" s="335"/>
      <c r="CW478" s="335"/>
      <c r="CX478" s="335"/>
      <c r="CY478" s="335"/>
      <c r="CZ478" s="335"/>
      <c r="DA478" s="335"/>
      <c r="DB478" s="335"/>
      <c r="DC478" s="335"/>
      <c r="DD478" s="335"/>
      <c r="DE478" s="335"/>
      <c r="DF478" s="335"/>
      <c r="DG478" s="335"/>
      <c r="DH478" s="335"/>
      <c r="DI478" s="335"/>
      <c r="DJ478" s="335"/>
      <c r="DK478" s="335"/>
      <c r="DL478" s="335"/>
      <c r="DM478" s="335"/>
      <c r="DN478" s="335"/>
      <c r="DO478" s="335"/>
      <c r="DP478" s="335"/>
      <c r="DQ478" s="335"/>
      <c r="DR478" s="335"/>
      <c r="DS478" s="335"/>
      <c r="DT478" s="335"/>
      <c r="DU478" s="335"/>
      <c r="DV478" s="335"/>
      <c r="DW478" s="335"/>
      <c r="DX478" s="335"/>
      <c r="DY478" s="335"/>
      <c r="DZ478" s="335"/>
      <c r="EA478" s="335"/>
      <c r="EB478" s="335"/>
      <c r="EC478" s="335"/>
      <c r="ED478" s="335"/>
      <c r="EE478" s="335"/>
      <c r="EF478" s="335"/>
      <c r="EG478" s="335"/>
      <c r="EH478" s="335"/>
      <c r="EI478" s="335"/>
      <c r="EJ478" s="335"/>
      <c r="EK478" s="335"/>
      <c r="EL478" s="335"/>
      <c r="EM478" s="335"/>
      <c r="EN478" s="335"/>
      <c r="EO478" s="335"/>
      <c r="EP478" s="335"/>
      <c r="EQ478" s="335"/>
      <c r="ER478" s="335"/>
      <c r="ES478" s="335"/>
      <c r="ET478" s="335"/>
      <c r="EU478" s="335"/>
      <c r="EV478" s="335"/>
      <c r="EW478" s="335"/>
      <c r="EX478" s="335"/>
      <c r="EY478" s="335"/>
      <c r="EZ478" s="335"/>
      <c r="FA478" s="335"/>
      <c r="FB478" s="335"/>
      <c r="FC478" s="335"/>
      <c r="FD478" s="335"/>
      <c r="FE478" s="335"/>
      <c r="FF478" s="335"/>
      <c r="FG478" s="335"/>
      <c r="FH478" s="335"/>
      <c r="FI478" s="335"/>
      <c r="FJ478" s="335"/>
      <c r="FK478" s="335"/>
      <c r="FL478" s="335"/>
      <c r="FM478" s="335"/>
      <c r="FN478" s="335"/>
      <c r="FO478" s="335"/>
      <c r="FP478" s="335"/>
      <c r="FQ478" s="335"/>
      <c r="FR478" s="335"/>
      <c r="FS478" s="335"/>
      <c r="FT478" s="335"/>
      <c r="FU478" s="335"/>
      <c r="FV478" s="335"/>
      <c r="FW478" s="335"/>
      <c r="FX478" s="335"/>
      <c r="FY478" s="335"/>
      <c r="FZ478" s="335"/>
      <c r="GA478" s="335"/>
      <c r="GB478" s="335"/>
      <c r="GC478" s="335"/>
      <c r="GD478" s="335"/>
      <c r="GE478" s="335"/>
      <c r="GF478" s="335"/>
      <c r="GG478" s="335"/>
      <c r="GH478" s="335"/>
      <c r="GI478" s="335"/>
      <c r="GJ478" s="335"/>
      <c r="GK478" s="335"/>
      <c r="GL478" s="335"/>
      <c r="GM478" s="335"/>
      <c r="GN478" s="335"/>
      <c r="GO478" s="335"/>
      <c r="GP478" s="335"/>
      <c r="GQ478" s="335"/>
      <c r="GR478" s="335"/>
      <c r="GS478" s="335"/>
      <c r="GT478" s="335"/>
      <c r="GU478" s="335"/>
      <c r="GV478" s="335"/>
      <c r="GW478" s="335"/>
      <c r="GX478" s="335"/>
      <c r="GY478" s="335"/>
      <c r="GZ478" s="335"/>
    </row>
    <row r="479" spans="1:208" ht="15">
      <c r="A479" s="379"/>
      <c r="B479" s="335"/>
      <c r="C479" s="335"/>
      <c r="D479" s="335"/>
      <c r="E479" s="335"/>
      <c r="F479" s="335"/>
      <c r="G479" s="335"/>
      <c r="H479" s="335"/>
      <c r="I479" s="335"/>
      <c r="J479" s="335"/>
      <c r="K479" s="335"/>
      <c r="L479" s="335"/>
      <c r="M479" s="376"/>
      <c r="N479" s="335"/>
      <c r="O479" s="380"/>
      <c r="P479" s="335"/>
      <c r="Q479" s="335"/>
      <c r="R479" s="335"/>
      <c r="S479" s="335"/>
      <c r="T479" s="335"/>
      <c r="U479" s="335"/>
      <c r="V479" s="335"/>
      <c r="W479" s="335"/>
      <c r="X479" s="335"/>
      <c r="Y479" s="335"/>
      <c r="Z479" s="335"/>
      <c r="AA479" s="335"/>
      <c r="AB479" s="335"/>
      <c r="AC479" s="335"/>
      <c r="AD479" s="335"/>
      <c r="AE479" s="335"/>
      <c r="AF479" s="335"/>
      <c r="AG479" s="335"/>
      <c r="AH479" s="335"/>
      <c r="AI479" s="335"/>
      <c r="AJ479" s="335"/>
      <c r="AK479" s="335"/>
      <c r="AL479" s="335"/>
      <c r="AM479" s="335"/>
      <c r="AN479" s="335"/>
      <c r="AO479" s="335"/>
      <c r="AP479" s="335"/>
      <c r="AQ479" s="335"/>
      <c r="AR479" s="335"/>
      <c r="AS479" s="335"/>
      <c r="AT479" s="335"/>
      <c r="AU479" s="335"/>
      <c r="AV479" s="335"/>
      <c r="AW479" s="335"/>
      <c r="AX479" s="335"/>
      <c r="AY479" s="335"/>
      <c r="AZ479" s="335"/>
      <c r="BA479" s="335"/>
      <c r="BB479" s="335"/>
      <c r="BC479" s="335"/>
      <c r="BD479" s="335"/>
      <c r="BE479" s="335"/>
      <c r="BF479" s="335"/>
      <c r="BG479" s="335"/>
      <c r="BH479" s="335"/>
      <c r="BI479" s="335"/>
      <c r="BJ479" s="335"/>
      <c r="BK479" s="335"/>
      <c r="BL479" s="335"/>
      <c r="BM479" s="335"/>
      <c r="BN479" s="335"/>
      <c r="BO479" s="335"/>
      <c r="BP479" s="335"/>
      <c r="BQ479" s="335"/>
      <c r="BR479" s="335"/>
      <c r="BS479" s="335"/>
      <c r="BT479" s="335"/>
      <c r="BU479" s="335"/>
      <c r="BV479" s="335"/>
      <c r="BW479" s="335"/>
      <c r="BX479" s="335"/>
      <c r="BY479" s="335"/>
      <c r="BZ479" s="335"/>
      <c r="CA479" s="335"/>
      <c r="CB479" s="335"/>
      <c r="CC479" s="335"/>
      <c r="CD479" s="335"/>
      <c r="CE479" s="335"/>
      <c r="CF479" s="335"/>
      <c r="CG479" s="335"/>
      <c r="CH479" s="335"/>
      <c r="CI479" s="335"/>
      <c r="CJ479" s="335"/>
      <c r="CK479" s="335"/>
      <c r="CL479" s="335"/>
      <c r="CM479" s="335"/>
      <c r="CN479" s="335"/>
      <c r="CO479" s="335"/>
      <c r="CP479" s="335"/>
      <c r="CQ479" s="335"/>
      <c r="CR479" s="335"/>
      <c r="CS479" s="335"/>
      <c r="CT479" s="335"/>
      <c r="CU479" s="335"/>
      <c r="CV479" s="335"/>
      <c r="CW479" s="335"/>
      <c r="CX479" s="335"/>
      <c r="CY479" s="335"/>
      <c r="CZ479" s="335"/>
      <c r="DA479" s="335"/>
      <c r="DB479" s="335"/>
      <c r="DC479" s="335"/>
      <c r="DD479" s="335"/>
      <c r="DE479" s="335"/>
      <c r="DF479" s="335"/>
      <c r="DG479" s="335"/>
      <c r="DH479" s="335"/>
      <c r="DI479" s="335"/>
      <c r="DJ479" s="335"/>
      <c r="DK479" s="335"/>
      <c r="DL479" s="335"/>
      <c r="DM479" s="335"/>
      <c r="DN479" s="335"/>
      <c r="DO479" s="335"/>
      <c r="DP479" s="335"/>
      <c r="DQ479" s="335"/>
      <c r="DR479" s="335"/>
      <c r="DS479" s="335"/>
      <c r="DT479" s="335"/>
      <c r="DU479" s="335"/>
      <c r="DV479" s="335"/>
      <c r="DW479" s="335"/>
      <c r="DX479" s="335"/>
      <c r="DY479" s="335"/>
      <c r="DZ479" s="335"/>
      <c r="EA479" s="335"/>
      <c r="EB479" s="335"/>
      <c r="EC479" s="335"/>
      <c r="ED479" s="335"/>
      <c r="EE479" s="335"/>
      <c r="EF479" s="335"/>
      <c r="EG479" s="335"/>
      <c r="EH479" s="335"/>
      <c r="EI479" s="335"/>
      <c r="EJ479" s="335"/>
      <c r="EK479" s="335"/>
      <c r="EL479" s="335"/>
      <c r="EM479" s="335"/>
      <c r="EN479" s="335"/>
      <c r="EO479" s="335"/>
      <c r="EP479" s="335"/>
      <c r="EQ479" s="335"/>
      <c r="ER479" s="335"/>
      <c r="ES479" s="335"/>
      <c r="ET479" s="335"/>
      <c r="EU479" s="335"/>
      <c r="EV479" s="335"/>
      <c r="EW479" s="335"/>
      <c r="EX479" s="335"/>
      <c r="EY479" s="335"/>
      <c r="EZ479" s="335"/>
      <c r="FA479" s="335"/>
      <c r="FB479" s="335"/>
      <c r="FC479" s="335"/>
      <c r="FD479" s="335"/>
      <c r="FE479" s="335"/>
      <c r="FF479" s="335"/>
      <c r="FG479" s="335"/>
      <c r="FH479" s="335"/>
      <c r="FI479" s="335"/>
      <c r="FJ479" s="335"/>
      <c r="FK479" s="335"/>
      <c r="FL479" s="335"/>
      <c r="FM479" s="335"/>
      <c r="FN479" s="335"/>
      <c r="FO479" s="335"/>
      <c r="FP479" s="335"/>
      <c r="FQ479" s="335"/>
      <c r="FR479" s="335"/>
      <c r="FS479" s="335"/>
      <c r="FT479" s="335"/>
      <c r="FU479" s="335"/>
      <c r="FV479" s="335"/>
      <c r="FW479" s="335"/>
      <c r="FX479" s="335"/>
      <c r="FY479" s="335"/>
      <c r="FZ479" s="335"/>
      <c r="GA479" s="335"/>
      <c r="GB479" s="335"/>
      <c r="GC479" s="335"/>
      <c r="GD479" s="335"/>
      <c r="GE479" s="335"/>
      <c r="GF479" s="335"/>
      <c r="GG479" s="335"/>
      <c r="GH479" s="335"/>
      <c r="GI479" s="335"/>
      <c r="GJ479" s="335"/>
      <c r="GK479" s="335"/>
      <c r="GL479" s="335"/>
      <c r="GM479" s="335"/>
      <c r="GN479" s="335"/>
      <c r="GO479" s="335"/>
      <c r="GP479" s="335"/>
      <c r="GQ479" s="335"/>
      <c r="GR479" s="335"/>
      <c r="GS479" s="335"/>
      <c r="GT479" s="335"/>
      <c r="GU479" s="335"/>
      <c r="GV479" s="335"/>
      <c r="GW479" s="335"/>
      <c r="GX479" s="335"/>
      <c r="GY479" s="335"/>
      <c r="GZ479" s="335"/>
    </row>
    <row r="480" spans="1:208" ht="15">
      <c r="A480" s="379"/>
      <c r="B480" s="335"/>
      <c r="C480" s="335"/>
      <c r="D480" s="335"/>
      <c r="E480" s="335"/>
      <c r="F480" s="335"/>
      <c r="G480" s="335"/>
      <c r="H480" s="335"/>
      <c r="I480" s="335"/>
      <c r="J480" s="335"/>
      <c r="K480" s="335"/>
      <c r="L480" s="335"/>
      <c r="M480" s="376"/>
      <c r="N480" s="335"/>
      <c r="O480" s="380"/>
      <c r="P480" s="335"/>
      <c r="Q480" s="335"/>
      <c r="R480" s="335"/>
      <c r="S480" s="335"/>
      <c r="T480" s="335"/>
      <c r="U480" s="335"/>
      <c r="V480" s="335"/>
      <c r="W480" s="335"/>
      <c r="X480" s="335"/>
      <c r="Y480" s="335"/>
      <c r="Z480" s="335"/>
      <c r="AA480" s="335"/>
      <c r="AB480" s="335"/>
      <c r="AC480" s="335"/>
      <c r="AD480" s="335"/>
      <c r="AE480" s="335"/>
      <c r="AF480" s="335"/>
      <c r="AG480" s="335"/>
      <c r="AH480" s="335"/>
      <c r="AI480" s="335"/>
      <c r="AJ480" s="335"/>
      <c r="AK480" s="335"/>
      <c r="AL480" s="335"/>
      <c r="AM480" s="335"/>
      <c r="AN480" s="335"/>
      <c r="AO480" s="335"/>
      <c r="AP480" s="335"/>
      <c r="AQ480" s="335"/>
      <c r="AR480" s="335"/>
      <c r="AS480" s="335"/>
      <c r="AT480" s="335"/>
      <c r="AU480" s="335"/>
      <c r="AV480" s="335"/>
      <c r="AW480" s="335"/>
      <c r="AX480" s="335"/>
      <c r="AY480" s="335"/>
      <c r="AZ480" s="335"/>
      <c r="BA480" s="335"/>
      <c r="BB480" s="335"/>
      <c r="BC480" s="335"/>
      <c r="BD480" s="335"/>
      <c r="BE480" s="335"/>
      <c r="BF480" s="335"/>
      <c r="BG480" s="335"/>
      <c r="BH480" s="335"/>
      <c r="BI480" s="335"/>
      <c r="BJ480" s="335"/>
      <c r="BK480" s="335"/>
      <c r="BL480" s="335"/>
      <c r="BM480" s="335"/>
      <c r="BN480" s="335"/>
      <c r="BO480" s="335"/>
      <c r="BP480" s="335"/>
      <c r="BQ480" s="335"/>
      <c r="BR480" s="335"/>
      <c r="BS480" s="335"/>
      <c r="BT480" s="335"/>
      <c r="BU480" s="335"/>
      <c r="BV480" s="335"/>
      <c r="BW480" s="335"/>
      <c r="BX480" s="335"/>
      <c r="BY480" s="335"/>
      <c r="BZ480" s="335"/>
      <c r="CA480" s="335"/>
      <c r="CB480" s="335"/>
      <c r="CC480" s="335"/>
      <c r="CD480" s="335"/>
      <c r="CE480" s="335"/>
      <c r="CF480" s="335"/>
      <c r="CG480" s="335"/>
      <c r="CH480" s="335"/>
      <c r="CI480" s="335"/>
      <c r="CJ480" s="335"/>
      <c r="CK480" s="335"/>
      <c r="CL480" s="335"/>
      <c r="CM480" s="335"/>
      <c r="CN480" s="335"/>
      <c r="CO480" s="335"/>
      <c r="CP480" s="335"/>
      <c r="CQ480" s="335"/>
      <c r="CR480" s="335"/>
      <c r="CS480" s="335"/>
      <c r="CT480" s="335"/>
      <c r="CU480" s="335"/>
      <c r="CV480" s="335"/>
      <c r="CW480" s="335"/>
      <c r="CX480" s="335"/>
      <c r="CY480" s="335"/>
      <c r="CZ480" s="335"/>
      <c r="DA480" s="335"/>
      <c r="DB480" s="335"/>
      <c r="DC480" s="335"/>
      <c r="DD480" s="335"/>
      <c r="DE480" s="335"/>
      <c r="DF480" s="335"/>
      <c r="DG480" s="335"/>
      <c r="DH480" s="335"/>
      <c r="DI480" s="335"/>
      <c r="DJ480" s="335"/>
      <c r="DK480" s="335"/>
      <c r="DL480" s="335"/>
      <c r="DM480" s="335"/>
      <c r="DN480" s="335"/>
      <c r="DO480" s="335"/>
      <c r="DP480" s="335"/>
      <c r="DQ480" s="335"/>
      <c r="DR480" s="335"/>
      <c r="DS480" s="335"/>
      <c r="DT480" s="335"/>
      <c r="DU480" s="335"/>
      <c r="DV480" s="335"/>
      <c r="DW480" s="335"/>
      <c r="DX480" s="335"/>
      <c r="DY480" s="335"/>
      <c r="DZ480" s="335"/>
      <c r="EA480" s="335"/>
      <c r="EB480" s="335"/>
      <c r="EC480" s="335"/>
      <c r="ED480" s="335"/>
      <c r="EE480" s="335"/>
      <c r="EF480" s="335"/>
      <c r="EG480" s="335"/>
      <c r="EH480" s="335"/>
      <c r="EI480" s="335"/>
      <c r="EJ480" s="335"/>
      <c r="EK480" s="335"/>
      <c r="EL480" s="335"/>
      <c r="EM480" s="335"/>
      <c r="EN480" s="335"/>
      <c r="EO480" s="335"/>
      <c r="EP480" s="335"/>
      <c r="EQ480" s="335"/>
      <c r="ER480" s="335"/>
      <c r="ES480" s="335"/>
      <c r="ET480" s="335"/>
      <c r="EU480" s="335"/>
      <c r="EV480" s="335"/>
      <c r="EW480" s="335"/>
      <c r="EX480" s="335"/>
      <c r="EY480" s="335"/>
      <c r="EZ480" s="335"/>
      <c r="FA480" s="335"/>
      <c r="FB480" s="335"/>
      <c r="FC480" s="335"/>
      <c r="FD480" s="335"/>
      <c r="FE480" s="335"/>
      <c r="FF480" s="335"/>
      <c r="FG480" s="335"/>
      <c r="FH480" s="335"/>
      <c r="FI480" s="335"/>
      <c r="FJ480" s="335"/>
      <c r="FK480" s="335"/>
      <c r="FL480" s="335"/>
      <c r="FM480" s="335"/>
      <c r="FN480" s="335"/>
      <c r="FO480" s="335"/>
      <c r="FP480" s="335"/>
      <c r="FQ480" s="335"/>
      <c r="FR480" s="335"/>
      <c r="FS480" s="335"/>
      <c r="FT480" s="335"/>
      <c r="FU480" s="335"/>
      <c r="FV480" s="335"/>
      <c r="FW480" s="335"/>
      <c r="FX480" s="335"/>
      <c r="FY480" s="335"/>
      <c r="FZ480" s="335"/>
      <c r="GA480" s="335"/>
      <c r="GB480" s="335"/>
      <c r="GC480" s="335"/>
      <c r="GD480" s="335"/>
      <c r="GE480" s="335"/>
      <c r="GF480" s="335"/>
      <c r="GG480" s="335"/>
      <c r="GH480" s="335"/>
      <c r="GI480" s="335"/>
      <c r="GJ480" s="335"/>
      <c r="GK480" s="335"/>
      <c r="GL480" s="335"/>
      <c r="GM480" s="335"/>
      <c r="GN480" s="335"/>
      <c r="GO480" s="335"/>
      <c r="GP480" s="335"/>
      <c r="GQ480" s="335"/>
      <c r="GR480" s="335"/>
      <c r="GS480" s="335"/>
      <c r="GT480" s="335"/>
      <c r="GU480" s="335"/>
      <c r="GV480" s="335"/>
      <c r="GW480" s="335"/>
      <c r="GX480" s="335"/>
      <c r="GY480" s="335"/>
      <c r="GZ480" s="335"/>
    </row>
    <row r="481" spans="1:208" ht="15">
      <c r="A481" s="379"/>
      <c r="B481" s="335"/>
      <c r="C481" s="335"/>
      <c r="D481" s="335"/>
      <c r="E481" s="335"/>
      <c r="F481" s="335"/>
      <c r="G481" s="335"/>
      <c r="H481" s="335"/>
      <c r="I481" s="335"/>
      <c r="J481" s="335"/>
      <c r="K481" s="335"/>
      <c r="L481" s="335"/>
      <c r="M481" s="376"/>
      <c r="N481" s="335"/>
      <c r="O481" s="380"/>
      <c r="P481" s="335"/>
      <c r="Q481" s="335"/>
      <c r="R481" s="335"/>
      <c r="S481" s="335"/>
      <c r="T481" s="335"/>
      <c r="U481" s="335"/>
      <c r="V481" s="335"/>
      <c r="W481" s="335"/>
      <c r="X481" s="335"/>
      <c r="Y481" s="335"/>
      <c r="Z481" s="335"/>
      <c r="AA481" s="335"/>
      <c r="AB481" s="335"/>
      <c r="AC481" s="335"/>
      <c r="AD481" s="335"/>
      <c r="AE481" s="335"/>
      <c r="AF481" s="335"/>
      <c r="AG481" s="335"/>
      <c r="AH481" s="335"/>
      <c r="AI481" s="335"/>
      <c r="AJ481" s="335"/>
      <c r="AK481" s="335"/>
      <c r="AL481" s="335"/>
      <c r="AM481" s="335"/>
      <c r="AN481" s="335"/>
      <c r="AO481" s="335"/>
      <c r="AP481" s="335"/>
      <c r="AQ481" s="335"/>
      <c r="AR481" s="335"/>
      <c r="AS481" s="335"/>
      <c r="AT481" s="335"/>
      <c r="AU481" s="335"/>
      <c r="AV481" s="335"/>
      <c r="AW481" s="335"/>
      <c r="AX481" s="335"/>
      <c r="AY481" s="335"/>
      <c r="AZ481" s="335"/>
      <c r="BA481" s="335"/>
      <c r="BB481" s="335"/>
      <c r="BC481" s="335"/>
      <c r="BD481" s="335"/>
      <c r="BE481" s="335"/>
      <c r="BF481" s="335"/>
      <c r="BG481" s="335"/>
      <c r="BH481" s="335"/>
      <c r="BI481" s="335"/>
      <c r="BJ481" s="335"/>
      <c r="BK481" s="335"/>
      <c r="BL481" s="335"/>
      <c r="BM481" s="335"/>
      <c r="BN481" s="335"/>
      <c r="BO481" s="335"/>
      <c r="BP481" s="335"/>
      <c r="BQ481" s="335"/>
      <c r="BR481" s="335"/>
      <c r="BS481" s="335"/>
      <c r="BT481" s="335"/>
      <c r="BU481" s="335"/>
      <c r="BV481" s="335"/>
      <c r="BW481" s="335"/>
      <c r="BX481" s="335"/>
      <c r="BY481" s="335"/>
      <c r="BZ481" s="335"/>
      <c r="CA481" s="335"/>
      <c r="CB481" s="335"/>
      <c r="CC481" s="335"/>
      <c r="CD481" s="335"/>
      <c r="CE481" s="335"/>
      <c r="CF481" s="335"/>
      <c r="CG481" s="335"/>
      <c r="CH481" s="335"/>
      <c r="CI481" s="335"/>
      <c r="CJ481" s="335"/>
      <c r="CK481" s="335"/>
      <c r="CL481" s="335"/>
      <c r="CM481" s="335"/>
      <c r="CN481" s="335"/>
      <c r="CO481" s="335"/>
      <c r="CP481" s="335"/>
      <c r="CQ481" s="335"/>
      <c r="CR481" s="335"/>
      <c r="CS481" s="335"/>
      <c r="CT481" s="335"/>
      <c r="CU481" s="335"/>
      <c r="CV481" s="335"/>
      <c r="CW481" s="335"/>
      <c r="CX481" s="335"/>
      <c r="CY481" s="335"/>
      <c r="CZ481" s="335"/>
      <c r="DA481" s="335"/>
      <c r="DB481" s="335"/>
      <c r="DC481" s="335"/>
      <c r="DD481" s="335"/>
      <c r="DE481" s="335"/>
      <c r="DF481" s="335"/>
      <c r="DG481" s="335"/>
      <c r="DH481" s="335"/>
      <c r="DI481" s="335"/>
      <c r="DJ481" s="335"/>
      <c r="DK481" s="335"/>
      <c r="DL481" s="335"/>
      <c r="DM481" s="335"/>
      <c r="DN481" s="335"/>
      <c r="DO481" s="335"/>
      <c r="DP481" s="335"/>
      <c r="DQ481" s="335"/>
      <c r="DR481" s="335"/>
      <c r="DS481" s="335"/>
      <c r="DT481" s="335"/>
      <c r="DU481" s="335"/>
      <c r="DV481" s="335"/>
      <c r="DW481" s="335"/>
      <c r="DX481" s="335"/>
      <c r="DY481" s="335"/>
      <c r="DZ481" s="335"/>
      <c r="EA481" s="335"/>
      <c r="EB481" s="335"/>
      <c r="EC481" s="335"/>
      <c r="ED481" s="335"/>
      <c r="EE481" s="335"/>
      <c r="EF481" s="335"/>
      <c r="EG481" s="335"/>
      <c r="EH481" s="335"/>
      <c r="EI481" s="335"/>
      <c r="EJ481" s="335"/>
      <c r="EK481" s="335"/>
      <c r="EL481" s="335"/>
      <c r="EM481" s="335"/>
      <c r="EN481" s="335"/>
      <c r="EO481" s="335"/>
      <c r="EP481" s="335"/>
      <c r="EQ481" s="335"/>
      <c r="ER481" s="335"/>
      <c r="ES481" s="335"/>
      <c r="ET481" s="335"/>
      <c r="EU481" s="335"/>
      <c r="EV481" s="335"/>
      <c r="EW481" s="335"/>
      <c r="EX481" s="335"/>
      <c r="EY481" s="335"/>
      <c r="EZ481" s="335"/>
      <c r="FA481" s="335"/>
      <c r="FB481" s="335"/>
      <c r="FC481" s="335"/>
      <c r="FD481" s="335"/>
      <c r="FE481" s="335"/>
      <c r="FF481" s="335"/>
      <c r="FG481" s="335"/>
      <c r="FH481" s="335"/>
      <c r="FI481" s="335"/>
      <c r="FJ481" s="335"/>
      <c r="FK481" s="335"/>
      <c r="FL481" s="335"/>
      <c r="FM481" s="335"/>
      <c r="FN481" s="335"/>
      <c r="FO481" s="335"/>
      <c r="FP481" s="335"/>
      <c r="FQ481" s="335"/>
      <c r="FR481" s="335"/>
      <c r="FS481" s="335"/>
      <c r="FT481" s="335"/>
      <c r="FU481" s="335"/>
      <c r="FV481" s="335"/>
      <c r="FW481" s="335"/>
      <c r="FX481" s="335"/>
      <c r="FY481" s="335"/>
      <c r="FZ481" s="335"/>
      <c r="GA481" s="335"/>
      <c r="GB481" s="335"/>
      <c r="GC481" s="335"/>
      <c r="GD481" s="335"/>
      <c r="GE481" s="335"/>
      <c r="GF481" s="335"/>
      <c r="GG481" s="335"/>
      <c r="GH481" s="335"/>
      <c r="GI481" s="335"/>
      <c r="GJ481" s="335"/>
      <c r="GK481" s="335"/>
      <c r="GL481" s="335"/>
      <c r="GM481" s="335"/>
      <c r="GN481" s="335"/>
      <c r="GO481" s="335"/>
      <c r="GP481" s="335"/>
      <c r="GQ481" s="335"/>
      <c r="GR481" s="335"/>
      <c r="GS481" s="335"/>
      <c r="GT481" s="335"/>
      <c r="GU481" s="335"/>
      <c r="GV481" s="335"/>
      <c r="GW481" s="335"/>
      <c r="GX481" s="335"/>
      <c r="GY481" s="335"/>
      <c r="GZ481" s="335"/>
    </row>
    <row r="482" spans="1:208" ht="15">
      <c r="A482" s="379"/>
      <c r="B482" s="335"/>
      <c r="C482" s="335"/>
      <c r="D482" s="335"/>
      <c r="E482" s="335"/>
      <c r="F482" s="335"/>
      <c r="G482" s="335"/>
      <c r="H482" s="335"/>
      <c r="I482" s="335"/>
      <c r="J482" s="335"/>
      <c r="K482" s="335"/>
      <c r="L482" s="335"/>
      <c r="M482" s="376"/>
      <c r="N482" s="335"/>
      <c r="O482" s="380"/>
      <c r="P482" s="335"/>
      <c r="Q482" s="335"/>
      <c r="R482" s="335"/>
      <c r="S482" s="335"/>
      <c r="T482" s="335"/>
      <c r="U482" s="335"/>
      <c r="V482" s="335"/>
      <c r="W482" s="335"/>
      <c r="X482" s="335"/>
      <c r="Y482" s="335"/>
      <c r="Z482" s="335"/>
      <c r="AA482" s="335"/>
      <c r="AB482" s="335"/>
      <c r="AC482" s="335"/>
      <c r="AD482" s="335"/>
      <c r="AE482" s="335"/>
      <c r="AF482" s="335"/>
      <c r="AG482" s="335"/>
      <c r="AH482" s="335"/>
      <c r="AI482" s="335"/>
      <c r="AJ482" s="335"/>
      <c r="AK482" s="335"/>
      <c r="AL482" s="335"/>
      <c r="AM482" s="335"/>
      <c r="AN482" s="335"/>
      <c r="AO482" s="335"/>
      <c r="AP482" s="335"/>
      <c r="AQ482" s="335"/>
      <c r="AR482" s="335"/>
      <c r="AS482" s="335"/>
      <c r="AT482" s="335"/>
      <c r="AU482" s="335"/>
      <c r="AV482" s="335"/>
      <c r="AW482" s="335"/>
      <c r="AX482" s="335"/>
      <c r="AY482" s="335"/>
      <c r="AZ482" s="335"/>
      <c r="BA482" s="335"/>
      <c r="BB482" s="335"/>
      <c r="BC482" s="335"/>
      <c r="BD482" s="335"/>
      <c r="BE482" s="335"/>
      <c r="BF482" s="335"/>
      <c r="BG482" s="335"/>
      <c r="BH482" s="335"/>
      <c r="BI482" s="335"/>
      <c r="BJ482" s="335"/>
      <c r="BK482" s="335"/>
      <c r="BL482" s="335"/>
      <c r="BM482" s="335"/>
      <c r="BN482" s="335"/>
      <c r="BO482" s="335"/>
      <c r="BP482" s="335"/>
      <c r="BQ482" s="335"/>
      <c r="BR482" s="335"/>
      <c r="BS482" s="335"/>
      <c r="BT482" s="335"/>
      <c r="BU482" s="335"/>
      <c r="BV482" s="335"/>
      <c r="BW482" s="335"/>
      <c r="BX482" s="335"/>
      <c r="BY482" s="335"/>
      <c r="BZ482" s="335"/>
      <c r="CA482" s="335"/>
      <c r="CB482" s="335"/>
      <c r="CC482" s="335"/>
      <c r="CD482" s="335"/>
      <c r="CE482" s="335"/>
      <c r="CF482" s="335"/>
      <c r="CG482" s="335"/>
      <c r="CH482" s="335"/>
      <c r="CI482" s="335"/>
      <c r="CJ482" s="335"/>
      <c r="CK482" s="335"/>
      <c r="CL482" s="335"/>
      <c r="CM482" s="335"/>
      <c r="CN482" s="335"/>
      <c r="CO482" s="335"/>
      <c r="CP482" s="335"/>
      <c r="CQ482" s="335"/>
      <c r="CR482" s="335"/>
      <c r="CS482" s="335"/>
      <c r="CT482" s="335"/>
      <c r="CU482" s="335"/>
      <c r="CV482" s="335"/>
      <c r="CW482" s="335"/>
      <c r="CX482" s="335"/>
      <c r="CY482" s="335"/>
      <c r="CZ482" s="335"/>
      <c r="DA482" s="335"/>
      <c r="DB482" s="335"/>
      <c r="DC482" s="335"/>
      <c r="DD482" s="335"/>
      <c r="DE482" s="335"/>
      <c r="DF482" s="335"/>
      <c r="DG482" s="335"/>
      <c r="DH482" s="335"/>
      <c r="DI482" s="335"/>
      <c r="DJ482" s="335"/>
      <c r="DK482" s="335"/>
      <c r="DL482" s="335"/>
      <c r="DM482" s="335"/>
      <c r="DN482" s="335"/>
      <c r="DO482" s="335"/>
      <c r="DP482" s="335"/>
      <c r="DQ482" s="335"/>
      <c r="DR482" s="335"/>
      <c r="DS482" s="335"/>
      <c r="DT482" s="335"/>
      <c r="DU482" s="335"/>
      <c r="DV482" s="335"/>
      <c r="DW482" s="335"/>
      <c r="DX482" s="335"/>
      <c r="DY482" s="335"/>
      <c r="DZ482" s="335"/>
      <c r="EA482" s="335"/>
      <c r="EB482" s="335"/>
      <c r="EC482" s="335"/>
      <c r="ED482" s="335"/>
      <c r="EE482" s="335"/>
      <c r="EF482" s="335"/>
      <c r="EG482" s="335"/>
      <c r="EH482" s="335"/>
      <c r="EI482" s="335"/>
      <c r="EJ482" s="335"/>
      <c r="EK482" s="335"/>
      <c r="EL482" s="335"/>
      <c r="EM482" s="335"/>
      <c r="EN482" s="335"/>
      <c r="EO482" s="335"/>
      <c r="EP482" s="335"/>
      <c r="EQ482" s="335"/>
      <c r="ER482" s="335"/>
      <c r="ES482" s="335"/>
      <c r="ET482" s="335"/>
      <c r="EU482" s="335"/>
      <c r="EV482" s="335"/>
      <c r="EW482" s="335"/>
      <c r="EX482" s="335"/>
      <c r="EY482" s="335"/>
      <c r="EZ482" s="335"/>
      <c r="FA482" s="335"/>
      <c r="FB482" s="335"/>
      <c r="FC482" s="335"/>
      <c r="FD482" s="335"/>
      <c r="FE482" s="335"/>
      <c r="FF482" s="335"/>
      <c r="FG482" s="335"/>
      <c r="FH482" s="335"/>
      <c r="FI482" s="335"/>
      <c r="FJ482" s="335"/>
      <c r="FK482" s="335"/>
      <c r="FL482" s="335"/>
      <c r="FM482" s="335"/>
      <c r="FN482" s="335"/>
      <c r="FO482" s="335"/>
      <c r="FP482" s="335"/>
      <c r="FQ482" s="335"/>
      <c r="FR482" s="335"/>
      <c r="FS482" s="335"/>
      <c r="FT482" s="335"/>
      <c r="FU482" s="335"/>
      <c r="FV482" s="335"/>
      <c r="FW482" s="335"/>
      <c r="FX482" s="335"/>
      <c r="FY482" s="335"/>
      <c r="FZ482" s="335"/>
      <c r="GA482" s="335"/>
      <c r="GB482" s="335"/>
      <c r="GC482" s="335"/>
      <c r="GD482" s="335"/>
      <c r="GE482" s="335"/>
      <c r="GF482" s="335"/>
      <c r="GG482" s="335"/>
      <c r="GH482" s="335"/>
      <c r="GI482" s="335"/>
      <c r="GJ482" s="335"/>
      <c r="GK482" s="335"/>
      <c r="GL482" s="335"/>
      <c r="GM482" s="335"/>
      <c r="GN482" s="335"/>
      <c r="GO482" s="335"/>
      <c r="GP482" s="335"/>
      <c r="GQ482" s="335"/>
      <c r="GR482" s="335"/>
      <c r="GS482" s="335"/>
      <c r="GT482" s="335"/>
      <c r="GU482" s="335"/>
      <c r="GV482" s="335"/>
      <c r="GW482" s="335"/>
      <c r="GX482" s="335"/>
      <c r="GY482" s="335"/>
      <c r="GZ482" s="335"/>
    </row>
    <row r="483" spans="1:208" ht="15">
      <c r="A483" s="379"/>
      <c r="B483" s="335"/>
      <c r="C483" s="335"/>
      <c r="D483" s="335"/>
      <c r="E483" s="335"/>
      <c r="F483" s="335"/>
      <c r="G483" s="335"/>
      <c r="H483" s="335"/>
      <c r="I483" s="335"/>
      <c r="J483" s="335"/>
      <c r="K483" s="335"/>
      <c r="L483" s="335"/>
      <c r="M483" s="376"/>
      <c r="N483" s="335"/>
      <c r="O483" s="380"/>
      <c r="P483" s="335"/>
      <c r="Q483" s="335"/>
      <c r="R483" s="335"/>
      <c r="S483" s="335"/>
      <c r="T483" s="335"/>
      <c r="U483" s="335"/>
      <c r="V483" s="335"/>
      <c r="W483" s="335"/>
      <c r="X483" s="335"/>
      <c r="Y483" s="335"/>
      <c r="Z483" s="335"/>
      <c r="AA483" s="335"/>
      <c r="AB483" s="335"/>
      <c r="AC483" s="335"/>
      <c r="AD483" s="335"/>
      <c r="AE483" s="335"/>
      <c r="AF483" s="335"/>
      <c r="AG483" s="335"/>
      <c r="AH483" s="335"/>
      <c r="AI483" s="335"/>
      <c r="AJ483" s="335"/>
      <c r="AK483" s="335"/>
      <c r="AL483" s="335"/>
      <c r="AM483" s="335"/>
      <c r="AN483" s="335"/>
      <c r="AO483" s="335"/>
      <c r="AP483" s="335"/>
      <c r="AQ483" s="335"/>
      <c r="AR483" s="335"/>
      <c r="AS483" s="335"/>
      <c r="AT483" s="335"/>
      <c r="AU483" s="335"/>
      <c r="AV483" s="335"/>
      <c r="AW483" s="335"/>
      <c r="AX483" s="335"/>
      <c r="AY483" s="335"/>
      <c r="AZ483" s="335"/>
      <c r="BA483" s="335"/>
      <c r="BB483" s="335"/>
      <c r="BC483" s="335"/>
      <c r="BD483" s="335"/>
      <c r="BE483" s="335"/>
      <c r="BF483" s="335"/>
      <c r="BG483" s="335"/>
      <c r="BH483" s="335"/>
      <c r="BI483" s="335"/>
      <c r="BJ483" s="335"/>
      <c r="BK483" s="335"/>
      <c r="BL483" s="335"/>
      <c r="BM483" s="335"/>
      <c r="BN483" s="335"/>
      <c r="BO483" s="335"/>
      <c r="BP483" s="335"/>
      <c r="BQ483" s="335"/>
      <c r="BR483" s="335"/>
      <c r="BS483" s="335"/>
      <c r="BT483" s="335"/>
      <c r="BU483" s="335"/>
      <c r="BV483" s="335"/>
      <c r="BW483" s="335"/>
      <c r="BX483" s="335"/>
      <c r="BY483" s="335"/>
      <c r="BZ483" s="335"/>
      <c r="CA483" s="335"/>
      <c r="CB483" s="335"/>
      <c r="CC483" s="335"/>
      <c r="CD483" s="335"/>
      <c r="CE483" s="335"/>
      <c r="CF483" s="335"/>
      <c r="CG483" s="335"/>
      <c r="CH483" s="335"/>
      <c r="CI483" s="335"/>
      <c r="CJ483" s="335"/>
      <c r="CK483" s="335"/>
      <c r="CL483" s="335"/>
      <c r="CM483" s="335"/>
      <c r="CN483" s="335"/>
      <c r="CO483" s="335"/>
      <c r="CP483" s="335"/>
      <c r="CQ483" s="335"/>
      <c r="CR483" s="335"/>
      <c r="CS483" s="335"/>
      <c r="CT483" s="335"/>
      <c r="CU483" s="335"/>
      <c r="CV483" s="335"/>
      <c r="CW483" s="335"/>
      <c r="CX483" s="335"/>
      <c r="CY483" s="335"/>
      <c r="CZ483" s="335"/>
      <c r="DA483" s="335"/>
      <c r="DB483" s="335"/>
      <c r="DC483" s="335"/>
      <c r="DD483" s="335"/>
      <c r="DE483" s="335"/>
      <c r="DF483" s="335"/>
      <c r="DG483" s="335"/>
      <c r="DH483" s="335"/>
      <c r="DI483" s="335"/>
      <c r="DJ483" s="335"/>
      <c r="DK483" s="335"/>
      <c r="DL483" s="335"/>
      <c r="DM483" s="335"/>
      <c r="DN483" s="335"/>
      <c r="DO483" s="335"/>
      <c r="DP483" s="335"/>
      <c r="DQ483" s="335"/>
      <c r="DR483" s="335"/>
      <c r="DS483" s="335"/>
      <c r="DT483" s="335"/>
      <c r="DU483" s="335"/>
      <c r="DV483" s="335"/>
      <c r="DW483" s="335"/>
      <c r="DX483" s="335"/>
      <c r="DY483" s="335"/>
      <c r="DZ483" s="335"/>
      <c r="EA483" s="335"/>
      <c r="EB483" s="335"/>
      <c r="EC483" s="335"/>
      <c r="ED483" s="335"/>
      <c r="EE483" s="335"/>
      <c r="EF483" s="335"/>
      <c r="EG483" s="335"/>
      <c r="EH483" s="335"/>
      <c r="EI483" s="335"/>
      <c r="EJ483" s="335"/>
      <c r="EK483" s="335"/>
      <c r="EL483" s="335"/>
      <c r="EM483" s="335"/>
      <c r="EN483" s="335"/>
      <c r="EO483" s="335"/>
      <c r="EP483" s="335"/>
      <c r="EQ483" s="335"/>
      <c r="ER483" s="335"/>
      <c r="ES483" s="335"/>
      <c r="ET483" s="335"/>
      <c r="EU483" s="335"/>
      <c r="EV483" s="335"/>
      <c r="EW483" s="335"/>
      <c r="EX483" s="335"/>
      <c r="EY483" s="335"/>
      <c r="EZ483" s="335"/>
      <c r="FA483" s="335"/>
      <c r="FB483" s="335"/>
      <c r="FC483" s="335"/>
      <c r="FD483" s="335"/>
      <c r="FE483" s="335"/>
      <c r="FF483" s="335"/>
      <c r="FG483" s="335"/>
      <c r="FH483" s="335"/>
      <c r="FI483" s="335"/>
      <c r="FJ483" s="335"/>
      <c r="FK483" s="335"/>
      <c r="FL483" s="335"/>
      <c r="FM483" s="335"/>
      <c r="FN483" s="335"/>
      <c r="FO483" s="335"/>
      <c r="FP483" s="335"/>
      <c r="FQ483" s="335"/>
      <c r="FR483" s="335"/>
      <c r="FS483" s="335"/>
      <c r="FT483" s="335"/>
      <c r="FU483" s="335"/>
      <c r="FV483" s="335"/>
      <c r="FW483" s="335"/>
      <c r="FX483" s="335"/>
      <c r="FY483" s="335"/>
      <c r="FZ483" s="335"/>
      <c r="GA483" s="335"/>
      <c r="GB483" s="335"/>
      <c r="GC483" s="335"/>
      <c r="GD483" s="335"/>
      <c r="GE483" s="335"/>
      <c r="GF483" s="335"/>
      <c r="GG483" s="335"/>
      <c r="GH483" s="335"/>
      <c r="GI483" s="335"/>
      <c r="GJ483" s="335"/>
      <c r="GK483" s="335"/>
      <c r="GL483" s="335"/>
      <c r="GM483" s="335"/>
      <c r="GN483" s="335"/>
      <c r="GO483" s="335"/>
      <c r="GP483" s="335"/>
      <c r="GQ483" s="335"/>
      <c r="GR483" s="335"/>
      <c r="GS483" s="335"/>
      <c r="GT483" s="335"/>
      <c r="GU483" s="335"/>
      <c r="GV483" s="335"/>
      <c r="GW483" s="335"/>
      <c r="GX483" s="335"/>
      <c r="GY483" s="335"/>
      <c r="GZ483" s="335"/>
    </row>
    <row r="484" spans="1:208" ht="15">
      <c r="A484" s="379"/>
      <c r="B484" s="335"/>
      <c r="C484" s="335"/>
      <c r="D484" s="335"/>
      <c r="E484" s="335"/>
      <c r="F484" s="335"/>
      <c r="G484" s="335"/>
      <c r="H484" s="335"/>
      <c r="I484" s="335"/>
      <c r="J484" s="335"/>
      <c r="K484" s="335"/>
      <c r="L484" s="335"/>
      <c r="M484" s="376"/>
      <c r="N484" s="335"/>
      <c r="O484" s="380"/>
      <c r="P484" s="335"/>
      <c r="Q484" s="335"/>
      <c r="R484" s="335"/>
      <c r="S484" s="335"/>
      <c r="T484" s="335"/>
      <c r="U484" s="335"/>
      <c r="V484" s="335"/>
      <c r="W484" s="335"/>
      <c r="X484" s="335"/>
      <c r="Y484" s="335"/>
      <c r="Z484" s="335"/>
      <c r="AA484" s="335"/>
      <c r="AB484" s="335"/>
      <c r="AC484" s="335"/>
      <c r="AD484" s="335"/>
      <c r="AE484" s="335"/>
      <c r="AF484" s="335"/>
      <c r="AG484" s="335"/>
      <c r="AH484" s="335"/>
      <c r="AI484" s="335"/>
      <c r="AJ484" s="335"/>
      <c r="AK484" s="335"/>
      <c r="AL484" s="335"/>
      <c r="AM484" s="335"/>
      <c r="AN484" s="335"/>
      <c r="AO484" s="335"/>
      <c r="AP484" s="335"/>
      <c r="AQ484" s="335"/>
      <c r="AR484" s="335"/>
      <c r="AS484" s="335"/>
      <c r="AT484" s="335"/>
      <c r="AU484" s="335"/>
      <c r="AV484" s="335"/>
      <c r="AW484" s="335"/>
      <c r="AX484" s="335"/>
      <c r="AY484" s="335"/>
      <c r="AZ484" s="335"/>
      <c r="BA484" s="335"/>
      <c r="BB484" s="335"/>
      <c r="BC484" s="335"/>
      <c r="BD484" s="335"/>
      <c r="BE484" s="335"/>
      <c r="BF484" s="335"/>
      <c r="BG484" s="335"/>
      <c r="BH484" s="335"/>
      <c r="BI484" s="335"/>
      <c r="BJ484" s="335"/>
      <c r="BK484" s="335"/>
      <c r="BL484" s="335"/>
      <c r="BM484" s="335"/>
      <c r="BN484" s="335"/>
      <c r="BO484" s="335"/>
      <c r="BP484" s="335"/>
      <c r="BQ484" s="335"/>
      <c r="BR484" s="335"/>
      <c r="BS484" s="335"/>
      <c r="BT484" s="335"/>
      <c r="BU484" s="335"/>
      <c r="BV484" s="335"/>
      <c r="BW484" s="335"/>
      <c r="BX484" s="335"/>
      <c r="BY484" s="335"/>
      <c r="BZ484" s="335"/>
      <c r="CA484" s="335"/>
      <c r="CB484" s="335"/>
      <c r="CC484" s="335"/>
      <c r="CD484" s="335"/>
      <c r="CE484" s="335"/>
      <c r="CF484" s="335"/>
      <c r="CG484" s="335"/>
      <c r="CH484" s="335"/>
      <c r="CI484" s="335"/>
      <c r="CJ484" s="335"/>
      <c r="CK484" s="335"/>
      <c r="CL484" s="335"/>
      <c r="CM484" s="335"/>
      <c r="CN484" s="335"/>
      <c r="CO484" s="335"/>
      <c r="CP484" s="335"/>
      <c r="CQ484" s="335"/>
      <c r="CR484" s="335"/>
      <c r="CS484" s="335"/>
      <c r="CT484" s="335"/>
      <c r="CU484" s="335"/>
      <c r="CV484" s="335"/>
      <c r="CW484" s="335"/>
      <c r="CX484" s="335"/>
      <c r="CY484" s="335"/>
      <c r="CZ484" s="335"/>
      <c r="DA484" s="335"/>
      <c r="DB484" s="335"/>
      <c r="DC484" s="335"/>
      <c r="DD484" s="335"/>
      <c r="DE484" s="335"/>
      <c r="DF484" s="335"/>
      <c r="DG484" s="335"/>
      <c r="DH484" s="335"/>
      <c r="DI484" s="335"/>
      <c r="DJ484" s="335"/>
      <c r="DK484" s="335"/>
      <c r="DL484" s="335"/>
      <c r="DM484" s="335"/>
      <c r="DN484" s="335"/>
      <c r="DO484" s="335"/>
      <c r="DP484" s="335"/>
      <c r="DQ484" s="335"/>
      <c r="DR484" s="335"/>
      <c r="DS484" s="335"/>
      <c r="DT484" s="335"/>
      <c r="DU484" s="335"/>
      <c r="DV484" s="335"/>
      <c r="DW484" s="335"/>
      <c r="DX484" s="335"/>
      <c r="DY484" s="335"/>
      <c r="DZ484" s="335"/>
      <c r="EA484" s="335"/>
      <c r="EB484" s="335"/>
      <c r="EC484" s="335"/>
      <c r="ED484" s="335"/>
      <c r="EE484" s="335"/>
      <c r="EF484" s="335"/>
      <c r="EG484" s="335"/>
      <c r="EH484" s="335"/>
      <c r="EI484" s="335"/>
      <c r="EJ484" s="335"/>
      <c r="EK484" s="335"/>
      <c r="EL484" s="335"/>
      <c r="EM484" s="335"/>
      <c r="EN484" s="335"/>
      <c r="EO484" s="335"/>
      <c r="EP484" s="335"/>
      <c r="EQ484" s="335"/>
      <c r="ER484" s="335"/>
      <c r="ES484" s="335"/>
      <c r="ET484" s="335"/>
      <c r="EU484" s="335"/>
      <c r="EV484" s="335"/>
      <c r="EW484" s="335"/>
      <c r="EX484" s="335"/>
      <c r="EY484" s="335"/>
      <c r="EZ484" s="335"/>
      <c r="FA484" s="335"/>
      <c r="FB484" s="335"/>
      <c r="FC484" s="335"/>
      <c r="FD484" s="335"/>
      <c r="FE484" s="335"/>
      <c r="FF484" s="335"/>
      <c r="FG484" s="335"/>
      <c r="FH484" s="335"/>
      <c r="FI484" s="335"/>
      <c r="FJ484" s="335"/>
      <c r="FK484" s="335"/>
      <c r="FL484" s="335"/>
      <c r="FM484" s="335"/>
      <c r="FN484" s="335"/>
      <c r="FO484" s="335"/>
      <c r="FP484" s="335"/>
      <c r="FQ484" s="335"/>
      <c r="FR484" s="335"/>
      <c r="FS484" s="335"/>
      <c r="FT484" s="335"/>
      <c r="FU484" s="335"/>
      <c r="FV484" s="335"/>
      <c r="FW484" s="335"/>
      <c r="FX484" s="335"/>
      <c r="FY484" s="335"/>
      <c r="FZ484" s="335"/>
      <c r="GA484" s="335"/>
      <c r="GB484" s="335"/>
      <c r="GC484" s="335"/>
      <c r="GD484" s="335"/>
      <c r="GE484" s="335"/>
      <c r="GF484" s="335"/>
      <c r="GG484" s="335"/>
      <c r="GH484" s="335"/>
      <c r="GI484" s="335"/>
      <c r="GJ484" s="335"/>
      <c r="GK484" s="335"/>
      <c r="GL484" s="335"/>
      <c r="GM484" s="335"/>
      <c r="GN484" s="335"/>
      <c r="GO484" s="335"/>
      <c r="GP484" s="335"/>
      <c r="GQ484" s="335"/>
      <c r="GR484" s="335"/>
      <c r="GS484" s="335"/>
      <c r="GT484" s="335"/>
      <c r="GU484" s="335"/>
      <c r="GV484" s="335"/>
      <c r="GW484" s="335"/>
      <c r="GX484" s="335"/>
      <c r="GY484" s="335"/>
      <c r="GZ484" s="335"/>
    </row>
    <row r="485" spans="1:208" ht="15">
      <c r="A485" s="379"/>
      <c r="B485" s="335"/>
      <c r="C485" s="335"/>
      <c r="D485" s="335"/>
      <c r="E485" s="335"/>
      <c r="F485" s="335"/>
      <c r="G485" s="335"/>
      <c r="H485" s="335"/>
      <c r="I485" s="335"/>
      <c r="J485" s="335"/>
      <c r="K485" s="335"/>
      <c r="L485" s="335"/>
      <c r="M485" s="376"/>
      <c r="N485" s="335"/>
      <c r="O485" s="380"/>
      <c r="P485" s="335"/>
      <c r="Q485" s="335"/>
      <c r="R485" s="335"/>
      <c r="S485" s="335"/>
      <c r="T485" s="335"/>
      <c r="U485" s="335"/>
      <c r="V485" s="335"/>
      <c r="W485" s="335"/>
      <c r="X485" s="335"/>
      <c r="Y485" s="335"/>
      <c r="Z485" s="335"/>
      <c r="AA485" s="335"/>
      <c r="AB485" s="335"/>
      <c r="AC485" s="335"/>
      <c r="AD485" s="335"/>
      <c r="AE485" s="335"/>
      <c r="AF485" s="335"/>
      <c r="AG485" s="335"/>
      <c r="AH485" s="335"/>
      <c r="AI485" s="335"/>
      <c r="AJ485" s="335"/>
      <c r="AK485" s="335"/>
      <c r="AL485" s="335"/>
      <c r="AM485" s="335"/>
      <c r="AN485" s="335"/>
      <c r="AO485" s="335"/>
      <c r="AP485" s="335"/>
      <c r="AQ485" s="335"/>
      <c r="AR485" s="335"/>
      <c r="AS485" s="335"/>
      <c r="AT485" s="335"/>
      <c r="AU485" s="335"/>
      <c r="AV485" s="335"/>
      <c r="AW485" s="335"/>
      <c r="AX485" s="335"/>
      <c r="AY485" s="335"/>
      <c r="AZ485" s="335"/>
      <c r="BA485" s="335"/>
      <c r="BB485" s="335"/>
      <c r="BC485" s="335"/>
      <c r="BD485" s="335"/>
      <c r="BE485" s="335"/>
      <c r="BF485" s="335"/>
      <c r="BG485" s="335"/>
      <c r="BH485" s="335"/>
      <c r="BI485" s="335"/>
      <c r="BJ485" s="335"/>
      <c r="BK485" s="335"/>
      <c r="BL485" s="335"/>
      <c r="BM485" s="335"/>
      <c r="BN485" s="335"/>
      <c r="BO485" s="335"/>
      <c r="BP485" s="335"/>
      <c r="BQ485" s="335"/>
      <c r="BR485" s="335"/>
      <c r="BS485" s="335"/>
      <c r="BT485" s="335"/>
      <c r="BU485" s="335"/>
      <c r="BV485" s="335"/>
      <c r="BW485" s="335"/>
      <c r="BX485" s="335"/>
      <c r="BY485" s="335"/>
      <c r="BZ485" s="335"/>
      <c r="CA485" s="335"/>
      <c r="CB485" s="335"/>
      <c r="CC485" s="335"/>
      <c r="CD485" s="335"/>
      <c r="CE485" s="335"/>
      <c r="CF485" s="335"/>
      <c r="CG485" s="335"/>
      <c r="CH485" s="335"/>
      <c r="CI485" s="335"/>
      <c r="CJ485" s="335"/>
      <c r="CK485" s="335"/>
      <c r="CL485" s="335"/>
      <c r="CM485" s="335"/>
      <c r="CN485" s="335"/>
      <c r="CO485" s="335"/>
      <c r="CP485" s="335"/>
      <c r="CQ485" s="335"/>
      <c r="CR485" s="335"/>
      <c r="CS485" s="335"/>
      <c r="CT485" s="335"/>
      <c r="CU485" s="335"/>
      <c r="CV485" s="335"/>
      <c r="CW485" s="335"/>
      <c r="CX485" s="335"/>
      <c r="CY485" s="335"/>
      <c r="CZ485" s="335"/>
      <c r="DA485" s="335"/>
      <c r="DB485" s="335"/>
      <c r="DC485" s="335"/>
      <c r="DD485" s="335"/>
      <c r="DE485" s="335"/>
      <c r="DF485" s="335"/>
      <c r="DG485" s="335"/>
      <c r="DH485" s="335"/>
      <c r="DI485" s="335"/>
      <c r="DJ485" s="335"/>
      <c r="DK485" s="335"/>
      <c r="DL485" s="335"/>
      <c r="DM485" s="335"/>
      <c r="DN485" s="335"/>
      <c r="DO485" s="335"/>
      <c r="DP485" s="335"/>
      <c r="DQ485" s="335"/>
      <c r="DR485" s="335"/>
      <c r="DS485" s="335"/>
      <c r="DT485" s="335"/>
      <c r="DU485" s="335"/>
      <c r="DV485" s="335"/>
      <c r="DW485" s="335"/>
      <c r="DX485" s="335"/>
      <c r="DY485" s="335"/>
      <c r="DZ485" s="335"/>
      <c r="EA485" s="335"/>
      <c r="EB485" s="335"/>
      <c r="EC485" s="335"/>
      <c r="ED485" s="335"/>
      <c r="EE485" s="335"/>
      <c r="EF485" s="335"/>
      <c r="EG485" s="335"/>
      <c r="EH485" s="335"/>
      <c r="EI485" s="335"/>
      <c r="EJ485" s="335"/>
      <c r="EK485" s="335"/>
      <c r="EL485" s="335"/>
      <c r="EM485" s="335"/>
      <c r="EN485" s="335"/>
      <c r="EO485" s="335"/>
      <c r="EP485" s="335"/>
      <c r="EQ485" s="335"/>
      <c r="ER485" s="335"/>
      <c r="ES485" s="335"/>
      <c r="ET485" s="335"/>
      <c r="EU485" s="335"/>
      <c r="EV485" s="335"/>
      <c r="EW485" s="335"/>
      <c r="EX485" s="335"/>
      <c r="EY485" s="335"/>
      <c r="EZ485" s="335"/>
      <c r="FA485" s="335"/>
      <c r="FB485" s="335"/>
      <c r="FC485" s="335"/>
      <c r="FD485" s="335"/>
      <c r="FE485" s="335"/>
      <c r="FF485" s="335"/>
      <c r="FG485" s="335"/>
      <c r="FH485" s="335"/>
      <c r="FI485" s="335"/>
      <c r="FJ485" s="335"/>
      <c r="FK485" s="335"/>
      <c r="FL485" s="335"/>
      <c r="FM485" s="335"/>
      <c r="FN485" s="335"/>
      <c r="FO485" s="335"/>
      <c r="FP485" s="335"/>
      <c r="FQ485" s="335"/>
      <c r="FR485" s="335"/>
      <c r="FS485" s="335"/>
      <c r="FT485" s="335"/>
      <c r="FU485" s="335"/>
      <c r="FV485" s="335"/>
      <c r="FW485" s="335"/>
      <c r="FX485" s="335"/>
      <c r="FY485" s="335"/>
      <c r="FZ485" s="335"/>
      <c r="GA485" s="335"/>
      <c r="GB485" s="335"/>
      <c r="GC485" s="335"/>
      <c r="GD485" s="335"/>
      <c r="GE485" s="335"/>
      <c r="GF485" s="335"/>
      <c r="GG485" s="335"/>
      <c r="GH485" s="335"/>
      <c r="GI485" s="335"/>
      <c r="GJ485" s="335"/>
      <c r="GK485" s="335"/>
      <c r="GL485" s="335"/>
      <c r="GM485" s="335"/>
      <c r="GN485" s="335"/>
      <c r="GO485" s="335"/>
      <c r="GP485" s="335"/>
      <c r="GQ485" s="335"/>
      <c r="GR485" s="335"/>
      <c r="GS485" s="335"/>
      <c r="GT485" s="335"/>
      <c r="GU485" s="335"/>
      <c r="GV485" s="335"/>
      <c r="GW485" s="335"/>
      <c r="GX485" s="335"/>
      <c r="GY485" s="335"/>
      <c r="GZ485" s="335"/>
    </row>
    <row r="486" spans="1:208" ht="15">
      <c r="A486" s="379"/>
      <c r="B486" s="335"/>
      <c r="C486" s="335"/>
      <c r="D486" s="335"/>
      <c r="E486" s="335"/>
      <c r="F486" s="335"/>
      <c r="G486" s="335"/>
      <c r="H486" s="335"/>
      <c r="I486" s="335"/>
      <c r="J486" s="335"/>
      <c r="K486" s="335"/>
      <c r="L486" s="335"/>
      <c r="M486" s="376"/>
      <c r="N486" s="335"/>
      <c r="O486" s="380"/>
      <c r="P486" s="335"/>
      <c r="Q486" s="335"/>
      <c r="R486" s="335"/>
      <c r="S486" s="335"/>
      <c r="T486" s="335"/>
      <c r="U486" s="335"/>
      <c r="V486" s="335"/>
      <c r="W486" s="335"/>
      <c r="X486" s="335"/>
      <c r="Y486" s="335"/>
      <c r="Z486" s="335"/>
      <c r="AA486" s="335"/>
      <c r="AB486" s="335"/>
      <c r="AC486" s="335"/>
      <c r="AD486" s="335"/>
      <c r="AE486" s="335"/>
      <c r="AF486" s="335"/>
      <c r="AG486" s="335"/>
      <c r="AH486" s="335"/>
      <c r="AI486" s="335"/>
      <c r="AJ486" s="335"/>
      <c r="AK486" s="335"/>
      <c r="AL486" s="335"/>
      <c r="AM486" s="335"/>
      <c r="AN486" s="335"/>
      <c r="AO486" s="335"/>
      <c r="AP486" s="335"/>
      <c r="AQ486" s="335"/>
      <c r="AR486" s="335"/>
      <c r="AS486" s="335"/>
      <c r="AT486" s="335"/>
      <c r="AU486" s="335"/>
      <c r="AV486" s="335"/>
      <c r="AW486" s="335"/>
      <c r="AX486" s="335"/>
      <c r="AY486" s="335"/>
      <c r="AZ486" s="335"/>
      <c r="BA486" s="335"/>
      <c r="BB486" s="335"/>
      <c r="BC486" s="335"/>
      <c r="BD486" s="335"/>
      <c r="BE486" s="335"/>
      <c r="BF486" s="335"/>
      <c r="BG486" s="335"/>
      <c r="BH486" s="335"/>
      <c r="BI486" s="335"/>
      <c r="BJ486" s="335"/>
      <c r="BK486" s="335"/>
      <c r="BL486" s="335"/>
      <c r="BM486" s="335"/>
      <c r="BN486" s="335"/>
      <c r="BO486" s="335"/>
      <c r="BP486" s="335"/>
      <c r="BQ486" s="335"/>
      <c r="BR486" s="335"/>
      <c r="BS486" s="335"/>
      <c r="BT486" s="335"/>
      <c r="BU486" s="335"/>
      <c r="BV486" s="335"/>
      <c r="BW486" s="335"/>
      <c r="BX486" s="335"/>
      <c r="BY486" s="335"/>
      <c r="BZ486" s="335"/>
      <c r="CA486" s="335"/>
      <c r="CB486" s="335"/>
      <c r="CC486" s="335"/>
      <c r="CD486" s="335"/>
      <c r="CE486" s="335"/>
      <c r="CF486" s="335"/>
      <c r="CG486" s="335"/>
      <c r="CH486" s="335"/>
      <c r="CI486" s="335"/>
      <c r="CJ486" s="335"/>
      <c r="CK486" s="335"/>
      <c r="CL486" s="335"/>
      <c r="CM486" s="335"/>
      <c r="CN486" s="335"/>
      <c r="CO486" s="335"/>
      <c r="CP486" s="335"/>
      <c r="CQ486" s="335"/>
      <c r="CR486" s="335"/>
      <c r="CS486" s="335"/>
      <c r="CT486" s="335"/>
      <c r="CU486" s="335"/>
      <c r="CV486" s="335"/>
      <c r="CW486" s="335"/>
      <c r="CX486" s="335"/>
      <c r="CY486" s="335"/>
      <c r="CZ486" s="335"/>
      <c r="DA486" s="335"/>
      <c r="DB486" s="335"/>
      <c r="DC486" s="335"/>
      <c r="DD486" s="335"/>
      <c r="DE486" s="335"/>
      <c r="DF486" s="335"/>
      <c r="DG486" s="335"/>
      <c r="DH486" s="335"/>
      <c r="DI486" s="335"/>
      <c r="DJ486" s="335"/>
      <c r="DK486" s="335"/>
      <c r="DL486" s="335"/>
      <c r="DM486" s="335"/>
      <c r="DN486" s="335"/>
      <c r="DO486" s="335"/>
      <c r="DP486" s="335"/>
      <c r="DQ486" s="335"/>
      <c r="DR486" s="335"/>
      <c r="DS486" s="335"/>
      <c r="DT486" s="335"/>
      <c r="DU486" s="335"/>
      <c r="DV486" s="335"/>
      <c r="DW486" s="335"/>
      <c r="DX486" s="335"/>
      <c r="DY486" s="335"/>
      <c r="DZ486" s="335"/>
      <c r="EA486" s="335"/>
      <c r="EB486" s="335"/>
      <c r="EC486" s="335"/>
      <c r="ED486" s="335"/>
      <c r="EE486" s="335"/>
      <c r="EF486" s="335"/>
      <c r="EG486" s="335"/>
      <c r="EH486" s="335"/>
      <c r="EI486" s="335"/>
      <c r="EJ486" s="335"/>
      <c r="EK486" s="335"/>
      <c r="EL486" s="335"/>
      <c r="EM486" s="335"/>
      <c r="EN486" s="335"/>
      <c r="EO486" s="335"/>
      <c r="EP486" s="335"/>
      <c r="EQ486" s="335"/>
      <c r="ER486" s="335"/>
      <c r="ES486" s="335"/>
      <c r="ET486" s="335"/>
      <c r="EU486" s="335"/>
      <c r="EV486" s="335"/>
      <c r="EW486" s="335"/>
      <c r="EX486" s="335"/>
      <c r="EY486" s="335"/>
      <c r="EZ486" s="335"/>
      <c r="FA486" s="335"/>
      <c r="FB486" s="335"/>
      <c r="FC486" s="335"/>
      <c r="FD486" s="335"/>
      <c r="FE486" s="335"/>
      <c r="FF486" s="335"/>
      <c r="FG486" s="335"/>
      <c r="FH486" s="335"/>
      <c r="FI486" s="335"/>
      <c r="FJ486" s="335"/>
      <c r="FK486" s="335"/>
      <c r="FL486" s="335"/>
      <c r="FM486" s="335"/>
      <c r="FN486" s="335"/>
      <c r="FO486" s="335"/>
      <c r="FP486" s="335"/>
      <c r="FQ486" s="335"/>
      <c r="FR486" s="335"/>
      <c r="FS486" s="335"/>
      <c r="FT486" s="335"/>
      <c r="FU486" s="335"/>
      <c r="FV486" s="335"/>
      <c r="FW486" s="335"/>
      <c r="FX486" s="335"/>
      <c r="FY486" s="335"/>
      <c r="FZ486" s="335"/>
      <c r="GA486" s="335"/>
      <c r="GB486" s="335"/>
      <c r="GC486" s="335"/>
      <c r="GD486" s="335"/>
      <c r="GE486" s="335"/>
      <c r="GF486" s="335"/>
      <c r="GG486" s="335"/>
      <c r="GH486" s="335"/>
      <c r="GI486" s="335"/>
      <c r="GJ486" s="335"/>
      <c r="GK486" s="335"/>
      <c r="GL486" s="335"/>
      <c r="GM486" s="335"/>
      <c r="GN486" s="335"/>
      <c r="GO486" s="335"/>
      <c r="GP486" s="335"/>
      <c r="GQ486" s="335"/>
      <c r="GR486" s="335"/>
      <c r="GS486" s="335"/>
      <c r="GT486" s="335"/>
      <c r="GU486" s="335"/>
      <c r="GV486" s="335"/>
      <c r="GW486" s="335"/>
      <c r="GX486" s="335"/>
      <c r="GY486" s="335"/>
      <c r="GZ486" s="335"/>
    </row>
    <row r="487" spans="1:208" ht="15">
      <c r="A487" s="379"/>
      <c r="B487" s="335"/>
      <c r="C487" s="335"/>
      <c r="D487" s="335"/>
      <c r="E487" s="335"/>
      <c r="F487" s="335"/>
      <c r="G487" s="335"/>
      <c r="H487" s="335"/>
      <c r="I487" s="335"/>
      <c r="J487" s="335"/>
      <c r="K487" s="335"/>
      <c r="L487" s="335"/>
      <c r="M487" s="376"/>
      <c r="N487" s="335"/>
      <c r="O487" s="380"/>
      <c r="P487" s="335"/>
      <c r="Q487" s="335"/>
      <c r="R487" s="335"/>
      <c r="S487" s="335"/>
      <c r="T487" s="335"/>
      <c r="U487" s="335"/>
      <c r="V487" s="335"/>
      <c r="W487" s="335"/>
      <c r="X487" s="335"/>
      <c r="Y487" s="335"/>
      <c r="Z487" s="335"/>
      <c r="AA487" s="335"/>
      <c r="AB487" s="335"/>
      <c r="AC487" s="335"/>
      <c r="AD487" s="335"/>
      <c r="AE487" s="335"/>
      <c r="AF487" s="335"/>
      <c r="AG487" s="335"/>
      <c r="AH487" s="335"/>
      <c r="AI487" s="335"/>
      <c r="AJ487" s="335"/>
      <c r="AK487" s="335"/>
      <c r="AL487" s="335"/>
      <c r="AM487" s="335"/>
      <c r="AN487" s="335"/>
      <c r="AO487" s="335"/>
      <c r="AP487" s="335"/>
      <c r="AQ487" s="335"/>
      <c r="AR487" s="335"/>
      <c r="AS487" s="335"/>
      <c r="AT487" s="335"/>
      <c r="AU487" s="335"/>
      <c r="AV487" s="335"/>
      <c r="AW487" s="335"/>
      <c r="AX487" s="335"/>
      <c r="AY487" s="335"/>
      <c r="AZ487" s="335"/>
      <c r="BA487" s="335"/>
      <c r="BB487" s="335"/>
      <c r="BC487" s="335"/>
      <c r="BD487" s="335"/>
      <c r="BE487" s="335"/>
      <c r="BF487" s="335"/>
      <c r="BG487" s="335"/>
      <c r="BH487" s="335"/>
      <c r="BI487" s="335"/>
      <c r="BJ487" s="335"/>
      <c r="BK487" s="335"/>
      <c r="BL487" s="335"/>
      <c r="BM487" s="335"/>
      <c r="BN487" s="335"/>
      <c r="BO487" s="335"/>
      <c r="BP487" s="335"/>
      <c r="BQ487" s="335"/>
      <c r="BR487" s="335"/>
      <c r="BS487" s="335"/>
      <c r="BT487" s="335"/>
      <c r="BU487" s="335"/>
      <c r="BV487" s="335"/>
      <c r="BW487" s="335"/>
      <c r="BX487" s="335"/>
      <c r="BY487" s="335"/>
      <c r="BZ487" s="335"/>
      <c r="CA487" s="335"/>
      <c r="CB487" s="335"/>
      <c r="CC487" s="335"/>
      <c r="CD487" s="335"/>
      <c r="CE487" s="335"/>
      <c r="CF487" s="335"/>
      <c r="CG487" s="335"/>
      <c r="CH487" s="335"/>
      <c r="CI487" s="335"/>
      <c r="CJ487" s="335"/>
      <c r="CK487" s="335"/>
      <c r="CL487" s="335"/>
      <c r="CM487" s="335"/>
      <c r="CN487" s="335"/>
      <c r="CO487" s="335"/>
      <c r="CP487" s="335"/>
      <c r="CQ487" s="335"/>
      <c r="CR487" s="335"/>
      <c r="CS487" s="335"/>
      <c r="CT487" s="335"/>
      <c r="CU487" s="335"/>
      <c r="CV487" s="335"/>
      <c r="CW487" s="335"/>
      <c r="CX487" s="335"/>
      <c r="CY487" s="335"/>
      <c r="CZ487" s="335"/>
      <c r="DA487" s="335"/>
      <c r="DB487" s="335"/>
      <c r="DC487" s="335"/>
      <c r="DD487" s="335"/>
      <c r="DE487" s="335"/>
      <c r="DF487" s="335"/>
      <c r="DG487" s="335"/>
      <c r="DH487" s="335"/>
      <c r="DI487" s="335"/>
      <c r="DJ487" s="335"/>
      <c r="DK487" s="335"/>
      <c r="DL487" s="335"/>
      <c r="DM487" s="335"/>
      <c r="DN487" s="335"/>
      <c r="DO487" s="335"/>
      <c r="DP487" s="335"/>
      <c r="DQ487" s="335"/>
      <c r="DR487" s="335"/>
      <c r="DS487" s="335"/>
      <c r="DT487" s="335"/>
      <c r="DU487" s="335"/>
      <c r="DV487" s="335"/>
      <c r="DW487" s="335"/>
      <c r="DX487" s="335"/>
      <c r="DY487" s="335"/>
      <c r="DZ487" s="335"/>
      <c r="EA487" s="335"/>
      <c r="EB487" s="335"/>
      <c r="EC487" s="335"/>
      <c r="ED487" s="335"/>
      <c r="EE487" s="335"/>
      <c r="EF487" s="335"/>
      <c r="EG487" s="335"/>
      <c r="EH487" s="335"/>
      <c r="EI487" s="335"/>
      <c r="EJ487" s="335"/>
      <c r="EK487" s="335"/>
      <c r="EL487" s="335"/>
      <c r="EM487" s="335"/>
      <c r="EN487" s="335"/>
      <c r="EO487" s="335"/>
      <c r="EP487" s="335"/>
      <c r="EQ487" s="335"/>
      <c r="ER487" s="335"/>
      <c r="ES487" s="335"/>
      <c r="ET487" s="335"/>
      <c r="EU487" s="335"/>
      <c r="EV487" s="335"/>
      <c r="EW487" s="335"/>
      <c r="EX487" s="335"/>
      <c r="EY487" s="335"/>
      <c r="EZ487" s="335"/>
      <c r="FA487" s="335"/>
      <c r="FB487" s="335"/>
      <c r="FC487" s="335"/>
      <c r="FD487" s="335"/>
      <c r="FE487" s="335"/>
      <c r="FF487" s="335"/>
      <c r="FG487" s="335"/>
      <c r="FH487" s="335"/>
      <c r="FI487" s="335"/>
      <c r="FJ487" s="335"/>
      <c r="FK487" s="335"/>
      <c r="FL487" s="335"/>
      <c r="FM487" s="335"/>
      <c r="FN487" s="335"/>
      <c r="FO487" s="335"/>
      <c r="FP487" s="335"/>
      <c r="FQ487" s="335"/>
      <c r="FR487" s="335"/>
      <c r="FS487" s="335"/>
      <c r="FT487" s="335"/>
      <c r="FU487" s="335"/>
      <c r="FV487" s="335"/>
      <c r="FW487" s="335"/>
      <c r="FX487" s="335"/>
      <c r="FY487" s="335"/>
      <c r="FZ487" s="335"/>
      <c r="GA487" s="335"/>
      <c r="GB487" s="335"/>
      <c r="GC487" s="335"/>
      <c r="GD487" s="335"/>
      <c r="GE487" s="335"/>
      <c r="GF487" s="335"/>
      <c r="GG487" s="335"/>
      <c r="GH487" s="335"/>
      <c r="GI487" s="335"/>
      <c r="GJ487" s="335"/>
      <c r="GK487" s="335"/>
      <c r="GL487" s="335"/>
      <c r="GM487" s="335"/>
      <c r="GN487" s="335"/>
      <c r="GO487" s="335"/>
      <c r="GP487" s="335"/>
      <c r="GQ487" s="335"/>
      <c r="GR487" s="335"/>
      <c r="GS487" s="335"/>
      <c r="GT487" s="335"/>
      <c r="GU487" s="335"/>
      <c r="GV487" s="335"/>
      <c r="GW487" s="335"/>
      <c r="GX487" s="335"/>
      <c r="GY487" s="335"/>
      <c r="GZ487" s="335"/>
    </row>
    <row r="488" spans="1:208" ht="15">
      <c r="A488" s="379"/>
      <c r="B488" s="335"/>
      <c r="C488" s="335"/>
      <c r="D488" s="335"/>
      <c r="E488" s="335"/>
      <c r="F488" s="335"/>
      <c r="G488" s="335"/>
      <c r="H488" s="335"/>
      <c r="I488" s="335"/>
      <c r="J488" s="335"/>
      <c r="K488" s="335"/>
      <c r="L488" s="335"/>
      <c r="M488" s="376"/>
      <c r="N488" s="335"/>
      <c r="O488" s="380"/>
      <c r="P488" s="335"/>
      <c r="Q488" s="335"/>
      <c r="R488" s="335"/>
      <c r="S488" s="335"/>
      <c r="T488" s="335"/>
      <c r="U488" s="335"/>
      <c r="V488" s="335"/>
      <c r="W488" s="335"/>
      <c r="X488" s="335"/>
      <c r="Y488" s="335"/>
      <c r="Z488" s="335"/>
      <c r="AA488" s="335"/>
      <c r="AB488" s="335"/>
      <c r="AC488" s="335"/>
      <c r="AD488" s="335"/>
      <c r="AE488" s="335"/>
      <c r="AF488" s="335"/>
      <c r="AG488" s="335"/>
      <c r="AH488" s="335"/>
      <c r="AI488" s="335"/>
      <c r="AJ488" s="335"/>
      <c r="AK488" s="335"/>
      <c r="AL488" s="335"/>
      <c r="AM488" s="335"/>
      <c r="AN488" s="335"/>
      <c r="AO488" s="335"/>
      <c r="AP488" s="335"/>
      <c r="AQ488" s="335"/>
      <c r="AR488" s="335"/>
      <c r="AS488" s="335"/>
      <c r="AT488" s="335"/>
      <c r="AU488" s="335"/>
      <c r="AV488" s="335"/>
      <c r="AW488" s="335"/>
      <c r="AX488" s="335"/>
      <c r="AY488" s="335"/>
      <c r="AZ488" s="335"/>
      <c r="BA488" s="335"/>
      <c r="BB488" s="335"/>
      <c r="BC488" s="335"/>
      <c r="BD488" s="335"/>
      <c r="BE488" s="335"/>
      <c r="BF488" s="335"/>
      <c r="BG488" s="335"/>
      <c r="BH488" s="335"/>
      <c r="BI488" s="335"/>
      <c r="BJ488" s="335"/>
      <c r="BK488" s="335"/>
      <c r="BL488" s="335"/>
      <c r="BM488" s="335"/>
      <c r="BN488" s="335"/>
      <c r="BO488" s="335"/>
      <c r="BP488" s="335"/>
      <c r="BQ488" s="335"/>
      <c r="BR488" s="335"/>
      <c r="BS488" s="335"/>
      <c r="BT488" s="335"/>
      <c r="BU488" s="335"/>
      <c r="BV488" s="335"/>
      <c r="BW488" s="335"/>
      <c r="BX488" s="335"/>
      <c r="BY488" s="335"/>
      <c r="BZ488" s="335"/>
      <c r="CA488" s="335"/>
      <c r="CB488" s="335"/>
      <c r="CC488" s="335"/>
      <c r="CD488" s="335"/>
      <c r="CE488" s="335"/>
      <c r="CF488" s="335"/>
      <c r="CG488" s="335"/>
      <c r="CH488" s="335"/>
      <c r="CI488" s="335"/>
      <c r="CJ488" s="335"/>
      <c r="CK488" s="335"/>
      <c r="CL488" s="335"/>
      <c r="CM488" s="335"/>
      <c r="CN488" s="335"/>
      <c r="CO488" s="335"/>
      <c r="CP488" s="335"/>
      <c r="CQ488" s="335"/>
      <c r="CR488" s="335"/>
      <c r="CS488" s="335"/>
      <c r="CT488" s="335"/>
      <c r="CU488" s="335"/>
      <c r="CV488" s="335"/>
      <c r="CW488" s="335"/>
      <c r="CX488" s="335"/>
      <c r="CY488" s="335"/>
      <c r="CZ488" s="335"/>
      <c r="DA488" s="335"/>
      <c r="DB488" s="335"/>
      <c r="DC488" s="335"/>
      <c r="DD488" s="335"/>
      <c r="DE488" s="335"/>
      <c r="DF488" s="335"/>
      <c r="DG488" s="335"/>
      <c r="DH488" s="335"/>
      <c r="DI488" s="335"/>
      <c r="DJ488" s="335"/>
      <c r="DK488" s="335"/>
      <c r="DL488" s="335"/>
      <c r="DM488" s="335"/>
      <c r="DN488" s="335"/>
      <c r="DO488" s="335"/>
      <c r="DP488" s="335"/>
      <c r="DQ488" s="335"/>
      <c r="DR488" s="335"/>
      <c r="DS488" s="335"/>
      <c r="DT488" s="335"/>
      <c r="DU488" s="335"/>
      <c r="DV488" s="335"/>
      <c r="DW488" s="335"/>
      <c r="DX488" s="335"/>
      <c r="DY488" s="335"/>
      <c r="DZ488" s="335"/>
      <c r="EA488" s="335"/>
      <c r="EB488" s="335"/>
      <c r="EC488" s="335"/>
      <c r="ED488" s="335"/>
      <c r="EE488" s="335"/>
      <c r="EF488" s="335"/>
      <c r="EG488" s="335"/>
      <c r="EH488" s="335"/>
      <c r="EI488" s="335"/>
      <c r="EJ488" s="335"/>
      <c r="EK488" s="335"/>
      <c r="EL488" s="335"/>
      <c r="EM488" s="335"/>
      <c r="EN488" s="335"/>
      <c r="EO488" s="335"/>
      <c r="EP488" s="335"/>
      <c r="EQ488" s="335"/>
      <c r="ER488" s="335"/>
      <c r="ES488" s="335"/>
      <c r="ET488" s="335"/>
      <c r="EU488" s="335"/>
      <c r="EV488" s="335"/>
      <c r="EW488" s="335"/>
      <c r="EX488" s="335"/>
      <c r="EY488" s="335"/>
      <c r="EZ488" s="335"/>
      <c r="FA488" s="335"/>
      <c r="FB488" s="335"/>
      <c r="FC488" s="335"/>
      <c r="FD488" s="335"/>
      <c r="FE488" s="335"/>
      <c r="FF488" s="335"/>
      <c r="FG488" s="335"/>
      <c r="FH488" s="335"/>
      <c r="FI488" s="335"/>
      <c r="FJ488" s="335"/>
      <c r="FK488" s="335"/>
      <c r="FL488" s="335"/>
      <c r="FM488" s="335"/>
      <c r="FN488" s="335"/>
      <c r="FO488" s="335"/>
      <c r="FP488" s="335"/>
      <c r="FQ488" s="335"/>
      <c r="FR488" s="335"/>
      <c r="FS488" s="335"/>
      <c r="FT488" s="335"/>
      <c r="FU488" s="335"/>
      <c r="FV488" s="335"/>
      <c r="FW488" s="335"/>
      <c r="FX488" s="335"/>
      <c r="FY488" s="335"/>
      <c r="FZ488" s="335"/>
      <c r="GA488" s="335"/>
      <c r="GB488" s="335"/>
      <c r="GC488" s="335"/>
      <c r="GD488" s="335"/>
      <c r="GE488" s="335"/>
      <c r="GF488" s="335"/>
      <c r="GG488" s="335"/>
      <c r="GH488" s="335"/>
      <c r="GI488" s="335"/>
      <c r="GJ488" s="335"/>
      <c r="GK488" s="335"/>
      <c r="GL488" s="335"/>
      <c r="GM488" s="335"/>
      <c r="GN488" s="335"/>
      <c r="GO488" s="335"/>
      <c r="GP488" s="335"/>
      <c r="GQ488" s="335"/>
      <c r="GR488" s="335"/>
      <c r="GS488" s="335"/>
      <c r="GT488" s="335"/>
      <c r="GU488" s="335"/>
      <c r="GV488" s="335"/>
      <c r="GW488" s="335"/>
      <c r="GX488" s="335"/>
      <c r="GY488" s="335"/>
      <c r="GZ488" s="335"/>
    </row>
    <row r="489" spans="1:208" ht="15">
      <c r="A489" s="379"/>
      <c r="B489" s="335"/>
      <c r="C489" s="335"/>
      <c r="D489" s="335"/>
      <c r="E489" s="335"/>
      <c r="F489" s="335"/>
      <c r="G489" s="335"/>
      <c r="H489" s="335"/>
      <c r="I489" s="335"/>
      <c r="J489" s="335"/>
      <c r="K489" s="335"/>
      <c r="L489" s="335"/>
      <c r="M489" s="376"/>
      <c r="N489" s="335"/>
      <c r="O489" s="380"/>
      <c r="P489" s="335"/>
      <c r="Q489" s="335"/>
      <c r="R489" s="335"/>
      <c r="S489" s="335"/>
      <c r="T489" s="335"/>
      <c r="U489" s="335"/>
      <c r="V489" s="335"/>
      <c r="W489" s="335"/>
      <c r="X489" s="335"/>
      <c r="Y489" s="335"/>
      <c r="Z489" s="335"/>
      <c r="AA489" s="335"/>
      <c r="AB489" s="335"/>
      <c r="AC489" s="335"/>
      <c r="AD489" s="335"/>
      <c r="AE489" s="335"/>
      <c r="AF489" s="335"/>
      <c r="AG489" s="335"/>
      <c r="AH489" s="335"/>
      <c r="AI489" s="335"/>
      <c r="AJ489" s="335"/>
      <c r="AK489" s="335"/>
      <c r="AL489" s="335"/>
      <c r="AM489" s="335"/>
      <c r="AN489" s="335"/>
      <c r="AO489" s="335"/>
      <c r="AP489" s="335"/>
      <c r="AQ489" s="335"/>
      <c r="AR489" s="335"/>
      <c r="AS489" s="335"/>
      <c r="AT489" s="335"/>
      <c r="AU489" s="335"/>
      <c r="AV489" s="335"/>
      <c r="AW489" s="335"/>
      <c r="AX489" s="335"/>
      <c r="AY489" s="335"/>
      <c r="AZ489" s="335"/>
      <c r="BA489" s="335"/>
      <c r="BB489" s="335"/>
      <c r="BC489" s="335"/>
      <c r="BD489" s="335"/>
      <c r="BE489" s="335"/>
      <c r="BF489" s="335"/>
      <c r="BG489" s="335"/>
      <c r="BH489" s="335"/>
      <c r="BI489" s="335"/>
      <c r="BJ489" s="335"/>
      <c r="BK489" s="335"/>
      <c r="BL489" s="335"/>
      <c r="BM489" s="335"/>
      <c r="BN489" s="335"/>
      <c r="BO489" s="335"/>
      <c r="BP489" s="335"/>
      <c r="BQ489" s="335"/>
      <c r="BR489" s="335"/>
      <c r="BS489" s="335"/>
      <c r="BT489" s="335"/>
      <c r="BU489" s="335"/>
      <c r="BV489" s="335"/>
      <c r="BW489" s="335"/>
      <c r="BX489" s="335"/>
      <c r="BY489" s="335"/>
      <c r="BZ489" s="335"/>
      <c r="CA489" s="335"/>
      <c r="CB489" s="335"/>
      <c r="CC489" s="335"/>
      <c r="CD489" s="335"/>
      <c r="CE489" s="335"/>
      <c r="CF489" s="335"/>
      <c r="CG489" s="335"/>
      <c r="CH489" s="335"/>
      <c r="CI489" s="335"/>
      <c r="CJ489" s="335"/>
      <c r="CK489" s="335"/>
      <c r="CL489" s="335"/>
      <c r="CM489" s="335"/>
      <c r="CN489" s="335"/>
      <c r="CO489" s="335"/>
      <c r="CP489" s="335"/>
      <c r="CQ489" s="335"/>
      <c r="CR489" s="335"/>
      <c r="CS489" s="335"/>
      <c r="CT489" s="335"/>
      <c r="CU489" s="335"/>
      <c r="CV489" s="335"/>
      <c r="CW489" s="335"/>
      <c r="CX489" s="335"/>
      <c r="CY489" s="335"/>
      <c r="CZ489" s="335"/>
      <c r="DA489" s="335"/>
      <c r="DB489" s="335"/>
      <c r="DC489" s="335"/>
      <c r="DD489" s="335"/>
      <c r="DE489" s="335"/>
      <c r="DF489" s="335"/>
      <c r="DG489" s="335"/>
      <c r="DH489" s="335"/>
      <c r="DI489" s="335"/>
      <c r="DJ489" s="335"/>
      <c r="DK489" s="335"/>
      <c r="DL489" s="335"/>
      <c r="DM489" s="335"/>
      <c r="DN489" s="335"/>
      <c r="DO489" s="335"/>
      <c r="DP489" s="335"/>
      <c r="DQ489" s="335"/>
      <c r="DR489" s="335"/>
      <c r="DS489" s="335"/>
      <c r="DT489" s="335"/>
      <c r="DU489" s="335"/>
      <c r="DV489" s="335"/>
      <c r="DW489" s="335"/>
      <c r="DX489" s="335"/>
      <c r="DY489" s="335"/>
      <c r="DZ489" s="335"/>
      <c r="EA489" s="335"/>
      <c r="EB489" s="335"/>
      <c r="EC489" s="335"/>
      <c r="ED489" s="335"/>
      <c r="EE489" s="335"/>
      <c r="EF489" s="335"/>
      <c r="EG489" s="335"/>
      <c r="EH489" s="335"/>
      <c r="EI489" s="335"/>
      <c r="EJ489" s="335"/>
      <c r="EK489" s="335"/>
      <c r="EL489" s="335"/>
      <c r="EM489" s="335"/>
      <c r="EN489" s="335"/>
      <c r="EO489" s="335"/>
      <c r="EP489" s="335"/>
      <c r="EQ489" s="335"/>
      <c r="ER489" s="335"/>
      <c r="ES489" s="335"/>
      <c r="ET489" s="335"/>
      <c r="EU489" s="335"/>
      <c r="EV489" s="335"/>
      <c r="EW489" s="335"/>
      <c r="EX489" s="335"/>
      <c r="EY489" s="335"/>
      <c r="EZ489" s="335"/>
      <c r="FA489" s="335"/>
      <c r="FB489" s="335"/>
      <c r="FC489" s="335"/>
      <c r="FD489" s="335"/>
      <c r="FE489" s="335"/>
      <c r="FF489" s="335"/>
      <c r="FG489" s="335"/>
      <c r="FH489" s="335"/>
      <c r="FI489" s="335"/>
      <c r="FJ489" s="335"/>
      <c r="FK489" s="335"/>
      <c r="FL489" s="335"/>
      <c r="FM489" s="335"/>
      <c r="FN489" s="335"/>
      <c r="FO489" s="335"/>
      <c r="FP489" s="335"/>
      <c r="FQ489" s="335"/>
      <c r="FR489" s="335"/>
      <c r="FS489" s="335"/>
      <c r="FT489" s="335"/>
      <c r="FU489" s="335"/>
      <c r="FV489" s="335"/>
      <c r="FW489" s="335"/>
      <c r="FX489" s="335"/>
      <c r="FY489" s="335"/>
      <c r="FZ489" s="335"/>
      <c r="GA489" s="335"/>
      <c r="GB489" s="335"/>
      <c r="GC489" s="335"/>
      <c r="GD489" s="335"/>
      <c r="GE489" s="335"/>
      <c r="GF489" s="335"/>
      <c r="GG489" s="335"/>
      <c r="GH489" s="335"/>
      <c r="GI489" s="335"/>
      <c r="GJ489" s="335"/>
      <c r="GK489" s="335"/>
      <c r="GL489" s="335"/>
      <c r="GM489" s="335"/>
      <c r="GN489" s="335"/>
      <c r="GO489" s="335"/>
      <c r="GP489" s="335"/>
      <c r="GQ489" s="335"/>
      <c r="GR489" s="335"/>
      <c r="GS489" s="335"/>
      <c r="GT489" s="335"/>
      <c r="GU489" s="335"/>
      <c r="GV489" s="335"/>
      <c r="GW489" s="335"/>
      <c r="GX489" s="335"/>
      <c r="GY489" s="335"/>
      <c r="GZ489" s="335"/>
    </row>
    <row r="490" spans="1:208" ht="15">
      <c r="A490" s="379"/>
      <c r="B490" s="335"/>
      <c r="C490" s="335"/>
      <c r="D490" s="335"/>
      <c r="E490" s="335"/>
      <c r="F490" s="335"/>
      <c r="G490" s="335"/>
      <c r="H490" s="335"/>
      <c r="I490" s="335"/>
      <c r="J490" s="335"/>
      <c r="K490" s="335"/>
      <c r="L490" s="335"/>
      <c r="M490" s="376"/>
      <c r="N490" s="335"/>
      <c r="O490" s="380"/>
      <c r="P490" s="335"/>
      <c r="Q490" s="335"/>
      <c r="R490" s="335"/>
      <c r="S490" s="335"/>
      <c r="T490" s="335"/>
      <c r="U490" s="335"/>
      <c r="V490" s="335"/>
      <c r="W490" s="335"/>
      <c r="X490" s="335"/>
      <c r="Y490" s="335"/>
      <c r="Z490" s="335"/>
      <c r="AA490" s="335"/>
      <c r="AB490" s="335"/>
      <c r="AC490" s="335"/>
      <c r="AD490" s="335"/>
      <c r="AE490" s="335"/>
      <c r="AF490" s="335"/>
      <c r="AG490" s="335"/>
      <c r="AH490" s="335"/>
      <c r="AI490" s="335"/>
      <c r="AJ490" s="335"/>
      <c r="AK490" s="335"/>
      <c r="AL490" s="335"/>
      <c r="AM490" s="335"/>
      <c r="AN490" s="335"/>
      <c r="AO490" s="335"/>
      <c r="AP490" s="335"/>
      <c r="AQ490" s="335"/>
      <c r="AR490" s="335"/>
      <c r="AS490" s="335"/>
      <c r="AT490" s="335"/>
      <c r="AU490" s="335"/>
      <c r="AV490" s="335"/>
      <c r="AW490" s="335"/>
      <c r="AX490" s="335"/>
      <c r="AY490" s="335"/>
      <c r="AZ490" s="335"/>
      <c r="BA490" s="335"/>
      <c r="BB490" s="335"/>
      <c r="BC490" s="335"/>
      <c r="BD490" s="335"/>
      <c r="BE490" s="335"/>
      <c r="BF490" s="335"/>
      <c r="BG490" s="335"/>
      <c r="BH490" s="335"/>
      <c r="BI490" s="335"/>
      <c r="BJ490" s="335"/>
      <c r="BK490" s="335"/>
      <c r="BL490" s="335"/>
      <c r="BM490" s="335"/>
      <c r="BN490" s="335"/>
      <c r="BO490" s="335"/>
      <c r="BP490" s="335"/>
      <c r="BQ490" s="335"/>
      <c r="BR490" s="335"/>
      <c r="BS490" s="335"/>
      <c r="BT490" s="335"/>
      <c r="BU490" s="335"/>
      <c r="BV490" s="335"/>
      <c r="BW490" s="335"/>
      <c r="BX490" s="335"/>
      <c r="BY490" s="335"/>
      <c r="BZ490" s="335"/>
      <c r="CA490" s="335"/>
      <c r="CB490" s="335"/>
      <c r="CC490" s="335"/>
      <c r="CD490" s="335"/>
      <c r="CE490" s="335"/>
      <c r="CF490" s="335"/>
      <c r="CG490" s="335"/>
      <c r="CH490" s="335"/>
      <c r="CI490" s="335"/>
      <c r="CJ490" s="335"/>
      <c r="CK490" s="335"/>
      <c r="CL490" s="335"/>
      <c r="CM490" s="335"/>
      <c r="CN490" s="335"/>
      <c r="CO490" s="335"/>
      <c r="CP490" s="335"/>
      <c r="CQ490" s="335"/>
      <c r="CR490" s="335"/>
      <c r="CS490" s="335"/>
      <c r="CT490" s="335"/>
      <c r="CU490" s="335"/>
      <c r="CV490" s="335"/>
      <c r="CW490" s="335"/>
      <c r="CX490" s="335"/>
      <c r="CY490" s="335"/>
      <c r="CZ490" s="335"/>
      <c r="DA490" s="335"/>
      <c r="DB490" s="335"/>
      <c r="DC490" s="335"/>
      <c r="DD490" s="335"/>
      <c r="DE490" s="335"/>
      <c r="DF490" s="335"/>
      <c r="DG490" s="335"/>
      <c r="DH490" s="335"/>
      <c r="DI490" s="335"/>
      <c r="DJ490" s="335"/>
      <c r="DK490" s="335"/>
      <c r="DL490" s="335"/>
      <c r="DM490" s="335"/>
      <c r="DN490" s="335"/>
      <c r="DO490" s="335"/>
      <c r="DP490" s="335"/>
      <c r="DQ490" s="335"/>
      <c r="DR490" s="335"/>
      <c r="DS490" s="335"/>
      <c r="DT490" s="335"/>
      <c r="DU490" s="335"/>
      <c r="DV490" s="335"/>
      <c r="DW490" s="335"/>
      <c r="DX490" s="335"/>
      <c r="DY490" s="335"/>
      <c r="DZ490" s="335"/>
      <c r="EA490" s="335"/>
      <c r="EB490" s="335"/>
      <c r="EC490" s="335"/>
      <c r="ED490" s="335"/>
      <c r="EE490" s="335"/>
      <c r="EF490" s="335"/>
      <c r="EG490" s="335"/>
      <c r="EH490" s="335"/>
      <c r="EI490" s="335"/>
      <c r="EJ490" s="335"/>
      <c r="EK490" s="335"/>
      <c r="EL490" s="335"/>
      <c r="EM490" s="335"/>
      <c r="EN490" s="335"/>
      <c r="EO490" s="335"/>
      <c r="EP490" s="335"/>
      <c r="EQ490" s="335"/>
      <c r="ER490" s="335"/>
      <c r="ES490" s="335"/>
      <c r="ET490" s="335"/>
      <c r="EU490" s="335"/>
      <c r="EV490" s="335"/>
      <c r="EW490" s="335"/>
      <c r="EX490" s="335"/>
      <c r="EY490" s="335"/>
      <c r="EZ490" s="335"/>
      <c r="FA490" s="335"/>
      <c r="FB490" s="335"/>
      <c r="FC490" s="335"/>
      <c r="FD490" s="335"/>
      <c r="FE490" s="335"/>
      <c r="FF490" s="335"/>
      <c r="FG490" s="335"/>
      <c r="FH490" s="335"/>
      <c r="FI490" s="335"/>
      <c r="FJ490" s="335"/>
      <c r="FK490" s="335"/>
      <c r="FL490" s="335"/>
      <c r="FM490" s="335"/>
      <c r="FN490" s="335"/>
      <c r="FO490" s="335"/>
      <c r="FP490" s="335"/>
      <c r="FQ490" s="335"/>
      <c r="FR490" s="335"/>
      <c r="FS490" s="335"/>
      <c r="FT490" s="335"/>
      <c r="FU490" s="335"/>
      <c r="FV490" s="335"/>
      <c r="FW490" s="335"/>
      <c r="FX490" s="335"/>
      <c r="FY490" s="335"/>
      <c r="FZ490" s="335"/>
      <c r="GA490" s="335"/>
      <c r="GB490" s="335"/>
      <c r="GC490" s="335"/>
      <c r="GD490" s="335"/>
      <c r="GE490" s="335"/>
      <c r="GF490" s="335"/>
      <c r="GG490" s="335"/>
      <c r="GH490" s="335"/>
      <c r="GI490" s="335"/>
      <c r="GJ490" s="335"/>
      <c r="GK490" s="335"/>
      <c r="GL490" s="335"/>
      <c r="GM490" s="335"/>
      <c r="GN490" s="335"/>
      <c r="GO490" s="335"/>
      <c r="GP490" s="335"/>
      <c r="GQ490" s="335"/>
      <c r="GR490" s="335"/>
      <c r="GS490" s="335"/>
      <c r="GT490" s="335"/>
      <c r="GU490" s="335"/>
      <c r="GV490" s="335"/>
      <c r="GW490" s="335"/>
      <c r="GX490" s="335"/>
      <c r="GY490" s="335"/>
      <c r="GZ490" s="335"/>
    </row>
    <row r="491" spans="1:208" ht="15">
      <c r="A491" s="379"/>
      <c r="B491" s="335"/>
      <c r="C491" s="335"/>
      <c r="D491" s="335"/>
      <c r="E491" s="335"/>
      <c r="F491" s="335"/>
      <c r="G491" s="335"/>
      <c r="H491" s="335"/>
      <c r="I491" s="335"/>
      <c r="J491" s="335"/>
      <c r="K491" s="335"/>
      <c r="L491" s="335"/>
      <c r="M491" s="376"/>
      <c r="N491" s="335"/>
      <c r="O491" s="380"/>
      <c r="P491" s="335"/>
      <c r="Q491" s="335"/>
      <c r="R491" s="335"/>
      <c r="S491" s="335"/>
      <c r="T491" s="335"/>
      <c r="U491" s="335"/>
      <c r="V491" s="335"/>
      <c r="W491" s="335"/>
      <c r="X491" s="335"/>
      <c r="Y491" s="335"/>
      <c r="Z491" s="335"/>
      <c r="AA491" s="335"/>
      <c r="AB491" s="335"/>
      <c r="AC491" s="335"/>
      <c r="AD491" s="335"/>
      <c r="AE491" s="335"/>
      <c r="AF491" s="335"/>
      <c r="AG491" s="335"/>
      <c r="AH491" s="335"/>
      <c r="AI491" s="335"/>
      <c r="AJ491" s="335"/>
      <c r="AK491" s="335"/>
      <c r="AL491" s="335"/>
      <c r="AM491" s="335"/>
      <c r="AN491" s="335"/>
      <c r="AO491" s="335"/>
      <c r="AP491" s="335"/>
      <c r="AQ491" s="335"/>
      <c r="AR491" s="335"/>
      <c r="AS491" s="335"/>
      <c r="AT491" s="335"/>
      <c r="AU491" s="335"/>
      <c r="AV491" s="335"/>
      <c r="AW491" s="335"/>
      <c r="AX491" s="335"/>
      <c r="AY491" s="335"/>
      <c r="AZ491" s="335"/>
      <c r="BA491" s="335"/>
      <c r="BB491" s="335"/>
      <c r="BC491" s="335"/>
      <c r="BD491" s="335"/>
      <c r="BE491" s="335"/>
      <c r="BF491" s="335"/>
      <c r="BG491" s="335"/>
      <c r="BH491" s="335"/>
      <c r="BI491" s="335"/>
      <c r="BJ491" s="335"/>
      <c r="BK491" s="335"/>
      <c r="BL491" s="335"/>
      <c r="BM491" s="335"/>
      <c r="BN491" s="335"/>
      <c r="BO491" s="335"/>
      <c r="BP491" s="335"/>
      <c r="BQ491" s="335"/>
      <c r="BR491" s="335"/>
      <c r="BS491" s="335"/>
      <c r="BT491" s="335"/>
      <c r="BU491" s="335"/>
      <c r="BV491" s="335"/>
      <c r="BW491" s="335"/>
      <c r="BX491" s="335"/>
      <c r="BY491" s="335"/>
      <c r="BZ491" s="335"/>
      <c r="CA491" s="335"/>
      <c r="CB491" s="335"/>
      <c r="CC491" s="335"/>
      <c r="CD491" s="335"/>
      <c r="CE491" s="335"/>
      <c r="CF491" s="335"/>
      <c r="CG491" s="335"/>
      <c r="CH491" s="335"/>
      <c r="CI491" s="335"/>
      <c r="CJ491" s="335"/>
      <c r="CK491" s="335"/>
      <c r="CL491" s="335"/>
      <c r="CM491" s="335"/>
      <c r="CN491" s="335"/>
      <c r="CO491" s="335"/>
      <c r="CP491" s="335"/>
      <c r="CQ491" s="335"/>
      <c r="CR491" s="335"/>
      <c r="CS491" s="335"/>
      <c r="CT491" s="335"/>
      <c r="CU491" s="335"/>
      <c r="CV491" s="335"/>
      <c r="CW491" s="335"/>
      <c r="CX491" s="335"/>
      <c r="CY491" s="335"/>
      <c r="CZ491" s="335"/>
      <c r="DA491" s="335"/>
      <c r="DB491" s="335"/>
      <c r="DC491" s="335"/>
      <c r="DD491" s="335"/>
      <c r="DE491" s="335"/>
      <c r="DF491" s="335"/>
      <c r="DG491" s="335"/>
      <c r="DH491" s="335"/>
      <c r="DI491" s="335"/>
      <c r="DJ491" s="335"/>
      <c r="DK491" s="335"/>
      <c r="DL491" s="335"/>
      <c r="DM491" s="335"/>
      <c r="DN491" s="335"/>
      <c r="DO491" s="335"/>
      <c r="DP491" s="335"/>
      <c r="DQ491" s="335"/>
      <c r="DR491" s="335"/>
      <c r="DS491" s="335"/>
      <c r="DT491" s="335"/>
      <c r="DU491" s="335"/>
      <c r="DV491" s="335"/>
      <c r="DW491" s="335"/>
      <c r="DX491" s="335"/>
      <c r="DY491" s="335"/>
      <c r="DZ491" s="335"/>
      <c r="EA491" s="335"/>
      <c r="EB491" s="335"/>
      <c r="EC491" s="335"/>
      <c r="ED491" s="335"/>
      <c r="EE491" s="335"/>
      <c r="EF491" s="335"/>
      <c r="EG491" s="335"/>
      <c r="EH491" s="335"/>
      <c r="EI491" s="335"/>
      <c r="EJ491" s="335"/>
      <c r="EK491" s="335"/>
      <c r="EL491" s="335"/>
      <c r="EM491" s="335"/>
      <c r="EN491" s="335"/>
      <c r="EO491" s="335"/>
      <c r="EP491" s="335"/>
      <c r="EQ491" s="335"/>
      <c r="ER491" s="335"/>
      <c r="ES491" s="335"/>
      <c r="ET491" s="335"/>
      <c r="EU491" s="335"/>
      <c r="EV491" s="335"/>
      <c r="EW491" s="335"/>
      <c r="EX491" s="335"/>
      <c r="EY491" s="335"/>
      <c r="EZ491" s="335"/>
      <c r="FA491" s="335"/>
      <c r="FB491" s="335"/>
      <c r="FC491" s="335"/>
      <c r="FD491" s="335"/>
      <c r="FE491" s="335"/>
      <c r="FF491" s="335"/>
      <c r="FG491" s="335"/>
      <c r="FH491" s="335"/>
      <c r="FI491" s="335"/>
      <c r="FJ491" s="335"/>
      <c r="FK491" s="335"/>
      <c r="FL491" s="335"/>
      <c r="FM491" s="335"/>
      <c r="FN491" s="335"/>
      <c r="FO491" s="335"/>
      <c r="FP491" s="335"/>
      <c r="FQ491" s="335"/>
      <c r="FR491" s="335"/>
      <c r="FS491" s="335"/>
      <c r="FT491" s="335"/>
      <c r="FU491" s="335"/>
      <c r="FV491" s="335"/>
      <c r="FW491" s="335"/>
      <c r="FX491" s="335"/>
      <c r="FY491" s="335"/>
      <c r="FZ491" s="335"/>
      <c r="GA491" s="335"/>
      <c r="GB491" s="335"/>
      <c r="GC491" s="335"/>
      <c r="GD491" s="335"/>
      <c r="GE491" s="335"/>
      <c r="GF491" s="335"/>
      <c r="GG491" s="335"/>
      <c r="GH491" s="335"/>
      <c r="GI491" s="335"/>
      <c r="GJ491" s="335"/>
      <c r="GK491" s="335"/>
      <c r="GL491" s="335"/>
      <c r="GM491" s="335"/>
      <c r="GN491" s="335"/>
      <c r="GO491" s="335"/>
      <c r="GP491" s="335"/>
      <c r="GQ491" s="335"/>
      <c r="GR491" s="335"/>
      <c r="GS491" s="335"/>
      <c r="GT491" s="335"/>
      <c r="GU491" s="335"/>
      <c r="GV491" s="335"/>
      <c r="GW491" s="335"/>
      <c r="GX491" s="335"/>
      <c r="GY491" s="335"/>
      <c r="GZ491" s="335"/>
    </row>
    <row r="492" spans="1:208" ht="15">
      <c r="A492" s="379"/>
      <c r="B492" s="335"/>
      <c r="C492" s="335"/>
      <c r="D492" s="335"/>
      <c r="E492" s="335"/>
      <c r="F492" s="335"/>
      <c r="G492" s="335"/>
      <c r="H492" s="335"/>
      <c r="I492" s="335"/>
      <c r="J492" s="335"/>
      <c r="K492" s="335"/>
      <c r="L492" s="335"/>
      <c r="M492" s="376"/>
      <c r="N492" s="335"/>
      <c r="O492" s="380"/>
      <c r="P492" s="335"/>
      <c r="Q492" s="335"/>
      <c r="R492" s="335"/>
      <c r="S492" s="335"/>
      <c r="T492" s="335"/>
      <c r="U492" s="335"/>
      <c r="V492" s="335"/>
      <c r="W492" s="335"/>
      <c r="X492" s="335"/>
      <c r="Y492" s="335"/>
      <c r="Z492" s="335"/>
      <c r="AA492" s="335"/>
      <c r="AB492" s="335"/>
      <c r="AC492" s="335"/>
      <c r="AD492" s="335"/>
      <c r="AE492" s="335"/>
      <c r="AF492" s="335"/>
      <c r="AG492" s="335"/>
      <c r="AH492" s="335"/>
      <c r="AI492" s="335"/>
      <c r="AJ492" s="335"/>
      <c r="AK492" s="335"/>
      <c r="AL492" s="335"/>
      <c r="AM492" s="335"/>
      <c r="AN492" s="335"/>
      <c r="AO492" s="335"/>
      <c r="AP492" s="335"/>
      <c r="AQ492" s="335"/>
      <c r="AR492" s="335"/>
      <c r="AS492" s="335"/>
      <c r="AT492" s="335"/>
      <c r="AU492" s="335"/>
      <c r="AV492" s="335"/>
      <c r="AW492" s="335"/>
      <c r="AX492" s="335"/>
      <c r="AY492" s="335"/>
      <c r="AZ492" s="335"/>
      <c r="BA492" s="335"/>
      <c r="BB492" s="335"/>
      <c r="BC492" s="335"/>
      <c r="BD492" s="335"/>
      <c r="BE492" s="335"/>
      <c r="BF492" s="335"/>
      <c r="BG492" s="335"/>
      <c r="BH492" s="335"/>
      <c r="BI492" s="335"/>
      <c r="BJ492" s="335"/>
      <c r="BK492" s="335"/>
      <c r="BL492" s="335"/>
      <c r="BM492" s="335"/>
      <c r="BN492" s="335"/>
      <c r="BO492" s="335"/>
      <c r="BP492" s="335"/>
      <c r="BQ492" s="335"/>
      <c r="BR492" s="335"/>
      <c r="BS492" s="335"/>
      <c r="BT492" s="335"/>
      <c r="BU492" s="335"/>
      <c r="BV492" s="335"/>
      <c r="BW492" s="335"/>
      <c r="BX492" s="335"/>
      <c r="BY492" s="335"/>
      <c r="BZ492" s="335"/>
      <c r="CA492" s="335"/>
      <c r="CB492" s="335"/>
      <c r="CC492" s="335"/>
      <c r="CD492" s="335"/>
      <c r="CE492" s="335"/>
      <c r="CF492" s="335"/>
      <c r="CG492" s="335"/>
      <c r="CH492" s="335"/>
      <c r="CI492" s="335"/>
      <c r="CJ492" s="335"/>
      <c r="CK492" s="335"/>
      <c r="CL492" s="335"/>
      <c r="CM492" s="335"/>
      <c r="CN492" s="335"/>
      <c r="CO492" s="335"/>
      <c r="CP492" s="335"/>
      <c r="CQ492" s="335"/>
      <c r="CR492" s="335"/>
      <c r="CS492" s="335"/>
      <c r="CT492" s="335"/>
      <c r="CU492" s="335"/>
      <c r="CV492" s="335"/>
      <c r="CW492" s="335"/>
      <c r="CX492" s="335"/>
      <c r="CY492" s="335"/>
      <c r="CZ492" s="335"/>
      <c r="DA492" s="335"/>
      <c r="DB492" s="335"/>
      <c r="DC492" s="335"/>
      <c r="DD492" s="335"/>
      <c r="DE492" s="335"/>
      <c r="DF492" s="335"/>
      <c r="DG492" s="335"/>
      <c r="DH492" s="335"/>
      <c r="DI492" s="335"/>
      <c r="DJ492" s="335"/>
      <c r="DK492" s="335"/>
      <c r="DL492" s="335"/>
      <c r="DM492" s="335"/>
      <c r="DN492" s="335"/>
      <c r="DO492" s="335"/>
      <c r="DP492" s="335"/>
      <c r="DQ492" s="335"/>
      <c r="DR492" s="335"/>
      <c r="DS492" s="335"/>
      <c r="DT492" s="335"/>
      <c r="DU492" s="335"/>
      <c r="DV492" s="335"/>
      <c r="DW492" s="335"/>
      <c r="DX492" s="335"/>
      <c r="DY492" s="335"/>
      <c r="DZ492" s="335"/>
      <c r="EA492" s="335"/>
      <c r="EB492" s="335"/>
      <c r="EC492" s="335"/>
      <c r="ED492" s="335"/>
      <c r="EE492" s="335"/>
      <c r="EF492" s="335"/>
      <c r="EG492" s="335"/>
      <c r="EH492" s="335"/>
      <c r="EI492" s="335"/>
      <c r="EJ492" s="335"/>
      <c r="EK492" s="335"/>
      <c r="EL492" s="335"/>
      <c r="EM492" s="335"/>
      <c r="EN492" s="335"/>
      <c r="EO492" s="335"/>
      <c r="EP492" s="335"/>
      <c r="EQ492" s="335"/>
      <c r="ER492" s="335"/>
      <c r="ES492" s="335"/>
      <c r="ET492" s="335"/>
      <c r="EU492" s="335"/>
      <c r="EV492" s="335"/>
      <c r="EW492" s="335"/>
      <c r="EX492" s="335"/>
      <c r="EY492" s="335"/>
      <c r="EZ492" s="335"/>
      <c r="FA492" s="335"/>
      <c r="FB492" s="335"/>
      <c r="FC492" s="335"/>
      <c r="FD492" s="335"/>
      <c r="FE492" s="335"/>
      <c r="FF492" s="335"/>
      <c r="FG492" s="335"/>
      <c r="FH492" s="335"/>
      <c r="FI492" s="335"/>
      <c r="FJ492" s="335"/>
      <c r="FK492" s="335"/>
      <c r="FL492" s="335"/>
      <c r="FM492" s="335"/>
      <c r="FN492" s="335"/>
      <c r="FO492" s="335"/>
      <c r="FP492" s="335"/>
      <c r="FQ492" s="335"/>
      <c r="FR492" s="335"/>
      <c r="FS492" s="335"/>
      <c r="FT492" s="335"/>
      <c r="FU492" s="335"/>
      <c r="FV492" s="335"/>
      <c r="FW492" s="335"/>
      <c r="FX492" s="335"/>
      <c r="FY492" s="335"/>
      <c r="FZ492" s="335"/>
      <c r="GA492" s="335"/>
      <c r="GB492" s="335"/>
      <c r="GC492" s="335"/>
      <c r="GD492" s="335"/>
      <c r="GE492" s="335"/>
      <c r="GF492" s="335"/>
      <c r="GG492" s="335"/>
      <c r="GH492" s="335"/>
      <c r="GI492" s="335"/>
      <c r="GJ492" s="335"/>
      <c r="GK492" s="335"/>
      <c r="GL492" s="335"/>
      <c r="GM492" s="335"/>
      <c r="GN492" s="335"/>
      <c r="GO492" s="335"/>
      <c r="GP492" s="335"/>
      <c r="GQ492" s="335"/>
      <c r="GR492" s="335"/>
      <c r="GS492" s="335"/>
      <c r="GT492" s="335"/>
      <c r="GU492" s="335"/>
      <c r="GV492" s="335"/>
      <c r="GW492" s="335"/>
      <c r="GX492" s="335"/>
      <c r="GY492" s="335"/>
      <c r="GZ492" s="335"/>
    </row>
    <row r="493" spans="1:208" ht="15">
      <c r="A493" s="379"/>
      <c r="B493" s="335"/>
      <c r="C493" s="335"/>
      <c r="D493" s="335"/>
      <c r="E493" s="335"/>
      <c r="F493" s="335"/>
      <c r="G493" s="335"/>
      <c r="H493" s="335"/>
      <c r="I493" s="335"/>
      <c r="J493" s="335"/>
      <c r="K493" s="335"/>
      <c r="L493" s="335"/>
      <c r="M493" s="376"/>
      <c r="N493" s="335"/>
      <c r="O493" s="380"/>
      <c r="P493" s="335"/>
      <c r="Q493" s="335"/>
      <c r="R493" s="335"/>
      <c r="S493" s="335"/>
      <c r="T493" s="335"/>
      <c r="U493" s="335"/>
      <c r="V493" s="335"/>
      <c r="W493" s="335"/>
      <c r="X493" s="335"/>
      <c r="Y493" s="335"/>
      <c r="Z493" s="335"/>
      <c r="AA493" s="335"/>
      <c r="AB493" s="335"/>
      <c r="AC493" s="335"/>
      <c r="AD493" s="335"/>
      <c r="AE493" s="335"/>
      <c r="AF493" s="335"/>
      <c r="AG493" s="335"/>
      <c r="AH493" s="335"/>
      <c r="AI493" s="335"/>
      <c r="AJ493" s="335"/>
      <c r="AK493" s="335"/>
      <c r="AL493" s="335"/>
      <c r="AM493" s="335"/>
      <c r="AN493" s="335"/>
      <c r="AO493" s="335"/>
      <c r="AP493" s="335"/>
      <c r="AQ493" s="335"/>
      <c r="AR493" s="335"/>
      <c r="AS493" s="335"/>
      <c r="AT493" s="335"/>
      <c r="AU493" s="335"/>
      <c r="AV493" s="335"/>
      <c r="AW493" s="335"/>
      <c r="AX493" s="335"/>
      <c r="AY493" s="335"/>
      <c r="AZ493" s="335"/>
      <c r="BA493" s="335"/>
      <c r="BB493" s="335"/>
      <c r="BC493" s="335"/>
      <c r="BD493" s="335"/>
      <c r="BE493" s="335"/>
      <c r="BF493" s="335"/>
      <c r="BG493" s="335"/>
      <c r="BH493" s="335"/>
      <c r="BI493" s="335"/>
      <c r="BJ493" s="335"/>
      <c r="BK493" s="335"/>
      <c r="BL493" s="335"/>
      <c r="BM493" s="335"/>
      <c r="BN493" s="335"/>
      <c r="BO493" s="335"/>
      <c r="BP493" s="335"/>
      <c r="BQ493" s="335"/>
      <c r="BR493" s="335"/>
      <c r="BS493" s="335"/>
      <c r="BT493" s="335"/>
      <c r="BU493" s="335"/>
      <c r="BV493" s="335"/>
      <c r="BW493" s="335"/>
      <c r="BX493" s="335"/>
      <c r="BY493" s="335"/>
      <c r="BZ493" s="335"/>
      <c r="CA493" s="335"/>
      <c r="CB493" s="335"/>
      <c r="CC493" s="335"/>
      <c r="CD493" s="335"/>
      <c r="CE493" s="335"/>
      <c r="CF493" s="335"/>
      <c r="CG493" s="335"/>
      <c r="CH493" s="335"/>
      <c r="CI493" s="335"/>
      <c r="CJ493" s="335"/>
      <c r="CK493" s="335"/>
      <c r="CL493" s="335"/>
      <c r="CM493" s="335"/>
      <c r="CN493" s="335"/>
      <c r="CO493" s="335"/>
      <c r="CP493" s="335"/>
      <c r="CQ493" s="335"/>
      <c r="CR493" s="335"/>
      <c r="CS493" s="335"/>
      <c r="CT493" s="335"/>
      <c r="CU493" s="335"/>
      <c r="CV493" s="335"/>
      <c r="CW493" s="335"/>
      <c r="CX493" s="335"/>
      <c r="CY493" s="335"/>
      <c r="CZ493" s="335"/>
      <c r="DA493" s="335"/>
      <c r="DB493" s="335"/>
      <c r="DC493" s="335"/>
      <c r="DD493" s="335"/>
      <c r="DE493" s="335"/>
      <c r="DF493" s="335"/>
      <c r="DG493" s="335"/>
      <c r="DH493" s="335"/>
      <c r="DI493" s="335"/>
      <c r="DJ493" s="335"/>
      <c r="DK493" s="335"/>
      <c r="DL493" s="335"/>
      <c r="DM493" s="335"/>
      <c r="DN493" s="335"/>
      <c r="DO493" s="335"/>
      <c r="DP493" s="335"/>
      <c r="DQ493" s="335"/>
      <c r="DR493" s="335"/>
      <c r="DS493" s="335"/>
      <c r="DT493" s="335"/>
      <c r="DU493" s="335"/>
      <c r="DV493" s="335"/>
      <c r="DW493" s="335"/>
      <c r="DX493" s="335"/>
      <c r="DY493" s="335"/>
      <c r="DZ493" s="335"/>
      <c r="EA493" s="335"/>
      <c r="EB493" s="335"/>
      <c r="EC493" s="335"/>
      <c r="ED493" s="335"/>
      <c r="EE493" s="335"/>
      <c r="EF493" s="335"/>
      <c r="EG493" s="335"/>
      <c r="EH493" s="335"/>
      <c r="EI493" s="335"/>
      <c r="EJ493" s="335"/>
      <c r="EK493" s="335"/>
      <c r="EL493" s="335"/>
      <c r="EM493" s="335"/>
      <c r="EN493" s="335"/>
      <c r="EO493" s="335"/>
      <c r="EP493" s="335"/>
      <c r="EQ493" s="335"/>
      <c r="ER493" s="335"/>
      <c r="ES493" s="335"/>
      <c r="ET493" s="335"/>
      <c r="EU493" s="335"/>
      <c r="EV493" s="335"/>
      <c r="EW493" s="335"/>
      <c r="EX493" s="335"/>
      <c r="EY493" s="335"/>
      <c r="EZ493" s="335"/>
      <c r="FA493" s="335"/>
      <c r="FB493" s="335"/>
      <c r="FC493" s="335"/>
      <c r="FD493" s="335"/>
      <c r="FE493" s="335"/>
      <c r="FF493" s="335"/>
      <c r="FG493" s="335"/>
      <c r="FH493" s="335"/>
      <c r="FI493" s="335"/>
      <c r="FJ493" s="335"/>
      <c r="FK493" s="335"/>
      <c r="FL493" s="335"/>
      <c r="FM493" s="335"/>
      <c r="FN493" s="335"/>
      <c r="FO493" s="335"/>
      <c r="FP493" s="335"/>
      <c r="FQ493" s="335"/>
      <c r="FR493" s="335"/>
      <c r="FS493" s="335"/>
      <c r="FT493" s="335"/>
      <c r="FU493" s="335"/>
      <c r="FV493" s="335"/>
      <c r="FW493" s="335"/>
      <c r="FX493" s="335"/>
      <c r="FY493" s="335"/>
      <c r="FZ493" s="335"/>
      <c r="GA493" s="335"/>
      <c r="GB493" s="335"/>
      <c r="GC493" s="335"/>
      <c r="GD493" s="335"/>
      <c r="GE493" s="335"/>
      <c r="GF493" s="335"/>
      <c r="GG493" s="335"/>
      <c r="GH493" s="335"/>
      <c r="GI493" s="335"/>
      <c r="GJ493" s="335"/>
      <c r="GK493" s="335"/>
      <c r="GL493" s="335"/>
      <c r="GM493" s="335"/>
      <c r="GN493" s="335"/>
      <c r="GO493" s="335"/>
      <c r="GP493" s="335"/>
      <c r="GQ493" s="335"/>
      <c r="GR493" s="335"/>
      <c r="GS493" s="335"/>
      <c r="GT493" s="335"/>
      <c r="GU493" s="335"/>
      <c r="GV493" s="335"/>
      <c r="GW493" s="335"/>
      <c r="GX493" s="335"/>
      <c r="GY493" s="335"/>
      <c r="GZ493" s="335"/>
    </row>
    <row r="494" spans="1:208" ht="15">
      <c r="A494" s="379"/>
      <c r="B494" s="335"/>
      <c r="C494" s="335"/>
      <c r="D494" s="335"/>
      <c r="E494" s="335"/>
      <c r="F494" s="335"/>
      <c r="G494" s="335"/>
      <c r="H494" s="335"/>
      <c r="I494" s="335"/>
      <c r="J494" s="335"/>
      <c r="K494" s="335"/>
      <c r="L494" s="335"/>
      <c r="M494" s="376"/>
      <c r="N494" s="335"/>
      <c r="O494" s="380"/>
      <c r="P494" s="335"/>
      <c r="Q494" s="335"/>
      <c r="R494" s="335"/>
      <c r="S494" s="335"/>
      <c r="T494" s="335"/>
      <c r="U494" s="335"/>
      <c r="V494" s="335"/>
      <c r="W494" s="335"/>
      <c r="X494" s="335"/>
      <c r="Y494" s="335"/>
      <c r="Z494" s="335"/>
      <c r="AA494" s="335"/>
      <c r="AB494" s="335"/>
      <c r="AC494" s="335"/>
      <c r="AD494" s="335"/>
      <c r="AE494" s="335"/>
      <c r="AF494" s="335"/>
      <c r="AG494" s="335"/>
      <c r="AH494" s="335"/>
      <c r="AI494" s="335"/>
      <c r="AJ494" s="335"/>
      <c r="AK494" s="335"/>
      <c r="AL494" s="335"/>
      <c r="AM494" s="335"/>
      <c r="AN494" s="335"/>
      <c r="AO494" s="335"/>
      <c r="AP494" s="335"/>
      <c r="AQ494" s="335"/>
      <c r="AR494" s="335"/>
      <c r="AS494" s="335"/>
      <c r="AT494" s="335"/>
      <c r="AU494" s="335"/>
      <c r="AV494" s="335"/>
      <c r="AW494" s="335"/>
      <c r="AX494" s="335"/>
      <c r="AY494" s="335"/>
      <c r="AZ494" s="335"/>
      <c r="BA494" s="335"/>
      <c r="BB494" s="335"/>
      <c r="BC494" s="335"/>
      <c r="BD494" s="335"/>
      <c r="BE494" s="335"/>
      <c r="BF494" s="335"/>
      <c r="BG494" s="335"/>
      <c r="BH494" s="335"/>
      <c r="BI494" s="335"/>
      <c r="BJ494" s="335"/>
      <c r="BK494" s="335"/>
      <c r="BL494" s="335"/>
      <c r="BM494" s="335"/>
      <c r="BN494" s="335"/>
      <c r="BO494" s="335"/>
      <c r="BP494" s="335"/>
      <c r="BQ494" s="335"/>
      <c r="BR494" s="335"/>
      <c r="BS494" s="335"/>
      <c r="BT494" s="335"/>
      <c r="BU494" s="335"/>
      <c r="BV494" s="335"/>
      <c r="BW494" s="335"/>
      <c r="BX494" s="335"/>
      <c r="BY494" s="335"/>
      <c r="BZ494" s="335"/>
      <c r="CA494" s="335"/>
      <c r="CB494" s="335"/>
      <c r="CC494" s="335"/>
      <c r="CD494" s="335"/>
      <c r="CE494" s="335"/>
      <c r="CF494" s="335"/>
      <c r="CG494" s="335"/>
      <c r="CH494" s="335"/>
      <c r="CI494" s="335"/>
      <c r="CJ494" s="335"/>
      <c r="CK494" s="335"/>
      <c r="CL494" s="335"/>
      <c r="CM494" s="335"/>
      <c r="CN494" s="335"/>
      <c r="CO494" s="335"/>
      <c r="CP494" s="335"/>
      <c r="CQ494" s="335"/>
      <c r="CR494" s="335"/>
      <c r="CS494" s="335"/>
      <c r="CT494" s="335"/>
      <c r="CU494" s="335"/>
      <c r="CV494" s="335"/>
      <c r="CW494" s="335"/>
      <c r="CX494" s="335"/>
      <c r="CY494" s="335"/>
      <c r="CZ494" s="335"/>
      <c r="DA494" s="335"/>
      <c r="DB494" s="335"/>
      <c r="DC494" s="335"/>
      <c r="DD494" s="335"/>
      <c r="DE494" s="335"/>
      <c r="DF494" s="335"/>
      <c r="DG494" s="335"/>
      <c r="DH494" s="335"/>
      <c r="DI494" s="335"/>
      <c r="DJ494" s="335"/>
      <c r="DK494" s="335"/>
      <c r="DL494" s="335"/>
      <c r="DM494" s="335"/>
      <c r="DN494" s="335"/>
      <c r="DO494" s="335"/>
      <c r="DP494" s="335"/>
      <c r="DQ494" s="335"/>
      <c r="DR494" s="335"/>
      <c r="DS494" s="335"/>
      <c r="DT494" s="335"/>
      <c r="DU494" s="335"/>
      <c r="DV494" s="335"/>
      <c r="DW494" s="335"/>
      <c r="DX494" s="335"/>
      <c r="DY494" s="335"/>
      <c r="DZ494" s="335"/>
      <c r="EA494" s="335"/>
      <c r="EB494" s="335"/>
      <c r="EC494" s="335"/>
      <c r="ED494" s="335"/>
      <c r="EE494" s="335"/>
      <c r="EF494" s="335"/>
      <c r="EG494" s="335"/>
      <c r="EH494" s="335"/>
      <c r="EI494" s="335"/>
      <c r="EJ494" s="335"/>
      <c r="EK494" s="335"/>
      <c r="EL494" s="335"/>
      <c r="EM494" s="335"/>
      <c r="EN494" s="335"/>
      <c r="EO494" s="335"/>
      <c r="EP494" s="335"/>
      <c r="EQ494" s="335"/>
      <c r="ER494" s="335"/>
      <c r="ES494" s="335"/>
      <c r="ET494" s="335"/>
      <c r="EU494" s="335"/>
      <c r="EV494" s="335"/>
      <c r="EW494" s="335"/>
      <c r="EX494" s="335"/>
      <c r="EY494" s="335"/>
      <c r="EZ494" s="335"/>
      <c r="FA494" s="335"/>
      <c r="FB494" s="335"/>
      <c r="FC494" s="335"/>
      <c r="FD494" s="335"/>
      <c r="FE494" s="335"/>
      <c r="FF494" s="335"/>
      <c r="FG494" s="335"/>
      <c r="FH494" s="335"/>
      <c r="FI494" s="335"/>
      <c r="FJ494" s="335"/>
      <c r="FK494" s="335"/>
      <c r="FL494" s="335"/>
      <c r="FM494" s="335"/>
      <c r="FN494" s="335"/>
      <c r="FO494" s="335"/>
      <c r="FP494" s="335"/>
      <c r="FQ494" s="335"/>
      <c r="FR494" s="335"/>
      <c r="FS494" s="335"/>
      <c r="FT494" s="335"/>
      <c r="FU494" s="335"/>
      <c r="FV494" s="335"/>
      <c r="FW494" s="335"/>
      <c r="FX494" s="335"/>
      <c r="FY494" s="335"/>
      <c r="FZ494" s="335"/>
      <c r="GA494" s="335"/>
      <c r="GB494" s="335"/>
      <c r="GC494" s="335"/>
      <c r="GD494" s="335"/>
      <c r="GE494" s="335"/>
      <c r="GF494" s="335"/>
      <c r="GG494" s="335"/>
      <c r="GH494" s="335"/>
      <c r="GI494" s="335"/>
      <c r="GJ494" s="335"/>
      <c r="GK494" s="335"/>
      <c r="GL494" s="335"/>
      <c r="GM494" s="335"/>
      <c r="GN494" s="335"/>
      <c r="GO494" s="335"/>
      <c r="GP494" s="335"/>
      <c r="GQ494" s="335"/>
      <c r="GR494" s="335"/>
      <c r="GS494" s="335"/>
      <c r="GT494" s="335"/>
      <c r="GU494" s="335"/>
      <c r="GV494" s="335"/>
      <c r="GW494" s="335"/>
      <c r="GX494" s="335"/>
      <c r="GY494" s="335"/>
      <c r="GZ494" s="335"/>
    </row>
    <row r="495" spans="1:208" ht="15">
      <c r="A495" s="379"/>
      <c r="B495" s="335"/>
      <c r="C495" s="335"/>
      <c r="D495" s="335"/>
      <c r="E495" s="335"/>
      <c r="F495" s="335"/>
      <c r="G495" s="335"/>
      <c r="H495" s="335"/>
      <c r="I495" s="335"/>
      <c r="J495" s="335"/>
      <c r="K495" s="335"/>
      <c r="L495" s="335"/>
      <c r="M495" s="376"/>
      <c r="N495" s="335"/>
      <c r="O495" s="380"/>
      <c r="P495" s="335"/>
      <c r="Q495" s="335"/>
      <c r="R495" s="335"/>
      <c r="S495" s="335"/>
      <c r="T495" s="335"/>
      <c r="U495" s="335"/>
      <c r="V495" s="335"/>
      <c r="W495" s="335"/>
      <c r="X495" s="335"/>
      <c r="Y495" s="335"/>
      <c r="Z495" s="335"/>
      <c r="AA495" s="335"/>
      <c r="AB495" s="335"/>
      <c r="AC495" s="335"/>
      <c r="AD495" s="335"/>
      <c r="AE495" s="335"/>
      <c r="AF495" s="335"/>
      <c r="AG495" s="335"/>
      <c r="AH495" s="335"/>
      <c r="AI495" s="335"/>
      <c r="AJ495" s="335"/>
      <c r="AK495" s="335"/>
      <c r="AL495" s="335"/>
      <c r="AM495" s="335"/>
      <c r="AN495" s="335"/>
      <c r="AO495" s="335"/>
      <c r="AP495" s="335"/>
      <c r="AQ495" s="335"/>
      <c r="AR495" s="335"/>
      <c r="AS495" s="335"/>
      <c r="AT495" s="335"/>
      <c r="AU495" s="335"/>
      <c r="AV495" s="335"/>
      <c r="AW495" s="335"/>
      <c r="AX495" s="335"/>
      <c r="AY495" s="335"/>
      <c r="AZ495" s="335"/>
      <c r="BA495" s="335"/>
      <c r="BB495" s="335"/>
      <c r="BC495" s="335"/>
      <c r="BD495" s="335"/>
      <c r="BE495" s="335"/>
      <c r="BF495" s="335"/>
      <c r="BG495" s="335"/>
      <c r="BH495" s="335"/>
      <c r="BI495" s="335"/>
      <c r="BJ495" s="335"/>
      <c r="BK495" s="335"/>
      <c r="BL495" s="335"/>
      <c r="BM495" s="335"/>
      <c r="BN495" s="335"/>
      <c r="BO495" s="335"/>
      <c r="BP495" s="335"/>
      <c r="BQ495" s="335"/>
      <c r="BR495" s="335"/>
      <c r="BS495" s="335"/>
      <c r="BT495" s="335"/>
      <c r="BU495" s="335"/>
      <c r="BV495" s="335"/>
      <c r="BW495" s="335"/>
      <c r="BX495" s="335"/>
      <c r="BY495" s="335"/>
      <c r="BZ495" s="335"/>
      <c r="CA495" s="335"/>
      <c r="CB495" s="335"/>
      <c r="CC495" s="335"/>
      <c r="CD495" s="335"/>
      <c r="CE495" s="335"/>
      <c r="CF495" s="335"/>
      <c r="CG495" s="335"/>
      <c r="CH495" s="335"/>
      <c r="CI495" s="335"/>
      <c r="CJ495" s="335"/>
      <c r="CK495" s="335"/>
      <c r="CL495" s="335"/>
      <c r="CM495" s="335"/>
      <c r="CN495" s="335"/>
      <c r="CO495" s="335"/>
      <c r="CP495" s="335"/>
      <c r="CQ495" s="335"/>
      <c r="CR495" s="335"/>
      <c r="CS495" s="335"/>
      <c r="CT495" s="335"/>
      <c r="CU495" s="335"/>
      <c r="CV495" s="335"/>
      <c r="CW495" s="335"/>
      <c r="CX495" s="335"/>
      <c r="CY495" s="335"/>
      <c r="CZ495" s="335"/>
      <c r="DA495" s="335"/>
      <c r="DB495" s="335"/>
      <c r="DC495" s="335"/>
      <c r="DD495" s="335"/>
      <c r="DE495" s="335"/>
      <c r="DF495" s="335"/>
      <c r="DG495" s="335"/>
      <c r="DH495" s="335"/>
      <c r="DI495" s="335"/>
      <c r="DJ495" s="335"/>
      <c r="DK495" s="335"/>
      <c r="DL495" s="335"/>
      <c r="DM495" s="335"/>
      <c r="DN495" s="335"/>
      <c r="DO495" s="335"/>
      <c r="DP495" s="335"/>
      <c r="DQ495" s="335"/>
      <c r="DR495" s="335"/>
      <c r="DS495" s="335"/>
      <c r="DT495" s="335"/>
      <c r="DU495" s="335"/>
      <c r="DV495" s="335"/>
      <c r="DW495" s="335"/>
      <c r="DX495" s="335"/>
      <c r="DY495" s="335"/>
      <c r="DZ495" s="335"/>
      <c r="EA495" s="335"/>
      <c r="EB495" s="335"/>
      <c r="EC495" s="335"/>
      <c r="ED495" s="335"/>
      <c r="EE495" s="335"/>
      <c r="EF495" s="335"/>
      <c r="EG495" s="335"/>
      <c r="EH495" s="335"/>
      <c r="EI495" s="335"/>
      <c r="EJ495" s="335"/>
      <c r="EK495" s="335"/>
      <c r="EL495" s="335"/>
      <c r="EM495" s="335"/>
      <c r="EN495" s="335"/>
      <c r="EO495" s="335"/>
      <c r="EP495" s="335"/>
      <c r="EQ495" s="335"/>
      <c r="ER495" s="335"/>
      <c r="ES495" s="335"/>
      <c r="ET495" s="335"/>
      <c r="EU495" s="335"/>
      <c r="EV495" s="335"/>
      <c r="EW495" s="335"/>
      <c r="EX495" s="335"/>
      <c r="EY495" s="335"/>
      <c r="EZ495" s="335"/>
      <c r="FA495" s="335"/>
      <c r="FB495" s="335"/>
      <c r="FC495" s="335"/>
      <c r="FD495" s="335"/>
      <c r="FE495" s="335"/>
      <c r="FF495" s="335"/>
      <c r="FG495" s="335"/>
      <c r="FH495" s="335"/>
      <c r="FI495" s="335"/>
      <c r="FJ495" s="335"/>
      <c r="FK495" s="335"/>
      <c r="FL495" s="335"/>
      <c r="FM495" s="335"/>
      <c r="FN495" s="335"/>
      <c r="FO495" s="335"/>
      <c r="FP495" s="335"/>
      <c r="FQ495" s="335"/>
      <c r="FR495" s="335"/>
      <c r="FS495" s="335"/>
      <c r="FT495" s="335"/>
      <c r="FU495" s="335"/>
      <c r="FV495" s="335"/>
      <c r="FW495" s="335"/>
      <c r="FX495" s="335"/>
      <c r="FY495" s="335"/>
      <c r="FZ495" s="335"/>
      <c r="GA495" s="335"/>
      <c r="GB495" s="335"/>
      <c r="GC495" s="335"/>
      <c r="GD495" s="335"/>
      <c r="GE495" s="335"/>
      <c r="GF495" s="335"/>
      <c r="GG495" s="335"/>
      <c r="GH495" s="335"/>
      <c r="GI495" s="335"/>
      <c r="GJ495" s="335"/>
      <c r="GK495" s="335"/>
      <c r="GL495" s="335"/>
      <c r="GM495" s="335"/>
      <c r="GN495" s="335"/>
      <c r="GO495" s="335"/>
      <c r="GP495" s="335"/>
      <c r="GQ495" s="335"/>
      <c r="GR495" s="335"/>
      <c r="GS495" s="335"/>
      <c r="GT495" s="335"/>
      <c r="GU495" s="335"/>
      <c r="GV495" s="335"/>
      <c r="GW495" s="335"/>
      <c r="GX495" s="335"/>
      <c r="GY495" s="335"/>
      <c r="GZ495" s="335"/>
    </row>
    <row r="496" spans="1:208" ht="15">
      <c r="A496" s="379"/>
      <c r="B496" s="335"/>
      <c r="C496" s="335"/>
      <c r="D496" s="335"/>
      <c r="E496" s="335"/>
      <c r="F496" s="335"/>
      <c r="G496" s="335"/>
      <c r="H496" s="335"/>
      <c r="I496" s="335"/>
      <c r="J496" s="335"/>
      <c r="K496" s="335"/>
      <c r="L496" s="335"/>
      <c r="M496" s="376"/>
      <c r="N496" s="335"/>
      <c r="O496" s="380"/>
      <c r="P496" s="335"/>
      <c r="Q496" s="335"/>
      <c r="R496" s="335"/>
      <c r="S496" s="335"/>
      <c r="T496" s="335"/>
      <c r="U496" s="335"/>
      <c r="V496" s="335"/>
      <c r="W496" s="335"/>
      <c r="X496" s="335"/>
      <c r="Y496" s="335"/>
      <c r="Z496" s="335"/>
      <c r="AA496" s="335"/>
      <c r="AB496" s="335"/>
      <c r="AC496" s="335"/>
      <c r="AD496" s="335"/>
      <c r="AE496" s="335"/>
      <c r="AF496" s="335"/>
      <c r="AG496" s="335"/>
      <c r="AH496" s="335"/>
      <c r="AI496" s="335"/>
      <c r="AJ496" s="335"/>
      <c r="AK496" s="335"/>
      <c r="AL496" s="335"/>
      <c r="AM496" s="335"/>
      <c r="AN496" s="335"/>
      <c r="AO496" s="335"/>
      <c r="AP496" s="335"/>
      <c r="AQ496" s="335"/>
      <c r="AR496" s="335"/>
      <c r="AS496" s="335"/>
      <c r="AT496" s="335"/>
      <c r="AU496" s="335"/>
      <c r="AV496" s="335"/>
      <c r="AW496" s="335"/>
      <c r="AX496" s="335"/>
      <c r="AY496" s="335"/>
      <c r="AZ496" s="335"/>
      <c r="BA496" s="335"/>
      <c r="BB496" s="335"/>
      <c r="BC496" s="335"/>
      <c r="BD496" s="335"/>
      <c r="BE496" s="335"/>
      <c r="BF496" s="335"/>
      <c r="BG496" s="335"/>
      <c r="BH496" s="335"/>
      <c r="BI496" s="335"/>
      <c r="BJ496" s="335"/>
      <c r="BK496" s="335"/>
      <c r="BL496" s="335"/>
      <c r="BM496" s="335"/>
      <c r="BN496" s="335"/>
      <c r="BO496" s="335"/>
      <c r="BP496" s="335"/>
      <c r="BQ496" s="335"/>
      <c r="BR496" s="335"/>
      <c r="BS496" s="335"/>
      <c r="BT496" s="335"/>
      <c r="BU496" s="335"/>
      <c r="BV496" s="335"/>
      <c r="BW496" s="335"/>
      <c r="BX496" s="335"/>
      <c r="BY496" s="335"/>
      <c r="BZ496" s="335"/>
      <c r="CA496" s="335"/>
      <c r="CB496" s="335"/>
      <c r="CC496" s="335"/>
      <c r="CD496" s="335"/>
      <c r="CE496" s="335"/>
      <c r="CF496" s="335"/>
      <c r="CG496" s="335"/>
      <c r="CH496" s="335"/>
      <c r="CI496" s="335"/>
      <c r="CJ496" s="335"/>
      <c r="CK496" s="335"/>
      <c r="CL496" s="335"/>
      <c r="CM496" s="335"/>
      <c r="CN496" s="335"/>
      <c r="CO496" s="335"/>
      <c r="CP496" s="335"/>
      <c r="CQ496" s="335"/>
      <c r="CR496" s="335"/>
      <c r="CS496" s="335"/>
      <c r="CT496" s="335"/>
      <c r="CU496" s="335"/>
      <c r="CV496" s="335"/>
      <c r="CW496" s="335"/>
      <c r="CX496" s="335"/>
      <c r="CY496" s="335"/>
      <c r="CZ496" s="335"/>
      <c r="DA496" s="335"/>
      <c r="DB496" s="335"/>
      <c r="DC496" s="335"/>
      <c r="DD496" s="335"/>
      <c r="DE496" s="335"/>
      <c r="DF496" s="335"/>
      <c r="DG496" s="335"/>
      <c r="DH496" s="335"/>
      <c r="DI496" s="335"/>
      <c r="DJ496" s="335"/>
      <c r="DK496" s="335"/>
      <c r="DL496" s="335"/>
      <c r="DM496" s="335"/>
      <c r="DN496" s="335"/>
      <c r="DO496" s="335"/>
      <c r="DP496" s="335"/>
      <c r="DQ496" s="335"/>
      <c r="DR496" s="335"/>
      <c r="DS496" s="335"/>
      <c r="DT496" s="335"/>
      <c r="DU496" s="335"/>
      <c r="DV496" s="335"/>
      <c r="DW496" s="335"/>
      <c r="DX496" s="335"/>
      <c r="DY496" s="335"/>
      <c r="DZ496" s="335"/>
      <c r="EA496" s="335"/>
      <c r="EB496" s="335"/>
      <c r="EC496" s="335"/>
      <c r="ED496" s="335"/>
      <c r="EE496" s="335"/>
      <c r="EF496" s="335"/>
      <c r="EG496" s="335"/>
      <c r="EH496" s="335"/>
      <c r="EI496" s="335"/>
      <c r="EJ496" s="335"/>
      <c r="EK496" s="335"/>
      <c r="EL496" s="335"/>
      <c r="EM496" s="335"/>
      <c r="EN496" s="335"/>
      <c r="EO496" s="335"/>
      <c r="EP496" s="335"/>
      <c r="EQ496" s="335"/>
      <c r="ER496" s="335"/>
      <c r="ES496" s="335"/>
      <c r="ET496" s="335"/>
      <c r="EU496" s="335"/>
      <c r="EV496" s="335"/>
      <c r="EW496" s="335"/>
      <c r="EX496" s="335"/>
      <c r="EY496" s="335"/>
      <c r="EZ496" s="335"/>
      <c r="FA496" s="335"/>
      <c r="FB496" s="335"/>
      <c r="FC496" s="335"/>
      <c r="FD496" s="335"/>
      <c r="FE496" s="335"/>
      <c r="FF496" s="335"/>
      <c r="FG496" s="335"/>
      <c r="FH496" s="335"/>
      <c r="FI496" s="335"/>
      <c r="FJ496" s="335"/>
      <c r="FK496" s="335"/>
      <c r="FL496" s="335"/>
      <c r="FM496" s="335"/>
      <c r="FN496" s="335"/>
      <c r="FO496" s="335"/>
      <c r="FP496" s="335"/>
      <c r="FQ496" s="335"/>
      <c r="FR496" s="335"/>
      <c r="FS496" s="335"/>
      <c r="FT496" s="335"/>
      <c r="FU496" s="335"/>
      <c r="FV496" s="335"/>
      <c r="FW496" s="335"/>
      <c r="FX496" s="335"/>
      <c r="FY496" s="335"/>
      <c r="FZ496" s="335"/>
      <c r="GA496" s="335"/>
      <c r="GB496" s="335"/>
      <c r="GC496" s="335"/>
      <c r="GD496" s="335"/>
      <c r="GE496" s="335"/>
      <c r="GF496" s="335"/>
      <c r="GG496" s="335"/>
      <c r="GH496" s="335"/>
      <c r="GI496" s="335"/>
      <c r="GJ496" s="335"/>
      <c r="GK496" s="335"/>
      <c r="GL496" s="335"/>
      <c r="GM496" s="335"/>
      <c r="GN496" s="335"/>
      <c r="GO496" s="335"/>
      <c r="GP496" s="335"/>
      <c r="GQ496" s="335"/>
      <c r="GR496" s="335"/>
      <c r="GS496" s="335"/>
      <c r="GT496" s="335"/>
      <c r="GU496" s="335"/>
      <c r="GV496" s="335"/>
      <c r="GW496" s="335"/>
      <c r="GX496" s="335"/>
      <c r="GY496" s="335"/>
      <c r="GZ496" s="335"/>
    </row>
    <row r="497" spans="1:208" ht="15">
      <c r="A497" s="379"/>
      <c r="B497" s="335"/>
      <c r="C497" s="335"/>
      <c r="D497" s="335"/>
      <c r="E497" s="335"/>
      <c r="F497" s="335"/>
      <c r="G497" s="335"/>
      <c r="H497" s="335"/>
      <c r="I497" s="335"/>
      <c r="J497" s="335"/>
      <c r="K497" s="335"/>
      <c r="L497" s="335"/>
      <c r="M497" s="376"/>
      <c r="N497" s="335"/>
      <c r="O497" s="380"/>
      <c r="P497" s="335"/>
      <c r="Q497" s="335"/>
      <c r="R497" s="335"/>
      <c r="S497" s="335"/>
      <c r="T497" s="335"/>
      <c r="U497" s="335"/>
      <c r="V497" s="335"/>
      <c r="W497" s="335"/>
      <c r="X497" s="335"/>
      <c r="Y497" s="335"/>
      <c r="Z497" s="335"/>
      <c r="AA497" s="335"/>
      <c r="AB497" s="335"/>
      <c r="AC497" s="335"/>
      <c r="AD497" s="335"/>
      <c r="AE497" s="335"/>
      <c r="AF497" s="335"/>
      <c r="AG497" s="335"/>
      <c r="AH497" s="335"/>
      <c r="AI497" s="335"/>
      <c r="AJ497" s="335"/>
      <c r="AK497" s="335"/>
      <c r="AL497" s="335"/>
      <c r="AM497" s="335"/>
      <c r="AN497" s="335"/>
      <c r="AO497" s="335"/>
      <c r="AP497" s="335"/>
      <c r="AQ497" s="335"/>
      <c r="AR497" s="335"/>
      <c r="AS497" s="335"/>
      <c r="AT497" s="335"/>
      <c r="AU497" s="335"/>
      <c r="AV497" s="335"/>
      <c r="AW497" s="335"/>
      <c r="AX497" s="335"/>
      <c r="AY497" s="335"/>
      <c r="AZ497" s="335"/>
      <c r="BA497" s="335"/>
      <c r="BB497" s="335"/>
      <c r="BC497" s="335"/>
      <c r="BD497" s="335"/>
      <c r="BE497" s="335"/>
      <c r="BF497" s="335"/>
      <c r="BG497" s="335"/>
      <c r="BH497" s="335"/>
      <c r="BI497" s="335"/>
      <c r="BJ497" s="335"/>
      <c r="BK497" s="335"/>
      <c r="BL497" s="335"/>
      <c r="BM497" s="335"/>
      <c r="BN497" s="335"/>
      <c r="BO497" s="335"/>
      <c r="BP497" s="335"/>
      <c r="BQ497" s="335"/>
      <c r="BR497" s="335"/>
      <c r="BS497" s="335"/>
      <c r="BT497" s="335"/>
      <c r="BU497" s="335"/>
      <c r="BV497" s="335"/>
      <c r="BW497" s="335"/>
      <c r="BX497" s="335"/>
      <c r="BY497" s="335"/>
      <c r="BZ497" s="335"/>
      <c r="CA497" s="335"/>
      <c r="CB497" s="335"/>
      <c r="CC497" s="335"/>
      <c r="CD497" s="335"/>
      <c r="CE497" s="335"/>
      <c r="CF497" s="335"/>
      <c r="CG497" s="335"/>
      <c r="CH497" s="335"/>
      <c r="CI497" s="335"/>
      <c r="CJ497" s="335"/>
      <c r="CK497" s="335"/>
      <c r="CL497" s="335"/>
      <c r="CM497" s="335"/>
      <c r="CN497" s="335"/>
      <c r="CO497" s="335"/>
      <c r="CP497" s="335"/>
      <c r="CQ497" s="335"/>
      <c r="CR497" s="335"/>
      <c r="CS497" s="335"/>
      <c r="CT497" s="335"/>
      <c r="CU497" s="335"/>
      <c r="CV497" s="335"/>
      <c r="CW497" s="335"/>
      <c r="CX497" s="335"/>
      <c r="CY497" s="335"/>
      <c r="CZ497" s="335"/>
      <c r="DA497" s="335"/>
      <c r="DB497" s="335"/>
      <c r="DC497" s="335"/>
      <c r="DD497" s="335"/>
      <c r="DE497" s="335"/>
      <c r="DF497" s="335"/>
      <c r="DG497" s="335"/>
      <c r="DH497" s="335"/>
      <c r="DI497" s="335"/>
      <c r="DJ497" s="335"/>
      <c r="DK497" s="335"/>
      <c r="DL497" s="335"/>
      <c r="DM497" s="335"/>
      <c r="DN497" s="335"/>
      <c r="DO497" s="335"/>
      <c r="DP497" s="335"/>
      <c r="DQ497" s="335"/>
      <c r="DR497" s="335"/>
      <c r="DS497" s="335"/>
      <c r="DT497" s="335"/>
      <c r="DU497" s="335"/>
      <c r="DV497" s="335"/>
      <c r="DW497" s="335"/>
      <c r="DX497" s="335"/>
      <c r="DY497" s="335"/>
      <c r="DZ497" s="335"/>
      <c r="EA497" s="335"/>
      <c r="EB497" s="335"/>
      <c r="EC497" s="335"/>
      <c r="ED497" s="335"/>
      <c r="EE497" s="335"/>
      <c r="EF497" s="335"/>
      <c r="EG497" s="335"/>
      <c r="EH497" s="335"/>
      <c r="EI497" s="335"/>
      <c r="EJ497" s="335"/>
      <c r="EK497" s="335"/>
      <c r="EL497" s="335"/>
      <c r="EM497" s="335"/>
      <c r="EN497" s="335"/>
      <c r="EO497" s="335"/>
      <c r="EP497" s="335"/>
      <c r="EQ497" s="335"/>
      <c r="ER497" s="335"/>
      <c r="ES497" s="335"/>
      <c r="ET497" s="335"/>
      <c r="EU497" s="335"/>
      <c r="EV497" s="335"/>
      <c r="EW497" s="335"/>
      <c r="EX497" s="335"/>
      <c r="EY497" s="335"/>
      <c r="EZ497" s="335"/>
      <c r="FA497" s="335"/>
      <c r="FB497" s="335"/>
      <c r="FC497" s="335"/>
      <c r="FD497" s="335"/>
      <c r="FE497" s="335"/>
      <c r="FF497" s="335"/>
      <c r="FG497" s="335"/>
      <c r="FH497" s="335"/>
      <c r="FI497" s="335"/>
      <c r="FJ497" s="335"/>
      <c r="FK497" s="335"/>
      <c r="FL497" s="335"/>
      <c r="FM497" s="335"/>
      <c r="FN497" s="335"/>
      <c r="FO497" s="335"/>
      <c r="FP497" s="335"/>
      <c r="FQ497" s="335"/>
      <c r="FR497" s="335"/>
      <c r="FS497" s="335"/>
      <c r="FT497" s="335"/>
      <c r="FU497" s="335"/>
      <c r="FV497" s="335"/>
      <c r="FW497" s="335"/>
      <c r="FX497" s="335"/>
      <c r="FY497" s="335"/>
      <c r="FZ497" s="335"/>
      <c r="GA497" s="335"/>
      <c r="GB497" s="335"/>
      <c r="GC497" s="335"/>
      <c r="GD497" s="335"/>
      <c r="GE497" s="335"/>
      <c r="GF497" s="335"/>
      <c r="GG497" s="335"/>
      <c r="GH497" s="335"/>
      <c r="GI497" s="335"/>
      <c r="GJ497" s="335"/>
      <c r="GK497" s="335"/>
      <c r="GL497" s="335"/>
      <c r="GM497" s="335"/>
      <c r="GN497" s="335"/>
      <c r="GO497" s="335"/>
      <c r="GP497" s="335"/>
      <c r="GQ497" s="335"/>
      <c r="GR497" s="335"/>
      <c r="GS497" s="335"/>
      <c r="GT497" s="335"/>
      <c r="GU497" s="335"/>
      <c r="GV497" s="335"/>
      <c r="GW497" s="335"/>
      <c r="GX497" s="335"/>
      <c r="GY497" s="335"/>
      <c r="GZ497" s="335"/>
    </row>
    <row r="498" spans="1:208" ht="15">
      <c r="A498" s="379"/>
      <c r="B498" s="335"/>
      <c r="C498" s="335"/>
      <c r="D498" s="335"/>
      <c r="E498" s="335"/>
      <c r="F498" s="335"/>
      <c r="G498" s="335"/>
      <c r="H498" s="335"/>
      <c r="I498" s="335"/>
      <c r="J498" s="335"/>
      <c r="K498" s="335"/>
      <c r="L498" s="335"/>
      <c r="M498" s="376"/>
      <c r="N498" s="335"/>
      <c r="O498" s="380"/>
      <c r="P498" s="335"/>
      <c r="Q498" s="335"/>
      <c r="R498" s="335"/>
      <c r="S498" s="335"/>
      <c r="T498" s="335"/>
      <c r="U498" s="335"/>
      <c r="V498" s="335"/>
      <c r="W498" s="335"/>
      <c r="X498" s="335"/>
      <c r="Y498" s="335"/>
      <c r="Z498" s="335"/>
      <c r="AA498" s="335"/>
      <c r="AB498" s="335"/>
      <c r="AC498" s="335"/>
      <c r="AD498" s="335"/>
      <c r="AE498" s="335"/>
      <c r="AF498" s="335"/>
      <c r="AG498" s="335"/>
      <c r="AH498" s="335"/>
      <c r="AI498" s="335"/>
      <c r="AJ498" s="335"/>
      <c r="AK498" s="335"/>
      <c r="AL498" s="335"/>
      <c r="AM498" s="335"/>
      <c r="AN498" s="335"/>
      <c r="AO498" s="335"/>
      <c r="AP498" s="335"/>
      <c r="AQ498" s="335"/>
      <c r="AR498" s="335"/>
      <c r="AS498" s="335"/>
      <c r="AT498" s="335"/>
      <c r="AU498" s="335"/>
      <c r="AV498" s="335"/>
      <c r="AW498" s="335"/>
      <c r="AX498" s="335"/>
      <c r="AY498" s="335"/>
      <c r="AZ498" s="335"/>
      <c r="BA498" s="335"/>
      <c r="BB498" s="335"/>
      <c r="BC498" s="335"/>
      <c r="BD498" s="335"/>
      <c r="BE498" s="335"/>
      <c r="BF498" s="335"/>
      <c r="BG498" s="335"/>
      <c r="BH498" s="335"/>
      <c r="BI498" s="335"/>
      <c r="BJ498" s="335"/>
      <c r="BK498" s="335"/>
      <c r="BL498" s="335"/>
      <c r="BM498" s="335"/>
      <c r="BN498" s="335"/>
      <c r="BO498" s="335"/>
      <c r="BP498" s="335"/>
      <c r="BQ498" s="335"/>
      <c r="BR498" s="335"/>
      <c r="BS498" s="335"/>
      <c r="BT498" s="335"/>
      <c r="BU498" s="335"/>
      <c r="BV498" s="335"/>
      <c r="BW498" s="335"/>
      <c r="BX498" s="335"/>
      <c r="BY498" s="335"/>
      <c r="BZ498" s="335"/>
      <c r="CA498" s="335"/>
      <c r="CB498" s="335"/>
      <c r="CC498" s="335"/>
      <c r="CD498" s="335"/>
      <c r="CE498" s="335"/>
      <c r="CF498" s="335"/>
      <c r="CG498" s="335"/>
      <c r="CH498" s="335"/>
      <c r="CI498" s="335"/>
      <c r="CJ498" s="335"/>
      <c r="CK498" s="335"/>
      <c r="CL498" s="335"/>
      <c r="CM498" s="335"/>
      <c r="CN498" s="335"/>
      <c r="CO498" s="335"/>
      <c r="CP498" s="335"/>
      <c r="CQ498" s="335"/>
      <c r="CR498" s="335"/>
      <c r="CS498" s="335"/>
      <c r="CT498" s="335"/>
      <c r="CU498" s="335"/>
      <c r="CV498" s="335"/>
      <c r="CW498" s="335"/>
      <c r="CX498" s="335"/>
      <c r="CY498" s="335"/>
      <c r="CZ498" s="335"/>
      <c r="DA498" s="335"/>
      <c r="DB498" s="335"/>
      <c r="DC498" s="335"/>
      <c r="DD498" s="335"/>
      <c r="DE498" s="335"/>
      <c r="DF498" s="335"/>
      <c r="DG498" s="335"/>
      <c r="DH498" s="335"/>
      <c r="DI498" s="335"/>
      <c r="DJ498" s="335"/>
      <c r="DK498" s="335"/>
      <c r="DL498" s="335"/>
      <c r="DM498" s="335"/>
      <c r="DN498" s="335"/>
      <c r="DO498" s="335"/>
      <c r="DP498" s="335"/>
      <c r="DQ498" s="335"/>
      <c r="DR498" s="335"/>
      <c r="DS498" s="335"/>
      <c r="DT498" s="335"/>
      <c r="DU498" s="335"/>
      <c r="DV498" s="335"/>
      <c r="DW498" s="335"/>
      <c r="DX498" s="335"/>
      <c r="DY498" s="335"/>
      <c r="DZ498" s="335"/>
      <c r="EA498" s="335"/>
      <c r="EB498" s="335"/>
      <c r="EC498" s="335"/>
      <c r="ED498" s="335"/>
      <c r="EE498" s="335"/>
      <c r="EF498" s="335"/>
      <c r="EG498" s="335"/>
      <c r="EH498" s="335"/>
      <c r="EI498" s="335"/>
      <c r="EJ498" s="335"/>
      <c r="EK498" s="335"/>
      <c r="EL498" s="335"/>
      <c r="EM498" s="335"/>
      <c r="EN498" s="335"/>
      <c r="EO498" s="335"/>
      <c r="EP498" s="335"/>
      <c r="EQ498" s="335"/>
      <c r="ER498" s="335"/>
      <c r="ES498" s="335"/>
      <c r="ET498" s="335"/>
      <c r="EU498" s="335"/>
      <c r="EV498" s="335"/>
      <c r="EW498" s="335"/>
      <c r="EX498" s="335"/>
      <c r="EY498" s="335"/>
      <c r="EZ498" s="335"/>
      <c r="FA498" s="335"/>
      <c r="FB498" s="335"/>
      <c r="FC498" s="335"/>
      <c r="FD498" s="335"/>
      <c r="FE498" s="335"/>
      <c r="FF498" s="335"/>
      <c r="FG498" s="335"/>
      <c r="FH498" s="335"/>
      <c r="FI498" s="335"/>
      <c r="FJ498" s="335"/>
      <c r="FK498" s="335"/>
      <c r="FL498" s="335"/>
      <c r="FM498" s="335"/>
      <c r="FN498" s="335"/>
      <c r="FO498" s="335"/>
      <c r="FP498" s="335"/>
      <c r="FQ498" s="335"/>
      <c r="FR498" s="335"/>
      <c r="FS498" s="335"/>
      <c r="FT498" s="335"/>
      <c r="FU498" s="335"/>
      <c r="FV498" s="335"/>
      <c r="FW498" s="335"/>
      <c r="FX498" s="335"/>
      <c r="FY498" s="335"/>
      <c r="FZ498" s="335"/>
      <c r="GA498" s="335"/>
      <c r="GB498" s="335"/>
      <c r="GC498" s="335"/>
      <c r="GD498" s="335"/>
      <c r="GE498" s="335"/>
      <c r="GF498" s="335"/>
      <c r="GG498" s="335"/>
      <c r="GH498" s="335"/>
      <c r="GI498" s="335"/>
      <c r="GJ498" s="335"/>
      <c r="GK498" s="335"/>
      <c r="GL498" s="335"/>
      <c r="GM498" s="335"/>
      <c r="GN498" s="335"/>
      <c r="GO498" s="335"/>
      <c r="GP498" s="335"/>
      <c r="GQ498" s="335"/>
      <c r="GR498" s="335"/>
      <c r="GS498" s="335"/>
      <c r="GT498" s="335"/>
      <c r="GU498" s="335"/>
      <c r="GV498" s="335"/>
      <c r="GW498" s="335"/>
      <c r="GX498" s="335"/>
      <c r="GY498" s="335"/>
      <c r="GZ498" s="335"/>
    </row>
    <row r="499" spans="1:208" ht="15">
      <c r="A499" s="379"/>
      <c r="B499" s="335"/>
      <c r="C499" s="335"/>
      <c r="D499" s="335"/>
      <c r="E499" s="335"/>
      <c r="F499" s="335"/>
      <c r="G499" s="335"/>
      <c r="H499" s="335"/>
      <c r="I499" s="335"/>
      <c r="J499" s="335"/>
      <c r="K499" s="335"/>
      <c r="L499" s="335"/>
      <c r="M499" s="376"/>
      <c r="N499" s="335"/>
      <c r="O499" s="380"/>
      <c r="P499" s="335"/>
      <c r="Q499" s="335"/>
      <c r="R499" s="335"/>
      <c r="S499" s="335"/>
      <c r="T499" s="335"/>
      <c r="U499" s="335"/>
      <c r="V499" s="335"/>
      <c r="W499" s="335"/>
      <c r="X499" s="335"/>
      <c r="Y499" s="335"/>
      <c r="Z499" s="335"/>
      <c r="AA499" s="335"/>
      <c r="AB499" s="335"/>
      <c r="AC499" s="335"/>
      <c r="AD499" s="335"/>
      <c r="AE499" s="335"/>
      <c r="AF499" s="335"/>
      <c r="AG499" s="335"/>
      <c r="AH499" s="335"/>
      <c r="AI499" s="335"/>
      <c r="AJ499" s="335"/>
      <c r="AK499" s="335"/>
      <c r="AL499" s="335"/>
      <c r="AM499" s="335"/>
      <c r="AN499" s="335"/>
      <c r="AO499" s="335"/>
      <c r="AP499" s="335"/>
      <c r="AQ499" s="335"/>
      <c r="AR499" s="335"/>
      <c r="AS499" s="335"/>
      <c r="AT499" s="335"/>
      <c r="AU499" s="335"/>
      <c r="AV499" s="335"/>
      <c r="AW499" s="335"/>
      <c r="AX499" s="335"/>
      <c r="AY499" s="335"/>
      <c r="AZ499" s="335"/>
      <c r="BA499" s="335"/>
      <c r="BB499" s="335"/>
      <c r="BC499" s="335"/>
      <c r="BD499" s="335"/>
      <c r="BE499" s="335"/>
      <c r="BF499" s="335"/>
      <c r="BG499" s="335"/>
      <c r="BH499" s="335"/>
      <c r="BI499" s="335"/>
      <c r="BJ499" s="335"/>
      <c r="BK499" s="335"/>
      <c r="BL499" s="335"/>
      <c r="BM499" s="335"/>
      <c r="BN499" s="335"/>
      <c r="BO499" s="335"/>
      <c r="BP499" s="335"/>
      <c r="BQ499" s="335"/>
      <c r="BR499" s="335"/>
      <c r="BS499" s="335"/>
      <c r="BT499" s="335"/>
      <c r="BU499" s="335"/>
      <c r="BV499" s="335"/>
      <c r="BW499" s="335"/>
      <c r="BX499" s="335"/>
      <c r="BY499" s="335"/>
      <c r="BZ499" s="335"/>
      <c r="CA499" s="335"/>
      <c r="CB499" s="335"/>
      <c r="CC499" s="335"/>
      <c r="CD499" s="335"/>
      <c r="CE499" s="335"/>
      <c r="CF499" s="335"/>
      <c r="CG499" s="335"/>
      <c r="CH499" s="335"/>
      <c r="CI499" s="335"/>
      <c r="CJ499" s="335"/>
      <c r="CK499" s="335"/>
      <c r="CL499" s="335"/>
      <c r="CM499" s="335"/>
      <c r="CN499" s="335"/>
      <c r="CO499" s="335"/>
      <c r="CP499" s="335"/>
      <c r="CQ499" s="335"/>
      <c r="CR499" s="335"/>
      <c r="CS499" s="335"/>
      <c r="CT499" s="335"/>
      <c r="CU499" s="335"/>
      <c r="CV499" s="335"/>
      <c r="CW499" s="335"/>
      <c r="CX499" s="335"/>
      <c r="CY499" s="335"/>
      <c r="CZ499" s="335"/>
      <c r="DA499" s="335"/>
      <c r="DB499" s="335"/>
      <c r="DC499" s="335"/>
      <c r="DD499" s="335"/>
      <c r="DE499" s="335"/>
      <c r="DF499" s="335"/>
      <c r="DG499" s="335"/>
      <c r="DH499" s="335"/>
      <c r="DI499" s="335"/>
      <c r="DJ499" s="335"/>
      <c r="DK499" s="335"/>
      <c r="DL499" s="335"/>
      <c r="DM499" s="335"/>
      <c r="DN499" s="335"/>
      <c r="DO499" s="335"/>
      <c r="DP499" s="335"/>
      <c r="DQ499" s="335"/>
      <c r="DR499" s="335"/>
      <c r="DS499" s="335"/>
      <c r="DT499" s="335"/>
      <c r="DU499" s="335"/>
      <c r="DV499" s="335"/>
      <c r="DW499" s="335"/>
      <c r="DX499" s="335"/>
      <c r="DY499" s="335"/>
      <c r="DZ499" s="335"/>
      <c r="EA499" s="335"/>
      <c r="EB499" s="335"/>
      <c r="EC499" s="335"/>
      <c r="ED499" s="335"/>
      <c r="EE499" s="335"/>
      <c r="EF499" s="335"/>
      <c r="EG499" s="335"/>
      <c r="EH499" s="335"/>
      <c r="EI499" s="335"/>
      <c r="EJ499" s="335"/>
      <c r="EK499" s="335"/>
      <c r="EL499" s="335"/>
      <c r="EM499" s="335"/>
      <c r="EN499" s="335"/>
      <c r="EO499" s="335"/>
      <c r="EP499" s="335"/>
      <c r="EQ499" s="335"/>
      <c r="ER499" s="335"/>
      <c r="ES499" s="335"/>
      <c r="ET499" s="335"/>
      <c r="EU499" s="335"/>
      <c r="EV499" s="335"/>
      <c r="EW499" s="335"/>
      <c r="EX499" s="335"/>
      <c r="EY499" s="335"/>
      <c r="EZ499" s="335"/>
      <c r="FA499" s="335"/>
      <c r="FB499" s="335"/>
      <c r="FC499" s="335"/>
      <c r="FD499" s="335"/>
      <c r="FE499" s="335"/>
      <c r="FF499" s="335"/>
      <c r="FG499" s="335"/>
      <c r="FH499" s="335"/>
      <c r="FI499" s="335"/>
      <c r="FJ499" s="335"/>
      <c r="FK499" s="335"/>
      <c r="FL499" s="335"/>
      <c r="FM499" s="335"/>
      <c r="FN499" s="335"/>
      <c r="FO499" s="335"/>
      <c r="FP499" s="335"/>
      <c r="FQ499" s="335"/>
      <c r="FR499" s="335"/>
      <c r="FS499" s="335"/>
      <c r="FT499" s="335"/>
      <c r="FU499" s="335"/>
      <c r="FV499" s="335"/>
      <c r="FW499" s="335"/>
      <c r="FX499" s="335"/>
      <c r="FY499" s="335"/>
      <c r="FZ499" s="335"/>
      <c r="GA499" s="335"/>
      <c r="GB499" s="335"/>
      <c r="GC499" s="335"/>
      <c r="GD499" s="335"/>
      <c r="GE499" s="335"/>
      <c r="GF499" s="335"/>
      <c r="GG499" s="335"/>
      <c r="GH499" s="335"/>
      <c r="GI499" s="335"/>
      <c r="GJ499" s="335"/>
      <c r="GK499" s="335"/>
      <c r="GL499" s="335"/>
      <c r="GM499" s="335"/>
      <c r="GN499" s="335"/>
      <c r="GO499" s="335"/>
      <c r="GP499" s="335"/>
      <c r="GQ499" s="335"/>
      <c r="GR499" s="335"/>
      <c r="GS499" s="335"/>
      <c r="GT499" s="335"/>
      <c r="GU499" s="335"/>
      <c r="GV499" s="335"/>
      <c r="GW499" s="335"/>
      <c r="GX499" s="335"/>
      <c r="GY499" s="335"/>
      <c r="GZ499" s="335"/>
    </row>
    <row r="500" spans="1:208" ht="15">
      <c r="A500" s="379"/>
      <c r="B500" s="335"/>
      <c r="C500" s="335"/>
      <c r="D500" s="335"/>
      <c r="E500" s="335"/>
      <c r="F500" s="335"/>
      <c r="G500" s="335"/>
      <c r="H500" s="335"/>
      <c r="I500" s="335"/>
      <c r="J500" s="335"/>
      <c r="K500" s="335"/>
      <c r="L500" s="335"/>
      <c r="M500" s="376"/>
      <c r="N500" s="335"/>
      <c r="O500" s="380"/>
      <c r="P500" s="335"/>
      <c r="Q500" s="335"/>
      <c r="R500" s="335"/>
      <c r="S500" s="335"/>
      <c r="T500" s="335"/>
      <c r="U500" s="335"/>
      <c r="V500" s="335"/>
      <c r="W500" s="335"/>
      <c r="X500" s="335"/>
      <c r="Y500" s="335"/>
      <c r="Z500" s="335"/>
      <c r="AA500" s="335"/>
      <c r="AB500" s="335"/>
      <c r="AC500" s="335"/>
      <c r="AD500" s="335"/>
      <c r="AE500" s="335"/>
      <c r="AF500" s="335"/>
      <c r="AG500" s="335"/>
      <c r="AH500" s="335"/>
      <c r="AI500" s="335"/>
      <c r="AJ500" s="335"/>
      <c r="AK500" s="335"/>
      <c r="AL500" s="335"/>
      <c r="AM500" s="335"/>
      <c r="AN500" s="335"/>
      <c r="AO500" s="335"/>
      <c r="AP500" s="335"/>
      <c r="AQ500" s="335"/>
      <c r="AR500" s="335"/>
      <c r="AS500" s="335"/>
      <c r="AT500" s="335"/>
      <c r="AU500" s="335"/>
      <c r="AV500" s="335"/>
      <c r="AW500" s="335"/>
      <c r="AX500" s="335"/>
      <c r="AY500" s="335"/>
      <c r="AZ500" s="335"/>
      <c r="BA500" s="335"/>
      <c r="BB500" s="335"/>
      <c r="BC500" s="335"/>
      <c r="BD500" s="335"/>
      <c r="BE500" s="335"/>
      <c r="BF500" s="335"/>
      <c r="BG500" s="335"/>
      <c r="BH500" s="335"/>
      <c r="BI500" s="335"/>
      <c r="BJ500" s="335"/>
      <c r="BK500" s="335"/>
      <c r="BL500" s="335"/>
      <c r="BM500" s="335"/>
      <c r="BN500" s="335"/>
      <c r="BO500" s="335"/>
      <c r="BP500" s="335"/>
      <c r="BQ500" s="335"/>
      <c r="BR500" s="335"/>
      <c r="BS500" s="335"/>
      <c r="BT500" s="335"/>
      <c r="BU500" s="335"/>
      <c r="BV500" s="335"/>
      <c r="BW500" s="335"/>
      <c r="BX500" s="335"/>
      <c r="BY500" s="335"/>
      <c r="BZ500" s="335"/>
      <c r="CA500" s="335"/>
      <c r="CB500" s="335"/>
      <c r="CC500" s="335"/>
      <c r="CD500" s="335"/>
      <c r="CE500" s="335"/>
      <c r="CF500" s="335"/>
      <c r="CG500" s="335"/>
      <c r="CH500" s="335"/>
      <c r="CI500" s="335"/>
      <c r="CJ500" s="335"/>
      <c r="CK500" s="335"/>
      <c r="CL500" s="335"/>
      <c r="CM500" s="335"/>
      <c r="CN500" s="335"/>
      <c r="CO500" s="335"/>
      <c r="CP500" s="335"/>
      <c r="CQ500" s="335"/>
      <c r="CR500" s="335"/>
      <c r="CS500" s="335"/>
      <c r="CT500" s="335"/>
      <c r="CU500" s="335"/>
      <c r="CV500" s="335"/>
      <c r="CW500" s="335"/>
      <c r="CX500" s="335"/>
      <c r="CY500" s="335"/>
      <c r="CZ500" s="335"/>
      <c r="DA500" s="335"/>
      <c r="DB500" s="335"/>
      <c r="DC500" s="335"/>
      <c r="DD500" s="335"/>
      <c r="DE500" s="335"/>
      <c r="DF500" s="335"/>
      <c r="DG500" s="335"/>
      <c r="DH500" s="335"/>
      <c r="DI500" s="335"/>
      <c r="DJ500" s="335"/>
      <c r="DK500" s="335"/>
      <c r="DL500" s="335"/>
      <c r="DM500" s="335"/>
      <c r="DN500" s="335"/>
      <c r="DO500" s="335"/>
      <c r="DP500" s="335"/>
      <c r="DQ500" s="335"/>
      <c r="DR500" s="335"/>
      <c r="DS500" s="335"/>
      <c r="DT500" s="335"/>
      <c r="DU500" s="335"/>
      <c r="DV500" s="335"/>
      <c r="DW500" s="335"/>
      <c r="DX500" s="335"/>
      <c r="DY500" s="335"/>
      <c r="DZ500" s="335"/>
      <c r="EA500" s="335"/>
      <c r="EB500" s="335"/>
      <c r="EC500" s="335"/>
      <c r="ED500" s="335"/>
      <c r="EE500" s="335"/>
      <c r="EF500" s="335"/>
      <c r="EG500" s="335"/>
      <c r="EH500" s="335"/>
      <c r="EI500" s="335"/>
      <c r="EJ500" s="335"/>
      <c r="EK500" s="335"/>
      <c r="EL500" s="335"/>
      <c r="EM500" s="335"/>
      <c r="EN500" s="335"/>
      <c r="EO500" s="335"/>
      <c r="EP500" s="335"/>
      <c r="EQ500" s="335"/>
      <c r="ER500" s="335"/>
      <c r="ES500" s="335"/>
      <c r="ET500" s="335"/>
      <c r="EU500" s="335"/>
      <c r="EV500" s="335"/>
      <c r="EW500" s="335"/>
      <c r="EX500" s="335"/>
      <c r="EY500" s="335"/>
      <c r="EZ500" s="335"/>
      <c r="FA500" s="335"/>
      <c r="FB500" s="335"/>
      <c r="FC500" s="335"/>
      <c r="FD500" s="335"/>
      <c r="FE500" s="335"/>
      <c r="FF500" s="335"/>
      <c r="FG500" s="335"/>
      <c r="FH500" s="335"/>
      <c r="FI500" s="335"/>
      <c r="FJ500" s="335"/>
      <c r="FK500" s="335"/>
      <c r="FL500" s="335"/>
      <c r="FM500" s="335"/>
      <c r="FN500" s="335"/>
      <c r="FO500" s="335"/>
      <c r="FP500" s="335"/>
      <c r="FQ500" s="335"/>
      <c r="FR500" s="335"/>
      <c r="FS500" s="335"/>
      <c r="FT500" s="335"/>
      <c r="FU500" s="335"/>
      <c r="FV500" s="335"/>
      <c r="FW500" s="335"/>
      <c r="FX500" s="335"/>
      <c r="FY500" s="335"/>
      <c r="FZ500" s="335"/>
      <c r="GA500" s="335"/>
      <c r="GB500" s="335"/>
      <c r="GC500" s="335"/>
      <c r="GD500" s="335"/>
      <c r="GE500" s="335"/>
      <c r="GF500" s="335"/>
      <c r="GG500" s="335"/>
      <c r="GH500" s="335"/>
      <c r="GI500" s="335"/>
      <c r="GJ500" s="335"/>
      <c r="GK500" s="335"/>
      <c r="GL500" s="335"/>
      <c r="GM500" s="335"/>
      <c r="GN500" s="335"/>
      <c r="GO500" s="335"/>
      <c r="GP500" s="335"/>
      <c r="GQ500" s="335"/>
      <c r="GR500" s="335"/>
      <c r="GS500" s="335"/>
      <c r="GT500" s="335"/>
      <c r="GU500" s="335"/>
      <c r="GV500" s="335"/>
      <c r="GW500" s="335"/>
      <c r="GX500" s="335"/>
      <c r="GY500" s="335"/>
      <c r="GZ500" s="335"/>
    </row>
    <row r="501" spans="1:208" ht="15">
      <c r="A501" s="379"/>
      <c r="B501" s="335"/>
      <c r="C501" s="335"/>
      <c r="D501" s="335"/>
      <c r="E501" s="335"/>
      <c r="F501" s="335"/>
      <c r="G501" s="335"/>
      <c r="H501" s="335"/>
      <c r="I501" s="335"/>
      <c r="J501" s="335"/>
      <c r="K501" s="335"/>
      <c r="L501" s="335"/>
      <c r="M501" s="376"/>
      <c r="N501" s="335"/>
      <c r="O501" s="380"/>
      <c r="P501" s="335"/>
      <c r="Q501" s="335"/>
      <c r="R501" s="335"/>
      <c r="S501" s="335"/>
      <c r="T501" s="335"/>
      <c r="U501" s="335"/>
      <c r="V501" s="335"/>
      <c r="W501" s="335"/>
      <c r="X501" s="335"/>
      <c r="Y501" s="335"/>
      <c r="Z501" s="335"/>
      <c r="AA501" s="335"/>
      <c r="AB501" s="335"/>
      <c r="AC501" s="335"/>
      <c r="AD501" s="335"/>
      <c r="AE501" s="335"/>
      <c r="AF501" s="335"/>
      <c r="AG501" s="335"/>
      <c r="AH501" s="335"/>
      <c r="AI501" s="335"/>
      <c r="AJ501" s="335"/>
      <c r="AK501" s="335"/>
      <c r="AL501" s="335"/>
      <c r="AM501" s="335"/>
      <c r="AN501" s="335"/>
      <c r="AO501" s="335"/>
      <c r="AP501" s="335"/>
      <c r="AQ501" s="335"/>
      <c r="AR501" s="335"/>
      <c r="AS501" s="335"/>
      <c r="AT501" s="335"/>
      <c r="AU501" s="335"/>
      <c r="AV501" s="335"/>
      <c r="AW501" s="335"/>
      <c r="AX501" s="335"/>
      <c r="AY501" s="335"/>
      <c r="AZ501" s="335"/>
      <c r="BA501" s="335"/>
      <c r="BB501" s="335"/>
      <c r="BC501" s="335"/>
      <c r="BD501" s="335"/>
      <c r="BE501" s="335"/>
      <c r="BF501" s="335"/>
      <c r="BG501" s="335"/>
      <c r="BH501" s="335"/>
      <c r="BI501" s="335"/>
      <c r="BJ501" s="335"/>
      <c r="BK501" s="335"/>
      <c r="BL501" s="335"/>
      <c r="BM501" s="335"/>
      <c r="BN501" s="335"/>
      <c r="BO501" s="335"/>
      <c r="BP501" s="335"/>
      <c r="BQ501" s="335"/>
      <c r="BR501" s="335"/>
      <c r="BS501" s="335"/>
      <c r="BT501" s="335"/>
      <c r="BU501" s="335"/>
      <c r="BV501" s="335"/>
      <c r="BW501" s="335"/>
      <c r="BX501" s="335"/>
      <c r="BY501" s="335"/>
      <c r="BZ501" s="335"/>
      <c r="CA501" s="335"/>
      <c r="CB501" s="335"/>
      <c r="CC501" s="335"/>
      <c r="CD501" s="335"/>
      <c r="CE501" s="335"/>
      <c r="CF501" s="335"/>
      <c r="CG501" s="335"/>
      <c r="CH501" s="335"/>
      <c r="CI501" s="335"/>
      <c r="CJ501" s="335"/>
      <c r="CK501" s="335"/>
      <c r="CL501" s="335"/>
      <c r="CM501" s="335"/>
      <c r="CN501" s="335"/>
      <c r="CO501" s="335"/>
      <c r="CP501" s="335"/>
      <c r="CQ501" s="335"/>
      <c r="CR501" s="335"/>
      <c r="CS501" s="335"/>
      <c r="CT501" s="335"/>
      <c r="CU501" s="335"/>
      <c r="CV501" s="335"/>
      <c r="CW501" s="335"/>
      <c r="CX501" s="335"/>
      <c r="CY501" s="335"/>
      <c r="CZ501" s="335"/>
      <c r="DA501" s="335"/>
      <c r="DB501" s="335"/>
      <c r="DC501" s="335"/>
      <c r="DD501" s="335"/>
      <c r="DE501" s="335"/>
      <c r="DF501" s="335"/>
      <c r="DG501" s="335"/>
      <c r="DH501" s="335"/>
      <c r="DI501" s="335"/>
      <c r="DJ501" s="335"/>
      <c r="DK501" s="335"/>
      <c r="DL501" s="335"/>
      <c r="DM501" s="335"/>
      <c r="DN501" s="335"/>
      <c r="DO501" s="335"/>
      <c r="DP501" s="335"/>
      <c r="DQ501" s="335"/>
      <c r="DR501" s="335"/>
      <c r="DS501" s="335"/>
      <c r="DT501" s="335"/>
      <c r="DU501" s="335"/>
      <c r="DV501" s="335"/>
      <c r="DW501" s="335"/>
      <c r="DX501" s="335"/>
      <c r="DY501" s="335"/>
      <c r="DZ501" s="335"/>
      <c r="EA501" s="335"/>
      <c r="EB501" s="335"/>
      <c r="EC501" s="335"/>
      <c r="ED501" s="335"/>
      <c r="EE501" s="335"/>
      <c r="EF501" s="335"/>
      <c r="EG501" s="335"/>
      <c r="EH501" s="335"/>
      <c r="EI501" s="335"/>
      <c r="EJ501" s="335"/>
      <c r="EK501" s="335"/>
      <c r="EL501" s="335"/>
      <c r="EM501" s="335"/>
      <c r="EN501" s="335"/>
      <c r="EO501" s="335"/>
      <c r="EP501" s="335"/>
      <c r="EQ501" s="335"/>
      <c r="ER501" s="335"/>
      <c r="ES501" s="335"/>
      <c r="ET501" s="335"/>
      <c r="EU501" s="335"/>
      <c r="EV501" s="335"/>
      <c r="EW501" s="335"/>
      <c r="EX501" s="335"/>
      <c r="EY501" s="335"/>
      <c r="EZ501" s="335"/>
      <c r="FA501" s="335"/>
      <c r="FB501" s="335"/>
      <c r="FC501" s="335"/>
      <c r="FD501" s="335"/>
      <c r="FE501" s="335"/>
      <c r="FF501" s="335"/>
      <c r="FG501" s="335"/>
      <c r="FH501" s="335"/>
      <c r="FI501" s="335"/>
      <c r="FJ501" s="335"/>
      <c r="FK501" s="335"/>
      <c r="FL501" s="335"/>
      <c r="FM501" s="335"/>
      <c r="FN501" s="335"/>
      <c r="FO501" s="335"/>
      <c r="FP501" s="335"/>
      <c r="FQ501" s="335"/>
      <c r="FR501" s="335"/>
      <c r="FS501" s="335"/>
      <c r="FT501" s="335"/>
      <c r="FU501" s="335"/>
      <c r="FV501" s="335"/>
      <c r="FW501" s="335"/>
      <c r="FX501" s="335"/>
      <c r="FY501" s="335"/>
      <c r="FZ501" s="335"/>
      <c r="GA501" s="335"/>
      <c r="GB501" s="335"/>
      <c r="GC501" s="335"/>
      <c r="GD501" s="335"/>
      <c r="GE501" s="335"/>
      <c r="GF501" s="335"/>
      <c r="GG501" s="335"/>
      <c r="GH501" s="335"/>
      <c r="GI501" s="335"/>
      <c r="GJ501" s="335"/>
      <c r="GK501" s="335"/>
      <c r="GL501" s="335"/>
      <c r="GM501" s="335"/>
      <c r="GN501" s="335"/>
      <c r="GO501" s="335"/>
      <c r="GP501" s="335"/>
      <c r="GQ501" s="335"/>
      <c r="GR501" s="335"/>
      <c r="GS501" s="335"/>
      <c r="GT501" s="335"/>
      <c r="GU501" s="335"/>
      <c r="GV501" s="335"/>
      <c r="GW501" s="335"/>
      <c r="GX501" s="335"/>
      <c r="GY501" s="335"/>
      <c r="GZ501" s="335"/>
    </row>
    <row r="502" spans="1:208" ht="15">
      <c r="A502" s="379"/>
      <c r="B502" s="335"/>
      <c r="C502" s="335"/>
      <c r="D502" s="335"/>
      <c r="E502" s="335"/>
      <c r="F502" s="335"/>
      <c r="G502" s="335"/>
      <c r="H502" s="335"/>
      <c r="I502" s="335"/>
      <c r="J502" s="335"/>
      <c r="K502" s="335"/>
      <c r="L502" s="335"/>
      <c r="M502" s="376"/>
      <c r="N502" s="335"/>
      <c r="O502" s="380"/>
      <c r="P502" s="335"/>
      <c r="Q502" s="335"/>
      <c r="R502" s="335"/>
      <c r="S502" s="335"/>
      <c r="T502" s="335"/>
      <c r="U502" s="335"/>
      <c r="V502" s="335"/>
      <c r="W502" s="335"/>
      <c r="X502" s="335"/>
      <c r="Y502" s="335"/>
      <c r="Z502" s="335"/>
      <c r="AA502" s="335"/>
      <c r="AB502" s="335"/>
      <c r="AC502" s="335"/>
      <c r="AD502" s="335"/>
      <c r="AE502" s="335"/>
      <c r="AF502" s="335"/>
      <c r="AG502" s="335"/>
      <c r="AH502" s="335"/>
      <c r="AI502" s="335"/>
      <c r="AJ502" s="335"/>
      <c r="AK502" s="335"/>
      <c r="AL502" s="335"/>
      <c r="AM502" s="335"/>
      <c r="AN502" s="335"/>
      <c r="AO502" s="335"/>
      <c r="AP502" s="335"/>
      <c r="AQ502" s="335"/>
      <c r="AR502" s="335"/>
      <c r="AS502" s="335"/>
      <c r="AT502" s="335"/>
      <c r="AU502" s="335"/>
      <c r="AV502" s="335"/>
      <c r="AW502" s="335"/>
      <c r="AX502" s="335"/>
      <c r="AY502" s="335"/>
      <c r="AZ502" s="335"/>
      <c r="BA502" s="335"/>
      <c r="BB502" s="335"/>
      <c r="BC502" s="335"/>
      <c r="BD502" s="335"/>
      <c r="BE502" s="335"/>
      <c r="BF502" s="335"/>
      <c r="BG502" s="335"/>
      <c r="BH502" s="335"/>
      <c r="BI502" s="335"/>
      <c r="BJ502" s="335"/>
      <c r="BK502" s="335"/>
      <c r="BL502" s="335"/>
      <c r="BM502" s="335"/>
      <c r="BN502" s="335"/>
      <c r="BO502" s="335"/>
      <c r="BP502" s="335"/>
      <c r="BQ502" s="335"/>
      <c r="BR502" s="335"/>
      <c r="BS502" s="335"/>
      <c r="BT502" s="335"/>
      <c r="BU502" s="335"/>
      <c r="BV502" s="335"/>
      <c r="BW502" s="335"/>
      <c r="BX502" s="335"/>
      <c r="BY502" s="335"/>
      <c r="BZ502" s="335"/>
      <c r="CA502" s="335"/>
      <c r="CB502" s="335"/>
      <c r="CC502" s="335"/>
      <c r="CD502" s="335"/>
      <c r="CE502" s="335"/>
      <c r="CF502" s="335"/>
      <c r="CG502" s="335"/>
      <c r="CH502" s="335"/>
      <c r="CI502" s="335"/>
      <c r="CJ502" s="335"/>
      <c r="CK502" s="335"/>
      <c r="CL502" s="335"/>
      <c r="CM502" s="335"/>
      <c r="CN502" s="335"/>
      <c r="CO502" s="335"/>
      <c r="CP502" s="335"/>
      <c r="CQ502" s="335"/>
      <c r="CR502" s="335"/>
      <c r="CS502" s="335"/>
      <c r="CT502" s="335"/>
      <c r="CU502" s="335"/>
      <c r="CV502" s="335"/>
      <c r="CW502" s="335"/>
      <c r="CX502" s="335"/>
      <c r="CY502" s="335"/>
      <c r="CZ502" s="335"/>
      <c r="DA502" s="335"/>
      <c r="DB502" s="335"/>
      <c r="DC502" s="335"/>
      <c r="DD502" s="335"/>
      <c r="DE502" s="335"/>
      <c r="DF502" s="335"/>
      <c r="DG502" s="335"/>
      <c r="DH502" s="335"/>
      <c r="DI502" s="335"/>
      <c r="DJ502" s="335"/>
      <c r="DK502" s="335"/>
      <c r="DL502" s="335"/>
      <c r="DM502" s="335"/>
      <c r="DN502" s="335"/>
      <c r="DO502" s="335"/>
      <c r="DP502" s="335"/>
      <c r="DQ502" s="335"/>
      <c r="DR502" s="335"/>
      <c r="DS502" s="335"/>
      <c r="DT502" s="335"/>
      <c r="DU502" s="335"/>
      <c r="DV502" s="335"/>
      <c r="DW502" s="335"/>
      <c r="DX502" s="335"/>
      <c r="DY502" s="335"/>
      <c r="DZ502" s="335"/>
      <c r="EA502" s="335"/>
      <c r="EB502" s="335"/>
      <c r="EC502" s="335"/>
      <c r="ED502" s="335"/>
      <c r="EE502" s="335"/>
      <c r="EF502" s="335"/>
      <c r="EG502" s="335"/>
      <c r="EH502" s="335"/>
      <c r="EI502" s="335"/>
      <c r="EJ502" s="335"/>
      <c r="EK502" s="335"/>
      <c r="EL502" s="335"/>
      <c r="EM502" s="335"/>
      <c r="EN502" s="335"/>
      <c r="EO502" s="335"/>
      <c r="EP502" s="335"/>
      <c r="EQ502" s="335"/>
      <c r="ER502" s="335"/>
      <c r="ES502" s="335"/>
      <c r="ET502" s="335"/>
      <c r="EU502" s="335"/>
      <c r="EV502" s="335"/>
      <c r="EW502" s="335"/>
      <c r="EX502" s="335"/>
      <c r="EY502" s="335"/>
      <c r="EZ502" s="335"/>
      <c r="FA502" s="335"/>
      <c r="FB502" s="335"/>
      <c r="FC502" s="335"/>
      <c r="FD502" s="335"/>
      <c r="FE502" s="335"/>
      <c r="FF502" s="335"/>
      <c r="FG502" s="335"/>
      <c r="FH502" s="335"/>
      <c r="FI502" s="335"/>
      <c r="FJ502" s="335"/>
      <c r="FK502" s="335"/>
      <c r="FL502" s="335"/>
      <c r="FM502" s="335"/>
      <c r="FN502" s="335"/>
      <c r="FO502" s="335"/>
      <c r="FP502" s="335"/>
      <c r="FQ502" s="335"/>
      <c r="FR502" s="335"/>
      <c r="FS502" s="335"/>
      <c r="FT502" s="335"/>
      <c r="FU502" s="335"/>
      <c r="FV502" s="335"/>
      <c r="FW502" s="335"/>
      <c r="FX502" s="335"/>
      <c r="FY502" s="335"/>
      <c r="FZ502" s="335"/>
      <c r="GA502" s="335"/>
      <c r="GB502" s="335"/>
      <c r="GC502" s="335"/>
      <c r="GD502" s="335"/>
      <c r="GE502" s="335"/>
      <c r="GF502" s="335"/>
      <c r="GG502" s="335"/>
      <c r="GH502" s="335"/>
      <c r="GI502" s="335"/>
      <c r="GJ502" s="335"/>
      <c r="GK502" s="335"/>
      <c r="GL502" s="335"/>
      <c r="GM502" s="335"/>
      <c r="GN502" s="335"/>
      <c r="GO502" s="335"/>
      <c r="GP502" s="335"/>
      <c r="GQ502" s="335"/>
      <c r="GR502" s="335"/>
      <c r="GS502" s="335"/>
      <c r="GT502" s="335"/>
      <c r="GU502" s="335"/>
      <c r="GV502" s="335"/>
      <c r="GW502" s="335"/>
      <c r="GX502" s="335"/>
      <c r="GY502" s="335"/>
      <c r="GZ502" s="335"/>
    </row>
    <row r="503" spans="1:208" ht="15">
      <c r="A503" s="379"/>
      <c r="B503" s="335"/>
      <c r="C503" s="335"/>
      <c r="D503" s="335"/>
      <c r="E503" s="335"/>
      <c r="F503" s="335"/>
      <c r="G503" s="335"/>
      <c r="H503" s="335"/>
      <c r="I503" s="335"/>
      <c r="J503" s="335"/>
      <c r="K503" s="335"/>
      <c r="L503" s="335"/>
      <c r="M503" s="376"/>
      <c r="N503" s="335"/>
      <c r="O503" s="380"/>
      <c r="P503" s="335"/>
      <c r="Q503" s="335"/>
      <c r="R503" s="335"/>
      <c r="S503" s="335"/>
      <c r="T503" s="335"/>
      <c r="U503" s="335"/>
      <c r="V503" s="335"/>
      <c r="W503" s="335"/>
      <c r="X503" s="335"/>
      <c r="Y503" s="335"/>
      <c r="Z503" s="335"/>
      <c r="AA503" s="335"/>
      <c r="AB503" s="335"/>
      <c r="AC503" s="335"/>
      <c r="AD503" s="335"/>
      <c r="AE503" s="335"/>
      <c r="AF503" s="335"/>
      <c r="AG503" s="335"/>
      <c r="AH503" s="335"/>
      <c r="AI503" s="335"/>
      <c r="AJ503" s="335"/>
      <c r="AK503" s="335"/>
      <c r="AL503" s="335"/>
      <c r="AM503" s="335"/>
      <c r="AN503" s="335"/>
      <c r="AO503" s="335"/>
      <c r="AP503" s="335"/>
      <c r="AQ503" s="335"/>
      <c r="AR503" s="335"/>
      <c r="AS503" s="335"/>
      <c r="AT503" s="335"/>
      <c r="AU503" s="335"/>
      <c r="AV503" s="335"/>
      <c r="AW503" s="335"/>
      <c r="AX503" s="335"/>
      <c r="AY503" s="335"/>
      <c r="AZ503" s="335"/>
      <c r="BA503" s="335"/>
      <c r="BB503" s="335"/>
      <c r="BC503" s="335"/>
      <c r="BD503" s="335"/>
      <c r="BE503" s="335"/>
      <c r="BF503" s="335"/>
      <c r="BG503" s="335"/>
      <c r="BH503" s="335"/>
      <c r="BI503" s="335"/>
      <c r="BJ503" s="335"/>
      <c r="BK503" s="335"/>
      <c r="BL503" s="335"/>
      <c r="BM503" s="335"/>
      <c r="BN503" s="335"/>
      <c r="BO503" s="335"/>
      <c r="BP503" s="335"/>
      <c r="BQ503" s="335"/>
      <c r="BR503" s="335"/>
      <c r="BS503" s="335"/>
      <c r="BT503" s="335"/>
      <c r="BU503" s="335"/>
      <c r="BV503" s="335"/>
      <c r="BW503" s="335"/>
      <c r="BX503" s="335"/>
      <c r="BY503" s="335"/>
      <c r="BZ503" s="335"/>
      <c r="CA503" s="335"/>
      <c r="CB503" s="335"/>
      <c r="CC503" s="335"/>
      <c r="CD503" s="335"/>
      <c r="CE503" s="335"/>
      <c r="CF503" s="335"/>
      <c r="CG503" s="335"/>
      <c r="CH503" s="335"/>
      <c r="CI503" s="335"/>
      <c r="CJ503" s="335"/>
      <c r="CK503" s="335"/>
      <c r="CL503" s="335"/>
      <c r="CM503" s="335"/>
      <c r="CN503" s="335"/>
      <c r="CO503" s="335"/>
      <c r="CP503" s="335"/>
      <c r="CQ503" s="335"/>
      <c r="CR503" s="335"/>
      <c r="CS503" s="335"/>
      <c r="CT503" s="335"/>
      <c r="CU503" s="335"/>
      <c r="CV503" s="335"/>
      <c r="CW503" s="335"/>
      <c r="CX503" s="335"/>
      <c r="CY503" s="335"/>
      <c r="CZ503" s="335"/>
      <c r="DA503" s="335"/>
      <c r="DB503" s="335"/>
      <c r="DC503" s="335"/>
      <c r="DD503" s="335"/>
      <c r="DE503" s="335"/>
      <c r="DF503" s="335"/>
      <c r="DG503" s="335"/>
      <c r="DH503" s="335"/>
      <c r="DI503" s="335"/>
      <c r="DJ503" s="335"/>
      <c r="DK503" s="335"/>
      <c r="DL503" s="335"/>
      <c r="DM503" s="335"/>
      <c r="DN503" s="335"/>
      <c r="DO503" s="335"/>
      <c r="DP503" s="335"/>
      <c r="DQ503" s="335"/>
      <c r="DR503" s="335"/>
      <c r="DS503" s="335"/>
      <c r="DT503" s="335"/>
      <c r="DU503" s="335"/>
      <c r="DV503" s="335"/>
      <c r="DW503" s="335"/>
      <c r="DX503" s="335"/>
      <c r="DY503" s="335"/>
      <c r="DZ503" s="335"/>
      <c r="EA503" s="335"/>
      <c r="EB503" s="335"/>
      <c r="EC503" s="335"/>
      <c r="ED503" s="335"/>
      <c r="EE503" s="335"/>
      <c r="EF503" s="335"/>
      <c r="EG503" s="335"/>
      <c r="EH503" s="335"/>
      <c r="EI503" s="335"/>
      <c r="EJ503" s="335"/>
      <c r="EK503" s="335"/>
      <c r="EL503" s="335"/>
      <c r="EM503" s="335"/>
      <c r="EN503" s="335"/>
      <c r="EO503" s="335"/>
      <c r="EP503" s="335"/>
      <c r="EQ503" s="335"/>
      <c r="ER503" s="335"/>
      <c r="ES503" s="335"/>
      <c r="ET503" s="335"/>
      <c r="EU503" s="335"/>
      <c r="EV503" s="335"/>
      <c r="EW503" s="335"/>
      <c r="EX503" s="335"/>
      <c r="EY503" s="335"/>
      <c r="EZ503" s="335"/>
      <c r="FA503" s="335"/>
      <c r="FB503" s="335"/>
      <c r="FC503" s="335"/>
      <c r="FD503" s="335"/>
      <c r="FE503" s="335"/>
      <c r="FF503" s="335"/>
      <c r="FG503" s="335"/>
      <c r="FH503" s="335"/>
      <c r="FI503" s="335"/>
      <c r="FJ503" s="335"/>
      <c r="FK503" s="335"/>
      <c r="FL503" s="335"/>
      <c r="FM503" s="335"/>
      <c r="FN503" s="335"/>
      <c r="FO503" s="335"/>
      <c r="FP503" s="335"/>
      <c r="FQ503" s="335"/>
      <c r="FR503" s="335"/>
      <c r="FS503" s="335"/>
      <c r="FT503" s="335"/>
      <c r="FU503" s="335"/>
      <c r="FV503" s="335"/>
      <c r="FW503" s="335"/>
      <c r="FX503" s="335"/>
      <c r="FY503" s="335"/>
      <c r="FZ503" s="335"/>
      <c r="GA503" s="335"/>
      <c r="GB503" s="335"/>
      <c r="GC503" s="335"/>
      <c r="GD503" s="335"/>
      <c r="GE503" s="335"/>
      <c r="GF503" s="335"/>
      <c r="GG503" s="335"/>
      <c r="GH503" s="335"/>
      <c r="GI503" s="335"/>
      <c r="GJ503" s="335"/>
      <c r="GK503" s="335"/>
      <c r="GL503" s="335"/>
      <c r="GM503" s="335"/>
      <c r="GN503" s="335"/>
      <c r="GO503" s="335"/>
      <c r="GP503" s="335"/>
      <c r="GQ503" s="335"/>
      <c r="GR503" s="335"/>
      <c r="GS503" s="335"/>
      <c r="GT503" s="335"/>
      <c r="GU503" s="335"/>
      <c r="GV503" s="335"/>
      <c r="GW503" s="335"/>
      <c r="GX503" s="335"/>
      <c r="GY503" s="335"/>
      <c r="GZ503" s="335"/>
    </row>
    <row r="504" spans="1:208" ht="15">
      <c r="A504" s="379"/>
      <c r="B504" s="335"/>
      <c r="C504" s="335"/>
      <c r="D504" s="335"/>
      <c r="E504" s="335"/>
      <c r="F504" s="335"/>
      <c r="G504" s="335"/>
      <c r="H504" s="335"/>
      <c r="I504" s="335"/>
      <c r="J504" s="335"/>
      <c r="K504" s="335"/>
      <c r="L504" s="335"/>
      <c r="M504" s="376"/>
      <c r="N504" s="335"/>
      <c r="O504" s="380"/>
      <c r="P504" s="335"/>
      <c r="Q504" s="335"/>
      <c r="R504" s="335"/>
      <c r="S504" s="335"/>
      <c r="T504" s="335"/>
      <c r="U504" s="335"/>
      <c r="V504" s="335"/>
      <c r="W504" s="335"/>
      <c r="X504" s="335"/>
      <c r="Y504" s="335"/>
      <c r="Z504" s="335"/>
      <c r="AA504" s="335"/>
      <c r="AB504" s="335"/>
      <c r="AC504" s="335"/>
      <c r="AD504" s="335"/>
      <c r="AE504" s="335"/>
      <c r="AF504" s="335"/>
      <c r="AG504" s="335"/>
      <c r="AH504" s="335"/>
      <c r="AI504" s="335"/>
      <c r="AJ504" s="335"/>
      <c r="AK504" s="335"/>
      <c r="AL504" s="335"/>
      <c r="AM504" s="335"/>
      <c r="AN504" s="335"/>
      <c r="AO504" s="335"/>
      <c r="AP504" s="335"/>
      <c r="AQ504" s="335"/>
      <c r="AR504" s="335"/>
      <c r="AS504" s="335"/>
      <c r="AT504" s="335"/>
      <c r="AU504" s="335"/>
      <c r="AV504" s="335"/>
      <c r="AW504" s="335"/>
      <c r="AX504" s="335"/>
      <c r="AY504" s="335"/>
      <c r="AZ504" s="335"/>
      <c r="BA504" s="335"/>
      <c r="BB504" s="335"/>
      <c r="BC504" s="335"/>
      <c r="BD504" s="335"/>
      <c r="BE504" s="335"/>
      <c r="BF504" s="335"/>
      <c r="BG504" s="335"/>
      <c r="BH504" s="335"/>
      <c r="BI504" s="335"/>
      <c r="BJ504" s="335"/>
      <c r="BK504" s="335"/>
      <c r="BL504" s="335"/>
      <c r="BM504" s="335"/>
      <c r="BN504" s="335"/>
      <c r="BO504" s="335"/>
      <c r="BP504" s="335"/>
      <c r="BQ504" s="335"/>
      <c r="BR504" s="335"/>
      <c r="BS504" s="335"/>
      <c r="BT504" s="335"/>
      <c r="BU504" s="335"/>
      <c r="BV504" s="335"/>
      <c r="BW504" s="335"/>
      <c r="BX504" s="335"/>
      <c r="BY504" s="335"/>
      <c r="BZ504" s="335"/>
      <c r="CA504" s="335"/>
      <c r="CB504" s="335"/>
      <c r="CC504" s="335"/>
      <c r="CD504" s="335"/>
      <c r="CE504" s="335"/>
      <c r="CF504" s="335"/>
      <c r="CG504" s="335"/>
      <c r="CH504" s="335"/>
      <c r="CI504" s="335"/>
      <c r="CJ504" s="335"/>
      <c r="CK504" s="335"/>
      <c r="CL504" s="335"/>
      <c r="CM504" s="335"/>
      <c r="CN504" s="335"/>
      <c r="CO504" s="335"/>
      <c r="CP504" s="335"/>
      <c r="CQ504" s="335"/>
      <c r="CR504" s="335"/>
      <c r="CS504" s="335"/>
      <c r="CT504" s="335"/>
      <c r="CU504" s="335"/>
      <c r="CV504" s="335"/>
      <c r="CW504" s="335"/>
      <c r="CX504" s="335"/>
      <c r="CY504" s="335"/>
      <c r="CZ504" s="335"/>
      <c r="DA504" s="335"/>
      <c r="DB504" s="335"/>
      <c r="DC504" s="335"/>
      <c r="DD504" s="335"/>
      <c r="DE504" s="335"/>
      <c r="DF504" s="335"/>
      <c r="DG504" s="335"/>
      <c r="DH504" s="335"/>
      <c r="DI504" s="335"/>
      <c r="DJ504" s="335"/>
      <c r="DK504" s="335"/>
      <c r="DL504" s="335"/>
      <c r="DM504" s="335"/>
      <c r="DN504" s="335"/>
      <c r="DO504" s="335"/>
      <c r="DP504" s="335"/>
      <c r="DQ504" s="335"/>
      <c r="DR504" s="335"/>
      <c r="DS504" s="335"/>
      <c r="DT504" s="335"/>
      <c r="DU504" s="335"/>
      <c r="DV504" s="335"/>
      <c r="DW504" s="335"/>
      <c r="DX504" s="335"/>
      <c r="DY504" s="335"/>
      <c r="DZ504" s="335"/>
      <c r="EA504" s="335"/>
      <c r="EB504" s="335"/>
      <c r="EC504" s="335"/>
      <c r="ED504" s="335"/>
      <c r="EE504" s="335"/>
      <c r="EF504" s="335"/>
      <c r="EG504" s="335"/>
      <c r="EH504" s="335"/>
      <c r="EI504" s="335"/>
      <c r="EJ504" s="335"/>
      <c r="EK504" s="335"/>
      <c r="EL504" s="335"/>
      <c r="EM504" s="335"/>
      <c r="EN504" s="335"/>
      <c r="EO504" s="335"/>
      <c r="EP504" s="335"/>
      <c r="EQ504" s="335"/>
      <c r="ER504" s="335"/>
      <c r="ES504" s="335"/>
      <c r="ET504" s="335"/>
      <c r="EU504" s="335"/>
      <c r="EV504" s="335"/>
      <c r="EW504" s="335"/>
      <c r="EX504" s="335"/>
      <c r="EY504" s="335"/>
      <c r="EZ504" s="335"/>
      <c r="FA504" s="335"/>
      <c r="FB504" s="335"/>
      <c r="FC504" s="335"/>
      <c r="FD504" s="335"/>
      <c r="FE504" s="335"/>
      <c r="FF504" s="335"/>
      <c r="FG504" s="335"/>
      <c r="FH504" s="335"/>
      <c r="FI504" s="335"/>
      <c r="FJ504" s="335"/>
      <c r="FK504" s="335"/>
      <c r="FL504" s="335"/>
      <c r="FM504" s="335"/>
      <c r="FN504" s="335"/>
      <c r="FO504" s="335"/>
      <c r="FP504" s="335"/>
      <c r="FQ504" s="335"/>
      <c r="FR504" s="335"/>
      <c r="FS504" s="335"/>
      <c r="FT504" s="335"/>
      <c r="FU504" s="335"/>
      <c r="FV504" s="335"/>
      <c r="FW504" s="335"/>
      <c r="FX504" s="335"/>
      <c r="FY504" s="335"/>
      <c r="FZ504" s="335"/>
      <c r="GA504" s="335"/>
      <c r="GB504" s="335"/>
      <c r="GC504" s="335"/>
      <c r="GD504" s="335"/>
      <c r="GE504" s="335"/>
      <c r="GF504" s="335"/>
      <c r="GG504" s="335"/>
      <c r="GH504" s="335"/>
      <c r="GI504" s="335"/>
      <c r="GJ504" s="335"/>
      <c r="GK504" s="335"/>
      <c r="GL504" s="335"/>
      <c r="GM504" s="335"/>
      <c r="GN504" s="335"/>
      <c r="GO504" s="335"/>
      <c r="GP504" s="335"/>
      <c r="GQ504" s="335"/>
      <c r="GR504" s="335"/>
      <c r="GS504" s="335"/>
      <c r="GT504" s="335"/>
      <c r="GU504" s="335"/>
      <c r="GV504" s="335"/>
      <c r="GW504" s="335"/>
      <c r="GX504" s="335"/>
      <c r="GY504" s="335"/>
      <c r="GZ504" s="335"/>
    </row>
    <row r="505" spans="1:208" ht="15">
      <c r="A505" s="379"/>
      <c r="B505" s="335"/>
      <c r="C505" s="335"/>
      <c r="D505" s="335"/>
      <c r="E505" s="335"/>
      <c r="F505" s="335"/>
      <c r="G505" s="335"/>
      <c r="H505" s="335"/>
      <c r="I505" s="335"/>
      <c r="J505" s="335"/>
      <c r="K505" s="335"/>
      <c r="L505" s="335"/>
      <c r="M505" s="376"/>
      <c r="N505" s="335"/>
      <c r="O505" s="380"/>
      <c r="P505" s="335"/>
      <c r="Q505" s="335"/>
      <c r="R505" s="335"/>
      <c r="S505" s="335"/>
      <c r="T505" s="335"/>
      <c r="U505" s="335"/>
      <c r="V505" s="335"/>
      <c r="W505" s="335"/>
      <c r="X505" s="335"/>
      <c r="Y505" s="335"/>
      <c r="Z505" s="335"/>
      <c r="AA505" s="335"/>
      <c r="AB505" s="335"/>
      <c r="AC505" s="335"/>
      <c r="AD505" s="335"/>
      <c r="AE505" s="335"/>
      <c r="AF505" s="335"/>
      <c r="AG505" s="335"/>
      <c r="AH505" s="335"/>
      <c r="AI505" s="335"/>
      <c r="AJ505" s="335"/>
      <c r="AK505" s="335"/>
      <c r="AL505" s="335"/>
      <c r="AM505" s="335"/>
      <c r="AN505" s="335"/>
      <c r="AO505" s="335"/>
      <c r="AP505" s="335"/>
      <c r="AQ505" s="335"/>
      <c r="AR505" s="335"/>
      <c r="AS505" s="335"/>
      <c r="AT505" s="335"/>
      <c r="AU505" s="335"/>
      <c r="AV505" s="335"/>
      <c r="AW505" s="335"/>
      <c r="AX505" s="335"/>
      <c r="AY505" s="335"/>
      <c r="AZ505" s="335"/>
      <c r="BA505" s="335"/>
      <c r="BB505" s="335"/>
      <c r="BC505" s="335"/>
      <c r="BD505" s="335"/>
      <c r="BE505" s="335"/>
      <c r="BF505" s="335"/>
      <c r="BG505" s="335"/>
      <c r="BH505" s="335"/>
      <c r="BI505" s="335"/>
      <c r="BJ505" s="335"/>
      <c r="BK505" s="335"/>
      <c r="BL505" s="335"/>
      <c r="BM505" s="335"/>
      <c r="BN505" s="335"/>
      <c r="BO505" s="335"/>
      <c r="BP505" s="335"/>
      <c r="BQ505" s="335"/>
      <c r="BR505" s="335"/>
      <c r="BS505" s="335"/>
      <c r="BT505" s="335"/>
      <c r="BU505" s="335"/>
      <c r="BV505" s="335"/>
      <c r="BW505" s="335"/>
      <c r="BX505" s="335"/>
      <c r="BY505" s="335"/>
      <c r="BZ505" s="335"/>
      <c r="CA505" s="335"/>
      <c r="CB505" s="335"/>
      <c r="CC505" s="335"/>
      <c r="CD505" s="335"/>
      <c r="CE505" s="335"/>
      <c r="CF505" s="335"/>
      <c r="CG505" s="335"/>
      <c r="CH505" s="335"/>
      <c r="CI505" s="335"/>
      <c r="CJ505" s="335"/>
      <c r="CK505" s="335"/>
      <c r="CL505" s="335"/>
      <c r="CM505" s="335"/>
      <c r="CN505" s="335"/>
      <c r="CO505" s="335"/>
      <c r="CP505" s="335"/>
      <c r="CQ505" s="335"/>
      <c r="CR505" s="335"/>
      <c r="CS505" s="335"/>
      <c r="CT505" s="335"/>
      <c r="CU505" s="335"/>
      <c r="CV505" s="335"/>
      <c r="CW505" s="335"/>
      <c r="CX505" s="335"/>
      <c r="CY505" s="335"/>
      <c r="CZ505" s="335"/>
      <c r="DA505" s="335"/>
      <c r="DB505" s="335"/>
      <c r="DC505" s="335"/>
      <c r="DD505" s="335"/>
      <c r="DE505" s="335"/>
      <c r="DF505" s="335"/>
      <c r="DG505" s="335"/>
      <c r="DH505" s="335"/>
      <c r="DI505" s="335"/>
      <c r="DJ505" s="335"/>
      <c r="DK505" s="335"/>
      <c r="DL505" s="335"/>
      <c r="DM505" s="335"/>
      <c r="DN505" s="335"/>
      <c r="DO505" s="335"/>
      <c r="DP505" s="335"/>
      <c r="DQ505" s="335"/>
      <c r="DR505" s="335"/>
      <c r="DS505" s="335"/>
      <c r="DT505" s="335"/>
      <c r="DU505" s="335"/>
      <c r="DV505" s="335"/>
      <c r="DW505" s="335"/>
      <c r="DX505" s="335"/>
      <c r="DY505" s="335"/>
      <c r="DZ505" s="335"/>
      <c r="EA505" s="335"/>
      <c r="EB505" s="335"/>
      <c r="EC505" s="335"/>
      <c r="ED505" s="335"/>
      <c r="EE505" s="335"/>
      <c r="EF505" s="335"/>
      <c r="EG505" s="335"/>
      <c r="EH505" s="335"/>
      <c r="EI505" s="335"/>
      <c r="EJ505" s="335"/>
      <c r="EK505" s="335"/>
      <c r="EL505" s="335"/>
      <c r="EM505" s="335"/>
      <c r="EN505" s="335"/>
      <c r="EO505" s="335"/>
      <c r="EP505" s="335"/>
      <c r="EQ505" s="335"/>
      <c r="ER505" s="335"/>
      <c r="ES505" s="335"/>
      <c r="ET505" s="335"/>
      <c r="EU505" s="335"/>
      <c r="EV505" s="335"/>
      <c r="EW505" s="335"/>
      <c r="EX505" s="335"/>
      <c r="EY505" s="335"/>
      <c r="EZ505" s="335"/>
      <c r="FA505" s="335"/>
      <c r="FB505" s="335"/>
      <c r="FC505" s="335"/>
      <c r="FD505" s="335"/>
      <c r="FE505" s="335"/>
      <c r="FF505" s="335"/>
      <c r="FG505" s="335"/>
      <c r="FH505" s="335"/>
      <c r="FI505" s="335"/>
      <c r="FJ505" s="335"/>
      <c r="FK505" s="335"/>
      <c r="FL505" s="335"/>
      <c r="FM505" s="335"/>
      <c r="FN505" s="335"/>
      <c r="FO505" s="335"/>
      <c r="FP505" s="335"/>
      <c r="FQ505" s="335"/>
      <c r="FR505" s="335"/>
      <c r="FS505" s="335"/>
      <c r="FT505" s="335"/>
      <c r="FU505" s="335"/>
      <c r="FV505" s="335"/>
      <c r="FW505" s="335"/>
      <c r="FX505" s="335"/>
      <c r="FY505" s="335"/>
      <c r="FZ505" s="335"/>
      <c r="GA505" s="335"/>
      <c r="GB505" s="335"/>
      <c r="GC505" s="335"/>
      <c r="GD505" s="335"/>
      <c r="GE505" s="335"/>
      <c r="GF505" s="335"/>
      <c r="GG505" s="335"/>
      <c r="GH505" s="335"/>
      <c r="GI505" s="335"/>
      <c r="GJ505" s="335"/>
      <c r="GK505" s="335"/>
      <c r="GL505" s="335"/>
      <c r="GM505" s="335"/>
      <c r="GN505" s="335"/>
      <c r="GO505" s="335"/>
      <c r="GP505" s="335"/>
      <c r="GQ505" s="335"/>
      <c r="GR505" s="335"/>
      <c r="GS505" s="335"/>
      <c r="GT505" s="335"/>
      <c r="GU505" s="335"/>
      <c r="GV505" s="335"/>
      <c r="GW505" s="335"/>
      <c r="GX505" s="335"/>
      <c r="GY505" s="335"/>
      <c r="GZ505" s="335"/>
    </row>
    <row r="506" spans="1:208" ht="15">
      <c r="A506" s="379"/>
      <c r="B506" s="335"/>
      <c r="C506" s="335"/>
      <c r="D506" s="335"/>
      <c r="E506" s="335"/>
      <c r="F506" s="335"/>
      <c r="G506" s="335"/>
      <c r="H506" s="335"/>
      <c r="I506" s="335"/>
      <c r="J506" s="335"/>
      <c r="K506" s="335"/>
      <c r="L506" s="335"/>
      <c r="M506" s="376"/>
      <c r="N506" s="335"/>
      <c r="O506" s="380"/>
      <c r="P506" s="335"/>
      <c r="Q506" s="335"/>
      <c r="R506" s="335"/>
      <c r="S506" s="335"/>
      <c r="T506" s="335"/>
      <c r="U506" s="335"/>
      <c r="V506" s="335"/>
      <c r="W506" s="335"/>
      <c r="X506" s="335"/>
      <c r="Y506" s="335"/>
      <c r="Z506" s="335"/>
      <c r="AA506" s="335"/>
      <c r="AB506" s="335"/>
      <c r="AC506" s="335"/>
      <c r="AD506" s="335"/>
      <c r="AE506" s="335"/>
      <c r="AF506" s="335"/>
      <c r="AG506" s="335"/>
      <c r="AH506" s="335"/>
      <c r="AI506" s="335"/>
      <c r="AJ506" s="335"/>
      <c r="AK506" s="335"/>
      <c r="AL506" s="335"/>
      <c r="AM506" s="335"/>
      <c r="AN506" s="335"/>
      <c r="AO506" s="335"/>
      <c r="AP506" s="335"/>
      <c r="AQ506" s="335"/>
      <c r="AR506" s="335"/>
      <c r="AS506" s="335"/>
      <c r="AT506" s="335"/>
      <c r="AU506" s="335"/>
      <c r="AV506" s="335"/>
      <c r="AW506" s="335"/>
      <c r="AX506" s="335"/>
      <c r="AY506" s="335"/>
      <c r="AZ506" s="335"/>
      <c r="BA506" s="335"/>
      <c r="BB506" s="335"/>
      <c r="BC506" s="335"/>
      <c r="BD506" s="335"/>
      <c r="BE506" s="335"/>
      <c r="BF506" s="335"/>
      <c r="BG506" s="335"/>
      <c r="BH506" s="335"/>
      <c r="BI506" s="335"/>
      <c r="BJ506" s="335"/>
      <c r="BK506" s="335"/>
      <c r="BL506" s="335"/>
      <c r="BM506" s="335"/>
      <c r="BN506" s="335"/>
      <c r="BO506" s="335"/>
      <c r="BP506" s="335"/>
      <c r="BQ506" s="335"/>
      <c r="BR506" s="335"/>
      <c r="BS506" s="335"/>
      <c r="BT506" s="335"/>
      <c r="BU506" s="335"/>
      <c r="BV506" s="335"/>
      <c r="BW506" s="335"/>
      <c r="BX506" s="335"/>
      <c r="BY506" s="335"/>
      <c r="BZ506" s="335"/>
      <c r="CA506" s="335"/>
      <c r="CB506" s="335"/>
      <c r="CC506" s="335"/>
      <c r="CD506" s="335"/>
      <c r="CE506" s="335"/>
      <c r="CF506" s="335"/>
      <c r="CG506" s="335"/>
      <c r="CH506" s="335"/>
      <c r="CI506" s="335"/>
      <c r="CJ506" s="335"/>
      <c r="CK506" s="335"/>
      <c r="CL506" s="335"/>
      <c r="CM506" s="335"/>
      <c r="CN506" s="335"/>
      <c r="CO506" s="335"/>
      <c r="CP506" s="335"/>
      <c r="CQ506" s="335"/>
      <c r="CR506" s="335"/>
      <c r="CS506" s="335"/>
      <c r="CT506" s="335"/>
      <c r="CU506" s="335"/>
      <c r="CV506" s="335"/>
      <c r="CW506" s="335"/>
      <c r="CX506" s="335"/>
      <c r="CY506" s="335"/>
      <c r="CZ506" s="335"/>
      <c r="DA506" s="335"/>
      <c r="DB506" s="335"/>
      <c r="DC506" s="335"/>
      <c r="DD506" s="335"/>
      <c r="DE506" s="335"/>
      <c r="DF506" s="335"/>
      <c r="DG506" s="335"/>
      <c r="DH506" s="335"/>
      <c r="DI506" s="335"/>
      <c r="DJ506" s="335"/>
      <c r="DK506" s="335"/>
      <c r="DL506" s="335"/>
      <c r="DM506" s="335"/>
      <c r="DN506" s="335"/>
      <c r="DO506" s="335"/>
      <c r="DP506" s="335"/>
      <c r="DQ506" s="335"/>
      <c r="DR506" s="335"/>
      <c r="DS506" s="335"/>
      <c r="DT506" s="335"/>
      <c r="DU506" s="335"/>
      <c r="DV506" s="335"/>
      <c r="DW506" s="335"/>
      <c r="DX506" s="335"/>
      <c r="DY506" s="335"/>
      <c r="DZ506" s="335"/>
      <c r="EA506" s="335"/>
      <c r="EB506" s="335"/>
      <c r="EC506" s="335"/>
      <c r="ED506" s="335"/>
      <c r="EE506" s="335"/>
      <c r="EF506" s="335"/>
      <c r="EG506" s="335"/>
      <c r="EH506" s="335"/>
      <c r="EI506" s="335"/>
      <c r="EJ506" s="335"/>
      <c r="EK506" s="335"/>
      <c r="EL506" s="335"/>
      <c r="EM506" s="335"/>
      <c r="EN506" s="335"/>
      <c r="EO506" s="335"/>
      <c r="EP506" s="335"/>
      <c r="EQ506" s="335"/>
      <c r="ER506" s="335"/>
      <c r="ES506" s="335"/>
      <c r="ET506" s="335"/>
      <c r="EU506" s="335"/>
      <c r="EV506" s="335"/>
      <c r="EW506" s="335"/>
      <c r="EX506" s="335"/>
      <c r="EY506" s="335"/>
      <c r="EZ506" s="335"/>
      <c r="FA506" s="335"/>
      <c r="FB506" s="335"/>
      <c r="FC506" s="335"/>
      <c r="FD506" s="335"/>
      <c r="FE506" s="335"/>
      <c r="FF506" s="335"/>
      <c r="FG506" s="335"/>
      <c r="FH506" s="335"/>
      <c r="FI506" s="335"/>
      <c r="FJ506" s="335"/>
      <c r="FK506" s="335"/>
      <c r="FL506" s="335"/>
      <c r="FM506" s="335"/>
      <c r="FN506" s="335"/>
      <c r="FO506" s="335"/>
      <c r="FP506" s="335"/>
      <c r="FQ506" s="335"/>
      <c r="FR506" s="335"/>
      <c r="FS506" s="335"/>
      <c r="FT506" s="335"/>
      <c r="FU506" s="335"/>
      <c r="FV506" s="335"/>
      <c r="FW506" s="335"/>
      <c r="FX506" s="335"/>
      <c r="FY506" s="335"/>
      <c r="FZ506" s="335"/>
      <c r="GA506" s="335"/>
      <c r="GB506" s="335"/>
      <c r="GC506" s="335"/>
      <c r="GD506" s="335"/>
      <c r="GE506" s="335"/>
      <c r="GF506" s="335"/>
      <c r="GG506" s="335"/>
      <c r="GH506" s="335"/>
      <c r="GI506" s="335"/>
      <c r="GJ506" s="335"/>
      <c r="GK506" s="335"/>
      <c r="GL506" s="335"/>
      <c r="GM506" s="335"/>
      <c r="GN506" s="335"/>
      <c r="GO506" s="335"/>
      <c r="GP506" s="335"/>
      <c r="GQ506" s="335"/>
      <c r="GR506" s="335"/>
      <c r="GS506" s="335"/>
      <c r="GT506" s="335"/>
      <c r="GU506" s="335"/>
      <c r="GV506" s="335"/>
      <c r="GW506" s="335"/>
      <c r="GX506" s="335"/>
      <c r="GY506" s="335"/>
      <c r="GZ506" s="335"/>
    </row>
    <row r="507" spans="1:208" ht="15">
      <c r="A507" s="379"/>
      <c r="B507" s="335"/>
      <c r="C507" s="335"/>
      <c r="D507" s="335"/>
      <c r="E507" s="335"/>
      <c r="F507" s="335"/>
      <c r="G507" s="335"/>
      <c r="H507" s="335"/>
      <c r="I507" s="335"/>
      <c r="J507" s="335"/>
      <c r="K507" s="335"/>
      <c r="L507" s="335"/>
      <c r="M507" s="376"/>
      <c r="N507" s="335"/>
      <c r="O507" s="380"/>
      <c r="P507" s="335"/>
      <c r="Q507" s="335"/>
      <c r="R507" s="335"/>
      <c r="S507" s="335"/>
      <c r="T507" s="335"/>
      <c r="U507" s="335"/>
      <c r="V507" s="335"/>
      <c r="W507" s="335"/>
      <c r="X507" s="335"/>
      <c r="Y507" s="335"/>
      <c r="Z507" s="335"/>
      <c r="AA507" s="335"/>
      <c r="AB507" s="335"/>
      <c r="AC507" s="335"/>
      <c r="AD507" s="335"/>
      <c r="AE507" s="335"/>
      <c r="AF507" s="335"/>
      <c r="AG507" s="335"/>
      <c r="AH507" s="335"/>
      <c r="AI507" s="335"/>
      <c r="AJ507" s="335"/>
      <c r="AK507" s="335"/>
      <c r="AL507" s="335"/>
      <c r="AM507" s="335"/>
      <c r="AN507" s="335"/>
      <c r="AO507" s="335"/>
      <c r="AP507" s="335"/>
      <c r="AQ507" s="335"/>
      <c r="AR507" s="335"/>
      <c r="AS507" s="335"/>
      <c r="AT507" s="335"/>
      <c r="AU507" s="335"/>
      <c r="AV507" s="335"/>
      <c r="AW507" s="335"/>
      <c r="AX507" s="335"/>
      <c r="AY507" s="335"/>
      <c r="AZ507" s="335"/>
      <c r="BA507" s="335"/>
      <c r="BB507" s="335"/>
      <c r="BC507" s="335"/>
      <c r="BD507" s="335"/>
      <c r="BE507" s="335"/>
      <c r="BF507" s="335"/>
      <c r="BG507" s="335"/>
      <c r="BH507" s="335"/>
      <c r="BI507" s="335"/>
      <c r="BJ507" s="335"/>
      <c r="BK507" s="335"/>
      <c r="BL507" s="335"/>
      <c r="BM507" s="335"/>
      <c r="BN507" s="335"/>
      <c r="BO507" s="335"/>
      <c r="BP507" s="335"/>
      <c r="BQ507" s="335"/>
      <c r="BR507" s="335"/>
      <c r="BS507" s="335"/>
      <c r="BT507" s="335"/>
      <c r="BU507" s="335"/>
      <c r="BV507" s="335"/>
      <c r="BW507" s="335"/>
      <c r="BX507" s="335"/>
      <c r="BY507" s="335"/>
      <c r="BZ507" s="335"/>
      <c r="CA507" s="335"/>
      <c r="CB507" s="335"/>
      <c r="CC507" s="335"/>
      <c r="CD507" s="335"/>
      <c r="CE507" s="335"/>
      <c r="CF507" s="335"/>
      <c r="CG507" s="335"/>
      <c r="CH507" s="335"/>
      <c r="CI507" s="335"/>
      <c r="CJ507" s="335"/>
      <c r="CK507" s="335"/>
      <c r="CL507" s="335"/>
      <c r="CM507" s="335"/>
      <c r="CN507" s="335"/>
      <c r="CO507" s="335"/>
      <c r="CP507" s="335"/>
      <c r="CQ507" s="335"/>
      <c r="CR507" s="335"/>
      <c r="CS507" s="335"/>
      <c r="CT507" s="335"/>
      <c r="CU507" s="335"/>
      <c r="CV507" s="335"/>
      <c r="CW507" s="335"/>
      <c r="CX507" s="335"/>
      <c r="CY507" s="335"/>
      <c r="CZ507" s="335"/>
      <c r="DA507" s="335"/>
      <c r="DB507" s="335"/>
      <c r="DC507" s="335"/>
      <c r="DD507" s="335"/>
      <c r="DE507" s="335"/>
      <c r="DF507" s="335"/>
      <c r="DG507" s="335"/>
      <c r="DH507" s="335"/>
      <c r="DI507" s="335"/>
      <c r="DJ507" s="335"/>
      <c r="DK507" s="335"/>
      <c r="DL507" s="335"/>
      <c r="DM507" s="335"/>
      <c r="DN507" s="335"/>
      <c r="DO507" s="335"/>
      <c r="DP507" s="335"/>
      <c r="DQ507" s="335"/>
      <c r="DR507" s="335"/>
      <c r="DS507" s="335"/>
      <c r="DT507" s="335"/>
      <c r="DU507" s="335"/>
      <c r="DV507" s="335"/>
      <c r="DW507" s="335"/>
      <c r="DX507" s="335"/>
      <c r="DY507" s="335"/>
      <c r="DZ507" s="335"/>
      <c r="EA507" s="335"/>
      <c r="EB507" s="335"/>
      <c r="EC507" s="335"/>
      <c r="ED507" s="335"/>
      <c r="EE507" s="335"/>
      <c r="EF507" s="335"/>
      <c r="EG507" s="335"/>
      <c r="EH507" s="335"/>
      <c r="EI507" s="335"/>
      <c r="EJ507" s="335"/>
      <c r="EK507" s="335"/>
      <c r="EL507" s="335"/>
      <c r="EM507" s="335"/>
      <c r="EN507" s="335"/>
      <c r="EO507" s="335"/>
      <c r="EP507" s="335"/>
      <c r="EQ507" s="335"/>
      <c r="ER507" s="335"/>
      <c r="ES507" s="335"/>
      <c r="ET507" s="335"/>
      <c r="EU507" s="335"/>
      <c r="EV507" s="335"/>
      <c r="EW507" s="335"/>
      <c r="EX507" s="335"/>
      <c r="EY507" s="335"/>
      <c r="EZ507" s="335"/>
      <c r="FA507" s="335"/>
      <c r="FB507" s="335"/>
      <c r="FC507" s="335"/>
      <c r="FD507" s="335"/>
      <c r="FE507" s="335"/>
      <c r="FF507" s="335"/>
      <c r="FG507" s="335"/>
      <c r="FH507" s="335"/>
      <c r="FI507" s="335"/>
      <c r="FJ507" s="335"/>
      <c r="FK507" s="335"/>
      <c r="FL507" s="335"/>
      <c r="FM507" s="335"/>
      <c r="FN507" s="335"/>
      <c r="FO507" s="335"/>
      <c r="FP507" s="335"/>
      <c r="FQ507" s="335"/>
      <c r="FR507" s="335"/>
      <c r="FS507" s="335"/>
      <c r="FT507" s="335"/>
      <c r="FU507" s="335"/>
      <c r="FV507" s="335"/>
      <c r="FW507" s="335"/>
      <c r="FX507" s="335"/>
      <c r="FY507" s="335"/>
      <c r="FZ507" s="335"/>
      <c r="GA507" s="335"/>
      <c r="GB507" s="335"/>
      <c r="GC507" s="335"/>
      <c r="GD507" s="335"/>
      <c r="GE507" s="335"/>
      <c r="GF507" s="335"/>
      <c r="GG507" s="335"/>
      <c r="GH507" s="335"/>
      <c r="GI507" s="335"/>
      <c r="GJ507" s="335"/>
      <c r="GK507" s="335"/>
      <c r="GL507" s="335"/>
      <c r="GM507" s="335"/>
      <c r="GN507" s="335"/>
      <c r="GO507" s="335"/>
      <c r="GP507" s="335"/>
      <c r="GQ507" s="335"/>
      <c r="GR507" s="335"/>
      <c r="GS507" s="335"/>
      <c r="GT507" s="335"/>
      <c r="GU507" s="335"/>
      <c r="GV507" s="335"/>
      <c r="GW507" s="335"/>
      <c r="GX507" s="335"/>
      <c r="GY507" s="335"/>
      <c r="GZ507" s="335"/>
    </row>
    <row r="508" spans="1:208" ht="15">
      <c r="A508" s="379"/>
      <c r="B508" s="335"/>
      <c r="C508" s="335"/>
      <c r="D508" s="335"/>
      <c r="E508" s="335"/>
      <c r="F508" s="335"/>
      <c r="G508" s="335"/>
      <c r="H508" s="335"/>
      <c r="I508" s="335"/>
      <c r="J508" s="335"/>
      <c r="K508" s="335"/>
      <c r="L508" s="335"/>
      <c r="M508" s="376"/>
      <c r="N508" s="335"/>
      <c r="O508" s="380"/>
      <c r="P508" s="335"/>
      <c r="Q508" s="335"/>
      <c r="R508" s="335"/>
      <c r="S508" s="335"/>
      <c r="T508" s="335"/>
      <c r="U508" s="335"/>
      <c r="V508" s="335"/>
      <c r="W508" s="335"/>
      <c r="X508" s="335"/>
      <c r="Y508" s="335"/>
      <c r="Z508" s="335"/>
      <c r="AA508" s="335"/>
      <c r="AB508" s="335"/>
      <c r="AC508" s="335"/>
      <c r="AD508" s="335"/>
      <c r="AE508" s="335"/>
      <c r="AF508" s="335"/>
      <c r="AG508" s="335"/>
      <c r="AH508" s="335"/>
      <c r="AI508" s="335"/>
      <c r="AJ508" s="335"/>
      <c r="AK508" s="335"/>
      <c r="AL508" s="335"/>
      <c r="AM508" s="335"/>
      <c r="AN508" s="335"/>
      <c r="AO508" s="335"/>
      <c r="AP508" s="335"/>
      <c r="AQ508" s="335"/>
      <c r="AR508" s="335"/>
      <c r="AS508" s="335"/>
      <c r="AT508" s="335"/>
      <c r="AU508" s="335"/>
      <c r="AV508" s="335"/>
      <c r="AW508" s="335"/>
      <c r="AX508" s="335"/>
      <c r="AY508" s="335"/>
      <c r="AZ508" s="335"/>
      <c r="BA508" s="335"/>
      <c r="BB508" s="335"/>
      <c r="BC508" s="335"/>
      <c r="BD508" s="335"/>
      <c r="BE508" s="335"/>
      <c r="BF508" s="335"/>
      <c r="BG508" s="335"/>
      <c r="BH508" s="335"/>
      <c r="BI508" s="335"/>
      <c r="BJ508" s="335"/>
      <c r="BK508" s="335"/>
      <c r="BL508" s="335"/>
      <c r="BM508" s="335"/>
      <c r="BN508" s="335"/>
      <c r="BO508" s="335"/>
      <c r="BP508" s="335"/>
      <c r="BQ508" s="335"/>
      <c r="BR508" s="335"/>
      <c r="BS508" s="335"/>
      <c r="BT508" s="335"/>
      <c r="BU508" s="335"/>
      <c r="BV508" s="335"/>
      <c r="BW508" s="335"/>
      <c r="BX508" s="335"/>
      <c r="BY508" s="335"/>
      <c r="BZ508" s="335"/>
      <c r="CA508" s="335"/>
      <c r="CB508" s="335"/>
      <c r="CC508" s="335"/>
      <c r="CD508" s="335"/>
      <c r="CE508" s="335"/>
      <c r="CF508" s="335"/>
      <c r="CG508" s="335"/>
      <c r="CH508" s="335"/>
      <c r="CI508" s="335"/>
      <c r="CJ508" s="335"/>
      <c r="CK508" s="335"/>
      <c r="CL508" s="335"/>
      <c r="CM508" s="335"/>
      <c r="CN508" s="335"/>
      <c r="CO508" s="335"/>
      <c r="CP508" s="335"/>
      <c r="CQ508" s="335"/>
      <c r="CR508" s="335"/>
      <c r="CS508" s="335"/>
      <c r="CT508" s="335"/>
      <c r="CU508" s="335"/>
      <c r="CV508" s="335"/>
      <c r="CW508" s="335"/>
      <c r="CX508" s="335"/>
      <c r="CY508" s="335"/>
      <c r="CZ508" s="335"/>
      <c r="DA508" s="335"/>
      <c r="DB508" s="335"/>
      <c r="DC508" s="335"/>
      <c r="DD508" s="335"/>
      <c r="DE508" s="335"/>
      <c r="DF508" s="335"/>
      <c r="DG508" s="335"/>
      <c r="DH508" s="335"/>
      <c r="DI508" s="335"/>
      <c r="DJ508" s="335"/>
      <c r="DK508" s="335"/>
      <c r="DL508" s="335"/>
      <c r="DM508" s="335"/>
      <c r="DN508" s="335"/>
      <c r="DO508" s="335"/>
      <c r="DP508" s="335"/>
      <c r="DQ508" s="335"/>
      <c r="DR508" s="335"/>
      <c r="DS508" s="335"/>
      <c r="DT508" s="335"/>
      <c r="DU508" s="335"/>
      <c r="DV508" s="335"/>
      <c r="DW508" s="335"/>
      <c r="DX508" s="335"/>
      <c r="DY508" s="335"/>
      <c r="DZ508" s="335"/>
      <c r="EA508" s="335"/>
      <c r="EB508" s="335"/>
      <c r="EC508" s="335"/>
      <c r="ED508" s="335"/>
      <c r="EE508" s="335"/>
      <c r="EF508" s="335"/>
      <c r="EG508" s="335"/>
      <c r="EH508" s="335"/>
      <c r="EI508" s="335"/>
      <c r="EJ508" s="335"/>
      <c r="EK508" s="335"/>
      <c r="EL508" s="335"/>
      <c r="EM508" s="335"/>
      <c r="EN508" s="335"/>
      <c r="EO508" s="335"/>
      <c r="EP508" s="335"/>
      <c r="EQ508" s="335"/>
      <c r="ER508" s="335"/>
      <c r="ES508" s="335"/>
      <c r="ET508" s="335"/>
      <c r="EU508" s="335"/>
      <c r="EV508" s="335"/>
      <c r="EW508" s="335"/>
      <c r="EX508" s="335"/>
      <c r="EY508" s="335"/>
      <c r="EZ508" s="335"/>
      <c r="FA508" s="335"/>
      <c r="FB508" s="335"/>
      <c r="FC508" s="335"/>
      <c r="FD508" s="335"/>
      <c r="FE508" s="335"/>
      <c r="FF508" s="335"/>
      <c r="FG508" s="335"/>
      <c r="FH508" s="335"/>
      <c r="FI508" s="335"/>
      <c r="FJ508" s="335"/>
      <c r="FK508" s="335"/>
      <c r="FL508" s="335"/>
      <c r="FM508" s="335"/>
      <c r="FN508" s="335"/>
      <c r="FO508" s="335"/>
      <c r="FP508" s="335"/>
      <c r="FQ508" s="335"/>
      <c r="FR508" s="335"/>
      <c r="FS508" s="335"/>
      <c r="FT508" s="335"/>
      <c r="FU508" s="335"/>
      <c r="FV508" s="335"/>
      <c r="FW508" s="335"/>
      <c r="FX508" s="335"/>
      <c r="FY508" s="335"/>
      <c r="FZ508" s="335"/>
      <c r="GA508" s="335"/>
      <c r="GB508" s="335"/>
      <c r="GC508" s="335"/>
      <c r="GD508" s="335"/>
      <c r="GE508" s="335"/>
      <c r="GF508" s="335"/>
      <c r="GG508" s="335"/>
      <c r="GH508" s="335"/>
      <c r="GI508" s="335"/>
      <c r="GJ508" s="335"/>
      <c r="GK508" s="335"/>
      <c r="GL508" s="335"/>
      <c r="GM508" s="335"/>
      <c r="GN508" s="335"/>
      <c r="GO508" s="335"/>
      <c r="GP508" s="335"/>
      <c r="GQ508" s="335"/>
      <c r="GR508" s="335"/>
      <c r="GS508" s="335"/>
      <c r="GT508" s="335"/>
      <c r="GU508" s="335"/>
      <c r="GV508" s="335"/>
      <c r="GW508" s="335"/>
      <c r="GX508" s="335"/>
      <c r="GY508" s="335"/>
      <c r="GZ508" s="335"/>
    </row>
    <row r="509" spans="1:208" ht="15">
      <c r="A509" s="379"/>
      <c r="B509" s="335"/>
      <c r="C509" s="335"/>
      <c r="D509" s="335"/>
      <c r="E509" s="335"/>
      <c r="F509" s="335"/>
      <c r="G509" s="335"/>
      <c r="H509" s="335"/>
      <c r="I509" s="335"/>
      <c r="J509" s="335"/>
      <c r="K509" s="335"/>
      <c r="L509" s="335"/>
      <c r="M509" s="376"/>
      <c r="N509" s="335"/>
      <c r="O509" s="380"/>
      <c r="P509" s="335"/>
      <c r="Q509" s="335"/>
      <c r="R509" s="335"/>
      <c r="S509" s="335"/>
      <c r="T509" s="335"/>
      <c r="U509" s="335"/>
      <c r="V509" s="335"/>
      <c r="W509" s="335"/>
      <c r="X509" s="335"/>
      <c r="Y509" s="335"/>
      <c r="Z509" s="335"/>
      <c r="AA509" s="335"/>
      <c r="AB509" s="335"/>
      <c r="AC509" s="335"/>
      <c r="AD509" s="335"/>
      <c r="AE509" s="335"/>
      <c r="AF509" s="335"/>
      <c r="AG509" s="335"/>
      <c r="AH509" s="335"/>
      <c r="AI509" s="335"/>
      <c r="AJ509" s="335"/>
      <c r="AK509" s="335"/>
      <c r="AL509" s="335"/>
      <c r="AM509" s="335"/>
      <c r="AN509" s="335"/>
      <c r="AO509" s="335"/>
      <c r="AP509" s="335"/>
      <c r="AQ509" s="335"/>
      <c r="AR509" s="335"/>
      <c r="AS509" s="335"/>
      <c r="AT509" s="335"/>
      <c r="AU509" s="335"/>
      <c r="AV509" s="335"/>
      <c r="AW509" s="335"/>
      <c r="AX509" s="335"/>
      <c r="AY509" s="335"/>
      <c r="AZ509" s="335"/>
      <c r="BA509" s="335"/>
      <c r="BB509" s="335"/>
      <c r="BC509" s="335"/>
      <c r="BD509" s="335"/>
      <c r="BE509" s="335"/>
      <c r="BF509" s="335"/>
      <c r="BG509" s="335"/>
      <c r="BH509" s="335"/>
      <c r="BI509" s="335"/>
      <c r="BJ509" s="335"/>
      <c r="BK509" s="335"/>
      <c r="BL509" s="335"/>
      <c r="BM509" s="335"/>
      <c r="BN509" s="335"/>
      <c r="BO509" s="335"/>
      <c r="BP509" s="335"/>
      <c r="BQ509" s="335"/>
      <c r="BR509" s="335"/>
      <c r="BS509" s="335"/>
      <c r="BT509" s="335"/>
      <c r="BU509" s="335"/>
      <c r="BV509" s="335"/>
      <c r="BW509" s="335"/>
      <c r="BX509" s="335"/>
      <c r="BY509" s="335"/>
      <c r="BZ509" s="335"/>
      <c r="CA509" s="335"/>
      <c r="CB509" s="335"/>
      <c r="CC509" s="335"/>
      <c r="CD509" s="335"/>
      <c r="CE509" s="335"/>
      <c r="CF509" s="335"/>
      <c r="CG509" s="335"/>
      <c r="CH509" s="335"/>
      <c r="CI509" s="335"/>
      <c r="CJ509" s="335"/>
      <c r="CK509" s="335"/>
      <c r="CL509" s="335"/>
      <c r="CM509" s="335"/>
      <c r="CN509" s="335"/>
      <c r="CO509" s="335"/>
      <c r="CP509" s="335"/>
      <c r="CQ509" s="335"/>
      <c r="CR509" s="335"/>
      <c r="CS509" s="335"/>
      <c r="CT509" s="335"/>
      <c r="CU509" s="335"/>
      <c r="CV509" s="335"/>
      <c r="CW509" s="335"/>
      <c r="CX509" s="335"/>
      <c r="CY509" s="335"/>
      <c r="CZ509" s="335"/>
      <c r="DA509" s="335"/>
      <c r="DB509" s="335"/>
      <c r="DC509" s="335"/>
      <c r="DD509" s="335"/>
      <c r="DE509" s="335"/>
      <c r="DF509" s="335"/>
      <c r="DG509" s="335"/>
      <c r="DH509" s="335"/>
      <c r="DI509" s="335"/>
      <c r="DJ509" s="335"/>
      <c r="DK509" s="335"/>
      <c r="DL509" s="335"/>
      <c r="DM509" s="335"/>
      <c r="DN509" s="335"/>
      <c r="DO509" s="335"/>
      <c r="DP509" s="335"/>
      <c r="DQ509" s="335"/>
      <c r="DR509" s="335"/>
      <c r="DS509" s="335"/>
      <c r="DT509" s="335"/>
      <c r="DU509" s="335"/>
      <c r="DV509" s="335"/>
      <c r="DW509" s="335"/>
      <c r="DX509" s="335"/>
      <c r="DY509" s="335"/>
      <c r="DZ509" s="335"/>
      <c r="EA509" s="335"/>
      <c r="EB509" s="335"/>
      <c r="EC509" s="335"/>
      <c r="ED509" s="335"/>
      <c r="EE509" s="335"/>
      <c r="EF509" s="335"/>
      <c r="EG509" s="335"/>
      <c r="EH509" s="335"/>
      <c r="EI509" s="335"/>
      <c r="EJ509" s="335"/>
      <c r="EK509" s="335"/>
      <c r="EL509" s="335"/>
      <c r="EM509" s="335"/>
      <c r="EN509" s="335"/>
      <c r="EO509" s="335"/>
      <c r="EP509" s="335"/>
      <c r="EQ509" s="335"/>
      <c r="ER509" s="335"/>
      <c r="ES509" s="335"/>
      <c r="ET509" s="335"/>
      <c r="EU509" s="335"/>
      <c r="EV509" s="335"/>
      <c r="EW509" s="335"/>
      <c r="EX509" s="335"/>
      <c r="EY509" s="335"/>
      <c r="EZ509" s="335"/>
      <c r="FA509" s="335"/>
      <c r="FB509" s="335"/>
      <c r="FC509" s="335"/>
      <c r="FD509" s="335"/>
      <c r="FE509" s="335"/>
      <c r="FF509" s="335"/>
      <c r="FG509" s="335"/>
      <c r="FH509" s="335"/>
      <c r="FI509" s="335"/>
      <c r="FJ509" s="335"/>
      <c r="FK509" s="335"/>
      <c r="FL509" s="335"/>
      <c r="FM509" s="335"/>
      <c r="FN509" s="335"/>
      <c r="FO509" s="335"/>
      <c r="FP509" s="335"/>
      <c r="FQ509" s="335"/>
      <c r="FR509" s="335"/>
      <c r="FS509" s="335"/>
      <c r="FT509" s="335"/>
      <c r="FU509" s="335"/>
      <c r="FV509" s="335"/>
      <c r="FW509" s="335"/>
      <c r="FX509" s="335"/>
      <c r="FY509" s="335"/>
      <c r="FZ509" s="335"/>
      <c r="GA509" s="335"/>
      <c r="GB509" s="335"/>
      <c r="GC509" s="335"/>
      <c r="GD509" s="335"/>
      <c r="GE509" s="335"/>
      <c r="GF509" s="335"/>
      <c r="GG509" s="335"/>
      <c r="GH509" s="335"/>
      <c r="GI509" s="335"/>
      <c r="GJ509" s="335"/>
      <c r="GK509" s="335"/>
      <c r="GL509" s="335"/>
      <c r="GM509" s="335"/>
      <c r="GN509" s="335"/>
      <c r="GO509" s="335"/>
      <c r="GP509" s="335"/>
      <c r="GQ509" s="335"/>
      <c r="GR509" s="335"/>
      <c r="GS509" s="335"/>
      <c r="GT509" s="335"/>
      <c r="GU509" s="335"/>
      <c r="GV509" s="335"/>
      <c r="GW509" s="335"/>
      <c r="GX509" s="335"/>
      <c r="GY509" s="335"/>
      <c r="GZ509" s="335"/>
    </row>
    <row r="510" spans="1:208" ht="15">
      <c r="A510" s="379"/>
      <c r="B510" s="335"/>
      <c r="C510" s="335"/>
      <c r="D510" s="335"/>
      <c r="E510" s="335"/>
      <c r="F510" s="335"/>
      <c r="G510" s="335"/>
      <c r="H510" s="335"/>
      <c r="I510" s="335"/>
      <c r="J510" s="335"/>
      <c r="K510" s="335"/>
      <c r="L510" s="335"/>
      <c r="M510" s="376"/>
      <c r="N510" s="335"/>
      <c r="O510" s="380"/>
      <c r="P510" s="335"/>
      <c r="Q510" s="335"/>
      <c r="R510" s="335"/>
      <c r="S510" s="335"/>
      <c r="T510" s="335"/>
      <c r="U510" s="335"/>
      <c r="V510" s="335"/>
      <c r="W510" s="335"/>
      <c r="X510" s="335"/>
      <c r="Y510" s="335"/>
      <c r="Z510" s="335"/>
      <c r="AA510" s="335"/>
      <c r="AB510" s="335"/>
      <c r="AC510" s="335"/>
      <c r="AD510" s="335"/>
      <c r="AE510" s="335"/>
      <c r="AF510" s="335"/>
      <c r="AG510" s="335"/>
      <c r="AH510" s="335"/>
      <c r="AI510" s="335"/>
      <c r="AJ510" s="335"/>
      <c r="AK510" s="335"/>
      <c r="AL510" s="335"/>
      <c r="AM510" s="335"/>
      <c r="AN510" s="335"/>
      <c r="AO510" s="335"/>
      <c r="AP510" s="335"/>
      <c r="AQ510" s="335"/>
      <c r="AR510" s="335"/>
      <c r="AS510" s="335"/>
      <c r="AT510" s="335"/>
      <c r="AU510" s="335"/>
      <c r="AV510" s="335"/>
      <c r="AW510" s="335"/>
      <c r="AX510" s="335"/>
      <c r="AY510" s="335"/>
      <c r="AZ510" s="335"/>
      <c r="BA510" s="335"/>
      <c r="BB510" s="335"/>
      <c r="BC510" s="335"/>
      <c r="BD510" s="335"/>
      <c r="BE510" s="335"/>
      <c r="BF510" s="335"/>
      <c r="BG510" s="335"/>
      <c r="BH510" s="335"/>
      <c r="BI510" s="335"/>
      <c r="BJ510" s="335"/>
      <c r="BK510" s="335"/>
      <c r="BL510" s="335"/>
      <c r="BM510" s="335"/>
      <c r="BN510" s="335"/>
      <c r="BO510" s="335"/>
      <c r="BP510" s="335"/>
      <c r="BQ510" s="335"/>
      <c r="BR510" s="335"/>
      <c r="BS510" s="335"/>
      <c r="BT510" s="335"/>
      <c r="BU510" s="335"/>
      <c r="BV510" s="335"/>
      <c r="BW510" s="335"/>
      <c r="BX510" s="335"/>
      <c r="BY510" s="335"/>
      <c r="BZ510" s="335"/>
      <c r="CA510" s="335"/>
      <c r="CB510" s="335"/>
      <c r="CC510" s="335"/>
      <c r="CD510" s="335"/>
      <c r="CE510" s="335"/>
      <c r="CF510" s="335"/>
      <c r="CG510" s="335"/>
      <c r="CH510" s="335"/>
      <c r="CI510" s="335"/>
      <c r="CJ510" s="335"/>
      <c r="CK510" s="335"/>
      <c r="CL510" s="335"/>
      <c r="CM510" s="335"/>
      <c r="CN510" s="335"/>
      <c r="CO510" s="335"/>
      <c r="CP510" s="335"/>
      <c r="CQ510" s="335"/>
      <c r="CR510" s="335"/>
      <c r="CS510" s="335"/>
      <c r="CT510" s="335"/>
      <c r="CU510" s="335"/>
      <c r="CV510" s="335"/>
      <c r="CW510" s="335"/>
      <c r="CX510" s="335"/>
      <c r="CY510" s="335"/>
      <c r="CZ510" s="335"/>
      <c r="DA510" s="335"/>
      <c r="DB510" s="335"/>
      <c r="DC510" s="335"/>
      <c r="DD510" s="335"/>
      <c r="DE510" s="335"/>
      <c r="DF510" s="335"/>
      <c r="DG510" s="335"/>
      <c r="DH510" s="335"/>
      <c r="DI510" s="335"/>
      <c r="DJ510" s="335"/>
      <c r="DK510" s="335"/>
      <c r="DL510" s="335"/>
      <c r="DM510" s="335"/>
      <c r="DN510" s="335"/>
      <c r="DO510" s="335"/>
      <c r="DP510" s="335"/>
      <c r="DQ510" s="335"/>
      <c r="DR510" s="335"/>
      <c r="DS510" s="335"/>
      <c r="DT510" s="335"/>
      <c r="DU510" s="335"/>
      <c r="DV510" s="335"/>
      <c r="DW510" s="335"/>
      <c r="DX510" s="335"/>
      <c r="DY510" s="335"/>
      <c r="DZ510" s="335"/>
      <c r="EA510" s="335"/>
      <c r="EB510" s="335"/>
      <c r="EC510" s="335"/>
      <c r="ED510" s="335"/>
      <c r="EE510" s="335"/>
      <c r="EF510" s="335"/>
      <c r="EG510" s="335"/>
      <c r="EH510" s="335"/>
      <c r="EI510" s="335"/>
      <c r="EJ510" s="335"/>
      <c r="EK510" s="335"/>
      <c r="EL510" s="335"/>
      <c r="EM510" s="335"/>
      <c r="EN510" s="335"/>
      <c r="EO510" s="335"/>
      <c r="EP510" s="335"/>
      <c r="EQ510" s="335"/>
      <c r="ER510" s="335"/>
      <c r="ES510" s="335"/>
      <c r="ET510" s="335"/>
      <c r="EU510" s="335"/>
      <c r="EV510" s="335"/>
      <c r="EW510" s="335"/>
      <c r="EX510" s="335"/>
      <c r="EY510" s="335"/>
      <c r="EZ510" s="335"/>
      <c r="FA510" s="335"/>
      <c r="FB510" s="335"/>
      <c r="FC510" s="335"/>
      <c r="FD510" s="335"/>
      <c r="FE510" s="335"/>
      <c r="FF510" s="335"/>
      <c r="FG510" s="335"/>
      <c r="FH510" s="335"/>
      <c r="FI510" s="335"/>
      <c r="FJ510" s="335"/>
      <c r="FK510" s="335"/>
      <c r="FL510" s="335"/>
      <c r="FM510" s="335"/>
      <c r="FN510" s="335"/>
      <c r="FO510" s="335"/>
      <c r="FP510" s="335"/>
      <c r="FQ510" s="335"/>
      <c r="FR510" s="335"/>
      <c r="FS510" s="335"/>
      <c r="FT510" s="335"/>
      <c r="FU510" s="335"/>
      <c r="FV510" s="335"/>
      <c r="FW510" s="335"/>
      <c r="FX510" s="335"/>
      <c r="FY510" s="335"/>
      <c r="FZ510" s="335"/>
      <c r="GA510" s="335"/>
      <c r="GB510" s="335"/>
      <c r="GC510" s="335"/>
      <c r="GD510" s="335"/>
      <c r="GE510" s="335"/>
      <c r="GF510" s="335"/>
      <c r="GG510" s="335"/>
      <c r="GH510" s="335"/>
      <c r="GI510" s="335"/>
      <c r="GJ510" s="335"/>
      <c r="GK510" s="335"/>
      <c r="GL510" s="335"/>
      <c r="GM510" s="335"/>
      <c r="GN510" s="335"/>
      <c r="GO510" s="335"/>
      <c r="GP510" s="335"/>
      <c r="GQ510" s="335"/>
      <c r="GR510" s="335"/>
      <c r="GS510" s="335"/>
      <c r="GT510" s="335"/>
      <c r="GU510" s="335"/>
      <c r="GV510" s="335"/>
      <c r="GW510" s="335"/>
      <c r="GX510" s="335"/>
      <c r="GY510" s="335"/>
      <c r="GZ510" s="335"/>
    </row>
    <row r="511" spans="1:208" ht="15">
      <c r="A511" s="379"/>
      <c r="B511" s="335"/>
      <c r="C511" s="335"/>
      <c r="D511" s="335"/>
      <c r="E511" s="335"/>
      <c r="F511" s="335"/>
      <c r="G511" s="335"/>
      <c r="H511" s="335"/>
      <c r="I511" s="335"/>
      <c r="J511" s="335"/>
      <c r="K511" s="335"/>
      <c r="L511" s="335"/>
      <c r="M511" s="376"/>
      <c r="N511" s="335"/>
      <c r="O511" s="380"/>
      <c r="P511" s="335"/>
      <c r="Q511" s="335"/>
      <c r="R511" s="335"/>
      <c r="S511" s="335"/>
      <c r="T511" s="335"/>
      <c r="U511" s="335"/>
      <c r="V511" s="335"/>
      <c r="W511" s="335"/>
      <c r="X511" s="335"/>
      <c r="Y511" s="335"/>
      <c r="Z511" s="335"/>
      <c r="AA511" s="335"/>
      <c r="AB511" s="335"/>
      <c r="AC511" s="335"/>
      <c r="AD511" s="335"/>
      <c r="AE511" s="335"/>
      <c r="AF511" s="335"/>
      <c r="AG511" s="335"/>
      <c r="AH511" s="335"/>
      <c r="AI511" s="335"/>
      <c r="AJ511" s="335"/>
      <c r="AK511" s="335"/>
      <c r="AL511" s="335"/>
      <c r="AM511" s="335"/>
      <c r="AN511" s="335"/>
      <c r="AO511" s="335"/>
      <c r="AP511" s="335"/>
      <c r="AQ511" s="335"/>
      <c r="AR511" s="335"/>
      <c r="AS511" s="335"/>
      <c r="AT511" s="335"/>
      <c r="AU511" s="335"/>
      <c r="AV511" s="335"/>
      <c r="AW511" s="335"/>
      <c r="AX511" s="335"/>
      <c r="AY511" s="335"/>
      <c r="AZ511" s="335"/>
      <c r="BA511" s="335"/>
      <c r="BB511" s="335"/>
      <c r="BC511" s="335"/>
      <c r="BD511" s="335"/>
      <c r="BE511" s="335"/>
      <c r="BF511" s="335"/>
      <c r="BG511" s="335"/>
      <c r="BH511" s="335"/>
      <c r="BI511" s="335"/>
      <c r="BJ511" s="335"/>
      <c r="BK511" s="335"/>
      <c r="BL511" s="335"/>
      <c r="BM511" s="335"/>
      <c r="BN511" s="335"/>
      <c r="BO511" s="335"/>
      <c r="BP511" s="335"/>
      <c r="BQ511" s="335"/>
      <c r="BR511" s="335"/>
      <c r="BS511" s="335"/>
      <c r="BT511" s="335"/>
      <c r="BU511" s="335"/>
      <c r="BV511" s="335"/>
      <c r="BW511" s="335"/>
      <c r="BX511" s="335"/>
      <c r="BY511" s="335"/>
      <c r="BZ511" s="335"/>
      <c r="CA511" s="335"/>
      <c r="CB511" s="335"/>
      <c r="CC511" s="335"/>
      <c r="CD511" s="335"/>
      <c r="CE511" s="335"/>
      <c r="CF511" s="335"/>
      <c r="CG511" s="335"/>
      <c r="CH511" s="335"/>
      <c r="CI511" s="335"/>
      <c r="CJ511" s="335"/>
      <c r="CK511" s="335"/>
      <c r="CL511" s="335"/>
      <c r="CM511" s="335"/>
      <c r="CN511" s="335"/>
      <c r="CO511" s="335"/>
      <c r="CP511" s="335"/>
      <c r="CQ511" s="335"/>
      <c r="CR511" s="335"/>
      <c r="CS511" s="335"/>
      <c r="CT511" s="335"/>
      <c r="CU511" s="335"/>
      <c r="CV511" s="335"/>
      <c r="CW511" s="335"/>
      <c r="CX511" s="335"/>
      <c r="CY511" s="335"/>
      <c r="CZ511" s="335"/>
      <c r="DA511" s="335"/>
      <c r="DB511" s="335"/>
      <c r="DC511" s="335"/>
      <c r="DD511" s="335"/>
      <c r="DE511" s="335"/>
      <c r="DF511" s="335"/>
      <c r="DG511" s="335"/>
      <c r="DH511" s="335"/>
      <c r="DI511" s="335"/>
      <c r="DJ511" s="335"/>
      <c r="DK511" s="335"/>
      <c r="DL511" s="335"/>
      <c r="DM511" s="335"/>
      <c r="DN511" s="335"/>
      <c r="DO511" s="335"/>
      <c r="DP511" s="335"/>
      <c r="DQ511" s="335"/>
      <c r="DR511" s="335"/>
      <c r="DS511" s="335"/>
      <c r="DT511" s="335"/>
      <c r="DU511" s="335"/>
      <c r="DV511" s="335"/>
      <c r="DW511" s="335"/>
      <c r="DX511" s="335"/>
      <c r="DY511" s="335"/>
      <c r="DZ511" s="335"/>
      <c r="EA511" s="335"/>
      <c r="EB511" s="335"/>
      <c r="EC511" s="335"/>
      <c r="ED511" s="335"/>
      <c r="EE511" s="335"/>
      <c r="EF511" s="335"/>
      <c r="EG511" s="335"/>
      <c r="EH511" s="335"/>
      <c r="EI511" s="335"/>
      <c r="EJ511" s="335"/>
      <c r="EK511" s="335"/>
      <c r="EL511" s="335"/>
      <c r="EM511" s="335"/>
      <c r="EN511" s="335"/>
      <c r="EO511" s="335"/>
      <c r="EP511" s="335"/>
      <c r="EQ511" s="335"/>
      <c r="ER511" s="335"/>
      <c r="ES511" s="335"/>
      <c r="ET511" s="335"/>
      <c r="EU511" s="335"/>
      <c r="EV511" s="335"/>
      <c r="EW511" s="335"/>
      <c r="EX511" s="335"/>
      <c r="EY511" s="335"/>
      <c r="EZ511" s="335"/>
      <c r="FA511" s="335"/>
      <c r="FB511" s="335"/>
      <c r="FC511" s="335"/>
      <c r="FD511" s="335"/>
      <c r="FE511" s="335"/>
      <c r="FF511" s="335"/>
      <c r="FG511" s="335"/>
      <c r="FH511" s="335"/>
      <c r="FI511" s="335"/>
      <c r="FJ511" s="335"/>
      <c r="FK511" s="335"/>
      <c r="FL511" s="335"/>
      <c r="FM511" s="335"/>
      <c r="FN511" s="335"/>
      <c r="FO511" s="335"/>
      <c r="FP511" s="335"/>
      <c r="FQ511" s="335"/>
      <c r="FR511" s="335"/>
      <c r="FS511" s="335"/>
      <c r="FT511" s="335"/>
      <c r="FU511" s="335"/>
      <c r="FV511" s="335"/>
      <c r="FW511" s="335"/>
      <c r="FX511" s="335"/>
      <c r="FY511" s="335"/>
      <c r="FZ511" s="335"/>
      <c r="GA511" s="335"/>
      <c r="GB511" s="335"/>
      <c r="GC511" s="335"/>
      <c r="GD511" s="335"/>
      <c r="GE511" s="335"/>
      <c r="GF511" s="335"/>
      <c r="GG511" s="335"/>
      <c r="GH511" s="335"/>
      <c r="GI511" s="335"/>
      <c r="GJ511" s="335"/>
      <c r="GK511" s="335"/>
      <c r="GL511" s="335"/>
      <c r="GM511" s="335"/>
      <c r="GN511" s="335"/>
      <c r="GO511" s="335"/>
      <c r="GP511" s="335"/>
      <c r="GQ511" s="335"/>
      <c r="GR511" s="335"/>
      <c r="GS511" s="335"/>
      <c r="GT511" s="335"/>
      <c r="GU511" s="335"/>
      <c r="GV511" s="335"/>
      <c r="GW511" s="335"/>
      <c r="GX511" s="335"/>
      <c r="GY511" s="335"/>
      <c r="GZ511" s="335"/>
    </row>
    <row r="512" spans="1:208" ht="15">
      <c r="A512" s="379"/>
      <c r="B512" s="335"/>
      <c r="C512" s="335"/>
      <c r="D512" s="335"/>
      <c r="E512" s="335"/>
      <c r="F512" s="335"/>
      <c r="G512" s="335"/>
      <c r="H512" s="335"/>
      <c r="I512" s="335"/>
      <c r="J512" s="335"/>
      <c r="K512" s="335"/>
      <c r="L512" s="335"/>
      <c r="M512" s="376"/>
      <c r="N512" s="335"/>
      <c r="O512" s="380"/>
      <c r="P512" s="335"/>
      <c r="Q512" s="335"/>
      <c r="R512" s="335"/>
      <c r="S512" s="335"/>
      <c r="T512" s="335"/>
      <c r="U512" s="335"/>
      <c r="V512" s="335"/>
      <c r="W512" s="335"/>
      <c r="X512" s="335"/>
      <c r="Y512" s="335"/>
      <c r="Z512" s="335"/>
      <c r="AA512" s="335"/>
      <c r="AB512" s="335"/>
      <c r="AC512" s="335"/>
      <c r="AD512" s="335"/>
      <c r="AE512" s="335"/>
      <c r="AF512" s="335"/>
      <c r="AG512" s="335"/>
      <c r="AH512" s="335"/>
      <c r="AI512" s="335"/>
      <c r="AJ512" s="335"/>
      <c r="AK512" s="335"/>
      <c r="AL512" s="335"/>
      <c r="AM512" s="335"/>
      <c r="AN512" s="335"/>
      <c r="AO512" s="335"/>
      <c r="AP512" s="335"/>
      <c r="AQ512" s="335"/>
      <c r="AR512" s="335"/>
      <c r="AS512" s="335"/>
      <c r="AT512" s="335"/>
      <c r="AU512" s="335"/>
      <c r="AV512" s="335"/>
      <c r="AW512" s="335"/>
      <c r="AX512" s="335"/>
      <c r="AY512" s="335"/>
      <c r="AZ512" s="335"/>
      <c r="BA512" s="335"/>
      <c r="BB512" s="335"/>
      <c r="BC512" s="335"/>
      <c r="BD512" s="335"/>
      <c r="BE512" s="335"/>
      <c r="BF512" s="335"/>
      <c r="BG512" s="335"/>
      <c r="BH512" s="335"/>
      <c r="BI512" s="335"/>
      <c r="BJ512" s="335"/>
      <c r="BK512" s="335"/>
      <c r="BL512" s="335"/>
      <c r="BM512" s="335"/>
      <c r="BN512" s="335"/>
      <c r="BO512" s="335"/>
      <c r="BP512" s="335"/>
      <c r="BQ512" s="335"/>
      <c r="BR512" s="335"/>
      <c r="BS512" s="335"/>
      <c r="BT512" s="335"/>
      <c r="BU512" s="335"/>
      <c r="BV512" s="335"/>
      <c r="BW512" s="335"/>
      <c r="BX512" s="335"/>
      <c r="BY512" s="335"/>
      <c r="BZ512" s="335"/>
      <c r="CA512" s="335"/>
      <c r="CB512" s="335"/>
      <c r="CC512" s="335"/>
      <c r="CD512" s="335"/>
      <c r="CE512" s="335"/>
      <c r="CF512" s="335"/>
      <c r="CG512" s="335"/>
      <c r="CH512" s="335"/>
      <c r="CI512" s="335"/>
      <c r="CJ512" s="335"/>
      <c r="CK512" s="335"/>
      <c r="CL512" s="335"/>
      <c r="CM512" s="335"/>
      <c r="CN512" s="335"/>
      <c r="CO512" s="335"/>
      <c r="CP512" s="335"/>
      <c r="CQ512" s="335"/>
      <c r="CR512" s="335"/>
      <c r="CS512" s="335"/>
      <c r="CT512" s="335"/>
      <c r="CU512" s="335"/>
      <c r="CV512" s="335"/>
      <c r="CW512" s="335"/>
      <c r="CX512" s="335"/>
      <c r="CY512" s="335"/>
      <c r="CZ512" s="335"/>
      <c r="DA512" s="335"/>
      <c r="DB512" s="335"/>
      <c r="DC512" s="335"/>
      <c r="DD512" s="335"/>
      <c r="DE512" s="335"/>
      <c r="DF512" s="335"/>
      <c r="DG512" s="335"/>
      <c r="DH512" s="335"/>
      <c r="DI512" s="335"/>
      <c r="DJ512" s="335"/>
      <c r="DK512" s="335"/>
      <c r="DL512" s="335"/>
      <c r="DM512" s="335"/>
      <c r="DN512" s="335"/>
      <c r="DO512" s="335"/>
      <c r="DP512" s="335"/>
      <c r="DQ512" s="335"/>
      <c r="DR512" s="335"/>
      <c r="DS512" s="335"/>
      <c r="DT512" s="335"/>
      <c r="DU512" s="335"/>
      <c r="DV512" s="335"/>
      <c r="DW512" s="335"/>
      <c r="DX512" s="335"/>
      <c r="DY512" s="335"/>
      <c r="DZ512" s="335"/>
      <c r="EA512" s="335"/>
      <c r="EB512" s="335"/>
      <c r="EC512" s="335"/>
      <c r="ED512" s="335"/>
      <c r="EE512" s="335"/>
      <c r="EF512" s="335"/>
      <c r="EG512" s="335"/>
      <c r="EH512" s="335"/>
      <c r="EI512" s="335"/>
      <c r="EJ512" s="335"/>
      <c r="EK512" s="335"/>
      <c r="EL512" s="335"/>
      <c r="EM512" s="335"/>
      <c r="EN512" s="335"/>
      <c r="EO512" s="335"/>
      <c r="EP512" s="335"/>
      <c r="EQ512" s="335"/>
      <c r="ER512" s="335"/>
      <c r="ES512" s="335"/>
      <c r="ET512" s="335"/>
      <c r="EU512" s="335"/>
      <c r="EV512" s="335"/>
      <c r="EW512" s="335"/>
      <c r="EX512" s="335"/>
      <c r="EY512" s="335"/>
      <c r="EZ512" s="335"/>
      <c r="FA512" s="335"/>
      <c r="FB512" s="335"/>
      <c r="FC512" s="335"/>
      <c r="FD512" s="335"/>
      <c r="FE512" s="335"/>
      <c r="FF512" s="335"/>
      <c r="FG512" s="335"/>
      <c r="FH512" s="335"/>
      <c r="FI512" s="335"/>
      <c r="FJ512" s="335"/>
      <c r="FK512" s="335"/>
      <c r="FL512" s="335"/>
      <c r="FM512" s="335"/>
      <c r="FN512" s="335"/>
      <c r="FO512" s="335"/>
      <c r="FP512" s="335"/>
      <c r="FQ512" s="335"/>
      <c r="FR512" s="335"/>
      <c r="FS512" s="335"/>
      <c r="FT512" s="335"/>
      <c r="FU512" s="335"/>
      <c r="FV512" s="335"/>
      <c r="FW512" s="335"/>
      <c r="FX512" s="335"/>
      <c r="FY512" s="335"/>
      <c r="FZ512" s="335"/>
      <c r="GA512" s="335"/>
      <c r="GB512" s="335"/>
      <c r="GC512" s="335"/>
      <c r="GD512" s="335"/>
      <c r="GE512" s="335"/>
      <c r="GF512" s="335"/>
      <c r="GG512" s="335"/>
      <c r="GH512" s="335"/>
      <c r="GI512" s="335"/>
      <c r="GJ512" s="335"/>
      <c r="GK512" s="335"/>
      <c r="GL512" s="335"/>
      <c r="GM512" s="335"/>
      <c r="GN512" s="335"/>
      <c r="GO512" s="335"/>
      <c r="GP512" s="335"/>
      <c r="GQ512" s="335"/>
      <c r="GR512" s="335"/>
      <c r="GS512" s="335"/>
      <c r="GT512" s="335"/>
      <c r="GU512" s="335"/>
      <c r="GV512" s="335"/>
      <c r="GW512" s="335"/>
      <c r="GX512" s="335"/>
      <c r="GY512" s="335"/>
      <c r="GZ512" s="335"/>
    </row>
    <row r="513" spans="1:208" ht="15">
      <c r="A513" s="379"/>
      <c r="B513" s="335"/>
      <c r="C513" s="335"/>
      <c r="D513" s="335"/>
      <c r="E513" s="335"/>
      <c r="F513" s="335"/>
      <c r="G513" s="335"/>
      <c r="H513" s="335"/>
      <c r="I513" s="335"/>
      <c r="J513" s="335"/>
      <c r="K513" s="335"/>
      <c r="L513" s="335"/>
      <c r="M513" s="376"/>
      <c r="N513" s="335"/>
      <c r="O513" s="380"/>
      <c r="P513" s="335"/>
      <c r="Q513" s="335"/>
      <c r="R513" s="335"/>
      <c r="S513" s="335"/>
      <c r="T513" s="335"/>
      <c r="U513" s="335"/>
      <c r="V513" s="335"/>
      <c r="W513" s="335"/>
      <c r="X513" s="335"/>
      <c r="Y513" s="335"/>
      <c r="Z513" s="335"/>
      <c r="AA513" s="335"/>
      <c r="AB513" s="335"/>
      <c r="AC513" s="335"/>
      <c r="AD513" s="335"/>
      <c r="AE513" s="335"/>
      <c r="AF513" s="335"/>
      <c r="AG513" s="335"/>
      <c r="AH513" s="335"/>
      <c r="AI513" s="335"/>
      <c r="AJ513" s="335"/>
      <c r="AK513" s="335"/>
      <c r="AL513" s="335"/>
      <c r="AM513" s="335"/>
      <c r="AN513" s="335"/>
      <c r="AO513" s="335"/>
      <c r="AP513" s="335"/>
      <c r="AQ513" s="335"/>
      <c r="AR513" s="335"/>
      <c r="AS513" s="335"/>
      <c r="AT513" s="335"/>
      <c r="AU513" s="335"/>
      <c r="AV513" s="335"/>
      <c r="AW513" s="335"/>
      <c r="AX513" s="335"/>
      <c r="AY513" s="335"/>
      <c r="AZ513" s="335"/>
      <c r="BA513" s="335"/>
      <c r="BB513" s="335"/>
      <c r="BC513" s="335"/>
      <c r="BD513" s="335"/>
      <c r="BE513" s="335"/>
      <c r="BF513" s="335"/>
      <c r="BG513" s="335"/>
      <c r="BH513" s="335"/>
      <c r="BI513" s="335"/>
      <c r="BJ513" s="335"/>
      <c r="BK513" s="335"/>
      <c r="BL513" s="335"/>
      <c r="BM513" s="335"/>
      <c r="BN513" s="335"/>
      <c r="BO513" s="335"/>
      <c r="BP513" s="335"/>
      <c r="BQ513" s="335"/>
      <c r="BR513" s="335"/>
      <c r="BS513" s="335"/>
      <c r="BT513" s="335"/>
      <c r="BU513" s="335"/>
      <c r="BV513" s="335"/>
      <c r="BW513" s="335"/>
      <c r="BX513" s="335"/>
      <c r="BY513" s="335"/>
      <c r="BZ513" s="335"/>
      <c r="CA513" s="335"/>
      <c r="CB513" s="335"/>
      <c r="CC513" s="335"/>
      <c r="CD513" s="335"/>
      <c r="CE513" s="335"/>
      <c r="CF513" s="335"/>
      <c r="CG513" s="335"/>
      <c r="CH513" s="335"/>
      <c r="CI513" s="335"/>
      <c r="CJ513" s="335"/>
      <c r="CK513" s="335"/>
      <c r="CL513" s="335"/>
      <c r="CM513" s="335"/>
      <c r="CN513" s="335"/>
      <c r="CO513" s="335"/>
      <c r="CP513" s="335"/>
      <c r="CQ513" s="335"/>
      <c r="CR513" s="335"/>
      <c r="CS513" s="335"/>
      <c r="CT513" s="335"/>
      <c r="CU513" s="335"/>
      <c r="CV513" s="335"/>
      <c r="CW513" s="335"/>
      <c r="CX513" s="335"/>
      <c r="CY513" s="335"/>
      <c r="CZ513" s="335"/>
      <c r="DA513" s="335"/>
      <c r="DB513" s="335"/>
      <c r="DC513" s="335"/>
      <c r="DD513" s="335"/>
      <c r="DE513" s="335"/>
      <c r="DF513" s="335"/>
      <c r="DG513" s="335"/>
      <c r="DH513" s="335"/>
      <c r="DI513" s="335"/>
      <c r="DJ513" s="335"/>
      <c r="DK513" s="335"/>
      <c r="DL513" s="335"/>
      <c r="DM513" s="335"/>
      <c r="DN513" s="335"/>
      <c r="DO513" s="335"/>
      <c r="DP513" s="335"/>
      <c r="DQ513" s="335"/>
      <c r="DR513" s="335"/>
      <c r="DS513" s="335"/>
      <c r="DT513" s="335"/>
      <c r="DU513" s="335"/>
      <c r="DV513" s="335"/>
      <c r="DW513" s="335"/>
      <c r="DX513" s="335"/>
      <c r="DY513" s="335"/>
      <c r="DZ513" s="335"/>
      <c r="EA513" s="335"/>
      <c r="EB513" s="335"/>
      <c r="EC513" s="335"/>
      <c r="ED513" s="335"/>
      <c r="EE513" s="335"/>
      <c r="EF513" s="335"/>
      <c r="EG513" s="335"/>
      <c r="EH513" s="335"/>
      <c r="EI513" s="335"/>
      <c r="EJ513" s="335"/>
      <c r="EK513" s="335"/>
      <c r="EL513" s="335"/>
      <c r="EM513" s="335"/>
      <c r="EN513" s="335"/>
      <c r="EO513" s="335"/>
      <c r="EP513" s="335"/>
      <c r="EQ513" s="335"/>
      <c r="ER513" s="335"/>
      <c r="ES513" s="335"/>
      <c r="ET513" s="335"/>
      <c r="EU513" s="335"/>
      <c r="EV513" s="335"/>
      <c r="EW513" s="335"/>
      <c r="EX513" s="335"/>
      <c r="EY513" s="335"/>
      <c r="EZ513" s="335"/>
      <c r="FA513" s="335"/>
      <c r="FB513" s="335"/>
      <c r="FC513" s="335"/>
      <c r="FD513" s="335"/>
      <c r="FE513" s="335"/>
      <c r="FF513" s="335"/>
      <c r="FG513" s="335"/>
      <c r="FH513" s="335"/>
      <c r="FI513" s="335"/>
      <c r="FJ513" s="335"/>
      <c r="FK513" s="335"/>
      <c r="FL513" s="335"/>
      <c r="FM513" s="335"/>
      <c r="FN513" s="335"/>
      <c r="FO513" s="335"/>
      <c r="FP513" s="335"/>
      <c r="FQ513" s="335"/>
      <c r="FR513" s="335"/>
      <c r="FS513" s="335"/>
      <c r="FT513" s="335"/>
      <c r="FU513" s="335"/>
      <c r="FV513" s="335"/>
      <c r="FW513" s="335"/>
      <c r="FX513" s="335"/>
      <c r="FY513" s="335"/>
      <c r="FZ513" s="335"/>
      <c r="GA513" s="335"/>
      <c r="GB513" s="335"/>
      <c r="GC513" s="335"/>
      <c r="GD513" s="335"/>
      <c r="GE513" s="335"/>
      <c r="GF513" s="335"/>
      <c r="GG513" s="335"/>
      <c r="GH513" s="335"/>
      <c r="GI513" s="335"/>
      <c r="GJ513" s="335"/>
      <c r="GK513" s="335"/>
      <c r="GL513" s="335"/>
      <c r="GM513" s="335"/>
      <c r="GN513" s="335"/>
      <c r="GO513" s="335"/>
      <c r="GP513" s="335"/>
      <c r="GQ513" s="335"/>
      <c r="GR513" s="335"/>
      <c r="GS513" s="335"/>
      <c r="GT513" s="335"/>
      <c r="GU513" s="335"/>
      <c r="GV513" s="335"/>
      <c r="GW513" s="335"/>
      <c r="GX513" s="335"/>
      <c r="GY513" s="335"/>
      <c r="GZ513" s="335"/>
    </row>
    <row r="514" spans="1:208" ht="15">
      <c r="A514" s="379"/>
      <c r="B514" s="335"/>
      <c r="C514" s="335"/>
      <c r="D514" s="335"/>
      <c r="E514" s="335"/>
      <c r="F514" s="335"/>
      <c r="G514" s="335"/>
      <c r="H514" s="335"/>
      <c r="I514" s="335"/>
      <c r="J514" s="335"/>
      <c r="K514" s="335"/>
      <c r="L514" s="335"/>
      <c r="M514" s="376"/>
      <c r="N514" s="335"/>
      <c r="O514" s="380"/>
      <c r="P514" s="335"/>
      <c r="Q514" s="335"/>
      <c r="R514" s="335"/>
      <c r="S514" s="335"/>
      <c r="T514" s="335"/>
      <c r="U514" s="335"/>
      <c r="V514" s="335"/>
      <c r="W514" s="335"/>
      <c r="X514" s="335"/>
      <c r="Y514" s="335"/>
      <c r="Z514" s="335"/>
      <c r="AA514" s="335"/>
      <c r="AB514" s="335"/>
      <c r="AC514" s="335"/>
      <c r="AD514" s="335"/>
      <c r="AE514" s="335"/>
      <c r="AF514" s="335"/>
      <c r="AG514" s="335"/>
      <c r="AH514" s="335"/>
      <c r="AI514" s="335"/>
      <c r="AJ514" s="335"/>
      <c r="AK514" s="335"/>
      <c r="AL514" s="335"/>
      <c r="AM514" s="335"/>
      <c r="AN514" s="335"/>
      <c r="AO514" s="335"/>
      <c r="AP514" s="335"/>
      <c r="AQ514" s="335"/>
      <c r="AR514" s="335"/>
      <c r="AS514" s="335"/>
      <c r="AT514" s="335"/>
      <c r="AU514" s="335"/>
      <c r="AV514" s="335"/>
      <c r="AW514" s="335"/>
      <c r="AX514" s="335"/>
      <c r="AY514" s="335"/>
      <c r="AZ514" s="335"/>
      <c r="BA514" s="335"/>
      <c r="BB514" s="335"/>
      <c r="BC514" s="335"/>
      <c r="BD514" s="335"/>
      <c r="BE514" s="335"/>
      <c r="BF514" s="335"/>
      <c r="BG514" s="335"/>
      <c r="BH514" s="335"/>
      <c r="BI514" s="335"/>
      <c r="BJ514" s="335"/>
      <c r="BK514" s="335"/>
      <c r="BL514" s="335"/>
      <c r="BM514" s="335"/>
      <c r="BN514" s="335"/>
      <c r="BO514" s="335"/>
      <c r="BP514" s="335"/>
      <c r="BQ514" s="335"/>
      <c r="BR514" s="335"/>
      <c r="BS514" s="335"/>
      <c r="BT514" s="335"/>
      <c r="BU514" s="335"/>
      <c r="BV514" s="335"/>
      <c r="BW514" s="335"/>
      <c r="BX514" s="335"/>
      <c r="BY514" s="335"/>
      <c r="BZ514" s="335"/>
      <c r="CA514" s="335"/>
      <c r="CB514" s="335"/>
      <c r="CC514" s="335"/>
      <c r="CD514" s="335"/>
      <c r="CE514" s="335"/>
      <c r="CF514" s="335"/>
      <c r="CG514" s="335"/>
      <c r="CH514" s="335"/>
      <c r="CI514" s="335"/>
      <c r="CJ514" s="335"/>
      <c r="CK514" s="335"/>
      <c r="CL514" s="335"/>
      <c r="CM514" s="335"/>
      <c r="CN514" s="335"/>
      <c r="CO514" s="335"/>
      <c r="CP514" s="335"/>
      <c r="CQ514" s="335"/>
      <c r="CR514" s="335"/>
      <c r="CS514" s="335"/>
      <c r="CT514" s="335"/>
      <c r="CU514" s="335"/>
      <c r="CV514" s="335"/>
      <c r="CW514" s="335"/>
      <c r="CX514" s="335"/>
      <c r="CY514" s="335"/>
      <c r="CZ514" s="335"/>
      <c r="DA514" s="335"/>
      <c r="DB514" s="335"/>
      <c r="DC514" s="335"/>
      <c r="DD514" s="335"/>
      <c r="DE514" s="335"/>
      <c r="DF514" s="335"/>
      <c r="DG514" s="335"/>
      <c r="DH514" s="335"/>
      <c r="DI514" s="335"/>
      <c r="DJ514" s="335"/>
      <c r="DK514" s="335"/>
      <c r="DL514" s="335"/>
      <c r="DM514" s="335"/>
      <c r="DN514" s="335"/>
      <c r="DO514" s="335"/>
      <c r="DP514" s="335"/>
      <c r="DQ514" s="335"/>
      <c r="DR514" s="335"/>
      <c r="DS514" s="335"/>
      <c r="DT514" s="335"/>
      <c r="DU514" s="335"/>
      <c r="DV514" s="335"/>
      <c r="DW514" s="335"/>
      <c r="DX514" s="335"/>
      <c r="DY514" s="335"/>
      <c r="DZ514" s="335"/>
      <c r="EA514" s="335"/>
      <c r="EB514" s="335"/>
      <c r="EC514" s="335"/>
      <c r="ED514" s="335"/>
      <c r="EE514" s="335"/>
      <c r="EF514" s="335"/>
      <c r="EG514" s="335"/>
      <c r="EH514" s="335"/>
      <c r="EI514" s="335"/>
      <c r="EJ514" s="335"/>
      <c r="EK514" s="335"/>
      <c r="EL514" s="335"/>
      <c r="EM514" s="335"/>
      <c r="EN514" s="335"/>
      <c r="EO514" s="335"/>
      <c r="EP514" s="335"/>
      <c r="EQ514" s="335"/>
      <c r="ER514" s="335"/>
      <c r="ES514" s="335"/>
      <c r="ET514" s="335"/>
      <c r="EU514" s="335"/>
      <c r="EV514" s="335"/>
      <c r="EW514" s="335"/>
      <c r="EX514" s="335"/>
      <c r="EY514" s="335"/>
      <c r="EZ514" s="335"/>
      <c r="FA514" s="335"/>
      <c r="FB514" s="335"/>
      <c r="FC514" s="335"/>
      <c r="FD514" s="335"/>
      <c r="FE514" s="335"/>
      <c r="FF514" s="335"/>
      <c r="FG514" s="335"/>
      <c r="FH514" s="335"/>
      <c r="FI514" s="335"/>
      <c r="FJ514" s="335"/>
      <c r="FK514" s="335"/>
      <c r="FL514" s="335"/>
      <c r="FM514" s="335"/>
      <c r="FN514" s="335"/>
      <c r="FO514" s="335"/>
      <c r="FP514" s="335"/>
      <c r="FQ514" s="335"/>
      <c r="FR514" s="335"/>
      <c r="FS514" s="335"/>
      <c r="FT514" s="335"/>
      <c r="FU514" s="335"/>
      <c r="FV514" s="335"/>
      <c r="FW514" s="335"/>
      <c r="FX514" s="335"/>
      <c r="FY514" s="335"/>
      <c r="FZ514" s="335"/>
      <c r="GA514" s="335"/>
      <c r="GB514" s="335"/>
      <c r="GC514" s="335"/>
      <c r="GD514" s="335"/>
      <c r="GE514" s="335"/>
      <c r="GF514" s="335"/>
      <c r="GG514" s="335"/>
      <c r="GH514" s="335"/>
      <c r="GI514" s="335"/>
      <c r="GJ514" s="335"/>
      <c r="GK514" s="335"/>
      <c r="GL514" s="335"/>
      <c r="GM514" s="335"/>
      <c r="GN514" s="335"/>
      <c r="GO514" s="335"/>
      <c r="GP514" s="335"/>
      <c r="GQ514" s="335"/>
      <c r="GR514" s="335"/>
      <c r="GS514" s="335"/>
      <c r="GT514" s="335"/>
      <c r="GU514" s="335"/>
      <c r="GV514" s="335"/>
      <c r="GW514" s="335"/>
      <c r="GX514" s="335"/>
      <c r="GY514" s="335"/>
      <c r="GZ514" s="335"/>
    </row>
    <row r="515" spans="1:208" ht="15">
      <c r="A515" s="379"/>
      <c r="B515" s="335"/>
      <c r="C515" s="335"/>
      <c r="D515" s="335"/>
      <c r="E515" s="335"/>
      <c r="F515" s="335"/>
      <c r="G515" s="335"/>
      <c r="H515" s="335"/>
      <c r="I515" s="335"/>
      <c r="J515" s="335"/>
      <c r="K515" s="335"/>
      <c r="L515" s="335"/>
      <c r="M515" s="376"/>
      <c r="N515" s="335"/>
      <c r="O515" s="380"/>
      <c r="P515" s="335"/>
      <c r="Q515" s="335"/>
      <c r="R515" s="335"/>
      <c r="S515" s="335"/>
      <c r="T515" s="335"/>
      <c r="U515" s="335"/>
      <c r="V515" s="335"/>
      <c r="W515" s="335"/>
      <c r="X515" s="335"/>
      <c r="Y515" s="335"/>
      <c r="Z515" s="335"/>
      <c r="AA515" s="335"/>
      <c r="AB515" s="335"/>
      <c r="AC515" s="335"/>
      <c r="AD515" s="335"/>
      <c r="AE515" s="335"/>
      <c r="AF515" s="335"/>
      <c r="AG515" s="335"/>
      <c r="AH515" s="335"/>
      <c r="AI515" s="335"/>
      <c r="AJ515" s="335"/>
      <c r="AK515" s="335"/>
      <c r="AL515" s="335"/>
      <c r="AM515" s="335"/>
      <c r="AN515" s="335"/>
      <c r="AO515" s="335"/>
      <c r="AP515" s="335"/>
      <c r="AQ515" s="335"/>
      <c r="AR515" s="335"/>
      <c r="AS515" s="335"/>
      <c r="AT515" s="335"/>
      <c r="AU515" s="335"/>
      <c r="AV515" s="335"/>
      <c r="AW515" s="335"/>
      <c r="AX515" s="335"/>
      <c r="AY515" s="335"/>
      <c r="AZ515" s="335"/>
      <c r="BA515" s="335"/>
      <c r="BB515" s="335"/>
      <c r="BC515" s="335"/>
      <c r="BD515" s="335"/>
      <c r="BE515" s="335"/>
      <c r="BF515" s="335"/>
      <c r="BG515" s="335"/>
      <c r="BH515" s="335"/>
      <c r="BI515" s="335"/>
      <c r="BJ515" s="335"/>
      <c r="BK515" s="335"/>
      <c r="BL515" s="335"/>
      <c r="BM515" s="335"/>
      <c r="BN515" s="335"/>
      <c r="BO515" s="335"/>
      <c r="BP515" s="335"/>
      <c r="BQ515" s="335"/>
      <c r="BR515" s="335"/>
      <c r="BS515" s="335"/>
      <c r="BT515" s="335"/>
      <c r="BU515" s="335"/>
      <c r="BV515" s="335"/>
      <c r="BW515" s="335"/>
      <c r="BX515" s="335"/>
      <c r="BY515" s="335"/>
      <c r="BZ515" s="335"/>
      <c r="CA515" s="335"/>
      <c r="CB515" s="335"/>
      <c r="CC515" s="335"/>
      <c r="CD515" s="335"/>
      <c r="CE515" s="335"/>
      <c r="CF515" s="335"/>
      <c r="CG515" s="335"/>
      <c r="CH515" s="335"/>
      <c r="CI515" s="335"/>
      <c r="CJ515" s="335"/>
      <c r="CK515" s="335"/>
      <c r="CL515" s="335"/>
      <c r="CM515" s="335"/>
      <c r="CN515" s="335"/>
      <c r="CO515" s="335"/>
      <c r="CP515" s="335"/>
      <c r="CQ515" s="335"/>
      <c r="CR515" s="335"/>
      <c r="CS515" s="335"/>
      <c r="CT515" s="335"/>
      <c r="CU515" s="335"/>
      <c r="CV515" s="335"/>
      <c r="CW515" s="335"/>
      <c r="CX515" s="335"/>
      <c r="CY515" s="335"/>
      <c r="CZ515" s="335"/>
      <c r="DA515" s="335"/>
      <c r="DB515" s="335"/>
      <c r="DC515" s="335"/>
      <c r="DD515" s="335"/>
      <c r="DE515" s="335"/>
      <c r="DF515" s="335"/>
      <c r="DG515" s="335"/>
      <c r="DH515" s="335"/>
      <c r="DI515" s="335"/>
      <c r="DJ515" s="335"/>
      <c r="DK515" s="335"/>
      <c r="DL515" s="335"/>
      <c r="DM515" s="335"/>
      <c r="DN515" s="335"/>
      <c r="DO515" s="335"/>
      <c r="DP515" s="335"/>
      <c r="DQ515" s="335"/>
      <c r="DR515" s="335"/>
      <c r="DS515" s="335"/>
      <c r="DT515" s="335"/>
      <c r="DU515" s="335"/>
      <c r="DV515" s="335"/>
      <c r="DW515" s="335"/>
      <c r="DX515" s="335"/>
      <c r="DY515" s="335"/>
      <c r="DZ515" s="335"/>
      <c r="EA515" s="335"/>
      <c r="EB515" s="335"/>
      <c r="EC515" s="335"/>
      <c r="ED515" s="335"/>
      <c r="EE515" s="335"/>
      <c r="EF515" s="335"/>
      <c r="EG515" s="335"/>
      <c r="EH515" s="335"/>
      <c r="EI515" s="335"/>
      <c r="EJ515" s="335"/>
      <c r="EK515" s="335"/>
      <c r="EL515" s="335"/>
      <c r="EM515" s="335"/>
      <c r="EN515" s="335"/>
      <c r="EO515" s="335"/>
      <c r="EP515" s="335"/>
      <c r="EQ515" s="335"/>
      <c r="ER515" s="335"/>
      <c r="ES515" s="335"/>
      <c r="ET515" s="335"/>
      <c r="EU515" s="335"/>
      <c r="EV515" s="335"/>
      <c r="EW515" s="335"/>
      <c r="EX515" s="335"/>
      <c r="EY515" s="335"/>
      <c r="EZ515" s="335"/>
      <c r="FA515" s="335"/>
      <c r="FB515" s="335"/>
      <c r="FC515" s="335"/>
      <c r="FD515" s="335"/>
      <c r="FE515" s="335"/>
      <c r="FF515" s="335"/>
      <c r="FG515" s="335"/>
      <c r="FH515" s="335"/>
      <c r="FI515" s="335"/>
      <c r="FJ515" s="335"/>
      <c r="FK515" s="335"/>
      <c r="FL515" s="335"/>
      <c r="FM515" s="335"/>
      <c r="FN515" s="335"/>
      <c r="FO515" s="335"/>
      <c r="FP515" s="335"/>
      <c r="FQ515" s="335"/>
      <c r="FR515" s="335"/>
      <c r="FS515" s="335"/>
      <c r="FT515" s="335"/>
      <c r="FU515" s="335"/>
      <c r="FV515" s="335"/>
      <c r="FW515" s="335"/>
      <c r="FX515" s="335"/>
      <c r="FY515" s="335"/>
      <c r="FZ515" s="335"/>
      <c r="GA515" s="335"/>
      <c r="GB515" s="335"/>
      <c r="GC515" s="335"/>
      <c r="GD515" s="335"/>
      <c r="GE515" s="335"/>
      <c r="GF515" s="335"/>
      <c r="GG515" s="335"/>
      <c r="GH515" s="335"/>
      <c r="GI515" s="335"/>
      <c r="GJ515" s="335"/>
      <c r="GK515" s="335"/>
      <c r="GL515" s="335"/>
      <c r="GM515" s="335"/>
      <c r="GN515" s="335"/>
      <c r="GO515" s="335"/>
      <c r="GP515" s="335"/>
      <c r="GQ515" s="335"/>
      <c r="GR515" s="335"/>
      <c r="GS515" s="335"/>
      <c r="GT515" s="335"/>
      <c r="GU515" s="335"/>
      <c r="GV515" s="335"/>
      <c r="GW515" s="335"/>
      <c r="GX515" s="335"/>
      <c r="GY515" s="335"/>
      <c r="GZ515" s="335"/>
    </row>
    <row r="516" spans="1:208" ht="15">
      <c r="A516" s="379"/>
      <c r="B516" s="335"/>
      <c r="C516" s="335"/>
      <c r="D516" s="335"/>
      <c r="E516" s="335"/>
      <c r="F516" s="335"/>
      <c r="G516" s="335"/>
      <c r="H516" s="335"/>
      <c r="I516" s="335"/>
      <c r="J516" s="335"/>
      <c r="K516" s="335"/>
      <c r="L516" s="335"/>
      <c r="M516" s="376"/>
      <c r="N516" s="335"/>
      <c r="O516" s="380"/>
      <c r="P516" s="335"/>
      <c r="Q516" s="335"/>
      <c r="R516" s="335"/>
      <c r="S516" s="335"/>
      <c r="T516" s="335"/>
      <c r="U516" s="335"/>
      <c r="V516" s="335"/>
      <c r="W516" s="335"/>
      <c r="X516" s="335"/>
      <c r="Y516" s="335"/>
      <c r="Z516" s="335"/>
      <c r="AA516" s="335"/>
      <c r="AB516" s="335"/>
      <c r="AC516" s="335"/>
      <c r="AD516" s="335"/>
      <c r="AE516" s="335"/>
      <c r="AF516" s="335"/>
      <c r="AG516" s="335"/>
      <c r="AH516" s="335"/>
      <c r="AI516" s="335"/>
      <c r="AJ516" s="335"/>
      <c r="AK516" s="335"/>
      <c r="AL516" s="335"/>
      <c r="AM516" s="335"/>
      <c r="AN516" s="335"/>
      <c r="AO516" s="335"/>
      <c r="AP516" s="335"/>
      <c r="AQ516" s="335"/>
      <c r="AR516" s="335"/>
      <c r="AS516" s="335"/>
      <c r="AT516" s="335"/>
      <c r="AU516" s="335"/>
      <c r="AV516" s="335"/>
      <c r="AW516" s="335"/>
      <c r="AX516" s="335"/>
      <c r="AY516" s="335"/>
      <c r="AZ516" s="335"/>
      <c r="BA516" s="335"/>
      <c r="BB516" s="335"/>
      <c r="BC516" s="335"/>
      <c r="BD516" s="335"/>
      <c r="BE516" s="335"/>
      <c r="BF516" s="335"/>
      <c r="BG516" s="335"/>
      <c r="BH516" s="335"/>
      <c r="BI516" s="335"/>
      <c r="BJ516" s="335"/>
      <c r="BK516" s="335"/>
      <c r="BL516" s="335"/>
      <c r="BM516" s="335"/>
      <c r="BN516" s="335"/>
      <c r="BO516" s="335"/>
      <c r="BP516" s="335"/>
      <c r="BQ516" s="335"/>
      <c r="BR516" s="335"/>
      <c r="BS516" s="335"/>
      <c r="BT516" s="335"/>
      <c r="BU516" s="335"/>
      <c r="BV516" s="335"/>
      <c r="BW516" s="335"/>
      <c r="BX516" s="335"/>
      <c r="BY516" s="335"/>
      <c r="BZ516" s="335"/>
      <c r="CA516" s="335"/>
      <c r="CB516" s="335"/>
      <c r="CC516" s="335"/>
      <c r="CD516" s="335"/>
      <c r="CE516" s="335"/>
      <c r="CF516" s="335"/>
      <c r="CG516" s="335"/>
      <c r="CH516" s="335"/>
      <c r="CI516" s="335"/>
      <c r="CJ516" s="335"/>
      <c r="CK516" s="335"/>
      <c r="CL516" s="335"/>
      <c r="CM516" s="335"/>
      <c r="CN516" s="335"/>
      <c r="CO516" s="335"/>
      <c r="CP516" s="335"/>
      <c r="CQ516" s="335"/>
      <c r="CR516" s="335"/>
      <c r="CS516" s="335"/>
      <c r="CT516" s="335"/>
      <c r="CU516" s="335"/>
      <c r="CV516" s="335"/>
      <c r="CW516" s="335"/>
      <c r="CX516" s="335"/>
      <c r="CY516" s="335"/>
      <c r="CZ516" s="335"/>
      <c r="DA516" s="335"/>
      <c r="DB516" s="335"/>
      <c r="DC516" s="335"/>
      <c r="DD516" s="335"/>
      <c r="DE516" s="335"/>
      <c r="DF516" s="335"/>
      <c r="DG516" s="335"/>
      <c r="DH516" s="335"/>
      <c r="DI516" s="335"/>
      <c r="DJ516" s="335"/>
      <c r="DK516" s="335"/>
      <c r="DL516" s="335"/>
      <c r="DM516" s="335"/>
      <c r="DN516" s="335"/>
      <c r="DO516" s="335"/>
      <c r="DP516" s="335"/>
      <c r="DQ516" s="335"/>
      <c r="DR516" s="335"/>
      <c r="DS516" s="335"/>
      <c r="DT516" s="335"/>
      <c r="DU516" s="335"/>
      <c r="DV516" s="335"/>
      <c r="DW516" s="335"/>
      <c r="DX516" s="335"/>
      <c r="DY516" s="335"/>
      <c r="DZ516" s="335"/>
      <c r="EA516" s="335"/>
      <c r="EB516" s="335"/>
      <c r="EC516" s="335"/>
      <c r="ED516" s="335"/>
      <c r="EE516" s="335"/>
      <c r="EF516" s="335"/>
      <c r="EG516" s="335"/>
      <c r="EH516" s="335"/>
      <c r="EI516" s="335"/>
      <c r="EJ516" s="335"/>
      <c r="EK516" s="335"/>
      <c r="EL516" s="335"/>
      <c r="EM516" s="335"/>
      <c r="EN516" s="335"/>
      <c r="EO516" s="335"/>
      <c r="EP516" s="335"/>
      <c r="EQ516" s="335"/>
      <c r="ER516" s="335"/>
      <c r="ES516" s="335"/>
      <c r="ET516" s="335"/>
      <c r="EU516" s="335"/>
      <c r="EV516" s="335"/>
      <c r="EW516" s="335"/>
      <c r="EX516" s="335"/>
      <c r="EY516" s="335"/>
      <c r="EZ516" s="335"/>
      <c r="FA516" s="335"/>
      <c r="FB516" s="335"/>
      <c r="FC516" s="335"/>
      <c r="FD516" s="335"/>
      <c r="FE516" s="335"/>
      <c r="FF516" s="335"/>
      <c r="FG516" s="335"/>
      <c r="FH516" s="335"/>
      <c r="FI516" s="335"/>
      <c r="FJ516" s="335"/>
      <c r="FK516" s="335"/>
      <c r="FL516" s="335"/>
      <c r="FM516" s="335"/>
      <c r="FN516" s="335"/>
      <c r="FO516" s="335"/>
      <c r="FP516" s="335"/>
      <c r="FQ516" s="335"/>
      <c r="FR516" s="335"/>
      <c r="FS516" s="335"/>
      <c r="FT516" s="335"/>
      <c r="FU516" s="335"/>
      <c r="FV516" s="335"/>
      <c r="FW516" s="335"/>
      <c r="FX516" s="335"/>
      <c r="FY516" s="335"/>
      <c r="FZ516" s="335"/>
      <c r="GA516" s="335"/>
      <c r="GB516" s="335"/>
      <c r="GC516" s="335"/>
      <c r="GD516" s="335"/>
      <c r="GE516" s="335"/>
      <c r="GF516" s="335"/>
      <c r="GG516" s="335"/>
      <c r="GH516" s="335"/>
      <c r="GI516" s="335"/>
      <c r="GJ516" s="335"/>
      <c r="GK516" s="335"/>
      <c r="GL516" s="335"/>
      <c r="GM516" s="335"/>
      <c r="GN516" s="335"/>
      <c r="GO516" s="335"/>
      <c r="GP516" s="335"/>
      <c r="GQ516" s="335"/>
      <c r="GR516" s="335"/>
      <c r="GS516" s="335"/>
      <c r="GT516" s="335"/>
      <c r="GU516" s="335"/>
      <c r="GV516" s="335"/>
      <c r="GW516" s="335"/>
      <c r="GX516" s="335"/>
      <c r="GY516" s="335"/>
      <c r="GZ516" s="335"/>
    </row>
    <row r="517" spans="1:208" ht="15">
      <c r="A517" s="379"/>
      <c r="B517" s="335"/>
      <c r="C517" s="335"/>
      <c r="D517" s="335"/>
      <c r="E517" s="335"/>
      <c r="F517" s="335"/>
      <c r="G517" s="335"/>
      <c r="H517" s="335"/>
      <c r="I517" s="335"/>
      <c r="J517" s="335"/>
      <c r="K517" s="335"/>
      <c r="L517" s="335"/>
      <c r="M517" s="376"/>
      <c r="N517" s="335"/>
      <c r="O517" s="380"/>
      <c r="P517" s="335"/>
      <c r="Q517" s="335"/>
      <c r="R517" s="335"/>
      <c r="S517" s="335"/>
      <c r="T517" s="335"/>
      <c r="U517" s="335"/>
      <c r="V517" s="335"/>
      <c r="W517" s="335"/>
      <c r="X517" s="335"/>
      <c r="Y517" s="335"/>
      <c r="Z517" s="335"/>
      <c r="AA517" s="335"/>
      <c r="AB517" s="335"/>
      <c r="AC517" s="335"/>
      <c r="AD517" s="335"/>
      <c r="AE517" s="335"/>
      <c r="AF517" s="335"/>
      <c r="AG517" s="335"/>
      <c r="AH517" s="335"/>
      <c r="AI517" s="335"/>
      <c r="AJ517" s="335"/>
      <c r="AK517" s="335"/>
      <c r="AL517" s="335"/>
      <c r="AM517" s="335"/>
      <c r="AN517" s="335"/>
      <c r="AO517" s="335"/>
      <c r="AP517" s="335"/>
      <c r="AQ517" s="335"/>
      <c r="AR517" s="335"/>
      <c r="AS517" s="335"/>
      <c r="AT517" s="335"/>
      <c r="AU517" s="335"/>
      <c r="AV517" s="335"/>
      <c r="AW517" s="335"/>
      <c r="AX517" s="335"/>
      <c r="AY517" s="335"/>
      <c r="AZ517" s="335"/>
      <c r="BA517" s="335"/>
      <c r="BB517" s="335"/>
      <c r="BC517" s="335"/>
      <c r="BD517" s="335"/>
      <c r="BE517" s="335"/>
      <c r="BF517" s="335"/>
      <c r="BG517" s="335"/>
      <c r="BH517" s="335"/>
      <c r="BI517" s="335"/>
      <c r="BJ517" s="335"/>
      <c r="BK517" s="335"/>
      <c r="BL517" s="335"/>
      <c r="BM517" s="335"/>
      <c r="BN517" s="335"/>
      <c r="BO517" s="335"/>
      <c r="BP517" s="335"/>
      <c r="BQ517" s="335"/>
      <c r="BR517" s="335"/>
      <c r="BS517" s="335"/>
      <c r="BT517" s="335"/>
      <c r="BU517" s="335"/>
      <c r="BV517" s="335"/>
      <c r="BW517" s="335"/>
      <c r="BX517" s="335"/>
      <c r="BY517" s="335"/>
      <c r="BZ517" s="335"/>
      <c r="CA517" s="335"/>
      <c r="CB517" s="335"/>
      <c r="CC517" s="335"/>
      <c r="CD517" s="335"/>
      <c r="CE517" s="335"/>
      <c r="CF517" s="335"/>
      <c r="CG517" s="335"/>
      <c r="CH517" s="335"/>
      <c r="CI517" s="335"/>
      <c r="CJ517" s="335"/>
      <c r="CK517" s="335"/>
      <c r="CL517" s="335"/>
      <c r="CM517" s="335"/>
      <c r="CN517" s="335"/>
      <c r="CO517" s="335"/>
      <c r="CP517" s="335"/>
      <c r="CQ517" s="335"/>
      <c r="CR517" s="335"/>
      <c r="CS517" s="335"/>
      <c r="CT517" s="335"/>
      <c r="CU517" s="335"/>
      <c r="CV517" s="335"/>
      <c r="CW517" s="335"/>
      <c r="CX517" s="335"/>
      <c r="CY517" s="335"/>
      <c r="CZ517" s="335"/>
      <c r="DA517" s="335"/>
      <c r="DB517" s="335"/>
      <c r="DC517" s="335"/>
      <c r="DD517" s="335"/>
      <c r="DE517" s="335"/>
      <c r="DF517" s="335"/>
      <c r="DG517" s="335"/>
      <c r="DH517" s="335"/>
      <c r="DI517" s="335"/>
      <c r="DJ517" s="335"/>
      <c r="DK517" s="335"/>
      <c r="DL517" s="335"/>
      <c r="DM517" s="335"/>
      <c r="DN517" s="335"/>
      <c r="DO517" s="335"/>
      <c r="DP517" s="335"/>
      <c r="DQ517" s="335"/>
      <c r="DR517" s="335"/>
      <c r="DS517" s="335"/>
      <c r="DT517" s="335"/>
      <c r="DU517" s="335"/>
      <c r="DV517" s="335"/>
      <c r="DW517" s="335"/>
      <c r="DX517" s="335"/>
      <c r="DY517" s="335"/>
      <c r="DZ517" s="335"/>
      <c r="EA517" s="335"/>
      <c r="EB517" s="335"/>
      <c r="EC517" s="335"/>
      <c r="ED517" s="335"/>
      <c r="EE517" s="335"/>
      <c r="EF517" s="335"/>
      <c r="EG517" s="335"/>
      <c r="EH517" s="335"/>
      <c r="EI517" s="335"/>
      <c r="EJ517" s="335"/>
      <c r="EK517" s="335"/>
      <c r="EL517" s="335"/>
      <c r="EM517" s="335"/>
      <c r="EN517" s="335"/>
      <c r="EO517" s="335"/>
      <c r="EP517" s="335"/>
      <c r="EQ517" s="335"/>
      <c r="ER517" s="335"/>
      <c r="ES517" s="335"/>
      <c r="ET517" s="335"/>
      <c r="EU517" s="335"/>
      <c r="EV517" s="335"/>
      <c r="EW517" s="335"/>
      <c r="EX517" s="335"/>
      <c r="EY517" s="335"/>
      <c r="EZ517" s="335"/>
      <c r="FA517" s="335"/>
      <c r="FB517" s="335"/>
      <c r="FC517" s="335"/>
      <c r="FD517" s="335"/>
      <c r="FE517" s="335"/>
      <c r="FF517" s="335"/>
      <c r="FG517" s="335"/>
      <c r="FH517" s="335"/>
      <c r="FI517" s="335"/>
      <c r="FJ517" s="335"/>
      <c r="FK517" s="335"/>
      <c r="FL517" s="335"/>
      <c r="FM517" s="335"/>
      <c r="FN517" s="335"/>
      <c r="FO517" s="335"/>
      <c r="FP517" s="335"/>
      <c r="FQ517" s="335"/>
      <c r="FR517" s="335"/>
      <c r="FS517" s="335"/>
      <c r="FT517" s="335"/>
      <c r="FU517" s="335"/>
      <c r="FV517" s="335"/>
      <c r="FW517" s="335"/>
      <c r="FX517" s="335"/>
      <c r="FY517" s="335"/>
      <c r="FZ517" s="335"/>
      <c r="GA517" s="335"/>
      <c r="GB517" s="335"/>
      <c r="GC517" s="335"/>
      <c r="GD517" s="335"/>
      <c r="GE517" s="335"/>
      <c r="GF517" s="335"/>
      <c r="GG517" s="335"/>
      <c r="GH517" s="335"/>
      <c r="GI517" s="335"/>
      <c r="GJ517" s="335"/>
      <c r="GK517" s="335"/>
      <c r="GL517" s="335"/>
      <c r="GM517" s="335"/>
      <c r="GN517" s="335"/>
      <c r="GO517" s="335"/>
      <c r="GP517" s="335"/>
      <c r="GQ517" s="335"/>
      <c r="GR517" s="335"/>
      <c r="GS517" s="335"/>
      <c r="GT517" s="335"/>
      <c r="GU517" s="335"/>
      <c r="GV517" s="335"/>
      <c r="GW517" s="335"/>
      <c r="GX517" s="335"/>
      <c r="GY517" s="335"/>
      <c r="GZ517" s="335"/>
    </row>
    <row r="518" spans="1:208" ht="15">
      <c r="A518" s="379"/>
      <c r="B518" s="335"/>
      <c r="C518" s="335"/>
      <c r="D518" s="335"/>
      <c r="E518" s="335"/>
      <c r="F518" s="335"/>
      <c r="G518" s="335"/>
      <c r="H518" s="335"/>
      <c r="I518" s="335"/>
      <c r="J518" s="335"/>
      <c r="K518" s="335"/>
      <c r="L518" s="335"/>
      <c r="M518" s="376"/>
      <c r="N518" s="335"/>
      <c r="O518" s="380"/>
      <c r="P518" s="335"/>
      <c r="Q518" s="335"/>
      <c r="R518" s="335"/>
      <c r="S518" s="335"/>
      <c r="T518" s="335"/>
      <c r="U518" s="335"/>
      <c r="V518" s="335"/>
      <c r="W518" s="335"/>
      <c r="X518" s="335"/>
      <c r="Y518" s="335"/>
      <c r="Z518" s="335"/>
      <c r="AA518" s="335"/>
      <c r="AB518" s="335"/>
      <c r="AC518" s="335"/>
      <c r="AD518" s="335"/>
      <c r="AE518" s="335"/>
      <c r="AF518" s="335"/>
      <c r="AG518" s="335"/>
      <c r="AH518" s="335"/>
      <c r="AI518" s="335"/>
      <c r="AJ518" s="335"/>
      <c r="AK518" s="335"/>
      <c r="AL518" s="335"/>
      <c r="AM518" s="335"/>
      <c r="AN518" s="335"/>
      <c r="AO518" s="335"/>
      <c r="AP518" s="335"/>
      <c r="AQ518" s="335"/>
      <c r="AR518" s="335"/>
      <c r="AS518" s="335"/>
      <c r="AT518" s="335"/>
      <c r="AU518" s="335"/>
      <c r="AV518" s="335"/>
      <c r="AW518" s="335"/>
      <c r="AX518" s="335"/>
      <c r="AY518" s="335"/>
      <c r="AZ518" s="335"/>
      <c r="BA518" s="335"/>
      <c r="BB518" s="335"/>
      <c r="BC518" s="335"/>
      <c r="BD518" s="335"/>
      <c r="BE518" s="335"/>
      <c r="BF518" s="335"/>
      <c r="BG518" s="335"/>
      <c r="BH518" s="335"/>
      <c r="BI518" s="335"/>
      <c r="BJ518" s="335"/>
      <c r="BK518" s="335"/>
      <c r="BL518" s="335"/>
      <c r="BM518" s="335"/>
      <c r="BN518" s="335"/>
      <c r="BO518" s="335"/>
      <c r="BP518" s="335"/>
      <c r="BQ518" s="335"/>
      <c r="BR518" s="335"/>
      <c r="BS518" s="335"/>
      <c r="BT518" s="335"/>
      <c r="BU518" s="335"/>
      <c r="BV518" s="335"/>
      <c r="BW518" s="335"/>
      <c r="BX518" s="335"/>
      <c r="BY518" s="335"/>
      <c r="BZ518" s="335"/>
      <c r="CA518" s="335"/>
      <c r="CB518" s="335"/>
      <c r="CC518" s="335"/>
      <c r="CD518" s="335"/>
      <c r="CE518" s="335"/>
      <c r="CF518" s="335"/>
      <c r="CG518" s="335"/>
      <c r="CH518" s="335"/>
      <c r="CI518" s="335"/>
      <c r="CJ518" s="335"/>
      <c r="CK518" s="335"/>
      <c r="CL518" s="335"/>
      <c r="CM518" s="335"/>
      <c r="CN518" s="335"/>
      <c r="CO518" s="335"/>
      <c r="CP518" s="335"/>
      <c r="CQ518" s="335"/>
      <c r="CR518" s="335"/>
      <c r="CS518" s="335"/>
      <c r="CT518" s="335"/>
      <c r="CU518" s="335"/>
      <c r="CV518" s="335"/>
      <c r="CW518" s="335"/>
      <c r="CX518" s="335"/>
      <c r="CY518" s="335"/>
      <c r="CZ518" s="335"/>
      <c r="DA518" s="335"/>
      <c r="DB518" s="335"/>
      <c r="DC518" s="335"/>
      <c r="DD518" s="335"/>
      <c r="DE518" s="335"/>
      <c r="DF518" s="335"/>
      <c r="DG518" s="335"/>
      <c r="DH518" s="335"/>
      <c r="DI518" s="335"/>
      <c r="DJ518" s="335"/>
      <c r="DK518" s="335"/>
      <c r="DL518" s="335"/>
      <c r="DM518" s="335"/>
      <c r="DN518" s="335"/>
      <c r="DO518" s="335"/>
      <c r="DP518" s="335"/>
      <c r="DQ518" s="335"/>
      <c r="DR518" s="335"/>
      <c r="DS518" s="335"/>
      <c r="DT518" s="335"/>
      <c r="DU518" s="335"/>
      <c r="DV518" s="335"/>
      <c r="DW518" s="335"/>
      <c r="DX518" s="335"/>
      <c r="DY518" s="335"/>
      <c r="DZ518" s="335"/>
      <c r="EA518" s="335"/>
      <c r="EB518" s="335"/>
      <c r="EC518" s="335"/>
      <c r="ED518" s="335"/>
      <c r="EE518" s="335"/>
      <c r="EF518" s="335"/>
      <c r="EG518" s="335"/>
      <c r="EH518" s="335"/>
      <c r="EI518" s="335"/>
      <c r="EJ518" s="335"/>
      <c r="EK518" s="335"/>
      <c r="EL518" s="335"/>
      <c r="EM518" s="335"/>
      <c r="EN518" s="335"/>
      <c r="EO518" s="335"/>
      <c r="EP518" s="335"/>
      <c r="EQ518" s="335"/>
      <c r="ER518" s="335"/>
      <c r="ES518" s="335"/>
      <c r="ET518" s="335"/>
      <c r="EU518" s="335"/>
      <c r="EV518" s="335"/>
      <c r="EW518" s="335"/>
      <c r="EX518" s="335"/>
      <c r="EY518" s="335"/>
      <c r="EZ518" s="335"/>
      <c r="FA518" s="335"/>
      <c r="FB518" s="335"/>
      <c r="FC518" s="335"/>
      <c r="FD518" s="335"/>
      <c r="FE518" s="335"/>
      <c r="FF518" s="335"/>
      <c r="FG518" s="335"/>
      <c r="FH518" s="335"/>
      <c r="FI518" s="335"/>
      <c r="FJ518" s="335"/>
      <c r="FK518" s="335"/>
      <c r="FL518" s="335"/>
      <c r="FM518" s="335"/>
      <c r="FN518" s="335"/>
      <c r="FO518" s="335"/>
      <c r="FP518" s="335"/>
      <c r="FQ518" s="335"/>
      <c r="FR518" s="335"/>
      <c r="FS518" s="335"/>
      <c r="FT518" s="335"/>
      <c r="FU518" s="335"/>
      <c r="FV518" s="335"/>
      <c r="FW518" s="335"/>
      <c r="FX518" s="335"/>
      <c r="FY518" s="335"/>
      <c r="FZ518" s="335"/>
      <c r="GA518" s="335"/>
      <c r="GB518" s="335"/>
      <c r="GC518" s="335"/>
      <c r="GD518" s="335"/>
      <c r="GE518" s="335"/>
      <c r="GF518" s="335"/>
      <c r="GG518" s="335"/>
      <c r="GH518" s="335"/>
      <c r="GI518" s="335"/>
      <c r="GJ518" s="335"/>
      <c r="GK518" s="335"/>
      <c r="GL518" s="335"/>
      <c r="GM518" s="335"/>
      <c r="GN518" s="335"/>
      <c r="GO518" s="335"/>
      <c r="GP518" s="335"/>
      <c r="GQ518" s="335"/>
      <c r="GR518" s="335"/>
      <c r="GS518" s="335"/>
      <c r="GT518" s="335"/>
      <c r="GU518" s="335"/>
      <c r="GV518" s="335"/>
      <c r="GW518" s="335"/>
      <c r="GX518" s="335"/>
      <c r="GY518" s="335"/>
      <c r="GZ518" s="335"/>
    </row>
    <row r="519" spans="1:208" ht="15">
      <c r="A519" s="379"/>
      <c r="B519" s="335"/>
      <c r="C519" s="335"/>
      <c r="D519" s="335"/>
      <c r="E519" s="335"/>
      <c r="F519" s="335"/>
      <c r="G519" s="335"/>
      <c r="H519" s="335"/>
      <c r="I519" s="335"/>
      <c r="J519" s="335"/>
      <c r="K519" s="335"/>
      <c r="L519" s="335"/>
      <c r="M519" s="376"/>
      <c r="N519" s="335"/>
      <c r="O519" s="380"/>
      <c r="P519" s="335"/>
      <c r="Q519" s="335"/>
      <c r="R519" s="335"/>
      <c r="S519" s="335"/>
      <c r="T519" s="335"/>
      <c r="U519" s="335"/>
      <c r="V519" s="335"/>
      <c r="W519" s="335"/>
      <c r="X519" s="335"/>
      <c r="Y519" s="335"/>
      <c r="Z519" s="335"/>
      <c r="AA519" s="335"/>
      <c r="AB519" s="335"/>
      <c r="AC519" s="335"/>
      <c r="AD519" s="335"/>
      <c r="AE519" s="335"/>
      <c r="AF519" s="335"/>
      <c r="AG519" s="335"/>
      <c r="AH519" s="335"/>
      <c r="AI519" s="335"/>
      <c r="AJ519" s="335"/>
      <c r="AK519" s="335"/>
      <c r="AL519" s="335"/>
      <c r="AM519" s="335"/>
      <c r="AN519" s="335"/>
      <c r="AO519" s="335"/>
      <c r="AP519" s="335"/>
      <c r="AQ519" s="335"/>
      <c r="AR519" s="335"/>
      <c r="AS519" s="335"/>
      <c r="AT519" s="335"/>
      <c r="AU519" s="335"/>
      <c r="AV519" s="335"/>
      <c r="AW519" s="335"/>
      <c r="AX519" s="335"/>
      <c r="AY519" s="335"/>
      <c r="AZ519" s="335"/>
      <c r="BA519" s="335"/>
      <c r="BB519" s="335"/>
      <c r="BC519" s="335"/>
      <c r="BD519" s="335"/>
      <c r="BE519" s="335"/>
      <c r="BF519" s="335"/>
      <c r="BG519" s="335"/>
      <c r="BH519" s="335"/>
      <c r="BI519" s="335"/>
      <c r="BJ519" s="335"/>
      <c r="BK519" s="335"/>
      <c r="BL519" s="335"/>
      <c r="BM519" s="335"/>
      <c r="BN519" s="335"/>
      <c r="BO519" s="335"/>
      <c r="BP519" s="335"/>
      <c r="BQ519" s="335"/>
      <c r="BR519" s="335"/>
      <c r="BS519" s="335"/>
      <c r="BT519" s="335"/>
      <c r="BU519" s="335"/>
      <c r="BV519" s="335"/>
      <c r="BW519" s="335"/>
      <c r="BX519" s="335"/>
      <c r="BY519" s="335"/>
      <c r="BZ519" s="335"/>
      <c r="CA519" s="335"/>
      <c r="CB519" s="335"/>
      <c r="CC519" s="335"/>
      <c r="CD519" s="335"/>
      <c r="CE519" s="335"/>
      <c r="CF519" s="335"/>
      <c r="CG519" s="335"/>
      <c r="CH519" s="335"/>
      <c r="CI519" s="335"/>
      <c r="CJ519" s="335"/>
      <c r="CK519" s="335"/>
      <c r="CL519" s="335"/>
      <c r="CM519" s="335"/>
      <c r="CN519" s="335"/>
      <c r="CO519" s="335"/>
      <c r="CP519" s="335"/>
      <c r="CQ519" s="335"/>
      <c r="CR519" s="335"/>
      <c r="CS519" s="335"/>
      <c r="CT519" s="335"/>
      <c r="CU519" s="335"/>
      <c r="CV519" s="335"/>
      <c r="CW519" s="335"/>
      <c r="CX519" s="335"/>
      <c r="CY519" s="335"/>
      <c r="CZ519" s="335"/>
      <c r="DA519" s="335"/>
      <c r="DB519" s="335"/>
      <c r="DC519" s="335"/>
      <c r="DD519" s="335"/>
      <c r="DE519" s="335"/>
      <c r="DF519" s="335"/>
      <c r="DG519" s="335"/>
      <c r="DH519" s="335"/>
      <c r="DI519" s="335"/>
      <c r="DJ519" s="335"/>
      <c r="DK519" s="335"/>
      <c r="DL519" s="335"/>
      <c r="DM519" s="335"/>
      <c r="DN519" s="335"/>
      <c r="DO519" s="335"/>
      <c r="DP519" s="335"/>
      <c r="DQ519" s="335"/>
      <c r="DR519" s="335"/>
      <c r="DS519" s="335"/>
      <c r="DT519" s="335"/>
      <c r="DU519" s="335"/>
      <c r="DV519" s="335"/>
      <c r="DW519" s="335"/>
      <c r="DX519" s="335"/>
      <c r="DY519" s="335"/>
      <c r="DZ519" s="335"/>
      <c r="EA519" s="335"/>
      <c r="EB519" s="335"/>
      <c r="EC519" s="335"/>
      <c r="ED519" s="335"/>
      <c r="EE519" s="335"/>
      <c r="EF519" s="335"/>
      <c r="EG519" s="335"/>
      <c r="EH519" s="335"/>
      <c r="EI519" s="335"/>
      <c r="EJ519" s="335"/>
      <c r="EK519" s="335"/>
      <c r="EL519" s="335"/>
      <c r="EM519" s="335"/>
      <c r="EN519" s="335"/>
      <c r="EO519" s="335"/>
      <c r="EP519" s="335"/>
      <c r="EQ519" s="335"/>
      <c r="ER519" s="335"/>
      <c r="ES519" s="335"/>
      <c r="ET519" s="335"/>
      <c r="EU519" s="335"/>
      <c r="EV519" s="335"/>
      <c r="EW519" s="335"/>
      <c r="EX519" s="335"/>
      <c r="EY519" s="335"/>
      <c r="EZ519" s="335"/>
      <c r="FA519" s="335"/>
      <c r="FB519" s="335"/>
      <c r="FC519" s="335"/>
      <c r="FD519" s="335"/>
      <c r="FE519" s="335"/>
      <c r="FF519" s="335"/>
      <c r="FG519" s="335"/>
      <c r="FH519" s="335"/>
      <c r="FI519" s="335"/>
      <c r="FJ519" s="335"/>
      <c r="FK519" s="335"/>
      <c r="FL519" s="335"/>
      <c r="FM519" s="335"/>
      <c r="FN519" s="335"/>
      <c r="FO519" s="335"/>
      <c r="FP519" s="335"/>
      <c r="FQ519" s="335"/>
      <c r="FR519" s="335"/>
      <c r="FS519" s="335"/>
      <c r="FT519" s="335"/>
      <c r="FU519" s="335"/>
      <c r="FV519" s="335"/>
      <c r="FW519" s="335"/>
      <c r="FX519" s="335"/>
      <c r="FY519" s="335"/>
      <c r="FZ519" s="335"/>
      <c r="GA519" s="335"/>
      <c r="GB519" s="335"/>
      <c r="GC519" s="335"/>
      <c r="GD519" s="335"/>
      <c r="GE519" s="335"/>
      <c r="GF519" s="335"/>
      <c r="GG519" s="335"/>
      <c r="GH519" s="335"/>
      <c r="GI519" s="335"/>
      <c r="GJ519" s="335"/>
      <c r="GK519" s="335"/>
      <c r="GL519" s="335"/>
      <c r="GM519" s="335"/>
      <c r="GN519" s="335"/>
      <c r="GO519" s="335"/>
      <c r="GP519" s="335"/>
      <c r="GQ519" s="335"/>
      <c r="GR519" s="335"/>
      <c r="GS519" s="335"/>
      <c r="GT519" s="335"/>
      <c r="GU519" s="335"/>
      <c r="GV519" s="335"/>
      <c r="GW519" s="335"/>
      <c r="GX519" s="335"/>
      <c r="GY519" s="335"/>
      <c r="GZ519" s="335"/>
    </row>
    <row r="520" spans="1:208" ht="15">
      <c r="A520" s="379"/>
      <c r="B520" s="335"/>
      <c r="C520" s="335"/>
      <c r="D520" s="335"/>
      <c r="E520" s="335"/>
      <c r="F520" s="335"/>
      <c r="G520" s="335"/>
      <c r="H520" s="335"/>
      <c r="I520" s="335"/>
      <c r="J520" s="335"/>
      <c r="K520" s="335"/>
      <c r="L520" s="335"/>
      <c r="M520" s="376"/>
      <c r="N520" s="335"/>
      <c r="O520" s="380"/>
      <c r="P520" s="335"/>
      <c r="Q520" s="335"/>
      <c r="R520" s="335"/>
      <c r="S520" s="335"/>
      <c r="T520" s="335"/>
      <c r="U520" s="335"/>
      <c r="V520" s="335"/>
      <c r="W520" s="335"/>
      <c r="X520" s="335"/>
      <c r="Y520" s="335"/>
      <c r="Z520" s="335"/>
      <c r="AA520" s="335"/>
      <c r="AB520" s="335"/>
      <c r="AC520" s="335"/>
      <c r="AD520" s="335"/>
      <c r="AE520" s="335"/>
      <c r="AF520" s="335"/>
      <c r="AG520" s="335"/>
      <c r="AH520" s="335"/>
      <c r="AI520" s="335"/>
      <c r="AJ520" s="335"/>
      <c r="AK520" s="335"/>
      <c r="AL520" s="335"/>
      <c r="AM520" s="335"/>
      <c r="AN520" s="335"/>
      <c r="AO520" s="335"/>
      <c r="AP520" s="335"/>
      <c r="AQ520" s="335"/>
      <c r="AR520" s="335"/>
      <c r="AS520" s="335"/>
      <c r="AT520" s="335"/>
      <c r="AU520" s="335"/>
      <c r="AV520" s="335"/>
      <c r="AW520" s="335"/>
      <c r="AX520" s="335"/>
      <c r="AY520" s="335"/>
      <c r="AZ520" s="335"/>
      <c r="BA520" s="335"/>
      <c r="BB520" s="335"/>
      <c r="BC520" s="335"/>
      <c r="BD520" s="335"/>
      <c r="BE520" s="335"/>
      <c r="BF520" s="335"/>
      <c r="BG520" s="335"/>
      <c r="BH520" s="335"/>
      <c r="BI520" s="335"/>
      <c r="BJ520" s="335"/>
      <c r="BK520" s="335"/>
      <c r="BL520" s="335"/>
      <c r="BM520" s="335"/>
      <c r="BN520" s="335"/>
      <c r="BO520" s="335"/>
      <c r="BP520" s="335"/>
      <c r="BQ520" s="335"/>
      <c r="BR520" s="335"/>
      <c r="BS520" s="335"/>
      <c r="BT520" s="335"/>
      <c r="BU520" s="335"/>
      <c r="BV520" s="335"/>
      <c r="BW520" s="335"/>
      <c r="BX520" s="335"/>
      <c r="BY520" s="335"/>
      <c r="BZ520" s="335"/>
      <c r="CA520" s="335"/>
      <c r="CB520" s="335"/>
      <c r="CC520" s="335"/>
      <c r="CD520" s="335"/>
      <c r="CE520" s="335"/>
      <c r="CF520" s="335"/>
      <c r="CG520" s="335"/>
      <c r="CH520" s="335"/>
      <c r="CI520" s="335"/>
      <c r="CJ520" s="335"/>
      <c r="CK520" s="335"/>
      <c r="CL520" s="335"/>
      <c r="CM520" s="335"/>
      <c r="CN520" s="335"/>
      <c r="CO520" s="335"/>
      <c r="CP520" s="335"/>
      <c r="CQ520" s="335"/>
      <c r="CR520" s="335"/>
      <c r="CS520" s="335"/>
      <c r="CT520" s="335"/>
      <c r="CU520" s="335"/>
      <c r="CV520" s="335"/>
      <c r="CW520" s="335"/>
      <c r="CX520" s="335"/>
      <c r="CY520" s="335"/>
      <c r="CZ520" s="335"/>
      <c r="DA520" s="335"/>
      <c r="DB520" s="335"/>
      <c r="DC520" s="335"/>
      <c r="DD520" s="335"/>
      <c r="DE520" s="335"/>
      <c r="DF520" s="335"/>
      <c r="DG520" s="335"/>
      <c r="DH520" s="335"/>
      <c r="DI520" s="335"/>
      <c r="DJ520" s="335"/>
      <c r="DK520" s="335"/>
      <c r="DL520" s="335"/>
      <c r="DM520" s="335"/>
      <c r="DN520" s="335"/>
      <c r="DO520" s="335"/>
      <c r="DP520" s="335"/>
      <c r="DQ520" s="335"/>
      <c r="DR520" s="335"/>
      <c r="DS520" s="335"/>
      <c r="DT520" s="335"/>
      <c r="DU520" s="335"/>
      <c r="DV520" s="335"/>
      <c r="DW520" s="335"/>
      <c r="DX520" s="335"/>
      <c r="DY520" s="335"/>
      <c r="DZ520" s="335"/>
      <c r="EA520" s="335"/>
      <c r="EB520" s="335"/>
      <c r="EC520" s="335"/>
      <c r="ED520" s="335"/>
      <c r="EE520" s="335"/>
      <c r="EF520" s="335"/>
      <c r="EG520" s="335"/>
      <c r="EH520" s="335"/>
      <c r="EI520" s="335"/>
      <c r="EJ520" s="335"/>
      <c r="EK520" s="335"/>
      <c r="EL520" s="335"/>
      <c r="EM520" s="335"/>
      <c r="EN520" s="335"/>
      <c r="EO520" s="335"/>
      <c r="EP520" s="335"/>
      <c r="EQ520" s="335"/>
      <c r="ER520" s="335"/>
      <c r="ES520" s="335"/>
      <c r="ET520" s="335"/>
      <c r="EU520" s="335"/>
      <c r="EV520" s="335"/>
      <c r="EW520" s="335"/>
      <c r="EX520" s="335"/>
      <c r="EY520" s="335"/>
      <c r="EZ520" s="335"/>
      <c r="FA520" s="335"/>
      <c r="FB520" s="335"/>
      <c r="FC520" s="335"/>
      <c r="FD520" s="335"/>
      <c r="FE520" s="335"/>
      <c r="FF520" s="335"/>
      <c r="FG520" s="335"/>
      <c r="FH520" s="335"/>
      <c r="FI520" s="335"/>
      <c r="FJ520" s="335"/>
      <c r="FK520" s="335"/>
      <c r="FL520" s="335"/>
      <c r="FM520" s="335"/>
      <c r="FN520" s="335"/>
      <c r="FO520" s="335"/>
      <c r="FP520" s="335"/>
      <c r="FQ520" s="335"/>
      <c r="FR520" s="335"/>
      <c r="FS520" s="335"/>
      <c r="FT520" s="335"/>
      <c r="FU520" s="335"/>
      <c r="FV520" s="335"/>
      <c r="FW520" s="335"/>
      <c r="FX520" s="335"/>
      <c r="FY520" s="335"/>
      <c r="FZ520" s="335"/>
      <c r="GA520" s="335"/>
      <c r="GB520" s="335"/>
      <c r="GC520" s="335"/>
      <c r="GD520" s="335"/>
      <c r="GE520" s="335"/>
      <c r="GF520" s="335"/>
      <c r="GG520" s="335"/>
      <c r="GH520" s="335"/>
      <c r="GI520" s="335"/>
      <c r="GJ520" s="335"/>
      <c r="GK520" s="335"/>
      <c r="GL520" s="335"/>
      <c r="GM520" s="335"/>
      <c r="GN520" s="335"/>
      <c r="GO520" s="335"/>
      <c r="GP520" s="335"/>
      <c r="GQ520" s="335"/>
      <c r="GR520" s="335"/>
      <c r="GS520" s="335"/>
      <c r="GT520" s="335"/>
      <c r="GU520" s="335"/>
      <c r="GV520" s="335"/>
      <c r="GW520" s="335"/>
      <c r="GX520" s="335"/>
      <c r="GY520" s="335"/>
      <c r="GZ520" s="335"/>
    </row>
    <row r="521" spans="1:208" ht="15">
      <c r="A521" s="379"/>
      <c r="B521" s="335"/>
      <c r="C521" s="335"/>
      <c r="D521" s="335"/>
      <c r="E521" s="335"/>
      <c r="F521" s="335"/>
      <c r="G521" s="335"/>
      <c r="H521" s="335"/>
      <c r="I521" s="335"/>
      <c r="J521" s="335"/>
      <c r="K521" s="335"/>
      <c r="L521" s="335"/>
      <c r="M521" s="376"/>
      <c r="N521" s="335"/>
      <c r="O521" s="380"/>
      <c r="P521" s="335"/>
      <c r="Q521" s="335"/>
      <c r="R521" s="335"/>
      <c r="S521" s="335"/>
      <c r="T521" s="335"/>
      <c r="U521" s="335"/>
      <c r="V521" s="335"/>
      <c r="W521" s="335"/>
      <c r="X521" s="335"/>
      <c r="Y521" s="335"/>
      <c r="Z521" s="335"/>
      <c r="AA521" s="335"/>
      <c r="AB521" s="335"/>
      <c r="AC521" s="335"/>
      <c r="AD521" s="335"/>
      <c r="AE521" s="335"/>
      <c r="AF521" s="335"/>
      <c r="AG521" s="335"/>
      <c r="AH521" s="335"/>
      <c r="AI521" s="335"/>
      <c r="AJ521" s="335"/>
      <c r="AK521" s="335"/>
      <c r="AL521" s="335"/>
      <c r="AM521" s="335"/>
      <c r="AN521" s="335"/>
      <c r="AO521" s="335"/>
      <c r="AP521" s="335"/>
      <c r="AQ521" s="335"/>
      <c r="AR521" s="335"/>
      <c r="AS521" s="335"/>
      <c r="AT521" s="335"/>
      <c r="AU521" s="335"/>
      <c r="AV521" s="335"/>
      <c r="AW521" s="335"/>
      <c r="AX521" s="335"/>
      <c r="AY521" s="335"/>
      <c r="AZ521" s="335"/>
      <c r="BA521" s="335"/>
      <c r="BB521" s="335"/>
      <c r="BC521" s="335"/>
      <c r="BD521" s="335"/>
      <c r="BE521" s="335"/>
      <c r="BF521" s="335"/>
      <c r="BG521" s="335"/>
      <c r="BH521" s="335"/>
      <c r="BI521" s="335"/>
      <c r="BJ521" s="335"/>
      <c r="BK521" s="335"/>
      <c r="BL521" s="335"/>
      <c r="BM521" s="335"/>
      <c r="BN521" s="335"/>
      <c r="BO521" s="335"/>
      <c r="BP521" s="335"/>
      <c r="BQ521" s="335"/>
      <c r="BR521" s="335"/>
      <c r="BS521" s="335"/>
      <c r="BT521" s="335"/>
      <c r="BU521" s="335"/>
      <c r="BV521" s="335"/>
      <c r="BW521" s="335"/>
      <c r="BX521" s="335"/>
      <c r="BY521" s="335"/>
      <c r="BZ521" s="335"/>
      <c r="CA521" s="335"/>
      <c r="CB521" s="335"/>
      <c r="CC521" s="335"/>
      <c r="CD521" s="335"/>
      <c r="CE521" s="335"/>
      <c r="CF521" s="335"/>
      <c r="CG521" s="335"/>
      <c r="CH521" s="335"/>
      <c r="CI521" s="335"/>
      <c r="CJ521" s="335"/>
      <c r="CK521" s="335"/>
      <c r="CL521" s="335"/>
      <c r="CM521" s="335"/>
      <c r="CN521" s="335"/>
      <c r="CO521" s="335"/>
      <c r="CP521" s="335"/>
      <c r="CQ521" s="335"/>
      <c r="CR521" s="335"/>
      <c r="CS521" s="335"/>
      <c r="CT521" s="335"/>
      <c r="CU521" s="335"/>
      <c r="CV521" s="335"/>
      <c r="CW521" s="335"/>
      <c r="CX521" s="335"/>
      <c r="CY521" s="335"/>
      <c r="CZ521" s="335"/>
      <c r="DA521" s="335"/>
      <c r="DB521" s="335"/>
      <c r="DC521" s="335"/>
      <c r="DD521" s="335"/>
      <c r="DE521" s="335"/>
      <c r="DF521" s="335"/>
      <c r="DG521" s="335"/>
      <c r="DH521" s="335"/>
      <c r="DI521" s="335"/>
      <c r="DJ521" s="335"/>
      <c r="DK521" s="335"/>
      <c r="DL521" s="335"/>
      <c r="DM521" s="335"/>
      <c r="DN521" s="335"/>
      <c r="DO521" s="335"/>
      <c r="DP521" s="335"/>
      <c r="DQ521" s="335"/>
      <c r="DR521" s="335"/>
      <c r="DS521" s="335"/>
      <c r="DT521" s="335"/>
      <c r="DU521" s="335"/>
      <c r="DV521" s="335"/>
      <c r="DW521" s="335"/>
      <c r="DX521" s="335"/>
      <c r="DY521" s="335"/>
      <c r="DZ521" s="335"/>
      <c r="EA521" s="335"/>
      <c r="EB521" s="335"/>
      <c r="EC521" s="335"/>
      <c r="ED521" s="335"/>
      <c r="EE521" s="335"/>
      <c r="EF521" s="335"/>
      <c r="EG521" s="335"/>
      <c r="EH521" s="335"/>
      <c r="EI521" s="335"/>
      <c r="EJ521" s="335"/>
      <c r="EK521" s="335"/>
      <c r="EL521" s="335"/>
      <c r="EM521" s="335"/>
      <c r="EN521" s="335"/>
      <c r="EO521" s="335"/>
      <c r="EP521" s="335"/>
      <c r="EQ521" s="335"/>
      <c r="ER521" s="335"/>
      <c r="ES521" s="335"/>
      <c r="ET521" s="335"/>
      <c r="EU521" s="335"/>
      <c r="EV521" s="335"/>
      <c r="EW521" s="335"/>
      <c r="EX521" s="335"/>
      <c r="EY521" s="335"/>
      <c r="EZ521" s="335"/>
      <c r="FA521" s="335"/>
      <c r="FB521" s="335"/>
      <c r="FC521" s="335"/>
      <c r="FD521" s="335"/>
      <c r="FE521" s="335"/>
      <c r="FF521" s="335"/>
      <c r="FG521" s="335"/>
      <c r="FH521" s="335"/>
      <c r="FI521" s="335"/>
      <c r="FJ521" s="335"/>
      <c r="FK521" s="335"/>
      <c r="FL521" s="335"/>
      <c r="FM521" s="335"/>
      <c r="FN521" s="335"/>
      <c r="FO521" s="335"/>
      <c r="FP521" s="335"/>
      <c r="FQ521" s="335"/>
      <c r="FR521" s="335"/>
      <c r="FS521" s="335"/>
      <c r="FT521" s="335"/>
      <c r="FU521" s="335"/>
      <c r="FV521" s="335"/>
      <c r="FW521" s="335"/>
      <c r="FX521" s="335"/>
      <c r="FY521" s="335"/>
      <c r="FZ521" s="335"/>
      <c r="GA521" s="335"/>
      <c r="GB521" s="335"/>
      <c r="GC521" s="335"/>
      <c r="GD521" s="335"/>
      <c r="GE521" s="335"/>
      <c r="GF521" s="335"/>
      <c r="GG521" s="335"/>
      <c r="GH521" s="335"/>
      <c r="GI521" s="335"/>
      <c r="GJ521" s="335"/>
      <c r="GK521" s="335"/>
      <c r="GL521" s="335"/>
      <c r="GM521" s="335"/>
      <c r="GN521" s="335"/>
      <c r="GO521" s="335"/>
      <c r="GP521" s="335"/>
      <c r="GQ521" s="335"/>
      <c r="GR521" s="335"/>
      <c r="GS521" s="335"/>
      <c r="GT521" s="335"/>
      <c r="GU521" s="335"/>
      <c r="GV521" s="335"/>
      <c r="GW521" s="335"/>
      <c r="GX521" s="335"/>
      <c r="GY521" s="335"/>
      <c r="GZ521" s="335"/>
    </row>
    <row r="522" spans="1:208" ht="15">
      <c r="A522" s="379"/>
      <c r="B522" s="335"/>
      <c r="C522" s="335"/>
      <c r="D522" s="335"/>
      <c r="E522" s="335"/>
      <c r="F522" s="335"/>
      <c r="G522" s="335"/>
      <c r="H522" s="335"/>
      <c r="I522" s="335"/>
      <c r="J522" s="335"/>
      <c r="K522" s="335"/>
      <c r="L522" s="335"/>
      <c r="M522" s="376"/>
      <c r="N522" s="335"/>
      <c r="O522" s="380"/>
      <c r="P522" s="335"/>
      <c r="Q522" s="335"/>
      <c r="R522" s="335"/>
      <c r="S522" s="335"/>
      <c r="T522" s="335"/>
      <c r="U522" s="335"/>
      <c r="V522" s="335"/>
      <c r="W522" s="335"/>
      <c r="X522" s="335"/>
      <c r="Y522" s="335"/>
      <c r="Z522" s="335"/>
      <c r="AA522" s="335"/>
      <c r="AB522" s="335"/>
      <c r="AC522" s="335"/>
      <c r="AD522" s="335"/>
      <c r="AE522" s="335"/>
      <c r="AF522" s="335"/>
      <c r="AG522" s="335"/>
      <c r="AH522" s="335"/>
      <c r="AI522" s="335"/>
      <c r="AJ522" s="335"/>
      <c r="AK522" s="335"/>
      <c r="AL522" s="335"/>
      <c r="AM522" s="335"/>
      <c r="AN522" s="335"/>
      <c r="AO522" s="335"/>
      <c r="AP522" s="335"/>
      <c r="AQ522" s="335"/>
      <c r="AR522" s="335"/>
      <c r="AS522" s="335"/>
      <c r="AT522" s="335"/>
      <c r="AU522" s="335"/>
      <c r="AV522" s="335"/>
      <c r="AW522" s="335"/>
      <c r="AX522" s="335"/>
      <c r="AY522" s="335"/>
      <c r="AZ522" s="335"/>
      <c r="BA522" s="335"/>
      <c r="BB522" s="335"/>
      <c r="BC522" s="335"/>
      <c r="BD522" s="335"/>
      <c r="BE522" s="335"/>
      <c r="BF522" s="335"/>
      <c r="BG522" s="335"/>
      <c r="BH522" s="335"/>
      <c r="BI522" s="335"/>
      <c r="BJ522" s="335"/>
      <c r="BK522" s="335"/>
      <c r="BL522" s="335"/>
      <c r="BM522" s="335"/>
      <c r="BN522" s="335"/>
      <c r="BO522" s="335"/>
      <c r="BP522" s="335"/>
      <c r="BQ522" s="335"/>
      <c r="BR522" s="335"/>
      <c r="BS522" s="335"/>
      <c r="BT522" s="335"/>
      <c r="BU522" s="335"/>
      <c r="BV522" s="335"/>
      <c r="BW522" s="335"/>
      <c r="BX522" s="335"/>
      <c r="BY522" s="335"/>
      <c r="BZ522" s="335"/>
      <c r="CA522" s="335"/>
      <c r="CB522" s="335"/>
      <c r="CC522" s="335"/>
      <c r="CD522" s="335"/>
      <c r="CE522" s="335"/>
      <c r="CF522" s="335"/>
      <c r="CG522" s="335"/>
      <c r="CH522" s="335"/>
      <c r="CI522" s="335"/>
      <c r="CJ522" s="335"/>
      <c r="CK522" s="335"/>
      <c r="CL522" s="335"/>
      <c r="CM522" s="335"/>
      <c r="CN522" s="335"/>
      <c r="CO522" s="335"/>
      <c r="CP522" s="335"/>
      <c r="CQ522" s="335"/>
      <c r="CR522" s="335"/>
      <c r="CS522" s="335"/>
      <c r="CT522" s="335"/>
      <c r="CU522" s="335"/>
      <c r="CV522" s="335"/>
      <c r="CW522" s="335"/>
      <c r="CX522" s="335"/>
      <c r="CY522" s="335"/>
      <c r="CZ522" s="335"/>
      <c r="DA522" s="335"/>
      <c r="DB522" s="335"/>
      <c r="DC522" s="335"/>
      <c r="DD522" s="335"/>
      <c r="DE522" s="335"/>
      <c r="DF522" s="335"/>
      <c r="DG522" s="335"/>
      <c r="DH522" s="335"/>
      <c r="DI522" s="335"/>
      <c r="DJ522" s="335"/>
      <c r="DK522" s="335"/>
      <c r="DL522" s="335"/>
      <c r="DM522" s="335"/>
      <c r="DN522" s="335"/>
      <c r="DO522" s="335"/>
      <c r="DP522" s="335"/>
      <c r="DQ522" s="335"/>
      <c r="DR522" s="335"/>
      <c r="DS522" s="335"/>
      <c r="DT522" s="335"/>
      <c r="DU522" s="335"/>
      <c r="DV522" s="335"/>
      <c r="DW522" s="335"/>
      <c r="DX522" s="335"/>
      <c r="DY522" s="335"/>
      <c r="DZ522" s="335"/>
      <c r="EA522" s="335"/>
      <c r="EB522" s="335"/>
      <c r="EC522" s="335"/>
      <c r="ED522" s="335"/>
      <c r="EE522" s="335"/>
      <c r="EF522" s="335"/>
      <c r="EG522" s="335"/>
      <c r="EH522" s="335"/>
      <c r="EI522" s="335"/>
      <c r="EJ522" s="335"/>
      <c r="EK522" s="335"/>
      <c r="EL522" s="335"/>
      <c r="EM522" s="335"/>
      <c r="EN522" s="335"/>
      <c r="EO522" s="335"/>
      <c r="EP522" s="335"/>
      <c r="EQ522" s="335"/>
      <c r="ER522" s="335"/>
      <c r="ES522" s="335"/>
      <c r="ET522" s="335"/>
      <c r="EU522" s="335"/>
      <c r="EV522" s="335"/>
      <c r="EW522" s="335"/>
      <c r="EX522" s="335"/>
      <c r="EY522" s="335"/>
      <c r="EZ522" s="335"/>
      <c r="FA522" s="335"/>
      <c r="FB522" s="335"/>
      <c r="FC522" s="335"/>
      <c r="FD522" s="335"/>
      <c r="FE522" s="335"/>
      <c r="FF522" s="335"/>
      <c r="FG522" s="335"/>
      <c r="FH522" s="335"/>
      <c r="FI522" s="335"/>
      <c r="FJ522" s="335"/>
      <c r="FK522" s="335"/>
      <c r="FL522" s="335"/>
      <c r="FM522" s="335"/>
      <c r="FN522" s="335"/>
      <c r="FO522" s="335"/>
      <c r="FP522" s="335"/>
      <c r="FQ522" s="335"/>
      <c r="FR522" s="335"/>
      <c r="FS522" s="335"/>
      <c r="FT522" s="335"/>
      <c r="FU522" s="335"/>
      <c r="FV522" s="335"/>
      <c r="FW522" s="335"/>
      <c r="FX522" s="335"/>
      <c r="FY522" s="335"/>
      <c r="FZ522" s="335"/>
      <c r="GA522" s="335"/>
      <c r="GB522" s="335"/>
      <c r="GC522" s="335"/>
      <c r="GD522" s="335"/>
      <c r="GE522" s="335"/>
      <c r="GF522" s="335"/>
      <c r="GG522" s="335"/>
      <c r="GH522" s="335"/>
      <c r="GI522" s="335"/>
      <c r="GJ522" s="335"/>
      <c r="GK522" s="335"/>
      <c r="GL522" s="335"/>
      <c r="GM522" s="335"/>
      <c r="GN522" s="335"/>
      <c r="GO522" s="335"/>
      <c r="GP522" s="335"/>
      <c r="GQ522" s="335"/>
      <c r="GR522" s="335"/>
      <c r="GS522" s="335"/>
      <c r="GT522" s="335"/>
      <c r="GU522" s="335"/>
      <c r="GV522" s="335"/>
      <c r="GW522" s="335"/>
      <c r="GX522" s="335"/>
      <c r="GY522" s="335"/>
      <c r="GZ522" s="335"/>
    </row>
    <row r="523" spans="1:208" ht="15">
      <c r="A523" s="379"/>
      <c r="B523" s="335"/>
      <c r="C523" s="335"/>
      <c r="D523" s="335"/>
      <c r="E523" s="335"/>
      <c r="F523" s="335"/>
      <c r="G523" s="335"/>
      <c r="H523" s="335"/>
      <c r="I523" s="335"/>
      <c r="J523" s="335"/>
      <c r="K523" s="335"/>
      <c r="L523" s="335"/>
      <c r="M523" s="376"/>
      <c r="N523" s="335"/>
      <c r="O523" s="380"/>
      <c r="P523" s="335"/>
      <c r="Q523" s="335"/>
      <c r="R523" s="335"/>
      <c r="S523" s="335"/>
      <c r="T523" s="335"/>
      <c r="U523" s="335"/>
      <c r="V523" s="335"/>
      <c r="W523" s="335"/>
      <c r="X523" s="335"/>
      <c r="Y523" s="335"/>
      <c r="Z523" s="335"/>
      <c r="AA523" s="335"/>
      <c r="AB523" s="335"/>
      <c r="AC523" s="335"/>
      <c r="AD523" s="335"/>
      <c r="AE523" s="335"/>
      <c r="AF523" s="335"/>
      <c r="AG523" s="335"/>
      <c r="AH523" s="335"/>
      <c r="AI523" s="335"/>
      <c r="AJ523" s="335"/>
      <c r="AK523" s="335"/>
      <c r="AL523" s="335"/>
      <c r="AM523" s="335"/>
      <c r="AN523" s="335"/>
      <c r="AO523" s="335"/>
      <c r="AP523" s="335"/>
      <c r="AQ523" s="335"/>
      <c r="AR523" s="335"/>
      <c r="AS523" s="335"/>
      <c r="AT523" s="335"/>
      <c r="AU523" s="335"/>
      <c r="AV523" s="335"/>
      <c r="AW523" s="335"/>
      <c r="AX523" s="335"/>
      <c r="AY523" s="335"/>
      <c r="AZ523" s="335"/>
      <c r="BA523" s="335"/>
      <c r="BB523" s="335"/>
      <c r="BC523" s="335"/>
      <c r="BD523" s="335"/>
      <c r="BE523" s="335"/>
      <c r="BF523" s="335"/>
      <c r="BG523" s="335"/>
      <c r="BH523" s="335"/>
      <c r="BI523" s="335"/>
      <c r="BJ523" s="335"/>
      <c r="BK523" s="335"/>
      <c r="BL523" s="335"/>
      <c r="BM523" s="335"/>
      <c r="BN523" s="335"/>
      <c r="BO523" s="335"/>
      <c r="BP523" s="335"/>
      <c r="BQ523" s="335"/>
      <c r="BR523" s="335"/>
      <c r="BS523" s="335"/>
      <c r="BT523" s="335"/>
      <c r="BU523" s="335"/>
      <c r="BV523" s="335"/>
      <c r="BW523" s="335"/>
      <c r="BX523" s="335"/>
      <c r="BY523" s="335"/>
      <c r="BZ523" s="335"/>
      <c r="CA523" s="335"/>
      <c r="CB523" s="335"/>
      <c r="CC523" s="335"/>
      <c r="CD523" s="335"/>
      <c r="CE523" s="335"/>
      <c r="CF523" s="335"/>
      <c r="CG523" s="335"/>
      <c r="CH523" s="335"/>
      <c r="CI523" s="335"/>
      <c r="CJ523" s="335"/>
      <c r="CK523" s="335"/>
      <c r="CL523" s="335"/>
      <c r="CM523" s="335"/>
      <c r="CN523" s="335"/>
      <c r="CO523" s="335"/>
      <c r="CP523" s="335"/>
      <c r="CQ523" s="335"/>
      <c r="CR523" s="335"/>
      <c r="CS523" s="335"/>
      <c r="CT523" s="335"/>
      <c r="CU523" s="335"/>
      <c r="CV523" s="335"/>
      <c r="CW523" s="335"/>
      <c r="CX523" s="335"/>
      <c r="CY523" s="335"/>
      <c r="CZ523" s="335"/>
      <c r="DA523" s="335"/>
      <c r="DB523" s="335"/>
      <c r="DC523" s="335"/>
      <c r="DD523" s="335"/>
      <c r="DE523" s="335"/>
      <c r="DF523" s="335"/>
      <c r="DG523" s="335"/>
      <c r="DH523" s="335"/>
      <c r="DI523" s="335"/>
      <c r="DJ523" s="335"/>
      <c r="DK523" s="335"/>
      <c r="DL523" s="335"/>
      <c r="DM523" s="335"/>
      <c r="DN523" s="335"/>
      <c r="DO523" s="335"/>
      <c r="DP523" s="335"/>
      <c r="DQ523" s="335"/>
      <c r="DR523" s="335"/>
      <c r="DS523" s="335"/>
      <c r="DT523" s="335"/>
      <c r="DU523" s="335"/>
      <c r="DV523" s="335"/>
      <c r="DW523" s="335"/>
      <c r="DX523" s="335"/>
      <c r="DY523" s="335"/>
      <c r="DZ523" s="335"/>
      <c r="EA523" s="335"/>
      <c r="EB523" s="335"/>
      <c r="EC523" s="335"/>
      <c r="ED523" s="335"/>
      <c r="EE523" s="335"/>
      <c r="EF523" s="335"/>
      <c r="EG523" s="335"/>
      <c r="EH523" s="335"/>
      <c r="EI523" s="335"/>
      <c r="EJ523" s="335"/>
      <c r="EK523" s="335"/>
      <c r="EL523" s="335"/>
      <c r="EM523" s="335"/>
      <c r="EN523" s="335"/>
      <c r="EO523" s="335"/>
      <c r="EP523" s="335"/>
      <c r="EQ523" s="335"/>
      <c r="ER523" s="335"/>
      <c r="ES523" s="335"/>
      <c r="ET523" s="335"/>
      <c r="EU523" s="335"/>
      <c r="EV523" s="335"/>
      <c r="EW523" s="335"/>
      <c r="EX523" s="335"/>
      <c r="EY523" s="335"/>
      <c r="EZ523" s="335"/>
      <c r="FA523" s="335"/>
      <c r="FB523" s="335"/>
      <c r="FC523" s="335"/>
      <c r="FD523" s="335"/>
      <c r="FE523" s="335"/>
      <c r="FF523" s="335"/>
      <c r="FG523" s="335"/>
      <c r="FH523" s="335"/>
      <c r="FI523" s="335"/>
      <c r="FJ523" s="335"/>
      <c r="FK523" s="335"/>
      <c r="FL523" s="335"/>
      <c r="FM523" s="335"/>
      <c r="FN523" s="335"/>
      <c r="FO523" s="335"/>
      <c r="FP523" s="335"/>
      <c r="FQ523" s="335"/>
      <c r="FR523" s="335"/>
      <c r="FS523" s="335"/>
      <c r="FT523" s="335"/>
      <c r="FU523" s="335"/>
      <c r="FV523" s="335"/>
      <c r="FW523" s="335"/>
      <c r="FX523" s="335"/>
      <c r="FY523" s="335"/>
      <c r="FZ523" s="335"/>
      <c r="GA523" s="335"/>
      <c r="GB523" s="335"/>
      <c r="GC523" s="335"/>
      <c r="GD523" s="335"/>
      <c r="GE523" s="335"/>
      <c r="GF523" s="335"/>
      <c r="GG523" s="335"/>
      <c r="GH523" s="335"/>
      <c r="GI523" s="335"/>
      <c r="GJ523" s="335"/>
      <c r="GK523" s="335"/>
      <c r="GL523" s="335"/>
      <c r="GM523" s="335"/>
      <c r="GN523" s="335"/>
      <c r="GO523" s="335"/>
      <c r="GP523" s="335"/>
      <c r="GQ523" s="335"/>
      <c r="GR523" s="335"/>
      <c r="GS523" s="335"/>
      <c r="GT523" s="335"/>
      <c r="GU523" s="335"/>
      <c r="GV523" s="335"/>
      <c r="GW523" s="335"/>
      <c r="GX523" s="335"/>
      <c r="GY523" s="335"/>
      <c r="GZ523" s="335"/>
    </row>
    <row r="524" spans="1:208" ht="15">
      <c r="A524" s="379"/>
      <c r="B524" s="335"/>
      <c r="C524" s="335"/>
      <c r="D524" s="335"/>
      <c r="E524" s="335"/>
      <c r="F524" s="335"/>
      <c r="G524" s="335"/>
      <c r="H524" s="335"/>
      <c r="I524" s="335"/>
      <c r="J524" s="335"/>
      <c r="K524" s="335"/>
      <c r="L524" s="335"/>
      <c r="M524" s="376"/>
      <c r="N524" s="335"/>
      <c r="O524" s="380"/>
      <c r="P524" s="335"/>
      <c r="Q524" s="335"/>
      <c r="R524" s="335"/>
      <c r="S524" s="335"/>
      <c r="T524" s="335"/>
      <c r="U524" s="335"/>
      <c r="V524" s="335"/>
      <c r="W524" s="335"/>
      <c r="X524" s="335"/>
      <c r="Y524" s="335"/>
      <c r="Z524" s="335"/>
      <c r="AA524" s="335"/>
      <c r="AB524" s="335"/>
      <c r="AC524" s="335"/>
      <c r="AD524" s="335"/>
      <c r="AE524" s="335"/>
      <c r="AF524" s="335"/>
      <c r="AG524" s="335"/>
      <c r="AH524" s="335"/>
      <c r="AI524" s="335"/>
      <c r="AJ524" s="335"/>
      <c r="AK524" s="335"/>
      <c r="AL524" s="335"/>
      <c r="AM524" s="335"/>
      <c r="AN524" s="335"/>
      <c r="AO524" s="335"/>
      <c r="AP524" s="335"/>
      <c r="AQ524" s="335"/>
      <c r="AR524" s="335"/>
      <c r="AS524" s="335"/>
      <c r="AT524" s="335"/>
      <c r="AU524" s="335"/>
      <c r="AV524" s="335"/>
      <c r="AW524" s="335"/>
      <c r="AX524" s="335"/>
      <c r="AY524" s="335"/>
      <c r="AZ524" s="335"/>
      <c r="BA524" s="335"/>
      <c r="BB524" s="335"/>
      <c r="BC524" s="335"/>
      <c r="BD524" s="335"/>
      <c r="BE524" s="335"/>
      <c r="BF524" s="335"/>
      <c r="BG524" s="335"/>
      <c r="BH524" s="335"/>
      <c r="BI524" s="335"/>
      <c r="BJ524" s="335"/>
      <c r="BK524" s="335"/>
      <c r="BL524" s="335"/>
      <c r="BM524" s="335"/>
      <c r="BN524" s="335"/>
      <c r="BO524" s="335"/>
      <c r="BP524" s="335"/>
      <c r="BQ524" s="335"/>
      <c r="BR524" s="335"/>
      <c r="BS524" s="335"/>
      <c r="BT524" s="335"/>
      <c r="BU524" s="335"/>
      <c r="BV524" s="335"/>
      <c r="BW524" s="335"/>
      <c r="BX524" s="335"/>
      <c r="BY524" s="335"/>
      <c r="BZ524" s="335"/>
      <c r="CA524" s="335"/>
      <c r="CB524" s="335"/>
      <c r="CC524" s="335"/>
      <c r="CD524" s="335"/>
      <c r="CE524" s="335"/>
      <c r="CF524" s="335"/>
      <c r="CG524" s="335"/>
      <c r="CH524" s="335"/>
      <c r="CI524" s="335"/>
      <c r="CJ524" s="335"/>
      <c r="CK524" s="335"/>
      <c r="CL524" s="335"/>
      <c r="CM524" s="335"/>
      <c r="CN524" s="335"/>
      <c r="CO524" s="335"/>
      <c r="CP524" s="335"/>
      <c r="CQ524" s="335"/>
      <c r="CR524" s="335"/>
      <c r="CS524" s="335"/>
      <c r="CT524" s="335"/>
      <c r="CU524" s="335"/>
      <c r="CV524" s="335"/>
      <c r="CW524" s="335"/>
      <c r="CX524" s="335"/>
      <c r="CY524" s="335"/>
      <c r="CZ524" s="335"/>
      <c r="DA524" s="335"/>
      <c r="DB524" s="335"/>
      <c r="DC524" s="335"/>
      <c r="DD524" s="335"/>
      <c r="DE524" s="335"/>
      <c r="DF524" s="335"/>
      <c r="DG524" s="335"/>
      <c r="DH524" s="335"/>
      <c r="DI524" s="335"/>
      <c r="DJ524" s="335"/>
      <c r="DK524" s="335"/>
      <c r="DL524" s="335"/>
      <c r="DM524" s="335"/>
      <c r="DN524" s="335"/>
      <c r="DO524" s="335"/>
      <c r="DP524" s="335"/>
      <c r="DQ524" s="335"/>
      <c r="DR524" s="335"/>
      <c r="DS524" s="335"/>
      <c r="DT524" s="335"/>
      <c r="DU524" s="335"/>
      <c r="DV524" s="335"/>
      <c r="DW524" s="335"/>
      <c r="DX524" s="335"/>
      <c r="DY524" s="335"/>
      <c r="DZ524" s="335"/>
      <c r="EA524" s="335"/>
      <c r="EB524" s="335"/>
      <c r="EC524" s="335"/>
      <c r="ED524" s="335"/>
      <c r="EE524" s="335"/>
      <c r="EF524" s="335"/>
      <c r="EG524" s="335"/>
      <c r="EH524" s="335"/>
      <c r="EI524" s="335"/>
      <c r="EJ524" s="335"/>
      <c r="EK524" s="335"/>
      <c r="EL524" s="335"/>
      <c r="EM524" s="335"/>
      <c r="EN524" s="335"/>
      <c r="EO524" s="335"/>
      <c r="EP524" s="335"/>
      <c r="EQ524" s="335"/>
      <c r="ER524" s="335"/>
      <c r="ES524" s="335"/>
      <c r="ET524" s="335"/>
      <c r="EU524" s="335"/>
      <c r="EV524" s="335"/>
      <c r="EW524" s="335"/>
      <c r="EX524" s="335"/>
      <c r="EY524" s="335"/>
      <c r="EZ524" s="335"/>
      <c r="FA524" s="335"/>
      <c r="FB524" s="335"/>
      <c r="FC524" s="335"/>
      <c r="FD524" s="335"/>
      <c r="FE524" s="335"/>
      <c r="FF524" s="335"/>
      <c r="FG524" s="335"/>
      <c r="FH524" s="335"/>
      <c r="FI524" s="335"/>
      <c r="FJ524" s="335"/>
      <c r="FK524" s="335"/>
      <c r="FL524" s="335"/>
      <c r="FM524" s="335"/>
      <c r="FN524" s="335"/>
      <c r="FO524" s="335"/>
      <c r="FP524" s="335"/>
      <c r="FQ524" s="335"/>
      <c r="FR524" s="335"/>
      <c r="FS524" s="335"/>
      <c r="FT524" s="335"/>
      <c r="FU524" s="335"/>
      <c r="FV524" s="335"/>
      <c r="FW524" s="335"/>
      <c r="FX524" s="335"/>
      <c r="FY524" s="335"/>
      <c r="FZ524" s="335"/>
      <c r="GA524" s="335"/>
      <c r="GB524" s="335"/>
      <c r="GC524" s="335"/>
      <c r="GD524" s="335"/>
      <c r="GE524" s="335"/>
      <c r="GF524" s="335"/>
      <c r="GG524" s="335"/>
      <c r="GH524" s="335"/>
      <c r="GI524" s="335"/>
      <c r="GJ524" s="335"/>
      <c r="GK524" s="335"/>
      <c r="GL524" s="335"/>
      <c r="GM524" s="335"/>
      <c r="GN524" s="335"/>
      <c r="GO524" s="335"/>
      <c r="GP524" s="335"/>
      <c r="GQ524" s="335"/>
      <c r="GR524" s="335"/>
      <c r="GS524" s="335"/>
      <c r="GT524" s="335"/>
      <c r="GU524" s="335"/>
      <c r="GV524" s="335"/>
      <c r="GW524" s="335"/>
      <c r="GX524" s="335"/>
      <c r="GY524" s="335"/>
      <c r="GZ524" s="335"/>
    </row>
    <row r="525" spans="1:208" ht="15">
      <c r="A525" s="379"/>
      <c r="B525" s="335"/>
      <c r="C525" s="335"/>
      <c r="D525" s="335"/>
      <c r="E525" s="335"/>
      <c r="F525" s="335"/>
      <c r="G525" s="335"/>
      <c r="H525" s="335"/>
      <c r="I525" s="335"/>
      <c r="J525" s="335"/>
      <c r="K525" s="335"/>
      <c r="L525" s="335"/>
      <c r="M525" s="376"/>
      <c r="N525" s="335"/>
      <c r="O525" s="380"/>
      <c r="P525" s="335"/>
      <c r="Q525" s="335"/>
      <c r="R525" s="335"/>
      <c r="S525" s="335"/>
      <c r="T525" s="335"/>
      <c r="U525" s="335"/>
      <c r="V525" s="335"/>
      <c r="W525" s="335"/>
      <c r="X525" s="335"/>
      <c r="Y525" s="335"/>
      <c r="Z525" s="335"/>
      <c r="AA525" s="335"/>
      <c r="AB525" s="335"/>
      <c r="AC525" s="335"/>
      <c r="AD525" s="335"/>
      <c r="AE525" s="335"/>
      <c r="AF525" s="335"/>
      <c r="AG525" s="335"/>
      <c r="AH525" s="335"/>
      <c r="AI525" s="335"/>
      <c r="AJ525" s="335"/>
      <c r="AK525" s="335"/>
      <c r="AL525" s="335"/>
      <c r="AM525" s="335"/>
      <c r="AN525" s="335"/>
      <c r="AO525" s="335"/>
      <c r="AP525" s="335"/>
      <c r="AQ525" s="335"/>
      <c r="AR525" s="335"/>
      <c r="AS525" s="335"/>
      <c r="AT525" s="335"/>
      <c r="AU525" s="335"/>
      <c r="AV525" s="335"/>
      <c r="AW525" s="335"/>
      <c r="AX525" s="335"/>
      <c r="AY525" s="335"/>
      <c r="AZ525" s="335"/>
      <c r="BA525" s="335"/>
      <c r="BB525" s="335"/>
      <c r="BC525" s="335"/>
      <c r="BD525" s="335"/>
      <c r="BE525" s="335"/>
      <c r="BF525" s="335"/>
      <c r="BG525" s="335"/>
      <c r="BH525" s="335"/>
      <c r="BI525" s="335"/>
      <c r="BJ525" s="335"/>
      <c r="BK525" s="335"/>
      <c r="BL525" s="335"/>
      <c r="BM525" s="335"/>
      <c r="BN525" s="335"/>
      <c r="BO525" s="335"/>
      <c r="BP525" s="335"/>
      <c r="BQ525" s="335"/>
      <c r="BR525" s="335"/>
      <c r="BS525" s="335"/>
      <c r="BT525" s="335"/>
      <c r="BU525" s="335"/>
      <c r="BV525" s="335"/>
      <c r="BW525" s="335"/>
      <c r="BX525" s="335"/>
      <c r="BY525" s="335"/>
      <c r="BZ525" s="335"/>
      <c r="CA525" s="335"/>
      <c r="CB525" s="335"/>
      <c r="CC525" s="335"/>
      <c r="CD525" s="335"/>
      <c r="CE525" s="335"/>
      <c r="CF525" s="335"/>
      <c r="CG525" s="335"/>
      <c r="CH525" s="335"/>
      <c r="CI525" s="335"/>
      <c r="CJ525" s="335"/>
      <c r="CK525" s="335"/>
      <c r="CL525" s="335"/>
      <c r="CM525" s="335"/>
      <c r="CN525" s="335"/>
      <c r="CO525" s="335"/>
      <c r="CP525" s="335"/>
      <c r="CQ525" s="335"/>
      <c r="CR525" s="335"/>
      <c r="CS525" s="335"/>
      <c r="CT525" s="335"/>
      <c r="CU525" s="335"/>
      <c r="CV525" s="335"/>
      <c r="CW525" s="335"/>
      <c r="CX525" s="335"/>
      <c r="CY525" s="335"/>
      <c r="CZ525" s="335"/>
      <c r="DA525" s="335"/>
      <c r="DB525" s="335"/>
      <c r="DC525" s="335"/>
      <c r="DD525" s="335"/>
      <c r="DE525" s="335"/>
      <c r="DF525" s="335"/>
      <c r="DG525" s="335"/>
      <c r="DH525" s="335"/>
      <c r="DI525" s="335"/>
      <c r="DJ525" s="335"/>
      <c r="DK525" s="335"/>
      <c r="DL525" s="335"/>
      <c r="DM525" s="335"/>
      <c r="DN525" s="335"/>
      <c r="DO525" s="335"/>
      <c r="DP525" s="335"/>
      <c r="DQ525" s="335"/>
      <c r="DR525" s="335"/>
      <c r="DS525" s="335"/>
      <c r="DT525" s="335"/>
      <c r="DU525" s="335"/>
      <c r="DV525" s="335"/>
      <c r="DW525" s="335"/>
      <c r="DX525" s="335"/>
      <c r="DY525" s="335"/>
      <c r="DZ525" s="335"/>
      <c r="EA525" s="335"/>
      <c r="EB525" s="335"/>
      <c r="EC525" s="335"/>
      <c r="ED525" s="335"/>
      <c r="EE525" s="335"/>
      <c r="EF525" s="335"/>
      <c r="EG525" s="335"/>
      <c r="EH525" s="335"/>
      <c r="EI525" s="335"/>
      <c r="EJ525" s="335"/>
      <c r="EK525" s="335"/>
      <c r="EL525" s="335"/>
      <c r="EM525" s="335"/>
      <c r="EN525" s="335"/>
      <c r="EO525" s="335"/>
      <c r="EP525" s="335"/>
      <c r="EQ525" s="335"/>
      <c r="ER525" s="335"/>
      <c r="ES525" s="335"/>
      <c r="ET525" s="335"/>
      <c r="EU525" s="335"/>
      <c r="EV525" s="335"/>
      <c r="EW525" s="335"/>
      <c r="EX525" s="335"/>
      <c r="EY525" s="335"/>
      <c r="EZ525" s="335"/>
      <c r="FA525" s="335"/>
      <c r="FB525" s="335"/>
      <c r="FC525" s="335"/>
      <c r="FD525" s="335"/>
      <c r="FE525" s="335"/>
      <c r="FF525" s="335"/>
      <c r="FG525" s="335"/>
      <c r="FH525" s="335"/>
      <c r="FI525" s="335"/>
      <c r="FJ525" s="335"/>
      <c r="FK525" s="335"/>
      <c r="FL525" s="335"/>
      <c r="FM525" s="335"/>
      <c r="FN525" s="335"/>
      <c r="FO525" s="335"/>
      <c r="FP525" s="335"/>
      <c r="FQ525" s="335"/>
      <c r="FR525" s="335"/>
      <c r="FS525" s="335"/>
      <c r="FT525" s="335"/>
      <c r="FU525" s="335"/>
      <c r="FV525" s="335"/>
      <c r="FW525" s="335"/>
      <c r="FX525" s="335"/>
      <c r="FY525" s="335"/>
      <c r="FZ525" s="335"/>
      <c r="GA525" s="335"/>
      <c r="GB525" s="335"/>
      <c r="GC525" s="335"/>
      <c r="GD525" s="335"/>
      <c r="GE525" s="335"/>
      <c r="GF525" s="335"/>
      <c r="GG525" s="335"/>
      <c r="GH525" s="335"/>
      <c r="GI525" s="335"/>
      <c r="GJ525" s="335"/>
      <c r="GK525" s="335"/>
      <c r="GL525" s="335"/>
      <c r="GM525" s="335"/>
      <c r="GN525" s="335"/>
      <c r="GO525" s="335"/>
      <c r="GP525" s="335"/>
      <c r="GQ525" s="335"/>
      <c r="GR525" s="335"/>
      <c r="GS525" s="335"/>
      <c r="GT525" s="335"/>
      <c r="GU525" s="335"/>
      <c r="GV525" s="335"/>
      <c r="GW525" s="335"/>
      <c r="GX525" s="335"/>
      <c r="GY525" s="335"/>
      <c r="GZ525" s="335"/>
    </row>
    <row r="526" spans="1:208" ht="15">
      <c r="A526" s="379"/>
      <c r="B526" s="335"/>
      <c r="C526" s="335"/>
      <c r="D526" s="335"/>
      <c r="E526" s="335"/>
      <c r="F526" s="335"/>
      <c r="G526" s="335"/>
      <c r="H526" s="335"/>
      <c r="I526" s="335"/>
      <c r="J526" s="335"/>
      <c r="K526" s="335"/>
      <c r="L526" s="335"/>
      <c r="M526" s="376"/>
      <c r="N526" s="335"/>
      <c r="O526" s="380"/>
      <c r="P526" s="335"/>
      <c r="Q526" s="335"/>
      <c r="R526" s="335"/>
      <c r="S526" s="335"/>
      <c r="T526" s="335"/>
      <c r="U526" s="335"/>
      <c r="V526" s="335"/>
      <c r="W526" s="335"/>
      <c r="X526" s="335"/>
      <c r="Y526" s="335"/>
      <c r="Z526" s="335"/>
      <c r="AA526" s="335"/>
      <c r="AB526" s="335"/>
      <c r="AC526" s="335"/>
      <c r="AD526" s="335"/>
      <c r="AE526" s="335"/>
      <c r="AF526" s="335"/>
      <c r="AG526" s="335"/>
      <c r="AH526" s="335"/>
      <c r="AI526" s="335"/>
      <c r="AJ526" s="335"/>
      <c r="AK526" s="335"/>
      <c r="AL526" s="335"/>
      <c r="AM526" s="335"/>
      <c r="AN526" s="335"/>
      <c r="AO526" s="335"/>
      <c r="AP526" s="335"/>
      <c r="AQ526" s="335"/>
      <c r="AR526" s="335"/>
      <c r="AS526" s="335"/>
      <c r="AT526" s="335"/>
      <c r="AU526" s="335"/>
      <c r="AV526" s="335"/>
      <c r="AW526" s="335"/>
      <c r="AX526" s="335"/>
      <c r="AY526" s="335"/>
      <c r="AZ526" s="335"/>
      <c r="BA526" s="335"/>
      <c r="BB526" s="335"/>
      <c r="BC526" s="335"/>
      <c r="BD526" s="335"/>
      <c r="BE526" s="335"/>
      <c r="BF526" s="335"/>
      <c r="BG526" s="335"/>
      <c r="BH526" s="335"/>
      <c r="BI526" s="335"/>
      <c r="BJ526" s="335"/>
      <c r="BK526" s="335"/>
      <c r="BL526" s="335"/>
      <c r="BM526" s="335"/>
      <c r="BN526" s="335"/>
      <c r="BO526" s="335"/>
      <c r="BP526" s="335"/>
      <c r="BQ526" s="335"/>
      <c r="BR526" s="335"/>
      <c r="BS526" s="335"/>
      <c r="BT526" s="335"/>
      <c r="BU526" s="335"/>
      <c r="BV526" s="335"/>
      <c r="BW526" s="335"/>
      <c r="BX526" s="335"/>
      <c r="BY526" s="335"/>
      <c r="BZ526" s="335"/>
      <c r="CA526" s="335"/>
      <c r="CB526" s="335"/>
      <c r="CC526" s="335"/>
      <c r="CD526" s="335"/>
      <c r="CE526" s="335"/>
      <c r="CF526" s="335"/>
      <c r="CG526" s="335"/>
      <c r="CH526" s="335"/>
      <c r="CI526" s="335"/>
      <c r="CJ526" s="335"/>
      <c r="CK526" s="335"/>
      <c r="CL526" s="335"/>
      <c r="CM526" s="335"/>
      <c r="CN526" s="335"/>
      <c r="CO526" s="335"/>
      <c r="CP526" s="335"/>
      <c r="CQ526" s="335"/>
      <c r="CR526" s="335"/>
      <c r="CS526" s="335"/>
      <c r="CT526" s="335"/>
      <c r="CU526" s="335"/>
      <c r="CV526" s="335"/>
      <c r="CW526" s="335"/>
      <c r="CX526" s="335"/>
      <c r="CY526" s="335"/>
      <c r="CZ526" s="335"/>
      <c r="DA526" s="335"/>
      <c r="DB526" s="335"/>
      <c r="DC526" s="335"/>
      <c r="DD526" s="335"/>
      <c r="DE526" s="335"/>
      <c r="DF526" s="335"/>
      <c r="DG526" s="335"/>
      <c r="DH526" s="335"/>
      <c r="DI526" s="335"/>
      <c r="DJ526" s="335"/>
      <c r="DK526" s="335"/>
      <c r="DL526" s="335"/>
      <c r="DM526" s="335"/>
      <c r="DN526" s="335"/>
      <c r="DO526" s="335"/>
      <c r="DP526" s="335"/>
      <c r="DQ526" s="335"/>
      <c r="DR526" s="335"/>
      <c r="DS526" s="335"/>
      <c r="DT526" s="335"/>
      <c r="DU526" s="335"/>
      <c r="DV526" s="335"/>
      <c r="DW526" s="335"/>
      <c r="DX526" s="335"/>
      <c r="DY526" s="335"/>
      <c r="DZ526" s="335"/>
      <c r="EA526" s="335"/>
      <c r="EB526" s="335"/>
      <c r="EC526" s="335"/>
      <c r="ED526" s="335"/>
      <c r="EE526" s="335"/>
      <c r="EF526" s="335"/>
      <c r="EG526" s="335"/>
      <c r="EH526" s="335"/>
      <c r="EI526" s="335"/>
      <c r="EJ526" s="335"/>
      <c r="EK526" s="335"/>
      <c r="EL526" s="335"/>
      <c r="EM526" s="335"/>
      <c r="EN526" s="335"/>
      <c r="EO526" s="335"/>
      <c r="EP526" s="335"/>
      <c r="EQ526" s="335"/>
      <c r="ER526" s="335"/>
      <c r="ES526" s="335"/>
      <c r="ET526" s="335"/>
      <c r="EU526" s="335"/>
      <c r="EV526" s="335"/>
      <c r="EW526" s="335"/>
      <c r="EX526" s="335"/>
      <c r="EY526" s="335"/>
      <c r="EZ526" s="335"/>
      <c r="FA526" s="335"/>
      <c r="FB526" s="335"/>
      <c r="FC526" s="335"/>
      <c r="FD526" s="335"/>
      <c r="FE526" s="335"/>
      <c r="FF526" s="335"/>
      <c r="FG526" s="335"/>
      <c r="FH526" s="335"/>
      <c r="FI526" s="335"/>
      <c r="FJ526" s="335"/>
      <c r="FK526" s="335"/>
      <c r="FL526" s="335"/>
      <c r="FM526" s="335"/>
      <c r="FN526" s="335"/>
      <c r="FO526" s="335"/>
      <c r="FP526" s="335"/>
      <c r="FQ526" s="335"/>
      <c r="FR526" s="335"/>
      <c r="FS526" s="335"/>
      <c r="FT526" s="335"/>
      <c r="FU526" s="335"/>
      <c r="FV526" s="335"/>
      <c r="FW526" s="335"/>
      <c r="FX526" s="335"/>
      <c r="FY526" s="335"/>
      <c r="FZ526" s="335"/>
      <c r="GA526" s="335"/>
      <c r="GB526" s="335"/>
      <c r="GC526" s="335"/>
      <c r="GD526" s="335"/>
      <c r="GE526" s="335"/>
      <c r="GF526" s="335"/>
      <c r="GG526" s="335"/>
      <c r="GH526" s="335"/>
      <c r="GI526" s="335"/>
      <c r="GJ526" s="335"/>
      <c r="GK526" s="335"/>
      <c r="GL526" s="335"/>
      <c r="GM526" s="335"/>
      <c r="GN526" s="335"/>
      <c r="GO526" s="335"/>
      <c r="GP526" s="335"/>
      <c r="GQ526" s="335"/>
      <c r="GR526" s="335"/>
      <c r="GS526" s="335"/>
      <c r="GT526" s="335"/>
      <c r="GU526" s="335"/>
      <c r="GV526" s="335"/>
      <c r="GW526" s="335"/>
      <c r="GX526" s="335"/>
      <c r="GY526" s="335"/>
      <c r="GZ526" s="335"/>
    </row>
    <row r="527" spans="1:208" ht="15">
      <c r="A527" s="379"/>
      <c r="B527" s="335"/>
      <c r="C527" s="335"/>
      <c r="D527" s="335"/>
      <c r="E527" s="335"/>
      <c r="F527" s="335"/>
      <c r="G527" s="335"/>
      <c r="H527" s="335"/>
      <c r="I527" s="335"/>
      <c r="J527" s="335"/>
      <c r="K527" s="335"/>
      <c r="L527" s="335"/>
      <c r="M527" s="376"/>
      <c r="N527" s="335"/>
      <c r="O527" s="380"/>
      <c r="P527" s="335"/>
      <c r="Q527" s="335"/>
      <c r="R527" s="335"/>
      <c r="S527" s="335"/>
      <c r="T527" s="335"/>
      <c r="U527" s="335"/>
      <c r="V527" s="335"/>
      <c r="W527" s="335"/>
      <c r="X527" s="335"/>
      <c r="Y527" s="335"/>
      <c r="Z527" s="335"/>
      <c r="AA527" s="335"/>
      <c r="AB527" s="335"/>
      <c r="AC527" s="335"/>
      <c r="AD527" s="335"/>
      <c r="AE527" s="335"/>
      <c r="AF527" s="335"/>
      <c r="AG527" s="335"/>
      <c r="AH527" s="335"/>
      <c r="AI527" s="335"/>
      <c r="AJ527" s="335"/>
      <c r="AK527" s="335"/>
      <c r="AL527" s="335"/>
      <c r="AM527" s="335"/>
      <c r="AN527" s="335"/>
      <c r="AO527" s="335"/>
      <c r="AP527" s="335"/>
      <c r="AQ527" s="335"/>
      <c r="AR527" s="335"/>
      <c r="AS527" s="335"/>
      <c r="AT527" s="335"/>
      <c r="AU527" s="335"/>
      <c r="AV527" s="335"/>
      <c r="AW527" s="335"/>
      <c r="AX527" s="335"/>
      <c r="AY527" s="335"/>
      <c r="AZ527" s="335"/>
      <c r="BA527" s="335"/>
      <c r="BB527" s="335"/>
      <c r="BC527" s="335"/>
      <c r="BD527" s="335"/>
      <c r="BE527" s="335"/>
      <c r="BF527" s="335"/>
      <c r="BG527" s="335"/>
      <c r="BH527" s="335"/>
      <c r="BI527" s="335"/>
      <c r="BJ527" s="335"/>
      <c r="BK527" s="335"/>
      <c r="BL527" s="335"/>
      <c r="BM527" s="335"/>
      <c r="BN527" s="335"/>
      <c r="BO527" s="335"/>
      <c r="BP527" s="335"/>
      <c r="BQ527" s="335"/>
      <c r="BR527" s="335"/>
      <c r="BS527" s="335"/>
      <c r="BT527" s="335"/>
      <c r="BU527" s="335"/>
      <c r="BV527" s="335"/>
      <c r="BW527" s="335"/>
      <c r="BX527" s="335"/>
      <c r="BY527" s="335"/>
      <c r="BZ527" s="335"/>
      <c r="CA527" s="335"/>
      <c r="CB527" s="335"/>
      <c r="CC527" s="335"/>
      <c r="CD527" s="335"/>
      <c r="CE527" s="335"/>
      <c r="CF527" s="335"/>
      <c r="CG527" s="335"/>
      <c r="CH527" s="335"/>
      <c r="CI527" s="335"/>
      <c r="CJ527" s="335"/>
      <c r="CK527" s="335"/>
      <c r="CL527" s="335"/>
      <c r="CM527" s="335"/>
      <c r="CN527" s="335"/>
      <c r="CO527" s="335"/>
      <c r="CP527" s="335"/>
      <c r="CQ527" s="335"/>
      <c r="CR527" s="335"/>
      <c r="CS527" s="335"/>
      <c r="CT527" s="335"/>
      <c r="CU527" s="335"/>
      <c r="CV527" s="335"/>
      <c r="CW527" s="335"/>
      <c r="CX527" s="335"/>
      <c r="CY527" s="335"/>
      <c r="CZ527" s="335"/>
      <c r="DA527" s="335"/>
      <c r="DB527" s="335"/>
      <c r="DC527" s="335"/>
      <c r="DD527" s="335"/>
      <c r="DE527" s="335"/>
      <c r="DF527" s="335"/>
      <c r="DG527" s="335"/>
      <c r="DH527" s="335"/>
      <c r="DI527" s="335"/>
      <c r="DJ527" s="335"/>
      <c r="DK527" s="335"/>
      <c r="DL527" s="335"/>
      <c r="DM527" s="335"/>
      <c r="DN527" s="335"/>
      <c r="DO527" s="335"/>
      <c r="DP527" s="335"/>
      <c r="DQ527" s="335"/>
      <c r="DR527" s="335"/>
      <c r="DS527" s="335"/>
      <c r="DT527" s="335"/>
      <c r="DU527" s="335"/>
      <c r="DV527" s="335"/>
      <c r="DW527" s="335"/>
      <c r="DX527" s="335"/>
      <c r="DY527" s="335"/>
      <c r="DZ527" s="335"/>
      <c r="EA527" s="335"/>
      <c r="EB527" s="335"/>
      <c r="EC527" s="335"/>
      <c r="ED527" s="335"/>
      <c r="EE527" s="335"/>
      <c r="EF527" s="335"/>
      <c r="EG527" s="335"/>
      <c r="EH527" s="335"/>
      <c r="EI527" s="335"/>
      <c r="EJ527" s="335"/>
      <c r="EK527" s="335"/>
      <c r="EL527" s="335"/>
      <c r="EM527" s="335"/>
      <c r="EN527" s="335"/>
      <c r="EO527" s="335"/>
      <c r="EP527" s="335"/>
      <c r="EQ527" s="335"/>
      <c r="ER527" s="335"/>
      <c r="ES527" s="335"/>
      <c r="ET527" s="335"/>
      <c r="EU527" s="335"/>
      <c r="EV527" s="335"/>
      <c r="EW527" s="335"/>
      <c r="EX527" s="335"/>
      <c r="EY527" s="335"/>
      <c r="EZ527" s="335"/>
      <c r="FA527" s="335"/>
      <c r="FB527" s="335"/>
      <c r="FC527" s="335"/>
      <c r="FD527" s="335"/>
      <c r="FE527" s="335"/>
      <c r="FF527" s="335"/>
      <c r="FG527" s="335"/>
      <c r="FH527" s="335"/>
      <c r="FI527" s="335"/>
      <c r="FJ527" s="335"/>
      <c r="FK527" s="335"/>
      <c r="FL527" s="335"/>
      <c r="FM527" s="335"/>
      <c r="FN527" s="335"/>
      <c r="FO527" s="335"/>
      <c r="FP527" s="335"/>
      <c r="FQ527" s="335"/>
      <c r="FR527" s="335"/>
      <c r="FS527" s="335"/>
      <c r="FT527" s="335"/>
      <c r="FU527" s="335"/>
      <c r="FV527" s="335"/>
      <c r="FW527" s="335"/>
      <c r="FX527" s="335"/>
      <c r="FY527" s="335"/>
      <c r="FZ527" s="335"/>
      <c r="GA527" s="335"/>
      <c r="GB527" s="335"/>
      <c r="GC527" s="335"/>
      <c r="GD527" s="335"/>
      <c r="GE527" s="335"/>
      <c r="GF527" s="335"/>
      <c r="GG527" s="335"/>
      <c r="GH527" s="335"/>
      <c r="GI527" s="335"/>
      <c r="GJ527" s="335"/>
      <c r="GK527" s="335"/>
      <c r="GL527" s="335"/>
      <c r="GM527" s="335"/>
      <c r="GN527" s="335"/>
      <c r="GO527" s="335"/>
      <c r="GP527" s="335"/>
      <c r="GQ527" s="335"/>
      <c r="GR527" s="335"/>
      <c r="GS527" s="335"/>
      <c r="GT527" s="335"/>
      <c r="GU527" s="335"/>
      <c r="GV527" s="335"/>
      <c r="GW527" s="335"/>
      <c r="GX527" s="335"/>
      <c r="GY527" s="335"/>
      <c r="GZ527" s="335"/>
    </row>
    <row r="528" spans="1:208" ht="15">
      <c r="A528" s="379"/>
      <c r="B528" s="335"/>
      <c r="C528" s="335"/>
      <c r="D528" s="335"/>
      <c r="E528" s="335"/>
      <c r="F528" s="335"/>
      <c r="G528" s="335"/>
      <c r="H528" s="335"/>
      <c r="I528" s="335"/>
      <c r="J528" s="335"/>
      <c r="K528" s="335"/>
      <c r="L528" s="335"/>
      <c r="M528" s="376"/>
      <c r="N528" s="335"/>
      <c r="O528" s="380"/>
      <c r="P528" s="335"/>
      <c r="Q528" s="335"/>
      <c r="R528" s="335"/>
      <c r="S528" s="335"/>
      <c r="T528" s="335"/>
      <c r="U528" s="335"/>
      <c r="V528" s="335"/>
      <c r="W528" s="335"/>
      <c r="X528" s="335"/>
      <c r="Y528" s="335"/>
      <c r="Z528" s="335"/>
      <c r="AA528" s="335"/>
      <c r="AB528" s="335"/>
      <c r="AC528" s="335"/>
      <c r="AD528" s="335"/>
      <c r="AE528" s="335"/>
      <c r="AF528" s="335"/>
      <c r="AG528" s="335"/>
      <c r="AH528" s="335"/>
      <c r="AI528" s="335"/>
      <c r="AJ528" s="335"/>
      <c r="AK528" s="335"/>
      <c r="AL528" s="335"/>
      <c r="AM528" s="335"/>
      <c r="AN528" s="335"/>
      <c r="AO528" s="335"/>
      <c r="AP528" s="335"/>
      <c r="AQ528" s="335"/>
      <c r="AR528" s="335"/>
      <c r="AS528" s="335"/>
      <c r="AT528" s="335"/>
      <c r="AU528" s="335"/>
      <c r="AV528" s="335"/>
      <c r="AW528" s="335"/>
      <c r="AX528" s="335"/>
      <c r="AY528" s="335"/>
      <c r="AZ528" s="335"/>
      <c r="BA528" s="335"/>
      <c r="BB528" s="335"/>
      <c r="BC528" s="335"/>
      <c r="BD528" s="335"/>
      <c r="BE528" s="335"/>
      <c r="BF528" s="335"/>
      <c r="BG528" s="335"/>
      <c r="BH528" s="335"/>
      <c r="BI528" s="335"/>
      <c r="BJ528" s="335"/>
      <c r="BK528" s="335"/>
      <c r="BL528" s="335"/>
      <c r="BM528" s="335"/>
      <c r="BN528" s="335"/>
      <c r="BO528" s="335"/>
      <c r="BP528" s="335"/>
      <c r="BQ528" s="335"/>
      <c r="BR528" s="335"/>
      <c r="BS528" s="335"/>
      <c r="BT528" s="335"/>
      <c r="BU528" s="335"/>
      <c r="BV528" s="335"/>
      <c r="BW528" s="335"/>
      <c r="BX528" s="335"/>
      <c r="BY528" s="335"/>
      <c r="BZ528" s="335"/>
      <c r="CA528" s="335"/>
      <c r="CB528" s="335"/>
      <c r="CC528" s="335"/>
      <c r="CD528" s="335"/>
      <c r="CE528" s="335"/>
      <c r="CF528" s="335"/>
      <c r="CG528" s="335"/>
      <c r="CH528" s="335"/>
      <c r="CI528" s="335"/>
      <c r="CJ528" s="335"/>
      <c r="CK528" s="335"/>
      <c r="CL528" s="335"/>
      <c r="CM528" s="335"/>
      <c r="CN528" s="335"/>
      <c r="CO528" s="335"/>
      <c r="CP528" s="335"/>
      <c r="CQ528" s="335"/>
      <c r="CR528" s="335"/>
      <c r="CS528" s="335"/>
      <c r="CT528" s="335"/>
      <c r="CU528" s="335"/>
      <c r="CV528" s="335"/>
      <c r="CW528" s="335"/>
      <c r="CX528" s="335"/>
      <c r="CY528" s="335"/>
      <c r="CZ528" s="335"/>
      <c r="DA528" s="335"/>
      <c r="DB528" s="335"/>
      <c r="DC528" s="335"/>
      <c r="DD528" s="335"/>
      <c r="DE528" s="335"/>
      <c r="DF528" s="335"/>
      <c r="DG528" s="335"/>
      <c r="DH528" s="335"/>
      <c r="DI528" s="335"/>
      <c r="DJ528" s="335"/>
      <c r="DK528" s="335"/>
      <c r="DL528" s="335"/>
      <c r="DM528" s="335"/>
      <c r="DN528" s="335"/>
      <c r="DO528" s="335"/>
      <c r="DP528" s="335"/>
      <c r="DQ528" s="335"/>
      <c r="DR528" s="335"/>
      <c r="DS528" s="335"/>
      <c r="DT528" s="335"/>
      <c r="DU528" s="335"/>
      <c r="DV528" s="335"/>
      <c r="DW528" s="335"/>
      <c r="DX528" s="335"/>
      <c r="DY528" s="335"/>
      <c r="DZ528" s="335"/>
      <c r="EA528" s="335"/>
      <c r="EB528" s="335"/>
      <c r="EC528" s="335"/>
      <c r="ED528" s="335"/>
      <c r="EE528" s="335"/>
      <c r="EF528" s="335"/>
      <c r="EG528" s="335"/>
      <c r="EH528" s="335"/>
      <c r="EI528" s="335"/>
      <c r="EJ528" s="335"/>
      <c r="EK528" s="335"/>
      <c r="EL528" s="335"/>
      <c r="EM528" s="335"/>
      <c r="EN528" s="335"/>
      <c r="EO528" s="335"/>
      <c r="EP528" s="335"/>
      <c r="EQ528" s="335"/>
      <c r="ER528" s="335"/>
      <c r="ES528" s="335"/>
      <c r="ET528" s="335"/>
      <c r="EU528" s="335"/>
      <c r="EV528" s="335"/>
      <c r="EW528" s="335"/>
      <c r="EX528" s="335"/>
      <c r="EY528" s="335"/>
      <c r="EZ528" s="335"/>
      <c r="FA528" s="335"/>
      <c r="FB528" s="335"/>
      <c r="FC528" s="335"/>
      <c r="FD528" s="335"/>
      <c r="FE528" s="335"/>
      <c r="FF528" s="335"/>
      <c r="FG528" s="335"/>
      <c r="FH528" s="335"/>
      <c r="FI528" s="335"/>
      <c r="FJ528" s="335"/>
      <c r="FK528" s="335"/>
      <c r="FL528" s="335"/>
      <c r="FM528" s="335"/>
      <c r="FN528" s="335"/>
      <c r="FO528" s="335"/>
      <c r="FP528" s="335"/>
      <c r="FQ528" s="335"/>
      <c r="FR528" s="335"/>
      <c r="FS528" s="335"/>
      <c r="FT528" s="335"/>
      <c r="FU528" s="335"/>
      <c r="FV528" s="335"/>
      <c r="FW528" s="335"/>
      <c r="FX528" s="335"/>
      <c r="FY528" s="335"/>
      <c r="FZ528" s="335"/>
      <c r="GA528" s="335"/>
      <c r="GB528" s="335"/>
      <c r="GC528" s="335"/>
      <c r="GD528" s="335"/>
      <c r="GE528" s="335"/>
      <c r="GF528" s="335"/>
      <c r="GG528" s="335"/>
      <c r="GH528" s="335"/>
      <c r="GI528" s="335"/>
      <c r="GJ528" s="335"/>
      <c r="GK528" s="335"/>
      <c r="GL528" s="335"/>
      <c r="GM528" s="335"/>
      <c r="GN528" s="335"/>
      <c r="GO528" s="335"/>
      <c r="GP528" s="335"/>
      <c r="GQ528" s="335"/>
      <c r="GR528" s="335"/>
      <c r="GS528" s="335"/>
      <c r="GT528" s="335"/>
      <c r="GU528" s="335"/>
      <c r="GV528" s="335"/>
      <c r="GW528" s="335"/>
      <c r="GX528" s="335"/>
      <c r="GY528" s="335"/>
      <c r="GZ528" s="335"/>
    </row>
    <row r="529" spans="1:208" ht="15">
      <c r="A529" s="379"/>
      <c r="B529" s="335"/>
      <c r="C529" s="335"/>
      <c r="D529" s="335"/>
      <c r="E529" s="335"/>
      <c r="F529" s="335"/>
      <c r="G529" s="335"/>
      <c r="H529" s="335"/>
      <c r="I529" s="335"/>
      <c r="J529" s="335"/>
      <c r="K529" s="335"/>
      <c r="L529" s="335"/>
      <c r="M529" s="376"/>
      <c r="N529" s="335"/>
      <c r="O529" s="380"/>
      <c r="P529" s="335"/>
      <c r="Q529" s="335"/>
      <c r="R529" s="335"/>
      <c r="S529" s="335"/>
      <c r="T529" s="335"/>
      <c r="U529" s="335"/>
      <c r="V529" s="335"/>
      <c r="W529" s="335"/>
      <c r="X529" s="335"/>
      <c r="Y529" s="335"/>
      <c r="Z529" s="335"/>
      <c r="AA529" s="335"/>
      <c r="AB529" s="335"/>
      <c r="AC529" s="335"/>
      <c r="AD529" s="335"/>
      <c r="AE529" s="335"/>
      <c r="AF529" s="335"/>
      <c r="AG529" s="335"/>
      <c r="AH529" s="335"/>
      <c r="AI529" s="335"/>
      <c r="AJ529" s="335"/>
      <c r="AK529" s="335"/>
      <c r="AL529" s="335"/>
      <c r="AM529" s="335"/>
      <c r="AN529" s="335"/>
      <c r="AO529" s="335"/>
      <c r="AP529" s="335"/>
      <c r="AQ529" s="335"/>
      <c r="AR529" s="335"/>
      <c r="AS529" s="335"/>
      <c r="AT529" s="335"/>
      <c r="AU529" s="335"/>
      <c r="AV529" s="335"/>
      <c r="AW529" s="335"/>
      <c r="AX529" s="335"/>
      <c r="AY529" s="335"/>
      <c r="AZ529" s="335"/>
      <c r="BA529" s="335"/>
      <c r="BB529" s="335"/>
      <c r="BC529" s="335"/>
      <c r="BD529" s="335"/>
      <c r="BE529" s="335"/>
      <c r="BF529" s="335"/>
      <c r="BG529" s="335"/>
      <c r="BH529" s="335"/>
      <c r="BI529" s="335"/>
      <c r="BJ529" s="335"/>
      <c r="BK529" s="335"/>
      <c r="BL529" s="335"/>
      <c r="BM529" s="335"/>
      <c r="BN529" s="335"/>
      <c r="BO529" s="335"/>
      <c r="BP529" s="335"/>
      <c r="BQ529" s="335"/>
      <c r="BR529" s="335"/>
      <c r="BS529" s="335"/>
      <c r="BT529" s="335"/>
      <c r="BU529" s="335"/>
      <c r="BV529" s="335"/>
      <c r="BW529" s="335"/>
      <c r="BX529" s="335"/>
      <c r="BY529" s="335"/>
      <c r="BZ529" s="335"/>
      <c r="CA529" s="335"/>
      <c r="CB529" s="335"/>
      <c r="CC529" s="335"/>
      <c r="CD529" s="335"/>
      <c r="CE529" s="335"/>
      <c r="CF529" s="335"/>
      <c r="CG529" s="335"/>
      <c r="CH529" s="335"/>
      <c r="CI529" s="335"/>
      <c r="CJ529" s="335"/>
      <c r="CK529" s="335"/>
      <c r="CL529" s="335"/>
      <c r="CM529" s="335"/>
      <c r="CN529" s="335"/>
      <c r="CO529" s="335"/>
      <c r="CP529" s="335"/>
      <c r="CQ529" s="335"/>
      <c r="CR529" s="335"/>
      <c r="CS529" s="335"/>
      <c r="CT529" s="335"/>
      <c r="CU529" s="335"/>
      <c r="CV529" s="335"/>
      <c r="CW529" s="335"/>
      <c r="CX529" s="335"/>
      <c r="CY529" s="335"/>
      <c r="CZ529" s="335"/>
      <c r="DA529" s="335"/>
      <c r="DB529" s="335"/>
      <c r="DC529" s="335"/>
      <c r="DD529" s="335"/>
      <c r="DE529" s="335"/>
      <c r="DF529" s="335"/>
      <c r="DG529" s="335"/>
      <c r="DH529" s="335"/>
      <c r="DI529" s="335"/>
      <c r="DJ529" s="335"/>
      <c r="DK529" s="335"/>
      <c r="DL529" s="335"/>
      <c r="DM529" s="335"/>
      <c r="DN529" s="335"/>
      <c r="DO529" s="335"/>
      <c r="DP529" s="335"/>
      <c r="DQ529" s="335"/>
      <c r="DR529" s="335"/>
      <c r="DS529" s="335"/>
      <c r="DT529" s="335"/>
      <c r="DU529" s="335"/>
      <c r="DV529" s="335"/>
      <c r="DW529" s="335"/>
      <c r="DX529" s="335"/>
      <c r="DY529" s="335"/>
      <c r="DZ529" s="335"/>
      <c r="EA529" s="335"/>
      <c r="EB529" s="335"/>
      <c r="EC529" s="335"/>
      <c r="ED529" s="335"/>
      <c r="EE529" s="335"/>
      <c r="EF529" s="335"/>
      <c r="EG529" s="335"/>
      <c r="EH529" s="335"/>
      <c r="EI529" s="335"/>
      <c r="EJ529" s="335"/>
      <c r="EK529" s="335"/>
      <c r="EL529" s="335"/>
      <c r="EM529" s="335"/>
      <c r="EN529" s="335"/>
      <c r="EO529" s="335"/>
      <c r="EP529" s="335"/>
      <c r="EQ529" s="335"/>
      <c r="ER529" s="335"/>
      <c r="ES529" s="335"/>
      <c r="ET529" s="335"/>
      <c r="EU529" s="335"/>
      <c r="EV529" s="335"/>
      <c r="EW529" s="335"/>
      <c r="EX529" s="335"/>
      <c r="EY529" s="335"/>
      <c r="EZ529" s="335"/>
      <c r="FA529" s="335"/>
      <c r="FB529" s="335"/>
      <c r="FC529" s="335"/>
      <c r="FD529" s="335"/>
      <c r="FE529" s="335"/>
      <c r="FF529" s="335"/>
      <c r="FG529" s="335"/>
      <c r="FH529" s="335"/>
      <c r="FI529" s="335"/>
      <c r="FJ529" s="335"/>
      <c r="FK529" s="335"/>
      <c r="FL529" s="335"/>
      <c r="FM529" s="335"/>
      <c r="FN529" s="335"/>
      <c r="FO529" s="335"/>
      <c r="FP529" s="335"/>
      <c r="FQ529" s="335"/>
      <c r="FR529" s="335"/>
      <c r="FS529" s="335"/>
      <c r="FT529" s="335"/>
      <c r="FU529" s="335"/>
      <c r="FV529" s="335"/>
      <c r="FW529" s="335"/>
      <c r="FX529" s="335"/>
      <c r="FY529" s="335"/>
      <c r="FZ529" s="335"/>
      <c r="GA529" s="335"/>
      <c r="GB529" s="335"/>
      <c r="GC529" s="335"/>
      <c r="GD529" s="335"/>
      <c r="GE529" s="335"/>
      <c r="GF529" s="335"/>
      <c r="GG529" s="335"/>
      <c r="GH529" s="335"/>
      <c r="GI529" s="335"/>
      <c r="GJ529" s="335"/>
      <c r="GK529" s="335"/>
      <c r="GL529" s="335"/>
      <c r="GM529" s="335"/>
      <c r="GN529" s="335"/>
      <c r="GO529" s="335"/>
      <c r="GP529" s="335"/>
      <c r="GQ529" s="335"/>
      <c r="GR529" s="335"/>
      <c r="GS529" s="335"/>
      <c r="GT529" s="335"/>
      <c r="GU529" s="335"/>
      <c r="GV529" s="335"/>
      <c r="GW529" s="335"/>
      <c r="GX529" s="335"/>
      <c r="GY529" s="335"/>
      <c r="GZ529" s="335"/>
    </row>
    <row r="530" spans="1:208" ht="15">
      <c r="A530" s="379"/>
      <c r="B530" s="335"/>
      <c r="C530" s="335"/>
      <c r="D530" s="335"/>
      <c r="E530" s="335"/>
      <c r="F530" s="335"/>
      <c r="G530" s="335"/>
      <c r="H530" s="335"/>
      <c r="I530" s="335"/>
      <c r="J530" s="335"/>
      <c r="K530" s="335"/>
      <c r="L530" s="335"/>
      <c r="M530" s="376"/>
      <c r="N530" s="335"/>
      <c r="O530" s="380"/>
      <c r="P530" s="335"/>
      <c r="Q530" s="335"/>
      <c r="R530" s="335"/>
      <c r="S530" s="335"/>
      <c r="T530" s="335"/>
      <c r="U530" s="335"/>
      <c r="V530" s="335"/>
      <c r="W530" s="335"/>
      <c r="X530" s="335"/>
      <c r="Y530" s="335"/>
      <c r="Z530" s="335"/>
      <c r="AA530" s="335"/>
      <c r="AB530" s="335"/>
      <c r="AC530" s="335"/>
      <c r="AD530" s="335"/>
      <c r="AE530" s="335"/>
      <c r="AF530" s="335"/>
      <c r="AG530" s="335"/>
      <c r="AH530" s="335"/>
      <c r="AI530" s="335"/>
      <c r="AJ530" s="335"/>
      <c r="AK530" s="335"/>
      <c r="AL530" s="335"/>
      <c r="AM530" s="335"/>
      <c r="AN530" s="335"/>
      <c r="AO530" s="335"/>
      <c r="AP530" s="335"/>
      <c r="AQ530" s="335"/>
      <c r="AR530" s="335"/>
      <c r="AS530" s="335"/>
      <c r="AT530" s="335"/>
      <c r="AU530" s="335"/>
      <c r="AV530" s="335"/>
      <c r="AW530" s="335"/>
      <c r="AX530" s="335"/>
      <c r="AY530" s="335"/>
      <c r="AZ530" s="335"/>
      <c r="BA530" s="335"/>
      <c r="BB530" s="335"/>
      <c r="BC530" s="335"/>
      <c r="BD530" s="335"/>
      <c r="BE530" s="335"/>
      <c r="BF530" s="335"/>
      <c r="BG530" s="335"/>
      <c r="BH530" s="335"/>
      <c r="BI530" s="335"/>
      <c r="BJ530" s="335"/>
      <c r="BK530" s="335"/>
      <c r="BL530" s="335"/>
      <c r="BM530" s="335"/>
      <c r="BN530" s="335"/>
      <c r="BO530" s="335"/>
      <c r="BP530" s="335"/>
      <c r="BQ530" s="335"/>
      <c r="BR530" s="335"/>
      <c r="BS530" s="335"/>
      <c r="BT530" s="335"/>
      <c r="BU530" s="335"/>
      <c r="BV530" s="335"/>
      <c r="BW530" s="335"/>
      <c r="BX530" s="335"/>
      <c r="BY530" s="335"/>
      <c r="BZ530" s="335"/>
      <c r="CA530" s="335"/>
      <c r="CB530" s="335"/>
      <c r="CC530" s="335"/>
      <c r="CD530" s="335"/>
      <c r="CE530" s="335"/>
      <c r="CF530" s="335"/>
      <c r="CG530" s="335"/>
      <c r="CH530" s="335"/>
      <c r="CI530" s="335"/>
      <c r="CJ530" s="335"/>
      <c r="CK530" s="335"/>
      <c r="CL530" s="335"/>
      <c r="CM530" s="335"/>
      <c r="CN530" s="335"/>
      <c r="CO530" s="335"/>
      <c r="CP530" s="335"/>
      <c r="CQ530" s="335"/>
      <c r="CR530" s="335"/>
      <c r="CS530" s="335"/>
      <c r="CT530" s="335"/>
      <c r="CU530" s="335"/>
      <c r="CV530" s="335"/>
      <c r="CW530" s="335"/>
      <c r="CX530" s="335"/>
      <c r="CY530" s="335"/>
      <c r="CZ530" s="335"/>
      <c r="DA530" s="335"/>
      <c r="DB530" s="335"/>
      <c r="DC530" s="335"/>
      <c r="DD530" s="335"/>
      <c r="DE530" s="335"/>
      <c r="DF530" s="335"/>
      <c r="DG530" s="335"/>
      <c r="DH530" s="335"/>
      <c r="DI530" s="335"/>
      <c r="DJ530" s="335"/>
      <c r="DK530" s="335"/>
      <c r="DL530" s="335"/>
      <c r="DM530" s="335"/>
      <c r="DN530" s="335"/>
      <c r="DO530" s="335"/>
      <c r="DP530" s="335"/>
      <c r="DQ530" s="335"/>
      <c r="DR530" s="335"/>
      <c r="DS530" s="335"/>
      <c r="DT530" s="335"/>
      <c r="DU530" s="335"/>
      <c r="DV530" s="335"/>
      <c r="DW530" s="335"/>
      <c r="DX530" s="335"/>
      <c r="DY530" s="335"/>
      <c r="DZ530" s="335"/>
      <c r="EA530" s="335"/>
      <c r="EB530" s="335"/>
      <c r="EC530" s="335"/>
      <c r="ED530" s="335"/>
      <c r="EE530" s="335"/>
      <c r="EF530" s="335"/>
      <c r="EG530" s="335"/>
      <c r="EH530" s="335"/>
      <c r="EI530" s="335"/>
      <c r="EJ530" s="335"/>
      <c r="EK530" s="335"/>
      <c r="EL530" s="335"/>
      <c r="EM530" s="335"/>
      <c r="EN530" s="335"/>
      <c r="EO530" s="335"/>
      <c r="EP530" s="335"/>
      <c r="EQ530" s="335"/>
      <c r="ER530" s="335"/>
      <c r="ES530" s="335"/>
      <c r="ET530" s="335"/>
      <c r="EU530" s="335"/>
      <c r="EV530" s="335"/>
      <c r="EW530" s="335"/>
      <c r="EX530" s="335"/>
      <c r="EY530" s="335"/>
      <c r="EZ530" s="335"/>
      <c r="FA530" s="335"/>
      <c r="FB530" s="335"/>
      <c r="FC530" s="335"/>
      <c r="FD530" s="335"/>
      <c r="FE530" s="335"/>
      <c r="FF530" s="335"/>
      <c r="FG530" s="335"/>
      <c r="FH530" s="335"/>
      <c r="FI530" s="335"/>
      <c r="FJ530" s="335"/>
      <c r="FK530" s="335"/>
      <c r="FL530" s="335"/>
      <c r="FM530" s="335"/>
      <c r="FN530" s="335"/>
      <c r="FO530" s="335"/>
      <c r="FP530" s="335"/>
      <c r="FQ530" s="335"/>
      <c r="FR530" s="335"/>
      <c r="FS530" s="335"/>
      <c r="FT530" s="335"/>
      <c r="FU530" s="335"/>
      <c r="FV530" s="335"/>
      <c r="FW530" s="335"/>
      <c r="FX530" s="335"/>
      <c r="FY530" s="335"/>
      <c r="FZ530" s="335"/>
      <c r="GA530" s="335"/>
      <c r="GB530" s="335"/>
      <c r="GC530" s="335"/>
      <c r="GD530" s="335"/>
      <c r="GE530" s="335"/>
      <c r="GF530" s="335"/>
      <c r="GG530" s="335"/>
      <c r="GH530" s="335"/>
      <c r="GI530" s="335"/>
      <c r="GJ530" s="335"/>
      <c r="GK530" s="335"/>
      <c r="GL530" s="335"/>
      <c r="GM530" s="335"/>
      <c r="GN530" s="335"/>
      <c r="GO530" s="335"/>
      <c r="GP530" s="335"/>
      <c r="GQ530" s="335"/>
      <c r="GR530" s="335"/>
      <c r="GS530" s="335"/>
      <c r="GT530" s="335"/>
      <c r="GU530" s="335"/>
      <c r="GV530" s="335"/>
      <c r="GW530" s="335"/>
      <c r="GX530" s="335"/>
      <c r="GY530" s="335"/>
      <c r="GZ530" s="335"/>
    </row>
    <row r="531" spans="1:208" ht="15">
      <c r="A531" s="379"/>
      <c r="B531" s="335"/>
      <c r="C531" s="335"/>
      <c r="D531" s="335"/>
      <c r="E531" s="335"/>
      <c r="F531" s="335"/>
      <c r="G531" s="335"/>
      <c r="H531" s="335"/>
      <c r="I531" s="335"/>
      <c r="J531" s="335"/>
      <c r="K531" s="335"/>
      <c r="L531" s="335"/>
      <c r="M531" s="376"/>
      <c r="N531" s="335"/>
      <c r="O531" s="380"/>
      <c r="P531" s="335"/>
      <c r="Q531" s="335"/>
      <c r="R531" s="335"/>
      <c r="S531" s="335"/>
      <c r="T531" s="335"/>
      <c r="U531" s="335"/>
      <c r="V531" s="335"/>
      <c r="W531" s="335"/>
      <c r="X531" s="335"/>
      <c r="Y531" s="335"/>
      <c r="Z531" s="335"/>
      <c r="AA531" s="335"/>
      <c r="AB531" s="335"/>
      <c r="AC531" s="335"/>
      <c r="AD531" s="335"/>
      <c r="AE531" s="335"/>
      <c r="AF531" s="335"/>
      <c r="AG531" s="335"/>
      <c r="AH531" s="335"/>
      <c r="AI531" s="335"/>
      <c r="AJ531" s="335"/>
      <c r="AK531" s="335"/>
      <c r="AL531" s="335"/>
      <c r="AM531" s="335"/>
      <c r="AN531" s="335"/>
      <c r="AO531" s="335"/>
      <c r="AP531" s="335"/>
      <c r="AQ531" s="335"/>
      <c r="AR531" s="335"/>
      <c r="AS531" s="335"/>
      <c r="AT531" s="335"/>
      <c r="AU531" s="335"/>
      <c r="AV531" s="335"/>
      <c r="AW531" s="335"/>
      <c r="AX531" s="335"/>
      <c r="AY531" s="335"/>
      <c r="AZ531" s="335"/>
      <c r="BA531" s="335"/>
      <c r="BB531" s="335"/>
      <c r="BC531" s="335"/>
      <c r="BD531" s="335"/>
      <c r="BE531" s="335"/>
      <c r="BF531" s="335"/>
      <c r="BG531" s="335"/>
      <c r="BH531" s="335"/>
      <c r="BI531" s="335"/>
      <c r="BJ531" s="335"/>
      <c r="BK531" s="335"/>
      <c r="BL531" s="335"/>
      <c r="BM531" s="335"/>
      <c r="BN531" s="335"/>
      <c r="BO531" s="335"/>
      <c r="BP531" s="335"/>
      <c r="BQ531" s="335"/>
      <c r="BR531" s="335"/>
      <c r="BS531" s="335"/>
      <c r="BT531" s="335"/>
      <c r="BU531" s="335"/>
      <c r="BV531" s="335"/>
      <c r="BW531" s="335"/>
      <c r="BX531" s="335"/>
      <c r="BY531" s="335"/>
      <c r="BZ531" s="335"/>
      <c r="CA531" s="335"/>
      <c r="CB531" s="335"/>
      <c r="CC531" s="335"/>
      <c r="CD531" s="335"/>
      <c r="CE531" s="335"/>
      <c r="CF531" s="335"/>
      <c r="CG531" s="335"/>
      <c r="CH531" s="335"/>
      <c r="CI531" s="335"/>
      <c r="CJ531" s="335"/>
      <c r="CK531" s="335"/>
      <c r="CL531" s="335"/>
      <c r="CM531" s="335"/>
      <c r="CN531" s="335"/>
      <c r="CO531" s="335"/>
      <c r="CP531" s="335"/>
      <c r="CQ531" s="335"/>
      <c r="CR531" s="335"/>
      <c r="CS531" s="335"/>
      <c r="CT531" s="335"/>
      <c r="CU531" s="335"/>
      <c r="CV531" s="335"/>
      <c r="CW531" s="335"/>
      <c r="CX531" s="335"/>
      <c r="CY531" s="335"/>
      <c r="CZ531" s="335"/>
      <c r="DA531" s="335"/>
      <c r="DB531" s="335"/>
      <c r="DC531" s="335"/>
      <c r="DD531" s="335"/>
      <c r="DE531" s="335"/>
      <c r="DF531" s="335"/>
      <c r="DG531" s="335"/>
      <c r="DH531" s="335"/>
      <c r="DI531" s="335"/>
      <c r="DJ531" s="335"/>
      <c r="DK531" s="335"/>
      <c r="DL531" s="335"/>
      <c r="DM531" s="335"/>
      <c r="DN531" s="335"/>
      <c r="DO531" s="335"/>
      <c r="DP531" s="335"/>
      <c r="DQ531" s="335"/>
      <c r="DR531" s="335"/>
      <c r="DS531" s="335"/>
      <c r="DT531" s="335"/>
      <c r="DU531" s="335"/>
      <c r="DV531" s="335"/>
      <c r="DW531" s="335"/>
      <c r="DX531" s="335"/>
      <c r="DY531" s="335"/>
      <c r="DZ531" s="335"/>
      <c r="EA531" s="335"/>
      <c r="EB531" s="335"/>
      <c r="EC531" s="335"/>
      <c r="ED531" s="335"/>
      <c r="EE531" s="335"/>
      <c r="EF531" s="335"/>
      <c r="EG531" s="335"/>
      <c r="EH531" s="335"/>
      <c r="EI531" s="335"/>
      <c r="EJ531" s="335"/>
      <c r="EK531" s="335"/>
      <c r="EL531" s="335"/>
      <c r="EM531" s="335"/>
      <c r="EN531" s="335"/>
      <c r="EO531" s="335"/>
      <c r="EP531" s="335"/>
      <c r="EQ531" s="335"/>
      <c r="ER531" s="335"/>
      <c r="ES531" s="335"/>
      <c r="ET531" s="335"/>
      <c r="EU531" s="335"/>
      <c r="EV531" s="335"/>
      <c r="EW531" s="335"/>
      <c r="EX531" s="335"/>
      <c r="EY531" s="335"/>
      <c r="EZ531" s="335"/>
      <c r="FA531" s="335"/>
      <c r="FB531" s="335"/>
      <c r="FC531" s="335"/>
      <c r="FD531" s="335"/>
      <c r="FE531" s="335"/>
      <c r="FF531" s="335"/>
      <c r="FG531" s="335"/>
      <c r="FH531" s="335"/>
      <c r="FI531" s="335"/>
      <c r="FJ531" s="335"/>
      <c r="FK531" s="335"/>
      <c r="FL531" s="335"/>
      <c r="FM531" s="335"/>
      <c r="FN531" s="335"/>
      <c r="FO531" s="335"/>
      <c r="FP531" s="335"/>
      <c r="FQ531" s="335"/>
      <c r="FR531" s="335"/>
      <c r="FS531" s="335"/>
      <c r="FT531" s="335"/>
      <c r="FU531" s="335"/>
      <c r="FV531" s="335"/>
      <c r="FW531" s="335"/>
      <c r="FX531" s="335"/>
      <c r="FY531" s="335"/>
      <c r="FZ531" s="335"/>
      <c r="GA531" s="335"/>
      <c r="GB531" s="335"/>
      <c r="GC531" s="335"/>
      <c r="GD531" s="335"/>
      <c r="GE531" s="335"/>
      <c r="GF531" s="335"/>
      <c r="GG531" s="335"/>
      <c r="GH531" s="335"/>
      <c r="GI531" s="335"/>
      <c r="GJ531" s="335"/>
      <c r="GK531" s="335"/>
      <c r="GL531" s="335"/>
      <c r="GM531" s="335"/>
      <c r="GN531" s="335"/>
      <c r="GO531" s="335"/>
      <c r="GP531" s="335"/>
      <c r="GQ531" s="335"/>
      <c r="GR531" s="335"/>
      <c r="GS531" s="335"/>
      <c r="GT531" s="335"/>
      <c r="GU531" s="335"/>
      <c r="GV531" s="335"/>
      <c r="GW531" s="335"/>
      <c r="GX531" s="335"/>
      <c r="GY531" s="335"/>
      <c r="GZ531" s="335"/>
    </row>
    <row r="532" spans="1:208" ht="15">
      <c r="A532" s="379"/>
      <c r="B532" s="335"/>
      <c r="C532" s="335"/>
      <c r="D532" s="335"/>
      <c r="E532" s="335"/>
      <c r="F532" s="335"/>
      <c r="G532" s="335"/>
      <c r="H532" s="335"/>
      <c r="I532" s="335"/>
      <c r="J532" s="335"/>
      <c r="K532" s="335"/>
      <c r="L532" s="335"/>
      <c r="M532" s="376"/>
      <c r="N532" s="335"/>
      <c r="O532" s="380"/>
      <c r="P532" s="335"/>
      <c r="Q532" s="335"/>
      <c r="R532" s="335"/>
      <c r="S532" s="335"/>
      <c r="T532" s="335"/>
      <c r="U532" s="335"/>
      <c r="V532" s="335"/>
      <c r="W532" s="335"/>
      <c r="X532" s="335"/>
      <c r="Y532" s="335"/>
      <c r="Z532" s="335"/>
      <c r="AA532" s="335"/>
      <c r="AB532" s="335"/>
      <c r="AC532" s="335"/>
      <c r="AD532" s="335"/>
      <c r="AE532" s="335"/>
      <c r="AF532" s="335"/>
      <c r="AG532" s="335"/>
      <c r="AH532" s="335"/>
      <c r="AI532" s="335"/>
      <c r="AJ532" s="335"/>
      <c r="AK532" s="335"/>
      <c r="AL532" s="335"/>
      <c r="AM532" s="335"/>
      <c r="AN532" s="335"/>
      <c r="AO532" s="335"/>
      <c r="AP532" s="335"/>
      <c r="AQ532" s="335"/>
      <c r="AR532" s="335"/>
      <c r="AS532" s="335"/>
      <c r="AT532" s="335"/>
      <c r="AU532" s="335"/>
      <c r="AV532" s="335"/>
      <c r="AW532" s="335"/>
      <c r="AX532" s="335"/>
      <c r="AY532" s="335"/>
      <c r="AZ532" s="335"/>
      <c r="BA532" s="335"/>
      <c r="BB532" s="335"/>
      <c r="BC532" s="335"/>
      <c r="BD532" s="335"/>
      <c r="BE532" s="335"/>
      <c r="BF532" s="335"/>
      <c r="BG532" s="335"/>
      <c r="BH532" s="335"/>
      <c r="BI532" s="335"/>
      <c r="BJ532" s="335"/>
      <c r="BK532" s="335"/>
      <c r="BL532" s="335"/>
      <c r="BM532" s="335"/>
      <c r="BN532" s="335"/>
      <c r="BO532" s="335"/>
      <c r="BP532" s="335"/>
      <c r="BQ532" s="335"/>
      <c r="BR532" s="335"/>
      <c r="BS532" s="335"/>
      <c r="BT532" s="335"/>
      <c r="BU532" s="335"/>
      <c r="BV532" s="335"/>
      <c r="BW532" s="335"/>
      <c r="BX532" s="335"/>
      <c r="BY532" s="335"/>
      <c r="BZ532" s="335"/>
      <c r="CA532" s="335"/>
      <c r="CB532" s="335"/>
      <c r="CC532" s="335"/>
      <c r="CD532" s="335"/>
      <c r="CE532" s="335"/>
      <c r="CF532" s="335"/>
      <c r="CG532" s="335"/>
      <c r="CH532" s="335"/>
      <c r="CI532" s="335"/>
      <c r="CJ532" s="335"/>
      <c r="CK532" s="335"/>
      <c r="CL532" s="335"/>
      <c r="CM532" s="335"/>
      <c r="CN532" s="335"/>
      <c r="CO532" s="335"/>
      <c r="CP532" s="335"/>
      <c r="CQ532" s="335"/>
      <c r="CR532" s="335"/>
      <c r="CS532" s="335"/>
      <c r="CT532" s="335"/>
      <c r="CU532" s="335"/>
      <c r="CV532" s="335"/>
      <c r="CW532" s="335"/>
      <c r="CX532" s="335"/>
      <c r="CY532" s="335"/>
      <c r="CZ532" s="335"/>
      <c r="DA532" s="335"/>
      <c r="DB532" s="335"/>
      <c r="DC532" s="335"/>
      <c r="DD532" s="335"/>
      <c r="DE532" s="335"/>
      <c r="DF532" s="335"/>
      <c r="DG532" s="335"/>
      <c r="DH532" s="335"/>
      <c r="DI532" s="335"/>
      <c r="DJ532" s="335"/>
      <c r="DK532" s="335"/>
      <c r="DL532" s="335"/>
      <c r="DM532" s="335"/>
      <c r="DN532" s="335"/>
      <c r="DO532" s="335"/>
      <c r="DP532" s="335"/>
      <c r="DQ532" s="335"/>
      <c r="DR532" s="335"/>
      <c r="DS532" s="335"/>
      <c r="DT532" s="335"/>
      <c r="DU532" s="335"/>
      <c r="DV532" s="335"/>
      <c r="DW532" s="335"/>
      <c r="DX532" s="335"/>
      <c r="DY532" s="335"/>
      <c r="DZ532" s="335"/>
      <c r="EA532" s="335"/>
      <c r="EB532" s="335"/>
      <c r="EC532" s="335"/>
      <c r="ED532" s="335"/>
      <c r="EE532" s="335"/>
      <c r="EF532" s="335"/>
      <c r="EG532" s="335"/>
      <c r="EH532" s="335"/>
      <c r="EI532" s="335"/>
      <c r="EJ532" s="335"/>
      <c r="EK532" s="335"/>
      <c r="EL532" s="335"/>
      <c r="EM532" s="335"/>
      <c r="EN532" s="335"/>
      <c r="EO532" s="335"/>
      <c r="EP532" s="335"/>
      <c r="EQ532" s="335"/>
      <c r="ER532" s="335"/>
      <c r="ES532" s="335"/>
      <c r="ET532" s="335"/>
      <c r="EU532" s="335"/>
      <c r="EV532" s="335"/>
      <c r="EW532" s="335"/>
      <c r="EX532" s="335"/>
      <c r="EY532" s="335"/>
      <c r="EZ532" s="335"/>
      <c r="FA532" s="335"/>
      <c r="FB532" s="335"/>
      <c r="FC532" s="335"/>
      <c r="FD532" s="335"/>
      <c r="FE532" s="335"/>
      <c r="FF532" s="335"/>
      <c r="FG532" s="335"/>
      <c r="FH532" s="335"/>
      <c r="FI532" s="335"/>
      <c r="FJ532" s="335"/>
      <c r="FK532" s="335"/>
      <c r="FL532" s="335"/>
      <c r="FM532" s="335"/>
      <c r="FN532" s="335"/>
      <c r="FO532" s="335"/>
      <c r="FP532" s="335"/>
      <c r="FQ532" s="335"/>
      <c r="FR532" s="335"/>
      <c r="FS532" s="335"/>
      <c r="FT532" s="335"/>
      <c r="FU532" s="335"/>
      <c r="FV532" s="335"/>
      <c r="FW532" s="335"/>
      <c r="FX532" s="335"/>
      <c r="FY532" s="335"/>
      <c r="FZ532" s="335"/>
      <c r="GA532" s="335"/>
      <c r="GB532" s="335"/>
      <c r="GC532" s="335"/>
      <c r="GD532" s="335"/>
      <c r="GE532" s="335"/>
      <c r="GF532" s="335"/>
      <c r="GG532" s="335"/>
      <c r="GH532" s="335"/>
      <c r="GI532" s="335"/>
      <c r="GJ532" s="335"/>
      <c r="GK532" s="335"/>
      <c r="GL532" s="335"/>
      <c r="GM532" s="335"/>
      <c r="GN532" s="335"/>
      <c r="GO532" s="335"/>
      <c r="GP532" s="335"/>
      <c r="GQ532" s="335"/>
      <c r="GR532" s="335"/>
      <c r="GS532" s="335"/>
      <c r="GT532" s="335"/>
      <c r="GU532" s="335"/>
      <c r="GV532" s="335"/>
      <c r="GW532" s="335"/>
      <c r="GX532" s="335"/>
      <c r="GY532" s="335"/>
      <c r="GZ532" s="335"/>
    </row>
    <row r="533" spans="1:208" ht="15">
      <c r="A533" s="379"/>
      <c r="B533" s="335"/>
      <c r="C533" s="335"/>
      <c r="D533" s="335"/>
      <c r="E533" s="335"/>
      <c r="F533" s="335"/>
      <c r="G533" s="335"/>
      <c r="H533" s="335"/>
      <c r="I533" s="335"/>
      <c r="J533" s="335"/>
      <c r="K533" s="335"/>
      <c r="L533" s="335"/>
      <c r="M533" s="376"/>
      <c r="N533" s="335"/>
      <c r="O533" s="380"/>
      <c r="P533" s="335"/>
      <c r="Q533" s="335"/>
      <c r="R533" s="335"/>
      <c r="S533" s="335"/>
      <c r="T533" s="335"/>
      <c r="U533" s="335"/>
      <c r="V533" s="335"/>
      <c r="W533" s="335"/>
      <c r="X533" s="335"/>
      <c r="Y533" s="335"/>
      <c r="Z533" s="335"/>
      <c r="AA533" s="335"/>
      <c r="AB533" s="335"/>
      <c r="AC533" s="335"/>
      <c r="AD533" s="335"/>
      <c r="AE533" s="335"/>
      <c r="AF533" s="335"/>
      <c r="AG533" s="335"/>
      <c r="AH533" s="335"/>
      <c r="AI533" s="335"/>
      <c r="AJ533" s="335"/>
      <c r="AK533" s="335"/>
      <c r="AL533" s="335"/>
      <c r="AM533" s="335"/>
      <c r="AN533" s="335"/>
      <c r="AO533" s="335"/>
      <c r="AP533" s="335"/>
      <c r="AQ533" s="335"/>
      <c r="AR533" s="335"/>
      <c r="AS533" s="335"/>
      <c r="AT533" s="335"/>
      <c r="AU533" s="335"/>
      <c r="AV533" s="335"/>
      <c r="AW533" s="335"/>
      <c r="AX533" s="335"/>
      <c r="AY533" s="335"/>
      <c r="AZ533" s="335"/>
      <c r="BA533" s="335"/>
      <c r="BB533" s="335"/>
      <c r="BC533" s="335"/>
      <c r="BD533" s="335"/>
      <c r="BE533" s="335"/>
      <c r="BF533" s="335"/>
      <c r="BG533" s="335"/>
      <c r="BH533" s="335"/>
      <c r="BI533" s="335"/>
      <c r="BJ533" s="335"/>
      <c r="BK533" s="335"/>
      <c r="BL533" s="335"/>
      <c r="BM533" s="335"/>
      <c r="BN533" s="335"/>
      <c r="BO533" s="335"/>
      <c r="BP533" s="335"/>
      <c r="BQ533" s="335"/>
      <c r="BR533" s="335"/>
      <c r="BS533" s="335"/>
      <c r="BT533" s="335"/>
      <c r="BU533" s="335"/>
      <c r="BV533" s="335"/>
      <c r="BW533" s="335"/>
      <c r="BX533" s="335"/>
      <c r="BY533" s="335"/>
      <c r="BZ533" s="335"/>
      <c r="CA533" s="335"/>
      <c r="CB533" s="335"/>
      <c r="CC533" s="335"/>
      <c r="CD533" s="335"/>
      <c r="CE533" s="335"/>
      <c r="CF533" s="335"/>
      <c r="CG533" s="335"/>
      <c r="CH533" s="335"/>
      <c r="CI533" s="335"/>
      <c r="CJ533" s="335"/>
      <c r="CK533" s="335"/>
      <c r="CL533" s="335"/>
      <c r="CM533" s="335"/>
      <c r="CN533" s="335"/>
      <c r="CO533" s="335"/>
      <c r="CP533" s="335"/>
      <c r="CQ533" s="335"/>
      <c r="CR533" s="335"/>
      <c r="CS533" s="335"/>
      <c r="CT533" s="335"/>
      <c r="CU533" s="335"/>
      <c r="CV533" s="335"/>
      <c r="CW533" s="335"/>
      <c r="CX533" s="335"/>
      <c r="CY533" s="335"/>
      <c r="CZ533" s="335"/>
      <c r="DA533" s="335"/>
      <c r="DB533" s="335"/>
      <c r="DC533" s="335"/>
      <c r="DD533" s="335"/>
      <c r="DE533" s="335"/>
      <c r="DF533" s="335"/>
      <c r="DG533" s="335"/>
      <c r="DH533" s="335"/>
      <c r="DI533" s="335"/>
      <c r="DJ533" s="335"/>
      <c r="DK533" s="335"/>
      <c r="DL533" s="335"/>
      <c r="DM533" s="335"/>
      <c r="DN533" s="335"/>
      <c r="DO533" s="335"/>
      <c r="DP533" s="335"/>
      <c r="DQ533" s="335"/>
      <c r="DR533" s="335"/>
      <c r="DS533" s="335"/>
      <c r="DT533" s="335"/>
      <c r="DU533" s="335"/>
      <c r="DV533" s="335"/>
      <c r="DW533" s="335"/>
      <c r="DX533" s="335"/>
      <c r="DY533" s="335"/>
      <c r="DZ533" s="335"/>
      <c r="EA533" s="335"/>
      <c r="EB533" s="335"/>
      <c r="EC533" s="335"/>
      <c r="ED533" s="335"/>
      <c r="EE533" s="335"/>
      <c r="EF533" s="335"/>
      <c r="EG533" s="335"/>
      <c r="EH533" s="335"/>
      <c r="EI533" s="335"/>
      <c r="EJ533" s="335"/>
      <c r="EK533" s="335"/>
      <c r="EL533" s="335"/>
      <c r="EM533" s="335"/>
      <c r="EN533" s="335"/>
      <c r="EO533" s="335"/>
      <c r="EP533" s="335"/>
      <c r="EQ533" s="335"/>
      <c r="ER533" s="335"/>
      <c r="ES533" s="335"/>
      <c r="ET533" s="335"/>
      <c r="EU533" s="335"/>
      <c r="EV533" s="335"/>
      <c r="EW533" s="335"/>
      <c r="EX533" s="335"/>
      <c r="EY533" s="335"/>
      <c r="EZ533" s="335"/>
      <c r="FA533" s="335"/>
      <c r="FB533" s="335"/>
      <c r="FC533" s="335"/>
      <c r="FD533" s="335"/>
      <c r="FE533" s="335"/>
      <c r="FF533" s="335"/>
      <c r="FG533" s="335"/>
      <c r="FH533" s="335"/>
      <c r="FI533" s="335"/>
      <c r="FJ533" s="335"/>
      <c r="FK533" s="335"/>
      <c r="FL533" s="335"/>
      <c r="FM533" s="335"/>
      <c r="FN533" s="335"/>
      <c r="FO533" s="335"/>
      <c r="FP533" s="335"/>
      <c r="FQ533" s="335"/>
      <c r="FR533" s="335"/>
      <c r="FS533" s="335"/>
      <c r="FT533" s="335"/>
      <c r="FU533" s="335"/>
      <c r="FV533" s="335"/>
      <c r="FW533" s="335"/>
      <c r="FX533" s="335"/>
      <c r="FY533" s="335"/>
      <c r="FZ533" s="335"/>
      <c r="GA533" s="335"/>
      <c r="GB533" s="335"/>
      <c r="GC533" s="335"/>
      <c r="GD533" s="335"/>
      <c r="GE533" s="335"/>
      <c r="GF533" s="335"/>
      <c r="GG533" s="335"/>
      <c r="GH533" s="335"/>
      <c r="GI533" s="335"/>
      <c r="GJ533" s="335"/>
      <c r="GK533" s="335"/>
      <c r="GL533" s="335"/>
      <c r="GM533" s="335"/>
      <c r="GN533" s="335"/>
      <c r="GO533" s="335"/>
      <c r="GP533" s="335"/>
      <c r="GQ533" s="335"/>
      <c r="GR533" s="335"/>
      <c r="GS533" s="335"/>
      <c r="GT533" s="335"/>
      <c r="GU533" s="335"/>
      <c r="GV533" s="335"/>
      <c r="GW533" s="335"/>
      <c r="GX533" s="335"/>
      <c r="GY533" s="335"/>
      <c r="GZ533" s="335"/>
    </row>
    <row r="534" spans="1:208" ht="15">
      <c r="A534" s="379"/>
      <c r="B534" s="335"/>
      <c r="C534" s="335"/>
      <c r="D534" s="335"/>
      <c r="E534" s="335"/>
      <c r="F534" s="335"/>
      <c r="G534" s="335"/>
      <c r="H534" s="335"/>
      <c r="I534" s="335"/>
      <c r="J534" s="335"/>
      <c r="K534" s="335"/>
      <c r="L534" s="335"/>
      <c r="M534" s="376"/>
      <c r="N534" s="335"/>
      <c r="O534" s="380"/>
      <c r="P534" s="335"/>
      <c r="Q534" s="335"/>
      <c r="R534" s="335"/>
      <c r="S534" s="335"/>
      <c r="T534" s="335"/>
      <c r="U534" s="335"/>
      <c r="V534" s="335"/>
      <c r="W534" s="335"/>
      <c r="X534" s="335"/>
      <c r="Y534" s="335"/>
      <c r="Z534" s="335"/>
      <c r="AA534" s="335"/>
      <c r="AB534" s="335"/>
      <c r="AC534" s="335"/>
      <c r="AD534" s="335"/>
      <c r="AE534" s="335"/>
      <c r="AF534" s="335"/>
      <c r="AG534" s="335"/>
      <c r="AH534" s="335"/>
      <c r="AI534" s="335"/>
      <c r="AJ534" s="335"/>
      <c r="AK534" s="335"/>
      <c r="AL534" s="335"/>
      <c r="AM534" s="335"/>
      <c r="AN534" s="335"/>
      <c r="AO534" s="335"/>
      <c r="AP534" s="335"/>
      <c r="AQ534" s="335"/>
      <c r="AR534" s="335"/>
      <c r="AS534" s="335"/>
      <c r="AT534" s="335"/>
      <c r="AU534" s="335"/>
      <c r="AV534" s="335"/>
      <c r="AW534" s="335"/>
      <c r="AX534" s="335"/>
      <c r="AY534" s="335"/>
      <c r="AZ534" s="335"/>
      <c r="BA534" s="335"/>
      <c r="BB534" s="335"/>
      <c r="BC534" s="335"/>
      <c r="BD534" s="335"/>
      <c r="BE534" s="335"/>
      <c r="BF534" s="335"/>
      <c r="BG534" s="335"/>
      <c r="BH534" s="335"/>
      <c r="BI534" s="335"/>
      <c r="BJ534" s="335"/>
      <c r="BK534" s="335"/>
      <c r="BL534" s="335"/>
      <c r="BM534" s="335"/>
      <c r="BN534" s="335"/>
      <c r="BO534" s="335"/>
      <c r="BP534" s="335"/>
      <c r="BQ534" s="335"/>
      <c r="BR534" s="335"/>
      <c r="BS534" s="335"/>
      <c r="BT534" s="335"/>
      <c r="BU534" s="335"/>
      <c r="BV534" s="335"/>
      <c r="BW534" s="335"/>
      <c r="BX534" s="335"/>
      <c r="BY534" s="335"/>
      <c r="BZ534" s="335"/>
      <c r="CA534" s="335"/>
      <c r="CB534" s="335"/>
      <c r="CC534" s="335"/>
      <c r="CD534" s="335"/>
      <c r="CE534" s="335"/>
      <c r="CF534" s="335"/>
      <c r="CG534" s="335"/>
      <c r="CH534" s="335"/>
      <c r="CI534" s="335"/>
      <c r="CJ534" s="335"/>
      <c r="CK534" s="335"/>
      <c r="CL534" s="335"/>
      <c r="CM534" s="335"/>
      <c r="CN534" s="335"/>
      <c r="CO534" s="335"/>
      <c r="CP534" s="335"/>
      <c r="CQ534" s="335"/>
      <c r="CR534" s="335"/>
      <c r="CS534" s="335"/>
      <c r="CT534" s="335"/>
      <c r="CU534" s="335"/>
      <c r="CV534" s="335"/>
      <c r="CW534" s="335"/>
      <c r="CX534" s="335"/>
      <c r="CY534" s="335"/>
      <c r="CZ534" s="335"/>
      <c r="DA534" s="335"/>
      <c r="DB534" s="335"/>
      <c r="DC534" s="335"/>
      <c r="DD534" s="335"/>
      <c r="DE534" s="335"/>
      <c r="DF534" s="335"/>
      <c r="DG534" s="335"/>
      <c r="DH534" s="335"/>
      <c r="DI534" s="335"/>
      <c r="DJ534" s="335"/>
      <c r="DK534" s="335"/>
      <c r="DL534" s="335"/>
      <c r="DM534" s="335"/>
      <c r="DN534" s="335"/>
      <c r="DO534" s="335"/>
      <c r="DP534" s="335"/>
      <c r="DQ534" s="335"/>
      <c r="DR534" s="335"/>
      <c r="DS534" s="335"/>
      <c r="DT534" s="335"/>
      <c r="DU534" s="335"/>
      <c r="DV534" s="335"/>
      <c r="DW534" s="335"/>
      <c r="DX534" s="335"/>
      <c r="DY534" s="335"/>
      <c r="DZ534" s="335"/>
      <c r="EA534" s="335"/>
      <c r="EB534" s="335"/>
      <c r="EC534" s="335"/>
      <c r="ED534" s="335"/>
      <c r="EE534" s="335"/>
      <c r="EF534" s="335"/>
      <c r="EG534" s="335"/>
      <c r="EH534" s="335"/>
      <c r="EI534" s="335"/>
      <c r="EJ534" s="335"/>
      <c r="EK534" s="335"/>
      <c r="EL534" s="335"/>
      <c r="EM534" s="335"/>
      <c r="EN534" s="335"/>
      <c r="EO534" s="335"/>
      <c r="EP534" s="335"/>
      <c r="EQ534" s="335"/>
      <c r="ER534" s="335"/>
      <c r="ES534" s="335"/>
      <c r="ET534" s="335"/>
      <c r="EU534" s="335"/>
      <c r="EV534" s="335"/>
      <c r="EW534" s="335"/>
      <c r="EX534" s="335"/>
      <c r="EY534" s="335"/>
      <c r="EZ534" s="335"/>
      <c r="FA534" s="335"/>
      <c r="FB534" s="335"/>
      <c r="FC534" s="335"/>
      <c r="FD534" s="335"/>
      <c r="FE534" s="335"/>
      <c r="FF534" s="335"/>
      <c r="FG534" s="335"/>
      <c r="FH534" s="335"/>
      <c r="FI534" s="335"/>
      <c r="FJ534" s="335"/>
      <c r="FK534" s="335"/>
      <c r="FL534" s="335"/>
      <c r="FM534" s="335"/>
      <c r="FN534" s="335"/>
      <c r="FO534" s="335"/>
      <c r="FP534" s="335"/>
      <c r="FQ534" s="335"/>
      <c r="FR534" s="335"/>
      <c r="FS534" s="335"/>
      <c r="FT534" s="335"/>
      <c r="FU534" s="335"/>
      <c r="FV534" s="335"/>
      <c r="FW534" s="335"/>
      <c r="FX534" s="335"/>
      <c r="FY534" s="335"/>
      <c r="FZ534" s="335"/>
      <c r="GA534" s="335"/>
      <c r="GB534" s="335"/>
      <c r="GC534" s="335"/>
      <c r="GD534" s="335"/>
      <c r="GE534" s="335"/>
      <c r="GF534" s="335"/>
      <c r="GG534" s="335"/>
      <c r="GH534" s="335"/>
      <c r="GI534" s="335"/>
      <c r="GJ534" s="335"/>
      <c r="GK534" s="335"/>
      <c r="GL534" s="335"/>
      <c r="GM534" s="335"/>
      <c r="GN534" s="335"/>
      <c r="GO534" s="335"/>
      <c r="GP534" s="335"/>
      <c r="GQ534" s="335"/>
      <c r="GR534" s="335"/>
      <c r="GS534" s="335"/>
      <c r="GT534" s="335"/>
      <c r="GU534" s="335"/>
      <c r="GV534" s="335"/>
      <c r="GW534" s="335"/>
      <c r="GX534" s="335"/>
      <c r="GY534" s="335"/>
      <c r="GZ534" s="335"/>
    </row>
    <row r="535" spans="1:208" ht="15">
      <c r="A535" s="379"/>
      <c r="B535" s="335"/>
      <c r="C535" s="335"/>
      <c r="D535" s="335"/>
      <c r="E535" s="335"/>
      <c r="F535" s="335"/>
      <c r="G535" s="335"/>
      <c r="H535" s="335"/>
      <c r="I535" s="335"/>
      <c r="J535" s="335"/>
      <c r="K535" s="335"/>
      <c r="L535" s="335"/>
      <c r="M535" s="376"/>
      <c r="N535" s="335"/>
      <c r="O535" s="380"/>
      <c r="P535" s="335"/>
      <c r="Q535" s="335"/>
      <c r="R535" s="335"/>
      <c r="S535" s="335"/>
      <c r="T535" s="335"/>
      <c r="U535" s="335"/>
      <c r="V535" s="335"/>
      <c r="W535" s="335"/>
      <c r="X535" s="335"/>
      <c r="Y535" s="335"/>
      <c r="Z535" s="335"/>
      <c r="AA535" s="335"/>
      <c r="AB535" s="335"/>
      <c r="AC535" s="335"/>
      <c r="AD535" s="335"/>
      <c r="AE535" s="335"/>
      <c r="AF535" s="335"/>
      <c r="AG535" s="335"/>
      <c r="AH535" s="335"/>
      <c r="AI535" s="335"/>
      <c r="AJ535" s="335"/>
      <c r="AK535" s="335"/>
      <c r="AL535" s="335"/>
      <c r="AM535" s="335"/>
      <c r="AN535" s="335"/>
      <c r="AO535" s="335"/>
      <c r="AP535" s="335"/>
      <c r="AQ535" s="335"/>
      <c r="AR535" s="335"/>
      <c r="AS535" s="335"/>
      <c r="AT535" s="335"/>
      <c r="AU535" s="335"/>
      <c r="AV535" s="335"/>
      <c r="AW535" s="335"/>
      <c r="AX535" s="335"/>
      <c r="AY535" s="335"/>
      <c r="AZ535" s="335"/>
      <c r="BA535" s="335"/>
      <c r="BB535" s="335"/>
      <c r="BC535" s="335"/>
      <c r="BD535" s="335"/>
      <c r="BE535" s="335"/>
      <c r="BF535" s="335"/>
      <c r="BG535" s="335"/>
      <c r="BH535" s="335"/>
      <c r="BI535" s="335"/>
      <c r="BJ535" s="335"/>
      <c r="BK535" s="335"/>
      <c r="BL535" s="335"/>
      <c r="BM535" s="335"/>
      <c r="BN535" s="335"/>
      <c r="BO535" s="335"/>
      <c r="BP535" s="335"/>
      <c r="BQ535" s="335"/>
      <c r="BR535" s="335"/>
      <c r="BS535" s="335"/>
      <c r="BT535" s="335"/>
      <c r="BU535" s="335"/>
      <c r="BV535" s="335"/>
      <c r="BW535" s="335"/>
      <c r="BX535" s="335"/>
      <c r="BY535" s="335"/>
      <c r="BZ535" s="335"/>
      <c r="CA535" s="335"/>
      <c r="CB535" s="335"/>
      <c r="CC535" s="335"/>
      <c r="CD535" s="335"/>
      <c r="CE535" s="335"/>
      <c r="CF535" s="335"/>
      <c r="CG535" s="335"/>
      <c r="CH535" s="335"/>
      <c r="CI535" s="335"/>
      <c r="CJ535" s="335"/>
      <c r="CK535" s="335"/>
      <c r="CL535" s="335"/>
      <c r="CM535" s="335"/>
      <c r="CN535" s="335"/>
      <c r="CO535" s="335"/>
      <c r="CP535" s="335"/>
      <c r="CQ535" s="335"/>
      <c r="CR535" s="335"/>
      <c r="CS535" s="335"/>
      <c r="CT535" s="335"/>
      <c r="CU535" s="335"/>
      <c r="CV535" s="335"/>
      <c r="CW535" s="335"/>
      <c r="CX535" s="335"/>
      <c r="CY535" s="335"/>
      <c r="CZ535" s="335"/>
      <c r="DA535" s="335"/>
      <c r="DB535" s="335"/>
      <c r="DC535" s="335"/>
      <c r="DD535" s="335"/>
      <c r="DE535" s="335"/>
      <c r="DF535" s="335"/>
      <c r="DG535" s="335"/>
      <c r="DH535" s="335"/>
      <c r="DI535" s="335"/>
      <c r="DJ535" s="335"/>
      <c r="DK535" s="335"/>
      <c r="DL535" s="335"/>
      <c r="DM535" s="335"/>
      <c r="DN535" s="335"/>
      <c r="DO535" s="335"/>
      <c r="DP535" s="335"/>
      <c r="DQ535" s="335"/>
      <c r="DR535" s="335"/>
      <c r="DS535" s="335"/>
      <c r="DT535" s="335"/>
      <c r="DU535" s="335"/>
      <c r="DV535" s="335"/>
      <c r="DW535" s="335"/>
      <c r="DX535" s="335"/>
      <c r="DY535" s="335"/>
      <c r="DZ535" s="335"/>
      <c r="EA535" s="335"/>
      <c r="EB535" s="335"/>
      <c r="EC535" s="335"/>
      <c r="ED535" s="335"/>
      <c r="EE535" s="335"/>
      <c r="EF535" s="335"/>
      <c r="EG535" s="335"/>
      <c r="EH535" s="335"/>
      <c r="EI535" s="335"/>
      <c r="EJ535" s="335"/>
      <c r="EK535" s="335"/>
      <c r="EL535" s="335"/>
      <c r="EM535" s="335"/>
      <c r="EN535" s="335"/>
      <c r="EO535" s="335"/>
      <c r="EP535" s="335"/>
      <c r="EQ535" s="335"/>
      <c r="ER535" s="335"/>
      <c r="ES535" s="335"/>
      <c r="ET535" s="335"/>
      <c r="EU535" s="335"/>
      <c r="EV535" s="335"/>
      <c r="EW535" s="335"/>
      <c r="EX535" s="335"/>
      <c r="EY535" s="335"/>
      <c r="EZ535" s="335"/>
      <c r="FA535" s="335"/>
      <c r="FB535" s="335"/>
      <c r="FC535" s="335"/>
      <c r="FD535" s="335"/>
      <c r="FE535" s="335"/>
      <c r="FF535" s="335"/>
      <c r="FG535" s="335"/>
      <c r="FH535" s="335"/>
      <c r="FI535" s="335"/>
      <c r="FJ535" s="335"/>
      <c r="FK535" s="335"/>
      <c r="FL535" s="335"/>
      <c r="FM535" s="335"/>
      <c r="FN535" s="335"/>
      <c r="FO535" s="335"/>
      <c r="FP535" s="335"/>
      <c r="FQ535" s="335"/>
      <c r="FR535" s="335"/>
      <c r="FS535" s="335"/>
      <c r="FT535" s="335"/>
      <c r="FU535" s="335"/>
      <c r="FV535" s="335"/>
      <c r="FW535" s="335"/>
      <c r="FX535" s="335"/>
      <c r="FY535" s="335"/>
      <c r="FZ535" s="335"/>
      <c r="GA535" s="335"/>
      <c r="GB535" s="335"/>
      <c r="GC535" s="335"/>
      <c r="GD535" s="335"/>
      <c r="GE535" s="335"/>
      <c r="GF535" s="335"/>
      <c r="GG535" s="335"/>
      <c r="GH535" s="335"/>
      <c r="GI535" s="335"/>
      <c r="GJ535" s="335"/>
      <c r="GK535" s="335"/>
      <c r="GL535" s="335"/>
      <c r="GM535" s="335"/>
      <c r="GN535" s="335"/>
      <c r="GO535" s="335"/>
      <c r="GP535" s="335"/>
      <c r="GQ535" s="335"/>
      <c r="GR535" s="335"/>
      <c r="GS535" s="335"/>
      <c r="GT535" s="335"/>
      <c r="GU535" s="335"/>
      <c r="GV535" s="335"/>
      <c r="GW535" s="335"/>
      <c r="GX535" s="335"/>
      <c r="GY535" s="335"/>
      <c r="GZ535" s="335"/>
    </row>
    <row r="536" spans="1:208" ht="15">
      <c r="A536" s="379"/>
      <c r="B536" s="335"/>
      <c r="C536" s="335"/>
      <c r="D536" s="335"/>
      <c r="E536" s="335"/>
      <c r="F536" s="335"/>
      <c r="G536" s="335"/>
      <c r="H536" s="335"/>
      <c r="I536" s="335"/>
      <c r="J536" s="335"/>
      <c r="K536" s="335"/>
      <c r="L536" s="335"/>
      <c r="M536" s="376"/>
      <c r="N536" s="335"/>
      <c r="O536" s="380"/>
      <c r="P536" s="335"/>
      <c r="Q536" s="335"/>
      <c r="R536" s="335"/>
      <c r="S536" s="335"/>
      <c r="T536" s="335"/>
      <c r="U536" s="335"/>
      <c r="V536" s="335"/>
      <c r="W536" s="335"/>
      <c r="X536" s="335"/>
      <c r="Y536" s="335"/>
      <c r="Z536" s="335"/>
      <c r="AA536" s="335"/>
      <c r="AB536" s="335"/>
      <c r="AC536" s="335"/>
      <c r="AD536" s="335"/>
      <c r="AE536" s="335"/>
      <c r="AF536" s="335"/>
      <c r="AG536" s="335"/>
      <c r="AH536" s="335"/>
      <c r="AI536" s="335"/>
      <c r="AJ536" s="335"/>
      <c r="AK536" s="335"/>
      <c r="AL536" s="335"/>
      <c r="AM536" s="335"/>
      <c r="AN536" s="335"/>
      <c r="AO536" s="335"/>
      <c r="AP536" s="335"/>
      <c r="AQ536" s="335"/>
      <c r="AR536" s="335"/>
      <c r="AS536" s="335"/>
      <c r="AT536" s="335"/>
      <c r="AU536" s="335"/>
      <c r="AV536" s="335"/>
      <c r="AW536" s="335"/>
      <c r="AX536" s="335"/>
      <c r="AY536" s="335"/>
      <c r="AZ536" s="335"/>
      <c r="BA536" s="335"/>
      <c r="BB536" s="335"/>
      <c r="BC536" s="335"/>
      <c r="BD536" s="335"/>
      <c r="BE536" s="335"/>
      <c r="BF536" s="335"/>
      <c r="BG536" s="335"/>
      <c r="BH536" s="335"/>
      <c r="BI536" s="335"/>
      <c r="BJ536" s="335"/>
      <c r="BK536" s="335"/>
      <c r="BL536" s="335"/>
      <c r="BM536" s="335"/>
      <c r="BN536" s="335"/>
      <c r="BO536" s="335"/>
      <c r="BP536" s="335"/>
      <c r="BQ536" s="335"/>
      <c r="BR536" s="335"/>
      <c r="BS536" s="335"/>
      <c r="BT536" s="335"/>
      <c r="BU536" s="335"/>
      <c r="BV536" s="335"/>
      <c r="BW536" s="335"/>
      <c r="BX536" s="335"/>
      <c r="BY536" s="335"/>
      <c r="BZ536" s="335"/>
      <c r="CA536" s="335"/>
      <c r="CB536" s="335"/>
      <c r="CC536" s="335"/>
      <c r="CD536" s="335"/>
      <c r="CE536" s="335"/>
      <c r="CF536" s="335"/>
      <c r="CG536" s="335"/>
      <c r="CH536" s="335"/>
      <c r="CI536" s="335"/>
      <c r="CJ536" s="335"/>
      <c r="CK536" s="335"/>
      <c r="CL536" s="335"/>
      <c r="CM536" s="335"/>
      <c r="CN536" s="335"/>
      <c r="CO536" s="335"/>
      <c r="CP536" s="335"/>
      <c r="CQ536" s="335"/>
      <c r="CR536" s="335"/>
      <c r="CS536" s="335"/>
      <c r="CT536" s="335"/>
      <c r="CU536" s="335"/>
      <c r="CV536" s="335"/>
      <c r="CW536" s="335"/>
      <c r="CX536" s="335"/>
      <c r="CY536" s="335"/>
      <c r="CZ536" s="335"/>
      <c r="DA536" s="335"/>
      <c r="DB536" s="335"/>
      <c r="DC536" s="335"/>
      <c r="DD536" s="335"/>
      <c r="DE536" s="335"/>
      <c r="DF536" s="335"/>
      <c r="DG536" s="335"/>
      <c r="DH536" s="335"/>
      <c r="DI536" s="335"/>
      <c r="DJ536" s="335"/>
      <c r="DK536" s="335"/>
      <c r="DL536" s="335"/>
      <c r="DM536" s="335"/>
      <c r="DN536" s="335"/>
      <c r="DO536" s="335"/>
      <c r="DP536" s="335"/>
      <c r="DQ536" s="335"/>
      <c r="DR536" s="335"/>
      <c r="DS536" s="335"/>
      <c r="DT536" s="335"/>
      <c r="DU536" s="335"/>
      <c r="DV536" s="335"/>
      <c r="DW536" s="335"/>
      <c r="DX536" s="335"/>
      <c r="DY536" s="335"/>
      <c r="DZ536" s="335"/>
      <c r="EA536" s="335"/>
      <c r="EB536" s="335"/>
      <c r="EC536" s="335"/>
      <c r="ED536" s="335"/>
      <c r="EE536" s="335"/>
      <c r="EF536" s="335"/>
      <c r="EG536" s="335"/>
      <c r="EH536" s="335"/>
      <c r="EI536" s="335"/>
      <c r="EJ536" s="335"/>
      <c r="EK536" s="335"/>
      <c r="EL536" s="335"/>
      <c r="EM536" s="335"/>
      <c r="EN536" s="335"/>
      <c r="EO536" s="335"/>
      <c r="EP536" s="335"/>
      <c r="EQ536" s="335"/>
      <c r="ER536" s="335"/>
      <c r="ES536" s="335"/>
      <c r="ET536" s="335"/>
      <c r="EU536" s="335"/>
      <c r="EV536" s="335"/>
      <c r="EW536" s="335"/>
      <c r="EX536" s="335"/>
      <c r="EY536" s="335"/>
      <c r="EZ536" s="335"/>
      <c r="FA536" s="335"/>
      <c r="FB536" s="335"/>
      <c r="FC536" s="335"/>
      <c r="FD536" s="335"/>
      <c r="FE536" s="335"/>
      <c r="FF536" s="335"/>
      <c r="FG536" s="335"/>
      <c r="FH536" s="335"/>
      <c r="FI536" s="335"/>
      <c r="FJ536" s="335"/>
      <c r="FK536" s="335"/>
      <c r="FL536" s="335"/>
      <c r="FM536" s="335"/>
      <c r="FN536" s="335"/>
      <c r="FO536" s="335"/>
      <c r="FP536" s="335"/>
      <c r="FQ536" s="335"/>
      <c r="FR536" s="335"/>
      <c r="FS536" s="335"/>
      <c r="FT536" s="335"/>
      <c r="FU536" s="335"/>
      <c r="FV536" s="335"/>
      <c r="FW536" s="335"/>
      <c r="FX536" s="335"/>
      <c r="FY536" s="335"/>
      <c r="FZ536" s="335"/>
      <c r="GA536" s="335"/>
      <c r="GB536" s="335"/>
      <c r="GC536" s="335"/>
      <c r="GD536" s="335"/>
      <c r="GE536" s="335"/>
      <c r="GF536" s="335"/>
      <c r="GG536" s="335"/>
      <c r="GH536" s="335"/>
      <c r="GI536" s="335"/>
      <c r="GJ536" s="335"/>
      <c r="GK536" s="335"/>
      <c r="GL536" s="335"/>
      <c r="GM536" s="335"/>
      <c r="GN536" s="335"/>
      <c r="GO536" s="335"/>
      <c r="GP536" s="335"/>
      <c r="GQ536" s="335"/>
      <c r="GR536" s="335"/>
      <c r="GS536" s="335"/>
      <c r="GT536" s="335"/>
      <c r="GU536" s="335"/>
      <c r="GV536" s="335"/>
      <c r="GW536" s="335"/>
      <c r="GX536" s="335"/>
      <c r="GY536" s="335"/>
      <c r="GZ536" s="335"/>
    </row>
    <row r="537" spans="1:208" ht="15">
      <c r="A537" s="379"/>
      <c r="B537" s="335"/>
      <c r="C537" s="335"/>
      <c r="D537" s="335"/>
      <c r="E537" s="335"/>
      <c r="F537" s="335"/>
      <c r="G537" s="335"/>
      <c r="H537" s="335"/>
      <c r="I537" s="335"/>
      <c r="J537" s="335"/>
      <c r="K537" s="335"/>
      <c r="L537" s="335"/>
      <c r="M537" s="376"/>
      <c r="N537" s="335"/>
      <c r="O537" s="380"/>
      <c r="P537" s="335"/>
      <c r="Q537" s="335"/>
      <c r="R537" s="335"/>
      <c r="S537" s="335"/>
      <c r="T537" s="335"/>
      <c r="U537" s="335"/>
      <c r="V537" s="335"/>
      <c r="W537" s="335"/>
      <c r="X537" s="335"/>
      <c r="Y537" s="335"/>
      <c r="Z537" s="335"/>
      <c r="AA537" s="335"/>
      <c r="AB537" s="335"/>
      <c r="AC537" s="335"/>
      <c r="AD537" s="335"/>
      <c r="AE537" s="335"/>
      <c r="AF537" s="335"/>
      <c r="AG537" s="335"/>
      <c r="AH537" s="335"/>
      <c r="AI537" s="335"/>
      <c r="AJ537" s="335"/>
      <c r="AK537" s="335"/>
      <c r="AL537" s="335"/>
      <c r="AM537" s="335"/>
      <c r="AN537" s="335"/>
      <c r="AO537" s="335"/>
      <c r="AP537" s="335"/>
      <c r="AQ537" s="335"/>
      <c r="AR537" s="335"/>
      <c r="AS537" s="335"/>
      <c r="AT537" s="335"/>
      <c r="AU537" s="335"/>
      <c r="AV537" s="335"/>
      <c r="AW537" s="335"/>
      <c r="AX537" s="335"/>
      <c r="AY537" s="335"/>
      <c r="AZ537" s="335"/>
      <c r="BA537" s="335"/>
      <c r="BB537" s="335"/>
      <c r="BC537" s="335"/>
      <c r="BD537" s="335"/>
      <c r="BE537" s="335"/>
      <c r="BF537" s="335"/>
      <c r="BG537" s="335"/>
      <c r="BH537" s="335"/>
      <c r="BI537" s="335"/>
      <c r="BJ537" s="335"/>
      <c r="BK537" s="335"/>
      <c r="BL537" s="335"/>
      <c r="BM537" s="335"/>
      <c r="BN537" s="335"/>
      <c r="BO537" s="335"/>
      <c r="BP537" s="335"/>
      <c r="BQ537" s="335"/>
      <c r="BR537" s="335"/>
      <c r="BS537" s="335"/>
      <c r="BT537" s="335"/>
      <c r="BU537" s="335"/>
      <c r="BV537" s="335"/>
      <c r="BW537" s="335"/>
      <c r="BX537" s="335"/>
      <c r="BY537" s="335"/>
      <c r="BZ537" s="335"/>
      <c r="CA537" s="335"/>
      <c r="CB537" s="335"/>
      <c r="CC537" s="335"/>
      <c r="CD537" s="335"/>
      <c r="CE537" s="335"/>
      <c r="CF537" s="335"/>
      <c r="CG537" s="335"/>
      <c r="CH537" s="335"/>
      <c r="CI537" s="335"/>
      <c r="CJ537" s="335"/>
      <c r="CK537" s="335"/>
      <c r="CL537" s="335"/>
      <c r="CM537" s="335"/>
      <c r="CN537" s="335"/>
      <c r="CO537" s="335"/>
      <c r="CP537" s="335"/>
      <c r="CQ537" s="335"/>
      <c r="CR537" s="335"/>
      <c r="CS537" s="335"/>
      <c r="CT537" s="335"/>
      <c r="CU537" s="335"/>
      <c r="CV537" s="335"/>
      <c r="CW537" s="335"/>
      <c r="CX537" s="335"/>
      <c r="CY537" s="335"/>
      <c r="CZ537" s="335"/>
      <c r="DA537" s="335"/>
      <c r="DB537" s="335"/>
      <c r="DC537" s="335"/>
      <c r="DD537" s="335"/>
      <c r="DE537" s="335"/>
      <c r="DF537" s="335"/>
      <c r="DG537" s="335"/>
      <c r="DH537" s="335"/>
      <c r="DI537" s="335"/>
      <c r="DJ537" s="335"/>
      <c r="DK537" s="335"/>
      <c r="DL537" s="335"/>
      <c r="DM537" s="335"/>
      <c r="DN537" s="335"/>
      <c r="DO537" s="335"/>
      <c r="DP537" s="335"/>
      <c r="DQ537" s="335"/>
      <c r="DR537" s="335"/>
      <c r="DS537" s="335"/>
      <c r="DT537" s="335"/>
      <c r="DU537" s="335"/>
      <c r="DV537" s="335"/>
      <c r="DW537" s="335"/>
      <c r="DX537" s="335"/>
      <c r="DY537" s="335"/>
      <c r="DZ537" s="335"/>
      <c r="EA537" s="335"/>
      <c r="EB537" s="335"/>
      <c r="EC537" s="335"/>
      <c r="ED537" s="335"/>
      <c r="EE537" s="335"/>
      <c r="EF537" s="335"/>
      <c r="EG537" s="335"/>
      <c r="EH537" s="335"/>
      <c r="EI537" s="335"/>
      <c r="EJ537" s="335"/>
      <c r="EK537" s="335"/>
      <c r="EL537" s="335"/>
      <c r="EM537" s="335"/>
      <c r="EN537" s="335"/>
      <c r="EO537" s="335"/>
      <c r="EP537" s="335"/>
      <c r="EQ537" s="335"/>
      <c r="ER537" s="335"/>
      <c r="ES537" s="335"/>
      <c r="ET537" s="335"/>
      <c r="EU537" s="335"/>
      <c r="EV537" s="335"/>
      <c r="EW537" s="335"/>
      <c r="EX537" s="335"/>
      <c r="EY537" s="335"/>
      <c r="EZ537" s="335"/>
      <c r="FA537" s="335"/>
      <c r="FB537" s="335"/>
      <c r="FC537" s="335"/>
      <c r="FD537" s="335"/>
      <c r="FE537" s="335"/>
      <c r="FF537" s="335"/>
      <c r="FG537" s="335"/>
      <c r="FH537" s="335"/>
      <c r="FI537" s="335"/>
      <c r="FJ537" s="335"/>
      <c r="FK537" s="335"/>
      <c r="FL537" s="335"/>
      <c r="FM537" s="335"/>
      <c r="FN537" s="335"/>
      <c r="FO537" s="335"/>
      <c r="FP537" s="335"/>
      <c r="FQ537" s="335"/>
      <c r="FR537" s="335"/>
      <c r="FS537" s="335"/>
      <c r="FT537" s="335"/>
      <c r="FU537" s="335"/>
      <c r="FV537" s="335"/>
      <c r="FW537" s="335"/>
      <c r="FX537" s="335"/>
      <c r="FY537" s="335"/>
      <c r="FZ537" s="335"/>
      <c r="GA537" s="335"/>
      <c r="GB537" s="335"/>
      <c r="GC537" s="335"/>
      <c r="GD537" s="335"/>
      <c r="GE537" s="335"/>
      <c r="GF537" s="335"/>
      <c r="GG537" s="335"/>
      <c r="GH537" s="335"/>
      <c r="GI537" s="335"/>
      <c r="GJ537" s="335"/>
      <c r="GK537" s="335"/>
      <c r="GL537" s="335"/>
      <c r="GM537" s="335"/>
      <c r="GN537" s="335"/>
      <c r="GO537" s="335"/>
      <c r="GP537" s="335"/>
      <c r="GQ537" s="335"/>
      <c r="GR537" s="335"/>
      <c r="GS537" s="335"/>
      <c r="GT537" s="335"/>
      <c r="GU537" s="335"/>
      <c r="GV537" s="335"/>
      <c r="GW537" s="335"/>
      <c r="GX537" s="335"/>
      <c r="GY537" s="335"/>
      <c r="GZ537" s="335"/>
    </row>
    <row r="538" spans="1:208" ht="15">
      <c r="A538" s="379"/>
      <c r="B538" s="335"/>
      <c r="C538" s="335"/>
      <c r="D538" s="335"/>
      <c r="E538" s="335"/>
      <c r="F538" s="335"/>
      <c r="G538" s="335"/>
      <c r="H538" s="335"/>
      <c r="I538" s="335"/>
      <c r="J538" s="335"/>
      <c r="K538" s="335"/>
      <c r="L538" s="335"/>
      <c r="M538" s="376"/>
      <c r="N538" s="335"/>
      <c r="O538" s="380"/>
      <c r="P538" s="335"/>
      <c r="Q538" s="335"/>
      <c r="R538" s="335"/>
      <c r="S538" s="335"/>
      <c r="T538" s="335"/>
      <c r="U538" s="335"/>
      <c r="V538" s="335"/>
      <c r="W538" s="335"/>
      <c r="X538" s="335"/>
      <c r="Y538" s="335"/>
      <c r="Z538" s="335"/>
      <c r="AA538" s="335"/>
      <c r="AB538" s="335"/>
      <c r="AC538" s="335"/>
      <c r="AD538" s="335"/>
      <c r="AE538" s="335"/>
      <c r="AF538" s="335"/>
      <c r="AG538" s="335"/>
      <c r="AH538" s="335"/>
      <c r="AI538" s="335"/>
      <c r="AJ538" s="335"/>
      <c r="AK538" s="335"/>
      <c r="AL538" s="335"/>
      <c r="AM538" s="335"/>
      <c r="AN538" s="335"/>
      <c r="AO538" s="335"/>
      <c r="AP538" s="335"/>
      <c r="AQ538" s="335"/>
      <c r="AR538" s="335"/>
      <c r="AS538" s="335"/>
      <c r="AT538" s="335"/>
      <c r="AU538" s="335"/>
      <c r="AV538" s="335"/>
      <c r="AW538" s="335"/>
      <c r="AX538" s="335"/>
      <c r="AY538" s="335"/>
      <c r="AZ538" s="335"/>
      <c r="BA538" s="335"/>
      <c r="BB538" s="335"/>
      <c r="BC538" s="335"/>
      <c r="BD538" s="335"/>
      <c r="BE538" s="335"/>
      <c r="BF538" s="335"/>
      <c r="BG538" s="335"/>
      <c r="BH538" s="335"/>
      <c r="BI538" s="335"/>
      <c r="BJ538" s="335"/>
      <c r="BK538" s="335"/>
      <c r="BL538" s="335"/>
      <c r="BM538" s="335"/>
      <c r="BN538" s="335"/>
      <c r="BO538" s="335"/>
      <c r="BP538" s="335"/>
      <c r="BQ538" s="335"/>
      <c r="BR538" s="335"/>
      <c r="BS538" s="335"/>
      <c r="BT538" s="335"/>
      <c r="BU538" s="335"/>
      <c r="BV538" s="335"/>
      <c r="BW538" s="335"/>
      <c r="BX538" s="335"/>
      <c r="BY538" s="335"/>
      <c r="BZ538" s="335"/>
      <c r="CA538" s="335"/>
      <c r="CB538" s="335"/>
      <c r="CC538" s="335"/>
      <c r="CD538" s="335"/>
      <c r="CE538" s="335"/>
      <c r="CF538" s="335"/>
      <c r="CG538" s="335"/>
      <c r="CH538" s="335"/>
      <c r="CI538" s="335"/>
      <c r="CJ538" s="335"/>
      <c r="CK538" s="335"/>
      <c r="CL538" s="335"/>
      <c r="CM538" s="335"/>
      <c r="CN538" s="335"/>
      <c r="CO538" s="335"/>
      <c r="CP538" s="335"/>
      <c r="CQ538" s="335"/>
      <c r="CR538" s="335"/>
      <c r="CS538" s="335"/>
      <c r="CT538" s="335"/>
      <c r="CU538" s="335"/>
      <c r="CV538" s="335"/>
      <c r="CW538" s="335"/>
      <c r="CX538" s="335"/>
      <c r="CY538" s="335"/>
      <c r="CZ538" s="335"/>
      <c r="DA538" s="335"/>
      <c r="DB538" s="335"/>
      <c r="DC538" s="335"/>
      <c r="DD538" s="335"/>
      <c r="DE538" s="335"/>
      <c r="DF538" s="335"/>
      <c r="DG538" s="335"/>
      <c r="DH538" s="335"/>
      <c r="DI538" s="335"/>
      <c r="DJ538" s="335"/>
      <c r="DK538" s="335"/>
      <c r="DL538" s="335"/>
      <c r="DM538" s="335"/>
      <c r="DN538" s="335"/>
      <c r="DO538" s="335"/>
      <c r="DP538" s="335"/>
      <c r="DQ538" s="335"/>
      <c r="DR538" s="335"/>
      <c r="DS538" s="335"/>
      <c r="DT538" s="335"/>
      <c r="DU538" s="335"/>
      <c r="DV538" s="335"/>
      <c r="DW538" s="335"/>
      <c r="DX538" s="335"/>
      <c r="DY538" s="335"/>
      <c r="DZ538" s="335"/>
      <c r="EA538" s="335"/>
      <c r="EB538" s="335"/>
      <c r="EC538" s="335"/>
      <c r="ED538" s="335"/>
      <c r="EE538" s="335"/>
      <c r="EF538" s="335"/>
      <c r="EG538" s="335"/>
      <c r="EH538" s="335"/>
      <c r="EI538" s="335"/>
      <c r="EJ538" s="335"/>
      <c r="EK538" s="335"/>
      <c r="EL538" s="335"/>
      <c r="EM538" s="335"/>
      <c r="EN538" s="335"/>
      <c r="EO538" s="335"/>
      <c r="EP538" s="335"/>
      <c r="EQ538" s="335"/>
      <c r="ER538" s="335"/>
      <c r="ES538" s="335"/>
      <c r="ET538" s="335"/>
      <c r="EU538" s="335"/>
      <c r="EV538" s="335"/>
      <c r="EW538" s="335"/>
      <c r="EX538" s="335"/>
      <c r="EY538" s="335"/>
      <c r="EZ538" s="335"/>
      <c r="FA538" s="335"/>
      <c r="FB538" s="335"/>
      <c r="FC538" s="335"/>
      <c r="FD538" s="335"/>
      <c r="FE538" s="335"/>
      <c r="FF538" s="335"/>
      <c r="FG538" s="335"/>
      <c r="FH538" s="335"/>
      <c r="FI538" s="335"/>
      <c r="FJ538" s="335"/>
      <c r="FK538" s="335"/>
      <c r="FL538" s="335"/>
      <c r="FM538" s="335"/>
      <c r="FN538" s="335"/>
      <c r="FO538" s="335"/>
      <c r="FP538" s="335"/>
      <c r="FQ538" s="335"/>
      <c r="FR538" s="335"/>
      <c r="FS538" s="335"/>
      <c r="FT538" s="335"/>
      <c r="FU538" s="335"/>
      <c r="FV538" s="335"/>
      <c r="FW538" s="335"/>
      <c r="FX538" s="335"/>
      <c r="FY538" s="335"/>
      <c r="FZ538" s="335"/>
      <c r="GA538" s="335"/>
      <c r="GB538" s="335"/>
      <c r="GC538" s="335"/>
      <c r="GD538" s="335"/>
      <c r="GE538" s="335"/>
      <c r="GF538" s="335"/>
      <c r="GG538" s="335"/>
      <c r="GH538" s="335"/>
      <c r="GI538" s="335"/>
      <c r="GJ538" s="335"/>
      <c r="GK538" s="335"/>
      <c r="GL538" s="335"/>
      <c r="GM538" s="335"/>
      <c r="GN538" s="335"/>
      <c r="GO538" s="335"/>
      <c r="GP538" s="335"/>
      <c r="GQ538" s="335"/>
      <c r="GR538" s="335"/>
      <c r="GS538" s="335"/>
      <c r="GT538" s="335"/>
      <c r="GU538" s="335"/>
      <c r="GV538" s="335"/>
      <c r="GW538" s="335"/>
      <c r="GX538" s="335"/>
      <c r="GY538" s="335"/>
      <c r="GZ538" s="335"/>
    </row>
    <row r="539" spans="1:208" ht="15">
      <c r="A539" s="379"/>
      <c r="B539" s="335"/>
      <c r="C539" s="335"/>
      <c r="D539" s="335"/>
      <c r="E539" s="335"/>
      <c r="F539" s="335"/>
      <c r="G539" s="335"/>
      <c r="H539" s="335"/>
      <c r="I539" s="335"/>
      <c r="J539" s="335"/>
      <c r="K539" s="335"/>
      <c r="L539" s="335"/>
      <c r="M539" s="376"/>
      <c r="N539" s="335"/>
      <c r="O539" s="380"/>
      <c r="P539" s="335"/>
      <c r="Q539" s="335"/>
      <c r="R539" s="335"/>
      <c r="S539" s="335"/>
      <c r="T539" s="335"/>
      <c r="U539" s="335"/>
      <c r="V539" s="335"/>
      <c r="W539" s="335"/>
      <c r="X539" s="335"/>
      <c r="Y539" s="335"/>
      <c r="Z539" s="335"/>
      <c r="AA539" s="335"/>
      <c r="AB539" s="335"/>
      <c r="AC539" s="335"/>
      <c r="AD539" s="335"/>
      <c r="AE539" s="335"/>
      <c r="AF539" s="335"/>
      <c r="AG539" s="335"/>
      <c r="AH539" s="335"/>
      <c r="AI539" s="335"/>
      <c r="AJ539" s="335"/>
      <c r="AK539" s="335"/>
      <c r="AL539" s="335"/>
      <c r="AM539" s="335"/>
      <c r="AN539" s="335"/>
      <c r="AO539" s="335"/>
      <c r="AP539" s="335"/>
      <c r="AQ539" s="335"/>
      <c r="AR539" s="335"/>
      <c r="AS539" s="335"/>
      <c r="AT539" s="335"/>
      <c r="AU539" s="335"/>
      <c r="AV539" s="335"/>
      <c r="AW539" s="335"/>
      <c r="AX539" s="335"/>
      <c r="AY539" s="335"/>
      <c r="AZ539" s="335"/>
      <c r="BA539" s="335"/>
      <c r="BB539" s="335"/>
      <c r="BC539" s="335"/>
      <c r="BD539" s="335"/>
      <c r="BE539" s="335"/>
      <c r="BF539" s="335"/>
      <c r="BG539" s="335"/>
      <c r="BH539" s="335"/>
      <c r="BI539" s="335"/>
      <c r="BJ539" s="335"/>
      <c r="BK539" s="335"/>
      <c r="BL539" s="335"/>
      <c r="BM539" s="335"/>
      <c r="BN539" s="335"/>
      <c r="BO539" s="335"/>
      <c r="BP539" s="335"/>
      <c r="BQ539" s="335"/>
      <c r="BR539" s="335"/>
      <c r="BS539" s="335"/>
      <c r="BT539" s="335"/>
      <c r="BU539" s="335"/>
      <c r="BV539" s="335"/>
      <c r="BW539" s="335"/>
      <c r="BX539" s="335"/>
      <c r="BY539" s="335"/>
      <c r="BZ539" s="335"/>
      <c r="CA539" s="335"/>
      <c r="CB539" s="335"/>
      <c r="CC539" s="335"/>
      <c r="CD539" s="335"/>
      <c r="CE539" s="335"/>
      <c r="CF539" s="335"/>
      <c r="CG539" s="335"/>
      <c r="CH539" s="335"/>
      <c r="CI539" s="335"/>
      <c r="CJ539" s="335"/>
      <c r="CK539" s="335"/>
      <c r="CL539" s="335"/>
      <c r="CM539" s="335"/>
      <c r="CN539" s="335"/>
      <c r="CO539" s="335"/>
      <c r="CP539" s="335"/>
      <c r="CQ539" s="335"/>
      <c r="CR539" s="335"/>
      <c r="CS539" s="335"/>
      <c r="CT539" s="335"/>
      <c r="CU539" s="335"/>
      <c r="CV539" s="335"/>
      <c r="CW539" s="335"/>
      <c r="CX539" s="335"/>
      <c r="CY539" s="335"/>
      <c r="CZ539" s="335"/>
      <c r="DA539" s="335"/>
      <c r="DB539" s="335"/>
      <c r="DC539" s="335"/>
      <c r="DD539" s="335"/>
      <c r="DE539" s="335"/>
      <c r="DF539" s="335"/>
      <c r="DG539" s="335"/>
      <c r="DH539" s="335"/>
      <c r="DI539" s="335"/>
      <c r="DJ539" s="335"/>
      <c r="DK539" s="335"/>
      <c r="DL539" s="335"/>
      <c r="DM539" s="335"/>
      <c r="DN539" s="335"/>
      <c r="DO539" s="335"/>
      <c r="DP539" s="335"/>
      <c r="DQ539" s="335"/>
      <c r="DR539" s="335"/>
      <c r="DS539" s="335"/>
      <c r="DT539" s="335"/>
      <c r="DU539" s="335"/>
      <c r="DV539" s="335"/>
      <c r="DW539" s="335"/>
      <c r="DX539" s="335"/>
      <c r="DY539" s="335"/>
      <c r="DZ539" s="335"/>
      <c r="EA539" s="335"/>
      <c r="EB539" s="335"/>
      <c r="EC539" s="335"/>
      <c r="ED539" s="335"/>
      <c r="EE539" s="335"/>
      <c r="EF539" s="335"/>
      <c r="EG539" s="335"/>
      <c r="EH539" s="335"/>
      <c r="EI539" s="335"/>
      <c r="EJ539" s="335"/>
      <c r="EK539" s="335"/>
      <c r="EL539" s="335"/>
      <c r="EM539" s="335"/>
      <c r="EN539" s="335"/>
      <c r="EO539" s="335"/>
      <c r="EP539" s="335"/>
      <c r="EQ539" s="335"/>
      <c r="ER539" s="335"/>
      <c r="ES539" s="335"/>
      <c r="ET539" s="335"/>
      <c r="EU539" s="335"/>
      <c r="EV539" s="335"/>
      <c r="EW539" s="335"/>
      <c r="EX539" s="335"/>
      <c r="EY539" s="335"/>
      <c r="EZ539" s="335"/>
      <c r="FA539" s="335"/>
      <c r="FB539" s="335"/>
      <c r="FC539" s="335"/>
      <c r="FD539" s="335"/>
      <c r="FE539" s="335"/>
      <c r="FF539" s="335"/>
      <c r="FG539" s="335"/>
      <c r="FH539" s="335"/>
      <c r="FI539" s="335"/>
      <c r="FJ539" s="335"/>
      <c r="FK539" s="335"/>
      <c r="FL539" s="335"/>
      <c r="FM539" s="335"/>
      <c r="FN539" s="335"/>
      <c r="FO539" s="335"/>
      <c r="FP539" s="335"/>
      <c r="FQ539" s="335"/>
      <c r="FR539" s="335"/>
      <c r="FS539" s="335"/>
      <c r="FT539" s="335"/>
      <c r="FU539" s="335"/>
      <c r="FV539" s="335"/>
      <c r="FW539" s="335"/>
      <c r="FX539" s="335"/>
      <c r="FY539" s="335"/>
      <c r="FZ539" s="335"/>
      <c r="GA539" s="335"/>
      <c r="GB539" s="335"/>
      <c r="GC539" s="335"/>
      <c r="GD539" s="335"/>
      <c r="GE539" s="335"/>
      <c r="GF539" s="335"/>
      <c r="GG539" s="335"/>
      <c r="GH539" s="335"/>
      <c r="GI539" s="335"/>
      <c r="GJ539" s="335"/>
      <c r="GK539" s="335"/>
      <c r="GL539" s="335"/>
      <c r="GM539" s="335"/>
      <c r="GN539" s="335"/>
      <c r="GO539" s="335"/>
      <c r="GP539" s="335"/>
      <c r="GQ539" s="335"/>
      <c r="GR539" s="335"/>
      <c r="GS539" s="335"/>
      <c r="GT539" s="335"/>
      <c r="GU539" s="335"/>
      <c r="GV539" s="335"/>
      <c r="GW539" s="335"/>
      <c r="GX539" s="335"/>
      <c r="GY539" s="335"/>
      <c r="GZ539" s="335"/>
    </row>
    <row r="540" spans="1:208" ht="15">
      <c r="A540" s="379"/>
      <c r="B540" s="335"/>
      <c r="C540" s="335"/>
      <c r="D540" s="335"/>
      <c r="E540" s="335"/>
      <c r="F540" s="335"/>
      <c r="G540" s="335"/>
      <c r="H540" s="335"/>
      <c r="I540" s="335"/>
      <c r="J540" s="335"/>
      <c r="K540" s="335"/>
      <c r="L540" s="335"/>
      <c r="M540" s="376"/>
      <c r="N540" s="335"/>
      <c r="O540" s="380"/>
      <c r="P540" s="335"/>
      <c r="Q540" s="335"/>
      <c r="R540" s="335"/>
      <c r="S540" s="335"/>
      <c r="T540" s="335"/>
      <c r="U540" s="335"/>
      <c r="V540" s="335"/>
      <c r="W540" s="335"/>
      <c r="X540" s="335"/>
      <c r="Y540" s="335"/>
      <c r="Z540" s="335"/>
      <c r="AA540" s="335"/>
      <c r="AB540" s="335"/>
      <c r="AC540" s="335"/>
      <c r="AD540" s="335"/>
      <c r="AE540" s="335"/>
      <c r="AF540" s="335"/>
      <c r="AG540" s="335"/>
      <c r="AH540" s="335"/>
      <c r="AI540" s="335"/>
      <c r="AJ540" s="335"/>
      <c r="AK540" s="335"/>
      <c r="AL540" s="335"/>
      <c r="AM540" s="335"/>
      <c r="AN540" s="335"/>
      <c r="AO540" s="335"/>
      <c r="AP540" s="335"/>
      <c r="AQ540" s="335"/>
      <c r="AR540" s="335"/>
      <c r="AS540" s="335"/>
      <c r="AT540" s="335"/>
      <c r="AU540" s="335"/>
      <c r="AV540" s="335"/>
      <c r="AW540" s="335"/>
      <c r="AX540" s="335"/>
      <c r="AY540" s="335"/>
      <c r="AZ540" s="335"/>
      <c r="BA540" s="335"/>
      <c r="BB540" s="335"/>
      <c r="BC540" s="335"/>
      <c r="BD540" s="335"/>
      <c r="BE540" s="335"/>
      <c r="BF540" s="335"/>
      <c r="BG540" s="335"/>
      <c r="BH540" s="335"/>
      <c r="BI540" s="335"/>
      <c r="BJ540" s="335"/>
      <c r="BK540" s="335"/>
      <c r="BL540" s="335"/>
      <c r="BM540" s="335"/>
      <c r="BN540" s="335"/>
      <c r="BO540" s="335"/>
      <c r="BP540" s="335"/>
      <c r="BQ540" s="335"/>
      <c r="BR540" s="335"/>
      <c r="BS540" s="335"/>
      <c r="BT540" s="335"/>
      <c r="BU540" s="335"/>
      <c r="BV540" s="335"/>
      <c r="BW540" s="335"/>
      <c r="BX540" s="335"/>
      <c r="BY540" s="335"/>
      <c r="BZ540" s="335"/>
      <c r="CA540" s="335"/>
      <c r="CB540" s="335"/>
      <c r="CC540" s="335"/>
      <c r="CD540" s="335"/>
      <c r="CE540" s="335"/>
      <c r="CF540" s="335"/>
      <c r="CG540" s="335"/>
      <c r="CH540" s="335"/>
      <c r="CI540" s="335"/>
      <c r="CJ540" s="335"/>
      <c r="CK540" s="335"/>
      <c r="CL540" s="335"/>
      <c r="CM540" s="335"/>
      <c r="CN540" s="335"/>
      <c r="CO540" s="335"/>
      <c r="CP540" s="335"/>
      <c r="CQ540" s="335"/>
      <c r="CR540" s="335"/>
      <c r="CS540" s="335"/>
      <c r="CT540" s="335"/>
      <c r="CU540" s="335"/>
      <c r="CV540" s="335"/>
      <c r="CW540" s="335"/>
      <c r="CX540" s="335"/>
      <c r="CY540" s="335"/>
      <c r="CZ540" s="335"/>
      <c r="DA540" s="335"/>
      <c r="DB540" s="335"/>
      <c r="DC540" s="335"/>
      <c r="DD540" s="335"/>
      <c r="DE540" s="335"/>
      <c r="DF540" s="335"/>
      <c r="DG540" s="335"/>
      <c r="DH540" s="335"/>
      <c r="DI540" s="335"/>
      <c r="DJ540" s="335"/>
      <c r="DK540" s="335"/>
      <c r="DL540" s="335"/>
      <c r="DM540" s="335"/>
      <c r="DN540" s="335"/>
      <c r="DO540" s="335"/>
      <c r="DP540" s="335"/>
      <c r="DQ540" s="335"/>
      <c r="DR540" s="335"/>
      <c r="DS540" s="335"/>
      <c r="DT540" s="335"/>
      <c r="DU540" s="335"/>
      <c r="DV540" s="335"/>
      <c r="DW540" s="335"/>
      <c r="DX540" s="335"/>
      <c r="DY540" s="335"/>
      <c r="DZ540" s="335"/>
      <c r="EA540" s="335"/>
      <c r="EB540" s="335"/>
      <c r="EC540" s="335"/>
      <c r="ED540" s="335"/>
      <c r="EE540" s="335"/>
      <c r="EF540" s="335"/>
      <c r="EG540" s="335"/>
      <c r="EH540" s="335"/>
      <c r="EI540" s="335"/>
      <c r="EJ540" s="335"/>
      <c r="EK540" s="335"/>
      <c r="EL540" s="335"/>
      <c r="EM540" s="335"/>
      <c r="EN540" s="335"/>
      <c r="EO540" s="335"/>
      <c r="EP540" s="335"/>
      <c r="EQ540" s="335"/>
      <c r="ER540" s="335"/>
      <c r="ES540" s="335"/>
      <c r="ET540" s="335"/>
      <c r="EU540" s="335"/>
      <c r="EV540" s="335"/>
      <c r="EW540" s="335"/>
      <c r="EX540" s="335"/>
      <c r="EY540" s="335"/>
      <c r="EZ540" s="335"/>
      <c r="FA540" s="335"/>
      <c r="FB540" s="335"/>
      <c r="FC540" s="335"/>
      <c r="FD540" s="335"/>
      <c r="FE540" s="335"/>
      <c r="FF540" s="335"/>
      <c r="FG540" s="335"/>
      <c r="FH540" s="335"/>
      <c r="FI540" s="335"/>
      <c r="FJ540" s="335"/>
      <c r="FK540" s="335"/>
      <c r="FL540" s="335"/>
      <c r="FM540" s="335"/>
      <c r="FN540" s="335"/>
      <c r="FO540" s="335"/>
      <c r="FP540" s="335"/>
      <c r="FQ540" s="335"/>
      <c r="FR540" s="335"/>
      <c r="FS540" s="335"/>
      <c r="FT540" s="335"/>
      <c r="FU540" s="335"/>
      <c r="FV540" s="335"/>
      <c r="FW540" s="335"/>
      <c r="FX540" s="335"/>
      <c r="FY540" s="335"/>
      <c r="FZ540" s="335"/>
      <c r="GA540" s="335"/>
      <c r="GB540" s="335"/>
      <c r="GC540" s="335"/>
      <c r="GD540" s="335"/>
      <c r="GE540" s="335"/>
      <c r="GF540" s="335"/>
      <c r="GG540" s="335"/>
      <c r="GH540" s="335"/>
      <c r="GI540" s="335"/>
      <c r="GJ540" s="335"/>
      <c r="GK540" s="335"/>
      <c r="GL540" s="335"/>
      <c r="GM540" s="335"/>
      <c r="GN540" s="335"/>
      <c r="GO540" s="335"/>
      <c r="GP540" s="335"/>
      <c r="GQ540" s="335"/>
      <c r="GR540" s="335"/>
      <c r="GS540" s="335"/>
      <c r="GT540" s="335"/>
      <c r="GU540" s="335"/>
      <c r="GV540" s="335"/>
      <c r="GW540" s="335"/>
      <c r="GX540" s="335"/>
      <c r="GY540" s="335"/>
      <c r="GZ540" s="335"/>
    </row>
    <row r="541" spans="1:208" ht="15">
      <c r="A541" s="379"/>
      <c r="B541" s="335"/>
      <c r="C541" s="335"/>
      <c r="D541" s="335"/>
      <c r="E541" s="335"/>
      <c r="F541" s="335"/>
      <c r="G541" s="335"/>
      <c r="H541" s="335"/>
      <c r="I541" s="335"/>
      <c r="J541" s="335"/>
      <c r="K541" s="335"/>
      <c r="L541" s="335"/>
      <c r="M541" s="376"/>
      <c r="N541" s="335"/>
      <c r="O541" s="380"/>
      <c r="P541" s="335"/>
      <c r="Q541" s="335"/>
      <c r="R541" s="335"/>
      <c r="S541" s="335"/>
      <c r="T541" s="335"/>
      <c r="U541" s="335"/>
      <c r="V541" s="335"/>
      <c r="W541" s="335"/>
      <c r="X541" s="335"/>
      <c r="Y541" s="335"/>
      <c r="Z541" s="335"/>
      <c r="AA541" s="335"/>
      <c r="AB541" s="335"/>
      <c r="AC541" s="335"/>
      <c r="AD541" s="335"/>
      <c r="AE541" s="335"/>
      <c r="AF541" s="335"/>
      <c r="AG541" s="335"/>
      <c r="AH541" s="335"/>
      <c r="AI541" s="335"/>
      <c r="AJ541" s="335"/>
      <c r="AK541" s="335"/>
      <c r="AL541" s="335"/>
      <c r="AM541" s="335"/>
      <c r="AN541" s="335"/>
      <c r="AO541" s="335"/>
      <c r="AP541" s="335"/>
      <c r="AQ541" s="335"/>
      <c r="AR541" s="335"/>
      <c r="AS541" s="335"/>
      <c r="AT541" s="335"/>
      <c r="AU541" s="335"/>
      <c r="AV541" s="335"/>
      <c r="AW541" s="335"/>
      <c r="AX541" s="335"/>
      <c r="AY541" s="335"/>
      <c r="AZ541" s="335"/>
      <c r="BA541" s="335"/>
      <c r="BB541" s="335"/>
      <c r="BC541" s="335"/>
      <c r="BD541" s="335"/>
      <c r="BE541" s="335"/>
      <c r="BF541" s="335"/>
      <c r="BG541" s="335"/>
      <c r="BH541" s="335"/>
      <c r="BI541" s="335"/>
      <c r="BJ541" s="335"/>
      <c r="BK541" s="335"/>
      <c r="BL541" s="335"/>
      <c r="BM541" s="335"/>
      <c r="BN541" s="335"/>
      <c r="BO541" s="335"/>
      <c r="BP541" s="335"/>
      <c r="BQ541" s="335"/>
      <c r="BR541" s="335"/>
      <c r="BS541" s="335"/>
      <c r="BT541" s="335"/>
      <c r="BU541" s="335"/>
      <c r="BV541" s="335"/>
      <c r="BW541" s="335"/>
      <c r="BX541" s="335"/>
      <c r="BY541" s="335"/>
      <c r="BZ541" s="335"/>
      <c r="CA541" s="335"/>
      <c r="CB541" s="335"/>
      <c r="CC541" s="335"/>
      <c r="CD541" s="335"/>
      <c r="CE541" s="335"/>
      <c r="CF541" s="335"/>
      <c r="CG541" s="335"/>
      <c r="CH541" s="335"/>
      <c r="CI541" s="335"/>
      <c r="CJ541" s="335"/>
      <c r="CK541" s="335"/>
      <c r="CL541" s="335"/>
      <c r="CM541" s="335"/>
      <c r="CN541" s="335"/>
      <c r="CO541" s="335"/>
      <c r="CP541" s="335"/>
      <c r="CQ541" s="335"/>
      <c r="CR541" s="335"/>
      <c r="CS541" s="335"/>
      <c r="CT541" s="335"/>
      <c r="CU541" s="335"/>
      <c r="CV541" s="335"/>
      <c r="CW541" s="335"/>
      <c r="CX541" s="335"/>
      <c r="CY541" s="335"/>
      <c r="CZ541" s="335"/>
      <c r="DA541" s="335"/>
      <c r="DB541" s="335"/>
      <c r="DC541" s="335"/>
      <c r="DD541" s="335"/>
      <c r="DE541" s="335"/>
      <c r="DF541" s="335"/>
      <c r="DG541" s="335"/>
      <c r="DH541" s="335"/>
      <c r="DI541" s="335"/>
      <c r="DJ541" s="335"/>
      <c r="DK541" s="335"/>
      <c r="DL541" s="335"/>
      <c r="DM541" s="335"/>
      <c r="DN541" s="335"/>
      <c r="DO541" s="335"/>
      <c r="DP541" s="335"/>
      <c r="DQ541" s="335"/>
      <c r="DR541" s="335"/>
      <c r="DS541" s="335"/>
      <c r="DT541" s="335"/>
      <c r="DU541" s="335"/>
      <c r="DV541" s="335"/>
      <c r="DW541" s="335"/>
      <c r="DX541" s="335"/>
      <c r="DY541" s="335"/>
      <c r="DZ541" s="335"/>
      <c r="EA541" s="335"/>
      <c r="EB541" s="335"/>
      <c r="EC541" s="335"/>
      <c r="ED541" s="335"/>
      <c r="EE541" s="335"/>
      <c r="EF541" s="335"/>
      <c r="EG541" s="335"/>
      <c r="EH541" s="335"/>
      <c r="EI541" s="335"/>
      <c r="EJ541" s="335"/>
      <c r="EK541" s="335"/>
      <c r="EL541" s="335"/>
      <c r="EM541" s="335"/>
      <c r="EN541" s="335"/>
      <c r="EO541" s="335"/>
      <c r="EP541" s="335"/>
      <c r="EQ541" s="335"/>
      <c r="ER541" s="335"/>
      <c r="ES541" s="335"/>
      <c r="ET541" s="335"/>
      <c r="EU541" s="335"/>
      <c r="EV541" s="335"/>
      <c r="EW541" s="335"/>
      <c r="EX541" s="335"/>
      <c r="EY541" s="335"/>
      <c r="EZ541" s="335"/>
      <c r="FA541" s="335"/>
      <c r="FB541" s="335"/>
      <c r="FC541" s="335"/>
      <c r="FD541" s="335"/>
      <c r="FE541" s="335"/>
      <c r="FF541" s="335"/>
      <c r="FG541" s="335"/>
      <c r="FH541" s="335"/>
      <c r="FI541" s="335"/>
      <c r="FJ541" s="335"/>
      <c r="FK541" s="335"/>
      <c r="FL541" s="335"/>
      <c r="FM541" s="335"/>
      <c r="FN541" s="335"/>
      <c r="FO541" s="335"/>
      <c r="FP541" s="335"/>
      <c r="FQ541" s="335"/>
      <c r="FR541" s="335"/>
      <c r="FS541" s="335"/>
      <c r="FT541" s="335"/>
      <c r="FU541" s="335"/>
      <c r="FV541" s="335"/>
      <c r="FW541" s="335"/>
      <c r="FX541" s="335"/>
      <c r="FY541" s="335"/>
      <c r="FZ541" s="335"/>
      <c r="GA541" s="335"/>
      <c r="GB541" s="335"/>
      <c r="GC541" s="335"/>
      <c r="GD541" s="335"/>
      <c r="GE541" s="335"/>
      <c r="GF541" s="335"/>
      <c r="GG541" s="335"/>
      <c r="GH541" s="335"/>
      <c r="GI541" s="335"/>
      <c r="GJ541" s="335"/>
      <c r="GK541" s="335"/>
      <c r="GL541" s="335"/>
      <c r="GM541" s="335"/>
      <c r="GN541" s="335"/>
      <c r="GO541" s="335"/>
      <c r="GP541" s="335"/>
      <c r="GQ541" s="335"/>
      <c r="GR541" s="335"/>
      <c r="GS541" s="335"/>
      <c r="GT541" s="335"/>
      <c r="GU541" s="335"/>
      <c r="GV541" s="335"/>
      <c r="GW541" s="335"/>
      <c r="GX541" s="335"/>
      <c r="GY541" s="335"/>
      <c r="GZ541" s="335"/>
    </row>
    <row r="542" spans="1:208" ht="15">
      <c r="A542" s="379"/>
      <c r="B542" s="335"/>
      <c r="C542" s="335"/>
      <c r="D542" s="335"/>
      <c r="E542" s="335"/>
      <c r="F542" s="335"/>
      <c r="G542" s="335"/>
      <c r="H542" s="335"/>
      <c r="I542" s="335"/>
      <c r="J542" s="335"/>
      <c r="K542" s="335"/>
      <c r="L542" s="335"/>
      <c r="M542" s="376"/>
      <c r="N542" s="335"/>
      <c r="O542" s="380"/>
      <c r="P542" s="335"/>
      <c r="Q542" s="335"/>
      <c r="R542" s="335"/>
      <c r="S542" s="335"/>
      <c r="T542" s="335"/>
      <c r="U542" s="335"/>
      <c r="V542" s="335"/>
      <c r="W542" s="335"/>
      <c r="X542" s="335"/>
      <c r="Y542" s="335"/>
      <c r="Z542" s="335"/>
      <c r="AA542" s="335"/>
      <c r="AB542" s="335"/>
      <c r="AC542" s="335"/>
      <c r="AD542" s="335"/>
      <c r="AE542" s="335"/>
      <c r="AF542" s="335"/>
      <c r="AG542" s="335"/>
      <c r="AH542" s="335"/>
      <c r="AI542" s="335"/>
      <c r="AJ542" s="335"/>
      <c r="AK542" s="335"/>
      <c r="AL542" s="335"/>
      <c r="AM542" s="335"/>
      <c r="AN542" s="335"/>
      <c r="AO542" s="335"/>
      <c r="AP542" s="335"/>
      <c r="AQ542" s="335"/>
      <c r="AR542" s="335"/>
      <c r="AS542" s="335"/>
      <c r="AT542" s="335"/>
      <c r="AU542" s="335"/>
      <c r="AV542" s="335"/>
      <c r="AW542" s="335"/>
      <c r="AX542" s="335"/>
      <c r="AY542" s="335"/>
      <c r="AZ542" s="335"/>
      <c r="BA542" s="335"/>
      <c r="BB542" s="335"/>
      <c r="BC542" s="335"/>
      <c r="BD542" s="335"/>
      <c r="BE542" s="335"/>
      <c r="BF542" s="335"/>
      <c r="BG542" s="335"/>
      <c r="BH542" s="335"/>
      <c r="BI542" s="335"/>
      <c r="BJ542" s="335"/>
      <c r="BK542" s="335"/>
      <c r="BL542" s="335"/>
      <c r="BM542" s="335"/>
      <c r="BN542" s="335"/>
      <c r="BO542" s="335"/>
      <c r="BP542" s="335"/>
      <c r="BQ542" s="335"/>
      <c r="BR542" s="335"/>
      <c r="BS542" s="335"/>
      <c r="BT542" s="335"/>
      <c r="BU542" s="335"/>
      <c r="BV542" s="335"/>
      <c r="BW542" s="335"/>
      <c r="BX542" s="335"/>
      <c r="BY542" s="335"/>
      <c r="BZ542" s="335"/>
      <c r="CA542" s="335"/>
      <c r="CB542" s="335"/>
      <c r="CC542" s="335"/>
      <c r="CD542" s="335"/>
      <c r="CE542" s="335"/>
      <c r="CF542" s="335"/>
      <c r="CG542" s="335"/>
      <c r="CH542" s="335"/>
      <c r="CI542" s="335"/>
      <c r="CJ542" s="335"/>
      <c r="CK542" s="335"/>
      <c r="CL542" s="335"/>
      <c r="CM542" s="335"/>
      <c r="CN542" s="335"/>
      <c r="CO542" s="335"/>
      <c r="CP542" s="335"/>
      <c r="CQ542" s="335"/>
      <c r="CR542" s="335"/>
      <c r="CS542" s="335"/>
      <c r="CT542" s="335"/>
      <c r="CU542" s="335"/>
      <c r="CV542" s="335"/>
      <c r="CW542" s="335"/>
      <c r="CX542" s="335"/>
      <c r="CY542" s="335"/>
      <c r="CZ542" s="335"/>
      <c r="DA542" s="335"/>
      <c r="DB542" s="335"/>
      <c r="DC542" s="335"/>
      <c r="DD542" s="335"/>
      <c r="DE542" s="335"/>
      <c r="DF542" s="335"/>
      <c r="DG542" s="335"/>
      <c r="DH542" s="335"/>
      <c r="DI542" s="335"/>
      <c r="DJ542" s="335"/>
      <c r="DK542" s="335"/>
      <c r="DL542" s="335"/>
      <c r="DM542" s="335"/>
      <c r="DN542" s="335"/>
      <c r="DO542" s="335"/>
      <c r="DP542" s="335"/>
      <c r="DQ542" s="335"/>
      <c r="DR542" s="335"/>
      <c r="DS542" s="335"/>
      <c r="DT542" s="335"/>
      <c r="DU542" s="335"/>
      <c r="DV542" s="335"/>
      <c r="DW542" s="335"/>
      <c r="DX542" s="335"/>
      <c r="DY542" s="335"/>
      <c r="DZ542" s="335"/>
      <c r="EA542" s="335"/>
      <c r="EB542" s="335"/>
      <c r="EC542" s="335"/>
      <c r="ED542" s="335"/>
      <c r="EE542" s="335"/>
      <c r="EF542" s="335"/>
      <c r="EG542" s="335"/>
      <c r="EH542" s="335"/>
      <c r="EI542" s="335"/>
      <c r="EJ542" s="335"/>
      <c r="EK542" s="335"/>
      <c r="EL542" s="335"/>
      <c r="EM542" s="335"/>
      <c r="EN542" s="335"/>
      <c r="EO542" s="335"/>
      <c r="EP542" s="335"/>
      <c r="EQ542" s="335"/>
      <c r="ER542" s="335"/>
      <c r="ES542" s="335"/>
      <c r="ET542" s="335"/>
      <c r="EU542" s="335"/>
      <c r="EV542" s="335"/>
      <c r="EW542" s="335"/>
      <c r="EX542" s="335"/>
      <c r="EY542" s="335"/>
      <c r="EZ542" s="335"/>
      <c r="FA542" s="335"/>
      <c r="FB542" s="335"/>
      <c r="FC542" s="335"/>
      <c r="FD542" s="335"/>
      <c r="FE542" s="335"/>
      <c r="FF542" s="335"/>
      <c r="FG542" s="335"/>
      <c r="FH542" s="335"/>
      <c r="FI542" s="335"/>
      <c r="FJ542" s="335"/>
      <c r="FK542" s="335"/>
      <c r="FL542" s="335"/>
      <c r="FM542" s="335"/>
      <c r="FN542" s="335"/>
      <c r="FO542" s="335"/>
      <c r="FP542" s="335"/>
      <c r="FQ542" s="335"/>
      <c r="FR542" s="335"/>
      <c r="FS542" s="335"/>
      <c r="FT542" s="335"/>
      <c r="FU542" s="335"/>
      <c r="FV542" s="335"/>
      <c r="FW542" s="335"/>
      <c r="FX542" s="335"/>
      <c r="FY542" s="335"/>
      <c r="FZ542" s="335"/>
      <c r="GA542" s="335"/>
      <c r="GB542" s="335"/>
      <c r="GC542" s="335"/>
      <c r="GD542" s="335"/>
      <c r="GE542" s="335"/>
      <c r="GF542" s="335"/>
      <c r="GG542" s="335"/>
      <c r="GH542" s="335"/>
      <c r="GI542" s="335"/>
      <c r="GJ542" s="335"/>
      <c r="GK542" s="335"/>
      <c r="GL542" s="335"/>
      <c r="GM542" s="335"/>
      <c r="GN542" s="335"/>
      <c r="GO542" s="335"/>
      <c r="GP542" s="335"/>
      <c r="GQ542" s="335"/>
      <c r="GR542" s="335"/>
      <c r="GS542" s="335"/>
      <c r="GT542" s="335"/>
      <c r="GU542" s="335"/>
      <c r="GV542" s="335"/>
      <c r="GW542" s="335"/>
      <c r="GX542" s="335"/>
      <c r="GY542" s="335"/>
      <c r="GZ542" s="335"/>
    </row>
    <row r="543" spans="1:208" ht="15">
      <c r="A543" s="379"/>
      <c r="B543" s="335"/>
      <c r="C543" s="335"/>
      <c r="D543" s="335"/>
      <c r="E543" s="335"/>
      <c r="F543" s="335"/>
      <c r="G543" s="335"/>
      <c r="H543" s="335"/>
      <c r="I543" s="335"/>
      <c r="J543" s="335"/>
      <c r="K543" s="335"/>
      <c r="L543" s="335"/>
      <c r="M543" s="376"/>
      <c r="N543" s="335"/>
      <c r="O543" s="380"/>
      <c r="P543" s="335"/>
      <c r="Q543" s="335"/>
      <c r="R543" s="335"/>
      <c r="S543" s="335"/>
      <c r="T543" s="335"/>
      <c r="U543" s="335"/>
      <c r="V543" s="335"/>
      <c r="W543" s="335"/>
      <c r="X543" s="335"/>
      <c r="Y543" s="335"/>
      <c r="Z543" s="335"/>
      <c r="AA543" s="335"/>
      <c r="AB543" s="335"/>
      <c r="AC543" s="335"/>
      <c r="AD543" s="335"/>
      <c r="AE543" s="335"/>
      <c r="AF543" s="335"/>
      <c r="AG543" s="335"/>
      <c r="AH543" s="335"/>
      <c r="AI543" s="335"/>
      <c r="AJ543" s="335"/>
      <c r="AK543" s="335"/>
      <c r="AL543" s="335"/>
      <c r="AM543" s="335"/>
      <c r="AN543" s="335"/>
      <c r="AO543" s="335"/>
      <c r="AP543" s="335"/>
      <c r="AQ543" s="335"/>
      <c r="AR543" s="335"/>
      <c r="AS543" s="335"/>
      <c r="AT543" s="335"/>
      <c r="AU543" s="335"/>
      <c r="AV543" s="335"/>
      <c r="AW543" s="335"/>
      <c r="AX543" s="335"/>
      <c r="AY543" s="335"/>
      <c r="AZ543" s="335"/>
      <c r="BA543" s="335"/>
      <c r="BB543" s="335"/>
      <c r="BC543" s="335"/>
      <c r="BD543" s="335"/>
      <c r="BE543" s="335"/>
      <c r="BF543" s="335"/>
      <c r="BG543" s="335"/>
      <c r="BH543" s="335"/>
      <c r="BI543" s="335"/>
      <c r="BJ543" s="335"/>
      <c r="BK543" s="335"/>
      <c r="BL543" s="335"/>
      <c r="BM543" s="335"/>
      <c r="BN543" s="335"/>
      <c r="BO543" s="335"/>
      <c r="BP543" s="335"/>
      <c r="BQ543" s="335"/>
      <c r="BR543" s="335"/>
      <c r="BS543" s="335"/>
      <c r="BT543" s="335"/>
      <c r="BU543" s="335"/>
      <c r="BV543" s="335"/>
      <c r="BW543" s="335"/>
      <c r="BX543" s="335"/>
      <c r="BY543" s="335"/>
      <c r="BZ543" s="335"/>
      <c r="CA543" s="335"/>
      <c r="CB543" s="335"/>
      <c r="CC543" s="335"/>
      <c r="CD543" s="335"/>
      <c r="CE543" s="335"/>
      <c r="CF543" s="335"/>
      <c r="CG543" s="335"/>
      <c r="CH543" s="335"/>
      <c r="CI543" s="335"/>
      <c r="CJ543" s="335"/>
      <c r="CK543" s="335"/>
      <c r="CL543" s="335"/>
      <c r="CM543" s="335"/>
      <c r="CN543" s="335"/>
      <c r="CO543" s="335"/>
      <c r="CP543" s="335"/>
      <c r="CQ543" s="335"/>
      <c r="CR543" s="335"/>
      <c r="CS543" s="335"/>
      <c r="CT543" s="335"/>
      <c r="CU543" s="335"/>
      <c r="CV543" s="335"/>
      <c r="CW543" s="335"/>
      <c r="CX543" s="335"/>
      <c r="CY543" s="335"/>
      <c r="CZ543" s="335"/>
      <c r="DA543" s="335"/>
      <c r="DB543" s="335"/>
      <c r="DC543" s="335"/>
      <c r="DD543" s="335"/>
      <c r="DE543" s="335"/>
      <c r="DF543" s="335"/>
      <c r="DG543" s="335"/>
      <c r="DH543" s="335"/>
      <c r="DI543" s="335"/>
      <c r="DJ543" s="335"/>
      <c r="DK543" s="335"/>
      <c r="DL543" s="335"/>
      <c r="DM543" s="335"/>
      <c r="DN543" s="335"/>
      <c r="DO543" s="335"/>
      <c r="DP543" s="335"/>
      <c r="DQ543" s="335"/>
      <c r="DR543" s="335"/>
      <c r="DS543" s="335"/>
      <c r="DT543" s="335"/>
      <c r="DU543" s="335"/>
      <c r="DV543" s="335"/>
      <c r="DW543" s="335"/>
      <c r="DX543" s="335"/>
      <c r="DY543" s="335"/>
      <c r="DZ543" s="335"/>
      <c r="EA543" s="335"/>
      <c r="EB543" s="335"/>
      <c r="EC543" s="335"/>
      <c r="ED543" s="335"/>
      <c r="EE543" s="335"/>
      <c r="EF543" s="335"/>
      <c r="EG543" s="335"/>
      <c r="EH543" s="335"/>
      <c r="EI543" s="335"/>
      <c r="EJ543" s="335"/>
      <c r="EK543" s="335"/>
      <c r="EL543" s="335"/>
      <c r="EM543" s="335"/>
      <c r="EN543" s="335"/>
      <c r="EO543" s="335"/>
      <c r="EP543" s="335"/>
      <c r="EQ543" s="335"/>
      <c r="ER543" s="335"/>
      <c r="ES543" s="335"/>
      <c r="ET543" s="335"/>
      <c r="EU543" s="335"/>
      <c r="EV543" s="335"/>
      <c r="EW543" s="335"/>
      <c r="EX543" s="335"/>
      <c r="EY543" s="335"/>
      <c r="EZ543" s="335"/>
      <c r="FA543" s="335"/>
      <c r="FB543" s="335"/>
      <c r="FC543" s="335"/>
      <c r="FD543" s="335"/>
      <c r="FE543" s="335"/>
      <c r="FF543" s="335"/>
      <c r="FG543" s="335"/>
      <c r="FH543" s="335"/>
      <c r="FI543" s="335"/>
      <c r="FJ543" s="335"/>
      <c r="FK543" s="335"/>
      <c r="FL543" s="335"/>
      <c r="FM543" s="335"/>
      <c r="FN543" s="335"/>
      <c r="FO543" s="335"/>
      <c r="FP543" s="335"/>
      <c r="FQ543" s="335"/>
      <c r="FR543" s="335"/>
      <c r="FS543" s="335"/>
      <c r="FT543" s="335"/>
      <c r="FU543" s="335"/>
      <c r="FV543" s="335"/>
      <c r="FW543" s="335"/>
      <c r="FX543" s="335"/>
      <c r="FY543" s="335"/>
      <c r="FZ543" s="335"/>
      <c r="GA543" s="335"/>
      <c r="GB543" s="335"/>
      <c r="GC543" s="335"/>
      <c r="GD543" s="335"/>
      <c r="GE543" s="335"/>
      <c r="GF543" s="335"/>
      <c r="GG543" s="335"/>
      <c r="GH543" s="335"/>
      <c r="GI543" s="335"/>
      <c r="GJ543" s="335"/>
      <c r="GK543" s="335"/>
      <c r="GL543" s="335"/>
      <c r="GM543" s="335"/>
      <c r="GN543" s="335"/>
      <c r="GO543" s="335"/>
      <c r="GP543" s="335"/>
      <c r="GQ543" s="335"/>
      <c r="GR543" s="335"/>
      <c r="GS543" s="335"/>
      <c r="GT543" s="335"/>
      <c r="GU543" s="335"/>
      <c r="GV543" s="335"/>
      <c r="GW543" s="335"/>
      <c r="GX543" s="335"/>
      <c r="GY543" s="335"/>
      <c r="GZ543" s="335"/>
    </row>
    <row r="544" spans="1:208" ht="15">
      <c r="A544" s="379"/>
      <c r="B544" s="335"/>
      <c r="C544" s="335"/>
      <c r="D544" s="335"/>
      <c r="E544" s="335"/>
      <c r="F544" s="335"/>
      <c r="G544" s="335"/>
      <c r="H544" s="335"/>
      <c r="I544" s="335"/>
      <c r="J544" s="335"/>
      <c r="K544" s="335"/>
      <c r="L544" s="335"/>
      <c r="M544" s="376"/>
      <c r="N544" s="335"/>
      <c r="O544" s="380"/>
      <c r="P544" s="335"/>
      <c r="Q544" s="335"/>
      <c r="R544" s="335"/>
      <c r="S544" s="335"/>
      <c r="T544" s="335"/>
      <c r="U544" s="335"/>
      <c r="V544" s="335"/>
      <c r="W544" s="335"/>
      <c r="X544" s="335"/>
      <c r="Y544" s="335"/>
      <c r="Z544" s="335"/>
      <c r="AA544" s="335"/>
      <c r="AB544" s="335"/>
      <c r="AC544" s="335"/>
      <c r="AD544" s="335"/>
      <c r="AE544" s="335"/>
      <c r="AF544" s="335"/>
      <c r="AG544" s="335"/>
      <c r="AH544" s="335"/>
      <c r="AI544" s="335"/>
      <c r="AJ544" s="335"/>
      <c r="AK544" s="335"/>
      <c r="AL544" s="335"/>
      <c r="AM544" s="335"/>
      <c r="AN544" s="335"/>
      <c r="AO544" s="335"/>
      <c r="AP544" s="335"/>
      <c r="AQ544" s="335"/>
      <c r="AR544" s="335"/>
      <c r="AS544" s="335"/>
      <c r="AT544" s="335"/>
      <c r="AU544" s="335"/>
      <c r="AV544" s="335"/>
      <c r="AW544" s="335"/>
      <c r="AX544" s="335"/>
      <c r="AY544" s="335"/>
      <c r="AZ544" s="335"/>
      <c r="BA544" s="335"/>
      <c r="BB544" s="335"/>
      <c r="BC544" s="335"/>
      <c r="BD544" s="335"/>
      <c r="BE544" s="335"/>
      <c r="BF544" s="335"/>
      <c r="BG544" s="335"/>
      <c r="BH544" s="335"/>
      <c r="BI544" s="335"/>
      <c r="BJ544" s="335"/>
      <c r="BK544" s="335"/>
      <c r="BL544" s="335"/>
      <c r="BM544" s="335"/>
      <c r="BN544" s="335"/>
      <c r="BO544" s="335"/>
      <c r="BP544" s="335"/>
      <c r="BQ544" s="335"/>
      <c r="BR544" s="335"/>
      <c r="BS544" s="335"/>
      <c r="BT544" s="335"/>
      <c r="BU544" s="335"/>
      <c r="BV544" s="335"/>
      <c r="BW544" s="335"/>
      <c r="BX544" s="335"/>
      <c r="BY544" s="335"/>
      <c r="BZ544" s="335"/>
      <c r="CA544" s="335"/>
      <c r="CB544" s="335"/>
      <c r="CC544" s="335"/>
      <c r="CD544" s="335"/>
      <c r="CE544" s="335"/>
      <c r="CF544" s="335"/>
      <c r="CG544" s="335"/>
      <c r="CH544" s="335"/>
      <c r="CI544" s="335"/>
      <c r="CJ544" s="335"/>
      <c r="CK544" s="335"/>
      <c r="CL544" s="335"/>
      <c r="CM544" s="335"/>
      <c r="CN544" s="335"/>
      <c r="CO544" s="335"/>
      <c r="CP544" s="335"/>
      <c r="CQ544" s="335"/>
      <c r="CR544" s="335"/>
      <c r="CS544" s="335"/>
      <c r="CT544" s="335"/>
      <c r="CU544" s="335"/>
      <c r="CV544" s="335"/>
      <c r="CW544" s="335"/>
      <c r="CX544" s="335"/>
      <c r="CY544" s="335"/>
      <c r="CZ544" s="335"/>
      <c r="DA544" s="335"/>
      <c r="DB544" s="335"/>
      <c r="DC544" s="335"/>
      <c r="DD544" s="335"/>
      <c r="DE544" s="335"/>
      <c r="DF544" s="335"/>
      <c r="DG544" s="335"/>
      <c r="DH544" s="335"/>
      <c r="DI544" s="335"/>
      <c r="DJ544" s="335"/>
      <c r="DK544" s="335"/>
      <c r="DL544" s="335"/>
      <c r="DM544" s="335"/>
      <c r="DN544" s="335"/>
      <c r="DO544" s="335"/>
      <c r="DP544" s="335"/>
      <c r="DQ544" s="335"/>
      <c r="DR544" s="335"/>
      <c r="DS544" s="335"/>
      <c r="DT544" s="335"/>
      <c r="DU544" s="335"/>
      <c r="DV544" s="335"/>
      <c r="DW544" s="335"/>
      <c r="DX544" s="335"/>
      <c r="DY544" s="335"/>
      <c r="DZ544" s="335"/>
      <c r="EA544" s="335"/>
      <c r="EB544" s="335"/>
      <c r="EC544" s="335"/>
      <c r="ED544" s="335"/>
      <c r="EE544" s="335"/>
      <c r="EF544" s="335"/>
      <c r="EG544" s="335"/>
      <c r="EH544" s="335"/>
      <c r="EI544" s="335"/>
      <c r="EJ544" s="335"/>
      <c r="EK544" s="335"/>
      <c r="EL544" s="335"/>
      <c r="EM544" s="335"/>
      <c r="EN544" s="335"/>
      <c r="EO544" s="335"/>
      <c r="EP544" s="335"/>
      <c r="EQ544" s="335"/>
      <c r="ER544" s="335"/>
      <c r="ES544" s="335"/>
      <c r="ET544" s="335"/>
      <c r="EU544" s="335"/>
      <c r="EV544" s="335"/>
      <c r="EW544" s="335"/>
      <c r="EX544" s="335"/>
      <c r="EY544" s="335"/>
      <c r="EZ544" s="335"/>
      <c r="FA544" s="335"/>
      <c r="FB544" s="335"/>
      <c r="FC544" s="335"/>
      <c r="FD544" s="335"/>
      <c r="FE544" s="335"/>
      <c r="FF544" s="335"/>
      <c r="FG544" s="335"/>
      <c r="FH544" s="335"/>
      <c r="FI544" s="335"/>
      <c r="FJ544" s="335"/>
      <c r="FK544" s="335"/>
      <c r="FL544" s="335"/>
      <c r="FM544" s="335"/>
      <c r="FN544" s="335"/>
      <c r="FO544" s="335"/>
      <c r="FP544" s="335"/>
      <c r="FQ544" s="335"/>
      <c r="FR544" s="335"/>
      <c r="FS544" s="335"/>
      <c r="FT544" s="335"/>
      <c r="FU544" s="335"/>
      <c r="FV544" s="335"/>
      <c r="FW544" s="335"/>
      <c r="FX544" s="335"/>
      <c r="FY544" s="335"/>
      <c r="FZ544" s="335"/>
      <c r="GA544" s="335"/>
      <c r="GB544" s="335"/>
      <c r="GC544" s="335"/>
      <c r="GD544" s="335"/>
      <c r="GE544" s="335"/>
      <c r="GF544" s="335"/>
      <c r="GG544" s="335"/>
      <c r="GH544" s="335"/>
      <c r="GI544" s="335"/>
      <c r="GJ544" s="335"/>
      <c r="GK544" s="335"/>
      <c r="GL544" s="335"/>
      <c r="GM544" s="335"/>
      <c r="GN544" s="335"/>
      <c r="GO544" s="335"/>
      <c r="GP544" s="335"/>
      <c r="GQ544" s="335"/>
      <c r="GR544" s="335"/>
      <c r="GS544" s="335"/>
      <c r="GT544" s="335"/>
      <c r="GU544" s="335"/>
      <c r="GV544" s="335"/>
      <c r="GW544" s="335"/>
      <c r="GX544" s="335"/>
      <c r="GY544" s="335"/>
      <c r="GZ544" s="335"/>
    </row>
    <row r="545" spans="1:208" ht="15">
      <c r="A545" s="379"/>
      <c r="B545" s="335"/>
      <c r="C545" s="335"/>
      <c r="D545" s="335"/>
      <c r="E545" s="335"/>
      <c r="F545" s="335"/>
      <c r="G545" s="335"/>
      <c r="H545" s="335"/>
      <c r="I545" s="335"/>
      <c r="J545" s="335"/>
      <c r="K545" s="335"/>
      <c r="L545" s="335"/>
      <c r="M545" s="376"/>
      <c r="N545" s="335"/>
      <c r="O545" s="380"/>
      <c r="P545" s="335"/>
      <c r="Q545" s="335"/>
      <c r="R545" s="335"/>
      <c r="S545" s="335"/>
      <c r="T545" s="335"/>
      <c r="U545" s="335"/>
      <c r="V545" s="335"/>
      <c r="W545" s="335"/>
      <c r="X545" s="335"/>
      <c r="Y545" s="335"/>
      <c r="Z545" s="335"/>
      <c r="AA545" s="335"/>
      <c r="AB545" s="335"/>
      <c r="AC545" s="335"/>
      <c r="AD545" s="335"/>
      <c r="AE545" s="335"/>
      <c r="AF545" s="335"/>
      <c r="AG545" s="335"/>
      <c r="AH545" s="335"/>
      <c r="AI545" s="335"/>
      <c r="AJ545" s="335"/>
      <c r="AK545" s="335"/>
      <c r="AL545" s="335"/>
      <c r="AM545" s="335"/>
      <c r="AN545" s="335"/>
      <c r="AO545" s="335"/>
      <c r="AP545" s="335"/>
      <c r="AQ545" s="335"/>
      <c r="AR545" s="335"/>
      <c r="AS545" s="335"/>
      <c r="AT545" s="335"/>
      <c r="AU545" s="335"/>
      <c r="AV545" s="335"/>
      <c r="AW545" s="335"/>
      <c r="AX545" s="335"/>
      <c r="AY545" s="335"/>
      <c r="AZ545" s="335"/>
      <c r="BA545" s="335"/>
      <c r="BB545" s="335"/>
      <c r="BC545" s="335"/>
      <c r="BD545" s="335"/>
      <c r="BE545" s="335"/>
      <c r="BF545" s="335"/>
      <c r="BG545" s="335"/>
      <c r="BH545" s="335"/>
      <c r="BI545" s="335"/>
      <c r="BJ545" s="335"/>
      <c r="BK545" s="335"/>
      <c r="BL545" s="335"/>
      <c r="BM545" s="335"/>
      <c r="BN545" s="335"/>
      <c r="BO545" s="335"/>
      <c r="BP545" s="335"/>
      <c r="BQ545" s="335"/>
      <c r="BR545" s="335"/>
      <c r="BS545" s="335"/>
      <c r="BT545" s="335"/>
      <c r="BU545" s="335"/>
      <c r="BV545" s="335"/>
      <c r="BW545" s="335"/>
      <c r="BX545" s="335"/>
      <c r="BY545" s="335"/>
      <c r="BZ545" s="335"/>
      <c r="CA545" s="335"/>
      <c r="CB545" s="335"/>
      <c r="CC545" s="335"/>
      <c r="CD545" s="335"/>
      <c r="CE545" s="335"/>
      <c r="CF545" s="335"/>
      <c r="CG545" s="335"/>
      <c r="CH545" s="335"/>
      <c r="CI545" s="335"/>
      <c r="CJ545" s="335"/>
      <c r="CK545" s="335"/>
      <c r="CL545" s="335"/>
      <c r="CM545" s="335"/>
      <c r="CN545" s="335"/>
      <c r="CO545" s="335"/>
      <c r="CP545" s="335"/>
      <c r="CQ545" s="335"/>
      <c r="CR545" s="335"/>
      <c r="CS545" s="335"/>
      <c r="CT545" s="335"/>
      <c r="CU545" s="335"/>
      <c r="CV545" s="335"/>
      <c r="CW545" s="335"/>
      <c r="CX545" s="335"/>
      <c r="CY545" s="335"/>
      <c r="CZ545" s="335"/>
      <c r="DA545" s="335"/>
      <c r="DB545" s="335"/>
      <c r="DC545" s="335"/>
      <c r="DD545" s="335"/>
      <c r="DE545" s="335"/>
      <c r="DF545" s="335"/>
      <c r="DG545" s="335"/>
      <c r="DH545" s="335"/>
      <c r="DI545" s="335"/>
      <c r="DJ545" s="335"/>
      <c r="DK545" s="335"/>
      <c r="DL545" s="335"/>
      <c r="DM545" s="335"/>
      <c r="DN545" s="335"/>
      <c r="DO545" s="335"/>
      <c r="DP545" s="335"/>
      <c r="DQ545" s="335"/>
      <c r="DR545" s="335"/>
      <c r="DS545" s="335"/>
      <c r="DT545" s="335"/>
      <c r="DU545" s="335"/>
      <c r="DV545" s="335"/>
      <c r="DW545" s="335"/>
      <c r="DX545" s="335"/>
      <c r="DY545" s="335"/>
      <c r="DZ545" s="335"/>
      <c r="EA545" s="335"/>
      <c r="EB545" s="335"/>
      <c r="EC545" s="335"/>
      <c r="ED545" s="335"/>
      <c r="EE545" s="335"/>
      <c r="EF545" s="335"/>
      <c r="EG545" s="335"/>
      <c r="EH545" s="335"/>
      <c r="EI545" s="335"/>
      <c r="EJ545" s="335"/>
      <c r="EK545" s="335"/>
      <c r="EL545" s="335"/>
      <c r="EM545" s="335"/>
      <c r="EN545" s="335"/>
      <c r="EO545" s="335"/>
      <c r="EP545" s="335"/>
      <c r="EQ545" s="335"/>
      <c r="ER545" s="335"/>
      <c r="ES545" s="335"/>
      <c r="ET545" s="335"/>
      <c r="EU545" s="335"/>
      <c r="EV545" s="335"/>
      <c r="EW545" s="335"/>
      <c r="EX545" s="335"/>
      <c r="EY545" s="335"/>
      <c r="EZ545" s="335"/>
      <c r="FA545" s="335"/>
      <c r="FB545" s="335"/>
      <c r="FC545" s="335"/>
      <c r="FD545" s="335"/>
      <c r="FE545" s="335"/>
      <c r="FF545" s="335"/>
      <c r="FG545" s="335"/>
      <c r="FH545" s="335"/>
      <c r="FI545" s="335"/>
      <c r="FJ545" s="335"/>
      <c r="FK545" s="335"/>
      <c r="FL545" s="335"/>
      <c r="FM545" s="335"/>
      <c r="FN545" s="335"/>
      <c r="FO545" s="335"/>
      <c r="FP545" s="335"/>
      <c r="FQ545" s="335"/>
      <c r="FR545" s="335"/>
      <c r="FS545" s="335"/>
      <c r="FT545" s="335"/>
      <c r="FU545" s="335"/>
      <c r="FV545" s="335"/>
      <c r="FW545" s="335"/>
      <c r="FX545" s="335"/>
      <c r="FY545" s="335"/>
      <c r="FZ545" s="335"/>
      <c r="GA545" s="335"/>
      <c r="GB545" s="335"/>
      <c r="GC545" s="335"/>
      <c r="GD545" s="335"/>
      <c r="GE545" s="335"/>
      <c r="GF545" s="335"/>
      <c r="GG545" s="335"/>
      <c r="GH545" s="335"/>
      <c r="GI545" s="335"/>
      <c r="GJ545" s="335"/>
      <c r="GK545" s="335"/>
      <c r="GL545" s="335"/>
      <c r="GM545" s="335"/>
      <c r="GN545" s="335"/>
      <c r="GO545" s="335"/>
      <c r="GP545" s="335"/>
      <c r="GQ545" s="335"/>
      <c r="GR545" s="335"/>
      <c r="GS545" s="335"/>
      <c r="GT545" s="335"/>
      <c r="GU545" s="335"/>
      <c r="GV545" s="335"/>
      <c r="GW545" s="335"/>
      <c r="GX545" s="335"/>
      <c r="GY545" s="335"/>
      <c r="GZ545" s="335"/>
    </row>
    <row r="546" spans="1:208" ht="15">
      <c r="A546" s="379"/>
      <c r="B546" s="335"/>
      <c r="C546" s="335"/>
      <c r="D546" s="335"/>
      <c r="E546" s="335"/>
      <c r="F546" s="335"/>
      <c r="G546" s="335"/>
      <c r="H546" s="335"/>
      <c r="I546" s="335"/>
      <c r="J546" s="335"/>
      <c r="K546" s="335"/>
      <c r="L546" s="335"/>
      <c r="M546" s="376"/>
      <c r="N546" s="335"/>
      <c r="O546" s="380"/>
      <c r="P546" s="335"/>
      <c r="Q546" s="335"/>
      <c r="R546" s="335"/>
      <c r="S546" s="335"/>
      <c r="T546" s="335"/>
      <c r="U546" s="335"/>
      <c r="V546" s="335"/>
      <c r="W546" s="335"/>
      <c r="X546" s="335"/>
      <c r="Y546" s="335"/>
      <c r="Z546" s="335"/>
      <c r="AA546" s="335"/>
      <c r="AB546" s="335"/>
      <c r="AC546" s="335"/>
      <c r="AD546" s="335"/>
      <c r="AE546" s="335"/>
      <c r="AF546" s="335"/>
      <c r="AG546" s="335"/>
      <c r="AH546" s="335"/>
      <c r="AI546" s="335"/>
      <c r="AJ546" s="335"/>
      <c r="AK546" s="335"/>
      <c r="AL546" s="335"/>
      <c r="AM546" s="335"/>
      <c r="AN546" s="335"/>
      <c r="AO546" s="335"/>
      <c r="AP546" s="335"/>
      <c r="AQ546" s="335"/>
      <c r="AR546" s="335"/>
      <c r="AS546" s="335"/>
      <c r="AT546" s="335"/>
      <c r="AU546" s="335"/>
      <c r="AV546" s="335"/>
      <c r="AW546" s="335"/>
      <c r="AX546" s="335"/>
      <c r="AY546" s="335"/>
      <c r="AZ546" s="335"/>
      <c r="BA546" s="335"/>
      <c r="BB546" s="335"/>
      <c r="BC546" s="335"/>
      <c r="BD546" s="335"/>
      <c r="BE546" s="335"/>
      <c r="BF546" s="335"/>
      <c r="BG546" s="335"/>
      <c r="BH546" s="335"/>
      <c r="BI546" s="335"/>
      <c r="BJ546" s="335"/>
      <c r="BK546" s="335"/>
      <c r="BL546" s="335"/>
      <c r="BM546" s="335"/>
      <c r="BN546" s="335"/>
      <c r="BO546" s="335"/>
      <c r="BP546" s="335"/>
      <c r="BQ546" s="335"/>
      <c r="BR546" s="335"/>
      <c r="BS546" s="335"/>
      <c r="BT546" s="335"/>
      <c r="BU546" s="335"/>
      <c r="BV546" s="335"/>
      <c r="BW546" s="335"/>
      <c r="BX546" s="335"/>
      <c r="BY546" s="335"/>
      <c r="BZ546" s="335"/>
      <c r="CA546" s="335"/>
      <c r="CB546" s="335"/>
      <c r="CC546" s="335"/>
      <c r="CD546" s="335"/>
      <c r="CE546" s="335"/>
      <c r="CF546" s="335"/>
      <c r="CG546" s="335"/>
      <c r="CH546" s="335"/>
      <c r="CI546" s="335"/>
      <c r="CJ546" s="335"/>
      <c r="CK546" s="335"/>
      <c r="CL546" s="335"/>
      <c r="CM546" s="335"/>
      <c r="CN546" s="335"/>
      <c r="CO546" s="335"/>
      <c r="CP546" s="335"/>
      <c r="CQ546" s="335"/>
      <c r="CR546" s="335"/>
      <c r="CS546" s="335"/>
      <c r="CT546" s="335"/>
      <c r="CU546" s="335"/>
      <c r="CV546" s="335"/>
      <c r="CW546" s="335"/>
      <c r="CX546" s="335"/>
      <c r="CY546" s="335"/>
      <c r="CZ546" s="335"/>
      <c r="DA546" s="335"/>
      <c r="DB546" s="335"/>
      <c r="DC546" s="335"/>
      <c r="DD546" s="335"/>
      <c r="DE546" s="335"/>
      <c r="DF546" s="335"/>
      <c r="DG546" s="335"/>
      <c r="DH546" s="335"/>
      <c r="DI546" s="335"/>
      <c r="DJ546" s="335"/>
      <c r="DK546" s="335"/>
      <c r="DL546" s="335"/>
      <c r="DM546" s="335"/>
      <c r="DN546" s="335"/>
      <c r="DO546" s="335"/>
      <c r="DP546" s="335"/>
      <c r="DQ546" s="335"/>
      <c r="DR546" s="335"/>
      <c r="DS546" s="335"/>
      <c r="DT546" s="335"/>
      <c r="DU546" s="335"/>
      <c r="DV546" s="335"/>
      <c r="DW546" s="335"/>
      <c r="DX546" s="335"/>
      <c r="DY546" s="335"/>
      <c r="DZ546" s="335"/>
      <c r="EA546" s="335"/>
      <c r="EB546" s="335"/>
      <c r="EC546" s="335"/>
      <c r="ED546" s="335"/>
      <c r="EE546" s="335"/>
      <c r="EF546" s="335"/>
      <c r="EG546" s="335"/>
      <c r="EH546" s="335"/>
      <c r="EI546" s="335"/>
      <c r="EJ546" s="335"/>
      <c r="EK546" s="335"/>
      <c r="EL546" s="335"/>
      <c r="EM546" s="335"/>
      <c r="EN546" s="335"/>
      <c r="EO546" s="335"/>
      <c r="EP546" s="335"/>
      <c r="EQ546" s="335"/>
      <c r="ER546" s="335"/>
      <c r="ES546" s="335"/>
      <c r="ET546" s="335"/>
      <c r="EU546" s="335"/>
      <c r="EV546" s="335"/>
      <c r="EW546" s="335"/>
      <c r="EX546" s="335"/>
      <c r="EY546" s="335"/>
      <c r="EZ546" s="335"/>
      <c r="FA546" s="335"/>
      <c r="FB546" s="335"/>
      <c r="FC546" s="335"/>
      <c r="FD546" s="335"/>
      <c r="FE546" s="335"/>
      <c r="FF546" s="335"/>
      <c r="FG546" s="335"/>
      <c r="FH546" s="335"/>
      <c r="FI546" s="335"/>
      <c r="FJ546" s="335"/>
      <c r="FK546" s="335"/>
      <c r="FL546" s="335"/>
      <c r="FM546" s="335"/>
      <c r="FN546" s="335"/>
      <c r="FO546" s="335"/>
      <c r="FP546" s="335"/>
      <c r="FQ546" s="335"/>
      <c r="FR546" s="335"/>
      <c r="FS546" s="335"/>
      <c r="FT546" s="335"/>
      <c r="FU546" s="335"/>
      <c r="FV546" s="335"/>
      <c r="FW546" s="335"/>
      <c r="FX546" s="335"/>
      <c r="FY546" s="335"/>
      <c r="FZ546" s="335"/>
      <c r="GA546" s="335"/>
      <c r="GB546" s="335"/>
      <c r="GC546" s="335"/>
      <c r="GD546" s="335"/>
      <c r="GE546" s="335"/>
      <c r="GF546" s="335"/>
      <c r="GG546" s="335"/>
      <c r="GH546" s="335"/>
      <c r="GI546" s="335"/>
      <c r="GJ546" s="335"/>
      <c r="GK546" s="335"/>
      <c r="GL546" s="335"/>
      <c r="GM546" s="335"/>
      <c r="GN546" s="335"/>
      <c r="GO546" s="335"/>
      <c r="GP546" s="335"/>
      <c r="GQ546" s="335"/>
      <c r="GR546" s="335"/>
      <c r="GS546" s="335"/>
      <c r="GT546" s="335"/>
      <c r="GU546" s="335"/>
      <c r="GV546" s="335"/>
      <c r="GW546" s="335"/>
      <c r="GX546" s="335"/>
      <c r="GY546" s="335"/>
      <c r="GZ546" s="335"/>
    </row>
    <row r="547" spans="1:208" ht="15">
      <c r="A547" s="379"/>
      <c r="B547" s="335"/>
      <c r="C547" s="335"/>
      <c r="D547" s="335"/>
      <c r="E547" s="335"/>
      <c r="F547" s="335"/>
      <c r="G547" s="335"/>
      <c r="H547" s="335"/>
      <c r="I547" s="335"/>
      <c r="J547" s="335"/>
      <c r="K547" s="335"/>
      <c r="L547" s="335"/>
      <c r="M547" s="376"/>
      <c r="N547" s="335"/>
      <c r="O547" s="380"/>
      <c r="P547" s="335"/>
      <c r="Q547" s="335"/>
      <c r="R547" s="335"/>
      <c r="S547" s="335"/>
      <c r="T547" s="335"/>
      <c r="U547" s="335"/>
      <c r="V547" s="335"/>
      <c r="W547" s="335"/>
      <c r="X547" s="335"/>
      <c r="Y547" s="335"/>
      <c r="Z547" s="335"/>
      <c r="AA547" s="335"/>
      <c r="AB547" s="335"/>
      <c r="AC547" s="335"/>
      <c r="AD547" s="335"/>
      <c r="AE547" s="335"/>
      <c r="AF547" s="335"/>
      <c r="AG547" s="335"/>
      <c r="AH547" s="335"/>
      <c r="AI547" s="335"/>
      <c r="AJ547" s="335"/>
      <c r="AK547" s="335"/>
      <c r="AL547" s="335"/>
      <c r="AM547" s="335"/>
      <c r="AN547" s="335"/>
      <c r="AO547" s="335"/>
      <c r="AP547" s="335"/>
      <c r="AQ547" s="335"/>
      <c r="AR547" s="335"/>
      <c r="AS547" s="335"/>
      <c r="AT547" s="335"/>
      <c r="AU547" s="335"/>
      <c r="AV547" s="335"/>
      <c r="AW547" s="335"/>
      <c r="AX547" s="335"/>
      <c r="AY547" s="335"/>
      <c r="AZ547" s="335"/>
      <c r="BA547" s="335"/>
      <c r="BB547" s="335"/>
      <c r="BC547" s="335"/>
      <c r="BD547" s="335"/>
      <c r="BE547" s="335"/>
      <c r="BF547" s="335"/>
      <c r="BG547" s="335"/>
      <c r="BH547" s="335"/>
      <c r="BI547" s="335"/>
      <c r="BJ547" s="335"/>
      <c r="BK547" s="335"/>
      <c r="BL547" s="335"/>
      <c r="BM547" s="335"/>
      <c r="BN547" s="335"/>
      <c r="BO547" s="335"/>
      <c r="BP547" s="335"/>
      <c r="BQ547" s="335"/>
      <c r="BR547" s="335"/>
      <c r="BS547" s="335"/>
      <c r="BT547" s="335"/>
      <c r="BU547" s="335"/>
      <c r="BV547" s="335"/>
      <c r="BW547" s="335"/>
      <c r="BX547" s="335"/>
      <c r="BY547" s="335"/>
      <c r="BZ547" s="335"/>
      <c r="CA547" s="335"/>
      <c r="CB547" s="335"/>
      <c r="CC547" s="335"/>
      <c r="CD547" s="335"/>
      <c r="CE547" s="335"/>
      <c r="CF547" s="335"/>
      <c r="CG547" s="335"/>
      <c r="CH547" s="335"/>
      <c r="CI547" s="335"/>
      <c r="CJ547" s="335"/>
      <c r="CK547" s="335"/>
      <c r="CL547" s="335"/>
      <c r="CM547" s="335"/>
      <c r="CN547" s="335"/>
      <c r="CO547" s="335"/>
      <c r="CP547" s="335"/>
      <c r="CQ547" s="335"/>
      <c r="CR547" s="335"/>
      <c r="CS547" s="335"/>
      <c r="CT547" s="335"/>
      <c r="CU547" s="335"/>
      <c r="CV547" s="335"/>
      <c r="CW547" s="335"/>
      <c r="CX547" s="335"/>
      <c r="CY547" s="335"/>
      <c r="CZ547" s="335"/>
      <c r="DA547" s="335"/>
      <c r="DB547" s="335"/>
      <c r="DC547" s="335"/>
      <c r="DD547" s="335"/>
      <c r="DE547" s="335"/>
      <c r="DF547" s="335"/>
      <c r="DG547" s="335"/>
      <c r="DH547" s="335"/>
      <c r="DI547" s="335"/>
      <c r="DJ547" s="335"/>
      <c r="DK547" s="335"/>
      <c r="DL547" s="335"/>
      <c r="DM547" s="335"/>
      <c r="DN547" s="335"/>
      <c r="DO547" s="335"/>
      <c r="DP547" s="335"/>
      <c r="DQ547" s="335"/>
      <c r="DR547" s="335"/>
      <c r="DS547" s="335"/>
      <c r="DT547" s="335"/>
      <c r="DU547" s="335"/>
      <c r="DV547" s="335"/>
      <c r="DW547" s="335"/>
      <c r="DX547" s="335"/>
      <c r="DY547" s="335"/>
      <c r="DZ547" s="335"/>
      <c r="EA547" s="335"/>
      <c r="EB547" s="335"/>
      <c r="EC547" s="335"/>
      <c r="ED547" s="335"/>
      <c r="EE547" s="335"/>
      <c r="EF547" s="335"/>
      <c r="EG547" s="335"/>
      <c r="EH547" s="335"/>
      <c r="EI547" s="335"/>
      <c r="EJ547" s="335"/>
      <c r="EK547" s="335"/>
      <c r="EL547" s="335"/>
      <c r="EM547" s="335"/>
      <c r="EN547" s="335"/>
      <c r="EO547" s="335"/>
      <c r="EP547" s="335"/>
      <c r="EQ547" s="335"/>
      <c r="ER547" s="335"/>
      <c r="ES547" s="335"/>
      <c r="ET547" s="335"/>
      <c r="EU547" s="335"/>
      <c r="EV547" s="335"/>
      <c r="EW547" s="335"/>
      <c r="EX547" s="335"/>
      <c r="EY547" s="335"/>
      <c r="EZ547" s="335"/>
      <c r="FA547" s="335"/>
      <c r="FB547" s="335"/>
      <c r="FC547" s="335"/>
      <c r="FD547" s="335"/>
      <c r="FE547" s="335"/>
      <c r="FF547" s="335"/>
      <c r="FG547" s="335"/>
      <c r="FH547" s="335"/>
      <c r="FI547" s="335"/>
      <c r="FJ547" s="335"/>
      <c r="FK547" s="335"/>
      <c r="FL547" s="335"/>
      <c r="FM547" s="335"/>
      <c r="FN547" s="335"/>
      <c r="FO547" s="335"/>
      <c r="FP547" s="335"/>
      <c r="FQ547" s="335"/>
      <c r="FR547" s="335"/>
      <c r="FS547" s="335"/>
      <c r="FT547" s="335"/>
      <c r="FU547" s="335"/>
      <c r="FV547" s="335"/>
      <c r="FW547" s="335"/>
      <c r="FX547" s="335"/>
      <c r="FY547" s="335"/>
      <c r="FZ547" s="335"/>
      <c r="GA547" s="335"/>
      <c r="GB547" s="335"/>
      <c r="GC547" s="335"/>
      <c r="GD547" s="335"/>
      <c r="GE547" s="335"/>
      <c r="GF547" s="335"/>
      <c r="GG547" s="335"/>
      <c r="GH547" s="335"/>
      <c r="GI547" s="335"/>
      <c r="GJ547" s="335"/>
      <c r="GK547" s="335"/>
      <c r="GL547" s="335"/>
      <c r="GM547" s="335"/>
      <c r="GN547" s="335"/>
      <c r="GO547" s="335"/>
      <c r="GP547" s="335"/>
      <c r="GQ547" s="335"/>
      <c r="GR547" s="335"/>
      <c r="GS547" s="335"/>
      <c r="GT547" s="335"/>
      <c r="GU547" s="335"/>
      <c r="GV547" s="335"/>
      <c r="GW547" s="335"/>
      <c r="GX547" s="335"/>
      <c r="GY547" s="335"/>
      <c r="GZ547" s="335"/>
    </row>
    <row r="548" spans="1:208" ht="15">
      <c r="A548" s="379"/>
      <c r="B548" s="335"/>
      <c r="C548" s="335"/>
      <c r="D548" s="335"/>
      <c r="E548" s="335"/>
      <c r="F548" s="335"/>
      <c r="G548" s="335"/>
      <c r="H548" s="335"/>
      <c r="I548" s="335"/>
      <c r="J548" s="335"/>
      <c r="K548" s="335"/>
      <c r="L548" s="335"/>
      <c r="M548" s="376"/>
      <c r="N548" s="335"/>
      <c r="O548" s="380"/>
      <c r="P548" s="335"/>
      <c r="Q548" s="335"/>
      <c r="R548" s="335"/>
      <c r="S548" s="335"/>
      <c r="T548" s="335"/>
      <c r="U548" s="335"/>
      <c r="V548" s="335"/>
      <c r="W548" s="335"/>
      <c r="X548" s="335"/>
      <c r="Y548" s="335"/>
      <c r="Z548" s="335"/>
      <c r="AA548" s="335"/>
      <c r="AB548" s="335"/>
      <c r="AC548" s="335"/>
      <c r="AD548" s="335"/>
      <c r="AE548" s="335"/>
      <c r="AF548" s="335"/>
      <c r="AG548" s="335"/>
      <c r="AH548" s="335"/>
      <c r="AI548" s="335"/>
      <c r="AJ548" s="335"/>
      <c r="AK548" s="335"/>
      <c r="AL548" s="335"/>
      <c r="AM548" s="335"/>
      <c r="AN548" s="335"/>
      <c r="AO548" s="335"/>
      <c r="AP548" s="335"/>
      <c r="AQ548" s="335"/>
      <c r="AR548" s="335"/>
      <c r="AS548" s="335"/>
      <c r="AT548" s="335"/>
      <c r="AU548" s="335"/>
      <c r="AV548" s="335"/>
      <c r="AW548" s="335"/>
      <c r="AX548" s="335"/>
      <c r="AY548" s="335"/>
      <c r="AZ548" s="335"/>
      <c r="BA548" s="335"/>
      <c r="BB548" s="335"/>
      <c r="BC548" s="335"/>
      <c r="BD548" s="335"/>
      <c r="BE548" s="335"/>
      <c r="BF548" s="335"/>
      <c r="BG548" s="335"/>
      <c r="BH548" s="335"/>
      <c r="BI548" s="335"/>
      <c r="BJ548" s="335"/>
      <c r="BK548" s="335"/>
      <c r="BL548" s="335"/>
      <c r="BM548" s="335"/>
      <c r="BN548" s="335"/>
      <c r="BO548" s="335"/>
      <c r="BP548" s="335"/>
      <c r="BQ548" s="335"/>
      <c r="BR548" s="335"/>
      <c r="BS548" s="335"/>
      <c r="BT548" s="335"/>
      <c r="BU548" s="335"/>
      <c r="BV548" s="335"/>
      <c r="BW548" s="335"/>
      <c r="BX548" s="335"/>
      <c r="BY548" s="335"/>
      <c r="BZ548" s="335"/>
      <c r="CA548" s="335"/>
      <c r="CB548" s="335"/>
      <c r="CC548" s="335"/>
      <c r="CD548" s="335"/>
      <c r="CE548" s="335"/>
      <c r="CF548" s="335"/>
      <c r="CG548" s="335"/>
      <c r="CH548" s="335"/>
      <c r="CI548" s="335"/>
      <c r="CJ548" s="335"/>
      <c r="CK548" s="335"/>
      <c r="CL548" s="335"/>
      <c r="CM548" s="335"/>
      <c r="CN548" s="335"/>
      <c r="CO548" s="335"/>
      <c r="CP548" s="335"/>
      <c r="CQ548" s="335"/>
      <c r="CR548" s="335"/>
      <c r="CS548" s="335"/>
      <c r="CT548" s="335"/>
      <c r="CU548" s="335"/>
      <c r="CV548" s="335"/>
      <c r="CW548" s="335"/>
      <c r="CX548" s="335"/>
      <c r="CY548" s="335"/>
      <c r="CZ548" s="335"/>
      <c r="DA548" s="335"/>
      <c r="DB548" s="335"/>
      <c r="DC548" s="335"/>
      <c r="DD548" s="335"/>
      <c r="DE548" s="335"/>
      <c r="DF548" s="335"/>
      <c r="DG548" s="335"/>
      <c r="DH548" s="335"/>
      <c r="DI548" s="335"/>
      <c r="DJ548" s="335"/>
      <c r="DK548" s="335"/>
      <c r="DL548" s="335"/>
      <c r="DM548" s="335"/>
      <c r="DN548" s="335"/>
      <c r="DO548" s="335"/>
      <c r="DP548" s="335"/>
      <c r="DQ548" s="335"/>
      <c r="DR548" s="335"/>
      <c r="DS548" s="335"/>
      <c r="DT548" s="335"/>
      <c r="DU548" s="335"/>
      <c r="DV548" s="335"/>
      <c r="DW548" s="335"/>
      <c r="DX548" s="335"/>
      <c r="DY548" s="335"/>
      <c r="DZ548" s="335"/>
      <c r="EA548" s="335"/>
      <c r="EB548" s="335"/>
      <c r="EC548" s="335"/>
      <c r="ED548" s="335"/>
      <c r="EE548" s="335"/>
      <c r="EF548" s="335"/>
      <c r="EG548" s="335"/>
      <c r="EH548" s="335"/>
      <c r="EI548" s="335"/>
      <c r="EJ548" s="335"/>
      <c r="EK548" s="335"/>
      <c r="EL548" s="335"/>
      <c r="EM548" s="335"/>
      <c r="EN548" s="335"/>
      <c r="EO548" s="335"/>
      <c r="EP548" s="335"/>
      <c r="EQ548" s="335"/>
      <c r="ER548" s="335"/>
      <c r="ES548" s="335"/>
      <c r="ET548" s="335"/>
      <c r="EU548" s="335"/>
      <c r="EV548" s="335"/>
      <c r="EW548" s="335"/>
      <c r="EX548" s="335"/>
      <c r="EY548" s="335"/>
      <c r="EZ548" s="335"/>
      <c r="FA548" s="335"/>
      <c r="FB548" s="335"/>
      <c r="FC548" s="335"/>
      <c r="FD548" s="335"/>
      <c r="FE548" s="335"/>
      <c r="FF548" s="335"/>
      <c r="FG548" s="335"/>
      <c r="FH548" s="335"/>
      <c r="FI548" s="335"/>
      <c r="FJ548" s="335"/>
      <c r="FK548" s="335"/>
      <c r="FL548" s="335"/>
      <c r="FM548" s="335"/>
      <c r="FN548" s="335"/>
      <c r="FO548" s="335"/>
      <c r="FP548" s="335"/>
      <c r="FQ548" s="335"/>
      <c r="FR548" s="335"/>
      <c r="FS548" s="335"/>
      <c r="FT548" s="335"/>
      <c r="FU548" s="335"/>
      <c r="FV548" s="335"/>
      <c r="FW548" s="335"/>
      <c r="FX548" s="335"/>
      <c r="FY548" s="335"/>
      <c r="FZ548" s="335"/>
      <c r="GA548" s="335"/>
      <c r="GB548" s="335"/>
      <c r="GC548" s="335"/>
      <c r="GD548" s="335"/>
      <c r="GE548" s="335"/>
      <c r="GF548" s="335"/>
      <c r="GG548" s="335"/>
      <c r="GH548" s="335"/>
      <c r="GI548" s="335"/>
      <c r="GJ548" s="335"/>
      <c r="GK548" s="335"/>
      <c r="GL548" s="335"/>
      <c r="GM548" s="335"/>
      <c r="GN548" s="335"/>
      <c r="GO548" s="335"/>
      <c r="GP548" s="335"/>
      <c r="GQ548" s="335"/>
      <c r="GR548" s="335"/>
      <c r="GS548" s="335"/>
      <c r="GT548" s="335"/>
      <c r="GU548" s="335"/>
      <c r="GV548" s="335"/>
      <c r="GW548" s="335"/>
      <c r="GX548" s="335"/>
      <c r="GY548" s="335"/>
      <c r="GZ548" s="335"/>
    </row>
    <row r="549" spans="1:208" ht="15">
      <c r="A549" s="379"/>
      <c r="B549" s="335"/>
      <c r="C549" s="335"/>
      <c r="D549" s="335"/>
      <c r="E549" s="335"/>
      <c r="F549" s="335"/>
      <c r="G549" s="335"/>
      <c r="H549" s="335"/>
      <c r="I549" s="335"/>
      <c r="J549" s="335"/>
      <c r="K549" s="335"/>
      <c r="L549" s="335"/>
      <c r="M549" s="376"/>
      <c r="N549" s="335"/>
      <c r="O549" s="380"/>
      <c r="P549" s="335"/>
      <c r="Q549" s="335"/>
      <c r="R549" s="335"/>
      <c r="S549" s="335"/>
      <c r="T549" s="335"/>
      <c r="U549" s="335"/>
      <c r="V549" s="335"/>
      <c r="W549" s="335"/>
      <c r="X549" s="335"/>
      <c r="Y549" s="335"/>
      <c r="Z549" s="335"/>
      <c r="AA549" s="335"/>
      <c r="AB549" s="335"/>
      <c r="AC549" s="335"/>
      <c r="AD549" s="335"/>
      <c r="AE549" s="335"/>
      <c r="AF549" s="335"/>
      <c r="AG549" s="335"/>
      <c r="AH549" s="335"/>
      <c r="AI549" s="335"/>
      <c r="AJ549" s="335"/>
      <c r="AK549" s="335"/>
      <c r="AL549" s="335"/>
      <c r="AM549" s="335"/>
      <c r="AN549" s="335"/>
      <c r="AO549" s="335"/>
      <c r="AP549" s="335"/>
      <c r="AQ549" s="335"/>
      <c r="AR549" s="335"/>
      <c r="AS549" s="335"/>
      <c r="AT549" s="335"/>
      <c r="AU549" s="335"/>
      <c r="AV549" s="335"/>
      <c r="AW549" s="335"/>
      <c r="AX549" s="335"/>
      <c r="AY549" s="335"/>
      <c r="AZ549" s="335"/>
      <c r="BA549" s="335"/>
      <c r="BB549" s="335"/>
      <c r="BC549" s="335"/>
      <c r="BD549" s="335"/>
      <c r="BE549" s="335"/>
      <c r="BF549" s="335"/>
      <c r="BG549" s="335"/>
      <c r="BH549" s="335"/>
      <c r="BI549" s="335"/>
      <c r="BJ549" s="335"/>
      <c r="BK549" s="335"/>
      <c r="BL549" s="335"/>
      <c r="BM549" s="335"/>
      <c r="BN549" s="335"/>
      <c r="BO549" s="335"/>
      <c r="BP549" s="335"/>
      <c r="BQ549" s="335"/>
      <c r="BR549" s="335"/>
      <c r="BS549" s="335"/>
      <c r="BT549" s="335"/>
      <c r="BU549" s="335"/>
      <c r="BV549" s="335"/>
      <c r="BW549" s="335"/>
      <c r="BX549" s="335"/>
      <c r="BY549" s="335"/>
      <c r="BZ549" s="335"/>
      <c r="CA549" s="335"/>
      <c r="CB549" s="335"/>
      <c r="CC549" s="335"/>
      <c r="CD549" s="335"/>
      <c r="CE549" s="335"/>
      <c r="CF549" s="335"/>
      <c r="CG549" s="335"/>
      <c r="CH549" s="335"/>
      <c r="CI549" s="335"/>
      <c r="CJ549" s="335"/>
      <c r="CK549" s="335"/>
      <c r="CL549" s="335"/>
      <c r="CM549" s="335"/>
      <c r="CN549" s="335"/>
      <c r="CO549" s="335"/>
      <c r="CP549" s="335"/>
      <c r="CQ549" s="335"/>
      <c r="CR549" s="335"/>
      <c r="CS549" s="335"/>
      <c r="CT549" s="335"/>
      <c r="CU549" s="335"/>
      <c r="CV549" s="335"/>
      <c r="CW549" s="335"/>
      <c r="CX549" s="335"/>
      <c r="CY549" s="335"/>
      <c r="CZ549" s="335"/>
      <c r="DA549" s="335"/>
      <c r="DB549" s="335"/>
      <c r="DC549" s="335"/>
      <c r="DD549" s="335"/>
      <c r="DE549" s="335"/>
      <c r="DF549" s="335"/>
      <c r="DG549" s="335"/>
      <c r="DH549" s="335"/>
      <c r="DI549" s="335"/>
      <c r="DJ549" s="335"/>
      <c r="DK549" s="335"/>
      <c r="DL549" s="335"/>
      <c r="DM549" s="335"/>
      <c r="DN549" s="335"/>
      <c r="DO549" s="335"/>
      <c r="DP549" s="335"/>
      <c r="DQ549" s="335"/>
      <c r="DR549" s="335"/>
      <c r="DS549" s="335"/>
      <c r="DT549" s="335"/>
      <c r="DU549" s="335"/>
      <c r="DV549" s="335"/>
      <c r="DW549" s="335"/>
      <c r="DX549" s="335"/>
      <c r="DY549" s="335"/>
      <c r="DZ549" s="335"/>
      <c r="EA549" s="335"/>
      <c r="EB549" s="335"/>
      <c r="EC549" s="335"/>
      <c r="ED549" s="335"/>
      <c r="EE549" s="335"/>
      <c r="EF549" s="335"/>
      <c r="EG549" s="335"/>
      <c r="EH549" s="335"/>
      <c r="EI549" s="335"/>
      <c r="EJ549" s="335"/>
      <c r="EK549" s="335"/>
      <c r="EL549" s="335"/>
      <c r="EM549" s="335"/>
      <c r="EN549" s="335"/>
      <c r="EO549" s="335"/>
      <c r="EP549" s="335"/>
      <c r="EQ549" s="335"/>
      <c r="ER549" s="335"/>
      <c r="ES549" s="335"/>
      <c r="ET549" s="335"/>
      <c r="EU549" s="335"/>
      <c r="EV549" s="335"/>
      <c r="EW549" s="335"/>
      <c r="EX549" s="335"/>
      <c r="EY549" s="335"/>
      <c r="EZ549" s="335"/>
      <c r="FA549" s="335"/>
      <c r="FB549" s="335"/>
      <c r="FC549" s="335"/>
      <c r="FD549" s="335"/>
      <c r="FE549" s="335"/>
      <c r="FF549" s="335"/>
      <c r="FG549" s="335"/>
      <c r="FH549" s="335"/>
      <c r="FI549" s="335"/>
      <c r="FJ549" s="335"/>
      <c r="FK549" s="335"/>
      <c r="FL549" s="335"/>
      <c r="FM549" s="335"/>
      <c r="FN549" s="335"/>
      <c r="FO549" s="335"/>
      <c r="FP549" s="335"/>
      <c r="FQ549" s="335"/>
      <c r="FR549" s="335"/>
      <c r="FS549" s="335"/>
      <c r="FT549" s="335"/>
      <c r="FU549" s="335"/>
      <c r="FV549" s="335"/>
      <c r="FW549" s="335"/>
      <c r="FX549" s="335"/>
      <c r="FY549" s="335"/>
      <c r="FZ549" s="335"/>
      <c r="GA549" s="335"/>
      <c r="GB549" s="335"/>
      <c r="GC549" s="335"/>
      <c r="GD549" s="335"/>
      <c r="GE549" s="335"/>
      <c r="GF549" s="335"/>
      <c r="GG549" s="335"/>
      <c r="GH549" s="335"/>
      <c r="GI549" s="335"/>
      <c r="GJ549" s="335"/>
      <c r="GK549" s="335"/>
      <c r="GL549" s="335"/>
      <c r="GM549" s="335"/>
      <c r="GN549" s="335"/>
      <c r="GO549" s="335"/>
      <c r="GP549" s="335"/>
      <c r="GQ549" s="335"/>
      <c r="GR549" s="335"/>
      <c r="GS549" s="335"/>
      <c r="GT549" s="335"/>
      <c r="GU549" s="335"/>
      <c r="GV549" s="335"/>
      <c r="GW549" s="335"/>
      <c r="GX549" s="335"/>
      <c r="GY549" s="335"/>
      <c r="GZ549" s="335"/>
    </row>
    <row r="550" spans="1:208" ht="15">
      <c r="A550" s="379"/>
      <c r="B550" s="335"/>
      <c r="C550" s="335"/>
      <c r="D550" s="335"/>
      <c r="E550" s="335"/>
      <c r="F550" s="335"/>
      <c r="G550" s="335"/>
      <c r="H550" s="335"/>
      <c r="I550" s="335"/>
      <c r="J550" s="335"/>
      <c r="K550" s="335"/>
      <c r="L550" s="335"/>
      <c r="M550" s="376"/>
      <c r="N550" s="335"/>
      <c r="O550" s="380"/>
      <c r="P550" s="335"/>
      <c r="Q550" s="335"/>
      <c r="R550" s="335"/>
      <c r="S550" s="335"/>
      <c r="T550" s="335"/>
      <c r="U550" s="335"/>
      <c r="V550" s="335"/>
      <c r="W550" s="335"/>
      <c r="X550" s="335"/>
      <c r="Y550" s="335"/>
      <c r="Z550" s="335"/>
      <c r="AA550" s="335"/>
      <c r="AB550" s="335"/>
      <c r="AC550" s="335"/>
      <c r="AD550" s="335"/>
      <c r="AE550" s="335"/>
      <c r="AF550" s="335"/>
      <c r="AG550" s="335"/>
      <c r="AH550" s="335"/>
      <c r="AI550" s="335"/>
      <c r="AJ550" s="335"/>
      <c r="AK550" s="335"/>
      <c r="AL550" s="335"/>
      <c r="AM550" s="335"/>
      <c r="AN550" s="335"/>
      <c r="AO550" s="335"/>
      <c r="AP550" s="335"/>
      <c r="AQ550" s="335"/>
      <c r="AR550" s="335"/>
      <c r="AS550" s="335"/>
      <c r="AT550" s="335"/>
      <c r="AU550" s="335"/>
      <c r="AV550" s="335"/>
      <c r="AW550" s="335"/>
      <c r="AX550" s="335"/>
      <c r="AY550" s="335"/>
      <c r="AZ550" s="335"/>
      <c r="BA550" s="335"/>
      <c r="BB550" s="335"/>
      <c r="BC550" s="335"/>
      <c r="BD550" s="335"/>
      <c r="BE550" s="335"/>
      <c r="BF550" s="335"/>
      <c r="BG550" s="335"/>
      <c r="BH550" s="335"/>
      <c r="BI550" s="335"/>
      <c r="BJ550" s="335"/>
      <c r="BK550" s="335"/>
      <c r="BL550" s="335"/>
      <c r="BM550" s="335"/>
      <c r="BN550" s="335"/>
      <c r="BO550" s="335"/>
      <c r="BP550" s="335"/>
      <c r="BQ550" s="335"/>
      <c r="BR550" s="335"/>
      <c r="BS550" s="335"/>
      <c r="BT550" s="335"/>
      <c r="BU550" s="335"/>
      <c r="BV550" s="335"/>
      <c r="BW550" s="335"/>
      <c r="BX550" s="335"/>
      <c r="BY550" s="335"/>
      <c r="BZ550" s="335"/>
      <c r="CA550" s="335"/>
      <c r="CB550" s="335"/>
      <c r="CC550" s="335"/>
      <c r="CD550" s="335"/>
      <c r="CE550" s="335"/>
      <c r="CF550" s="335"/>
      <c r="CG550" s="335"/>
      <c r="CH550" s="335"/>
      <c r="CI550" s="335"/>
      <c r="CJ550" s="335"/>
      <c r="CK550" s="335"/>
      <c r="CL550" s="335"/>
      <c r="CM550" s="335"/>
      <c r="CN550" s="335"/>
      <c r="CO550" s="335"/>
      <c r="CP550" s="335"/>
      <c r="CQ550" s="335"/>
      <c r="CR550" s="335"/>
      <c r="CS550" s="335"/>
      <c r="CT550" s="335"/>
      <c r="CU550" s="335"/>
      <c r="CV550" s="335"/>
      <c r="CW550" s="335"/>
      <c r="CX550" s="335"/>
      <c r="CY550" s="335"/>
      <c r="CZ550" s="335"/>
      <c r="DA550" s="335"/>
      <c r="DB550" s="335"/>
      <c r="DC550" s="335"/>
      <c r="DD550" s="335"/>
      <c r="DE550" s="335"/>
      <c r="DF550" s="335"/>
      <c r="DG550" s="335"/>
      <c r="DH550" s="335"/>
      <c r="DI550" s="335"/>
      <c r="DJ550" s="335"/>
      <c r="DK550" s="335"/>
      <c r="DL550" s="335"/>
      <c r="DM550" s="335"/>
      <c r="DN550" s="335"/>
      <c r="DO550" s="335"/>
      <c r="DP550" s="335"/>
      <c r="DQ550" s="335"/>
      <c r="DR550" s="335"/>
      <c r="DS550" s="335"/>
      <c r="DT550" s="335"/>
      <c r="DU550" s="335"/>
      <c r="DV550" s="335"/>
      <c r="DW550" s="335"/>
      <c r="DX550" s="335"/>
      <c r="DY550" s="335"/>
      <c r="DZ550" s="335"/>
      <c r="EA550" s="335"/>
      <c r="EB550" s="335"/>
      <c r="EC550" s="335"/>
      <c r="ED550" s="335"/>
      <c r="EE550" s="335"/>
      <c r="EF550" s="335"/>
      <c r="EG550" s="335"/>
      <c r="EH550" s="335"/>
      <c r="EI550" s="335"/>
      <c r="EJ550" s="335"/>
      <c r="EK550" s="335"/>
      <c r="EL550" s="335"/>
      <c r="EM550" s="335"/>
      <c r="EN550" s="335"/>
      <c r="EO550" s="335"/>
      <c r="EP550" s="335"/>
      <c r="EQ550" s="335"/>
      <c r="ER550" s="335"/>
      <c r="ES550" s="335"/>
      <c r="ET550" s="335"/>
      <c r="EU550" s="335"/>
      <c r="EV550" s="335"/>
      <c r="EW550" s="335"/>
      <c r="EX550" s="335"/>
      <c r="EY550" s="335"/>
      <c r="EZ550" s="335"/>
      <c r="FA550" s="335"/>
      <c r="FB550" s="335"/>
      <c r="FC550" s="335"/>
      <c r="FD550" s="335"/>
      <c r="FE550" s="335"/>
      <c r="FF550" s="335"/>
      <c r="FG550" s="335"/>
      <c r="FH550" s="335"/>
      <c r="FI550" s="335"/>
      <c r="FJ550" s="335"/>
      <c r="FK550" s="335"/>
      <c r="FL550" s="335"/>
      <c r="FM550" s="335"/>
      <c r="FN550" s="335"/>
      <c r="FO550" s="335"/>
      <c r="FP550" s="335"/>
      <c r="FQ550" s="335"/>
      <c r="FR550" s="335"/>
      <c r="FS550" s="335"/>
      <c r="FT550" s="335"/>
      <c r="FU550" s="335"/>
      <c r="FV550" s="335"/>
      <c r="FW550" s="335"/>
      <c r="FX550" s="335"/>
      <c r="FY550" s="335"/>
      <c r="FZ550" s="335"/>
      <c r="GA550" s="335"/>
      <c r="GB550" s="335"/>
      <c r="GC550" s="335"/>
      <c r="GD550" s="335"/>
      <c r="GE550" s="335"/>
      <c r="GF550" s="335"/>
      <c r="GG550" s="335"/>
      <c r="GH550" s="335"/>
      <c r="GI550" s="335"/>
      <c r="GJ550" s="335"/>
      <c r="GK550" s="335"/>
      <c r="GL550" s="335"/>
      <c r="GM550" s="335"/>
      <c r="GN550" s="335"/>
      <c r="GO550" s="335"/>
      <c r="GP550" s="335"/>
      <c r="GQ550" s="335"/>
      <c r="GR550" s="335"/>
      <c r="GS550" s="335"/>
      <c r="GT550" s="335"/>
      <c r="GU550" s="335"/>
      <c r="GV550" s="335"/>
      <c r="GW550" s="335"/>
      <c r="GX550" s="335"/>
      <c r="GY550" s="335"/>
      <c r="GZ550" s="335"/>
    </row>
    <row r="551" spans="1:208" ht="15">
      <c r="A551" s="379"/>
      <c r="B551" s="335"/>
      <c r="C551" s="335"/>
      <c r="D551" s="335"/>
      <c r="E551" s="335"/>
      <c r="F551" s="335"/>
      <c r="G551" s="335"/>
      <c r="H551" s="335"/>
      <c r="I551" s="335"/>
      <c r="J551" s="335"/>
      <c r="K551" s="335"/>
      <c r="L551" s="335"/>
      <c r="M551" s="376"/>
      <c r="N551" s="335"/>
      <c r="O551" s="380"/>
      <c r="P551" s="335"/>
      <c r="Q551" s="335"/>
      <c r="R551" s="335"/>
      <c r="S551" s="335"/>
      <c r="T551" s="335"/>
      <c r="U551" s="335"/>
      <c r="V551" s="335"/>
      <c r="W551" s="335"/>
      <c r="X551" s="335"/>
      <c r="Y551" s="335"/>
      <c r="Z551" s="335"/>
      <c r="AA551" s="335"/>
      <c r="AB551" s="335"/>
      <c r="AC551" s="335"/>
      <c r="AD551" s="335"/>
      <c r="AE551" s="335"/>
      <c r="AF551" s="335"/>
      <c r="AG551" s="335"/>
      <c r="AH551" s="335"/>
      <c r="AI551" s="335"/>
      <c r="AJ551" s="335"/>
      <c r="AK551" s="335"/>
      <c r="AL551" s="335"/>
      <c r="AM551" s="335"/>
      <c r="AN551" s="335"/>
      <c r="AO551" s="335"/>
      <c r="AP551" s="335"/>
      <c r="AQ551" s="335"/>
      <c r="AR551" s="335"/>
      <c r="AS551" s="335"/>
      <c r="AT551" s="335"/>
      <c r="AU551" s="335"/>
      <c r="AV551" s="335"/>
      <c r="AW551" s="335"/>
      <c r="AX551" s="335"/>
      <c r="AY551" s="335"/>
      <c r="AZ551" s="335"/>
      <c r="BA551" s="335"/>
      <c r="BB551" s="335"/>
      <c r="BC551" s="335"/>
      <c r="BD551" s="335"/>
      <c r="BE551" s="335"/>
      <c r="BF551" s="335"/>
      <c r="BG551" s="335"/>
      <c r="BH551" s="335"/>
      <c r="BI551" s="335"/>
      <c r="BJ551" s="335"/>
      <c r="BK551" s="335"/>
      <c r="BL551" s="335"/>
      <c r="BM551" s="335"/>
      <c r="BN551" s="335"/>
      <c r="BO551" s="335"/>
      <c r="BP551" s="335"/>
      <c r="BQ551" s="335"/>
      <c r="BR551" s="335"/>
      <c r="BS551" s="335"/>
      <c r="BT551" s="335"/>
      <c r="BU551" s="335"/>
      <c r="BV551" s="335"/>
      <c r="BW551" s="335"/>
      <c r="BX551" s="335"/>
      <c r="BY551" s="335"/>
      <c r="BZ551" s="335"/>
      <c r="CA551" s="335"/>
      <c r="CB551" s="335"/>
      <c r="CC551" s="335"/>
      <c r="CD551" s="335"/>
      <c r="CE551" s="335"/>
      <c r="CF551" s="335"/>
      <c r="CG551" s="335"/>
      <c r="CH551" s="335"/>
      <c r="CI551" s="335"/>
      <c r="CJ551" s="335"/>
      <c r="CK551" s="335"/>
      <c r="CL551" s="335"/>
      <c r="CM551" s="335"/>
      <c r="CN551" s="335"/>
      <c r="CO551" s="335"/>
      <c r="CP551" s="335"/>
      <c r="CQ551" s="335"/>
      <c r="CR551" s="335"/>
      <c r="CS551" s="335"/>
      <c r="CT551" s="335"/>
      <c r="CU551" s="335"/>
      <c r="CV551" s="335"/>
      <c r="CW551" s="335"/>
      <c r="CX551" s="335"/>
      <c r="CY551" s="335"/>
      <c r="CZ551" s="335"/>
      <c r="DA551" s="335"/>
      <c r="DB551" s="335"/>
      <c r="DC551" s="335"/>
      <c r="DD551" s="335"/>
      <c r="DE551" s="335"/>
      <c r="DF551" s="335"/>
      <c r="DG551" s="335"/>
      <c r="DH551" s="335"/>
      <c r="DI551" s="335"/>
      <c r="DJ551" s="335"/>
      <c r="DK551" s="335"/>
      <c r="DL551" s="335"/>
      <c r="DM551" s="335"/>
      <c r="DN551" s="335"/>
      <c r="DO551" s="335"/>
      <c r="DP551" s="335"/>
      <c r="DQ551" s="335"/>
      <c r="DR551" s="335"/>
      <c r="DS551" s="335"/>
      <c r="DT551" s="335"/>
      <c r="DU551" s="335"/>
      <c r="DV551" s="335"/>
      <c r="DW551" s="335"/>
      <c r="DX551" s="335"/>
      <c r="DY551" s="335"/>
      <c r="DZ551" s="335"/>
      <c r="EA551" s="335"/>
      <c r="EB551" s="335"/>
      <c r="EC551" s="335"/>
      <c r="ED551" s="335"/>
      <c r="EE551" s="335"/>
      <c r="EF551" s="335"/>
      <c r="EG551" s="335"/>
      <c r="EH551" s="335"/>
      <c r="EI551" s="335"/>
      <c r="EJ551" s="335"/>
      <c r="EK551" s="335"/>
      <c r="EL551" s="335"/>
      <c r="EM551" s="335"/>
      <c r="EN551" s="335"/>
      <c r="EO551" s="335"/>
      <c r="EP551" s="335"/>
      <c r="EQ551" s="335"/>
      <c r="ER551" s="335"/>
      <c r="ES551" s="335"/>
      <c r="ET551" s="335"/>
      <c r="EU551" s="335"/>
      <c r="EV551" s="335"/>
      <c r="EW551" s="335"/>
      <c r="EX551" s="335"/>
      <c r="EY551" s="335"/>
      <c r="EZ551" s="335"/>
      <c r="FA551" s="335"/>
      <c r="FB551" s="335"/>
      <c r="FC551" s="335"/>
      <c r="FD551" s="335"/>
      <c r="FE551" s="335"/>
      <c r="FF551" s="335"/>
      <c r="FG551" s="335"/>
      <c r="FH551" s="335"/>
      <c r="FI551" s="335"/>
      <c r="FJ551" s="335"/>
      <c r="FK551" s="335"/>
      <c r="FL551" s="335"/>
      <c r="FM551" s="335"/>
      <c r="FN551" s="335"/>
      <c r="FO551" s="335"/>
      <c r="FP551" s="335"/>
      <c r="FQ551" s="335"/>
      <c r="FR551" s="335"/>
      <c r="FS551" s="335"/>
      <c r="FT551" s="335"/>
      <c r="FU551" s="335"/>
      <c r="FV551" s="335"/>
      <c r="FW551" s="335"/>
      <c r="FX551" s="335"/>
      <c r="FY551" s="335"/>
      <c r="FZ551" s="335"/>
      <c r="GA551" s="335"/>
      <c r="GB551" s="335"/>
      <c r="GC551" s="335"/>
      <c r="GD551" s="335"/>
      <c r="GE551" s="335"/>
      <c r="GF551" s="335"/>
      <c r="GG551" s="335"/>
      <c r="GH551" s="335"/>
      <c r="GI551" s="335"/>
      <c r="GJ551" s="335"/>
      <c r="GK551" s="335"/>
      <c r="GL551" s="335"/>
      <c r="GM551" s="335"/>
      <c r="GN551" s="335"/>
      <c r="GO551" s="335"/>
      <c r="GP551" s="335"/>
      <c r="GQ551" s="335"/>
      <c r="GR551" s="335"/>
      <c r="GS551" s="335"/>
      <c r="GT551" s="335"/>
      <c r="GU551" s="335"/>
      <c r="GV551" s="335"/>
      <c r="GW551" s="335"/>
      <c r="GX551" s="335"/>
      <c r="GY551" s="335"/>
      <c r="GZ551" s="335"/>
    </row>
    <row r="552" spans="1:208" ht="15">
      <c r="A552" s="379"/>
      <c r="B552" s="335"/>
      <c r="C552" s="335"/>
      <c r="D552" s="335"/>
      <c r="E552" s="335"/>
      <c r="F552" s="335"/>
      <c r="G552" s="335"/>
      <c r="H552" s="335"/>
      <c r="I552" s="335"/>
      <c r="J552" s="335"/>
      <c r="K552" s="335"/>
      <c r="L552" s="335"/>
      <c r="M552" s="376"/>
      <c r="N552" s="335"/>
      <c r="O552" s="380"/>
      <c r="P552" s="335"/>
      <c r="Q552" s="335"/>
      <c r="R552" s="335"/>
      <c r="S552" s="335"/>
      <c r="T552" s="335"/>
      <c r="U552" s="335"/>
      <c r="V552" s="335"/>
      <c r="W552" s="335"/>
      <c r="X552" s="335"/>
      <c r="Y552" s="335"/>
      <c r="Z552" s="335"/>
      <c r="AA552" s="335"/>
      <c r="AB552" s="335"/>
      <c r="AC552" s="335"/>
      <c r="AD552" s="335"/>
      <c r="AE552" s="335"/>
      <c r="AF552" s="335"/>
      <c r="AG552" s="335"/>
      <c r="AH552" s="335"/>
      <c r="AI552" s="335"/>
      <c r="AJ552" s="335"/>
      <c r="AK552" s="335"/>
      <c r="AL552" s="335"/>
      <c r="AM552" s="335"/>
      <c r="AN552" s="335"/>
      <c r="AO552" s="335"/>
      <c r="AP552" s="335"/>
      <c r="AQ552" s="335"/>
      <c r="AR552" s="335"/>
      <c r="AS552" s="335"/>
      <c r="AT552" s="335"/>
      <c r="AU552" s="335"/>
      <c r="AV552" s="335"/>
      <c r="AW552" s="335"/>
      <c r="AX552" s="335"/>
      <c r="AY552" s="335"/>
      <c r="AZ552" s="335"/>
      <c r="BA552" s="335"/>
      <c r="BB552" s="335"/>
      <c r="BC552" s="335"/>
      <c r="BD552" s="335"/>
      <c r="BE552" s="335"/>
      <c r="BF552" s="335"/>
      <c r="BG552" s="335"/>
      <c r="BH552" s="335"/>
      <c r="BI552" s="335"/>
      <c r="BJ552" s="335"/>
      <c r="BK552" s="335"/>
      <c r="BL552" s="335"/>
      <c r="BM552" s="335"/>
      <c r="BN552" s="335"/>
      <c r="BO552" s="335"/>
      <c r="BP552" s="335"/>
      <c r="BQ552" s="335"/>
      <c r="BR552" s="335"/>
      <c r="BS552" s="335"/>
      <c r="BT552" s="335"/>
      <c r="BU552" s="335"/>
      <c r="BV552" s="335"/>
      <c r="BW552" s="335"/>
      <c r="BX552" s="335"/>
      <c r="BY552" s="335"/>
      <c r="BZ552" s="335"/>
      <c r="CA552" s="335"/>
      <c r="CB552" s="335"/>
      <c r="CC552" s="335"/>
      <c r="CD552" s="335"/>
      <c r="CE552" s="335"/>
      <c r="CF552" s="335"/>
      <c r="CG552" s="335"/>
      <c r="CH552" s="335"/>
      <c r="CI552" s="335"/>
      <c r="CJ552" s="335"/>
      <c r="CK552" s="335"/>
      <c r="CL552" s="335"/>
      <c r="CM552" s="335"/>
      <c r="CN552" s="335"/>
      <c r="CO552" s="335"/>
      <c r="CP552" s="335"/>
      <c r="CQ552" s="335"/>
      <c r="CR552" s="335"/>
      <c r="CS552" s="335"/>
      <c r="CT552" s="335"/>
      <c r="CU552" s="335"/>
      <c r="CV552" s="335"/>
      <c r="CW552" s="335"/>
      <c r="CX552" s="335"/>
      <c r="CY552" s="335"/>
      <c r="CZ552" s="335"/>
      <c r="DA552" s="335"/>
      <c r="DB552" s="335"/>
      <c r="DC552" s="335"/>
      <c r="DD552" s="335"/>
      <c r="DE552" s="335"/>
      <c r="DF552" s="335"/>
      <c r="DG552" s="335"/>
      <c r="DH552" s="335"/>
      <c r="DI552" s="335"/>
      <c r="DJ552" s="335"/>
      <c r="DK552" s="335"/>
      <c r="DL552" s="335"/>
      <c r="DM552" s="335"/>
      <c r="DN552" s="335"/>
      <c r="DO552" s="335"/>
      <c r="DP552" s="335"/>
      <c r="DQ552" s="335"/>
      <c r="DR552" s="335"/>
      <c r="DS552" s="335"/>
      <c r="DT552" s="335"/>
      <c r="DU552" s="335"/>
      <c r="DV552" s="335"/>
      <c r="DW552" s="335"/>
      <c r="DX552" s="335"/>
      <c r="DY552" s="335"/>
      <c r="DZ552" s="335"/>
      <c r="EA552" s="335"/>
      <c r="EB552" s="335"/>
      <c r="EC552" s="335"/>
      <c r="ED552" s="335"/>
      <c r="EE552" s="335"/>
      <c r="EF552" s="335"/>
      <c r="EG552" s="335"/>
      <c r="EH552" s="335"/>
      <c r="EI552" s="335"/>
      <c r="EJ552" s="335"/>
      <c r="EK552" s="335"/>
      <c r="EL552" s="335"/>
      <c r="EM552" s="335"/>
      <c r="EN552" s="335"/>
      <c r="EO552" s="335"/>
      <c r="EP552" s="335"/>
      <c r="EQ552" s="335"/>
      <c r="ER552" s="335"/>
      <c r="ES552" s="335"/>
      <c r="ET552" s="335"/>
      <c r="EU552" s="335"/>
      <c r="EV552" s="335"/>
      <c r="EW552" s="335"/>
      <c r="EX552" s="335"/>
      <c r="EY552" s="335"/>
      <c r="EZ552" s="335"/>
      <c r="FA552" s="335"/>
      <c r="FB552" s="335"/>
      <c r="FC552" s="335"/>
      <c r="FD552" s="335"/>
      <c r="FE552" s="335"/>
      <c r="FF552" s="335"/>
      <c r="FG552" s="335"/>
      <c r="FH552" s="335"/>
      <c r="FI552" s="335"/>
      <c r="FJ552" s="335"/>
      <c r="FK552" s="335"/>
      <c r="FL552" s="335"/>
      <c r="FM552" s="335"/>
      <c r="FN552" s="335"/>
      <c r="FO552" s="335"/>
      <c r="FP552" s="335"/>
      <c r="FQ552" s="335"/>
      <c r="FR552" s="335"/>
      <c r="FS552" s="335"/>
      <c r="FT552" s="335"/>
      <c r="FU552" s="335"/>
      <c r="FV552" s="335"/>
      <c r="FW552" s="335"/>
      <c r="FX552" s="335"/>
      <c r="FY552" s="335"/>
      <c r="FZ552" s="335"/>
      <c r="GA552" s="335"/>
      <c r="GB552" s="335"/>
      <c r="GC552" s="335"/>
      <c r="GD552" s="335"/>
      <c r="GE552" s="335"/>
      <c r="GF552" s="335"/>
      <c r="GG552" s="335"/>
      <c r="GH552" s="335"/>
      <c r="GI552" s="335"/>
      <c r="GJ552" s="335"/>
      <c r="GK552" s="335"/>
      <c r="GL552" s="335"/>
      <c r="GM552" s="335"/>
      <c r="GN552" s="335"/>
      <c r="GO552" s="335"/>
      <c r="GP552" s="335"/>
      <c r="GQ552" s="335"/>
      <c r="GR552" s="335"/>
      <c r="GS552" s="335"/>
      <c r="GT552" s="335"/>
      <c r="GU552" s="335"/>
      <c r="GV552" s="335"/>
      <c r="GW552" s="335"/>
      <c r="GX552" s="335"/>
      <c r="GY552" s="335"/>
      <c r="GZ552" s="335"/>
    </row>
    <row r="553" spans="1:208" ht="15">
      <c r="A553" s="379"/>
      <c r="B553" s="335"/>
      <c r="C553" s="335"/>
      <c r="D553" s="335"/>
      <c r="E553" s="335"/>
      <c r="F553" s="335"/>
      <c r="G553" s="335"/>
      <c r="H553" s="335"/>
      <c r="I553" s="335"/>
      <c r="J553" s="335"/>
      <c r="K553" s="335"/>
      <c r="L553" s="335"/>
      <c r="M553" s="376"/>
      <c r="N553" s="335"/>
      <c r="O553" s="380"/>
      <c r="P553" s="335"/>
      <c r="Q553" s="335"/>
      <c r="R553" s="335"/>
      <c r="S553" s="335"/>
      <c r="T553" s="335"/>
      <c r="U553" s="335"/>
      <c r="V553" s="335"/>
      <c r="W553" s="335"/>
      <c r="X553" s="335"/>
      <c r="Y553" s="335"/>
      <c r="Z553" s="335"/>
      <c r="AA553" s="335"/>
      <c r="AB553" s="335"/>
      <c r="AC553" s="335"/>
      <c r="AD553" s="335"/>
      <c r="AE553" s="335"/>
      <c r="AF553" s="335"/>
      <c r="AG553" s="335"/>
      <c r="AH553" s="335"/>
      <c r="AI553" s="335"/>
      <c r="AJ553" s="335"/>
      <c r="AK553" s="335"/>
      <c r="AL553" s="335"/>
      <c r="AM553" s="335"/>
      <c r="AN553" s="335"/>
      <c r="AO553" s="335"/>
      <c r="AP553" s="335"/>
      <c r="AQ553" s="335"/>
      <c r="AR553" s="335"/>
      <c r="AS553" s="335"/>
      <c r="AT553" s="335"/>
      <c r="AU553" s="335"/>
      <c r="AV553" s="335"/>
      <c r="AW553" s="335"/>
      <c r="AX553" s="335"/>
      <c r="AY553" s="335"/>
      <c r="AZ553" s="335"/>
      <c r="BA553" s="335"/>
      <c r="BB553" s="335"/>
      <c r="BC553" s="335"/>
      <c r="BD553" s="335"/>
      <c r="BE553" s="335"/>
      <c r="BF553" s="335"/>
      <c r="BG553" s="335"/>
      <c r="BH553" s="335"/>
      <c r="BI553" s="335"/>
      <c r="BJ553" s="335"/>
      <c r="BK553" s="335"/>
      <c r="BL553" s="335"/>
      <c r="BM553" s="335"/>
      <c r="BN553" s="335"/>
      <c r="BO553" s="335"/>
      <c r="BP553" s="335"/>
      <c r="BQ553" s="335"/>
      <c r="BR553" s="335"/>
      <c r="BS553" s="335"/>
      <c r="BT553" s="335"/>
      <c r="BU553" s="335"/>
      <c r="BV553" s="335"/>
      <c r="BW553" s="335"/>
      <c r="BX553" s="335"/>
      <c r="BY553" s="335"/>
      <c r="BZ553" s="335"/>
      <c r="CA553" s="335"/>
      <c r="CB553" s="335"/>
      <c r="CC553" s="335"/>
      <c r="CD553" s="335"/>
      <c r="CE553" s="335"/>
      <c r="CF553" s="335"/>
      <c r="CG553" s="335"/>
      <c r="CH553" s="335"/>
      <c r="CI553" s="335"/>
      <c r="CJ553" s="335"/>
      <c r="CK553" s="335"/>
      <c r="CL553" s="335"/>
      <c r="CM553" s="335"/>
      <c r="CN553" s="335"/>
      <c r="CO553" s="335"/>
      <c r="CP553" s="335"/>
      <c r="CQ553" s="335"/>
      <c r="CR553" s="335"/>
      <c r="CS553" s="335"/>
      <c r="CT553" s="335"/>
      <c r="CU553" s="335"/>
      <c r="CV553" s="335"/>
      <c r="CW553" s="335"/>
      <c r="CX553" s="335"/>
      <c r="CY553" s="335"/>
      <c r="CZ553" s="335"/>
      <c r="DA553" s="335"/>
      <c r="DB553" s="335"/>
      <c r="DC553" s="335"/>
      <c r="DD553" s="335"/>
      <c r="DE553" s="335"/>
      <c r="DF553" s="335"/>
      <c r="DG553" s="335"/>
      <c r="DH553" s="335"/>
      <c r="DI553" s="335"/>
      <c r="DJ553" s="335"/>
      <c r="DK553" s="335"/>
      <c r="DL553" s="335"/>
      <c r="DM553" s="335"/>
      <c r="DN553" s="335"/>
      <c r="DO553" s="335"/>
      <c r="DP553" s="335"/>
      <c r="DQ553" s="335"/>
      <c r="DR553" s="335"/>
      <c r="DS553" s="335"/>
      <c r="DT553" s="335"/>
      <c r="DU553" s="335"/>
      <c r="DV553" s="335"/>
      <c r="DW553" s="335"/>
      <c r="DX553" s="335"/>
      <c r="DY553" s="335"/>
      <c r="DZ553" s="335"/>
      <c r="EA553" s="335"/>
      <c r="EB553" s="335"/>
      <c r="EC553" s="335"/>
      <c r="ED553" s="335"/>
      <c r="EE553" s="335"/>
      <c r="EF553" s="335"/>
      <c r="EG553" s="335"/>
      <c r="EH553" s="335"/>
      <c r="EI553" s="335"/>
      <c r="EJ553" s="335"/>
      <c r="EK553" s="335"/>
      <c r="EL553" s="335"/>
      <c r="EM553" s="335"/>
      <c r="EN553" s="335"/>
      <c r="EO553" s="335"/>
      <c r="EP553" s="335"/>
      <c r="EQ553" s="335"/>
      <c r="ER553" s="335"/>
      <c r="ES553" s="335"/>
      <c r="ET553" s="335"/>
      <c r="EU553" s="335"/>
      <c r="EV553" s="335"/>
      <c r="EW553" s="335"/>
      <c r="EX553" s="335"/>
      <c r="EY553" s="335"/>
      <c r="EZ553" s="335"/>
      <c r="FA553" s="335"/>
      <c r="FB553" s="335"/>
      <c r="FC553" s="335"/>
      <c r="FD553" s="335"/>
      <c r="FE553" s="335"/>
      <c r="FF553" s="335"/>
      <c r="FG553" s="335"/>
      <c r="FH553" s="335"/>
      <c r="FI553" s="335"/>
      <c r="FJ553" s="335"/>
      <c r="FK553" s="335"/>
      <c r="FL553" s="335"/>
      <c r="FM553" s="335"/>
      <c r="FN553" s="335"/>
      <c r="FO553" s="335"/>
      <c r="FP553" s="335"/>
      <c r="FQ553" s="335"/>
      <c r="FR553" s="335"/>
      <c r="FS553" s="335"/>
      <c r="FT553" s="335"/>
      <c r="FU553" s="335"/>
      <c r="FV553" s="335"/>
      <c r="FW553" s="335"/>
      <c r="FX553" s="335"/>
      <c r="FY553" s="335"/>
      <c r="FZ553" s="335"/>
      <c r="GA553" s="335"/>
      <c r="GB553" s="335"/>
      <c r="GC553" s="335"/>
      <c r="GD553" s="335"/>
      <c r="GE553" s="335"/>
      <c r="GF553" s="335"/>
      <c r="GG553" s="335"/>
      <c r="GH553" s="335"/>
      <c r="GI553" s="335"/>
      <c r="GJ553" s="335"/>
      <c r="GK553" s="335"/>
      <c r="GL553" s="335"/>
      <c r="GM553" s="335"/>
      <c r="GN553" s="335"/>
      <c r="GO553" s="335"/>
      <c r="GP553" s="335"/>
      <c r="GQ553" s="335"/>
      <c r="GR553" s="335"/>
      <c r="GS553" s="335"/>
      <c r="GT553" s="335"/>
      <c r="GU553" s="335"/>
      <c r="GV553" s="335"/>
      <c r="GW553" s="335"/>
      <c r="GX553" s="335"/>
      <c r="GY553" s="335"/>
      <c r="GZ553" s="335"/>
    </row>
    <row r="554" spans="1:208" ht="15">
      <c r="A554" s="379"/>
      <c r="B554" s="335"/>
      <c r="C554" s="335"/>
      <c r="D554" s="335"/>
      <c r="E554" s="335"/>
      <c r="F554" s="335"/>
      <c r="G554" s="335"/>
      <c r="H554" s="335"/>
      <c r="I554" s="335"/>
      <c r="J554" s="335"/>
      <c r="K554" s="335"/>
      <c r="L554" s="335"/>
      <c r="M554" s="376"/>
      <c r="N554" s="335"/>
      <c r="O554" s="380"/>
      <c r="P554" s="335"/>
      <c r="Q554" s="335"/>
      <c r="R554" s="335"/>
      <c r="S554" s="335"/>
      <c r="T554" s="335"/>
      <c r="U554" s="335"/>
      <c r="V554" s="335"/>
      <c r="W554" s="335"/>
      <c r="X554" s="335"/>
      <c r="Y554" s="335"/>
      <c r="Z554" s="335"/>
      <c r="AA554" s="335"/>
      <c r="AB554" s="335"/>
      <c r="AC554" s="335"/>
      <c r="AD554" s="335"/>
      <c r="AE554" s="335"/>
      <c r="AF554" s="335"/>
      <c r="AG554" s="335"/>
      <c r="AH554" s="335"/>
      <c r="AI554" s="335"/>
      <c r="AJ554" s="335"/>
      <c r="AK554" s="335"/>
      <c r="AL554" s="335"/>
      <c r="AM554" s="335"/>
      <c r="AN554" s="335"/>
      <c r="AO554" s="335"/>
      <c r="AP554" s="335"/>
      <c r="AQ554" s="335"/>
      <c r="AR554" s="335"/>
      <c r="AS554" s="335"/>
      <c r="AT554" s="335"/>
      <c r="AU554" s="335"/>
      <c r="AV554" s="335"/>
      <c r="AW554" s="335"/>
      <c r="AX554" s="335"/>
      <c r="AY554" s="335"/>
      <c r="AZ554" s="335"/>
      <c r="BA554" s="335"/>
      <c r="BB554" s="335"/>
      <c r="BC554" s="335"/>
      <c r="BD554" s="335"/>
      <c r="BE554" s="335"/>
      <c r="BF554" s="335"/>
      <c r="BG554" s="335"/>
      <c r="BH554" s="335"/>
      <c r="BI554" s="335"/>
      <c r="BJ554" s="335"/>
      <c r="BK554" s="335"/>
      <c r="BL554" s="335"/>
      <c r="BM554" s="335"/>
      <c r="BN554" s="335"/>
      <c r="BO554" s="335"/>
      <c r="BP554" s="335"/>
      <c r="BQ554" s="335"/>
      <c r="BR554" s="335"/>
      <c r="BS554" s="335"/>
      <c r="BT554" s="335"/>
      <c r="BU554" s="335"/>
      <c r="BV554" s="335"/>
      <c r="BW554" s="335"/>
      <c r="BX554" s="335"/>
      <c r="BY554" s="335"/>
      <c r="BZ554" s="335"/>
      <c r="CA554" s="335"/>
      <c r="CB554" s="335"/>
      <c r="CC554" s="335"/>
      <c r="CD554" s="335"/>
      <c r="CE554" s="335"/>
      <c r="CF554" s="335"/>
      <c r="CG554" s="335"/>
      <c r="CH554" s="335"/>
      <c r="CI554" s="335"/>
      <c r="CJ554" s="335"/>
      <c r="CK554" s="335"/>
      <c r="CL554" s="335"/>
      <c r="CM554" s="335"/>
      <c r="CN554" s="335"/>
      <c r="CO554" s="335"/>
      <c r="CP554" s="335"/>
      <c r="CQ554" s="335"/>
      <c r="CR554" s="335"/>
      <c r="CS554" s="335"/>
      <c r="CT554" s="335"/>
      <c r="CU554" s="335"/>
      <c r="CV554" s="335"/>
      <c r="CW554" s="335"/>
      <c r="CX554" s="335"/>
      <c r="CY554" s="335"/>
      <c r="CZ554" s="335"/>
      <c r="DA554" s="335"/>
      <c r="DB554" s="335"/>
      <c r="DC554" s="335"/>
      <c r="DD554" s="335"/>
      <c r="DE554" s="335"/>
      <c r="DF554" s="335"/>
      <c r="DG554" s="335"/>
      <c r="DH554" s="335"/>
      <c r="DI554" s="335"/>
      <c r="DJ554" s="335"/>
      <c r="DK554" s="335"/>
      <c r="DL554" s="335"/>
      <c r="DM554" s="335"/>
      <c r="DN554" s="335"/>
      <c r="DO554" s="335"/>
      <c r="DP554" s="335"/>
      <c r="DQ554" s="335"/>
      <c r="DR554" s="335"/>
      <c r="DS554" s="335"/>
      <c r="DT554" s="335"/>
      <c r="DU554" s="335"/>
      <c r="DV554" s="335"/>
      <c r="DW554" s="335"/>
      <c r="DX554" s="335"/>
      <c r="DY554" s="335"/>
      <c r="DZ554" s="335"/>
      <c r="EA554" s="335"/>
      <c r="EB554" s="335"/>
      <c r="EC554" s="335"/>
      <c r="ED554" s="335"/>
      <c r="EE554" s="335"/>
      <c r="EF554" s="335"/>
      <c r="EG554" s="335"/>
      <c r="EH554" s="335"/>
      <c r="EI554" s="335"/>
      <c r="EJ554" s="335"/>
      <c r="EK554" s="335"/>
      <c r="EL554" s="335"/>
      <c r="EM554" s="335"/>
      <c r="EN554" s="335"/>
      <c r="EO554" s="335"/>
      <c r="EP554" s="335"/>
      <c r="EQ554" s="335"/>
      <c r="ER554" s="335"/>
      <c r="ES554" s="335"/>
      <c r="ET554" s="335"/>
      <c r="EU554" s="335"/>
      <c r="EV554" s="335"/>
      <c r="EW554" s="335"/>
      <c r="EX554" s="335"/>
      <c r="EY554" s="335"/>
      <c r="EZ554" s="335"/>
      <c r="FA554" s="335"/>
      <c r="FB554" s="335"/>
      <c r="FC554" s="335"/>
      <c r="FD554" s="335"/>
      <c r="FE554" s="335"/>
      <c r="FF554" s="335"/>
      <c r="FG554" s="335"/>
      <c r="FH554" s="335"/>
      <c r="FI554" s="335"/>
      <c r="FJ554" s="335"/>
      <c r="FK554" s="335"/>
      <c r="FL554" s="335"/>
      <c r="FM554" s="335"/>
      <c r="FN554" s="335"/>
      <c r="FO554" s="335"/>
      <c r="FP554" s="335"/>
      <c r="FQ554" s="335"/>
      <c r="FR554" s="335"/>
      <c r="FS554" s="335"/>
      <c r="FT554" s="335"/>
      <c r="FU554" s="335"/>
      <c r="FV554" s="335"/>
      <c r="FW554" s="335"/>
      <c r="FX554" s="335"/>
      <c r="FY554" s="335"/>
      <c r="FZ554" s="335"/>
      <c r="GA554" s="335"/>
      <c r="GB554" s="335"/>
      <c r="GC554" s="335"/>
      <c r="GD554" s="335"/>
      <c r="GE554" s="335"/>
      <c r="GF554" s="335"/>
      <c r="GG554" s="335"/>
      <c r="GH554" s="335"/>
      <c r="GI554" s="335"/>
      <c r="GJ554" s="335"/>
      <c r="GK554" s="335"/>
      <c r="GL554" s="335"/>
      <c r="GM554" s="335"/>
      <c r="GN554" s="335"/>
      <c r="GO554" s="335"/>
      <c r="GP554" s="335"/>
      <c r="GQ554" s="335"/>
      <c r="GR554" s="335"/>
      <c r="GS554" s="335"/>
      <c r="GT554" s="335"/>
      <c r="GU554" s="335"/>
      <c r="GV554" s="335"/>
      <c r="GW554" s="335"/>
      <c r="GX554" s="335"/>
      <c r="GY554" s="335"/>
      <c r="GZ554" s="335"/>
    </row>
    <row r="555" spans="1:208" ht="15">
      <c r="A555" s="379"/>
      <c r="B555" s="335"/>
      <c r="C555" s="335"/>
      <c r="D555" s="335"/>
      <c r="E555" s="335"/>
      <c r="F555" s="335"/>
      <c r="G555" s="335"/>
      <c r="H555" s="335"/>
      <c r="I555" s="335"/>
      <c r="J555" s="335"/>
      <c r="K555" s="335"/>
      <c r="L555" s="335"/>
      <c r="M555" s="376"/>
      <c r="N555" s="335"/>
      <c r="O555" s="380"/>
      <c r="P555" s="335"/>
      <c r="Q555" s="335"/>
      <c r="R555" s="335"/>
      <c r="S555" s="335"/>
      <c r="T555" s="335"/>
      <c r="U555" s="335"/>
      <c r="V555" s="335"/>
      <c r="W555" s="335"/>
      <c r="X555" s="335"/>
      <c r="Y555" s="335"/>
      <c r="Z555" s="335"/>
      <c r="AA555" s="335"/>
      <c r="AB555" s="335"/>
      <c r="AC555" s="335"/>
      <c r="AD555" s="335"/>
      <c r="AE555" s="335"/>
      <c r="AF555" s="335"/>
      <c r="AG555" s="335"/>
      <c r="AH555" s="335"/>
      <c r="AI555" s="335"/>
      <c r="AJ555" s="335"/>
      <c r="AK555" s="335"/>
      <c r="AL555" s="335"/>
      <c r="AM555" s="335"/>
      <c r="AN555" s="335"/>
      <c r="AO555" s="335"/>
      <c r="AP555" s="335"/>
      <c r="AQ555" s="335"/>
      <c r="AR555" s="335"/>
      <c r="AS555" s="335"/>
      <c r="AT555" s="335"/>
      <c r="AU555" s="335"/>
      <c r="AV555" s="335"/>
      <c r="AW555" s="335"/>
      <c r="AX555" s="335"/>
      <c r="AY555" s="335"/>
      <c r="AZ555" s="335"/>
      <c r="BA555" s="335"/>
      <c r="BB555" s="335"/>
      <c r="BC555" s="335"/>
      <c r="BD555" s="335"/>
      <c r="BE555" s="335"/>
      <c r="BF555" s="335"/>
      <c r="BG555" s="335"/>
      <c r="BH555" s="335"/>
      <c r="BI555" s="335"/>
      <c r="BJ555" s="335"/>
      <c r="BK555" s="335"/>
      <c r="BL555" s="335"/>
      <c r="BM555" s="335"/>
      <c r="BN555" s="335"/>
      <c r="BO555" s="335"/>
      <c r="BP555" s="335"/>
      <c r="BQ555" s="335"/>
      <c r="BR555" s="335"/>
      <c r="BS555" s="335"/>
      <c r="BT555" s="335"/>
      <c r="BU555" s="335"/>
      <c r="BV555" s="335"/>
      <c r="BW555" s="335"/>
      <c r="BX555" s="335"/>
      <c r="BY555" s="335"/>
      <c r="BZ555" s="335"/>
      <c r="CA555" s="335"/>
      <c r="CB555" s="335"/>
      <c r="CC555" s="335"/>
      <c r="CD555" s="335"/>
      <c r="CE555" s="335"/>
      <c r="CF555" s="335"/>
      <c r="CG555" s="335"/>
      <c r="CH555" s="335"/>
      <c r="CI555" s="335"/>
      <c r="CJ555" s="335"/>
      <c r="CK555" s="335"/>
      <c r="CL555" s="335"/>
      <c r="CM555" s="335"/>
      <c r="CN555" s="335"/>
      <c r="CO555" s="335"/>
      <c r="CP555" s="335"/>
      <c r="CQ555" s="335"/>
      <c r="CR555" s="335"/>
      <c r="CS555" s="335"/>
      <c r="CT555" s="335"/>
      <c r="CU555" s="335"/>
      <c r="CV555" s="335"/>
      <c r="CW555" s="335"/>
      <c r="CX555" s="335"/>
      <c r="CY555" s="335"/>
      <c r="CZ555" s="335"/>
      <c r="DA555" s="335"/>
      <c r="DB555" s="335"/>
      <c r="DC555" s="335"/>
      <c r="DD555" s="335"/>
      <c r="DE555" s="335"/>
      <c r="DF555" s="335"/>
      <c r="DG555" s="335"/>
      <c r="DH555" s="335"/>
      <c r="DI555" s="335"/>
      <c r="DJ555" s="335"/>
      <c r="DK555" s="335"/>
      <c r="DL555" s="335"/>
      <c r="DM555" s="335"/>
      <c r="DN555" s="335"/>
      <c r="DO555" s="335"/>
      <c r="DP555" s="335"/>
      <c r="DQ555" s="335"/>
      <c r="DR555" s="335"/>
      <c r="DS555" s="335"/>
      <c r="DT555" s="335"/>
      <c r="DU555" s="335"/>
      <c r="DV555" s="335"/>
      <c r="DW555" s="335"/>
      <c r="DX555" s="335"/>
      <c r="DY555" s="335"/>
      <c r="DZ555" s="335"/>
      <c r="EA555" s="335"/>
      <c r="EB555" s="335"/>
      <c r="EC555" s="335"/>
      <c r="ED555" s="335"/>
      <c r="EE555" s="335"/>
      <c r="EF555" s="335"/>
      <c r="EG555" s="335"/>
      <c r="EH555" s="335"/>
      <c r="EI555" s="335"/>
      <c r="EJ555" s="335"/>
      <c r="EK555" s="335"/>
      <c r="EL555" s="335"/>
      <c r="EM555" s="335"/>
      <c r="EN555" s="335"/>
      <c r="EO555" s="335"/>
      <c r="EP555" s="335"/>
      <c r="EQ555" s="335"/>
      <c r="ER555" s="335"/>
      <c r="ES555" s="335"/>
      <c r="ET555" s="335"/>
      <c r="EU555" s="335"/>
      <c r="EV555" s="335"/>
      <c r="EW555" s="335"/>
      <c r="EX555" s="335"/>
      <c r="EY555" s="335"/>
      <c r="EZ555" s="335"/>
      <c r="FA555" s="335"/>
      <c r="FB555" s="335"/>
      <c r="FC555" s="335"/>
      <c r="FD555" s="335"/>
      <c r="FE555" s="335"/>
      <c r="FF555" s="335"/>
      <c r="FG555" s="335"/>
      <c r="FH555" s="335"/>
      <c r="FI555" s="335"/>
      <c r="FJ555" s="335"/>
      <c r="FK555" s="335"/>
      <c r="FL555" s="335"/>
      <c r="FM555" s="335"/>
      <c r="FN555" s="335"/>
      <c r="FO555" s="335"/>
      <c r="FP555" s="335"/>
      <c r="FQ555" s="335"/>
      <c r="FR555" s="335"/>
      <c r="FS555" s="335"/>
      <c r="FT555" s="335"/>
      <c r="FU555" s="335"/>
      <c r="FV555" s="335"/>
      <c r="FW555" s="335"/>
      <c r="FX555" s="335"/>
      <c r="FY555" s="335"/>
      <c r="FZ555" s="335"/>
      <c r="GA555" s="335"/>
      <c r="GB555" s="335"/>
      <c r="GC555" s="335"/>
      <c r="GD555" s="335"/>
      <c r="GE555" s="335"/>
      <c r="GF555" s="335"/>
      <c r="GG555" s="335"/>
      <c r="GH555" s="335"/>
      <c r="GI555" s="335"/>
      <c r="GJ555" s="335"/>
      <c r="GK555" s="335"/>
      <c r="GL555" s="335"/>
      <c r="GM555" s="335"/>
      <c r="GN555" s="335"/>
      <c r="GO555" s="335"/>
      <c r="GP555" s="335"/>
      <c r="GQ555" s="335"/>
      <c r="GR555" s="335"/>
      <c r="GS555" s="335"/>
      <c r="GT555" s="335"/>
      <c r="GU555" s="335"/>
      <c r="GV555" s="335"/>
      <c r="GW555" s="335"/>
      <c r="GX555" s="335"/>
      <c r="GY555" s="335"/>
      <c r="GZ555" s="335"/>
    </row>
    <row r="556" spans="1:208" ht="15">
      <c r="A556" s="379"/>
      <c r="B556" s="335"/>
      <c r="C556" s="335"/>
      <c r="D556" s="335"/>
      <c r="E556" s="335"/>
      <c r="F556" s="335"/>
      <c r="G556" s="335"/>
      <c r="H556" s="335"/>
      <c r="I556" s="335"/>
      <c r="J556" s="335"/>
      <c r="K556" s="335"/>
      <c r="L556" s="335"/>
      <c r="M556" s="376"/>
      <c r="N556" s="335"/>
      <c r="O556" s="380"/>
      <c r="P556" s="335"/>
      <c r="Q556" s="335"/>
      <c r="R556" s="335"/>
      <c r="S556" s="335"/>
      <c r="T556" s="335"/>
      <c r="U556" s="335"/>
      <c r="V556" s="335"/>
      <c r="W556" s="335"/>
      <c r="X556" s="335"/>
      <c r="Y556" s="335"/>
      <c r="Z556" s="335"/>
      <c r="AA556" s="335"/>
      <c r="AB556" s="335"/>
      <c r="AC556" s="335"/>
      <c r="AD556" s="335"/>
      <c r="AE556" s="335"/>
      <c r="AF556" s="335"/>
      <c r="AG556" s="335"/>
      <c r="AH556" s="335"/>
      <c r="AI556" s="335"/>
      <c r="AJ556" s="335"/>
      <c r="AK556" s="335"/>
      <c r="AL556" s="335"/>
      <c r="AM556" s="335"/>
      <c r="AN556" s="335"/>
      <c r="AO556" s="335"/>
      <c r="AP556" s="335"/>
      <c r="AQ556" s="335"/>
      <c r="AR556" s="335"/>
      <c r="AS556" s="335"/>
      <c r="AT556" s="335"/>
      <c r="AU556" s="335"/>
      <c r="AV556" s="335"/>
      <c r="AW556" s="335"/>
      <c r="AX556" s="335"/>
      <c r="AY556" s="335"/>
      <c r="AZ556" s="335"/>
      <c r="BA556" s="335"/>
      <c r="BB556" s="335"/>
      <c r="BC556" s="335"/>
      <c r="BD556" s="335"/>
      <c r="BE556" s="335"/>
      <c r="BF556" s="335"/>
      <c r="BG556" s="335"/>
      <c r="BH556" s="335"/>
      <c r="BI556" s="335"/>
      <c r="BJ556" s="335"/>
      <c r="BK556" s="335"/>
      <c r="BL556" s="335"/>
      <c r="BM556" s="335"/>
      <c r="BN556" s="335"/>
      <c r="BO556" s="335"/>
      <c r="BP556" s="335"/>
      <c r="BQ556" s="335"/>
      <c r="BR556" s="335"/>
      <c r="BS556" s="335"/>
      <c r="BT556" s="335"/>
      <c r="BU556" s="335"/>
      <c r="BV556" s="335"/>
      <c r="BW556" s="335"/>
      <c r="BX556" s="335"/>
      <c r="BY556" s="335"/>
      <c r="BZ556" s="335"/>
      <c r="CA556" s="335"/>
      <c r="CB556" s="335"/>
      <c r="CC556" s="335"/>
      <c r="CD556" s="335"/>
      <c r="CE556" s="335"/>
      <c r="CF556" s="335"/>
      <c r="CG556" s="335"/>
      <c r="CH556" s="335"/>
      <c r="CI556" s="335"/>
      <c r="CJ556" s="335"/>
      <c r="CK556" s="335"/>
      <c r="CL556" s="335"/>
      <c r="CM556" s="335"/>
      <c r="CN556" s="335"/>
      <c r="CO556" s="335"/>
      <c r="CP556" s="335"/>
      <c r="CQ556" s="335"/>
      <c r="CR556" s="335"/>
      <c r="CS556" s="335"/>
      <c r="CT556" s="335"/>
      <c r="CU556" s="335"/>
      <c r="CV556" s="335"/>
      <c r="CW556" s="335"/>
      <c r="CX556" s="335"/>
      <c r="CY556" s="335"/>
      <c r="CZ556" s="335"/>
      <c r="DA556" s="335"/>
      <c r="DB556" s="335"/>
      <c r="DC556" s="335"/>
      <c r="DD556" s="335"/>
      <c r="DE556" s="335"/>
      <c r="DF556" s="335"/>
      <c r="DG556" s="335"/>
      <c r="DH556" s="335"/>
      <c r="DI556" s="335"/>
      <c r="DJ556" s="335"/>
      <c r="DK556" s="335"/>
      <c r="DL556" s="335"/>
      <c r="DM556" s="335"/>
      <c r="DN556" s="335"/>
      <c r="DO556" s="335"/>
      <c r="DP556" s="335"/>
      <c r="DQ556" s="335"/>
      <c r="DR556" s="335"/>
      <c r="DS556" s="335"/>
      <c r="DT556" s="335"/>
      <c r="DU556" s="335"/>
      <c r="DV556" s="335"/>
      <c r="DW556" s="335"/>
      <c r="DX556" s="335"/>
      <c r="DY556" s="335"/>
      <c r="DZ556" s="335"/>
      <c r="EA556" s="335"/>
      <c r="EB556" s="335"/>
      <c r="EC556" s="335"/>
      <c r="ED556" s="335"/>
      <c r="EE556" s="335"/>
      <c r="EF556" s="335"/>
      <c r="EG556" s="335"/>
      <c r="EH556" s="335"/>
      <c r="EI556" s="335"/>
      <c r="EJ556" s="335"/>
      <c r="EK556" s="335"/>
      <c r="EL556" s="335"/>
      <c r="EM556" s="335"/>
      <c r="EN556" s="335"/>
      <c r="EO556" s="335"/>
      <c r="EP556" s="335"/>
      <c r="EQ556" s="335"/>
      <c r="ER556" s="335"/>
      <c r="ES556" s="335"/>
      <c r="ET556" s="335"/>
      <c r="EU556" s="335"/>
      <c r="EV556" s="335"/>
      <c r="EW556" s="335"/>
      <c r="EX556" s="335"/>
      <c r="EY556" s="335"/>
      <c r="EZ556" s="335"/>
      <c r="FA556" s="335"/>
      <c r="FB556" s="335"/>
      <c r="FC556" s="335"/>
      <c r="FD556" s="335"/>
      <c r="FE556" s="335"/>
      <c r="FF556" s="335"/>
      <c r="FG556" s="335"/>
      <c r="FH556" s="335"/>
      <c r="FI556" s="335"/>
      <c r="FJ556" s="335"/>
      <c r="FK556" s="335"/>
      <c r="FL556" s="335"/>
      <c r="FM556" s="335"/>
      <c r="FN556" s="335"/>
      <c r="FO556" s="335"/>
      <c r="FP556" s="335"/>
      <c r="FQ556" s="335"/>
      <c r="FR556" s="335"/>
      <c r="FS556" s="335"/>
      <c r="FT556" s="335"/>
      <c r="FU556" s="335"/>
      <c r="FV556" s="335"/>
      <c r="FW556" s="335"/>
      <c r="FX556" s="335"/>
      <c r="FY556" s="335"/>
      <c r="FZ556" s="335"/>
      <c r="GA556" s="335"/>
      <c r="GB556" s="335"/>
      <c r="GC556" s="335"/>
      <c r="GD556" s="335"/>
      <c r="GE556" s="335"/>
      <c r="GF556" s="335"/>
      <c r="GG556" s="335"/>
      <c r="GH556" s="335"/>
      <c r="GI556" s="335"/>
      <c r="GJ556" s="335"/>
      <c r="GK556" s="335"/>
      <c r="GL556" s="335"/>
      <c r="GM556" s="335"/>
      <c r="GN556" s="335"/>
      <c r="GO556" s="335"/>
      <c r="GP556" s="335"/>
      <c r="GQ556" s="335"/>
      <c r="GR556" s="335"/>
      <c r="GS556" s="335"/>
      <c r="GT556" s="335"/>
      <c r="GU556" s="335"/>
      <c r="GV556" s="335"/>
      <c r="GW556" s="335"/>
      <c r="GX556" s="335"/>
      <c r="GY556" s="335"/>
      <c r="GZ556" s="335"/>
    </row>
    <row r="557" spans="1:208" ht="15">
      <c r="A557" s="379"/>
      <c r="B557" s="335"/>
      <c r="C557" s="335"/>
      <c r="D557" s="335"/>
      <c r="E557" s="335"/>
      <c r="F557" s="335"/>
      <c r="G557" s="335"/>
      <c r="H557" s="335"/>
      <c r="I557" s="335"/>
      <c r="J557" s="335"/>
      <c r="K557" s="335"/>
      <c r="L557" s="335"/>
      <c r="M557" s="376"/>
      <c r="N557" s="335"/>
      <c r="O557" s="380"/>
      <c r="P557" s="335"/>
      <c r="Q557" s="335"/>
      <c r="R557" s="335"/>
      <c r="S557" s="335"/>
      <c r="T557" s="335"/>
      <c r="U557" s="335"/>
      <c r="V557" s="335"/>
      <c r="W557" s="335"/>
      <c r="X557" s="335"/>
      <c r="Y557" s="335"/>
      <c r="Z557" s="335"/>
      <c r="AA557" s="335"/>
      <c r="AB557" s="335"/>
      <c r="AC557" s="335"/>
      <c r="AD557" s="335"/>
      <c r="AE557" s="335"/>
      <c r="AF557" s="335"/>
      <c r="AG557" s="335"/>
      <c r="AH557" s="335"/>
      <c r="AI557" s="335"/>
      <c r="AJ557" s="335"/>
      <c r="AK557" s="335"/>
      <c r="AL557" s="335"/>
      <c r="AM557" s="335"/>
      <c r="AN557" s="335"/>
      <c r="AO557" s="335"/>
      <c r="AP557" s="335"/>
      <c r="AQ557" s="335"/>
      <c r="AR557" s="335"/>
      <c r="AS557" s="335"/>
      <c r="AT557" s="335"/>
      <c r="AU557" s="335"/>
      <c r="AV557" s="335"/>
      <c r="AW557" s="335"/>
      <c r="AX557" s="335"/>
      <c r="AY557" s="335"/>
      <c r="AZ557" s="335"/>
      <c r="BA557" s="335"/>
      <c r="BB557" s="335"/>
      <c r="BC557" s="335"/>
      <c r="BD557" s="335"/>
      <c r="BE557" s="335"/>
      <c r="BF557" s="335"/>
      <c r="BG557" s="335"/>
      <c r="BH557" s="335"/>
      <c r="BI557" s="335"/>
      <c r="BJ557" s="335"/>
      <c r="BK557" s="335"/>
      <c r="BL557" s="335"/>
      <c r="BM557" s="335"/>
      <c r="BN557" s="335"/>
      <c r="BO557" s="335"/>
      <c r="BP557" s="335"/>
      <c r="BQ557" s="335"/>
      <c r="BR557" s="335"/>
      <c r="BS557" s="335"/>
      <c r="BT557" s="335"/>
      <c r="BU557" s="335"/>
      <c r="BV557" s="335"/>
      <c r="BW557" s="335"/>
      <c r="BX557" s="335"/>
      <c r="BY557" s="335"/>
      <c r="BZ557" s="335"/>
      <c r="CA557" s="335"/>
      <c r="CB557" s="335"/>
      <c r="CC557" s="335"/>
      <c r="CD557" s="335"/>
      <c r="CE557" s="335"/>
      <c r="CF557" s="335"/>
      <c r="CG557" s="335"/>
      <c r="CH557" s="335"/>
      <c r="CI557" s="335"/>
      <c r="CJ557" s="335"/>
      <c r="CK557" s="335"/>
      <c r="CL557" s="335"/>
      <c r="CM557" s="335"/>
      <c r="CN557" s="335"/>
      <c r="CO557" s="335"/>
      <c r="CP557" s="335"/>
      <c r="CQ557" s="335"/>
      <c r="CR557" s="335"/>
      <c r="CS557" s="335"/>
      <c r="CT557" s="335"/>
      <c r="CU557" s="335"/>
      <c r="CV557" s="335"/>
      <c r="CW557" s="335"/>
      <c r="CX557" s="335"/>
      <c r="CY557" s="335"/>
      <c r="CZ557" s="335"/>
      <c r="DA557" s="335"/>
      <c r="DB557" s="335"/>
      <c r="DC557" s="335"/>
      <c r="DD557" s="335"/>
      <c r="DE557" s="335"/>
      <c r="DF557" s="335"/>
      <c r="DG557" s="335"/>
      <c r="DH557" s="335"/>
      <c r="DI557" s="335"/>
      <c r="DJ557" s="335"/>
      <c r="DK557" s="335"/>
      <c r="DL557" s="335"/>
      <c r="DM557" s="335"/>
      <c r="DN557" s="335"/>
      <c r="DO557" s="335"/>
      <c r="DP557" s="335"/>
      <c r="DQ557" s="335"/>
      <c r="DR557" s="335"/>
      <c r="DS557" s="335"/>
      <c r="DT557" s="335"/>
      <c r="DU557" s="335"/>
      <c r="DV557" s="335"/>
      <c r="DW557" s="335"/>
      <c r="DX557" s="335"/>
      <c r="DY557" s="335"/>
      <c r="DZ557" s="335"/>
      <c r="EA557" s="335"/>
      <c r="EB557" s="335"/>
      <c r="EC557" s="335"/>
      <c r="ED557" s="335"/>
      <c r="EE557" s="335"/>
      <c r="EF557" s="335"/>
      <c r="EG557" s="335"/>
      <c r="EH557" s="335"/>
      <c r="EI557" s="335"/>
      <c r="EJ557" s="335"/>
      <c r="EK557" s="335"/>
      <c r="EL557" s="335"/>
      <c r="EM557" s="335"/>
      <c r="EN557" s="335"/>
      <c r="EO557" s="335"/>
      <c r="EP557" s="335"/>
      <c r="EQ557" s="335"/>
      <c r="ER557" s="335"/>
      <c r="ES557" s="335"/>
      <c r="ET557" s="335"/>
      <c r="EU557" s="335"/>
      <c r="EV557" s="335"/>
      <c r="EW557" s="335"/>
      <c r="EX557" s="335"/>
      <c r="EY557" s="335"/>
      <c r="EZ557" s="335"/>
      <c r="FA557" s="335"/>
      <c r="FB557" s="335"/>
      <c r="FC557" s="335"/>
      <c r="FD557" s="335"/>
      <c r="FE557" s="335"/>
      <c r="FF557" s="335"/>
      <c r="FG557" s="335"/>
      <c r="FH557" s="335"/>
      <c r="FI557" s="335"/>
      <c r="FJ557" s="335"/>
      <c r="FK557" s="335"/>
      <c r="FL557" s="335"/>
      <c r="FM557" s="335"/>
      <c r="FN557" s="335"/>
      <c r="FO557" s="335"/>
      <c r="FP557" s="335"/>
      <c r="FQ557" s="335"/>
      <c r="FR557" s="335"/>
      <c r="FS557" s="335"/>
      <c r="FT557" s="335"/>
      <c r="FU557" s="335"/>
      <c r="FV557" s="335"/>
      <c r="FW557" s="335"/>
      <c r="FX557" s="335"/>
      <c r="FY557" s="335"/>
      <c r="FZ557" s="335"/>
      <c r="GA557" s="335"/>
      <c r="GB557" s="335"/>
      <c r="GC557" s="335"/>
      <c r="GD557" s="335"/>
      <c r="GE557" s="335"/>
      <c r="GF557" s="335"/>
      <c r="GG557" s="335"/>
      <c r="GH557" s="335"/>
      <c r="GI557" s="335"/>
      <c r="GJ557" s="335"/>
      <c r="GK557" s="335"/>
      <c r="GL557" s="335"/>
      <c r="GM557" s="335"/>
      <c r="GN557" s="335"/>
      <c r="GO557" s="335"/>
      <c r="GP557" s="335"/>
      <c r="GQ557" s="335"/>
      <c r="GR557" s="335"/>
      <c r="GS557" s="335"/>
      <c r="GT557" s="335"/>
      <c r="GU557" s="335"/>
      <c r="GV557" s="335"/>
      <c r="GW557" s="335"/>
      <c r="GX557" s="335"/>
      <c r="GY557" s="335"/>
      <c r="GZ557" s="335"/>
    </row>
    <row r="558" spans="1:208" ht="15">
      <c r="A558" s="379"/>
      <c r="B558" s="335"/>
      <c r="C558" s="335"/>
      <c r="D558" s="335"/>
      <c r="E558" s="335"/>
      <c r="F558" s="335"/>
      <c r="G558" s="335"/>
      <c r="H558" s="335"/>
      <c r="I558" s="335"/>
      <c r="J558" s="335"/>
      <c r="K558" s="335"/>
      <c r="L558" s="335"/>
      <c r="M558" s="376"/>
      <c r="N558" s="335"/>
      <c r="O558" s="380"/>
      <c r="P558" s="335"/>
      <c r="Q558" s="335"/>
      <c r="R558" s="335"/>
      <c r="S558" s="335"/>
      <c r="T558" s="335"/>
      <c r="U558" s="335"/>
      <c r="V558" s="335"/>
      <c r="W558" s="335"/>
      <c r="X558" s="335"/>
      <c r="Y558" s="335"/>
      <c r="Z558" s="335"/>
      <c r="AA558" s="335"/>
      <c r="AB558" s="335"/>
      <c r="AC558" s="335"/>
      <c r="AD558" s="335"/>
      <c r="AE558" s="335"/>
      <c r="AF558" s="335"/>
      <c r="AG558" s="335"/>
      <c r="AH558" s="335"/>
      <c r="AI558" s="335"/>
      <c r="AJ558" s="335"/>
      <c r="AK558" s="335"/>
      <c r="AL558" s="335"/>
      <c r="AM558" s="335"/>
      <c r="AN558" s="335"/>
      <c r="AO558" s="335"/>
      <c r="AP558" s="335"/>
      <c r="AQ558" s="335"/>
      <c r="AR558" s="335"/>
      <c r="AS558" s="335"/>
      <c r="AT558" s="335"/>
      <c r="AU558" s="335"/>
      <c r="AV558" s="335"/>
      <c r="AW558" s="335"/>
      <c r="AX558" s="335"/>
      <c r="AY558" s="335"/>
      <c r="AZ558" s="335"/>
      <c r="BA558" s="335"/>
      <c r="BB558" s="335"/>
      <c r="BC558" s="335"/>
      <c r="BD558" s="335"/>
      <c r="BE558" s="335"/>
      <c r="BF558" s="335"/>
      <c r="BG558" s="335"/>
      <c r="BH558" s="335"/>
      <c r="BI558" s="335"/>
      <c r="BJ558" s="335"/>
      <c r="BK558" s="335"/>
      <c r="BL558" s="335"/>
      <c r="BM558" s="335"/>
      <c r="BN558" s="335"/>
      <c r="BO558" s="335"/>
      <c r="BP558" s="335"/>
      <c r="BQ558" s="335"/>
      <c r="BR558" s="335"/>
      <c r="BS558" s="335"/>
      <c r="BT558" s="335"/>
      <c r="BU558" s="335"/>
      <c r="BV558" s="335"/>
      <c r="BW558" s="335"/>
      <c r="BX558" s="335"/>
      <c r="BY558" s="335"/>
      <c r="BZ558" s="335"/>
      <c r="CA558" s="335"/>
      <c r="CB558" s="335"/>
      <c r="CC558" s="335"/>
      <c r="CD558" s="335"/>
      <c r="CE558" s="335"/>
      <c r="CF558" s="335"/>
      <c r="CG558" s="335"/>
      <c r="CH558" s="335"/>
      <c r="CI558" s="335"/>
      <c r="CJ558" s="335"/>
      <c r="CK558" s="335"/>
      <c r="CL558" s="335"/>
      <c r="CM558" s="335"/>
      <c r="CN558" s="335"/>
      <c r="CO558" s="335"/>
      <c r="CP558" s="335"/>
      <c r="CQ558" s="335"/>
      <c r="CR558" s="335"/>
      <c r="CS558" s="335"/>
      <c r="CT558" s="335"/>
      <c r="CU558" s="335"/>
      <c r="CV558" s="335"/>
      <c r="CW558" s="335"/>
      <c r="CX558" s="335"/>
      <c r="CY558" s="335"/>
      <c r="CZ558" s="335"/>
      <c r="DA558" s="335"/>
      <c r="DB558" s="335"/>
      <c r="DC558" s="335"/>
      <c r="DD558" s="335"/>
      <c r="DE558" s="335"/>
      <c r="DF558" s="335"/>
      <c r="DG558" s="335"/>
      <c r="DH558" s="335"/>
      <c r="DI558" s="335"/>
      <c r="DJ558" s="335"/>
      <c r="DK558" s="335"/>
      <c r="DL558" s="335"/>
      <c r="DM558" s="335"/>
      <c r="DN558" s="335"/>
      <c r="DO558" s="335"/>
      <c r="DP558" s="335"/>
      <c r="DQ558" s="335"/>
      <c r="DR558" s="335"/>
      <c r="DS558" s="335"/>
      <c r="DT558" s="335"/>
      <c r="DU558" s="335"/>
      <c r="DV558" s="335"/>
      <c r="DW558" s="335"/>
      <c r="DX558" s="335"/>
      <c r="DY558" s="335"/>
      <c r="DZ558" s="335"/>
      <c r="EA558" s="335"/>
      <c r="EB558" s="335"/>
      <c r="EC558" s="335"/>
      <c r="ED558" s="335"/>
      <c r="EE558" s="335"/>
      <c r="EF558" s="335"/>
      <c r="EG558" s="335"/>
      <c r="EH558" s="335"/>
      <c r="EI558" s="335"/>
      <c r="EJ558" s="335"/>
      <c r="EK558" s="335"/>
      <c r="EL558" s="335"/>
      <c r="EM558" s="335"/>
      <c r="EN558" s="335"/>
      <c r="EO558" s="335"/>
      <c r="EP558" s="335"/>
      <c r="EQ558" s="335"/>
      <c r="ER558" s="335"/>
      <c r="ES558" s="335"/>
      <c r="ET558" s="335"/>
      <c r="EU558" s="335"/>
      <c r="EV558" s="335"/>
      <c r="EW558" s="335"/>
      <c r="EX558" s="335"/>
      <c r="EY558" s="335"/>
      <c r="EZ558" s="335"/>
      <c r="FA558" s="335"/>
      <c r="FB558" s="335"/>
      <c r="FC558" s="335"/>
      <c r="FD558" s="335"/>
      <c r="FE558" s="335"/>
      <c r="FF558" s="335"/>
      <c r="FG558" s="335"/>
      <c r="FH558" s="335"/>
      <c r="FI558" s="335"/>
      <c r="FJ558" s="335"/>
      <c r="FK558" s="335"/>
      <c r="FL558" s="335"/>
      <c r="FM558" s="335"/>
      <c r="FN558" s="335"/>
      <c r="FO558" s="335"/>
      <c r="FP558" s="335"/>
      <c r="FQ558" s="335"/>
      <c r="FR558" s="335"/>
      <c r="FS558" s="335"/>
      <c r="FT558" s="335"/>
      <c r="FU558" s="335"/>
      <c r="FV558" s="335"/>
      <c r="FW558" s="335"/>
      <c r="FX558" s="335"/>
      <c r="FY558" s="335"/>
      <c r="FZ558" s="335"/>
      <c r="GA558" s="335"/>
      <c r="GB558" s="335"/>
      <c r="GC558" s="335"/>
      <c r="GD558" s="335"/>
      <c r="GE558" s="335"/>
      <c r="GF558" s="335"/>
      <c r="GG558" s="335"/>
      <c r="GH558" s="335"/>
      <c r="GI558" s="335"/>
      <c r="GJ558" s="335"/>
      <c r="GK558" s="335"/>
      <c r="GL558" s="335"/>
      <c r="GM558" s="335"/>
      <c r="GN558" s="335"/>
      <c r="GO558" s="335"/>
      <c r="GP558" s="335"/>
      <c r="GQ558" s="335"/>
      <c r="GR558" s="335"/>
      <c r="GS558" s="335"/>
      <c r="GT558" s="335"/>
      <c r="GU558" s="335"/>
      <c r="GV558" s="335"/>
      <c r="GW558" s="335"/>
      <c r="GX558" s="335"/>
      <c r="GY558" s="335"/>
      <c r="GZ558" s="335"/>
    </row>
    <row r="559" spans="1:208" ht="15">
      <c r="A559" s="379"/>
      <c r="B559" s="335"/>
      <c r="C559" s="335"/>
      <c r="D559" s="335"/>
      <c r="E559" s="335"/>
      <c r="F559" s="335"/>
      <c r="G559" s="335"/>
      <c r="H559" s="335"/>
      <c r="I559" s="335"/>
      <c r="J559" s="335"/>
      <c r="K559" s="335"/>
      <c r="L559" s="335"/>
      <c r="M559" s="376"/>
      <c r="N559" s="335"/>
      <c r="O559" s="380"/>
      <c r="P559" s="335"/>
      <c r="Q559" s="335"/>
      <c r="R559" s="335"/>
      <c r="S559" s="335"/>
      <c r="T559" s="335"/>
      <c r="U559" s="335"/>
      <c r="V559" s="335"/>
      <c r="W559" s="335"/>
      <c r="X559" s="335"/>
      <c r="Y559" s="335"/>
      <c r="Z559" s="335"/>
      <c r="AA559" s="335"/>
      <c r="AB559" s="335"/>
      <c r="AC559" s="335"/>
      <c r="AD559" s="335"/>
      <c r="AE559" s="335"/>
      <c r="AF559" s="335"/>
      <c r="AG559" s="335"/>
      <c r="AH559" s="335"/>
      <c r="AI559" s="335"/>
      <c r="AJ559" s="335"/>
      <c r="AK559" s="335"/>
      <c r="AL559" s="335"/>
      <c r="AM559" s="335"/>
      <c r="AN559" s="335"/>
      <c r="AO559" s="335"/>
      <c r="AP559" s="335"/>
      <c r="AQ559" s="335"/>
      <c r="AR559" s="335"/>
      <c r="AS559" s="335"/>
      <c r="AT559" s="335"/>
      <c r="AU559" s="335"/>
      <c r="AV559" s="335"/>
      <c r="AW559" s="335"/>
      <c r="AX559" s="335"/>
      <c r="AY559" s="335"/>
      <c r="AZ559" s="335"/>
      <c r="BA559" s="335"/>
      <c r="BB559" s="335"/>
      <c r="BC559" s="335"/>
      <c r="BD559" s="335"/>
      <c r="BE559" s="335"/>
      <c r="BF559" s="335"/>
      <c r="BG559" s="335"/>
      <c r="BH559" s="335"/>
      <c r="BI559" s="335"/>
      <c r="BJ559" s="335"/>
      <c r="BK559" s="335"/>
      <c r="BL559" s="335"/>
      <c r="BM559" s="335"/>
      <c r="BN559" s="335"/>
      <c r="BO559" s="335"/>
      <c r="BP559" s="335"/>
      <c r="BQ559" s="335"/>
      <c r="BR559" s="335"/>
      <c r="BS559" s="335"/>
      <c r="BT559" s="335"/>
      <c r="BU559" s="335"/>
      <c r="BV559" s="335"/>
      <c r="BW559" s="335"/>
      <c r="BX559" s="335"/>
      <c r="BY559" s="335"/>
      <c r="BZ559" s="335"/>
      <c r="CA559" s="335"/>
      <c r="CB559" s="335"/>
      <c r="CC559" s="335"/>
      <c r="CD559" s="335"/>
      <c r="CE559" s="335"/>
      <c r="CF559" s="335"/>
      <c r="CG559" s="335"/>
      <c r="CH559" s="335"/>
      <c r="CI559" s="335"/>
      <c r="CJ559" s="335"/>
      <c r="CK559" s="335"/>
      <c r="CL559" s="335"/>
      <c r="CM559" s="335"/>
      <c r="CN559" s="335"/>
      <c r="CO559" s="335"/>
      <c r="CP559" s="335"/>
      <c r="CQ559" s="335"/>
      <c r="CR559" s="335"/>
      <c r="CS559" s="335"/>
      <c r="CT559" s="335"/>
      <c r="CU559" s="335"/>
      <c r="CV559" s="335"/>
      <c r="CW559" s="335"/>
      <c r="CX559" s="335"/>
      <c r="CY559" s="335"/>
      <c r="CZ559" s="335"/>
      <c r="DA559" s="335"/>
      <c r="DB559" s="335"/>
      <c r="DC559" s="335"/>
      <c r="DD559" s="335"/>
      <c r="DE559" s="335"/>
      <c r="DF559" s="335"/>
      <c r="DG559" s="335"/>
      <c r="DH559" s="335"/>
      <c r="DI559" s="335"/>
      <c r="DJ559" s="335"/>
      <c r="DK559" s="335"/>
      <c r="DL559" s="335"/>
      <c r="DM559" s="335"/>
      <c r="DN559" s="335"/>
      <c r="DO559" s="335"/>
      <c r="DP559" s="335"/>
      <c r="DQ559" s="335"/>
      <c r="DR559" s="335"/>
      <c r="DS559" s="335"/>
      <c r="DT559" s="335"/>
      <c r="DU559" s="335"/>
      <c r="DV559" s="335"/>
      <c r="DW559" s="335"/>
      <c r="DX559" s="335"/>
      <c r="DY559" s="335"/>
      <c r="DZ559" s="335"/>
      <c r="EA559" s="335"/>
      <c r="EB559" s="335"/>
      <c r="EC559" s="335"/>
      <c r="ED559" s="335"/>
      <c r="EE559" s="335"/>
      <c r="EF559" s="335"/>
      <c r="EG559" s="335"/>
      <c r="EH559" s="335"/>
      <c r="EI559" s="335"/>
      <c r="EJ559" s="335"/>
      <c r="EK559" s="335"/>
      <c r="EL559" s="335"/>
      <c r="EM559" s="335"/>
      <c r="EN559" s="335"/>
      <c r="EO559" s="335"/>
      <c r="EP559" s="335"/>
      <c r="EQ559" s="335"/>
      <c r="ER559" s="335"/>
      <c r="ES559" s="335"/>
      <c r="ET559" s="335"/>
      <c r="EU559" s="335"/>
      <c r="EV559" s="335"/>
      <c r="EW559" s="335"/>
      <c r="EX559" s="335"/>
      <c r="EY559" s="335"/>
      <c r="EZ559" s="335"/>
      <c r="FA559" s="335"/>
      <c r="FB559" s="335"/>
      <c r="FC559" s="335"/>
      <c r="FD559" s="335"/>
      <c r="FE559" s="335"/>
      <c r="FF559" s="335"/>
      <c r="FG559" s="335"/>
      <c r="FH559" s="335"/>
      <c r="FI559" s="335"/>
      <c r="FJ559" s="335"/>
      <c r="FK559" s="335"/>
      <c r="FL559" s="335"/>
      <c r="FM559" s="335"/>
      <c r="FN559" s="335"/>
      <c r="FO559" s="335"/>
      <c r="FP559" s="335"/>
      <c r="FQ559" s="335"/>
      <c r="FR559" s="335"/>
      <c r="FS559" s="335"/>
      <c r="FT559" s="335"/>
      <c r="FU559" s="335"/>
      <c r="FV559" s="335"/>
      <c r="FW559" s="335"/>
      <c r="FX559" s="335"/>
      <c r="FY559" s="335"/>
      <c r="FZ559" s="335"/>
      <c r="GA559" s="335"/>
      <c r="GB559" s="335"/>
      <c r="GC559" s="335"/>
      <c r="GD559" s="335"/>
      <c r="GE559" s="335"/>
      <c r="GF559" s="335"/>
      <c r="GG559" s="335"/>
      <c r="GH559" s="335"/>
      <c r="GI559" s="335"/>
      <c r="GJ559" s="335"/>
      <c r="GK559" s="335"/>
      <c r="GL559" s="335"/>
      <c r="GM559" s="335"/>
      <c r="GN559" s="335"/>
      <c r="GO559" s="335"/>
      <c r="GP559" s="335"/>
      <c r="GQ559" s="335"/>
      <c r="GR559" s="335"/>
      <c r="GS559" s="335"/>
      <c r="GT559" s="335"/>
      <c r="GU559" s="335"/>
      <c r="GV559" s="335"/>
      <c r="GW559" s="335"/>
      <c r="GX559" s="335"/>
      <c r="GY559" s="335"/>
      <c r="GZ559" s="335"/>
    </row>
    <row r="560" spans="1:208" ht="15">
      <c r="A560" s="379"/>
      <c r="B560" s="335"/>
      <c r="C560" s="335"/>
      <c r="D560" s="335"/>
      <c r="E560" s="335"/>
      <c r="F560" s="335"/>
      <c r="G560" s="335"/>
      <c r="H560" s="335"/>
      <c r="I560" s="335"/>
      <c r="J560" s="335"/>
      <c r="K560" s="335"/>
      <c r="L560" s="335"/>
      <c r="M560" s="376"/>
      <c r="N560" s="335"/>
      <c r="O560" s="380"/>
      <c r="P560" s="335"/>
      <c r="Q560" s="335"/>
      <c r="R560" s="335"/>
      <c r="S560" s="335"/>
      <c r="T560" s="335"/>
      <c r="U560" s="335"/>
      <c r="V560" s="335"/>
      <c r="W560" s="335"/>
      <c r="X560" s="335"/>
      <c r="Y560" s="335"/>
      <c r="Z560" s="335"/>
      <c r="AA560" s="335"/>
      <c r="AB560" s="335"/>
      <c r="AC560" s="335"/>
      <c r="AD560" s="335"/>
      <c r="AE560" s="335"/>
      <c r="AF560" s="335"/>
      <c r="AG560" s="335"/>
      <c r="AH560" s="335"/>
      <c r="AI560" s="335"/>
      <c r="AJ560" s="335"/>
      <c r="AK560" s="335"/>
      <c r="AL560" s="335"/>
      <c r="AM560" s="335"/>
      <c r="AN560" s="335"/>
      <c r="AO560" s="335"/>
      <c r="AP560" s="335"/>
      <c r="AQ560" s="335"/>
      <c r="AR560" s="335"/>
      <c r="AS560" s="335"/>
      <c r="AT560" s="335"/>
      <c r="AU560" s="335"/>
      <c r="AV560" s="335"/>
      <c r="AW560" s="335"/>
      <c r="AX560" s="335"/>
      <c r="AY560" s="335"/>
      <c r="AZ560" s="335"/>
      <c r="BA560" s="335"/>
      <c r="BB560" s="335"/>
      <c r="BC560" s="335"/>
      <c r="BD560" s="335"/>
      <c r="BE560" s="335"/>
      <c r="BF560" s="335"/>
      <c r="BG560" s="335"/>
      <c r="BH560" s="335"/>
      <c r="BI560" s="335"/>
      <c r="BJ560" s="335"/>
      <c r="BK560" s="335"/>
      <c r="BL560" s="335"/>
      <c r="BM560" s="335"/>
      <c r="BN560" s="335"/>
      <c r="BO560" s="335"/>
      <c r="BP560" s="335"/>
      <c r="BQ560" s="335"/>
      <c r="BR560" s="335"/>
      <c r="BS560" s="335"/>
      <c r="BT560" s="335"/>
      <c r="BU560" s="335"/>
      <c r="BV560" s="335"/>
      <c r="BW560" s="335"/>
      <c r="BX560" s="335"/>
      <c r="BY560" s="335"/>
      <c r="BZ560" s="335"/>
      <c r="CA560" s="335"/>
      <c r="CB560" s="335"/>
      <c r="CC560" s="335"/>
      <c r="CD560" s="335"/>
      <c r="CE560" s="335"/>
      <c r="CF560" s="335"/>
      <c r="CG560" s="335"/>
      <c r="CH560" s="335"/>
      <c r="CI560" s="335"/>
      <c r="CJ560" s="335"/>
      <c r="CK560" s="335"/>
      <c r="CL560" s="335"/>
      <c r="CM560" s="335"/>
      <c r="CN560" s="335"/>
      <c r="CO560" s="335"/>
      <c r="CP560" s="335"/>
      <c r="CQ560" s="335"/>
      <c r="CR560" s="335"/>
      <c r="CS560" s="335"/>
      <c r="CT560" s="335"/>
      <c r="CU560" s="335"/>
      <c r="CV560" s="335"/>
      <c r="CW560" s="335"/>
      <c r="CX560" s="335"/>
      <c r="CY560" s="335"/>
      <c r="CZ560" s="335"/>
      <c r="DA560" s="335"/>
      <c r="DB560" s="335"/>
      <c r="DC560" s="335"/>
      <c r="DD560" s="335"/>
      <c r="DE560" s="335"/>
      <c r="DF560" s="335"/>
      <c r="DG560" s="335"/>
      <c r="DH560" s="335"/>
      <c r="DI560" s="335"/>
      <c r="DJ560" s="335"/>
      <c r="DK560" s="335"/>
      <c r="DL560" s="335"/>
      <c r="DM560" s="335"/>
      <c r="DN560" s="335"/>
      <c r="DO560" s="335"/>
      <c r="DP560" s="335"/>
      <c r="DQ560" s="335"/>
      <c r="DR560" s="335"/>
      <c r="DS560" s="335"/>
      <c r="DT560" s="335"/>
      <c r="DU560" s="335"/>
      <c r="DV560" s="335"/>
      <c r="DW560" s="335"/>
      <c r="DX560" s="335"/>
      <c r="DY560" s="335"/>
      <c r="DZ560" s="335"/>
      <c r="EA560" s="335"/>
      <c r="EB560" s="335"/>
      <c r="EC560" s="335"/>
      <c r="ED560" s="335"/>
      <c r="EE560" s="335"/>
      <c r="EF560" s="335"/>
      <c r="EG560" s="335"/>
      <c r="EH560" s="335"/>
      <c r="EI560" s="335"/>
      <c r="EJ560" s="335"/>
      <c r="EK560" s="335"/>
      <c r="EL560" s="335"/>
      <c r="EM560" s="335"/>
      <c r="EN560" s="335"/>
      <c r="EO560" s="335"/>
      <c r="EP560" s="335"/>
      <c r="EQ560" s="335"/>
      <c r="ER560" s="335"/>
      <c r="ES560" s="335"/>
      <c r="ET560" s="335"/>
      <c r="EU560" s="335"/>
      <c r="EV560" s="335"/>
      <c r="EW560" s="335"/>
      <c r="EX560" s="335"/>
      <c r="EY560" s="335"/>
      <c r="EZ560" s="335"/>
      <c r="FA560" s="335"/>
      <c r="FB560" s="335"/>
      <c r="FC560" s="335"/>
      <c r="FD560" s="335"/>
      <c r="FE560" s="335"/>
      <c r="FF560" s="335"/>
      <c r="FG560" s="335"/>
      <c r="FH560" s="335"/>
      <c r="FI560" s="335"/>
      <c r="FJ560" s="335"/>
      <c r="FK560" s="335"/>
      <c r="FL560" s="335"/>
      <c r="FM560" s="335"/>
      <c r="FN560" s="335"/>
      <c r="FO560" s="335"/>
      <c r="FP560" s="335"/>
      <c r="FQ560" s="335"/>
      <c r="FR560" s="335"/>
      <c r="FS560" s="335"/>
      <c r="FT560" s="335"/>
      <c r="FU560" s="335"/>
      <c r="FV560" s="335"/>
      <c r="FW560" s="335"/>
      <c r="FX560" s="335"/>
      <c r="FY560" s="335"/>
      <c r="FZ560" s="335"/>
      <c r="GA560" s="335"/>
      <c r="GB560" s="335"/>
      <c r="GC560" s="335"/>
      <c r="GD560" s="335"/>
      <c r="GE560" s="335"/>
      <c r="GF560" s="335"/>
      <c r="GG560" s="335"/>
      <c r="GH560" s="335"/>
      <c r="GI560" s="335"/>
      <c r="GJ560" s="335"/>
      <c r="GK560" s="335"/>
      <c r="GL560" s="335"/>
      <c r="GM560" s="335"/>
      <c r="GN560" s="335"/>
      <c r="GO560" s="335"/>
      <c r="GP560" s="335"/>
      <c r="GQ560" s="335"/>
      <c r="GR560" s="335"/>
      <c r="GS560" s="335"/>
      <c r="GT560" s="335"/>
      <c r="GU560" s="335"/>
      <c r="GV560" s="335"/>
      <c r="GW560" s="335"/>
      <c r="GX560" s="335"/>
      <c r="GY560" s="335"/>
      <c r="GZ560" s="335"/>
    </row>
    <row r="561" spans="1:208" ht="15">
      <c r="A561" s="379"/>
      <c r="B561" s="335"/>
      <c r="C561" s="335"/>
      <c r="D561" s="335"/>
      <c r="E561" s="335"/>
      <c r="F561" s="335"/>
      <c r="G561" s="335"/>
      <c r="H561" s="335"/>
      <c r="I561" s="335"/>
      <c r="J561" s="335"/>
      <c r="K561" s="335"/>
      <c r="L561" s="335"/>
      <c r="M561" s="376"/>
      <c r="N561" s="335"/>
      <c r="O561" s="380"/>
      <c r="P561" s="335"/>
      <c r="Q561" s="335"/>
      <c r="R561" s="335"/>
      <c r="S561" s="335"/>
      <c r="T561" s="335"/>
      <c r="U561" s="335"/>
      <c r="V561" s="335"/>
      <c r="W561" s="335"/>
      <c r="X561" s="335"/>
      <c r="Y561" s="335"/>
      <c r="Z561" s="335"/>
      <c r="AA561" s="335"/>
      <c r="AB561" s="335"/>
      <c r="AC561" s="335"/>
      <c r="AD561" s="335"/>
      <c r="AE561" s="335"/>
      <c r="AF561" s="335"/>
      <c r="AG561" s="335"/>
      <c r="AH561" s="335"/>
      <c r="AI561" s="335"/>
      <c r="AJ561" s="335"/>
      <c r="AK561" s="335"/>
      <c r="AL561" s="335"/>
      <c r="AM561" s="335"/>
      <c r="AN561" s="335"/>
      <c r="AO561" s="335"/>
      <c r="AP561" s="335"/>
      <c r="AQ561" s="335"/>
      <c r="AR561" s="335"/>
      <c r="AS561" s="335"/>
      <c r="AT561" s="335"/>
      <c r="AU561" s="335"/>
      <c r="AV561" s="335"/>
      <c r="AW561" s="335"/>
      <c r="AX561" s="335"/>
      <c r="AY561" s="335"/>
      <c r="AZ561" s="335"/>
      <c r="BA561" s="335"/>
      <c r="BB561" s="335"/>
      <c r="BC561" s="335"/>
      <c r="BD561" s="335"/>
      <c r="BE561" s="335"/>
      <c r="BF561" s="335"/>
      <c r="BG561" s="335"/>
      <c r="BH561" s="335"/>
      <c r="BI561" s="335"/>
      <c r="BJ561" s="335"/>
      <c r="BK561" s="335"/>
      <c r="BL561" s="335"/>
      <c r="BM561" s="335"/>
      <c r="BN561" s="335"/>
      <c r="BO561" s="335"/>
      <c r="BP561" s="335"/>
      <c r="BQ561" s="335"/>
      <c r="BR561" s="335"/>
      <c r="BS561" s="335"/>
      <c r="BT561" s="335"/>
      <c r="BU561" s="335"/>
      <c r="BV561" s="335"/>
      <c r="BW561" s="335"/>
      <c r="BX561" s="335"/>
      <c r="BY561" s="335"/>
      <c r="BZ561" s="335"/>
      <c r="CA561" s="335"/>
      <c r="CB561" s="335"/>
      <c r="CC561" s="335"/>
      <c r="CD561" s="335"/>
      <c r="CE561" s="335"/>
      <c r="CF561" s="335"/>
      <c r="CG561" s="335"/>
      <c r="CH561" s="335"/>
      <c r="CI561" s="335"/>
      <c r="CJ561" s="335"/>
      <c r="CK561" s="335"/>
      <c r="CL561" s="335"/>
      <c r="CM561" s="335"/>
      <c r="CN561" s="335"/>
      <c r="CO561" s="335"/>
      <c r="CP561" s="335"/>
      <c r="CQ561" s="335"/>
      <c r="CR561" s="335"/>
      <c r="CS561" s="335"/>
      <c r="CT561" s="335"/>
      <c r="CU561" s="335"/>
      <c r="CV561" s="335"/>
      <c r="CW561" s="335"/>
      <c r="CX561" s="335"/>
      <c r="CY561" s="335"/>
      <c r="CZ561" s="335"/>
      <c r="DA561" s="335"/>
      <c r="DB561" s="335"/>
      <c r="DC561" s="335"/>
      <c r="DD561" s="335"/>
      <c r="DE561" s="335"/>
      <c r="DF561" s="335"/>
      <c r="DG561" s="335"/>
      <c r="DH561" s="335"/>
      <c r="DI561" s="335"/>
      <c r="DJ561" s="335"/>
      <c r="DK561" s="335"/>
      <c r="DL561" s="335"/>
      <c r="DM561" s="335"/>
      <c r="DN561" s="335"/>
      <c r="DO561" s="335"/>
      <c r="DP561" s="335"/>
      <c r="DQ561" s="335"/>
      <c r="DR561" s="335"/>
      <c r="DS561" s="335"/>
      <c r="DT561" s="335"/>
      <c r="DU561" s="335"/>
      <c r="DV561" s="335"/>
      <c r="DW561" s="335"/>
      <c r="DX561" s="335"/>
      <c r="DY561" s="335"/>
      <c r="DZ561" s="335"/>
      <c r="EA561" s="335"/>
      <c r="EB561" s="335"/>
      <c r="EC561" s="335"/>
      <c r="ED561" s="335"/>
      <c r="EE561" s="335"/>
      <c r="EF561" s="335"/>
      <c r="EG561" s="335"/>
      <c r="EH561" s="335"/>
      <c r="EI561" s="335"/>
      <c r="EJ561" s="335"/>
      <c r="EK561" s="335"/>
      <c r="EL561" s="335"/>
      <c r="EM561" s="335"/>
      <c r="EN561" s="335"/>
      <c r="EO561" s="335"/>
      <c r="EP561" s="335"/>
      <c r="EQ561" s="335"/>
      <c r="ER561" s="335"/>
      <c r="ES561" s="335"/>
      <c r="ET561" s="335"/>
      <c r="EU561" s="335"/>
      <c r="EV561" s="335"/>
      <c r="EW561" s="335"/>
      <c r="EX561" s="335"/>
      <c r="EY561" s="335"/>
      <c r="EZ561" s="335"/>
      <c r="FA561" s="335"/>
      <c r="FB561" s="335"/>
      <c r="FC561" s="335"/>
      <c r="FD561" s="335"/>
      <c r="FE561" s="335"/>
      <c r="FF561" s="335"/>
      <c r="FG561" s="335"/>
      <c r="FH561" s="335"/>
      <c r="FI561" s="335"/>
      <c r="FJ561" s="335"/>
      <c r="FK561" s="335"/>
      <c r="FL561" s="335"/>
      <c r="FM561" s="335"/>
      <c r="FN561" s="335"/>
      <c r="FO561" s="335"/>
      <c r="FP561" s="335"/>
      <c r="FQ561" s="335"/>
      <c r="FR561" s="335"/>
      <c r="FS561" s="335"/>
      <c r="FT561" s="335"/>
      <c r="FU561" s="335"/>
      <c r="FV561" s="335"/>
      <c r="FW561" s="335"/>
      <c r="FX561" s="335"/>
      <c r="FY561" s="335"/>
      <c r="FZ561" s="335"/>
      <c r="GA561" s="335"/>
      <c r="GB561" s="335"/>
      <c r="GC561" s="335"/>
      <c r="GD561" s="335"/>
      <c r="GE561" s="335"/>
      <c r="GF561" s="335"/>
      <c r="GG561" s="335"/>
      <c r="GH561" s="335"/>
      <c r="GI561" s="335"/>
      <c r="GJ561" s="335"/>
      <c r="GK561" s="335"/>
      <c r="GL561" s="335"/>
      <c r="GM561" s="335"/>
      <c r="GN561" s="335"/>
      <c r="GO561" s="335"/>
      <c r="GP561" s="335"/>
      <c r="GQ561" s="335"/>
      <c r="GR561" s="335"/>
      <c r="GS561" s="335"/>
      <c r="GT561" s="335"/>
      <c r="GU561" s="335"/>
      <c r="GV561" s="335"/>
      <c r="GW561" s="335"/>
      <c r="GX561" s="335"/>
      <c r="GY561" s="335"/>
      <c r="GZ561" s="335"/>
    </row>
    <row r="562" spans="1:208" ht="15">
      <c r="A562" s="379"/>
      <c r="B562" s="335"/>
      <c r="C562" s="335"/>
      <c r="D562" s="335"/>
      <c r="E562" s="335"/>
      <c r="F562" s="335"/>
      <c r="G562" s="335"/>
      <c r="H562" s="335"/>
      <c r="I562" s="335"/>
      <c r="J562" s="335"/>
      <c r="K562" s="335"/>
      <c r="L562" s="335"/>
      <c r="M562" s="376"/>
      <c r="N562" s="335"/>
      <c r="O562" s="380"/>
      <c r="P562" s="335"/>
      <c r="Q562" s="335"/>
      <c r="R562" s="335"/>
      <c r="S562" s="335"/>
      <c r="T562" s="335"/>
      <c r="U562" s="335"/>
      <c r="V562" s="335"/>
      <c r="W562" s="335"/>
      <c r="X562" s="335"/>
      <c r="Y562" s="335"/>
      <c r="Z562" s="335"/>
      <c r="AA562" s="335"/>
      <c r="AB562" s="335"/>
      <c r="AC562" s="335"/>
      <c r="AD562" s="335"/>
      <c r="AE562" s="335"/>
      <c r="AF562" s="335"/>
      <c r="AG562" s="335"/>
      <c r="AH562" s="335"/>
      <c r="AI562" s="335"/>
      <c r="AJ562" s="335"/>
      <c r="AK562" s="335"/>
      <c r="AL562" s="335"/>
      <c r="AM562" s="335"/>
      <c r="AN562" s="335"/>
      <c r="AO562" s="335"/>
      <c r="AP562" s="335"/>
      <c r="AQ562" s="335"/>
      <c r="AR562" s="335"/>
      <c r="AS562" s="335"/>
      <c r="AT562" s="335"/>
      <c r="AU562" s="335"/>
      <c r="AV562" s="335"/>
      <c r="AW562" s="335"/>
      <c r="AX562" s="335"/>
      <c r="AY562" s="335"/>
      <c r="AZ562" s="335"/>
      <c r="BA562" s="335"/>
      <c r="BB562" s="335"/>
      <c r="BC562" s="335"/>
      <c r="BD562" s="335"/>
      <c r="BE562" s="335"/>
      <c r="BF562" s="335"/>
      <c r="BG562" s="335"/>
      <c r="BH562" s="335"/>
      <c r="BI562" s="335"/>
      <c r="BJ562" s="335"/>
      <c r="BK562" s="335"/>
      <c r="BL562" s="335"/>
      <c r="BM562" s="335"/>
      <c r="BN562" s="335"/>
      <c r="BO562" s="335"/>
      <c r="BP562" s="335"/>
      <c r="BQ562" s="335"/>
      <c r="BR562" s="335"/>
      <c r="BS562" s="335"/>
      <c r="BT562" s="335"/>
      <c r="BU562" s="335"/>
      <c r="BV562" s="335"/>
      <c r="BW562" s="335"/>
      <c r="BX562" s="335"/>
      <c r="BY562" s="335"/>
      <c r="BZ562" s="335"/>
      <c r="CA562" s="335"/>
      <c r="CB562" s="335"/>
      <c r="CC562" s="335"/>
      <c r="CD562" s="335"/>
      <c r="CE562" s="335"/>
      <c r="CF562" s="335"/>
      <c r="CG562" s="335"/>
      <c r="CH562" s="335"/>
      <c r="CI562" s="335"/>
      <c r="CJ562" s="335"/>
      <c r="CK562" s="335"/>
      <c r="CL562" s="335"/>
      <c r="CM562" s="335"/>
      <c r="CN562" s="335"/>
      <c r="CO562" s="335"/>
      <c r="CP562" s="335"/>
      <c r="CQ562" s="335"/>
      <c r="CR562" s="335"/>
      <c r="CS562" s="335"/>
      <c r="CT562" s="335"/>
      <c r="CU562" s="335"/>
      <c r="CV562" s="335"/>
      <c r="CW562" s="335"/>
      <c r="CX562" s="335"/>
      <c r="CY562" s="335"/>
      <c r="CZ562" s="335"/>
      <c r="DA562" s="335"/>
      <c r="DB562" s="335"/>
      <c r="DC562" s="335"/>
      <c r="DD562" s="335"/>
      <c r="DE562" s="335"/>
      <c r="DF562" s="335"/>
      <c r="DG562" s="335"/>
      <c r="DH562" s="335"/>
      <c r="DI562" s="335"/>
      <c r="DJ562" s="335"/>
      <c r="DK562" s="335"/>
      <c r="DL562" s="335"/>
      <c r="DM562" s="335"/>
      <c r="DN562" s="335"/>
      <c r="DO562" s="335"/>
      <c r="DP562" s="335"/>
      <c r="DQ562" s="335"/>
      <c r="DR562" s="335"/>
      <c r="DS562" s="335"/>
      <c r="DT562" s="335"/>
      <c r="DU562" s="335"/>
      <c r="DV562" s="335"/>
      <c r="DW562" s="335"/>
      <c r="DX562" s="335"/>
      <c r="DY562" s="335"/>
      <c r="DZ562" s="335"/>
      <c r="EA562" s="335"/>
      <c r="EB562" s="335"/>
      <c r="EC562" s="335"/>
      <c r="ED562" s="335"/>
      <c r="EE562" s="335"/>
      <c r="EF562" s="335"/>
      <c r="EG562" s="335"/>
      <c r="EH562" s="335"/>
      <c r="EI562" s="335"/>
      <c r="EJ562" s="335"/>
      <c r="EK562" s="335"/>
      <c r="EL562" s="335"/>
      <c r="EM562" s="335"/>
      <c r="EN562" s="335"/>
      <c r="EO562" s="335"/>
      <c r="EP562" s="335"/>
      <c r="EQ562" s="335"/>
      <c r="ER562" s="335"/>
      <c r="ES562" s="335"/>
      <c r="ET562" s="335"/>
      <c r="EU562" s="335"/>
      <c r="EV562" s="335"/>
      <c r="EW562" s="335"/>
      <c r="EX562" s="335"/>
      <c r="EY562" s="335"/>
      <c r="EZ562" s="335"/>
      <c r="FA562" s="335"/>
      <c r="FB562" s="335"/>
      <c r="FC562" s="335"/>
      <c r="FD562" s="335"/>
      <c r="FE562" s="335"/>
      <c r="FF562" s="335"/>
      <c r="FG562" s="335"/>
      <c r="FH562" s="335"/>
      <c r="FI562" s="335"/>
      <c r="FJ562" s="335"/>
      <c r="FK562" s="335"/>
      <c r="FL562" s="335"/>
      <c r="FM562" s="335"/>
      <c r="FN562" s="335"/>
      <c r="FO562" s="335"/>
      <c r="FP562" s="335"/>
      <c r="FQ562" s="335"/>
      <c r="FR562" s="335"/>
      <c r="FS562" s="335"/>
      <c r="FT562" s="335"/>
      <c r="FU562" s="335"/>
      <c r="FV562" s="335"/>
      <c r="FW562" s="335"/>
      <c r="FX562" s="335"/>
      <c r="FY562" s="335"/>
      <c r="FZ562" s="335"/>
      <c r="GA562" s="335"/>
      <c r="GB562" s="335"/>
      <c r="GC562" s="335"/>
      <c r="GD562" s="335"/>
      <c r="GE562" s="335"/>
      <c r="GF562" s="335"/>
      <c r="GG562" s="335"/>
      <c r="GH562" s="335"/>
      <c r="GI562" s="335"/>
      <c r="GJ562" s="335"/>
      <c r="GK562" s="335"/>
      <c r="GL562" s="335"/>
      <c r="GM562" s="335"/>
      <c r="GN562" s="335"/>
      <c r="GO562" s="335"/>
      <c r="GP562" s="335"/>
      <c r="GQ562" s="335"/>
      <c r="GR562" s="335"/>
      <c r="GS562" s="335"/>
      <c r="GT562" s="335"/>
      <c r="GU562" s="335"/>
      <c r="GV562" s="335"/>
      <c r="GW562" s="335"/>
      <c r="GX562" s="335"/>
      <c r="GY562" s="335"/>
      <c r="GZ562" s="335"/>
    </row>
    <row r="563" spans="1:208" ht="15">
      <c r="A563" s="379"/>
      <c r="B563" s="335"/>
      <c r="C563" s="335"/>
      <c r="D563" s="335"/>
      <c r="E563" s="335"/>
      <c r="F563" s="335"/>
      <c r="G563" s="335"/>
      <c r="H563" s="335"/>
      <c r="I563" s="335"/>
      <c r="J563" s="335"/>
      <c r="K563" s="335"/>
      <c r="L563" s="335"/>
      <c r="M563" s="376"/>
      <c r="N563" s="335"/>
      <c r="O563" s="380"/>
      <c r="P563" s="335"/>
      <c r="Q563" s="335"/>
      <c r="R563" s="335"/>
      <c r="S563" s="335"/>
      <c r="T563" s="335"/>
      <c r="U563" s="335"/>
      <c r="V563" s="335"/>
      <c r="W563" s="335"/>
      <c r="X563" s="335"/>
      <c r="Y563" s="335"/>
      <c r="Z563" s="335"/>
      <c r="AA563" s="335"/>
      <c r="AB563" s="335"/>
      <c r="AC563" s="335"/>
      <c r="AD563" s="335"/>
      <c r="AE563" s="335"/>
      <c r="AF563" s="335"/>
      <c r="AG563" s="335"/>
      <c r="AH563" s="335"/>
      <c r="AI563" s="335"/>
      <c r="AJ563" s="335"/>
      <c r="AK563" s="335"/>
      <c r="AL563" s="335"/>
      <c r="AM563" s="335"/>
      <c r="AN563" s="335"/>
      <c r="AO563" s="335"/>
      <c r="AP563" s="335"/>
      <c r="AQ563" s="335"/>
      <c r="AR563" s="335"/>
      <c r="AS563" s="335"/>
      <c r="AT563" s="335"/>
      <c r="AU563" s="335"/>
      <c r="AV563" s="335"/>
      <c r="AW563" s="335"/>
      <c r="AX563" s="335"/>
      <c r="AY563" s="335"/>
      <c r="AZ563" s="335"/>
      <c r="BA563" s="335"/>
      <c r="BB563" s="335"/>
      <c r="BC563" s="335"/>
      <c r="BD563" s="335"/>
      <c r="BE563" s="335"/>
      <c r="BF563" s="335"/>
      <c r="BG563" s="335"/>
      <c r="BH563" s="335"/>
      <c r="BI563" s="335"/>
      <c r="BJ563" s="335"/>
      <c r="BK563" s="335"/>
      <c r="BL563" s="335"/>
      <c r="BM563" s="335"/>
      <c r="BN563" s="335"/>
      <c r="BO563" s="335"/>
      <c r="BP563" s="335"/>
      <c r="BQ563" s="335"/>
      <c r="BR563" s="335"/>
      <c r="BS563" s="335"/>
      <c r="BT563" s="335"/>
      <c r="BU563" s="335"/>
      <c r="BV563" s="335"/>
      <c r="BW563" s="335"/>
      <c r="BX563" s="335"/>
      <c r="BY563" s="335"/>
      <c r="BZ563" s="335"/>
      <c r="CA563" s="335"/>
      <c r="CB563" s="335"/>
      <c r="CC563" s="335"/>
      <c r="CD563" s="335"/>
      <c r="CE563" s="335"/>
      <c r="CF563" s="335"/>
      <c r="CG563" s="335"/>
      <c r="CH563" s="335"/>
      <c r="CI563" s="335"/>
      <c r="CJ563" s="335"/>
      <c r="CK563" s="335"/>
      <c r="CL563" s="335"/>
      <c r="CM563" s="335"/>
      <c r="CN563" s="335"/>
      <c r="CO563" s="335"/>
      <c r="CP563" s="335"/>
      <c r="CQ563" s="335"/>
      <c r="CR563" s="335"/>
      <c r="CS563" s="335"/>
      <c r="CT563" s="335"/>
      <c r="CU563" s="335"/>
      <c r="CV563" s="335"/>
      <c r="CW563" s="335"/>
      <c r="CX563" s="335"/>
      <c r="CY563" s="335"/>
      <c r="CZ563" s="335"/>
      <c r="DA563" s="335"/>
      <c r="DB563" s="335"/>
      <c r="DC563" s="335"/>
      <c r="DD563" s="335"/>
      <c r="DE563" s="335"/>
      <c r="DF563" s="335"/>
      <c r="DG563" s="335"/>
      <c r="DH563" s="335"/>
      <c r="DI563" s="335"/>
      <c r="DJ563" s="335"/>
      <c r="DK563" s="335"/>
      <c r="DL563" s="335"/>
      <c r="DM563" s="335"/>
      <c r="DN563" s="335"/>
      <c r="DO563" s="335"/>
      <c r="DP563" s="335"/>
      <c r="DQ563" s="335"/>
      <c r="DR563" s="335"/>
      <c r="DS563" s="335"/>
      <c r="DT563" s="335"/>
      <c r="DU563" s="335"/>
      <c r="DV563" s="335"/>
      <c r="DW563" s="335"/>
      <c r="DX563" s="335"/>
      <c r="DY563" s="335"/>
      <c r="DZ563" s="335"/>
      <c r="EA563" s="335"/>
      <c r="EB563" s="335"/>
      <c r="EC563" s="335"/>
      <c r="ED563" s="335"/>
      <c r="EE563" s="335"/>
      <c r="EF563" s="335"/>
      <c r="EG563" s="335"/>
      <c r="EH563" s="335"/>
      <c r="EI563" s="335"/>
      <c r="EJ563" s="335"/>
      <c r="EK563" s="335"/>
      <c r="EL563" s="335"/>
      <c r="EM563" s="335"/>
      <c r="EN563" s="335"/>
      <c r="EO563" s="335"/>
      <c r="EP563" s="335"/>
      <c r="EQ563" s="335"/>
      <c r="ER563" s="335"/>
      <c r="ES563" s="335"/>
      <c r="ET563" s="335"/>
      <c r="EU563" s="335"/>
      <c r="EV563" s="335"/>
      <c r="EW563" s="335"/>
      <c r="EX563" s="335"/>
      <c r="EY563" s="335"/>
      <c r="EZ563" s="335"/>
      <c r="FA563" s="335"/>
      <c r="FB563" s="335"/>
      <c r="FC563" s="335"/>
      <c r="FD563" s="335"/>
      <c r="FE563" s="335"/>
      <c r="FF563" s="335"/>
      <c r="FG563" s="335"/>
      <c r="FH563" s="335"/>
      <c r="FI563" s="335"/>
      <c r="FJ563" s="335"/>
      <c r="FK563" s="335"/>
      <c r="FL563" s="335"/>
      <c r="FM563" s="335"/>
      <c r="FN563" s="335"/>
      <c r="FO563" s="335"/>
      <c r="FP563" s="335"/>
      <c r="FQ563" s="335"/>
      <c r="FR563" s="335"/>
      <c r="FS563" s="335"/>
      <c r="FT563" s="335"/>
      <c r="FU563" s="335"/>
      <c r="FV563" s="335"/>
      <c r="FW563" s="335"/>
      <c r="FX563" s="335"/>
      <c r="FY563" s="335"/>
      <c r="FZ563" s="335"/>
      <c r="GA563" s="335"/>
      <c r="GB563" s="335"/>
      <c r="GC563" s="335"/>
      <c r="GD563" s="335"/>
      <c r="GE563" s="335"/>
      <c r="GF563" s="335"/>
      <c r="GG563" s="335"/>
      <c r="GH563" s="335"/>
      <c r="GI563" s="335"/>
      <c r="GJ563" s="335"/>
      <c r="GK563" s="335"/>
      <c r="GL563" s="335"/>
      <c r="GM563" s="335"/>
      <c r="GN563" s="335"/>
      <c r="GO563" s="335"/>
      <c r="GP563" s="335"/>
      <c r="GQ563" s="335"/>
      <c r="GR563" s="335"/>
      <c r="GS563" s="335"/>
      <c r="GT563" s="335"/>
      <c r="GU563" s="335"/>
      <c r="GV563" s="335"/>
      <c r="GW563" s="335"/>
      <c r="GX563" s="335"/>
      <c r="GY563" s="335"/>
      <c r="GZ563" s="335"/>
    </row>
    <row r="564" spans="1:208" ht="15">
      <c r="A564" s="379"/>
      <c r="B564" s="335"/>
      <c r="C564" s="335"/>
      <c r="D564" s="335"/>
      <c r="E564" s="335"/>
      <c r="F564" s="335"/>
      <c r="G564" s="335"/>
      <c r="H564" s="335"/>
      <c r="I564" s="335"/>
      <c r="J564" s="335"/>
      <c r="K564" s="335"/>
      <c r="L564" s="335"/>
      <c r="M564" s="376"/>
      <c r="N564" s="335"/>
      <c r="O564" s="380"/>
      <c r="P564" s="335"/>
      <c r="Q564" s="335"/>
      <c r="R564" s="335"/>
      <c r="S564" s="335"/>
      <c r="T564" s="335"/>
      <c r="U564" s="335"/>
      <c r="V564" s="335"/>
      <c r="W564" s="335"/>
      <c r="X564" s="335"/>
      <c r="Y564" s="335"/>
      <c r="Z564" s="335"/>
      <c r="AA564" s="335"/>
      <c r="AB564" s="335"/>
      <c r="AC564" s="335"/>
      <c r="AD564" s="335"/>
      <c r="AE564" s="335"/>
      <c r="AF564" s="335"/>
      <c r="AG564" s="335"/>
      <c r="AH564" s="335"/>
      <c r="AI564" s="335"/>
      <c r="AJ564" s="335"/>
      <c r="AK564" s="335"/>
      <c r="AL564" s="335"/>
      <c r="AM564" s="335"/>
      <c r="AN564" s="335"/>
      <c r="AO564" s="335"/>
      <c r="AP564" s="335"/>
      <c r="AQ564" s="335"/>
      <c r="AR564" s="335"/>
      <c r="AS564" s="335"/>
      <c r="AT564" s="335"/>
      <c r="AU564" s="335"/>
      <c r="AV564" s="335"/>
      <c r="AW564" s="335"/>
      <c r="AX564" s="335"/>
      <c r="AY564" s="335"/>
      <c r="AZ564" s="335"/>
      <c r="BA564" s="335"/>
      <c r="BB564" s="335"/>
      <c r="BC564" s="335"/>
      <c r="BD564" s="335"/>
      <c r="BE564" s="335"/>
      <c r="BF564" s="335"/>
      <c r="BG564" s="335"/>
      <c r="BH564" s="335"/>
      <c r="BI564" s="335"/>
      <c r="BJ564" s="335"/>
      <c r="BK564" s="335"/>
      <c r="BL564" s="335"/>
      <c r="BM564" s="335"/>
      <c r="BN564" s="335"/>
      <c r="BO564" s="335"/>
      <c r="BP564" s="335"/>
      <c r="BQ564" s="335"/>
      <c r="BR564" s="335"/>
      <c r="BS564" s="335"/>
      <c r="BT564" s="335"/>
      <c r="BU564" s="335"/>
      <c r="BV564" s="335"/>
      <c r="BW564" s="335"/>
      <c r="BX564" s="335"/>
      <c r="BY564" s="335"/>
      <c r="BZ564" s="335"/>
      <c r="CA564" s="335"/>
      <c r="CB564" s="335"/>
      <c r="CC564" s="335"/>
      <c r="CD564" s="335"/>
      <c r="CE564" s="335"/>
      <c r="CF564" s="335"/>
      <c r="CG564" s="335"/>
      <c r="CH564" s="335"/>
      <c r="CI564" s="335"/>
      <c r="CJ564" s="335"/>
      <c r="CK564" s="335"/>
      <c r="CL564" s="335"/>
      <c r="CM564" s="335"/>
      <c r="CN564" s="335"/>
      <c r="CO564" s="335"/>
      <c r="CP564" s="335"/>
      <c r="CQ564" s="335"/>
      <c r="CR564" s="335"/>
      <c r="CS564" s="335"/>
      <c r="CT564" s="335"/>
      <c r="CU564" s="335"/>
      <c r="CV564" s="335"/>
      <c r="CW564" s="335"/>
      <c r="CX564" s="335"/>
      <c r="CY564" s="335"/>
      <c r="CZ564" s="335"/>
      <c r="DA564" s="335"/>
      <c r="DB564" s="335"/>
      <c r="DC564" s="335"/>
      <c r="DD564" s="335"/>
      <c r="DE564" s="335"/>
      <c r="DF564" s="335"/>
      <c r="DG564" s="335"/>
      <c r="DH564" s="335"/>
      <c r="DI564" s="335"/>
      <c r="DJ564" s="335"/>
      <c r="DK564" s="335"/>
      <c r="DL564" s="335"/>
      <c r="DM564" s="335"/>
      <c r="DN564" s="335"/>
      <c r="DO564" s="335"/>
      <c r="DP564" s="335"/>
      <c r="DQ564" s="335"/>
      <c r="DR564" s="335"/>
      <c r="DS564" s="335"/>
      <c r="DT564" s="335"/>
      <c r="DU564" s="335"/>
      <c r="DV564" s="335"/>
      <c r="DW564" s="335"/>
      <c r="DX564" s="335"/>
      <c r="DY564" s="335"/>
      <c r="DZ564" s="335"/>
      <c r="EA564" s="335"/>
      <c r="EB564" s="335"/>
      <c r="EC564" s="335"/>
      <c r="ED564" s="335"/>
      <c r="EE564" s="335"/>
      <c r="EF564" s="335"/>
      <c r="EG564" s="335"/>
      <c r="EH564" s="335"/>
      <c r="EI564" s="335"/>
      <c r="EJ564" s="335"/>
      <c r="EK564" s="335"/>
      <c r="EL564" s="335"/>
      <c r="EM564" s="335"/>
      <c r="EN564" s="335"/>
      <c r="EO564" s="335"/>
      <c r="EP564" s="335"/>
      <c r="EQ564" s="335"/>
      <c r="ER564" s="335"/>
      <c r="ES564" s="335"/>
      <c r="ET564" s="335"/>
      <c r="EU564" s="335"/>
      <c r="EV564" s="335"/>
      <c r="EW564" s="335"/>
      <c r="EX564" s="335"/>
      <c r="EY564" s="335"/>
      <c r="EZ564" s="335"/>
      <c r="FA564" s="335"/>
      <c r="FB564" s="335"/>
      <c r="FC564" s="335"/>
      <c r="FD564" s="335"/>
      <c r="FE564" s="335"/>
      <c r="FF564" s="335"/>
      <c r="FG564" s="335"/>
      <c r="FH564" s="335"/>
      <c r="FI564" s="335"/>
      <c r="FJ564" s="335"/>
      <c r="FK564" s="335"/>
      <c r="FL564" s="335"/>
      <c r="FM564" s="335"/>
      <c r="FN564" s="335"/>
      <c r="FO564" s="335"/>
      <c r="FP564" s="335"/>
      <c r="FQ564" s="335"/>
      <c r="FR564" s="335"/>
      <c r="FS564" s="335"/>
      <c r="FT564" s="335"/>
      <c r="FU564" s="335"/>
      <c r="FV564" s="335"/>
      <c r="FW564" s="335"/>
      <c r="FX564" s="335"/>
      <c r="FY564" s="335"/>
      <c r="FZ564" s="335"/>
      <c r="GA564" s="335"/>
      <c r="GB564" s="335"/>
      <c r="GC564" s="335"/>
      <c r="GD564" s="335"/>
      <c r="GE564" s="335"/>
      <c r="GF564" s="335"/>
      <c r="GG564" s="335"/>
      <c r="GH564" s="335"/>
      <c r="GI564" s="335"/>
      <c r="GJ564" s="335"/>
      <c r="GK564" s="335"/>
      <c r="GL564" s="335"/>
      <c r="GM564" s="335"/>
      <c r="GN564" s="335"/>
      <c r="GO564" s="335"/>
      <c r="GP564" s="335"/>
      <c r="GQ564" s="335"/>
      <c r="GR564" s="335"/>
      <c r="GS564" s="335"/>
      <c r="GT564" s="335"/>
      <c r="GU564" s="335"/>
      <c r="GV564" s="335"/>
      <c r="GW564" s="335"/>
      <c r="GX564" s="335"/>
      <c r="GY564" s="335"/>
      <c r="GZ564" s="335"/>
    </row>
    <row r="565" spans="1:208" ht="15">
      <c r="A565" s="379"/>
      <c r="B565" s="335"/>
      <c r="C565" s="335"/>
      <c r="D565" s="335"/>
      <c r="E565" s="335"/>
      <c r="F565" s="335"/>
      <c r="G565" s="335"/>
      <c r="H565" s="335"/>
      <c r="I565" s="335"/>
      <c r="J565" s="335"/>
      <c r="K565" s="335"/>
      <c r="L565" s="335"/>
      <c r="M565" s="376"/>
      <c r="N565" s="335"/>
      <c r="O565" s="380"/>
      <c r="P565" s="335"/>
      <c r="Q565" s="335"/>
      <c r="R565" s="335"/>
      <c r="S565" s="335"/>
      <c r="T565" s="335"/>
      <c r="U565" s="335"/>
      <c r="V565" s="335"/>
      <c r="W565" s="335"/>
      <c r="X565" s="335"/>
      <c r="Y565" s="335"/>
      <c r="Z565" s="335"/>
      <c r="AA565" s="335"/>
      <c r="AB565" s="335"/>
      <c r="AC565" s="335"/>
      <c r="AD565" s="335"/>
      <c r="AE565" s="335"/>
      <c r="AF565" s="335"/>
      <c r="AG565" s="335"/>
      <c r="AH565" s="335"/>
      <c r="AI565" s="335"/>
      <c r="AJ565" s="335"/>
      <c r="AK565" s="335"/>
      <c r="AL565" s="335"/>
      <c r="AM565" s="335"/>
      <c r="AN565" s="335"/>
      <c r="AO565" s="335"/>
      <c r="AP565" s="335"/>
      <c r="AQ565" s="335"/>
      <c r="AR565" s="335"/>
      <c r="AS565" s="335"/>
      <c r="AT565" s="335"/>
      <c r="AU565" s="335"/>
      <c r="AV565" s="335"/>
      <c r="AW565" s="335"/>
      <c r="AX565" s="335"/>
      <c r="AY565" s="335"/>
      <c r="AZ565" s="335"/>
      <c r="BA565" s="335"/>
      <c r="BB565" s="335"/>
      <c r="BC565" s="335"/>
      <c r="BD565" s="335"/>
      <c r="BE565" s="335"/>
      <c r="BF565" s="335"/>
      <c r="BG565" s="335"/>
      <c r="BH565" s="335"/>
      <c r="BI565" s="335"/>
      <c r="BJ565" s="335"/>
      <c r="BK565" s="335"/>
      <c r="BL565" s="335"/>
      <c r="BM565" s="335"/>
      <c r="BN565" s="335"/>
      <c r="BO565" s="335"/>
      <c r="BP565" s="335"/>
      <c r="BQ565" s="335"/>
      <c r="BR565" s="335"/>
      <c r="BS565" s="335"/>
      <c r="BT565" s="335"/>
      <c r="BU565" s="335"/>
      <c r="BV565" s="335"/>
      <c r="BW565" s="335"/>
      <c r="BX565" s="335"/>
      <c r="BY565" s="335"/>
      <c r="BZ565" s="335"/>
      <c r="CA565" s="335"/>
      <c r="CB565" s="335"/>
      <c r="CC565" s="335"/>
      <c r="CD565" s="335"/>
      <c r="CE565" s="335"/>
      <c r="CF565" s="335"/>
      <c r="CG565" s="335"/>
      <c r="CH565" s="335"/>
      <c r="CI565" s="335"/>
      <c r="CJ565" s="335"/>
      <c r="CK565" s="335"/>
      <c r="CL565" s="335"/>
      <c r="CM565" s="335"/>
      <c r="CN565" s="335"/>
      <c r="CO565" s="335"/>
      <c r="CP565" s="335"/>
      <c r="CQ565" s="335"/>
      <c r="CR565" s="335"/>
      <c r="CS565" s="335"/>
      <c r="CT565" s="335"/>
      <c r="CU565" s="335"/>
      <c r="CV565" s="335"/>
      <c r="CW565" s="335"/>
      <c r="CX565" s="335"/>
      <c r="CY565" s="335"/>
      <c r="CZ565" s="335"/>
      <c r="DA565" s="335"/>
      <c r="DB565" s="335"/>
      <c r="DC565" s="335"/>
      <c r="DD565" s="335"/>
      <c r="DE565" s="335"/>
      <c r="DF565" s="335"/>
      <c r="DG565" s="335"/>
      <c r="DH565" s="335"/>
      <c r="DI565" s="335"/>
      <c r="DJ565" s="335"/>
      <c r="DK565" s="335"/>
      <c r="DL565" s="335"/>
      <c r="DM565" s="335"/>
      <c r="DN565" s="335"/>
      <c r="DO565" s="335"/>
      <c r="DP565" s="335"/>
      <c r="DQ565" s="335"/>
      <c r="DR565" s="335"/>
      <c r="DS565" s="335"/>
      <c r="DT565" s="335"/>
      <c r="DU565" s="335"/>
      <c r="DV565" s="335"/>
      <c r="DW565" s="335"/>
      <c r="DX565" s="335"/>
      <c r="DY565" s="335"/>
      <c r="DZ565" s="335"/>
      <c r="EA565" s="335"/>
      <c r="EB565" s="335"/>
      <c r="EC565" s="335"/>
      <c r="ED565" s="335"/>
      <c r="EE565" s="335"/>
      <c r="EF565" s="335"/>
      <c r="EG565" s="335"/>
      <c r="EH565" s="335"/>
      <c r="EI565" s="335"/>
      <c r="EJ565" s="335"/>
      <c r="EK565" s="335"/>
      <c r="EL565" s="335"/>
      <c r="EM565" s="335"/>
      <c r="EN565" s="335"/>
      <c r="EO565" s="335"/>
      <c r="EP565" s="335"/>
      <c r="EQ565" s="335"/>
      <c r="ER565" s="335"/>
      <c r="ES565" s="335"/>
      <c r="ET565" s="335"/>
      <c r="EU565" s="335"/>
      <c r="EV565" s="335"/>
      <c r="EW565" s="335"/>
      <c r="EX565" s="335"/>
      <c r="EY565" s="335"/>
      <c r="EZ565" s="335"/>
      <c r="FA565" s="335"/>
      <c r="FB565" s="335"/>
      <c r="FC565" s="335"/>
      <c r="FD565" s="335"/>
      <c r="FE565" s="335"/>
      <c r="FF565" s="335"/>
      <c r="FG565" s="335"/>
      <c r="FH565" s="335"/>
      <c r="FI565" s="335"/>
      <c r="FJ565" s="335"/>
      <c r="FK565" s="335"/>
      <c r="FL565" s="335"/>
      <c r="FM565" s="335"/>
      <c r="FN565" s="335"/>
      <c r="FO565" s="335"/>
      <c r="FP565" s="335"/>
      <c r="FQ565" s="335"/>
      <c r="FR565" s="335"/>
      <c r="FS565" s="335"/>
      <c r="FT565" s="335"/>
      <c r="FU565" s="335"/>
      <c r="FV565" s="335"/>
      <c r="FW565" s="335"/>
      <c r="FX565" s="335"/>
      <c r="FY565" s="335"/>
      <c r="FZ565" s="335"/>
      <c r="GA565" s="335"/>
      <c r="GB565" s="335"/>
      <c r="GC565" s="335"/>
      <c r="GD565" s="335"/>
      <c r="GE565" s="335"/>
      <c r="GF565" s="335"/>
      <c r="GG565" s="335"/>
      <c r="GH565" s="335"/>
      <c r="GI565" s="335"/>
      <c r="GJ565" s="335"/>
      <c r="GK565" s="335"/>
      <c r="GL565" s="335"/>
      <c r="GM565" s="335"/>
      <c r="GN565" s="335"/>
      <c r="GO565" s="335"/>
      <c r="GP565" s="335"/>
      <c r="GQ565" s="335"/>
      <c r="GR565" s="335"/>
      <c r="GS565" s="335"/>
      <c r="GT565" s="335"/>
      <c r="GU565" s="335"/>
      <c r="GV565" s="335"/>
      <c r="GW565" s="335"/>
      <c r="GX565" s="335"/>
      <c r="GY565" s="335"/>
      <c r="GZ565" s="335"/>
    </row>
    <row r="566" spans="1:208" ht="15">
      <c r="A566" s="379"/>
      <c r="B566" s="335"/>
      <c r="C566" s="335"/>
      <c r="D566" s="335"/>
      <c r="E566" s="335"/>
      <c r="F566" s="335"/>
      <c r="G566" s="335"/>
      <c r="H566" s="335"/>
      <c r="I566" s="335"/>
      <c r="J566" s="335"/>
      <c r="K566" s="335"/>
      <c r="L566" s="335"/>
      <c r="M566" s="376"/>
      <c r="N566" s="335"/>
      <c r="O566" s="380"/>
      <c r="P566" s="335"/>
      <c r="Q566" s="335"/>
      <c r="R566" s="335"/>
      <c r="S566" s="335"/>
      <c r="T566" s="335"/>
      <c r="U566" s="335"/>
      <c r="V566" s="335"/>
      <c r="W566" s="335"/>
      <c r="X566" s="335"/>
      <c r="Y566" s="335"/>
      <c r="Z566" s="335"/>
      <c r="AA566" s="335"/>
      <c r="AB566" s="335"/>
      <c r="AC566" s="335"/>
      <c r="AD566" s="335"/>
      <c r="AE566" s="335"/>
      <c r="AF566" s="335"/>
      <c r="AG566" s="335"/>
      <c r="AH566" s="335"/>
      <c r="AI566" s="335"/>
      <c r="AJ566" s="335"/>
      <c r="AK566" s="335"/>
      <c r="AL566" s="335"/>
      <c r="AM566" s="335"/>
      <c r="AN566" s="335"/>
      <c r="AO566" s="335"/>
      <c r="AP566" s="335"/>
      <c r="AQ566" s="335"/>
      <c r="AR566" s="335"/>
      <c r="AS566" s="335"/>
      <c r="AT566" s="335"/>
      <c r="AU566" s="335"/>
      <c r="AV566" s="335"/>
      <c r="AW566" s="335"/>
      <c r="AX566" s="335"/>
      <c r="AY566" s="335"/>
      <c r="AZ566" s="335"/>
      <c r="BA566" s="335"/>
      <c r="BB566" s="335"/>
      <c r="BC566" s="335"/>
      <c r="BD566" s="335"/>
      <c r="BE566" s="335"/>
      <c r="BF566" s="335"/>
      <c r="BG566" s="335"/>
      <c r="BH566" s="335"/>
      <c r="BI566" s="335"/>
      <c r="BJ566" s="335"/>
      <c r="BK566" s="335"/>
      <c r="BL566" s="335"/>
      <c r="BM566" s="335"/>
      <c r="BN566" s="335"/>
      <c r="BO566" s="335"/>
      <c r="BP566" s="335"/>
      <c r="BQ566" s="335"/>
      <c r="BR566" s="335"/>
      <c r="BS566" s="335"/>
      <c r="BT566" s="335"/>
      <c r="BU566" s="335"/>
      <c r="BV566" s="335"/>
      <c r="BW566" s="335"/>
      <c r="BX566" s="335"/>
      <c r="BY566" s="335"/>
      <c r="BZ566" s="335"/>
      <c r="CA566" s="335"/>
      <c r="CB566" s="335"/>
      <c r="CC566" s="335"/>
      <c r="CD566" s="335"/>
      <c r="CE566" s="335"/>
      <c r="CF566" s="335"/>
      <c r="CG566" s="335"/>
      <c r="CH566" s="335"/>
      <c r="CI566" s="335"/>
      <c r="CJ566" s="335"/>
      <c r="CK566" s="335"/>
      <c r="CL566" s="335"/>
      <c r="CM566" s="335"/>
      <c r="CN566" s="335"/>
      <c r="CO566" s="335"/>
      <c r="CP566" s="335"/>
      <c r="CQ566" s="335"/>
      <c r="CR566" s="335"/>
      <c r="CS566" s="335"/>
      <c r="CT566" s="335"/>
      <c r="CU566" s="335"/>
      <c r="CV566" s="335"/>
      <c r="CW566" s="335"/>
      <c r="CX566" s="335"/>
      <c r="CY566" s="335"/>
      <c r="CZ566" s="335"/>
      <c r="DA566" s="335"/>
      <c r="DB566" s="335"/>
      <c r="DC566" s="335"/>
      <c r="DD566" s="335"/>
      <c r="DE566" s="335"/>
      <c r="DF566" s="335"/>
      <c r="DG566" s="335"/>
      <c r="DH566" s="335"/>
      <c r="DI566" s="335"/>
      <c r="DJ566" s="335"/>
      <c r="DK566" s="335"/>
      <c r="DL566" s="335"/>
      <c r="DM566" s="335"/>
      <c r="DN566" s="335"/>
      <c r="DO566" s="335"/>
      <c r="DP566" s="335"/>
      <c r="DQ566" s="335"/>
      <c r="DR566" s="335"/>
      <c r="DS566" s="335"/>
      <c r="DT566" s="335"/>
      <c r="DU566" s="335"/>
      <c r="DV566" s="335"/>
      <c r="DW566" s="335"/>
      <c r="DX566" s="335"/>
      <c r="DY566" s="335"/>
      <c r="DZ566" s="335"/>
      <c r="EA566" s="335"/>
      <c r="EB566" s="335"/>
      <c r="EC566" s="335"/>
      <c r="ED566" s="335"/>
      <c r="EE566" s="335"/>
      <c r="EF566" s="335"/>
      <c r="EG566" s="335"/>
      <c r="EH566" s="335"/>
      <c r="EI566" s="335"/>
      <c r="EJ566" s="335"/>
      <c r="EK566" s="335"/>
      <c r="EL566" s="335"/>
      <c r="EM566" s="335"/>
      <c r="EN566" s="335"/>
      <c r="EO566" s="335"/>
      <c r="EP566" s="335"/>
      <c r="EQ566" s="335"/>
      <c r="ER566" s="335"/>
      <c r="ES566" s="335"/>
      <c r="ET566" s="335"/>
      <c r="EU566" s="335"/>
      <c r="EV566" s="335"/>
      <c r="EW566" s="335"/>
      <c r="EX566" s="335"/>
      <c r="EY566" s="335"/>
      <c r="EZ566" s="335"/>
      <c r="FA566" s="335"/>
      <c r="FB566" s="335"/>
      <c r="FC566" s="335"/>
      <c r="FD566" s="335"/>
      <c r="FE566" s="335"/>
      <c r="FF566" s="335"/>
      <c r="FG566" s="335"/>
      <c r="FH566" s="335"/>
      <c r="FI566" s="335"/>
      <c r="FJ566" s="335"/>
      <c r="FK566" s="335"/>
      <c r="FL566" s="335"/>
      <c r="FM566" s="335"/>
      <c r="FN566" s="335"/>
      <c r="FO566" s="335"/>
      <c r="FP566" s="335"/>
      <c r="FQ566" s="335"/>
      <c r="FR566" s="335"/>
      <c r="FS566" s="335"/>
      <c r="FT566" s="335"/>
      <c r="FU566" s="335"/>
      <c r="FV566" s="335"/>
      <c r="FW566" s="335"/>
      <c r="FX566" s="335"/>
      <c r="FY566" s="335"/>
      <c r="FZ566" s="335"/>
      <c r="GA566" s="335"/>
      <c r="GB566" s="335"/>
      <c r="GC566" s="335"/>
      <c r="GD566" s="335"/>
      <c r="GE566" s="335"/>
      <c r="GF566" s="335"/>
      <c r="GG566" s="335"/>
      <c r="GH566" s="335"/>
      <c r="GI566" s="335"/>
      <c r="GJ566" s="335"/>
      <c r="GK566" s="335"/>
      <c r="GL566" s="335"/>
      <c r="GM566" s="335"/>
      <c r="GN566" s="335"/>
      <c r="GO566" s="335"/>
      <c r="GP566" s="335"/>
      <c r="GQ566" s="335"/>
      <c r="GR566" s="335"/>
      <c r="GS566" s="335"/>
      <c r="GT566" s="335"/>
      <c r="GU566" s="335"/>
      <c r="GV566" s="335"/>
      <c r="GW566" s="335"/>
      <c r="GX566" s="335"/>
      <c r="GY566" s="335"/>
      <c r="GZ566" s="335"/>
    </row>
    <row r="567" spans="1:208" ht="15">
      <c r="A567" s="379"/>
      <c r="B567" s="335"/>
      <c r="C567" s="335"/>
      <c r="D567" s="335"/>
      <c r="E567" s="335"/>
      <c r="F567" s="335"/>
      <c r="G567" s="335"/>
      <c r="H567" s="335"/>
      <c r="I567" s="335"/>
      <c r="J567" s="335"/>
      <c r="K567" s="335"/>
      <c r="L567" s="335"/>
      <c r="M567" s="376"/>
      <c r="N567" s="335"/>
      <c r="O567" s="380"/>
      <c r="P567" s="335"/>
      <c r="Q567" s="335"/>
      <c r="R567" s="335"/>
      <c r="S567" s="335"/>
      <c r="T567" s="335"/>
      <c r="U567" s="335"/>
      <c r="V567" s="335"/>
      <c r="W567" s="335"/>
      <c r="X567" s="335"/>
      <c r="Y567" s="335"/>
      <c r="Z567" s="335"/>
      <c r="AA567" s="335"/>
      <c r="AB567" s="335"/>
      <c r="AC567" s="335"/>
      <c r="AD567" s="335"/>
      <c r="AE567" s="335"/>
      <c r="AF567" s="335"/>
      <c r="AG567" s="335"/>
      <c r="AH567" s="335"/>
      <c r="AI567" s="335"/>
      <c r="AJ567" s="335"/>
      <c r="AK567" s="335"/>
      <c r="AL567" s="335"/>
      <c r="AM567" s="335"/>
      <c r="AN567" s="335"/>
      <c r="AO567" s="335"/>
      <c r="AP567" s="335"/>
      <c r="AQ567" s="335"/>
      <c r="AR567" s="335"/>
      <c r="AS567" s="335"/>
      <c r="AT567" s="335"/>
      <c r="AU567" s="335"/>
      <c r="AV567" s="335"/>
      <c r="AW567" s="335"/>
      <c r="AX567" s="335"/>
      <c r="AY567" s="335"/>
      <c r="AZ567" s="335"/>
      <c r="BA567" s="335"/>
      <c r="BB567" s="335"/>
      <c r="BC567" s="335"/>
      <c r="BD567" s="335"/>
      <c r="BE567" s="335"/>
      <c r="BF567" s="335"/>
      <c r="BG567" s="335"/>
      <c r="BH567" s="335"/>
      <c r="BI567" s="335"/>
      <c r="BJ567" s="335"/>
      <c r="BK567" s="335"/>
      <c r="BL567" s="335"/>
      <c r="BM567" s="335"/>
      <c r="BN567" s="335"/>
      <c r="BO567" s="335"/>
      <c r="BP567" s="335"/>
      <c r="BQ567" s="335"/>
      <c r="BR567" s="335"/>
      <c r="BS567" s="335"/>
      <c r="BT567" s="335"/>
      <c r="BU567" s="335"/>
      <c r="BV567" s="335"/>
      <c r="BW567" s="335"/>
      <c r="BX567" s="335"/>
      <c r="BY567" s="335"/>
      <c r="BZ567" s="335"/>
      <c r="CA567" s="335"/>
      <c r="CB567" s="335"/>
      <c r="CC567" s="335"/>
      <c r="CD567" s="335"/>
      <c r="CE567" s="335"/>
      <c r="CF567" s="335"/>
      <c r="CG567" s="335"/>
      <c r="CH567" s="335"/>
      <c r="CI567" s="335"/>
      <c r="CJ567" s="335"/>
      <c r="CK567" s="335"/>
      <c r="CL567" s="335"/>
      <c r="CM567" s="335"/>
      <c r="CN567" s="335"/>
      <c r="CO567" s="335"/>
      <c r="CP567" s="335"/>
      <c r="CQ567" s="335"/>
      <c r="CR567" s="335"/>
      <c r="CS567" s="335"/>
      <c r="CT567" s="335"/>
      <c r="CU567" s="335"/>
      <c r="CV567" s="335"/>
      <c r="CW567" s="335"/>
      <c r="CX567" s="335"/>
      <c r="CY567" s="335"/>
      <c r="CZ567" s="335"/>
      <c r="DA567" s="335"/>
      <c r="DB567" s="335"/>
      <c r="DC567" s="335"/>
      <c r="DD567" s="335"/>
      <c r="DE567" s="335"/>
      <c r="DF567" s="335"/>
      <c r="DG567" s="335"/>
      <c r="DH567" s="335"/>
      <c r="DI567" s="335"/>
      <c r="DJ567" s="335"/>
      <c r="DK567" s="335"/>
      <c r="DL567" s="335"/>
      <c r="DM567" s="335"/>
      <c r="DN567" s="335"/>
      <c r="DO567" s="335"/>
      <c r="DP567" s="335"/>
      <c r="DQ567" s="335"/>
      <c r="DR567" s="335"/>
      <c r="DS567" s="335"/>
      <c r="DT567" s="335"/>
      <c r="DU567" s="335"/>
      <c r="DV567" s="335"/>
      <c r="DW567" s="335"/>
      <c r="DX567" s="335"/>
      <c r="DY567" s="335"/>
      <c r="DZ567" s="335"/>
      <c r="EA567" s="335"/>
      <c r="EB567" s="335"/>
      <c r="EC567" s="335"/>
      <c r="ED567" s="335"/>
      <c r="EE567" s="335"/>
      <c r="EF567" s="335"/>
      <c r="EG567" s="335"/>
      <c r="EH567" s="335"/>
      <c r="EI567" s="335"/>
      <c r="EJ567" s="335"/>
      <c r="EK567" s="335"/>
      <c r="EL567" s="335"/>
      <c r="EM567" s="335"/>
      <c r="EN567" s="335"/>
      <c r="EO567" s="335"/>
      <c r="EP567" s="335"/>
      <c r="EQ567" s="335"/>
      <c r="ER567" s="335"/>
      <c r="ES567" s="335"/>
      <c r="ET567" s="335"/>
      <c r="EU567" s="335"/>
      <c r="EV567" s="335"/>
      <c r="EW567" s="335"/>
      <c r="EX567" s="335"/>
      <c r="EY567" s="335"/>
      <c r="EZ567" s="335"/>
      <c r="FA567" s="335"/>
      <c r="FB567" s="335"/>
      <c r="FC567" s="335"/>
      <c r="FD567" s="335"/>
      <c r="FE567" s="335"/>
      <c r="FF567" s="335"/>
      <c r="FG567" s="335"/>
      <c r="FH567" s="335"/>
      <c r="FI567" s="335"/>
      <c r="FJ567" s="335"/>
      <c r="FK567" s="335"/>
      <c r="FL567" s="335"/>
      <c r="FM567" s="335"/>
      <c r="FN567" s="335"/>
      <c r="FO567" s="335"/>
      <c r="FP567" s="335"/>
      <c r="FQ567" s="335"/>
      <c r="FR567" s="335"/>
      <c r="FS567" s="335"/>
      <c r="FT567" s="335"/>
      <c r="FU567" s="335"/>
      <c r="FV567" s="335"/>
      <c r="FW567" s="335"/>
      <c r="FX567" s="335"/>
      <c r="FY567" s="335"/>
      <c r="FZ567" s="335"/>
      <c r="GA567" s="335"/>
      <c r="GB567" s="335"/>
      <c r="GC567" s="335"/>
      <c r="GD567" s="335"/>
      <c r="GE567" s="335"/>
      <c r="GF567" s="335"/>
      <c r="GG567" s="335"/>
      <c r="GH567" s="335"/>
      <c r="GI567" s="335"/>
      <c r="GJ567" s="335"/>
      <c r="GK567" s="335"/>
      <c r="GL567" s="335"/>
      <c r="GM567" s="335"/>
      <c r="GN567" s="335"/>
      <c r="GO567" s="335"/>
      <c r="GP567" s="335"/>
      <c r="GQ567" s="335"/>
      <c r="GR567" s="335"/>
      <c r="GS567" s="335"/>
      <c r="GT567" s="335"/>
      <c r="GU567" s="335"/>
      <c r="GV567" s="335"/>
      <c r="GW567" s="335"/>
      <c r="GX567" s="335"/>
      <c r="GY567" s="335"/>
      <c r="GZ567" s="335"/>
    </row>
    <row r="568" spans="1:208" ht="15">
      <c r="A568" s="379"/>
      <c r="B568" s="335"/>
      <c r="C568" s="335"/>
      <c r="D568" s="335"/>
      <c r="E568" s="335"/>
      <c r="F568" s="335"/>
      <c r="G568" s="335"/>
      <c r="H568" s="335"/>
      <c r="I568" s="335"/>
      <c r="J568" s="335"/>
      <c r="K568" s="335"/>
      <c r="L568" s="335"/>
      <c r="M568" s="376"/>
      <c r="N568" s="335"/>
      <c r="O568" s="380"/>
      <c r="P568" s="335"/>
      <c r="Q568" s="335"/>
      <c r="R568" s="335"/>
      <c r="S568" s="335"/>
      <c r="T568" s="335"/>
      <c r="U568" s="335"/>
      <c r="V568" s="335"/>
      <c r="W568" s="335"/>
      <c r="X568" s="335"/>
      <c r="Y568" s="335"/>
      <c r="Z568" s="335"/>
      <c r="AA568" s="335"/>
      <c r="AB568" s="335"/>
      <c r="AC568" s="335"/>
      <c r="AD568" s="335"/>
      <c r="AE568" s="335"/>
      <c r="AF568" s="335"/>
      <c r="AG568" s="335"/>
      <c r="AH568" s="335"/>
      <c r="AI568" s="335"/>
      <c r="AJ568" s="335"/>
      <c r="AK568" s="335"/>
      <c r="AL568" s="335"/>
      <c r="AM568" s="335"/>
      <c r="AN568" s="335"/>
      <c r="AO568" s="335"/>
      <c r="AP568" s="335"/>
      <c r="AQ568" s="335"/>
      <c r="AR568" s="335"/>
      <c r="AS568" s="335"/>
      <c r="AT568" s="335"/>
      <c r="AU568" s="335"/>
      <c r="AV568" s="335"/>
      <c r="AW568" s="335"/>
      <c r="AX568" s="335"/>
      <c r="AY568" s="335"/>
      <c r="AZ568" s="335"/>
      <c r="BA568" s="335"/>
      <c r="BB568" s="335"/>
      <c r="BC568" s="335"/>
      <c r="BD568" s="335"/>
      <c r="BE568" s="335"/>
      <c r="BF568" s="335"/>
      <c r="BG568" s="335"/>
      <c r="BH568" s="335"/>
      <c r="BI568" s="335"/>
      <c r="BJ568" s="335"/>
      <c r="BK568" s="335"/>
      <c r="BL568" s="335"/>
      <c r="BM568" s="335"/>
      <c r="BN568" s="335"/>
      <c r="BO568" s="335"/>
      <c r="BP568" s="335"/>
      <c r="BQ568" s="335"/>
      <c r="BR568" s="335"/>
      <c r="BS568" s="335"/>
      <c r="BT568" s="335"/>
      <c r="BU568" s="335"/>
      <c r="BV568" s="335"/>
      <c r="BW568" s="335"/>
      <c r="BX568" s="335"/>
      <c r="BY568" s="335"/>
      <c r="BZ568" s="335"/>
      <c r="CA568" s="335"/>
      <c r="CB568" s="335"/>
      <c r="CC568" s="335"/>
      <c r="CD568" s="335"/>
      <c r="CE568" s="335"/>
      <c r="CF568" s="335"/>
      <c r="CG568" s="335"/>
      <c r="CH568" s="335"/>
      <c r="CI568" s="335"/>
      <c r="CJ568" s="335"/>
      <c r="CK568" s="335"/>
      <c r="CL568" s="335"/>
      <c r="CM568" s="335"/>
      <c r="CN568" s="335"/>
      <c r="CO568" s="335"/>
      <c r="CP568" s="335"/>
      <c r="CQ568" s="335"/>
      <c r="CR568" s="335"/>
      <c r="CS568" s="335"/>
      <c r="CT568" s="335"/>
      <c r="CU568" s="335"/>
      <c r="CV568" s="335"/>
      <c r="CW568" s="335"/>
      <c r="CX568" s="335"/>
      <c r="CY568" s="335"/>
      <c r="CZ568" s="335"/>
      <c r="DA568" s="335"/>
      <c r="DB568" s="335"/>
      <c r="DC568" s="335"/>
      <c r="DD568" s="335"/>
      <c r="DE568" s="335"/>
      <c r="DF568" s="335"/>
      <c r="DG568" s="335"/>
      <c r="DH568" s="335"/>
      <c r="DI568" s="335"/>
      <c r="DJ568" s="335"/>
      <c r="DK568" s="335"/>
      <c r="DL568" s="335"/>
      <c r="DM568" s="335"/>
      <c r="DN568" s="335"/>
      <c r="DO568" s="335"/>
      <c r="DP568" s="335"/>
      <c r="DQ568" s="335"/>
      <c r="DR568" s="335"/>
      <c r="DS568" s="335"/>
      <c r="DT568" s="335"/>
      <c r="DU568" s="335"/>
      <c r="DV568" s="335"/>
      <c r="DW568" s="335"/>
      <c r="DX568" s="335"/>
      <c r="DY568" s="335"/>
      <c r="DZ568" s="335"/>
      <c r="EA568" s="335"/>
      <c r="EB568" s="335"/>
      <c r="EC568" s="335"/>
      <c r="ED568" s="335"/>
      <c r="EE568" s="335"/>
      <c r="EF568" s="335"/>
      <c r="EG568" s="335"/>
      <c r="EH568" s="335"/>
      <c r="EI568" s="335"/>
      <c r="EJ568" s="335"/>
      <c r="EK568" s="335"/>
      <c r="EL568" s="335"/>
      <c r="EM568" s="335"/>
      <c r="EN568" s="335"/>
      <c r="EO568" s="335"/>
      <c r="EP568" s="335"/>
      <c r="EQ568" s="335"/>
      <c r="ER568" s="335"/>
      <c r="ES568" s="335"/>
      <c r="ET568" s="335"/>
      <c r="EU568" s="335"/>
      <c r="EV568" s="335"/>
      <c r="EW568" s="335"/>
      <c r="EX568" s="335"/>
      <c r="EY568" s="335"/>
      <c r="EZ568" s="335"/>
      <c r="FA568" s="335"/>
      <c r="FB568" s="335"/>
      <c r="FC568" s="335"/>
      <c r="FD568" s="335"/>
      <c r="FE568" s="335"/>
      <c r="FF568" s="335"/>
      <c r="FG568" s="335"/>
      <c r="FH568" s="335"/>
      <c r="FI568" s="335"/>
      <c r="FJ568" s="335"/>
      <c r="FK568" s="335"/>
      <c r="FL568" s="335"/>
      <c r="FM568" s="335"/>
      <c r="FN568" s="335"/>
      <c r="FO568" s="335"/>
      <c r="FP568" s="335"/>
      <c r="FQ568" s="335"/>
      <c r="FR568" s="335"/>
      <c r="FS568" s="335"/>
      <c r="FT568" s="335"/>
      <c r="FU568" s="335"/>
      <c r="FV568" s="335"/>
      <c r="FW568" s="335"/>
      <c r="FX568" s="335"/>
      <c r="FY568" s="335"/>
      <c r="FZ568" s="335"/>
      <c r="GA568" s="335"/>
      <c r="GB568" s="335"/>
      <c r="GC568" s="335"/>
      <c r="GD568" s="335"/>
      <c r="GE568" s="335"/>
      <c r="GF568" s="335"/>
      <c r="GG568" s="335"/>
      <c r="GH568" s="335"/>
      <c r="GI568" s="335"/>
      <c r="GJ568" s="335"/>
      <c r="GK568" s="335"/>
      <c r="GL568" s="335"/>
      <c r="GM568" s="335"/>
      <c r="GN568" s="335"/>
      <c r="GO568" s="335"/>
      <c r="GP568" s="335"/>
      <c r="GQ568" s="335"/>
      <c r="GR568" s="335"/>
      <c r="GS568" s="335"/>
      <c r="GT568" s="335"/>
      <c r="GU568" s="335"/>
      <c r="GV568" s="335"/>
      <c r="GW568" s="335"/>
      <c r="GX568" s="335"/>
      <c r="GY568" s="335"/>
      <c r="GZ568" s="335"/>
    </row>
    <row r="569" spans="1:208" ht="15">
      <c r="A569" s="379"/>
      <c r="B569" s="335"/>
      <c r="C569" s="335"/>
      <c r="D569" s="335"/>
      <c r="E569" s="335"/>
      <c r="F569" s="335"/>
      <c r="G569" s="335"/>
      <c r="H569" s="335"/>
      <c r="I569" s="335"/>
      <c r="J569" s="335"/>
      <c r="K569" s="335"/>
      <c r="L569" s="335"/>
      <c r="M569" s="376"/>
      <c r="N569" s="335"/>
      <c r="O569" s="380"/>
      <c r="P569" s="335"/>
      <c r="Q569" s="335"/>
      <c r="R569" s="335"/>
      <c r="S569" s="335"/>
      <c r="T569" s="335"/>
      <c r="U569" s="335"/>
      <c r="V569" s="335"/>
      <c r="W569" s="335"/>
      <c r="X569" s="335"/>
      <c r="Y569" s="335"/>
      <c r="Z569" s="335"/>
      <c r="AA569" s="335"/>
      <c r="AB569" s="335"/>
      <c r="AC569" s="335"/>
      <c r="AD569" s="335"/>
      <c r="AE569" s="335"/>
      <c r="AF569" s="335"/>
      <c r="AG569" s="335"/>
      <c r="AH569" s="335"/>
      <c r="AI569" s="335"/>
      <c r="AJ569" s="335"/>
      <c r="AK569" s="335"/>
      <c r="AL569" s="335"/>
      <c r="AM569" s="335"/>
      <c r="AN569" s="335"/>
      <c r="AO569" s="335"/>
      <c r="AP569" s="335"/>
      <c r="AQ569" s="335"/>
      <c r="AR569" s="335"/>
      <c r="AS569" s="335"/>
      <c r="AT569" s="335"/>
      <c r="AU569" s="335"/>
      <c r="AV569" s="335"/>
      <c r="AW569" s="335"/>
      <c r="AX569" s="335"/>
      <c r="AY569" s="335"/>
      <c r="AZ569" s="335"/>
      <c r="BA569" s="335"/>
      <c r="BB569" s="335"/>
      <c r="BC569" s="335"/>
      <c r="BD569" s="335"/>
      <c r="BE569" s="335"/>
      <c r="BF569" s="335"/>
      <c r="BG569" s="335"/>
      <c r="BH569" s="335"/>
      <c r="BI569" s="335"/>
      <c r="BJ569" s="335"/>
      <c r="BK569" s="335"/>
      <c r="BL569" s="335"/>
      <c r="BM569" s="335"/>
      <c r="BN569" s="335"/>
      <c r="BO569" s="335"/>
      <c r="BP569" s="335"/>
      <c r="BQ569" s="335"/>
      <c r="BR569" s="335"/>
      <c r="BS569" s="335"/>
      <c r="BT569" s="335"/>
      <c r="BU569" s="335"/>
      <c r="BV569" s="335"/>
      <c r="BW569" s="335"/>
      <c r="BX569" s="335"/>
      <c r="BY569" s="335"/>
      <c r="BZ569" s="335"/>
      <c r="CA569" s="335"/>
      <c r="CB569" s="335"/>
      <c r="CC569" s="335"/>
      <c r="CD569" s="335"/>
      <c r="CE569" s="335"/>
      <c r="CF569" s="335"/>
      <c r="CG569" s="335"/>
      <c r="CH569" s="335"/>
      <c r="CI569" s="335"/>
      <c r="CJ569" s="335"/>
      <c r="CK569" s="335"/>
      <c r="CL569" s="335"/>
      <c r="CM569" s="335"/>
      <c r="CN569" s="335"/>
      <c r="CO569" s="335"/>
      <c r="CP569" s="335"/>
      <c r="CQ569" s="335"/>
      <c r="CR569" s="335"/>
      <c r="CS569" s="335"/>
      <c r="CT569" s="335"/>
      <c r="CU569" s="335"/>
      <c r="CV569" s="335"/>
      <c r="CW569" s="335"/>
      <c r="CX569" s="335"/>
      <c r="CY569" s="335"/>
      <c r="CZ569" s="335"/>
      <c r="DA569" s="335"/>
      <c r="DB569" s="335"/>
      <c r="DC569" s="335"/>
      <c r="DD569" s="335"/>
      <c r="DE569" s="335"/>
      <c r="DF569" s="335"/>
      <c r="DG569" s="335"/>
      <c r="DH569" s="335"/>
      <c r="DI569" s="335"/>
      <c r="DJ569" s="335"/>
      <c r="DK569" s="335"/>
      <c r="DL569" s="335"/>
      <c r="DM569" s="335"/>
      <c r="DN569" s="335"/>
      <c r="DO569" s="335"/>
      <c r="DP569" s="335"/>
      <c r="DQ569" s="335"/>
      <c r="DR569" s="335"/>
      <c r="DS569" s="335"/>
      <c r="DT569" s="335"/>
      <c r="DU569" s="335"/>
      <c r="DV569" s="335"/>
      <c r="DW569" s="335"/>
      <c r="DX569" s="335"/>
      <c r="DY569" s="335"/>
      <c r="DZ569" s="335"/>
      <c r="EA569" s="335"/>
      <c r="EB569" s="335"/>
      <c r="EC569" s="335"/>
      <c r="ED569" s="335"/>
      <c r="EE569" s="335"/>
      <c r="EF569" s="335"/>
      <c r="EG569" s="335"/>
      <c r="EH569" s="335"/>
      <c r="EI569" s="335"/>
      <c r="EJ569" s="335"/>
      <c r="EK569" s="335"/>
      <c r="EL569" s="335"/>
      <c r="EM569" s="335"/>
      <c r="EN569" s="335"/>
      <c r="EO569" s="335"/>
      <c r="EP569" s="335"/>
      <c r="EQ569" s="335"/>
      <c r="ER569" s="335"/>
      <c r="ES569" s="335"/>
      <c r="ET569" s="335"/>
      <c r="EU569" s="335"/>
      <c r="EV569" s="335"/>
      <c r="EW569" s="335"/>
      <c r="EX569" s="335"/>
      <c r="EY569" s="335"/>
      <c r="EZ569" s="335"/>
      <c r="FA569" s="335"/>
      <c r="FB569" s="335"/>
      <c r="FC569" s="335"/>
      <c r="FD569" s="335"/>
      <c r="FE569" s="335"/>
      <c r="FF569" s="335"/>
      <c r="FG569" s="335"/>
      <c r="FH569" s="335"/>
      <c r="FI569" s="335"/>
      <c r="FJ569" s="335"/>
      <c r="FK569" s="335"/>
      <c r="FL569" s="335"/>
      <c r="FM569" s="335"/>
      <c r="FN569" s="335"/>
      <c r="FO569" s="335"/>
      <c r="FP569" s="335"/>
      <c r="FQ569" s="335"/>
      <c r="FR569" s="335"/>
      <c r="FS569" s="335"/>
      <c r="FT569" s="335"/>
      <c r="FU569" s="335"/>
      <c r="FV569" s="335"/>
      <c r="FW569" s="335"/>
      <c r="FX569" s="335"/>
      <c r="FY569" s="335"/>
      <c r="FZ569" s="335"/>
      <c r="GA569" s="335"/>
      <c r="GB569" s="335"/>
      <c r="GC569" s="335"/>
      <c r="GD569" s="335"/>
      <c r="GE569" s="335"/>
      <c r="GF569" s="335"/>
      <c r="GG569" s="335"/>
      <c r="GH569" s="335"/>
      <c r="GI569" s="335"/>
      <c r="GJ569" s="335"/>
      <c r="GK569" s="335"/>
      <c r="GL569" s="335"/>
      <c r="GM569" s="335"/>
      <c r="GN569" s="335"/>
      <c r="GO569" s="335"/>
      <c r="GP569" s="335"/>
      <c r="GQ569" s="335"/>
      <c r="GR569" s="335"/>
      <c r="GS569" s="335"/>
      <c r="GT569" s="335"/>
      <c r="GU569" s="335"/>
      <c r="GV569" s="335"/>
      <c r="GW569" s="335"/>
      <c r="GX569" s="335"/>
      <c r="GY569" s="335"/>
      <c r="GZ569" s="335"/>
    </row>
    <row r="570" spans="1:208" ht="15">
      <c r="A570" s="379"/>
      <c r="B570" s="335"/>
      <c r="C570" s="335"/>
      <c r="D570" s="335"/>
      <c r="E570" s="335"/>
      <c r="F570" s="335"/>
      <c r="G570" s="335"/>
      <c r="H570" s="335"/>
      <c r="I570" s="335"/>
      <c r="J570" s="335"/>
      <c r="K570" s="335"/>
      <c r="L570" s="335"/>
      <c r="M570" s="376"/>
      <c r="N570" s="335"/>
      <c r="O570" s="380"/>
      <c r="P570" s="335"/>
      <c r="Q570" s="335"/>
      <c r="R570" s="335"/>
      <c r="S570" s="335"/>
      <c r="T570" s="335"/>
      <c r="U570" s="335"/>
      <c r="V570" s="335"/>
      <c r="W570" s="335"/>
      <c r="X570" s="335"/>
      <c r="Y570" s="335"/>
      <c r="Z570" s="335"/>
      <c r="AA570" s="335"/>
      <c r="AB570" s="335"/>
      <c r="AC570" s="335"/>
      <c r="AD570" s="335"/>
      <c r="AE570" s="335"/>
      <c r="AF570" s="335"/>
      <c r="AG570" s="335"/>
      <c r="AH570" s="335"/>
      <c r="AI570" s="335"/>
      <c r="AJ570" s="335"/>
      <c r="AK570" s="335"/>
      <c r="AL570" s="335"/>
      <c r="AM570" s="335"/>
      <c r="AN570" s="335"/>
      <c r="AO570" s="335"/>
      <c r="AP570" s="335"/>
      <c r="AQ570" s="335"/>
      <c r="AR570" s="335"/>
      <c r="AS570" s="335"/>
      <c r="AT570" s="335"/>
      <c r="AU570" s="335"/>
      <c r="AV570" s="335"/>
      <c r="AW570" s="335"/>
      <c r="AX570" s="335"/>
      <c r="AY570" s="335"/>
      <c r="AZ570" s="335"/>
      <c r="BA570" s="335"/>
      <c r="BB570" s="335"/>
      <c r="BC570" s="335"/>
      <c r="BD570" s="335"/>
      <c r="BE570" s="335"/>
      <c r="BF570" s="335"/>
      <c r="BG570" s="335"/>
      <c r="BH570" s="335"/>
      <c r="BI570" s="335"/>
      <c r="BJ570" s="335"/>
      <c r="BK570" s="335"/>
      <c r="BL570" s="335"/>
      <c r="BM570" s="335"/>
      <c r="BN570" s="335"/>
      <c r="BO570" s="335"/>
      <c r="BP570" s="335"/>
      <c r="BQ570" s="335"/>
      <c r="BR570" s="335"/>
      <c r="BS570" s="335"/>
      <c r="BT570" s="335"/>
      <c r="BU570" s="335"/>
      <c r="BV570" s="335"/>
      <c r="BW570" s="335"/>
      <c r="BX570" s="335"/>
      <c r="BY570" s="335"/>
      <c r="BZ570" s="335"/>
      <c r="CA570" s="335"/>
      <c r="CB570" s="335"/>
      <c r="CC570" s="335"/>
      <c r="CD570" s="335"/>
      <c r="CE570" s="335"/>
      <c r="CF570" s="335"/>
      <c r="CG570" s="335"/>
      <c r="CH570" s="335"/>
      <c r="CI570" s="335"/>
      <c r="CJ570" s="335"/>
      <c r="CK570" s="335"/>
      <c r="CL570" s="335"/>
      <c r="CM570" s="335"/>
      <c r="CN570" s="335"/>
      <c r="CO570" s="335"/>
      <c r="CP570" s="335"/>
      <c r="CQ570" s="335"/>
      <c r="CR570" s="335"/>
      <c r="CS570" s="335"/>
      <c r="CT570" s="335"/>
      <c r="CU570" s="335"/>
      <c r="CV570" s="335"/>
      <c r="CW570" s="335"/>
      <c r="CX570" s="335"/>
      <c r="CY570" s="335"/>
      <c r="CZ570" s="335"/>
      <c r="DA570" s="335"/>
      <c r="DB570" s="335"/>
      <c r="DC570" s="335"/>
      <c r="DD570" s="335"/>
      <c r="DE570" s="335"/>
      <c r="DF570" s="335"/>
      <c r="DG570" s="335"/>
      <c r="DH570" s="335"/>
      <c r="DI570" s="335"/>
      <c r="DJ570" s="335"/>
      <c r="DK570" s="335"/>
      <c r="DL570" s="335"/>
      <c r="DM570" s="335"/>
      <c r="DN570" s="335"/>
      <c r="DO570" s="335"/>
      <c r="DP570" s="335"/>
      <c r="DQ570" s="335"/>
      <c r="DR570" s="335"/>
      <c r="DS570" s="335"/>
      <c r="DT570" s="335"/>
      <c r="DU570" s="335"/>
      <c r="DV570" s="335"/>
      <c r="DW570" s="335"/>
      <c r="DX570" s="335"/>
      <c r="DY570" s="335"/>
      <c r="DZ570" s="335"/>
      <c r="EA570" s="335"/>
      <c r="EB570" s="335"/>
      <c r="EC570" s="335"/>
      <c r="ED570" s="335"/>
      <c r="EE570" s="335"/>
      <c r="EF570" s="335"/>
      <c r="EG570" s="335"/>
      <c r="EH570" s="335"/>
      <c r="EI570" s="335"/>
      <c r="EJ570" s="335"/>
      <c r="EK570" s="335"/>
      <c r="EL570" s="335"/>
      <c r="EM570" s="335"/>
      <c r="EN570" s="335"/>
      <c r="EO570" s="335"/>
      <c r="EP570" s="335"/>
      <c r="EQ570" s="335"/>
      <c r="ER570" s="335"/>
      <c r="ES570" s="335"/>
      <c r="ET570" s="335"/>
      <c r="EU570" s="335"/>
      <c r="EV570" s="335"/>
      <c r="EW570" s="335"/>
      <c r="EX570" s="335"/>
      <c r="EY570" s="335"/>
      <c r="EZ570" s="335"/>
      <c r="FA570" s="335"/>
      <c r="FB570" s="335"/>
      <c r="FC570" s="335"/>
      <c r="FD570" s="335"/>
      <c r="FE570" s="335"/>
      <c r="FF570" s="335"/>
      <c r="FG570" s="335"/>
      <c r="FH570" s="335"/>
      <c r="FI570" s="335"/>
      <c r="FJ570" s="335"/>
      <c r="FK570" s="335"/>
      <c r="FL570" s="335"/>
      <c r="FM570" s="335"/>
      <c r="FN570" s="335"/>
      <c r="FO570" s="335"/>
      <c r="FP570" s="335"/>
      <c r="FQ570" s="335"/>
      <c r="FR570" s="335"/>
      <c r="FS570" s="335"/>
      <c r="FT570" s="335"/>
      <c r="FU570" s="335"/>
      <c r="FV570" s="335"/>
      <c r="FW570" s="335"/>
      <c r="FX570" s="335"/>
      <c r="FY570" s="335"/>
      <c r="FZ570" s="335"/>
      <c r="GA570" s="335"/>
      <c r="GB570" s="335"/>
      <c r="GC570" s="335"/>
      <c r="GD570" s="335"/>
      <c r="GE570" s="335"/>
      <c r="GF570" s="335"/>
      <c r="GG570" s="335"/>
      <c r="GH570" s="335"/>
      <c r="GI570" s="335"/>
      <c r="GJ570" s="335"/>
      <c r="GK570" s="335"/>
      <c r="GL570" s="335"/>
      <c r="GM570" s="335"/>
      <c r="GN570" s="335"/>
      <c r="GO570" s="335"/>
      <c r="GP570" s="335"/>
      <c r="GQ570" s="335"/>
      <c r="GR570" s="335"/>
      <c r="GS570" s="335"/>
      <c r="GT570" s="335"/>
      <c r="GU570" s="335"/>
      <c r="GV570" s="335"/>
      <c r="GW570" s="335"/>
      <c r="GX570" s="335"/>
      <c r="GY570" s="335"/>
      <c r="GZ570" s="335"/>
    </row>
    <row r="571" spans="1:208" ht="15">
      <c r="A571" s="379"/>
      <c r="B571" s="335"/>
      <c r="C571" s="335"/>
      <c r="D571" s="335"/>
      <c r="E571" s="335"/>
      <c r="F571" s="335"/>
      <c r="G571" s="335"/>
      <c r="H571" s="335"/>
      <c r="I571" s="335"/>
      <c r="J571" s="335"/>
      <c r="K571" s="335"/>
      <c r="L571" s="335"/>
      <c r="M571" s="376"/>
      <c r="N571" s="335"/>
      <c r="O571" s="380"/>
      <c r="P571" s="335"/>
      <c r="Q571" s="335"/>
      <c r="R571" s="335"/>
      <c r="S571" s="335"/>
      <c r="T571" s="335"/>
      <c r="U571" s="335"/>
      <c r="V571" s="335"/>
      <c r="W571" s="335"/>
      <c r="X571" s="335"/>
      <c r="Y571" s="335"/>
      <c r="Z571" s="335"/>
      <c r="AA571" s="335"/>
      <c r="AB571" s="335"/>
      <c r="AC571" s="335"/>
      <c r="AD571" s="335"/>
      <c r="AE571" s="335"/>
      <c r="AF571" s="335"/>
      <c r="AG571" s="335"/>
      <c r="AH571" s="335"/>
      <c r="AI571" s="335"/>
      <c r="AJ571" s="335"/>
      <c r="AK571" s="335"/>
      <c r="AL571" s="335"/>
      <c r="AM571" s="335"/>
      <c r="AN571" s="335"/>
      <c r="AO571" s="335"/>
      <c r="AP571" s="335"/>
      <c r="AQ571" s="335"/>
      <c r="AR571" s="335"/>
      <c r="AS571" s="335"/>
      <c r="AT571" s="335"/>
      <c r="AU571" s="335"/>
      <c r="AV571" s="335"/>
      <c r="AW571" s="335"/>
      <c r="AX571" s="335"/>
      <c r="AY571" s="335"/>
      <c r="AZ571" s="335"/>
      <c r="BA571" s="335"/>
      <c r="BB571" s="335"/>
      <c r="BC571" s="335"/>
      <c r="BD571" s="335"/>
      <c r="BE571" s="335"/>
      <c r="BF571" s="335"/>
      <c r="BG571" s="335"/>
      <c r="BH571" s="335"/>
      <c r="BI571" s="335"/>
      <c r="BJ571" s="335"/>
      <c r="BK571" s="335"/>
      <c r="BL571" s="335"/>
      <c r="BM571" s="335"/>
      <c r="BN571" s="335"/>
      <c r="BO571" s="335"/>
      <c r="BP571" s="335"/>
      <c r="BQ571" s="335"/>
      <c r="BR571" s="335"/>
      <c r="BS571" s="335"/>
      <c r="BT571" s="335"/>
      <c r="BU571" s="335"/>
      <c r="BV571" s="335"/>
      <c r="BW571" s="335"/>
      <c r="BX571" s="335"/>
      <c r="BY571" s="335"/>
      <c r="BZ571" s="335"/>
      <c r="CA571" s="335"/>
      <c r="CB571" s="335"/>
      <c r="CC571" s="335"/>
      <c r="CD571" s="335"/>
      <c r="CE571" s="335"/>
      <c r="CF571" s="335"/>
      <c r="CG571" s="335"/>
      <c r="CH571" s="335"/>
      <c r="CI571" s="335"/>
      <c r="CJ571" s="335"/>
      <c r="CK571" s="335"/>
      <c r="CL571" s="335"/>
      <c r="CM571" s="335"/>
      <c r="CN571" s="335"/>
      <c r="CO571" s="335"/>
      <c r="CP571" s="335"/>
      <c r="CQ571" s="335"/>
      <c r="CR571" s="335"/>
      <c r="CS571" s="335"/>
      <c r="CT571" s="335"/>
      <c r="CU571" s="335"/>
      <c r="CV571" s="335"/>
      <c r="CW571" s="335"/>
      <c r="CX571" s="335"/>
      <c r="CY571" s="335"/>
      <c r="CZ571" s="335"/>
      <c r="DA571" s="335"/>
      <c r="DB571" s="335"/>
      <c r="DC571" s="335"/>
      <c r="DD571" s="335"/>
      <c r="DE571" s="335"/>
      <c r="DF571" s="335"/>
      <c r="DG571" s="335"/>
      <c r="DH571" s="335"/>
      <c r="DI571" s="335"/>
      <c r="DJ571" s="335"/>
      <c r="DK571" s="335"/>
      <c r="DL571" s="335"/>
      <c r="DM571" s="335"/>
      <c r="DN571" s="335"/>
      <c r="DO571" s="335"/>
      <c r="DP571" s="335"/>
      <c r="DQ571" s="335"/>
      <c r="DR571" s="335"/>
      <c r="DS571" s="335"/>
      <c r="DT571" s="335"/>
      <c r="DU571" s="335"/>
      <c r="DV571" s="335"/>
      <c r="DW571" s="335"/>
      <c r="DX571" s="335"/>
      <c r="DY571" s="335"/>
      <c r="DZ571" s="335"/>
      <c r="EA571" s="335"/>
      <c r="EB571" s="335"/>
      <c r="EC571" s="335"/>
      <c r="ED571" s="335"/>
      <c r="EE571" s="335"/>
      <c r="EF571" s="335"/>
      <c r="EG571" s="335"/>
      <c r="EH571" s="335"/>
      <c r="EI571" s="335"/>
      <c r="EJ571" s="335"/>
      <c r="EK571" s="335"/>
      <c r="EL571" s="335"/>
      <c r="EM571" s="335"/>
      <c r="EN571" s="335"/>
      <c r="EO571" s="335"/>
      <c r="EP571" s="335"/>
      <c r="EQ571" s="335"/>
      <c r="ER571" s="335"/>
      <c r="ES571" s="335"/>
      <c r="ET571" s="335"/>
      <c r="EU571" s="335"/>
      <c r="EV571" s="335"/>
      <c r="EW571" s="335"/>
      <c r="EX571" s="335"/>
      <c r="EY571" s="335"/>
      <c r="EZ571" s="335"/>
      <c r="FA571" s="335"/>
      <c r="FB571" s="335"/>
      <c r="FC571" s="335"/>
      <c r="FD571" s="335"/>
      <c r="FE571" s="335"/>
      <c r="FF571" s="335"/>
      <c r="FG571" s="335"/>
      <c r="FH571" s="335"/>
      <c r="FI571" s="335"/>
      <c r="FJ571" s="335"/>
      <c r="FK571" s="335"/>
      <c r="FL571" s="335"/>
      <c r="FM571" s="335"/>
      <c r="FN571" s="335"/>
      <c r="FO571" s="335"/>
      <c r="FP571" s="335"/>
      <c r="FQ571" s="335"/>
      <c r="FR571" s="335"/>
      <c r="FS571" s="335"/>
      <c r="FT571" s="335"/>
      <c r="FU571" s="335"/>
      <c r="FV571" s="335"/>
      <c r="FW571" s="335"/>
      <c r="FX571" s="335"/>
      <c r="FY571" s="335"/>
      <c r="FZ571" s="335"/>
      <c r="GA571" s="335"/>
      <c r="GB571" s="335"/>
      <c r="GC571" s="335"/>
      <c r="GD571" s="335"/>
      <c r="GE571" s="335"/>
      <c r="GF571" s="335"/>
      <c r="GG571" s="335"/>
      <c r="GH571" s="335"/>
      <c r="GI571" s="335"/>
      <c r="GJ571" s="335"/>
      <c r="GK571" s="335"/>
      <c r="GL571" s="335"/>
      <c r="GM571" s="335"/>
      <c r="GN571" s="335"/>
      <c r="GO571" s="335"/>
      <c r="GP571" s="335"/>
      <c r="GQ571" s="335"/>
      <c r="GR571" s="335"/>
      <c r="GS571" s="335"/>
      <c r="GT571" s="335"/>
      <c r="GU571" s="335"/>
      <c r="GV571" s="335"/>
      <c r="GW571" s="335"/>
      <c r="GX571" s="335"/>
      <c r="GY571" s="335"/>
      <c r="GZ571" s="335"/>
    </row>
    <row r="572" spans="1:208" ht="15">
      <c r="A572" s="379"/>
      <c r="B572" s="335"/>
      <c r="C572" s="335"/>
      <c r="D572" s="335"/>
      <c r="E572" s="335"/>
      <c r="F572" s="335"/>
      <c r="G572" s="335"/>
      <c r="H572" s="335"/>
      <c r="I572" s="335"/>
      <c r="J572" s="335"/>
      <c r="K572" s="335"/>
      <c r="L572" s="335"/>
      <c r="M572" s="376"/>
      <c r="N572" s="335"/>
      <c r="O572" s="380"/>
      <c r="P572" s="335"/>
      <c r="Q572" s="335"/>
      <c r="R572" s="335"/>
      <c r="S572" s="335"/>
      <c r="T572" s="335"/>
      <c r="U572" s="335"/>
      <c r="V572" s="335"/>
      <c r="W572" s="335"/>
      <c r="X572" s="335"/>
      <c r="Y572" s="335"/>
      <c r="Z572" s="335"/>
      <c r="AA572" s="335"/>
      <c r="AB572" s="335"/>
      <c r="AC572" s="335"/>
      <c r="AD572" s="335"/>
      <c r="AE572" s="335"/>
      <c r="AF572" s="335"/>
      <c r="AG572" s="335"/>
      <c r="AH572" s="335"/>
      <c r="AI572" s="335"/>
      <c r="AJ572" s="335"/>
      <c r="AK572" s="335"/>
      <c r="AL572" s="335"/>
      <c r="AM572" s="335"/>
      <c r="AN572" s="335"/>
      <c r="AO572" s="335"/>
      <c r="AP572" s="335"/>
      <c r="AQ572" s="335"/>
      <c r="AR572" s="335"/>
      <c r="AS572" s="335"/>
      <c r="AT572" s="335"/>
      <c r="AU572" s="335"/>
      <c r="AV572" s="335"/>
      <c r="AW572" s="335"/>
      <c r="AX572" s="335"/>
      <c r="AY572" s="335"/>
      <c r="AZ572" s="335"/>
      <c r="BA572" s="335"/>
      <c r="BB572" s="335"/>
      <c r="BC572" s="335"/>
      <c r="BD572" s="335"/>
      <c r="BE572" s="335"/>
      <c r="BF572" s="335"/>
      <c r="BG572" s="335"/>
      <c r="BH572" s="335"/>
      <c r="BI572" s="335"/>
      <c r="BJ572" s="335"/>
      <c r="BK572" s="335"/>
      <c r="BL572" s="335"/>
      <c r="BM572" s="335"/>
      <c r="BN572" s="335"/>
      <c r="BO572" s="335"/>
      <c r="BP572" s="335"/>
      <c r="BQ572" s="335"/>
      <c r="BR572" s="335"/>
      <c r="BS572" s="335"/>
      <c r="BT572" s="335"/>
      <c r="BU572" s="335"/>
      <c r="BV572" s="335"/>
      <c r="BW572" s="335"/>
      <c r="BX572" s="335"/>
      <c r="BY572" s="335"/>
      <c r="BZ572" s="335"/>
      <c r="CA572" s="335"/>
      <c r="CB572" s="335"/>
      <c r="CC572" s="335"/>
      <c r="CD572" s="335"/>
      <c r="CE572" s="335"/>
      <c r="CF572" s="335"/>
      <c r="CG572" s="335"/>
      <c r="CH572" s="335"/>
      <c r="CI572" s="335"/>
      <c r="CJ572" s="335"/>
      <c r="CK572" s="335"/>
      <c r="CL572" s="335"/>
      <c r="CM572" s="335"/>
      <c r="CN572" s="335"/>
      <c r="CO572" s="335"/>
      <c r="CP572" s="335"/>
      <c r="CQ572" s="335"/>
      <c r="CR572" s="335"/>
      <c r="CS572" s="335"/>
      <c r="CT572" s="335"/>
      <c r="CU572" s="335"/>
      <c r="CV572" s="335"/>
      <c r="CW572" s="335"/>
      <c r="CX572" s="335"/>
      <c r="CY572" s="335"/>
      <c r="CZ572" s="335"/>
      <c r="DA572" s="335"/>
      <c r="DB572" s="335"/>
      <c r="DC572" s="335"/>
      <c r="DD572" s="335"/>
      <c r="DE572" s="335"/>
      <c r="DF572" s="335"/>
      <c r="DG572" s="335"/>
      <c r="DH572" s="335"/>
      <c r="DI572" s="335"/>
      <c r="DJ572" s="335"/>
      <c r="DK572" s="335"/>
      <c r="DL572" s="335"/>
      <c r="DM572" s="335"/>
      <c r="DN572" s="335"/>
      <c r="DO572" s="335"/>
      <c r="DP572" s="335"/>
      <c r="DQ572" s="335"/>
      <c r="DR572" s="335"/>
      <c r="DS572" s="335"/>
      <c r="DT572" s="335"/>
      <c r="DU572" s="335"/>
      <c r="DV572" s="335"/>
      <c r="DW572" s="335"/>
      <c r="DX572" s="335"/>
      <c r="DY572" s="335"/>
      <c r="DZ572" s="335"/>
      <c r="EA572" s="335"/>
      <c r="EB572" s="335"/>
      <c r="EC572" s="335"/>
      <c r="ED572" s="335"/>
      <c r="EE572" s="335"/>
      <c r="EF572" s="335"/>
      <c r="EG572" s="335"/>
      <c r="EH572" s="335"/>
      <c r="EI572" s="335"/>
      <c r="EJ572" s="335"/>
      <c r="EK572" s="335"/>
      <c r="EL572" s="335"/>
      <c r="EM572" s="335"/>
      <c r="EN572" s="335"/>
      <c r="EO572" s="335"/>
      <c r="EP572" s="335"/>
      <c r="EQ572" s="335"/>
      <c r="ER572" s="335"/>
      <c r="ES572" s="335"/>
      <c r="ET572" s="335"/>
      <c r="EU572" s="335"/>
      <c r="EV572" s="335"/>
      <c r="EW572" s="335"/>
      <c r="EX572" s="335"/>
      <c r="EY572" s="335"/>
      <c r="EZ572" s="335"/>
      <c r="FA572" s="335"/>
      <c r="FB572" s="335"/>
      <c r="FC572" s="335"/>
      <c r="FD572" s="335"/>
      <c r="FE572" s="335"/>
      <c r="FF572" s="335"/>
      <c r="FG572" s="335"/>
      <c r="FH572" s="335"/>
      <c r="FI572" s="335"/>
      <c r="FJ572" s="335"/>
      <c r="FK572" s="335"/>
      <c r="FL572" s="335"/>
      <c r="FM572" s="335"/>
      <c r="FN572" s="335"/>
      <c r="FO572" s="335"/>
      <c r="FP572" s="335"/>
      <c r="FQ572" s="335"/>
      <c r="FR572" s="335"/>
      <c r="FS572" s="335"/>
      <c r="FT572" s="335"/>
      <c r="FU572" s="335"/>
      <c r="FV572" s="335"/>
      <c r="FW572" s="335"/>
      <c r="FX572" s="335"/>
      <c r="FY572" s="335"/>
      <c r="FZ572" s="335"/>
      <c r="GA572" s="335"/>
      <c r="GB572" s="335"/>
      <c r="GC572" s="335"/>
      <c r="GD572" s="335"/>
      <c r="GE572" s="335"/>
      <c r="GF572" s="335"/>
      <c r="GG572" s="335"/>
      <c r="GH572" s="335"/>
      <c r="GI572" s="335"/>
      <c r="GJ572" s="335"/>
      <c r="GK572" s="335"/>
      <c r="GL572" s="335"/>
      <c r="GM572" s="335"/>
      <c r="GN572" s="335"/>
      <c r="GO572" s="335"/>
      <c r="GP572" s="335"/>
      <c r="GQ572" s="335"/>
      <c r="GR572" s="335"/>
      <c r="GS572" s="335"/>
      <c r="GT572" s="335"/>
      <c r="GU572" s="335"/>
      <c r="GV572" s="335"/>
      <c r="GW572" s="335"/>
      <c r="GX572" s="335"/>
      <c r="GY572" s="335"/>
      <c r="GZ572" s="335"/>
    </row>
    <row r="573" spans="1:208" ht="15">
      <c r="A573" s="379"/>
      <c r="B573" s="335"/>
      <c r="C573" s="335"/>
      <c r="D573" s="335"/>
      <c r="E573" s="335"/>
      <c r="F573" s="335"/>
      <c r="G573" s="335"/>
      <c r="H573" s="335"/>
      <c r="I573" s="335"/>
      <c r="J573" s="335"/>
      <c r="K573" s="335"/>
      <c r="L573" s="335"/>
      <c r="M573" s="376"/>
      <c r="N573" s="335"/>
      <c r="O573" s="380"/>
      <c r="P573" s="335"/>
      <c r="Q573" s="335"/>
      <c r="R573" s="335"/>
      <c r="S573" s="335"/>
      <c r="T573" s="335"/>
      <c r="U573" s="335"/>
      <c r="V573" s="335"/>
      <c r="W573" s="335"/>
      <c r="X573" s="335"/>
      <c r="Y573" s="335"/>
      <c r="Z573" s="335"/>
      <c r="AA573" s="335"/>
      <c r="AB573" s="335"/>
      <c r="AC573" s="335"/>
      <c r="AD573" s="335"/>
      <c r="AE573" s="335"/>
      <c r="AF573" s="335"/>
      <c r="AG573" s="335"/>
      <c r="AH573" s="335"/>
      <c r="AI573" s="335"/>
      <c r="AJ573" s="335"/>
      <c r="AK573" s="335"/>
      <c r="AL573" s="335"/>
      <c r="AM573" s="335"/>
      <c r="AN573" s="335"/>
      <c r="AO573" s="335"/>
      <c r="AP573" s="335"/>
      <c r="AQ573" s="335"/>
      <c r="AR573" s="335"/>
      <c r="AS573" s="335"/>
      <c r="AT573" s="335"/>
      <c r="AU573" s="335"/>
      <c r="AV573" s="335"/>
      <c r="AW573" s="335"/>
      <c r="AX573" s="335"/>
      <c r="AY573" s="335"/>
      <c r="AZ573" s="335"/>
      <c r="BA573" s="335"/>
      <c r="BB573" s="335"/>
      <c r="BC573" s="335"/>
      <c r="BD573" s="335"/>
      <c r="BE573" s="335"/>
      <c r="BF573" s="335"/>
      <c r="BG573" s="335"/>
      <c r="BH573" s="335"/>
      <c r="BI573" s="335"/>
      <c r="BJ573" s="335"/>
      <c r="BK573" s="335"/>
      <c r="BL573" s="335"/>
      <c r="BM573" s="335"/>
      <c r="BN573" s="335"/>
      <c r="BO573" s="335"/>
      <c r="BP573" s="335"/>
      <c r="BQ573" s="335"/>
      <c r="BR573" s="335"/>
      <c r="BS573" s="335"/>
      <c r="BT573" s="335"/>
      <c r="BU573" s="335"/>
      <c r="BV573" s="335"/>
      <c r="BW573" s="335"/>
      <c r="BX573" s="335"/>
      <c r="BY573" s="335"/>
      <c r="BZ573" s="335"/>
      <c r="CA573" s="335"/>
      <c r="CB573" s="335"/>
      <c r="CC573" s="335"/>
      <c r="CD573" s="335"/>
      <c r="CE573" s="335"/>
      <c r="CF573" s="335"/>
      <c r="CG573" s="335"/>
      <c r="CH573" s="335"/>
      <c r="CI573" s="335"/>
      <c r="CJ573" s="335"/>
      <c r="CK573" s="335"/>
      <c r="CL573" s="335"/>
      <c r="CM573" s="335"/>
      <c r="CN573" s="335"/>
      <c r="CO573" s="335"/>
      <c r="CP573" s="335"/>
      <c r="CQ573" s="335"/>
      <c r="CR573" s="335"/>
      <c r="CS573" s="335"/>
      <c r="CT573" s="335"/>
      <c r="CU573" s="335"/>
      <c r="CV573" s="335"/>
      <c r="CW573" s="335"/>
      <c r="CX573" s="335"/>
      <c r="CY573" s="335"/>
      <c r="CZ573" s="335"/>
      <c r="DA573" s="335"/>
      <c r="DB573" s="335"/>
      <c r="DC573" s="335"/>
      <c r="DD573" s="335"/>
      <c r="DE573" s="335"/>
      <c r="DF573" s="335"/>
      <c r="DG573" s="335"/>
      <c r="DH573" s="335"/>
      <c r="DI573" s="335"/>
      <c r="DJ573" s="335"/>
      <c r="DK573" s="335"/>
      <c r="DL573" s="335"/>
      <c r="DM573" s="335"/>
      <c r="DN573" s="335"/>
      <c r="DO573" s="335"/>
      <c r="DP573" s="335"/>
      <c r="DQ573" s="335"/>
      <c r="DR573" s="335"/>
      <c r="DS573" s="335"/>
      <c r="DT573" s="335"/>
      <c r="DU573" s="335"/>
      <c r="DV573" s="335"/>
      <c r="DW573" s="335"/>
      <c r="DX573" s="335"/>
      <c r="DY573" s="335"/>
      <c r="DZ573" s="335"/>
      <c r="EA573" s="335"/>
      <c r="EB573" s="335"/>
      <c r="EC573" s="335"/>
      <c r="ED573" s="335"/>
      <c r="EE573" s="335"/>
      <c r="EF573" s="335"/>
      <c r="EG573" s="335"/>
      <c r="EH573" s="335"/>
      <c r="EI573" s="335"/>
      <c r="EJ573" s="335"/>
      <c r="EK573" s="335"/>
      <c r="EL573" s="335"/>
      <c r="EM573" s="335"/>
      <c r="EN573" s="335"/>
      <c r="EO573" s="335"/>
      <c r="EP573" s="335"/>
      <c r="EQ573" s="335"/>
      <c r="ER573" s="335"/>
      <c r="ES573" s="335"/>
      <c r="ET573" s="335"/>
      <c r="EU573" s="335"/>
      <c r="EV573" s="335"/>
      <c r="EW573" s="335"/>
      <c r="EX573" s="335"/>
      <c r="EY573" s="335"/>
      <c r="EZ573" s="335"/>
      <c r="FA573" s="335"/>
      <c r="FB573" s="335"/>
      <c r="FC573" s="335"/>
      <c r="FD573" s="335"/>
      <c r="FE573" s="335"/>
      <c r="FF573" s="335"/>
      <c r="FG573" s="335"/>
      <c r="FH573" s="335"/>
      <c r="FI573" s="335"/>
      <c r="FJ573" s="335"/>
      <c r="FK573" s="335"/>
      <c r="FL573" s="335"/>
      <c r="FM573" s="335"/>
      <c r="FN573" s="335"/>
      <c r="FO573" s="335"/>
      <c r="FP573" s="335"/>
      <c r="FQ573" s="335"/>
      <c r="FR573" s="335"/>
      <c r="FS573" s="335"/>
      <c r="FT573" s="335"/>
      <c r="FU573" s="335"/>
      <c r="FV573" s="335"/>
      <c r="FW573" s="335"/>
      <c r="FX573" s="335"/>
      <c r="FY573" s="335"/>
      <c r="FZ573" s="335"/>
      <c r="GA573" s="335"/>
      <c r="GB573" s="335"/>
      <c r="GC573" s="335"/>
      <c r="GD573" s="335"/>
      <c r="GE573" s="335"/>
      <c r="GF573" s="335"/>
      <c r="GG573" s="335"/>
      <c r="GH573" s="335"/>
      <c r="GI573" s="335"/>
      <c r="GJ573" s="335"/>
      <c r="GK573" s="335"/>
      <c r="GL573" s="335"/>
      <c r="GM573" s="335"/>
      <c r="GN573" s="335"/>
      <c r="GO573" s="335"/>
      <c r="GP573" s="335"/>
      <c r="GQ573" s="335"/>
      <c r="GR573" s="335"/>
      <c r="GS573" s="335"/>
      <c r="GT573" s="335"/>
      <c r="GU573" s="335"/>
      <c r="GV573" s="335"/>
      <c r="GW573" s="335"/>
      <c r="GX573" s="335"/>
      <c r="GY573" s="335"/>
      <c r="GZ573" s="335"/>
    </row>
    <row r="574" spans="1:208" ht="15">
      <c r="A574" s="379"/>
      <c r="B574" s="335"/>
      <c r="C574" s="335"/>
      <c r="D574" s="335"/>
      <c r="E574" s="335"/>
      <c r="F574" s="335"/>
      <c r="G574" s="335"/>
      <c r="H574" s="335"/>
      <c r="I574" s="335"/>
      <c r="J574" s="335"/>
      <c r="K574" s="335"/>
      <c r="L574" s="335"/>
      <c r="M574" s="376"/>
      <c r="N574" s="335"/>
      <c r="O574" s="380"/>
      <c r="P574" s="335"/>
      <c r="Q574" s="335"/>
      <c r="R574" s="335"/>
      <c r="S574" s="335"/>
      <c r="T574" s="335"/>
      <c r="U574" s="335"/>
      <c r="V574" s="335"/>
      <c r="W574" s="335"/>
      <c r="X574" s="335"/>
      <c r="Y574" s="335"/>
      <c r="Z574" s="335"/>
      <c r="AA574" s="335"/>
      <c r="AB574" s="335"/>
      <c r="AC574" s="335"/>
      <c r="AD574" s="335"/>
      <c r="AE574" s="335"/>
      <c r="AF574" s="335"/>
      <c r="AG574" s="335"/>
      <c r="AH574" s="335"/>
      <c r="AI574" s="335"/>
      <c r="AJ574" s="335"/>
      <c r="AK574" s="335"/>
      <c r="AL574" s="335"/>
      <c r="AM574" s="335"/>
      <c r="AN574" s="335"/>
      <c r="AO574" s="335"/>
      <c r="AP574" s="335"/>
      <c r="AQ574" s="335"/>
      <c r="AR574" s="335"/>
      <c r="AS574" s="335"/>
      <c r="AT574" s="335"/>
      <c r="AU574" s="335"/>
      <c r="AV574" s="335"/>
      <c r="AW574" s="335"/>
      <c r="AX574" s="335"/>
      <c r="AY574" s="335"/>
      <c r="AZ574" s="335"/>
      <c r="BA574" s="335"/>
      <c r="BB574" s="335"/>
      <c r="BC574" s="335"/>
      <c r="BD574" s="335"/>
      <c r="BE574" s="335"/>
      <c r="BF574" s="335"/>
      <c r="BG574" s="335"/>
      <c r="BH574" s="335"/>
      <c r="BI574" s="335"/>
      <c r="BJ574" s="335"/>
      <c r="BK574" s="335"/>
      <c r="BL574" s="335"/>
      <c r="BM574" s="335"/>
      <c r="BN574" s="335"/>
      <c r="BO574" s="335"/>
      <c r="BP574" s="335"/>
      <c r="BQ574" s="335"/>
      <c r="BR574" s="335"/>
      <c r="BS574" s="335"/>
      <c r="BT574" s="335"/>
      <c r="BU574" s="335"/>
      <c r="BV574" s="335"/>
      <c r="BW574" s="335"/>
      <c r="BX574" s="335"/>
      <c r="BY574" s="335"/>
      <c r="BZ574" s="335"/>
      <c r="CA574" s="335"/>
      <c r="CB574" s="335"/>
      <c r="CC574" s="335"/>
      <c r="CD574" s="335"/>
      <c r="CE574" s="335"/>
      <c r="CF574" s="335"/>
      <c r="CG574" s="335"/>
      <c r="CH574" s="335"/>
      <c r="CI574" s="335"/>
      <c r="CJ574" s="335"/>
      <c r="CK574" s="335"/>
      <c r="CL574" s="335"/>
      <c r="CM574" s="335"/>
      <c r="CN574" s="335"/>
      <c r="CO574" s="335"/>
      <c r="CP574" s="335"/>
      <c r="CQ574" s="335"/>
      <c r="CR574" s="335"/>
      <c r="CS574" s="335"/>
      <c r="CT574" s="335"/>
      <c r="CU574" s="335"/>
      <c r="CV574" s="335"/>
      <c r="CW574" s="335"/>
      <c r="CX574" s="335"/>
      <c r="CY574" s="335"/>
      <c r="CZ574" s="335"/>
      <c r="DA574" s="335"/>
      <c r="DB574" s="335"/>
      <c r="DC574" s="335"/>
      <c r="DD574" s="335"/>
      <c r="DE574" s="335"/>
      <c r="DF574" s="335"/>
      <c r="DG574" s="335"/>
      <c r="DH574" s="335"/>
      <c r="DI574" s="335"/>
      <c r="DJ574" s="335"/>
      <c r="DK574" s="335"/>
      <c r="DL574" s="335"/>
      <c r="DM574" s="335"/>
      <c r="DN574" s="335"/>
      <c r="DO574" s="335"/>
      <c r="DP574" s="335"/>
      <c r="DQ574" s="335"/>
      <c r="DR574" s="335"/>
      <c r="DS574" s="335"/>
      <c r="DT574" s="335"/>
      <c r="DU574" s="335"/>
      <c r="DV574" s="335"/>
      <c r="DW574" s="335"/>
      <c r="DX574" s="335"/>
      <c r="DY574" s="335"/>
      <c r="DZ574" s="335"/>
      <c r="EA574" s="335"/>
      <c r="EB574" s="335"/>
      <c r="EC574" s="335"/>
      <c r="ED574" s="335"/>
      <c r="EE574" s="335"/>
      <c r="EF574" s="335"/>
      <c r="EG574" s="335"/>
      <c r="EH574" s="335"/>
      <c r="EI574" s="335"/>
      <c r="EJ574" s="335"/>
      <c r="EK574" s="335"/>
      <c r="EL574" s="335"/>
      <c r="EM574" s="335"/>
      <c r="EN574" s="335"/>
      <c r="EO574" s="335"/>
      <c r="EP574" s="335"/>
      <c r="EQ574" s="335"/>
      <c r="ER574" s="335"/>
      <c r="ES574" s="335"/>
      <c r="ET574" s="335"/>
      <c r="EU574" s="335"/>
      <c r="EV574" s="335"/>
      <c r="EW574" s="335"/>
      <c r="EX574" s="335"/>
      <c r="EY574" s="335"/>
      <c r="EZ574" s="335"/>
      <c r="FA574" s="335"/>
      <c r="FB574" s="335"/>
      <c r="FC574" s="335"/>
      <c r="FD574" s="335"/>
      <c r="FE574" s="335"/>
      <c r="FF574" s="335"/>
      <c r="FG574" s="335"/>
      <c r="FH574" s="335"/>
      <c r="FI574" s="335"/>
      <c r="FJ574" s="335"/>
      <c r="FK574" s="335"/>
      <c r="FL574" s="335"/>
      <c r="FM574" s="335"/>
      <c r="FN574" s="335"/>
      <c r="FO574" s="335"/>
      <c r="FP574" s="335"/>
      <c r="FQ574" s="335"/>
      <c r="FR574" s="335"/>
      <c r="FS574" s="335"/>
      <c r="FT574" s="335"/>
      <c r="FU574" s="335"/>
      <c r="FV574" s="335"/>
      <c r="FW574" s="335"/>
      <c r="FX574" s="335"/>
      <c r="FY574" s="335"/>
      <c r="FZ574" s="335"/>
      <c r="GA574" s="335"/>
      <c r="GB574" s="335"/>
      <c r="GC574" s="335"/>
      <c r="GD574" s="335"/>
      <c r="GE574" s="335"/>
      <c r="GF574" s="335"/>
      <c r="GG574" s="335"/>
      <c r="GH574" s="335"/>
      <c r="GI574" s="335"/>
      <c r="GJ574" s="335"/>
      <c r="GK574" s="335"/>
      <c r="GL574" s="335"/>
      <c r="GM574" s="335"/>
      <c r="GN574" s="335"/>
      <c r="GO574" s="335"/>
      <c r="GP574" s="335"/>
      <c r="GQ574" s="335"/>
      <c r="GR574" s="335"/>
      <c r="GS574" s="335"/>
      <c r="GT574" s="335"/>
      <c r="GU574" s="335"/>
      <c r="GV574" s="335"/>
      <c r="GW574" s="335"/>
      <c r="GX574" s="335"/>
      <c r="GY574" s="335"/>
      <c r="GZ574" s="335"/>
    </row>
    <row r="575" spans="1:208" ht="15">
      <c r="A575" s="379"/>
      <c r="B575" s="335"/>
      <c r="C575" s="335"/>
      <c r="D575" s="335"/>
      <c r="E575" s="335"/>
      <c r="F575" s="335"/>
      <c r="G575" s="335"/>
      <c r="H575" s="335"/>
      <c r="I575" s="335"/>
      <c r="J575" s="335"/>
      <c r="K575" s="335"/>
      <c r="L575" s="335"/>
      <c r="M575" s="376"/>
      <c r="N575" s="335"/>
      <c r="O575" s="380"/>
      <c r="P575" s="335"/>
      <c r="Q575" s="335"/>
      <c r="R575" s="335"/>
      <c r="S575" s="335"/>
      <c r="T575" s="335"/>
      <c r="U575" s="335"/>
      <c r="V575" s="335"/>
      <c r="W575" s="335"/>
      <c r="X575" s="335"/>
      <c r="Y575" s="335"/>
      <c r="Z575" s="335"/>
      <c r="AA575" s="335"/>
      <c r="AB575" s="335"/>
      <c r="AC575" s="335"/>
      <c r="AD575" s="335"/>
      <c r="AE575" s="335"/>
      <c r="AF575" s="335"/>
      <c r="AG575" s="335"/>
      <c r="AH575" s="335"/>
      <c r="AI575" s="335"/>
      <c r="AJ575" s="335"/>
      <c r="AK575" s="335"/>
      <c r="AL575" s="335"/>
      <c r="AM575" s="335"/>
      <c r="AN575" s="335"/>
      <c r="AO575" s="335"/>
      <c r="AP575" s="335"/>
      <c r="AQ575" s="335"/>
      <c r="AR575" s="335"/>
      <c r="AS575" s="335"/>
      <c r="AT575" s="335"/>
      <c r="AU575" s="335"/>
      <c r="AV575" s="335"/>
      <c r="AW575" s="335"/>
      <c r="AX575" s="335"/>
      <c r="AY575" s="335"/>
      <c r="AZ575" s="335"/>
      <c r="BA575" s="335"/>
      <c r="BB575" s="335"/>
      <c r="BC575" s="335"/>
      <c r="BD575" s="335"/>
      <c r="BE575" s="335"/>
      <c r="BF575" s="335"/>
      <c r="BG575" s="335"/>
      <c r="BH575" s="335"/>
      <c r="BI575" s="335"/>
      <c r="BJ575" s="335"/>
      <c r="BK575" s="335"/>
      <c r="BL575" s="335"/>
      <c r="BM575" s="335"/>
      <c r="BN575" s="335"/>
      <c r="BO575" s="335"/>
      <c r="BP575" s="335"/>
      <c r="BQ575" s="335"/>
      <c r="BR575" s="335"/>
      <c r="BS575" s="335"/>
      <c r="BT575" s="335"/>
      <c r="BU575" s="335"/>
      <c r="BV575" s="335"/>
      <c r="BW575" s="335"/>
      <c r="BX575" s="335"/>
      <c r="BY575" s="335"/>
      <c r="BZ575" s="335"/>
      <c r="CA575" s="335"/>
      <c r="CB575" s="335"/>
      <c r="CC575" s="335"/>
      <c r="CD575" s="335"/>
      <c r="CE575" s="335"/>
      <c r="CF575" s="335"/>
      <c r="CG575" s="335"/>
      <c r="CH575" s="335"/>
      <c r="CI575" s="335"/>
      <c r="CJ575" s="335"/>
      <c r="CK575" s="335"/>
      <c r="CL575" s="335"/>
      <c r="CM575" s="335"/>
      <c r="CN575" s="335"/>
      <c r="CO575" s="335"/>
      <c r="CP575" s="335"/>
      <c r="CQ575" s="335"/>
      <c r="CR575" s="335"/>
      <c r="CS575" s="335"/>
      <c r="CT575" s="335"/>
      <c r="CU575" s="335"/>
      <c r="CV575" s="335"/>
      <c r="CW575" s="335"/>
      <c r="CX575" s="335"/>
      <c r="CY575" s="335"/>
      <c r="CZ575" s="335"/>
      <c r="DA575" s="335"/>
      <c r="DB575" s="335"/>
      <c r="DC575" s="335"/>
      <c r="DD575" s="335"/>
      <c r="DE575" s="335"/>
      <c r="DF575" s="335"/>
      <c r="DG575" s="335"/>
      <c r="DH575" s="335"/>
      <c r="DI575" s="335"/>
      <c r="DJ575" s="335"/>
      <c r="DK575" s="335"/>
      <c r="DL575" s="335"/>
      <c r="DM575" s="335"/>
      <c r="DN575" s="335"/>
      <c r="DO575" s="335"/>
      <c r="DP575" s="335"/>
      <c r="DQ575" s="335"/>
      <c r="DR575" s="335"/>
      <c r="DS575" s="335"/>
      <c r="DT575" s="335"/>
      <c r="DU575" s="335"/>
      <c r="DV575" s="335"/>
      <c r="DW575" s="335"/>
      <c r="DX575" s="335"/>
      <c r="DY575" s="335"/>
      <c r="DZ575" s="335"/>
      <c r="EA575" s="335"/>
      <c r="EB575" s="335"/>
      <c r="EC575" s="335"/>
      <c r="ED575" s="335"/>
      <c r="EE575" s="335"/>
      <c r="EF575" s="335"/>
      <c r="EG575" s="335"/>
      <c r="EH575" s="335"/>
      <c r="EI575" s="335"/>
      <c r="EJ575" s="335"/>
      <c r="EK575" s="335"/>
      <c r="EL575" s="335"/>
      <c r="EM575" s="335"/>
      <c r="EN575" s="335"/>
      <c r="EO575" s="335"/>
      <c r="EP575" s="335"/>
      <c r="EQ575" s="335"/>
      <c r="ER575" s="335"/>
      <c r="ES575" s="335"/>
      <c r="ET575" s="335"/>
      <c r="EU575" s="335"/>
      <c r="EV575" s="335"/>
      <c r="EW575" s="335"/>
      <c r="EX575" s="335"/>
      <c r="EY575" s="335"/>
      <c r="EZ575" s="335"/>
      <c r="FA575" s="335"/>
      <c r="FB575" s="335"/>
      <c r="FC575" s="335"/>
      <c r="FD575" s="335"/>
      <c r="FE575" s="335"/>
      <c r="FF575" s="335"/>
      <c r="FG575" s="335"/>
      <c r="FH575" s="335"/>
      <c r="FI575" s="335"/>
      <c r="FJ575" s="335"/>
      <c r="FK575" s="335"/>
      <c r="FL575" s="335"/>
      <c r="FM575" s="335"/>
      <c r="FN575" s="335"/>
      <c r="FO575" s="335"/>
      <c r="FP575" s="335"/>
      <c r="FQ575" s="335"/>
      <c r="FR575" s="335"/>
      <c r="FS575" s="335"/>
      <c r="FT575" s="335"/>
      <c r="FU575" s="335"/>
      <c r="FV575" s="335"/>
      <c r="FW575" s="335"/>
      <c r="FX575" s="335"/>
      <c r="FY575" s="335"/>
      <c r="FZ575" s="335"/>
      <c r="GA575" s="335"/>
      <c r="GB575" s="335"/>
      <c r="GC575" s="335"/>
      <c r="GD575" s="335"/>
      <c r="GE575" s="335"/>
      <c r="GF575" s="335"/>
      <c r="GG575" s="335"/>
      <c r="GH575" s="335"/>
      <c r="GI575" s="335"/>
      <c r="GJ575" s="335"/>
      <c r="GK575" s="335"/>
      <c r="GL575" s="335"/>
      <c r="GM575" s="335"/>
      <c r="GN575" s="335"/>
      <c r="GO575" s="335"/>
      <c r="GP575" s="335"/>
      <c r="GQ575" s="335"/>
      <c r="GR575" s="335"/>
      <c r="GS575" s="335"/>
      <c r="GT575" s="335"/>
      <c r="GU575" s="335"/>
      <c r="GV575" s="335"/>
      <c r="GW575" s="335"/>
      <c r="GX575" s="335"/>
      <c r="GY575" s="335"/>
      <c r="GZ575" s="335"/>
    </row>
    <row r="576" spans="1:208" ht="15">
      <c r="A576" s="379"/>
      <c r="B576" s="335"/>
      <c r="C576" s="335"/>
      <c r="D576" s="335"/>
      <c r="E576" s="335"/>
      <c r="F576" s="335"/>
      <c r="G576" s="335"/>
      <c r="H576" s="335"/>
      <c r="I576" s="335"/>
      <c r="J576" s="335"/>
      <c r="K576" s="335"/>
      <c r="L576" s="335"/>
      <c r="M576" s="376"/>
      <c r="N576" s="335"/>
      <c r="O576" s="380"/>
      <c r="P576" s="335"/>
      <c r="Q576" s="335"/>
      <c r="R576" s="335"/>
      <c r="S576" s="335"/>
      <c r="T576" s="335"/>
      <c r="U576" s="335"/>
      <c r="V576" s="335"/>
      <c r="W576" s="335"/>
      <c r="X576" s="335"/>
      <c r="Y576" s="335"/>
      <c r="Z576" s="335"/>
      <c r="AA576" s="335"/>
      <c r="AB576" s="335"/>
      <c r="AC576" s="335"/>
      <c r="AD576" s="335"/>
      <c r="AE576" s="335"/>
      <c r="AF576" s="335"/>
      <c r="AG576" s="335"/>
      <c r="AH576" s="335"/>
      <c r="AI576" s="335"/>
      <c r="AJ576" s="335"/>
      <c r="AK576" s="335"/>
      <c r="AL576" s="335"/>
      <c r="AM576" s="335"/>
      <c r="AN576" s="335"/>
      <c r="AO576" s="335"/>
      <c r="AP576" s="335"/>
      <c r="AQ576" s="335"/>
      <c r="AR576" s="335"/>
      <c r="AS576" s="335"/>
      <c r="AT576" s="335"/>
      <c r="AU576" s="335"/>
      <c r="AV576" s="335"/>
      <c r="AW576" s="335"/>
      <c r="AX576" s="335"/>
      <c r="AY576" s="335"/>
      <c r="AZ576" s="335"/>
      <c r="BA576" s="335"/>
      <c r="BB576" s="335"/>
      <c r="BC576" s="335"/>
      <c r="BD576" s="335"/>
      <c r="BE576" s="335"/>
      <c r="BF576" s="335"/>
      <c r="BG576" s="335"/>
      <c r="BH576" s="335"/>
      <c r="BI576" s="335"/>
      <c r="BJ576" s="335"/>
      <c r="BK576" s="335"/>
      <c r="BL576" s="335"/>
      <c r="BM576" s="335"/>
      <c r="BN576" s="335"/>
      <c r="BO576" s="335"/>
      <c r="BP576" s="335"/>
      <c r="BQ576" s="335"/>
      <c r="BR576" s="335"/>
      <c r="BS576" s="335"/>
      <c r="BT576" s="335"/>
      <c r="BU576" s="335"/>
      <c r="BV576" s="335"/>
      <c r="BW576" s="335"/>
      <c r="BX576" s="335"/>
      <c r="BY576" s="335"/>
      <c r="BZ576" s="335"/>
      <c r="CA576" s="335"/>
      <c r="CB576" s="335"/>
      <c r="CC576" s="335"/>
      <c r="CD576" s="335"/>
      <c r="CE576" s="335"/>
      <c r="CF576" s="335"/>
      <c r="CG576" s="335"/>
      <c r="CH576" s="335"/>
      <c r="CI576" s="335"/>
      <c r="CJ576" s="335"/>
      <c r="CK576" s="335"/>
      <c r="CL576" s="335"/>
      <c r="CM576" s="335"/>
      <c r="CN576" s="335"/>
      <c r="CO576" s="335"/>
      <c r="CP576" s="335"/>
      <c r="CQ576" s="335"/>
      <c r="CR576" s="335"/>
      <c r="CS576" s="335"/>
      <c r="CT576" s="335"/>
      <c r="CU576" s="335"/>
      <c r="CV576" s="335"/>
      <c r="CW576" s="335"/>
      <c r="CX576" s="335"/>
      <c r="CY576" s="335"/>
      <c r="CZ576" s="335"/>
      <c r="DA576" s="335"/>
      <c r="DB576" s="335"/>
      <c r="DC576" s="335"/>
      <c r="DD576" s="335"/>
      <c r="DE576" s="335"/>
      <c r="DF576" s="335"/>
      <c r="DG576" s="335"/>
      <c r="DH576" s="335"/>
      <c r="DI576" s="335"/>
      <c r="DJ576" s="335"/>
      <c r="DK576" s="335"/>
      <c r="DL576" s="335"/>
      <c r="DM576" s="335"/>
      <c r="DN576" s="335"/>
      <c r="DO576" s="335"/>
      <c r="DP576" s="335"/>
      <c r="DQ576" s="335"/>
      <c r="DR576" s="335"/>
      <c r="DS576" s="335"/>
      <c r="DT576" s="335"/>
      <c r="DU576" s="335"/>
      <c r="DV576" s="335"/>
      <c r="DW576" s="335"/>
      <c r="DX576" s="335"/>
      <c r="DY576" s="335"/>
      <c r="DZ576" s="335"/>
      <c r="EA576" s="335"/>
      <c r="EB576" s="335"/>
      <c r="EC576" s="335"/>
      <c r="ED576" s="335"/>
      <c r="EE576" s="335"/>
      <c r="EF576" s="335"/>
      <c r="EG576" s="335"/>
      <c r="EH576" s="335"/>
      <c r="EI576" s="335"/>
      <c r="EJ576" s="335"/>
      <c r="EK576" s="335"/>
      <c r="EL576" s="335"/>
      <c r="EM576" s="335"/>
      <c r="EN576" s="335"/>
      <c r="EO576" s="335"/>
      <c r="EP576" s="335"/>
      <c r="EQ576" s="335"/>
      <c r="ER576" s="335"/>
      <c r="ES576" s="335"/>
      <c r="ET576" s="335"/>
      <c r="EU576" s="335"/>
      <c r="EV576" s="335"/>
      <c r="EW576" s="335"/>
      <c r="EX576" s="335"/>
      <c r="EY576" s="335"/>
      <c r="EZ576" s="335"/>
      <c r="FA576" s="335"/>
      <c r="FB576" s="335"/>
      <c r="FC576" s="335"/>
      <c r="FD576" s="335"/>
      <c r="FE576" s="335"/>
      <c r="FF576" s="335"/>
      <c r="FG576" s="335"/>
      <c r="FH576" s="335"/>
      <c r="FI576" s="335"/>
      <c r="FJ576" s="335"/>
      <c r="FK576" s="335"/>
      <c r="FL576" s="335"/>
      <c r="FM576" s="335"/>
      <c r="FN576" s="335"/>
      <c r="FO576" s="335"/>
      <c r="FP576" s="335"/>
      <c r="FQ576" s="335"/>
      <c r="FR576" s="335"/>
      <c r="FS576" s="335"/>
      <c r="FT576" s="335"/>
      <c r="FU576" s="335"/>
      <c r="FV576" s="335"/>
      <c r="FW576" s="335"/>
      <c r="FX576" s="335"/>
      <c r="FY576" s="335"/>
      <c r="FZ576" s="335"/>
      <c r="GA576" s="335"/>
      <c r="GB576" s="335"/>
      <c r="GC576" s="335"/>
      <c r="GD576" s="335"/>
      <c r="GE576" s="335"/>
      <c r="GF576" s="335"/>
      <c r="GG576" s="335"/>
      <c r="GH576" s="335"/>
      <c r="GI576" s="335"/>
      <c r="GJ576" s="335"/>
      <c r="GK576" s="335"/>
      <c r="GL576" s="335"/>
      <c r="GM576" s="335"/>
      <c r="GN576" s="335"/>
      <c r="GO576" s="335"/>
      <c r="GP576" s="335"/>
      <c r="GQ576" s="335"/>
      <c r="GR576" s="335"/>
      <c r="GS576" s="335"/>
      <c r="GT576" s="335"/>
      <c r="GU576" s="335"/>
      <c r="GV576" s="335"/>
      <c r="GW576" s="335"/>
      <c r="GX576" s="335"/>
      <c r="GY576" s="335"/>
      <c r="GZ576" s="335"/>
    </row>
    <row r="577" spans="1:208" ht="15">
      <c r="A577" s="379"/>
      <c r="B577" s="335"/>
      <c r="C577" s="335"/>
      <c r="D577" s="335"/>
      <c r="E577" s="335"/>
      <c r="F577" s="335"/>
      <c r="G577" s="335"/>
      <c r="H577" s="335"/>
      <c r="I577" s="335"/>
      <c r="J577" s="335"/>
      <c r="K577" s="335"/>
      <c r="L577" s="335"/>
      <c r="M577" s="376"/>
      <c r="N577" s="335"/>
      <c r="O577" s="380"/>
      <c r="P577" s="335"/>
      <c r="Q577" s="335"/>
      <c r="R577" s="335"/>
      <c r="S577" s="335"/>
      <c r="T577" s="335"/>
      <c r="U577" s="335"/>
      <c r="V577" s="335"/>
      <c r="W577" s="335"/>
      <c r="X577" s="335"/>
      <c r="Y577" s="335"/>
      <c r="Z577" s="335"/>
      <c r="AA577" s="335"/>
      <c r="AB577" s="335"/>
      <c r="AC577" s="335"/>
      <c r="AD577" s="335"/>
      <c r="AE577" s="335"/>
      <c r="AF577" s="335"/>
      <c r="AG577" s="335"/>
      <c r="AH577" s="335"/>
      <c r="AI577" s="335"/>
      <c r="AJ577" s="335"/>
      <c r="AK577" s="335"/>
      <c r="AL577" s="335"/>
      <c r="AM577" s="335"/>
      <c r="AN577" s="335"/>
      <c r="AO577" s="335"/>
      <c r="AP577" s="335"/>
      <c r="AQ577" s="335"/>
      <c r="AR577" s="335"/>
      <c r="AS577" s="335"/>
      <c r="AT577" s="335"/>
      <c r="AU577" s="335"/>
      <c r="AV577" s="335"/>
      <c r="AW577" s="335"/>
      <c r="AX577" s="335"/>
      <c r="AY577" s="335"/>
      <c r="AZ577" s="335"/>
      <c r="BA577" s="335"/>
      <c r="BB577" s="335"/>
      <c r="BC577" s="335"/>
      <c r="BD577" s="335"/>
      <c r="BE577" s="335"/>
      <c r="BF577" s="335"/>
      <c r="BG577" s="335"/>
      <c r="BH577" s="335"/>
      <c r="BI577" s="335"/>
      <c r="BJ577" s="335"/>
      <c r="BK577" s="335"/>
      <c r="BL577" s="335"/>
      <c r="BM577" s="335"/>
      <c r="BN577" s="335"/>
      <c r="BO577" s="335"/>
      <c r="BP577" s="335"/>
      <c r="BQ577" s="335"/>
      <c r="BR577" s="335"/>
      <c r="BS577" s="335"/>
      <c r="BT577" s="335"/>
      <c r="BU577" s="335"/>
      <c r="BV577" s="335"/>
      <c r="BW577" s="335"/>
      <c r="BX577" s="335"/>
      <c r="BY577" s="335"/>
      <c r="BZ577" s="335"/>
      <c r="CA577" s="335"/>
      <c r="CB577" s="335"/>
      <c r="CC577" s="335"/>
      <c r="CD577" s="335"/>
      <c r="CE577" s="335"/>
      <c r="CF577" s="335"/>
      <c r="CG577" s="335"/>
      <c r="CH577" s="335"/>
      <c r="CI577" s="335"/>
      <c r="CJ577" s="335"/>
      <c r="CK577" s="335"/>
      <c r="CL577" s="335"/>
      <c r="CM577" s="335"/>
      <c r="CN577" s="335"/>
      <c r="CO577" s="335"/>
      <c r="CP577" s="335"/>
      <c r="CQ577" s="335"/>
      <c r="CR577" s="335"/>
      <c r="CS577" s="335"/>
      <c r="CT577" s="335"/>
      <c r="CU577" s="335"/>
      <c r="CV577" s="335"/>
      <c r="CW577" s="335"/>
      <c r="CX577" s="335"/>
      <c r="CY577" s="335"/>
      <c r="CZ577" s="335"/>
      <c r="DA577" s="335"/>
      <c r="DB577" s="335"/>
      <c r="DC577" s="335"/>
      <c r="DD577" s="335"/>
      <c r="DE577" s="335"/>
      <c r="DF577" s="335"/>
      <c r="DG577" s="335"/>
      <c r="DH577" s="335"/>
      <c r="DI577" s="335"/>
      <c r="DJ577" s="335"/>
      <c r="DK577" s="335"/>
      <c r="DL577" s="335"/>
      <c r="DM577" s="335"/>
      <c r="DN577" s="335"/>
      <c r="DO577" s="335"/>
      <c r="DP577" s="335"/>
      <c r="DQ577" s="335"/>
      <c r="DR577" s="335"/>
      <c r="DS577" s="335"/>
      <c r="DT577" s="335"/>
      <c r="DU577" s="335"/>
      <c r="DV577" s="335"/>
      <c r="DW577" s="335"/>
      <c r="DX577" s="335"/>
      <c r="DY577" s="335"/>
      <c r="DZ577" s="335"/>
      <c r="EA577" s="335"/>
      <c r="EB577" s="335"/>
      <c r="EC577" s="335"/>
      <c r="ED577" s="335"/>
      <c r="EE577" s="335"/>
      <c r="EF577" s="335"/>
      <c r="EG577" s="335"/>
      <c r="EH577" s="335"/>
      <c r="EI577" s="335"/>
      <c r="EJ577" s="335"/>
      <c r="EK577" s="335"/>
      <c r="EL577" s="335"/>
      <c r="EM577" s="335"/>
      <c r="EN577" s="335"/>
      <c r="EO577" s="335"/>
      <c r="EP577" s="335"/>
      <c r="EQ577" s="335"/>
      <c r="ER577" s="335"/>
      <c r="ES577" s="335"/>
      <c r="ET577" s="335"/>
      <c r="EU577" s="335"/>
      <c r="EV577" s="335"/>
      <c r="EW577" s="335"/>
      <c r="EX577" s="335"/>
      <c r="EY577" s="335"/>
      <c r="EZ577" s="335"/>
      <c r="FA577" s="335"/>
      <c r="FB577" s="335"/>
      <c r="FC577" s="335"/>
      <c r="FD577" s="335"/>
      <c r="FE577" s="335"/>
      <c r="FF577" s="335"/>
      <c r="FG577" s="335"/>
      <c r="FH577" s="335"/>
      <c r="FI577" s="335"/>
      <c r="FJ577" s="335"/>
      <c r="FK577" s="335"/>
      <c r="FL577" s="335"/>
      <c r="FM577" s="335"/>
      <c r="FN577" s="335"/>
      <c r="FO577" s="335"/>
      <c r="FP577" s="335"/>
      <c r="FQ577" s="335"/>
      <c r="FR577" s="335"/>
      <c r="FS577" s="335"/>
      <c r="FT577" s="335"/>
      <c r="FU577" s="335"/>
      <c r="FV577" s="335"/>
      <c r="FW577" s="335"/>
      <c r="FX577" s="335"/>
      <c r="FY577" s="335"/>
      <c r="FZ577" s="335"/>
      <c r="GA577" s="335"/>
      <c r="GB577" s="335"/>
      <c r="GC577" s="335"/>
      <c r="GD577" s="335"/>
      <c r="GE577" s="335"/>
      <c r="GF577" s="335"/>
      <c r="GG577" s="335"/>
      <c r="GH577" s="335"/>
      <c r="GI577" s="335"/>
      <c r="GJ577" s="335"/>
      <c r="GK577" s="335"/>
      <c r="GL577" s="335"/>
      <c r="GM577" s="335"/>
      <c r="GN577" s="335"/>
      <c r="GO577" s="335"/>
      <c r="GP577" s="335"/>
      <c r="GQ577" s="335"/>
      <c r="GR577" s="335"/>
      <c r="GS577" s="335"/>
      <c r="GT577" s="335"/>
      <c r="GU577" s="335"/>
      <c r="GV577" s="335"/>
      <c r="GW577" s="335"/>
      <c r="GX577" s="335"/>
      <c r="GY577" s="335"/>
      <c r="GZ577" s="335"/>
    </row>
    <row r="578" spans="1:208" ht="15">
      <c r="A578" s="379"/>
      <c r="B578" s="335"/>
      <c r="C578" s="335"/>
      <c r="D578" s="335"/>
      <c r="E578" s="335"/>
      <c r="F578" s="335"/>
      <c r="G578" s="335"/>
      <c r="H578" s="335"/>
      <c r="I578" s="335"/>
      <c r="J578" s="335"/>
      <c r="K578" s="335"/>
      <c r="L578" s="335"/>
      <c r="M578" s="376"/>
      <c r="N578" s="335"/>
      <c r="O578" s="380"/>
      <c r="P578" s="335"/>
      <c r="Q578" s="335"/>
      <c r="R578" s="335"/>
      <c r="S578" s="335"/>
      <c r="T578" s="335"/>
      <c r="U578" s="335"/>
      <c r="V578" s="335"/>
      <c r="W578" s="335"/>
      <c r="X578" s="335"/>
      <c r="Y578" s="335"/>
      <c r="Z578" s="335"/>
      <c r="AA578" s="335"/>
      <c r="AB578" s="335"/>
      <c r="AC578" s="335"/>
      <c r="AD578" s="335"/>
      <c r="AE578" s="335"/>
      <c r="AF578" s="335"/>
      <c r="AG578" s="335"/>
      <c r="AH578" s="335"/>
      <c r="AI578" s="335"/>
      <c r="AJ578" s="335"/>
      <c r="AK578" s="335"/>
      <c r="AL578" s="335"/>
      <c r="AM578" s="335"/>
      <c r="AN578" s="335"/>
      <c r="AO578" s="335"/>
      <c r="AP578" s="335"/>
      <c r="AQ578" s="335"/>
      <c r="AR578" s="335"/>
      <c r="AS578" s="335"/>
      <c r="AT578" s="335"/>
      <c r="AU578" s="335"/>
      <c r="AV578" s="335"/>
      <c r="AW578" s="335"/>
      <c r="AX578" s="335"/>
      <c r="AY578" s="335"/>
      <c r="AZ578" s="335"/>
      <c r="BA578" s="335"/>
      <c r="BB578" s="335"/>
      <c r="BC578" s="335"/>
      <c r="BD578" s="335"/>
      <c r="BE578" s="335"/>
      <c r="BF578" s="335"/>
      <c r="BG578" s="335"/>
      <c r="BH578" s="335"/>
      <c r="BI578" s="335"/>
      <c r="BJ578" s="335"/>
      <c r="BK578" s="335"/>
      <c r="BL578" s="335"/>
      <c r="BM578" s="335"/>
      <c r="BN578" s="335"/>
      <c r="BO578" s="335"/>
      <c r="BP578" s="335"/>
      <c r="BQ578" s="335"/>
      <c r="BR578" s="335"/>
      <c r="BS578" s="335"/>
      <c r="BT578" s="335"/>
      <c r="BU578" s="335"/>
      <c r="BV578" s="335"/>
      <c r="BW578" s="335"/>
      <c r="BX578" s="335"/>
      <c r="BY578" s="335"/>
      <c r="BZ578" s="335"/>
      <c r="CA578" s="335"/>
      <c r="CB578" s="335"/>
      <c r="CC578" s="335"/>
      <c r="CD578" s="335"/>
      <c r="CE578" s="335"/>
      <c r="CF578" s="335"/>
      <c r="CG578" s="335"/>
      <c r="CH578" s="335"/>
      <c r="CI578" s="335"/>
      <c r="CJ578" s="335"/>
      <c r="CK578" s="335"/>
      <c r="CL578" s="335"/>
      <c r="CM578" s="335"/>
      <c r="CN578" s="335"/>
      <c r="CO578" s="335"/>
      <c r="CP578" s="335"/>
      <c r="CQ578" s="335"/>
      <c r="CR578" s="335"/>
      <c r="CS578" s="335"/>
      <c r="CT578" s="335"/>
      <c r="CU578" s="335"/>
      <c r="CV578" s="335"/>
      <c r="CW578" s="335"/>
      <c r="CX578" s="335"/>
      <c r="CY578" s="335"/>
      <c r="CZ578" s="335"/>
      <c r="DA578" s="335"/>
      <c r="DB578" s="335"/>
      <c r="DC578" s="335"/>
      <c r="DD578" s="335"/>
      <c r="DE578" s="335"/>
      <c r="DF578" s="335"/>
      <c r="DG578" s="335"/>
      <c r="DH578" s="335"/>
      <c r="DI578" s="335"/>
      <c r="DJ578" s="335"/>
      <c r="DK578" s="335"/>
      <c r="DL578" s="335"/>
      <c r="DM578" s="335"/>
      <c r="DN578" s="335"/>
      <c r="DO578" s="335"/>
      <c r="DP578" s="335"/>
      <c r="DQ578" s="335"/>
      <c r="DR578" s="335"/>
      <c r="DS578" s="335"/>
      <c r="DT578" s="335"/>
      <c r="DU578" s="335"/>
      <c r="DV578" s="335"/>
      <c r="DW578" s="335"/>
      <c r="DX578" s="335"/>
      <c r="DY578" s="335"/>
      <c r="DZ578" s="335"/>
      <c r="EA578" s="335"/>
      <c r="EB578" s="335"/>
      <c r="EC578" s="335"/>
      <c r="ED578" s="335"/>
      <c r="EE578" s="335"/>
      <c r="EF578" s="335"/>
      <c r="EG578" s="335"/>
      <c r="EH578" s="335"/>
      <c r="EI578" s="335"/>
      <c r="EJ578" s="335"/>
      <c r="EK578" s="335"/>
      <c r="EL578" s="335"/>
      <c r="EM578" s="335"/>
      <c r="EN578" s="335"/>
      <c r="EO578" s="335"/>
      <c r="EP578" s="335"/>
      <c r="EQ578" s="335"/>
      <c r="ER578" s="335"/>
      <c r="ES578" s="335"/>
      <c r="ET578" s="335"/>
      <c r="EU578" s="335"/>
      <c r="EV578" s="335"/>
      <c r="EW578" s="335"/>
      <c r="EX578" s="335"/>
      <c r="EY578" s="335"/>
      <c r="EZ578" s="335"/>
      <c r="FA578" s="335"/>
      <c r="FB578" s="335"/>
      <c r="FC578" s="335"/>
      <c r="FD578" s="335"/>
      <c r="FE578" s="335"/>
      <c r="FF578" s="335"/>
      <c r="FG578" s="335"/>
      <c r="FH578" s="335"/>
      <c r="FI578" s="335"/>
      <c r="FJ578" s="335"/>
      <c r="FK578" s="335"/>
      <c r="FL578" s="335"/>
      <c r="FM578" s="335"/>
      <c r="FN578" s="335"/>
      <c r="FO578" s="335"/>
      <c r="FP578" s="335"/>
      <c r="FQ578" s="335"/>
      <c r="FR578" s="335"/>
      <c r="FS578" s="335"/>
      <c r="FT578" s="335"/>
      <c r="FU578" s="335"/>
      <c r="FV578" s="335"/>
      <c r="FW578" s="335"/>
      <c r="FX578" s="335"/>
      <c r="FY578" s="335"/>
      <c r="FZ578" s="335"/>
      <c r="GA578" s="335"/>
      <c r="GB578" s="335"/>
      <c r="GC578" s="335"/>
      <c r="GD578" s="335"/>
      <c r="GE578" s="335"/>
      <c r="GF578" s="335"/>
      <c r="GG578" s="335"/>
      <c r="GH578" s="335"/>
      <c r="GI578" s="335"/>
      <c r="GJ578" s="335"/>
      <c r="GK578" s="335"/>
      <c r="GL578" s="335"/>
      <c r="GM578" s="335"/>
      <c r="GN578" s="335"/>
      <c r="GO578" s="335"/>
      <c r="GP578" s="335"/>
      <c r="GQ578" s="335"/>
      <c r="GR578" s="335"/>
      <c r="GS578" s="335"/>
      <c r="GT578" s="335"/>
      <c r="GU578" s="335"/>
      <c r="GV578" s="335"/>
      <c r="GW578" s="335"/>
      <c r="GX578" s="335"/>
      <c r="GY578" s="335"/>
      <c r="GZ578" s="335"/>
    </row>
    <row r="579" spans="1:208" ht="15">
      <c r="A579" s="379"/>
      <c r="B579" s="335"/>
      <c r="C579" s="335"/>
      <c r="D579" s="335"/>
      <c r="E579" s="335"/>
      <c r="F579" s="335"/>
      <c r="G579" s="335"/>
      <c r="H579" s="335"/>
      <c r="I579" s="335"/>
      <c r="J579" s="335"/>
      <c r="K579" s="335"/>
      <c r="L579" s="335"/>
      <c r="M579" s="376"/>
      <c r="N579" s="335"/>
      <c r="O579" s="380"/>
      <c r="P579" s="335"/>
      <c r="Q579" s="335"/>
      <c r="R579" s="335"/>
      <c r="S579" s="335"/>
      <c r="T579" s="335"/>
      <c r="U579" s="335"/>
      <c r="V579" s="335"/>
      <c r="W579" s="335"/>
      <c r="X579" s="335"/>
      <c r="Y579" s="335"/>
      <c r="Z579" s="335"/>
      <c r="AA579" s="335"/>
      <c r="AB579" s="335"/>
      <c r="AC579" s="335"/>
      <c r="AD579" s="335"/>
      <c r="AE579" s="335"/>
      <c r="AF579" s="335"/>
      <c r="AG579" s="335"/>
      <c r="AH579" s="335"/>
      <c r="AI579" s="335"/>
      <c r="AJ579" s="335"/>
      <c r="AK579" s="335"/>
      <c r="AL579" s="335"/>
      <c r="AM579" s="335"/>
      <c r="AN579" s="335"/>
      <c r="AO579" s="335"/>
      <c r="AP579" s="335"/>
      <c r="AQ579" s="335"/>
      <c r="AR579" s="335"/>
      <c r="AS579" s="335"/>
      <c r="AT579" s="335"/>
      <c r="AU579" s="335"/>
      <c r="AV579" s="335"/>
      <c r="AW579" s="335"/>
      <c r="AX579" s="335"/>
      <c r="AY579" s="335"/>
      <c r="AZ579" s="335"/>
      <c r="BA579" s="335"/>
      <c r="BB579" s="335"/>
      <c r="BC579" s="335"/>
      <c r="BD579" s="335"/>
      <c r="BE579" s="335"/>
      <c r="BF579" s="335"/>
      <c r="BG579" s="335"/>
      <c r="BH579" s="335"/>
      <c r="BI579" s="335"/>
      <c r="BJ579" s="335"/>
      <c r="BK579" s="335"/>
      <c r="BL579" s="335"/>
      <c r="BM579" s="335"/>
      <c r="BN579" s="335"/>
      <c r="BO579" s="335"/>
      <c r="BP579" s="335"/>
      <c r="BQ579" s="335"/>
      <c r="BR579" s="335"/>
      <c r="BS579" s="335"/>
      <c r="BT579" s="335"/>
      <c r="BU579" s="335"/>
      <c r="BV579" s="335"/>
      <c r="BW579" s="335"/>
      <c r="BX579" s="335"/>
      <c r="BY579" s="335"/>
      <c r="BZ579" s="335"/>
      <c r="CA579" s="335"/>
      <c r="CB579" s="335"/>
      <c r="CC579" s="335"/>
      <c r="CD579" s="335"/>
      <c r="CE579" s="335"/>
      <c r="CF579" s="335"/>
      <c r="CG579" s="335"/>
      <c r="CH579" s="335"/>
      <c r="CI579" s="335"/>
      <c r="CJ579" s="335"/>
      <c r="CK579" s="335"/>
      <c r="CL579" s="335"/>
      <c r="CM579" s="335"/>
      <c r="CN579" s="335"/>
      <c r="CO579" s="335"/>
      <c r="CP579" s="335"/>
      <c r="CQ579" s="335"/>
      <c r="CR579" s="335"/>
      <c r="CS579" s="335"/>
      <c r="CT579" s="335"/>
      <c r="CU579" s="335"/>
      <c r="CV579" s="335"/>
      <c r="CW579" s="335"/>
      <c r="CX579" s="335"/>
      <c r="CY579" s="335"/>
      <c r="CZ579" s="335"/>
      <c r="DA579" s="335"/>
      <c r="DB579" s="335"/>
      <c r="DC579" s="335"/>
      <c r="DD579" s="335"/>
      <c r="DE579" s="335"/>
      <c r="DF579" s="335"/>
      <c r="DG579" s="335"/>
      <c r="DH579" s="335"/>
      <c r="DI579" s="335"/>
      <c r="DJ579" s="335"/>
      <c r="DK579" s="335"/>
      <c r="DL579" s="335"/>
      <c r="DM579" s="335"/>
      <c r="DN579" s="335"/>
      <c r="DO579" s="335"/>
      <c r="DP579" s="335"/>
      <c r="DQ579" s="335"/>
      <c r="DR579" s="335"/>
      <c r="DS579" s="335"/>
      <c r="DT579" s="335"/>
      <c r="DU579" s="335"/>
      <c r="DV579" s="335"/>
      <c r="DW579" s="335"/>
      <c r="DX579" s="335"/>
      <c r="DY579" s="335"/>
      <c r="DZ579" s="335"/>
      <c r="EA579" s="335"/>
      <c r="EB579" s="335"/>
      <c r="EC579" s="335"/>
      <c r="ED579" s="335"/>
      <c r="EE579" s="335"/>
      <c r="EF579" s="335"/>
      <c r="EG579" s="335"/>
      <c r="EH579" s="335"/>
      <c r="EI579" s="335"/>
      <c r="EJ579" s="335"/>
      <c r="EK579" s="335"/>
      <c r="EL579" s="335"/>
      <c r="EM579" s="335"/>
      <c r="EN579" s="335"/>
      <c r="EO579" s="335"/>
      <c r="EP579" s="335"/>
      <c r="EQ579" s="335"/>
      <c r="ER579" s="335"/>
      <c r="ES579" s="335"/>
      <c r="ET579" s="335"/>
      <c r="EU579" s="335"/>
      <c r="EV579" s="335"/>
      <c r="EW579" s="335"/>
      <c r="EX579" s="335"/>
      <c r="EY579" s="335"/>
      <c r="EZ579" s="335"/>
      <c r="FA579" s="335"/>
      <c r="FB579" s="335"/>
      <c r="FC579" s="335"/>
      <c r="FD579" s="335"/>
      <c r="FE579" s="335"/>
      <c r="FF579" s="335"/>
      <c r="FG579" s="335"/>
      <c r="FH579" s="335"/>
      <c r="FI579" s="335"/>
      <c r="FJ579" s="335"/>
      <c r="FK579" s="335"/>
      <c r="FL579" s="335"/>
      <c r="FM579" s="335"/>
      <c r="FN579" s="335"/>
      <c r="FO579" s="335"/>
      <c r="FP579" s="335"/>
      <c r="FQ579" s="335"/>
      <c r="FR579" s="335"/>
      <c r="FS579" s="335"/>
      <c r="FT579" s="335"/>
      <c r="FU579" s="335"/>
      <c r="FV579" s="335"/>
      <c r="FW579" s="335"/>
      <c r="FX579" s="335"/>
      <c r="FY579" s="335"/>
      <c r="FZ579" s="335"/>
      <c r="GA579" s="335"/>
      <c r="GB579" s="335"/>
      <c r="GC579" s="335"/>
      <c r="GD579" s="335"/>
      <c r="GE579" s="335"/>
      <c r="GF579" s="335"/>
      <c r="GG579" s="335"/>
      <c r="GH579" s="335"/>
      <c r="GI579" s="335"/>
      <c r="GJ579" s="335"/>
      <c r="GK579" s="335"/>
      <c r="GL579" s="335"/>
      <c r="GM579" s="335"/>
      <c r="GN579" s="335"/>
      <c r="GO579" s="335"/>
      <c r="GP579" s="335"/>
      <c r="GQ579" s="335"/>
      <c r="GR579" s="335"/>
      <c r="GS579" s="335"/>
      <c r="GT579" s="335"/>
      <c r="GU579" s="335"/>
      <c r="GV579" s="335"/>
      <c r="GW579" s="335"/>
      <c r="GX579" s="335"/>
      <c r="GY579" s="335"/>
      <c r="GZ579" s="335"/>
    </row>
    <row r="580" spans="1:208" ht="15">
      <c r="A580" s="379"/>
      <c r="B580" s="335"/>
      <c r="C580" s="335"/>
      <c r="D580" s="335"/>
      <c r="E580" s="335"/>
      <c r="F580" s="335"/>
      <c r="G580" s="335"/>
      <c r="H580" s="335"/>
      <c r="I580" s="335"/>
      <c r="J580" s="335"/>
      <c r="K580" s="335"/>
      <c r="L580" s="335"/>
      <c r="M580" s="376"/>
      <c r="N580" s="335"/>
      <c r="O580" s="380"/>
      <c r="P580" s="335"/>
      <c r="Q580" s="335"/>
      <c r="R580" s="335"/>
      <c r="S580" s="335"/>
      <c r="T580" s="335"/>
      <c r="U580" s="335"/>
      <c r="V580" s="335"/>
      <c r="W580" s="335"/>
      <c r="X580" s="335"/>
      <c r="Y580" s="335"/>
      <c r="Z580" s="335"/>
      <c r="AA580" s="335"/>
      <c r="AB580" s="335"/>
      <c r="AC580" s="335"/>
      <c r="AD580" s="335"/>
      <c r="AE580" s="335"/>
      <c r="AF580" s="335"/>
      <c r="AG580" s="335"/>
      <c r="AH580" s="335"/>
      <c r="AI580" s="335"/>
      <c r="AJ580" s="335"/>
      <c r="AK580" s="335"/>
      <c r="AL580" s="335"/>
      <c r="AM580" s="335"/>
      <c r="AN580" s="335"/>
      <c r="AO580" s="335"/>
      <c r="AP580" s="335"/>
      <c r="AQ580" s="335"/>
      <c r="AR580" s="335"/>
      <c r="AS580" s="335"/>
      <c r="AT580" s="335"/>
      <c r="AU580" s="335"/>
      <c r="AV580" s="335"/>
      <c r="AW580" s="335"/>
      <c r="AX580" s="335"/>
      <c r="AY580" s="335"/>
      <c r="AZ580" s="335"/>
      <c r="BA580" s="335"/>
      <c r="BB580" s="335"/>
      <c r="BC580" s="335"/>
      <c r="BD580" s="335"/>
      <c r="BE580" s="335"/>
      <c r="BF580" s="335"/>
      <c r="BG580" s="335"/>
      <c r="BH580" s="335"/>
      <c r="BI580" s="335"/>
      <c r="BJ580" s="335"/>
      <c r="BK580" s="335"/>
      <c r="BL580" s="335"/>
      <c r="BM580" s="335"/>
      <c r="BN580" s="335"/>
      <c r="BO580" s="335"/>
      <c r="BP580" s="335"/>
      <c r="BQ580" s="335"/>
      <c r="BR580" s="335"/>
      <c r="BS580" s="335"/>
      <c r="BT580" s="335"/>
      <c r="BU580" s="335"/>
      <c r="BV580" s="335"/>
      <c r="BW580" s="335"/>
      <c r="BX580" s="335"/>
      <c r="BY580" s="335"/>
      <c r="BZ580" s="335"/>
      <c r="CA580" s="335"/>
      <c r="CB580" s="335"/>
      <c r="CC580" s="335"/>
      <c r="CD580" s="335"/>
      <c r="CE580" s="335"/>
      <c r="CF580" s="335"/>
      <c r="CG580" s="335"/>
      <c r="CH580" s="335"/>
      <c r="CI580" s="335"/>
      <c r="CJ580" s="335"/>
      <c r="CK580" s="335"/>
      <c r="CL580" s="335"/>
      <c r="CM580" s="335"/>
      <c r="CN580" s="335"/>
      <c r="CO580" s="335"/>
      <c r="CP580" s="335"/>
      <c r="CQ580" s="335"/>
      <c r="CR580" s="335"/>
      <c r="CS580" s="335"/>
      <c r="CT580" s="335"/>
      <c r="CU580" s="335"/>
      <c r="CV580" s="335"/>
      <c r="CW580" s="335"/>
      <c r="CX580" s="335"/>
      <c r="CY580" s="335"/>
      <c r="CZ580" s="335"/>
      <c r="DA580" s="335"/>
      <c r="DB580" s="335"/>
      <c r="DC580" s="335"/>
      <c r="DD580" s="335"/>
      <c r="DE580" s="335"/>
      <c r="DF580" s="335"/>
      <c r="DG580" s="335"/>
      <c r="DH580" s="335"/>
      <c r="DI580" s="335"/>
      <c r="DJ580" s="335"/>
      <c r="DK580" s="335"/>
      <c r="DL580" s="335"/>
      <c r="DM580" s="335"/>
      <c r="DN580" s="335"/>
      <c r="DO580" s="335"/>
      <c r="DP580" s="335"/>
      <c r="DQ580" s="335"/>
      <c r="DR580" s="335"/>
      <c r="DS580" s="335"/>
      <c r="DT580" s="335"/>
      <c r="DU580" s="335"/>
      <c r="DV580" s="335"/>
      <c r="DW580" s="335"/>
      <c r="DX580" s="335"/>
      <c r="DY580" s="335"/>
      <c r="DZ580" s="335"/>
      <c r="EA580" s="335"/>
      <c r="EB580" s="335"/>
      <c r="EC580" s="335"/>
      <c r="ED580" s="335"/>
      <c r="EE580" s="335"/>
      <c r="EF580" s="335"/>
      <c r="EG580" s="335"/>
      <c r="EH580" s="335"/>
      <c r="EI580" s="335"/>
      <c r="EJ580" s="335"/>
      <c r="EK580" s="335"/>
      <c r="EL580" s="335"/>
      <c r="EM580" s="335"/>
      <c r="EN580" s="335"/>
      <c r="EO580" s="335"/>
      <c r="EP580" s="335"/>
      <c r="EQ580" s="335"/>
      <c r="ER580" s="335"/>
      <c r="ES580" s="335"/>
      <c r="ET580" s="335"/>
      <c r="EU580" s="335"/>
      <c r="EV580" s="335"/>
      <c r="EW580" s="335"/>
      <c r="EX580" s="335"/>
      <c r="EY580" s="335"/>
      <c r="EZ580" s="335"/>
      <c r="FA580" s="335"/>
      <c r="FB580" s="335"/>
      <c r="FC580" s="335"/>
      <c r="FD580" s="335"/>
      <c r="FE580" s="335"/>
      <c r="FF580" s="335"/>
      <c r="FG580" s="335"/>
      <c r="FH580" s="335"/>
      <c r="FI580" s="335"/>
      <c r="FJ580" s="335"/>
      <c r="FK580" s="335"/>
      <c r="FL580" s="335"/>
      <c r="FM580" s="335"/>
      <c r="FN580" s="335"/>
      <c r="FO580" s="335"/>
      <c r="FP580" s="335"/>
      <c r="FQ580" s="335"/>
      <c r="FR580" s="335"/>
      <c r="FS580" s="335"/>
      <c r="FT580" s="335"/>
      <c r="FU580" s="335"/>
      <c r="FV580" s="335"/>
      <c r="FW580" s="335"/>
      <c r="FX580" s="335"/>
      <c r="FY580" s="335"/>
      <c r="FZ580" s="335"/>
      <c r="GA580" s="335"/>
      <c r="GB580" s="335"/>
      <c r="GC580" s="335"/>
      <c r="GD580" s="335"/>
      <c r="GE580" s="335"/>
      <c r="GF580" s="335"/>
      <c r="GG580" s="335"/>
      <c r="GH580" s="335"/>
      <c r="GI580" s="335"/>
      <c r="GJ580" s="335"/>
      <c r="GK580" s="335"/>
      <c r="GL580" s="335"/>
      <c r="GM580" s="335"/>
      <c r="GN580" s="335"/>
      <c r="GO580" s="335"/>
      <c r="GP580" s="335"/>
      <c r="GQ580" s="335"/>
      <c r="GR580" s="335"/>
      <c r="GS580" s="335"/>
      <c r="GT580" s="335"/>
      <c r="GU580" s="335"/>
      <c r="GV580" s="335"/>
      <c r="GW580" s="335"/>
      <c r="GX580" s="335"/>
      <c r="GY580" s="335"/>
      <c r="GZ580" s="335"/>
    </row>
    <row r="581" spans="1:208" ht="15">
      <c r="A581" s="379"/>
      <c r="B581" s="335"/>
      <c r="C581" s="335"/>
      <c r="D581" s="335"/>
      <c r="E581" s="335"/>
      <c r="F581" s="335"/>
      <c r="G581" s="335"/>
      <c r="H581" s="335"/>
      <c r="I581" s="335"/>
      <c r="J581" s="335"/>
      <c r="K581" s="335"/>
      <c r="L581" s="335"/>
      <c r="M581" s="376"/>
      <c r="N581" s="335"/>
      <c r="O581" s="380"/>
      <c r="P581" s="335"/>
      <c r="Q581" s="335"/>
      <c r="R581" s="335"/>
      <c r="S581" s="335"/>
      <c r="T581" s="335"/>
      <c r="U581" s="335"/>
      <c r="V581" s="335"/>
      <c r="W581" s="335"/>
      <c r="X581" s="335"/>
      <c r="Y581" s="335"/>
      <c r="Z581" s="335"/>
      <c r="AA581" s="335"/>
      <c r="AB581" s="335"/>
      <c r="AC581" s="335"/>
      <c r="AD581" s="335"/>
      <c r="AE581" s="335"/>
      <c r="AF581" s="335"/>
      <c r="AG581" s="335"/>
      <c r="AH581" s="335"/>
      <c r="AI581" s="335"/>
      <c r="AJ581" s="335"/>
      <c r="AK581" s="335"/>
      <c r="AL581" s="335"/>
      <c r="AM581" s="335"/>
      <c r="AN581" s="335"/>
      <c r="AO581" s="335"/>
      <c r="AP581" s="335"/>
      <c r="AQ581" s="335"/>
      <c r="AR581" s="335"/>
      <c r="AS581" s="335"/>
      <c r="AT581" s="335"/>
      <c r="AU581" s="335"/>
      <c r="AV581" s="335"/>
      <c r="AW581" s="335"/>
      <c r="AX581" s="335"/>
      <c r="AY581" s="335"/>
      <c r="AZ581" s="335"/>
      <c r="BA581" s="335"/>
      <c r="BB581" s="335"/>
      <c r="BC581" s="335"/>
      <c r="BD581" s="335"/>
      <c r="BE581" s="335"/>
      <c r="BF581" s="335"/>
      <c r="BG581" s="335"/>
      <c r="BH581" s="335"/>
      <c r="BI581" s="335"/>
      <c r="BJ581" s="335"/>
      <c r="BK581" s="335"/>
      <c r="BL581" s="335"/>
      <c r="BM581" s="335"/>
      <c r="BN581" s="335"/>
      <c r="BO581" s="335"/>
      <c r="BP581" s="335"/>
      <c r="BQ581" s="335"/>
      <c r="BR581" s="335"/>
      <c r="BS581" s="335"/>
      <c r="BT581" s="335"/>
      <c r="BU581" s="335"/>
      <c r="BV581" s="335"/>
      <c r="BW581" s="335"/>
      <c r="BX581" s="335"/>
      <c r="BY581" s="335"/>
      <c r="BZ581" s="335"/>
      <c r="CA581" s="335"/>
      <c r="CB581" s="335"/>
      <c r="CC581" s="335"/>
      <c r="CD581" s="335"/>
      <c r="CE581" s="335"/>
      <c r="CF581" s="335"/>
      <c r="CG581" s="335"/>
      <c r="CH581" s="335"/>
      <c r="CI581" s="335"/>
      <c r="CJ581" s="335"/>
      <c r="CK581" s="335"/>
      <c r="CL581" s="335"/>
      <c r="CM581" s="335"/>
      <c r="CN581" s="335"/>
      <c r="CO581" s="335"/>
      <c r="CP581" s="335"/>
      <c r="CQ581" s="335"/>
      <c r="CR581" s="335"/>
      <c r="CS581" s="335"/>
      <c r="CT581" s="335"/>
      <c r="CU581" s="335"/>
      <c r="CV581" s="335"/>
      <c r="CW581" s="335"/>
      <c r="CX581" s="335"/>
      <c r="CY581" s="335"/>
      <c r="CZ581" s="335"/>
      <c r="DA581" s="335"/>
      <c r="DB581" s="335"/>
      <c r="DC581" s="335"/>
      <c r="DD581" s="335"/>
      <c r="DE581" s="335"/>
      <c r="DF581" s="335"/>
      <c r="DG581" s="335"/>
      <c r="DH581" s="335"/>
      <c r="DI581" s="335"/>
      <c r="DJ581" s="335"/>
      <c r="DK581" s="335"/>
      <c r="DL581" s="335"/>
      <c r="DM581" s="335"/>
      <c r="DN581" s="335"/>
      <c r="DO581" s="335"/>
      <c r="DP581" s="335"/>
      <c r="DQ581" s="335"/>
      <c r="DR581" s="335"/>
      <c r="DS581" s="335"/>
      <c r="DT581" s="335"/>
      <c r="DU581" s="335"/>
      <c r="DV581" s="335"/>
      <c r="DW581" s="335"/>
      <c r="DX581" s="335"/>
      <c r="DY581" s="335"/>
      <c r="DZ581" s="335"/>
      <c r="EA581" s="335"/>
      <c r="EB581" s="335"/>
      <c r="EC581" s="335"/>
      <c r="ED581" s="335"/>
      <c r="EE581" s="335"/>
      <c r="EF581" s="335"/>
      <c r="EG581" s="335"/>
      <c r="EH581" s="335"/>
      <c r="EI581" s="335"/>
      <c r="EJ581" s="335"/>
      <c r="EK581" s="335"/>
      <c r="EL581" s="335"/>
      <c r="EM581" s="335"/>
      <c r="EN581" s="335"/>
      <c r="EO581" s="335"/>
      <c r="EP581" s="335"/>
      <c r="EQ581" s="335"/>
      <c r="ER581" s="335"/>
      <c r="ES581" s="335"/>
      <c r="ET581" s="335"/>
      <c r="EU581" s="335"/>
      <c r="EV581" s="335"/>
      <c r="EW581" s="335"/>
      <c r="EX581" s="335"/>
      <c r="EY581" s="335"/>
      <c r="EZ581" s="335"/>
      <c r="FA581" s="335"/>
      <c r="FB581" s="335"/>
      <c r="FC581" s="335"/>
      <c r="FD581" s="335"/>
      <c r="FE581" s="335"/>
      <c r="FF581" s="335"/>
      <c r="FG581" s="335"/>
      <c r="FH581" s="335"/>
      <c r="FI581" s="335"/>
      <c r="FJ581" s="335"/>
      <c r="FK581" s="335"/>
      <c r="FL581" s="335"/>
      <c r="FM581" s="335"/>
      <c r="FN581" s="335"/>
      <c r="FO581" s="335"/>
      <c r="FP581" s="335"/>
      <c r="FQ581" s="335"/>
      <c r="FR581" s="335"/>
      <c r="FS581" s="335"/>
      <c r="FT581" s="335"/>
      <c r="FU581" s="335"/>
      <c r="FV581" s="335"/>
      <c r="FW581" s="335"/>
      <c r="FX581" s="335"/>
      <c r="FY581" s="335"/>
      <c r="FZ581" s="335"/>
      <c r="GA581" s="335"/>
      <c r="GB581" s="335"/>
      <c r="GC581" s="335"/>
      <c r="GD581" s="335"/>
      <c r="GE581" s="335"/>
      <c r="GF581" s="335"/>
      <c r="GG581" s="335"/>
      <c r="GH581" s="335"/>
      <c r="GI581" s="335"/>
      <c r="GJ581" s="335"/>
      <c r="GK581" s="335"/>
      <c r="GL581" s="335"/>
      <c r="GM581" s="335"/>
      <c r="GN581" s="335"/>
      <c r="GO581" s="335"/>
      <c r="GP581" s="335"/>
      <c r="GQ581" s="335"/>
      <c r="GR581" s="335"/>
      <c r="GS581" s="335"/>
      <c r="GT581" s="335"/>
      <c r="GU581" s="335"/>
      <c r="GV581" s="335"/>
      <c r="GW581" s="335"/>
      <c r="GX581" s="335"/>
      <c r="GY581" s="335"/>
      <c r="GZ581" s="335"/>
    </row>
    <row r="582" spans="1:208" ht="15">
      <c r="A582" s="379"/>
      <c r="B582" s="335"/>
      <c r="C582" s="335"/>
      <c r="D582" s="335"/>
      <c r="E582" s="335"/>
      <c r="F582" s="335"/>
      <c r="G582" s="335"/>
      <c r="H582" s="335"/>
      <c r="I582" s="335"/>
      <c r="J582" s="335"/>
      <c r="K582" s="335"/>
      <c r="L582" s="335"/>
      <c r="M582" s="376"/>
      <c r="N582" s="335"/>
      <c r="O582" s="380"/>
      <c r="P582" s="335"/>
      <c r="Q582" s="335"/>
      <c r="R582" s="335"/>
      <c r="S582" s="335"/>
      <c r="T582" s="335"/>
      <c r="U582" s="335"/>
      <c r="V582" s="335"/>
      <c r="W582" s="335"/>
      <c r="X582" s="335"/>
      <c r="Y582" s="335"/>
      <c r="Z582" s="335"/>
      <c r="AA582" s="335"/>
      <c r="AB582" s="335"/>
      <c r="AC582" s="335"/>
      <c r="AD582" s="335"/>
      <c r="AE582" s="335"/>
      <c r="AF582" s="335"/>
      <c r="AG582" s="335"/>
      <c r="AH582" s="335"/>
      <c r="AI582" s="335"/>
      <c r="AJ582" s="335"/>
      <c r="AK582" s="335"/>
      <c r="AL582" s="335"/>
      <c r="AM582" s="335"/>
      <c r="AN582" s="335"/>
      <c r="AO582" s="335"/>
      <c r="AP582" s="335"/>
      <c r="AQ582" s="335"/>
      <c r="AR582" s="335"/>
      <c r="AS582" s="335"/>
      <c r="AT582" s="335"/>
      <c r="AU582" s="335"/>
      <c r="AV582" s="335"/>
      <c r="AW582" s="335"/>
      <c r="AX582" s="335"/>
      <c r="AY582" s="335"/>
      <c r="AZ582" s="335"/>
      <c r="BA582" s="335"/>
      <c r="BB582" s="335"/>
      <c r="BC582" s="335"/>
      <c r="BD582" s="335"/>
      <c r="BE582" s="335"/>
      <c r="BF582" s="335"/>
      <c r="BG582" s="335"/>
      <c r="BH582" s="335"/>
      <c r="BI582" s="335"/>
      <c r="BJ582" s="335"/>
      <c r="BK582" s="335"/>
      <c r="BL582" s="335"/>
      <c r="BM582" s="335"/>
      <c r="BN582" s="335"/>
      <c r="BO582" s="335"/>
      <c r="BP582" s="335"/>
      <c r="BQ582" s="335"/>
      <c r="BR582" s="335"/>
      <c r="BS582" s="335"/>
      <c r="BT582" s="335"/>
      <c r="BU582" s="335"/>
      <c r="BV582" s="335"/>
      <c r="BW582" s="335"/>
      <c r="BX582" s="335"/>
      <c r="BY582" s="335"/>
      <c r="BZ582" s="335"/>
      <c r="CA582" s="335"/>
      <c r="CB582" s="335"/>
      <c r="CC582" s="335"/>
      <c r="CD582" s="335"/>
      <c r="CE582" s="335"/>
      <c r="CF582" s="335"/>
      <c r="CG582" s="335"/>
      <c r="CH582" s="335"/>
      <c r="CI582" s="335"/>
      <c r="CJ582" s="335"/>
      <c r="CK582" s="335"/>
      <c r="CL582" s="335"/>
      <c r="CM582" s="335"/>
      <c r="CN582" s="335"/>
      <c r="CO582" s="335"/>
      <c r="CP582" s="335"/>
      <c r="CQ582" s="335"/>
      <c r="CR582" s="335"/>
      <c r="CS582" s="335"/>
      <c r="CT582" s="335"/>
      <c r="CU582" s="335"/>
      <c r="CV582" s="335"/>
      <c r="CW582" s="335"/>
      <c r="CX582" s="335"/>
      <c r="CY582" s="335"/>
      <c r="CZ582" s="335"/>
      <c r="DA582" s="335"/>
      <c r="DB582" s="335"/>
      <c r="DC582" s="335"/>
      <c r="DD582" s="335"/>
      <c r="DE582" s="335"/>
      <c r="DF582" s="335"/>
      <c r="DG582" s="335"/>
      <c r="DH582" s="335"/>
      <c r="DI582" s="335"/>
      <c r="DJ582" s="335"/>
      <c r="DK582" s="335"/>
      <c r="DL582" s="335"/>
      <c r="DM582" s="335"/>
      <c r="DN582" s="335"/>
      <c r="DO582" s="335"/>
      <c r="DP582" s="335"/>
      <c r="DQ582" s="335"/>
      <c r="DR582" s="335"/>
      <c r="DS582" s="335"/>
      <c r="DT582" s="335"/>
      <c r="DU582" s="335"/>
      <c r="DV582" s="335"/>
      <c r="DW582" s="335"/>
      <c r="DX582" s="335"/>
      <c r="DY582" s="335"/>
      <c r="DZ582" s="335"/>
      <c r="EA582" s="335"/>
      <c r="EB582" s="335"/>
      <c r="EC582" s="335"/>
      <c r="ED582" s="335"/>
      <c r="EE582" s="335"/>
      <c r="EF582" s="335"/>
      <c r="EG582" s="335"/>
      <c r="EH582" s="335"/>
      <c r="EI582" s="335"/>
      <c r="EJ582" s="335"/>
      <c r="EK582" s="335"/>
      <c r="EL582" s="335"/>
      <c r="EM582" s="335"/>
      <c r="EN582" s="335"/>
      <c r="EO582" s="335"/>
      <c r="EP582" s="335"/>
      <c r="EQ582" s="335"/>
      <c r="ER582" s="335"/>
      <c r="ES582" s="335"/>
      <c r="ET582" s="335"/>
      <c r="EU582" s="335"/>
      <c r="EV582" s="335"/>
      <c r="EW582" s="335"/>
      <c r="EX582" s="335"/>
      <c r="EY582" s="335"/>
      <c r="EZ582" s="335"/>
      <c r="FA582" s="335"/>
      <c r="FB582" s="335"/>
      <c r="FC582" s="335"/>
      <c r="FD582" s="335"/>
      <c r="FE582" s="335"/>
      <c r="FF582" s="335"/>
      <c r="FG582" s="335"/>
      <c r="FH582" s="335"/>
      <c r="FI582" s="335"/>
      <c r="FJ582" s="335"/>
      <c r="FK582" s="335"/>
      <c r="FL582" s="335"/>
      <c r="FM582" s="335"/>
      <c r="FN582" s="335"/>
      <c r="FO582" s="335"/>
      <c r="FP582" s="335"/>
      <c r="FQ582" s="335"/>
      <c r="FR582" s="335"/>
      <c r="FS582" s="335"/>
      <c r="FT582" s="335"/>
      <c r="FU582" s="335"/>
      <c r="FV582" s="335"/>
      <c r="FW582" s="335"/>
      <c r="FX582" s="335"/>
      <c r="FY582" s="335"/>
      <c r="FZ582" s="335"/>
      <c r="GA582" s="335"/>
      <c r="GB582" s="335"/>
      <c r="GC582" s="335"/>
      <c r="GD582" s="335"/>
      <c r="GE582" s="335"/>
      <c r="GF582" s="335"/>
      <c r="GG582" s="335"/>
      <c r="GH582" s="335"/>
      <c r="GI582" s="335"/>
      <c r="GJ582" s="335"/>
      <c r="GK582" s="335"/>
      <c r="GL582" s="335"/>
      <c r="GM582" s="335"/>
      <c r="GN582" s="335"/>
      <c r="GO582" s="335"/>
      <c r="GP582" s="335"/>
      <c r="GQ582" s="335"/>
      <c r="GR582" s="335"/>
      <c r="GS582" s="335"/>
      <c r="GT582" s="335"/>
      <c r="GU582" s="335"/>
      <c r="GV582" s="335"/>
      <c r="GW582" s="335"/>
      <c r="GX582" s="335"/>
      <c r="GY582" s="335"/>
      <c r="GZ582" s="335"/>
    </row>
    <row r="583" spans="1:208" ht="15">
      <c r="A583" s="379"/>
      <c r="B583" s="335"/>
      <c r="C583" s="335"/>
      <c r="D583" s="335"/>
      <c r="E583" s="335"/>
      <c r="F583" s="335"/>
      <c r="G583" s="335"/>
      <c r="H583" s="335"/>
      <c r="I583" s="335"/>
      <c r="J583" s="335"/>
      <c r="K583" s="335"/>
      <c r="L583" s="335"/>
      <c r="M583" s="376"/>
      <c r="N583" s="335"/>
      <c r="O583" s="380"/>
      <c r="P583" s="335"/>
      <c r="Q583" s="335"/>
      <c r="R583" s="335"/>
      <c r="S583" s="335"/>
      <c r="T583" s="335"/>
      <c r="U583" s="335"/>
      <c r="V583" s="335"/>
      <c r="W583" s="335"/>
      <c r="X583" s="335"/>
      <c r="Y583" s="335"/>
      <c r="Z583" s="335"/>
      <c r="AA583" s="335"/>
      <c r="AB583" s="335"/>
      <c r="AC583" s="335"/>
      <c r="AD583" s="335"/>
      <c r="AE583" s="335"/>
      <c r="AF583" s="335"/>
      <c r="AG583" s="335"/>
      <c r="AH583" s="335"/>
      <c r="AI583" s="335"/>
      <c r="AJ583" s="335"/>
      <c r="AK583" s="335"/>
      <c r="AL583" s="335"/>
      <c r="AM583" s="335"/>
      <c r="AN583" s="335"/>
      <c r="AO583" s="335"/>
      <c r="AP583" s="335"/>
      <c r="AQ583" s="335"/>
      <c r="AR583" s="335"/>
      <c r="AS583" s="335"/>
      <c r="AT583" s="335"/>
      <c r="AU583" s="335"/>
      <c r="AV583" s="335"/>
      <c r="AW583" s="335"/>
      <c r="AX583" s="335"/>
      <c r="AY583" s="335"/>
      <c r="AZ583" s="335"/>
      <c r="BA583" s="335"/>
      <c r="BB583" s="335"/>
      <c r="BC583" s="335"/>
      <c r="BD583" s="335"/>
      <c r="BE583" s="335"/>
      <c r="BF583" s="335"/>
      <c r="BG583" s="335"/>
      <c r="BH583" s="335"/>
      <c r="BI583" s="335"/>
      <c r="BJ583" s="335"/>
      <c r="BK583" s="335"/>
      <c r="BL583" s="335"/>
      <c r="BM583" s="335"/>
      <c r="BN583" s="335"/>
      <c r="BO583" s="335"/>
      <c r="BP583" s="335"/>
      <c r="BQ583" s="335"/>
      <c r="BR583" s="335"/>
      <c r="BS583" s="335"/>
      <c r="BT583" s="335"/>
      <c r="BU583" s="335"/>
      <c r="BV583" s="335"/>
      <c r="BW583" s="335"/>
      <c r="BX583" s="335"/>
      <c r="BY583" s="335"/>
      <c r="BZ583" s="335"/>
      <c r="CA583" s="335"/>
      <c r="CB583" s="335"/>
      <c r="CC583" s="335"/>
      <c r="CD583" s="335"/>
      <c r="CE583" s="335"/>
      <c r="CF583" s="335"/>
      <c r="CG583" s="335"/>
      <c r="CH583" s="335"/>
      <c r="CI583" s="335"/>
      <c r="CJ583" s="335"/>
      <c r="CK583" s="335"/>
      <c r="CL583" s="335"/>
      <c r="CM583" s="335"/>
      <c r="CN583" s="335"/>
      <c r="CO583" s="335"/>
      <c r="CP583" s="335"/>
      <c r="CQ583" s="335"/>
      <c r="CR583" s="335"/>
      <c r="CS583" s="335"/>
      <c r="CT583" s="335"/>
      <c r="CU583" s="335"/>
      <c r="CV583" s="335"/>
      <c r="CW583" s="335"/>
      <c r="CX583" s="335"/>
      <c r="CY583" s="335"/>
      <c r="CZ583" s="335"/>
      <c r="DA583" s="335"/>
      <c r="DB583" s="335"/>
      <c r="DC583" s="335"/>
      <c r="DD583" s="335"/>
      <c r="DE583" s="335"/>
      <c r="DF583" s="335"/>
      <c r="DG583" s="335"/>
      <c r="DH583" s="335"/>
      <c r="DI583" s="335"/>
      <c r="DJ583" s="335"/>
      <c r="DK583" s="335"/>
      <c r="DL583" s="335"/>
      <c r="DM583" s="335"/>
      <c r="DN583" s="335"/>
      <c r="DO583" s="335"/>
      <c r="DP583" s="335"/>
      <c r="DQ583" s="335"/>
      <c r="DR583" s="335"/>
      <c r="DS583" s="335"/>
      <c r="DT583" s="335"/>
      <c r="DU583" s="335"/>
      <c r="DV583" s="335"/>
      <c r="DW583" s="335"/>
      <c r="DX583" s="335"/>
      <c r="DY583" s="335"/>
      <c r="DZ583" s="335"/>
      <c r="EA583" s="335"/>
      <c r="EB583" s="335"/>
      <c r="EC583" s="335"/>
      <c r="ED583" s="335"/>
      <c r="EE583" s="335"/>
      <c r="EF583" s="335"/>
      <c r="EG583" s="335"/>
      <c r="EH583" s="335"/>
      <c r="EI583" s="335"/>
      <c r="EJ583" s="335"/>
      <c r="EK583" s="335"/>
      <c r="EL583" s="335"/>
      <c r="EM583" s="335"/>
      <c r="EN583" s="335"/>
      <c r="EO583" s="335"/>
      <c r="EP583" s="335"/>
      <c r="EQ583" s="335"/>
      <c r="ER583" s="335"/>
      <c r="ES583" s="335"/>
      <c r="ET583" s="335"/>
      <c r="EU583" s="335"/>
      <c r="EV583" s="335"/>
      <c r="EW583" s="335"/>
      <c r="EX583" s="335"/>
      <c r="EY583" s="335"/>
      <c r="EZ583" s="335"/>
      <c r="FA583" s="335"/>
      <c r="FB583" s="335"/>
      <c r="FC583" s="335"/>
      <c r="FD583" s="335"/>
      <c r="FE583" s="335"/>
      <c r="FF583" s="335"/>
      <c r="FG583" s="335"/>
      <c r="FH583" s="335"/>
      <c r="FI583" s="335"/>
      <c r="FJ583" s="335"/>
      <c r="FK583" s="335"/>
      <c r="FL583" s="335"/>
      <c r="FM583" s="335"/>
      <c r="FN583" s="335"/>
      <c r="FO583" s="335"/>
      <c r="FP583" s="335"/>
      <c r="FQ583" s="335"/>
      <c r="FR583" s="335"/>
      <c r="FS583" s="335"/>
      <c r="FT583" s="335"/>
      <c r="FU583" s="335"/>
      <c r="FV583" s="335"/>
      <c r="FW583" s="335"/>
      <c r="FX583" s="335"/>
      <c r="FY583" s="335"/>
      <c r="FZ583" s="335"/>
      <c r="GA583" s="335"/>
      <c r="GB583" s="335"/>
      <c r="GC583" s="335"/>
      <c r="GD583" s="335"/>
      <c r="GE583" s="335"/>
      <c r="GF583" s="335"/>
      <c r="GG583" s="335"/>
      <c r="GH583" s="335"/>
      <c r="GI583" s="335"/>
      <c r="GJ583" s="335"/>
      <c r="GK583" s="335"/>
      <c r="GL583" s="335"/>
      <c r="GM583" s="335"/>
      <c r="GN583" s="335"/>
      <c r="GO583" s="335"/>
      <c r="GP583" s="335"/>
      <c r="GQ583" s="335"/>
      <c r="GR583" s="335"/>
      <c r="GS583" s="335"/>
      <c r="GT583" s="335"/>
      <c r="GU583" s="335"/>
      <c r="GV583" s="335"/>
      <c r="GW583" s="335"/>
      <c r="GX583" s="335"/>
      <c r="GY583" s="335"/>
      <c r="GZ583" s="335"/>
    </row>
    <row r="584" spans="1:208" ht="15">
      <c r="A584" s="379"/>
      <c r="B584" s="335"/>
      <c r="C584" s="335"/>
      <c r="D584" s="335"/>
      <c r="E584" s="335"/>
      <c r="F584" s="335"/>
      <c r="G584" s="335"/>
      <c r="H584" s="335"/>
      <c r="I584" s="335"/>
      <c r="J584" s="335"/>
      <c r="K584" s="335"/>
      <c r="L584" s="335"/>
      <c r="M584" s="376"/>
      <c r="N584" s="335"/>
      <c r="O584" s="380"/>
      <c r="P584" s="335"/>
      <c r="Q584" s="335"/>
      <c r="R584" s="335"/>
      <c r="S584" s="335"/>
      <c r="T584" s="335"/>
      <c r="U584" s="335"/>
      <c r="V584" s="335"/>
      <c r="W584" s="335"/>
      <c r="X584" s="335"/>
      <c r="Y584" s="335"/>
      <c r="Z584" s="335"/>
      <c r="AA584" s="335"/>
      <c r="AB584" s="335"/>
      <c r="AC584" s="335"/>
      <c r="AD584" s="335"/>
      <c r="AE584" s="335"/>
      <c r="AF584" s="335"/>
      <c r="AG584" s="335"/>
      <c r="AH584" s="335"/>
      <c r="AI584" s="335"/>
      <c r="AJ584" s="335"/>
      <c r="AK584" s="335"/>
      <c r="AL584" s="335"/>
      <c r="AM584" s="335"/>
      <c r="AN584" s="335"/>
      <c r="AO584" s="335"/>
      <c r="AP584" s="335"/>
      <c r="AQ584" s="335"/>
      <c r="AR584" s="335"/>
      <c r="AS584" s="335"/>
      <c r="AT584" s="335"/>
      <c r="AU584" s="335"/>
      <c r="AV584" s="335"/>
      <c r="AW584" s="335"/>
      <c r="AX584" s="335"/>
      <c r="AY584" s="335"/>
      <c r="AZ584" s="335"/>
      <c r="BA584" s="335"/>
      <c r="BB584" s="335"/>
      <c r="BC584" s="335"/>
      <c r="BD584" s="335"/>
      <c r="BE584" s="335"/>
      <c r="BF584" s="335"/>
      <c r="BG584" s="335"/>
      <c r="BH584" s="335"/>
      <c r="BI584" s="335"/>
      <c r="BJ584" s="335"/>
      <c r="BK584" s="335"/>
      <c r="BL584" s="335"/>
      <c r="BM584" s="335"/>
      <c r="BN584" s="335"/>
      <c r="BO584" s="335"/>
      <c r="BP584" s="335"/>
      <c r="BQ584" s="335"/>
      <c r="BR584" s="335"/>
      <c r="BS584" s="335"/>
      <c r="BT584" s="335"/>
      <c r="BU584" s="335"/>
      <c r="BV584" s="335"/>
      <c r="BW584" s="335"/>
      <c r="BX584" s="335"/>
      <c r="BY584" s="335"/>
      <c r="BZ584" s="335"/>
      <c r="CA584" s="335"/>
      <c r="CB584" s="335"/>
      <c r="CC584" s="335"/>
      <c r="CD584" s="335"/>
      <c r="CE584" s="335"/>
      <c r="CF584" s="335"/>
      <c r="CG584" s="335"/>
      <c r="CH584" s="335"/>
      <c r="CI584" s="335"/>
      <c r="CJ584" s="335"/>
      <c r="CK584" s="335"/>
      <c r="CL584" s="335"/>
      <c r="CM584" s="335"/>
      <c r="CN584" s="335"/>
      <c r="CO584" s="335"/>
      <c r="CP584" s="335"/>
      <c r="CQ584" s="335"/>
      <c r="CR584" s="335"/>
      <c r="CS584" s="335"/>
      <c r="CT584" s="335"/>
      <c r="CU584" s="335"/>
      <c r="CV584" s="335"/>
      <c r="CW584" s="335"/>
      <c r="CX584" s="335"/>
      <c r="CY584" s="335"/>
      <c r="CZ584" s="335"/>
      <c r="DA584" s="335"/>
      <c r="DB584" s="335"/>
      <c r="DC584" s="335"/>
      <c r="DD584" s="335"/>
      <c r="DE584" s="335"/>
      <c r="DF584" s="335"/>
      <c r="DG584" s="335"/>
      <c r="DH584" s="335"/>
      <c r="DI584" s="335"/>
      <c r="DJ584" s="335"/>
      <c r="DK584" s="335"/>
      <c r="DL584" s="335"/>
      <c r="DM584" s="335"/>
      <c r="DN584" s="335"/>
      <c r="DO584" s="335"/>
      <c r="DP584" s="335"/>
      <c r="DQ584" s="335"/>
      <c r="DR584" s="335"/>
      <c r="DS584" s="335"/>
      <c r="DT584" s="335"/>
      <c r="DU584" s="335"/>
      <c r="DV584" s="335"/>
      <c r="DW584" s="335"/>
      <c r="DX584" s="335"/>
      <c r="DY584" s="335"/>
      <c r="DZ584" s="335"/>
      <c r="EA584" s="335"/>
      <c r="EB584" s="335"/>
      <c r="EC584" s="335"/>
      <c r="ED584" s="335"/>
      <c r="EE584" s="335"/>
      <c r="EF584" s="335"/>
      <c r="EG584" s="335"/>
      <c r="EH584" s="335"/>
      <c r="EI584" s="335"/>
      <c r="EJ584" s="335"/>
      <c r="EK584" s="335"/>
      <c r="EL584" s="335"/>
      <c r="EM584" s="335"/>
      <c r="EN584" s="335"/>
      <c r="EO584" s="335"/>
      <c r="EP584" s="335"/>
      <c r="EQ584" s="335"/>
      <c r="ER584" s="335"/>
      <c r="ES584" s="335"/>
      <c r="ET584" s="335"/>
      <c r="EU584" s="335"/>
      <c r="EV584" s="335"/>
      <c r="EW584" s="335"/>
      <c r="EX584" s="335"/>
      <c r="EY584" s="335"/>
      <c r="EZ584" s="335"/>
      <c r="FA584" s="335"/>
      <c r="FB584" s="335"/>
      <c r="FC584" s="335"/>
      <c r="FD584" s="335"/>
      <c r="FE584" s="335"/>
      <c r="FF584" s="335"/>
      <c r="FG584" s="335"/>
      <c r="FH584" s="335"/>
      <c r="FI584" s="335"/>
      <c r="FJ584" s="335"/>
      <c r="FK584" s="335"/>
      <c r="FL584" s="335"/>
      <c r="FM584" s="335"/>
      <c r="FN584" s="335"/>
      <c r="FO584" s="335"/>
      <c r="FP584" s="335"/>
      <c r="FQ584" s="335"/>
      <c r="FR584" s="335"/>
      <c r="FS584" s="335"/>
      <c r="FT584" s="335"/>
      <c r="FU584" s="335"/>
      <c r="FV584" s="335"/>
      <c r="FW584" s="335"/>
      <c r="FX584" s="335"/>
      <c r="FY584" s="335"/>
      <c r="FZ584" s="335"/>
      <c r="GA584" s="335"/>
      <c r="GB584" s="335"/>
      <c r="GC584" s="335"/>
      <c r="GD584" s="335"/>
      <c r="GE584" s="335"/>
      <c r="GF584" s="335"/>
      <c r="GG584" s="335"/>
      <c r="GH584" s="335"/>
      <c r="GI584" s="335"/>
      <c r="GJ584" s="335"/>
      <c r="GK584" s="335"/>
      <c r="GL584" s="335"/>
      <c r="GM584" s="335"/>
      <c r="GN584" s="335"/>
      <c r="GO584" s="335"/>
      <c r="GP584" s="335"/>
      <c r="GQ584" s="335"/>
      <c r="GR584" s="335"/>
      <c r="GS584" s="335"/>
      <c r="GT584" s="335"/>
      <c r="GU584" s="335"/>
      <c r="GV584" s="335"/>
      <c r="GW584" s="335"/>
      <c r="GX584" s="335"/>
      <c r="GY584" s="335"/>
      <c r="GZ584" s="335"/>
    </row>
    <row r="585" spans="1:208" ht="15">
      <c r="A585" s="379"/>
      <c r="B585" s="335"/>
      <c r="C585" s="335"/>
      <c r="D585" s="335"/>
      <c r="E585" s="335"/>
      <c r="F585" s="335"/>
      <c r="G585" s="335"/>
      <c r="H585" s="335"/>
      <c r="I585" s="335"/>
      <c r="J585" s="335"/>
      <c r="K585" s="335"/>
      <c r="L585" s="335"/>
      <c r="M585" s="376"/>
      <c r="N585" s="335"/>
      <c r="O585" s="380"/>
      <c r="P585" s="335"/>
      <c r="Q585" s="335"/>
      <c r="R585" s="335"/>
      <c r="S585" s="335"/>
      <c r="T585" s="335"/>
      <c r="U585" s="335"/>
      <c r="V585" s="335"/>
      <c r="W585" s="335"/>
      <c r="X585" s="335"/>
      <c r="Y585" s="335"/>
      <c r="Z585" s="335"/>
      <c r="AA585" s="335"/>
      <c r="AB585" s="335"/>
      <c r="AC585" s="335"/>
      <c r="AD585" s="335"/>
      <c r="AE585" s="335"/>
      <c r="AF585" s="335"/>
      <c r="AG585" s="335"/>
      <c r="AH585" s="335"/>
      <c r="AI585" s="335"/>
      <c r="AJ585" s="335"/>
      <c r="AK585" s="335"/>
      <c r="AL585" s="335"/>
      <c r="AM585" s="335"/>
      <c r="AN585" s="335"/>
      <c r="AO585" s="335"/>
      <c r="AP585" s="335"/>
      <c r="AQ585" s="335"/>
      <c r="AR585" s="335"/>
      <c r="AS585" s="335"/>
      <c r="AT585" s="335"/>
      <c r="AU585" s="335"/>
      <c r="AV585" s="335"/>
      <c r="AW585" s="335"/>
      <c r="AX585" s="335"/>
      <c r="AY585" s="335"/>
      <c r="AZ585" s="335"/>
      <c r="BA585" s="335"/>
      <c r="BB585" s="335"/>
      <c r="BC585" s="335"/>
      <c r="BD585" s="335"/>
      <c r="BE585" s="335"/>
      <c r="BF585" s="335"/>
      <c r="BG585" s="335"/>
      <c r="BH585" s="335"/>
      <c r="BI585" s="335"/>
      <c r="BJ585" s="335"/>
      <c r="BK585" s="335"/>
      <c r="BL585" s="335"/>
      <c r="BM585" s="335"/>
      <c r="BN585" s="335"/>
      <c r="BO585" s="335"/>
      <c r="BP585" s="335"/>
      <c r="BQ585" s="335"/>
      <c r="BR585" s="335"/>
      <c r="BS585" s="335"/>
      <c r="BT585" s="335"/>
      <c r="BU585" s="335"/>
      <c r="BV585" s="335"/>
      <c r="BW585" s="335"/>
      <c r="BX585" s="335"/>
      <c r="BY585" s="335"/>
      <c r="BZ585" s="335"/>
      <c r="CA585" s="335"/>
      <c r="CB585" s="335"/>
      <c r="CC585" s="335"/>
      <c r="CD585" s="335"/>
      <c r="CE585" s="335"/>
      <c r="CF585" s="335"/>
      <c r="CG585" s="335"/>
      <c r="CH585" s="335"/>
      <c r="CI585" s="335"/>
      <c r="CJ585" s="335"/>
      <c r="CK585" s="335"/>
      <c r="CL585" s="335"/>
      <c r="CM585" s="335"/>
      <c r="CN585" s="335"/>
      <c r="CO585" s="335"/>
      <c r="CP585" s="335"/>
      <c r="CQ585" s="335"/>
      <c r="CR585" s="335"/>
      <c r="CS585" s="335"/>
      <c r="CT585" s="335"/>
      <c r="CU585" s="335"/>
      <c r="CV585" s="335"/>
      <c r="CW585" s="335"/>
      <c r="CX585" s="335"/>
      <c r="CY585" s="335"/>
      <c r="CZ585" s="335"/>
      <c r="DA585" s="335"/>
      <c r="DB585" s="335"/>
      <c r="DC585" s="335"/>
      <c r="DD585" s="335"/>
      <c r="DE585" s="335"/>
      <c r="DF585" s="335"/>
      <c r="DG585" s="335"/>
      <c r="DH585" s="335"/>
      <c r="DI585" s="335"/>
      <c r="DJ585" s="335"/>
      <c r="DK585" s="335"/>
      <c r="DL585" s="335"/>
      <c r="DM585" s="335"/>
      <c r="DN585" s="335"/>
      <c r="DO585" s="335"/>
      <c r="DP585" s="335"/>
      <c r="DQ585" s="335"/>
      <c r="DR585" s="335"/>
      <c r="DS585" s="335"/>
      <c r="DT585" s="335"/>
      <c r="DU585" s="335"/>
      <c r="DV585" s="335"/>
      <c r="DW585" s="335"/>
      <c r="DX585" s="335"/>
      <c r="DY585" s="335"/>
      <c r="DZ585" s="335"/>
      <c r="EA585" s="335"/>
      <c r="EB585" s="335"/>
      <c r="EC585" s="335"/>
      <c r="ED585" s="335"/>
      <c r="EE585" s="335"/>
      <c r="EF585" s="335"/>
      <c r="EG585" s="335"/>
      <c r="EH585" s="335"/>
      <c r="EI585" s="335"/>
      <c r="EJ585" s="335"/>
      <c r="EK585" s="335"/>
      <c r="EL585" s="335"/>
      <c r="EM585" s="335"/>
      <c r="EN585" s="335"/>
      <c r="EO585" s="335"/>
      <c r="EP585" s="335"/>
      <c r="EQ585" s="335"/>
      <c r="ER585" s="335"/>
      <c r="ES585" s="335"/>
      <c r="ET585" s="335"/>
      <c r="EU585" s="335"/>
      <c r="EV585" s="335"/>
      <c r="EW585" s="335"/>
      <c r="EX585" s="335"/>
      <c r="EY585" s="335"/>
      <c r="EZ585" s="335"/>
      <c r="FA585" s="335"/>
      <c r="FB585" s="335"/>
      <c r="FC585" s="335"/>
      <c r="FD585" s="335"/>
      <c r="FE585" s="335"/>
      <c r="FF585" s="335"/>
      <c r="FG585" s="335"/>
      <c r="FH585" s="335"/>
      <c r="FI585" s="335"/>
      <c r="FJ585" s="335"/>
      <c r="FK585" s="335"/>
      <c r="FL585" s="335"/>
      <c r="FM585" s="335"/>
      <c r="FN585" s="335"/>
      <c r="FO585" s="335"/>
      <c r="FP585" s="335"/>
      <c r="FQ585" s="335"/>
      <c r="FR585" s="335"/>
      <c r="FS585" s="335"/>
      <c r="FT585" s="335"/>
      <c r="FU585" s="335"/>
      <c r="FV585" s="335"/>
      <c r="FW585" s="335"/>
      <c r="FX585" s="335"/>
      <c r="FY585" s="335"/>
      <c r="FZ585" s="335"/>
      <c r="GA585" s="335"/>
      <c r="GB585" s="335"/>
      <c r="GC585" s="335"/>
      <c r="GD585" s="335"/>
      <c r="GE585" s="335"/>
      <c r="GF585" s="335"/>
      <c r="GG585" s="335"/>
      <c r="GH585" s="335"/>
      <c r="GI585" s="335"/>
      <c r="GJ585" s="335"/>
      <c r="GK585" s="335"/>
      <c r="GL585" s="335"/>
      <c r="GM585" s="335"/>
      <c r="GN585" s="335"/>
      <c r="GO585" s="335"/>
      <c r="GP585" s="335"/>
      <c r="GQ585" s="335"/>
      <c r="GR585" s="335"/>
      <c r="GS585" s="335"/>
      <c r="GT585" s="335"/>
      <c r="GU585" s="335"/>
      <c r="GV585" s="335"/>
      <c r="GW585" s="335"/>
      <c r="GX585" s="335"/>
      <c r="GY585" s="335"/>
      <c r="GZ585" s="335"/>
    </row>
    <row r="586" spans="1:208" ht="15">
      <c r="A586" s="379"/>
      <c r="B586" s="335"/>
      <c r="C586" s="335"/>
      <c r="D586" s="335"/>
      <c r="E586" s="335"/>
      <c r="F586" s="335"/>
      <c r="G586" s="335"/>
      <c r="H586" s="335"/>
      <c r="I586" s="335"/>
      <c r="J586" s="335"/>
      <c r="K586" s="335"/>
      <c r="L586" s="335"/>
      <c r="M586" s="376"/>
      <c r="N586" s="335"/>
      <c r="O586" s="380"/>
      <c r="P586" s="335"/>
      <c r="Q586" s="335"/>
      <c r="R586" s="335"/>
      <c r="S586" s="335"/>
      <c r="T586" s="335"/>
      <c r="U586" s="335"/>
      <c r="V586" s="335"/>
      <c r="W586" s="335"/>
      <c r="X586" s="335"/>
      <c r="Y586" s="335"/>
      <c r="Z586" s="335"/>
      <c r="AA586" s="335"/>
      <c r="AB586" s="335"/>
      <c r="AC586" s="335"/>
      <c r="AD586" s="335"/>
      <c r="AE586" s="335"/>
      <c r="AF586" s="335"/>
      <c r="AG586" s="335"/>
      <c r="AH586" s="335"/>
      <c r="AI586" s="335"/>
      <c r="AJ586" s="335"/>
      <c r="AK586" s="335"/>
      <c r="AL586" s="335"/>
      <c r="AM586" s="335"/>
      <c r="AN586" s="335"/>
      <c r="AO586" s="335"/>
      <c r="AP586" s="335"/>
      <c r="AQ586" s="335"/>
      <c r="AR586" s="335"/>
      <c r="AS586" s="335"/>
      <c r="AT586" s="335"/>
      <c r="AU586" s="335"/>
      <c r="AV586" s="335"/>
      <c r="AW586" s="335"/>
      <c r="AX586" s="335"/>
      <c r="AY586" s="335"/>
      <c r="AZ586" s="335"/>
      <c r="BA586" s="335"/>
      <c r="BB586" s="335"/>
      <c r="BC586" s="335"/>
      <c r="BD586" s="335"/>
      <c r="BE586" s="335"/>
      <c r="BF586" s="335"/>
      <c r="BG586" s="335"/>
      <c r="BH586" s="335"/>
      <c r="BI586" s="335"/>
      <c r="BJ586" s="335"/>
      <c r="BK586" s="335"/>
      <c r="BL586" s="335"/>
      <c r="BM586" s="335"/>
      <c r="BN586" s="335"/>
      <c r="BO586" s="335"/>
      <c r="BP586" s="335"/>
      <c r="BQ586" s="335"/>
      <c r="BR586" s="335"/>
      <c r="BS586" s="335"/>
      <c r="BT586" s="335"/>
      <c r="BU586" s="335"/>
      <c r="BV586" s="335"/>
      <c r="BW586" s="335"/>
      <c r="BX586" s="335"/>
      <c r="BY586" s="335"/>
      <c r="BZ586" s="335"/>
      <c r="CA586" s="335"/>
      <c r="CB586" s="335"/>
      <c r="CC586" s="335"/>
      <c r="CD586" s="335"/>
      <c r="CE586" s="335"/>
      <c r="CF586" s="335"/>
      <c r="CG586" s="335"/>
      <c r="CH586" s="335"/>
      <c r="CI586" s="335"/>
      <c r="CJ586" s="335"/>
      <c r="CK586" s="335"/>
      <c r="CL586" s="335"/>
      <c r="CM586" s="335"/>
      <c r="CN586" s="335"/>
      <c r="CO586" s="335"/>
      <c r="CP586" s="335"/>
      <c r="CQ586" s="335"/>
      <c r="CR586" s="335"/>
      <c r="CS586" s="335"/>
      <c r="CT586" s="335"/>
      <c r="CU586" s="335"/>
      <c r="CV586" s="335"/>
      <c r="CW586" s="335"/>
      <c r="CX586" s="335"/>
      <c r="CY586" s="335"/>
      <c r="CZ586" s="335"/>
      <c r="DA586" s="335"/>
      <c r="DB586" s="335"/>
      <c r="DC586" s="335"/>
      <c r="DD586" s="335"/>
      <c r="DE586" s="335"/>
      <c r="DF586" s="335"/>
      <c r="DG586" s="335"/>
      <c r="DH586" s="335"/>
      <c r="DI586" s="335"/>
      <c r="DJ586" s="335"/>
      <c r="DK586" s="335"/>
      <c r="DL586" s="335"/>
      <c r="DM586" s="335"/>
      <c r="DN586" s="335"/>
      <c r="DO586" s="335"/>
      <c r="DP586" s="335"/>
      <c r="DQ586" s="335"/>
      <c r="DR586" s="335"/>
      <c r="DS586" s="335"/>
      <c r="DT586" s="335"/>
      <c r="DU586" s="335"/>
      <c r="DV586" s="335"/>
      <c r="DW586" s="335"/>
      <c r="DX586" s="335"/>
      <c r="DY586" s="335"/>
      <c r="DZ586" s="335"/>
      <c r="EA586" s="335"/>
      <c r="EB586" s="335"/>
      <c r="EC586" s="335"/>
      <c r="ED586" s="335"/>
      <c r="EE586" s="335"/>
      <c r="EF586" s="335"/>
      <c r="EG586" s="335"/>
      <c r="EH586" s="335"/>
      <c r="EI586" s="335"/>
      <c r="EJ586" s="335"/>
      <c r="EK586" s="335"/>
      <c r="EL586" s="335"/>
      <c r="EM586" s="335"/>
      <c r="EN586" s="335"/>
      <c r="EO586" s="335"/>
      <c r="EP586" s="335"/>
      <c r="EQ586" s="335"/>
      <c r="ER586" s="335"/>
      <c r="ES586" s="335"/>
      <c r="ET586" s="335"/>
      <c r="EU586" s="335"/>
      <c r="EV586" s="335"/>
      <c r="EW586" s="335"/>
      <c r="EX586" s="335"/>
      <c r="EY586" s="335"/>
      <c r="EZ586" s="335"/>
      <c r="FA586" s="335"/>
      <c r="FB586" s="335"/>
      <c r="FC586" s="335"/>
      <c r="FD586" s="335"/>
      <c r="FE586" s="335"/>
      <c r="FF586" s="335"/>
      <c r="FG586" s="335"/>
      <c r="FH586" s="335"/>
      <c r="FI586" s="335"/>
      <c r="FJ586" s="335"/>
      <c r="FK586" s="335"/>
      <c r="FL586" s="335"/>
      <c r="FM586" s="335"/>
      <c r="FN586" s="335"/>
      <c r="FO586" s="335"/>
      <c r="FP586" s="335"/>
      <c r="FQ586" s="335"/>
      <c r="FR586" s="335"/>
      <c r="FS586" s="335"/>
      <c r="FT586" s="335"/>
      <c r="FU586" s="335"/>
      <c r="FV586" s="335"/>
      <c r="FW586" s="335"/>
      <c r="FX586" s="335"/>
      <c r="FY586" s="335"/>
      <c r="FZ586" s="335"/>
      <c r="GA586" s="335"/>
      <c r="GB586" s="335"/>
      <c r="GC586" s="335"/>
      <c r="GD586" s="335"/>
      <c r="GE586" s="335"/>
      <c r="GF586" s="335"/>
      <c r="GG586" s="335"/>
      <c r="GH586" s="335"/>
      <c r="GI586" s="335"/>
      <c r="GJ586" s="335"/>
      <c r="GK586" s="335"/>
      <c r="GL586" s="335"/>
      <c r="GM586" s="335"/>
      <c r="GN586" s="335"/>
      <c r="GO586" s="335"/>
      <c r="GP586" s="335"/>
      <c r="GQ586" s="335"/>
      <c r="GR586" s="335"/>
      <c r="GS586" s="335"/>
      <c r="GT586" s="335"/>
      <c r="GU586" s="335"/>
      <c r="GV586" s="335"/>
      <c r="GW586" s="335"/>
      <c r="GX586" s="335"/>
      <c r="GY586" s="335"/>
      <c r="GZ586" s="335"/>
    </row>
    <row r="587" spans="1:208" ht="15">
      <c r="A587" s="379"/>
      <c r="B587" s="335"/>
      <c r="C587" s="335"/>
      <c r="D587" s="335"/>
      <c r="E587" s="335"/>
      <c r="F587" s="335"/>
      <c r="G587" s="335"/>
      <c r="H587" s="335"/>
      <c r="I587" s="335"/>
      <c r="J587" s="335"/>
      <c r="K587" s="335"/>
      <c r="L587" s="335"/>
      <c r="M587" s="376"/>
      <c r="N587" s="335"/>
      <c r="O587" s="380"/>
      <c r="P587" s="335"/>
      <c r="Q587" s="335"/>
      <c r="R587" s="335"/>
      <c r="S587" s="335"/>
      <c r="T587" s="335"/>
      <c r="U587" s="335"/>
      <c r="V587" s="335"/>
      <c r="W587" s="335"/>
      <c r="X587" s="335"/>
      <c r="Y587" s="335"/>
      <c r="Z587" s="335"/>
      <c r="AA587" s="335"/>
      <c r="AB587" s="335"/>
      <c r="AC587" s="335"/>
      <c r="AD587" s="335"/>
      <c r="AE587" s="335"/>
      <c r="AF587" s="335"/>
      <c r="AG587" s="335"/>
      <c r="AH587" s="335"/>
      <c r="AI587" s="335"/>
      <c r="AJ587" s="335"/>
      <c r="AK587" s="335"/>
      <c r="AL587" s="335"/>
      <c r="AM587" s="335"/>
      <c r="AN587" s="335"/>
      <c r="AO587" s="335"/>
      <c r="AP587" s="335"/>
      <c r="AQ587" s="335"/>
      <c r="AR587" s="335"/>
      <c r="AS587" s="335"/>
      <c r="AT587" s="335"/>
      <c r="AU587" s="335"/>
      <c r="AV587" s="335"/>
      <c r="AW587" s="335"/>
      <c r="AX587" s="335"/>
      <c r="AY587" s="335"/>
      <c r="AZ587" s="335"/>
      <c r="BA587" s="335"/>
      <c r="BB587" s="335"/>
      <c r="BC587" s="335"/>
      <c r="BD587" s="335"/>
      <c r="BE587" s="335"/>
      <c r="BF587" s="335"/>
      <c r="BG587" s="335"/>
      <c r="BH587" s="335"/>
      <c r="BI587" s="335"/>
      <c r="BJ587" s="335"/>
      <c r="BK587" s="335"/>
      <c r="BL587" s="335"/>
      <c r="BM587" s="335"/>
      <c r="BN587" s="335"/>
      <c r="BO587" s="335"/>
      <c r="BP587" s="335"/>
      <c r="BQ587" s="335"/>
      <c r="BR587" s="335"/>
      <c r="BS587" s="335"/>
      <c r="BT587" s="335"/>
      <c r="BU587" s="335"/>
      <c r="BV587" s="335"/>
      <c r="BW587" s="335"/>
      <c r="BX587" s="335"/>
      <c r="BY587" s="335"/>
      <c r="BZ587" s="335"/>
      <c r="CA587" s="335"/>
      <c r="CB587" s="335"/>
      <c r="CC587" s="335"/>
      <c r="CD587" s="335"/>
      <c r="CE587" s="335"/>
      <c r="CF587" s="335"/>
      <c r="CG587" s="335"/>
      <c r="CH587" s="335"/>
      <c r="CI587" s="335"/>
      <c r="CJ587" s="335"/>
      <c r="CK587" s="335"/>
      <c r="CL587" s="335"/>
      <c r="CM587" s="335"/>
      <c r="CN587" s="335"/>
      <c r="CO587" s="335"/>
      <c r="CP587" s="335"/>
      <c r="CQ587" s="335"/>
      <c r="CR587" s="335"/>
      <c r="CS587" s="335"/>
      <c r="CT587" s="335"/>
      <c r="CU587" s="335"/>
      <c r="CV587" s="335"/>
      <c r="CW587" s="335"/>
      <c r="CX587" s="335"/>
      <c r="CY587" s="335"/>
      <c r="CZ587" s="335"/>
      <c r="DA587" s="335"/>
      <c r="DB587" s="335"/>
      <c r="DC587" s="335"/>
      <c r="DD587" s="335"/>
      <c r="DE587" s="335"/>
      <c r="DF587" s="335"/>
      <c r="DG587" s="335"/>
      <c r="DH587" s="335"/>
      <c r="DI587" s="335"/>
      <c r="DJ587" s="335"/>
      <c r="DK587" s="335"/>
      <c r="DL587" s="335"/>
      <c r="DM587" s="335"/>
      <c r="DN587" s="335"/>
      <c r="DO587" s="335"/>
      <c r="DP587" s="335"/>
      <c r="DQ587" s="335"/>
      <c r="DR587" s="335"/>
      <c r="DS587" s="335"/>
      <c r="DT587" s="335"/>
      <c r="DU587" s="335"/>
      <c r="DV587" s="335"/>
      <c r="DW587" s="335"/>
      <c r="DX587" s="335"/>
      <c r="DY587" s="335"/>
      <c r="DZ587" s="335"/>
      <c r="EA587" s="335"/>
      <c r="EB587" s="335"/>
      <c r="EC587" s="335"/>
      <c r="ED587" s="335"/>
      <c r="EE587" s="335"/>
      <c r="EF587" s="335"/>
      <c r="EG587" s="335"/>
      <c r="EH587" s="335"/>
      <c r="EI587" s="335"/>
      <c r="EJ587" s="335"/>
      <c r="EK587" s="335"/>
      <c r="EL587" s="335"/>
      <c r="EM587" s="335"/>
      <c r="EN587" s="335"/>
      <c r="EO587" s="335"/>
      <c r="EP587" s="335"/>
      <c r="EQ587" s="335"/>
      <c r="ER587" s="335"/>
      <c r="ES587" s="335"/>
      <c r="ET587" s="335"/>
      <c r="EU587" s="335"/>
      <c r="EV587" s="335"/>
      <c r="EW587" s="335"/>
      <c r="EX587" s="335"/>
      <c r="EY587" s="335"/>
      <c r="EZ587" s="335"/>
      <c r="FA587" s="335"/>
      <c r="FB587" s="335"/>
      <c r="FC587" s="335"/>
      <c r="FD587" s="335"/>
      <c r="FE587" s="335"/>
      <c r="FF587" s="335"/>
      <c r="FG587" s="335"/>
      <c r="FH587" s="335"/>
      <c r="FI587" s="335"/>
      <c r="FJ587" s="335"/>
      <c r="FK587" s="335"/>
      <c r="FL587" s="335"/>
      <c r="FM587" s="335"/>
      <c r="FN587" s="335"/>
      <c r="FO587" s="335"/>
      <c r="FP587" s="335"/>
      <c r="FQ587" s="335"/>
      <c r="FR587" s="335"/>
      <c r="FS587" s="335"/>
      <c r="FT587" s="335"/>
      <c r="FU587" s="335"/>
      <c r="FV587" s="335"/>
      <c r="FW587" s="335"/>
      <c r="FX587" s="335"/>
      <c r="FY587" s="335"/>
      <c r="FZ587" s="335"/>
      <c r="GA587" s="335"/>
      <c r="GB587" s="335"/>
      <c r="GC587" s="335"/>
      <c r="GD587" s="335"/>
      <c r="GE587" s="335"/>
      <c r="GF587" s="335"/>
      <c r="GG587" s="335"/>
      <c r="GH587" s="335"/>
      <c r="GI587" s="335"/>
      <c r="GJ587" s="335"/>
      <c r="GK587" s="335"/>
      <c r="GL587" s="335"/>
      <c r="GM587" s="335"/>
      <c r="GN587" s="335"/>
      <c r="GO587" s="335"/>
      <c r="GP587" s="335"/>
      <c r="GQ587" s="335"/>
      <c r="GR587" s="335"/>
      <c r="GS587" s="335"/>
      <c r="GT587" s="335"/>
      <c r="GU587" s="335"/>
      <c r="GV587" s="335"/>
      <c r="GW587" s="335"/>
      <c r="GX587" s="335"/>
      <c r="GY587" s="335"/>
      <c r="GZ587" s="335"/>
    </row>
    <row r="588" spans="1:208" ht="15">
      <c r="A588" s="379"/>
      <c r="B588" s="335"/>
      <c r="C588" s="335"/>
      <c r="D588" s="335"/>
      <c r="E588" s="335"/>
      <c r="F588" s="335"/>
      <c r="G588" s="335"/>
      <c r="H588" s="335"/>
      <c r="I588" s="335"/>
      <c r="J588" s="335"/>
      <c r="K588" s="335"/>
      <c r="L588" s="335"/>
      <c r="M588" s="376"/>
      <c r="N588" s="335"/>
      <c r="O588" s="380"/>
      <c r="P588" s="335"/>
      <c r="Q588" s="335"/>
      <c r="R588" s="335"/>
      <c r="S588" s="335"/>
      <c r="T588" s="335"/>
      <c r="U588" s="335"/>
      <c r="V588" s="335"/>
      <c r="W588" s="335"/>
      <c r="X588" s="335"/>
      <c r="Y588" s="335"/>
      <c r="Z588" s="335"/>
      <c r="AA588" s="335"/>
      <c r="AB588" s="335"/>
      <c r="AC588" s="335"/>
      <c r="AD588" s="335"/>
      <c r="AE588" s="335"/>
      <c r="AF588" s="335"/>
      <c r="AG588" s="335"/>
      <c r="AH588" s="335"/>
      <c r="AI588" s="335"/>
      <c r="AJ588" s="335"/>
      <c r="AK588" s="335"/>
      <c r="AL588" s="335"/>
      <c r="AM588" s="335"/>
      <c r="AN588" s="335"/>
      <c r="AO588" s="335"/>
      <c r="AP588" s="335"/>
      <c r="AQ588" s="335"/>
      <c r="AR588" s="335"/>
      <c r="AS588" s="335"/>
      <c r="AT588" s="335"/>
      <c r="AU588" s="335"/>
      <c r="AV588" s="335"/>
      <c r="AW588" s="335"/>
      <c r="AX588" s="335"/>
      <c r="AY588" s="335"/>
      <c r="AZ588" s="335"/>
      <c r="BA588" s="335"/>
      <c r="BB588" s="335"/>
      <c r="BC588" s="335"/>
      <c r="BD588" s="335"/>
      <c r="BE588" s="335"/>
      <c r="BF588" s="335"/>
      <c r="BG588" s="335"/>
      <c r="BH588" s="335"/>
      <c r="BI588" s="335"/>
      <c r="BJ588" s="335"/>
      <c r="BK588" s="335"/>
      <c r="BL588" s="335"/>
      <c r="BM588" s="335"/>
      <c r="BN588" s="335"/>
      <c r="BO588" s="335"/>
      <c r="BP588" s="335"/>
      <c r="BQ588" s="335"/>
      <c r="BR588" s="335"/>
      <c r="BS588" s="335"/>
      <c r="BT588" s="335"/>
      <c r="BU588" s="335"/>
      <c r="BV588" s="335"/>
      <c r="BW588" s="335"/>
      <c r="BX588" s="335"/>
      <c r="BY588" s="335"/>
      <c r="BZ588" s="335"/>
      <c r="CA588" s="335"/>
      <c r="CB588" s="335"/>
      <c r="CC588" s="335"/>
      <c r="CD588" s="335"/>
      <c r="CE588" s="335"/>
      <c r="CF588" s="335"/>
      <c r="CG588" s="335"/>
      <c r="CH588" s="335"/>
      <c r="CI588" s="335"/>
      <c r="CJ588" s="335"/>
      <c r="CK588" s="335"/>
      <c r="CL588" s="335"/>
      <c r="CM588" s="335"/>
      <c r="CN588" s="335"/>
      <c r="CO588" s="335"/>
      <c r="CP588" s="335"/>
      <c r="CQ588" s="335"/>
      <c r="CR588" s="335"/>
      <c r="CS588" s="335"/>
      <c r="CT588" s="335"/>
      <c r="CU588" s="335"/>
      <c r="CV588" s="335"/>
      <c r="CW588" s="335"/>
      <c r="CX588" s="335"/>
      <c r="CY588" s="335"/>
      <c r="CZ588" s="335"/>
      <c r="DA588" s="335"/>
      <c r="DB588" s="335"/>
      <c r="DC588" s="335"/>
      <c r="DD588" s="335"/>
      <c r="DE588" s="335"/>
      <c r="DF588" s="335"/>
      <c r="DG588" s="335"/>
      <c r="DH588" s="335"/>
      <c r="DI588" s="335"/>
      <c r="DJ588" s="335"/>
      <c r="DK588" s="335"/>
      <c r="DL588" s="335"/>
      <c r="DM588" s="335"/>
      <c r="DN588" s="335"/>
      <c r="DO588" s="335"/>
      <c r="DP588" s="335"/>
      <c r="DQ588" s="335"/>
      <c r="DR588" s="335"/>
      <c r="DS588" s="335"/>
      <c r="DT588" s="335"/>
      <c r="DU588" s="335"/>
      <c r="DV588" s="335"/>
      <c r="DW588" s="335"/>
      <c r="DX588" s="335"/>
      <c r="DY588" s="335"/>
      <c r="DZ588" s="335"/>
      <c r="EA588" s="335"/>
      <c r="EB588" s="335"/>
      <c r="EC588" s="335"/>
      <c r="ED588" s="335"/>
      <c r="EE588" s="335"/>
      <c r="EF588" s="335"/>
      <c r="EG588" s="335"/>
      <c r="EH588" s="335"/>
      <c r="EI588" s="335"/>
      <c r="EJ588" s="335"/>
      <c r="EK588" s="335"/>
      <c r="EL588" s="335"/>
      <c r="EM588" s="335"/>
      <c r="EN588" s="335"/>
      <c r="EO588" s="335"/>
      <c r="EP588" s="335"/>
      <c r="EQ588" s="335"/>
      <c r="ER588" s="335"/>
      <c r="ES588" s="335"/>
      <c r="ET588" s="335"/>
      <c r="EU588" s="335"/>
      <c r="EV588" s="335"/>
      <c r="EW588" s="335"/>
      <c r="EX588" s="335"/>
      <c r="EY588" s="335"/>
      <c r="EZ588" s="335"/>
      <c r="FA588" s="335"/>
      <c r="FB588" s="335"/>
      <c r="FC588" s="335"/>
      <c r="FD588" s="335"/>
      <c r="FE588" s="335"/>
      <c r="FF588" s="335"/>
      <c r="FG588" s="335"/>
      <c r="FH588" s="335"/>
      <c r="FI588" s="335"/>
      <c r="FJ588" s="335"/>
      <c r="FK588" s="335"/>
      <c r="FL588" s="335"/>
      <c r="FM588" s="335"/>
      <c r="FN588" s="335"/>
      <c r="FO588" s="335"/>
      <c r="FP588" s="335"/>
      <c r="FQ588" s="335"/>
      <c r="FR588" s="335"/>
      <c r="FS588" s="335"/>
      <c r="FT588" s="335"/>
      <c r="FU588" s="335"/>
      <c r="FV588" s="335"/>
      <c r="FW588" s="335"/>
      <c r="FX588" s="335"/>
      <c r="FY588" s="335"/>
      <c r="FZ588" s="335"/>
      <c r="GA588" s="335"/>
      <c r="GB588" s="335"/>
      <c r="GC588" s="335"/>
      <c r="GD588" s="335"/>
      <c r="GE588" s="335"/>
      <c r="GF588" s="335"/>
      <c r="GG588" s="335"/>
      <c r="GH588" s="335"/>
      <c r="GI588" s="335"/>
      <c r="GJ588" s="335"/>
      <c r="GK588" s="335"/>
      <c r="GL588" s="335"/>
      <c r="GM588" s="335"/>
      <c r="GN588" s="335"/>
      <c r="GO588" s="335"/>
      <c r="GP588" s="335"/>
      <c r="GQ588" s="335"/>
      <c r="GR588" s="335"/>
      <c r="GS588" s="335"/>
      <c r="GT588" s="335"/>
      <c r="GU588" s="335"/>
      <c r="GV588" s="335"/>
      <c r="GW588" s="335"/>
      <c r="GX588" s="335"/>
      <c r="GY588" s="335"/>
      <c r="GZ588" s="335"/>
    </row>
    <row r="589" spans="1:208" ht="15">
      <c r="A589" s="379"/>
      <c r="B589" s="335"/>
      <c r="C589" s="335"/>
      <c r="D589" s="335"/>
      <c r="E589" s="335"/>
      <c r="F589" s="335"/>
      <c r="G589" s="335"/>
      <c r="H589" s="335"/>
      <c r="I589" s="335"/>
      <c r="J589" s="335"/>
      <c r="K589" s="335"/>
      <c r="L589" s="335"/>
      <c r="M589" s="376"/>
      <c r="N589" s="335"/>
      <c r="O589" s="380"/>
      <c r="P589" s="335"/>
      <c r="Q589" s="335"/>
      <c r="R589" s="335"/>
      <c r="S589" s="335"/>
      <c r="T589" s="335"/>
      <c r="U589" s="335"/>
      <c r="V589" s="335"/>
      <c r="W589" s="335"/>
      <c r="X589" s="335"/>
      <c r="Y589" s="335"/>
      <c r="Z589" s="335"/>
      <c r="AA589" s="335"/>
      <c r="AB589" s="335"/>
      <c r="AC589" s="335"/>
      <c r="AD589" s="335"/>
      <c r="AE589" s="335"/>
      <c r="AF589" s="335"/>
      <c r="AG589" s="335"/>
      <c r="AH589" s="335"/>
      <c r="AI589" s="335"/>
      <c r="AJ589" s="335"/>
      <c r="AK589" s="335"/>
      <c r="AL589" s="335"/>
      <c r="AM589" s="335"/>
      <c r="AN589" s="335"/>
      <c r="AO589" s="335"/>
      <c r="AP589" s="335"/>
      <c r="AQ589" s="335"/>
      <c r="AR589" s="335"/>
      <c r="AS589" s="335"/>
      <c r="AT589" s="335"/>
      <c r="AU589" s="335"/>
      <c r="AV589" s="335"/>
      <c r="AW589" s="335"/>
      <c r="AX589" s="335"/>
      <c r="AY589" s="335"/>
      <c r="AZ589" s="335"/>
      <c r="BA589" s="335"/>
      <c r="BB589" s="335"/>
      <c r="BC589" s="335"/>
      <c r="BD589" s="335"/>
      <c r="BE589" s="335"/>
      <c r="BF589" s="335"/>
      <c r="BG589" s="335"/>
      <c r="BH589" s="335"/>
      <c r="BI589" s="335"/>
      <c r="BJ589" s="335"/>
      <c r="BK589" s="335"/>
      <c r="BL589" s="335"/>
      <c r="BM589" s="335"/>
      <c r="BN589" s="335"/>
      <c r="BO589" s="335"/>
      <c r="BP589" s="335"/>
      <c r="BQ589" s="335"/>
      <c r="BR589" s="335"/>
      <c r="BS589" s="335"/>
      <c r="BT589" s="335"/>
      <c r="BU589" s="335"/>
      <c r="BV589" s="335"/>
      <c r="BW589" s="335"/>
      <c r="BX589" s="335"/>
      <c r="BY589" s="335"/>
      <c r="BZ589" s="335"/>
      <c r="CA589" s="335"/>
      <c r="CB589" s="335"/>
      <c r="CC589" s="335"/>
      <c r="CD589" s="335"/>
      <c r="CE589" s="335"/>
      <c r="CF589" s="335"/>
      <c r="CG589" s="335"/>
      <c r="CH589" s="335"/>
      <c r="CI589" s="335"/>
      <c r="CJ589" s="335"/>
      <c r="CK589" s="335"/>
      <c r="CL589" s="335"/>
      <c r="CM589" s="335"/>
      <c r="CN589" s="335"/>
      <c r="CO589" s="335"/>
      <c r="CP589" s="335"/>
      <c r="CQ589" s="335"/>
      <c r="CR589" s="335"/>
      <c r="CS589" s="335"/>
      <c r="CT589" s="335"/>
      <c r="CU589" s="335"/>
      <c r="CV589" s="335"/>
      <c r="CW589" s="335"/>
      <c r="CX589" s="335"/>
      <c r="CY589" s="335"/>
      <c r="CZ589" s="335"/>
      <c r="DA589" s="335"/>
      <c r="DB589" s="335"/>
      <c r="DC589" s="335"/>
      <c r="DD589" s="335"/>
      <c r="DE589" s="335"/>
      <c r="DF589" s="335"/>
      <c r="DG589" s="335"/>
      <c r="DH589" s="335"/>
      <c r="DI589" s="335"/>
      <c r="DJ589" s="335"/>
      <c r="DK589" s="335"/>
      <c r="DL589" s="335"/>
      <c r="DM589" s="335"/>
      <c r="DN589" s="335"/>
      <c r="DO589" s="335"/>
      <c r="DP589" s="335"/>
      <c r="DQ589" s="335"/>
      <c r="DR589" s="335"/>
      <c r="DS589" s="335"/>
      <c r="DT589" s="335"/>
      <c r="DU589" s="335"/>
      <c r="DV589" s="335"/>
      <c r="DW589" s="335"/>
      <c r="DX589" s="335"/>
      <c r="DY589" s="335"/>
      <c r="DZ589" s="335"/>
      <c r="EA589" s="335"/>
      <c r="EB589" s="335"/>
      <c r="EC589" s="335"/>
      <c r="ED589" s="335"/>
      <c r="EE589" s="335"/>
      <c r="EF589" s="335"/>
      <c r="EG589" s="335"/>
      <c r="EH589" s="335"/>
      <c r="EI589" s="335"/>
      <c r="EJ589" s="335"/>
      <c r="EK589" s="335"/>
      <c r="EL589" s="335"/>
      <c r="EM589" s="335"/>
      <c r="EN589" s="335"/>
      <c r="EO589" s="335"/>
      <c r="EP589" s="335"/>
      <c r="EQ589" s="335"/>
      <c r="ER589" s="335"/>
      <c r="ES589" s="335"/>
      <c r="ET589" s="335"/>
      <c r="EU589" s="335"/>
      <c r="EV589" s="335"/>
      <c r="EW589" s="335"/>
      <c r="EX589" s="335"/>
      <c r="EY589" s="335"/>
      <c r="EZ589" s="335"/>
      <c r="FA589" s="335"/>
      <c r="FB589" s="335"/>
      <c r="FC589" s="335"/>
      <c r="FD589" s="335"/>
      <c r="FE589" s="335"/>
      <c r="FF589" s="335"/>
      <c r="FG589" s="335"/>
      <c r="FH589" s="335"/>
      <c r="FI589" s="335"/>
      <c r="FJ589" s="335"/>
      <c r="FK589" s="335"/>
      <c r="FL589" s="335"/>
      <c r="FM589" s="335"/>
      <c r="FN589" s="335"/>
      <c r="FO589" s="335"/>
      <c r="FP589" s="335"/>
      <c r="FQ589" s="335"/>
      <c r="FR589" s="335"/>
      <c r="FS589" s="335"/>
      <c r="FT589" s="335"/>
      <c r="FU589" s="335"/>
      <c r="FV589" s="335"/>
      <c r="FW589" s="335"/>
      <c r="FX589" s="335"/>
      <c r="FY589" s="335"/>
      <c r="FZ589" s="335"/>
      <c r="GA589" s="335"/>
      <c r="GB589" s="335"/>
      <c r="GC589" s="335"/>
      <c r="GD589" s="335"/>
      <c r="GE589" s="335"/>
      <c r="GF589" s="335"/>
      <c r="GG589" s="335"/>
      <c r="GH589" s="335"/>
      <c r="GI589" s="335"/>
      <c r="GJ589" s="335"/>
      <c r="GK589" s="335"/>
      <c r="GL589" s="335"/>
      <c r="GM589" s="335"/>
      <c r="GN589" s="335"/>
      <c r="GO589" s="335"/>
      <c r="GP589" s="335"/>
      <c r="GQ589" s="335"/>
      <c r="GR589" s="335"/>
      <c r="GS589" s="335"/>
      <c r="GT589" s="335"/>
      <c r="GU589" s="335"/>
      <c r="GV589" s="335"/>
      <c r="GW589" s="335"/>
      <c r="GX589" s="335"/>
      <c r="GY589" s="335"/>
      <c r="GZ589" s="335"/>
    </row>
    <row r="590" spans="1:208" ht="15">
      <c r="A590" s="379"/>
      <c r="B590" s="335"/>
      <c r="C590" s="335"/>
      <c r="D590" s="335"/>
      <c r="E590" s="335"/>
      <c r="F590" s="335"/>
      <c r="G590" s="335"/>
      <c r="H590" s="335"/>
      <c r="I590" s="335"/>
      <c r="J590" s="335"/>
      <c r="K590" s="335"/>
      <c r="L590" s="335"/>
      <c r="M590" s="376"/>
      <c r="N590" s="335"/>
      <c r="O590" s="380"/>
      <c r="P590" s="335"/>
      <c r="Q590" s="335"/>
      <c r="R590" s="335"/>
      <c r="S590" s="335"/>
      <c r="T590" s="335"/>
      <c r="U590" s="335"/>
      <c r="V590" s="335"/>
      <c r="W590" s="335"/>
      <c r="X590" s="335"/>
      <c r="Y590" s="335"/>
      <c r="Z590" s="335"/>
      <c r="AA590" s="335"/>
      <c r="AB590" s="335"/>
      <c r="AC590" s="335"/>
      <c r="AD590" s="335"/>
      <c r="AE590" s="335"/>
      <c r="AF590" s="335"/>
      <c r="AG590" s="335"/>
      <c r="AH590" s="335"/>
      <c r="AI590" s="335"/>
      <c r="AJ590" s="335"/>
      <c r="AK590" s="335"/>
      <c r="AL590" s="335"/>
      <c r="AM590" s="335"/>
      <c r="AN590" s="335"/>
      <c r="AO590" s="335"/>
      <c r="AP590" s="335"/>
      <c r="AQ590" s="335"/>
      <c r="AR590" s="335"/>
      <c r="AS590" s="335"/>
      <c r="AT590" s="335"/>
      <c r="AU590" s="335"/>
      <c r="AV590" s="335"/>
      <c r="AW590" s="335"/>
      <c r="AX590" s="335"/>
      <c r="AY590" s="335"/>
      <c r="AZ590" s="335"/>
      <c r="BA590" s="335"/>
      <c r="BB590" s="335"/>
      <c r="BC590" s="335"/>
      <c r="BD590" s="335"/>
      <c r="BE590" s="335"/>
      <c r="BF590" s="335"/>
      <c r="BG590" s="335"/>
      <c r="BH590" s="335"/>
      <c r="BI590" s="335"/>
      <c r="BJ590" s="335"/>
      <c r="BK590" s="335"/>
      <c r="BL590" s="335"/>
      <c r="BM590" s="335"/>
      <c r="BN590" s="335"/>
      <c r="BO590" s="335"/>
      <c r="BP590" s="335"/>
      <c r="BQ590" s="335"/>
      <c r="BR590" s="335"/>
      <c r="BS590" s="335"/>
      <c r="BT590" s="335"/>
      <c r="BU590" s="335"/>
      <c r="BV590" s="335"/>
      <c r="BW590" s="335"/>
      <c r="BX590" s="335"/>
      <c r="BY590" s="335"/>
      <c r="BZ590" s="335"/>
      <c r="CA590" s="335"/>
      <c r="CB590" s="335"/>
      <c r="CC590" s="335"/>
      <c r="CD590" s="335"/>
      <c r="CE590" s="335"/>
      <c r="CF590" s="335"/>
      <c r="CG590" s="335"/>
      <c r="CH590" s="335"/>
      <c r="CI590" s="335"/>
      <c r="CJ590" s="335"/>
      <c r="CK590" s="335"/>
      <c r="CL590" s="335"/>
      <c r="CM590" s="335"/>
      <c r="CN590" s="335"/>
      <c r="CO590" s="335"/>
      <c r="CP590" s="335"/>
      <c r="CQ590" s="335"/>
      <c r="CR590" s="335"/>
      <c r="CS590" s="335"/>
      <c r="CT590" s="335"/>
      <c r="CU590" s="335"/>
      <c r="CV590" s="335"/>
      <c r="CW590" s="335"/>
      <c r="CX590" s="335"/>
      <c r="CY590" s="335"/>
      <c r="CZ590" s="335"/>
      <c r="DA590" s="335"/>
      <c r="DB590" s="335"/>
      <c r="DC590" s="335"/>
      <c r="DD590" s="335"/>
      <c r="DE590" s="335"/>
      <c r="DF590" s="335"/>
      <c r="DG590" s="335"/>
      <c r="DH590" s="335"/>
      <c r="DI590" s="335"/>
      <c r="DJ590" s="335"/>
      <c r="DK590" s="335"/>
      <c r="DL590" s="335"/>
      <c r="DM590" s="335"/>
      <c r="DN590" s="335"/>
      <c r="DO590" s="335"/>
      <c r="DP590" s="335"/>
      <c r="DQ590" s="335"/>
      <c r="DR590" s="335"/>
      <c r="DS590" s="335"/>
      <c r="DT590" s="335"/>
      <c r="DU590" s="335"/>
      <c r="DV590" s="335"/>
      <c r="DW590" s="335"/>
      <c r="DX590" s="335"/>
      <c r="DY590" s="335"/>
      <c r="DZ590" s="335"/>
      <c r="EA590" s="335"/>
      <c r="EB590" s="335"/>
      <c r="EC590" s="335"/>
      <c r="ED590" s="335"/>
      <c r="EE590" s="335"/>
      <c r="EF590" s="335"/>
      <c r="EG590" s="335"/>
      <c r="EH590" s="335"/>
      <c r="EI590" s="335"/>
      <c r="EJ590" s="335"/>
      <c r="EK590" s="335"/>
      <c r="EL590" s="335"/>
      <c r="EM590" s="335"/>
      <c r="EN590" s="335"/>
      <c r="EO590" s="335"/>
      <c r="EP590" s="335"/>
      <c r="EQ590" s="335"/>
      <c r="ER590" s="335"/>
      <c r="ES590" s="335"/>
      <c r="ET590" s="335"/>
      <c r="EU590" s="335"/>
      <c r="EV590" s="335"/>
      <c r="EW590" s="335"/>
      <c r="EX590" s="335"/>
      <c r="EY590" s="335"/>
      <c r="EZ590" s="335"/>
      <c r="FA590" s="335"/>
      <c r="FB590" s="335"/>
      <c r="FC590" s="335"/>
      <c r="FD590" s="335"/>
      <c r="FE590" s="335"/>
      <c r="FF590" s="335"/>
      <c r="FG590" s="335"/>
      <c r="FH590" s="335"/>
      <c r="FI590" s="335"/>
      <c r="FJ590" s="335"/>
      <c r="FK590" s="335"/>
      <c r="FL590" s="335"/>
      <c r="FM590" s="335"/>
      <c r="FN590" s="335"/>
      <c r="FO590" s="335"/>
      <c r="FP590" s="335"/>
      <c r="FQ590" s="335"/>
      <c r="FR590" s="335"/>
      <c r="FS590" s="335"/>
      <c r="FT590" s="335"/>
      <c r="FU590" s="335"/>
      <c r="FV590" s="335"/>
      <c r="FW590" s="335"/>
      <c r="FX590" s="335"/>
      <c r="FY590" s="335"/>
      <c r="FZ590" s="335"/>
      <c r="GA590" s="335"/>
      <c r="GB590" s="335"/>
      <c r="GC590" s="335"/>
      <c r="GD590" s="335"/>
      <c r="GE590" s="335"/>
      <c r="GF590" s="335"/>
      <c r="GG590" s="335"/>
      <c r="GH590" s="335"/>
      <c r="GI590" s="335"/>
      <c r="GJ590" s="335"/>
      <c r="GK590" s="335"/>
      <c r="GL590" s="335"/>
      <c r="GM590" s="335"/>
      <c r="GN590" s="335"/>
      <c r="GO590" s="335"/>
      <c r="GP590" s="335"/>
      <c r="GQ590" s="335"/>
      <c r="GR590" s="335"/>
      <c r="GS590" s="335"/>
      <c r="GT590" s="335"/>
      <c r="GU590" s="335"/>
      <c r="GV590" s="335"/>
      <c r="GW590" s="335"/>
      <c r="GX590" s="335"/>
      <c r="GY590" s="335"/>
      <c r="GZ590" s="335"/>
    </row>
    <row r="591" spans="1:208" ht="15">
      <c r="A591" s="379"/>
      <c r="B591" s="335"/>
      <c r="C591" s="335"/>
      <c r="D591" s="335"/>
      <c r="E591" s="335"/>
      <c r="F591" s="335"/>
      <c r="G591" s="335"/>
      <c r="H591" s="335"/>
      <c r="I591" s="335"/>
      <c r="J591" s="335"/>
      <c r="K591" s="335"/>
      <c r="L591" s="335"/>
      <c r="M591" s="376"/>
      <c r="N591" s="335"/>
      <c r="O591" s="380"/>
      <c r="P591" s="335"/>
      <c r="Q591" s="335"/>
      <c r="R591" s="335"/>
      <c r="S591" s="335"/>
      <c r="T591" s="335"/>
      <c r="U591" s="335"/>
      <c r="V591" s="335"/>
      <c r="W591" s="335"/>
      <c r="X591" s="335"/>
      <c r="Y591" s="335"/>
      <c r="Z591" s="335"/>
      <c r="AA591" s="335"/>
      <c r="AB591" s="335"/>
      <c r="AC591" s="335"/>
      <c r="AD591" s="335"/>
      <c r="AE591" s="335"/>
      <c r="AF591" s="335"/>
      <c r="AG591" s="335"/>
      <c r="AH591" s="335"/>
      <c r="AI591" s="335"/>
      <c r="AJ591" s="335"/>
      <c r="AK591" s="335"/>
      <c r="AL591" s="335"/>
      <c r="AM591" s="335"/>
      <c r="AN591" s="335"/>
      <c r="AO591" s="335"/>
      <c r="AP591" s="335"/>
      <c r="AQ591" s="335"/>
      <c r="AR591" s="335"/>
      <c r="AS591" s="335"/>
      <c r="AT591" s="335"/>
      <c r="AU591" s="335"/>
      <c r="AV591" s="335"/>
      <c r="AW591" s="335"/>
      <c r="AX591" s="335"/>
      <c r="AY591" s="335"/>
      <c r="AZ591" s="335"/>
      <c r="BA591" s="335"/>
      <c r="BB591" s="335"/>
      <c r="BC591" s="335"/>
      <c r="BD591" s="335"/>
      <c r="BE591" s="335"/>
      <c r="BF591" s="335"/>
      <c r="BG591" s="335"/>
      <c r="BH591" s="335"/>
      <c r="BI591" s="335"/>
      <c r="BJ591" s="335"/>
      <c r="BK591" s="335"/>
      <c r="BL591" s="335"/>
      <c r="BM591" s="335"/>
      <c r="BN591" s="335"/>
      <c r="BO591" s="335"/>
      <c r="BP591" s="335"/>
      <c r="BQ591" s="335"/>
      <c r="BR591" s="335"/>
      <c r="BS591" s="335"/>
      <c r="BT591" s="335"/>
      <c r="BU591" s="335"/>
      <c r="BV591" s="335"/>
      <c r="BW591" s="335"/>
      <c r="BX591" s="335"/>
      <c r="BY591" s="335"/>
      <c r="BZ591" s="335"/>
      <c r="CA591" s="335"/>
      <c r="CB591" s="335"/>
      <c r="CC591" s="335"/>
      <c r="CD591" s="335"/>
      <c r="CE591" s="335"/>
      <c r="CF591" s="335"/>
      <c r="CG591" s="335"/>
      <c r="CH591" s="335"/>
      <c r="CI591" s="335"/>
      <c r="CJ591" s="335"/>
      <c r="CK591" s="335"/>
      <c r="CL591" s="335"/>
      <c r="CM591" s="335"/>
      <c r="CN591" s="335"/>
      <c r="CO591" s="335"/>
      <c r="CP591" s="335"/>
      <c r="CQ591" s="335"/>
      <c r="CR591" s="335"/>
      <c r="CS591" s="335"/>
      <c r="CT591" s="335"/>
      <c r="CU591" s="335"/>
      <c r="CV591" s="335"/>
      <c r="CW591" s="335"/>
      <c r="CX591" s="335"/>
      <c r="CY591" s="335"/>
      <c r="CZ591" s="335"/>
      <c r="DA591" s="335"/>
      <c r="DB591" s="335"/>
      <c r="DC591" s="335"/>
      <c r="DD591" s="335"/>
      <c r="DE591" s="335"/>
      <c r="DF591" s="335"/>
      <c r="DG591" s="335"/>
      <c r="DH591" s="335"/>
      <c r="DI591" s="335"/>
      <c r="DJ591" s="335"/>
      <c r="DK591" s="335"/>
      <c r="DL591" s="335"/>
      <c r="DM591" s="335"/>
      <c r="DN591" s="335"/>
      <c r="DO591" s="335"/>
      <c r="DP591" s="335"/>
      <c r="DQ591" s="335"/>
      <c r="DR591" s="335"/>
      <c r="DS591" s="335"/>
      <c r="DT591" s="335"/>
      <c r="DU591" s="335"/>
      <c r="DV591" s="335"/>
      <c r="DW591" s="335"/>
      <c r="DX591" s="335"/>
      <c r="DY591" s="335"/>
      <c r="DZ591" s="335"/>
      <c r="EA591" s="335"/>
      <c r="EB591" s="335"/>
      <c r="EC591" s="335"/>
      <c r="ED591" s="335"/>
      <c r="EE591" s="335"/>
      <c r="EF591" s="335"/>
      <c r="EG591" s="335"/>
      <c r="EH591" s="335"/>
      <c r="EI591" s="335"/>
      <c r="EJ591" s="335"/>
      <c r="EK591" s="335"/>
      <c r="EL591" s="335"/>
      <c r="EM591" s="335"/>
      <c r="EN591" s="335"/>
      <c r="EO591" s="335"/>
      <c r="EP591" s="335"/>
      <c r="EQ591" s="335"/>
      <c r="ER591" s="335"/>
      <c r="ES591" s="335"/>
      <c r="ET591" s="335"/>
      <c r="EU591" s="335"/>
      <c r="EV591" s="335"/>
      <c r="EW591" s="335"/>
      <c r="EX591" s="335"/>
      <c r="EY591" s="335"/>
      <c r="EZ591" s="335"/>
      <c r="FA591" s="335"/>
      <c r="FB591" s="335"/>
      <c r="FC591" s="335"/>
      <c r="FD591" s="335"/>
      <c r="FE591" s="335"/>
      <c r="FF591" s="335"/>
      <c r="FG591" s="335"/>
      <c r="FH591" s="335"/>
      <c r="FI591" s="335"/>
      <c r="FJ591" s="335"/>
      <c r="FK591" s="335"/>
      <c r="FL591" s="335"/>
      <c r="FM591" s="335"/>
      <c r="FN591" s="335"/>
      <c r="FO591" s="335"/>
      <c r="FP591" s="335"/>
      <c r="FQ591" s="335"/>
      <c r="FR591" s="335"/>
      <c r="FS591" s="335"/>
      <c r="FT591" s="335"/>
      <c r="FU591" s="335"/>
      <c r="FV591" s="335"/>
      <c r="FW591" s="335"/>
      <c r="FX591" s="335"/>
      <c r="FY591" s="335"/>
      <c r="FZ591" s="335"/>
      <c r="GA591" s="335"/>
      <c r="GB591" s="335"/>
      <c r="GC591" s="335"/>
      <c r="GD591" s="335"/>
      <c r="GE591" s="335"/>
      <c r="GF591" s="335"/>
      <c r="GG591" s="335"/>
      <c r="GH591" s="335"/>
      <c r="GI591" s="335"/>
      <c r="GJ591" s="335"/>
      <c r="GK591" s="335"/>
      <c r="GL591" s="335"/>
      <c r="GM591" s="335"/>
      <c r="GN591" s="335"/>
      <c r="GO591" s="335"/>
      <c r="GP591" s="335"/>
      <c r="GQ591" s="335"/>
      <c r="GR591" s="335"/>
      <c r="GS591" s="335"/>
      <c r="GT591" s="335"/>
      <c r="GU591" s="335"/>
      <c r="GV591" s="335"/>
      <c r="GW591" s="335"/>
      <c r="GX591" s="335"/>
      <c r="GY591" s="335"/>
      <c r="GZ591" s="335"/>
    </row>
    <row r="592" spans="1:208" ht="15">
      <c r="A592" s="379"/>
      <c r="B592" s="335"/>
      <c r="C592" s="335"/>
      <c r="D592" s="335"/>
      <c r="E592" s="335"/>
      <c r="F592" s="335"/>
      <c r="G592" s="335"/>
      <c r="H592" s="335"/>
      <c r="I592" s="335"/>
      <c r="J592" s="335"/>
      <c r="K592" s="335"/>
      <c r="L592" s="335"/>
      <c r="M592" s="376"/>
      <c r="N592" s="335"/>
      <c r="O592" s="380"/>
      <c r="P592" s="335"/>
      <c r="Q592" s="335"/>
      <c r="R592" s="335"/>
      <c r="S592" s="335"/>
      <c r="T592" s="335"/>
      <c r="U592" s="335"/>
      <c r="V592" s="335"/>
      <c r="W592" s="335"/>
      <c r="X592" s="335"/>
      <c r="Y592" s="335"/>
      <c r="Z592" s="335"/>
      <c r="AA592" s="335"/>
      <c r="AB592" s="335"/>
      <c r="AC592" s="335"/>
      <c r="AD592" s="335"/>
      <c r="AE592" s="335"/>
      <c r="AF592" s="335"/>
      <c r="AG592" s="335"/>
      <c r="AH592" s="335"/>
      <c r="AI592" s="335"/>
      <c r="AJ592" s="335"/>
      <c r="AK592" s="335"/>
      <c r="AL592" s="335"/>
      <c r="AM592" s="335"/>
      <c r="AN592" s="335"/>
      <c r="AO592" s="335"/>
      <c r="AP592" s="335"/>
      <c r="AQ592" s="335"/>
      <c r="AR592" s="335"/>
      <c r="AS592" s="335"/>
      <c r="AT592" s="335"/>
      <c r="AU592" s="335"/>
      <c r="AV592" s="335"/>
      <c r="AW592" s="335"/>
      <c r="AX592" s="335"/>
      <c r="AY592" s="335"/>
      <c r="AZ592" s="335"/>
      <c r="BA592" s="335"/>
      <c r="BB592" s="335"/>
      <c r="BC592" s="335"/>
      <c r="BD592" s="335"/>
      <c r="BE592" s="335"/>
      <c r="BF592" s="335"/>
      <c r="BG592" s="335"/>
      <c r="BH592" s="335"/>
      <c r="BI592" s="335"/>
      <c r="BJ592" s="335"/>
      <c r="BK592" s="335"/>
      <c r="BL592" s="335"/>
      <c r="BM592" s="335"/>
      <c r="BN592" s="335"/>
      <c r="BO592" s="335"/>
      <c r="BP592" s="335"/>
      <c r="BQ592" s="335"/>
      <c r="BR592" s="335"/>
      <c r="BS592" s="335"/>
      <c r="BT592" s="335"/>
      <c r="BU592" s="335"/>
      <c r="BV592" s="335"/>
      <c r="BW592" s="335"/>
      <c r="BX592" s="335"/>
      <c r="BY592" s="335"/>
      <c r="BZ592" s="335"/>
      <c r="CA592" s="335"/>
      <c r="CB592" s="335"/>
      <c r="CC592" s="335"/>
      <c r="CD592" s="335"/>
      <c r="CE592" s="335"/>
      <c r="CF592" s="335"/>
      <c r="CG592" s="335"/>
      <c r="CH592" s="335"/>
      <c r="CI592" s="335"/>
      <c r="CJ592" s="335"/>
      <c r="CK592" s="335"/>
      <c r="CL592" s="335"/>
      <c r="CM592" s="335"/>
      <c r="CN592" s="335"/>
      <c r="CO592" s="335"/>
      <c r="CP592" s="335"/>
      <c r="CQ592" s="335"/>
      <c r="CR592" s="335"/>
      <c r="CS592" s="335"/>
      <c r="CT592" s="335"/>
      <c r="CU592" s="335"/>
      <c r="CV592" s="335"/>
      <c r="CW592" s="335"/>
      <c r="CX592" s="335"/>
      <c r="CY592" s="335"/>
      <c r="CZ592" s="335"/>
      <c r="DA592" s="335"/>
      <c r="DB592" s="335"/>
      <c r="DC592" s="335"/>
      <c r="DD592" s="335"/>
      <c r="DE592" s="335"/>
      <c r="DF592" s="335"/>
      <c r="DG592" s="335"/>
      <c r="DH592" s="335"/>
      <c r="DI592" s="335"/>
      <c r="DJ592" s="335"/>
      <c r="DK592" s="335"/>
      <c r="DL592" s="335"/>
      <c r="DM592" s="335"/>
      <c r="DN592" s="335"/>
      <c r="DO592" s="335"/>
      <c r="DP592" s="335"/>
      <c r="DQ592" s="335"/>
      <c r="DR592" s="335"/>
      <c r="DS592" s="335"/>
      <c r="DT592" s="335"/>
      <c r="DU592" s="335"/>
      <c r="DV592" s="335"/>
      <c r="DW592" s="335"/>
      <c r="DX592" s="335"/>
      <c r="DY592" s="335"/>
      <c r="DZ592" s="335"/>
      <c r="EA592" s="335"/>
      <c r="EB592" s="335"/>
      <c r="EC592" s="335"/>
      <c r="ED592" s="335"/>
      <c r="EE592" s="335"/>
      <c r="EF592" s="335"/>
      <c r="EG592" s="335"/>
      <c r="EH592" s="335"/>
      <c r="EI592" s="335"/>
      <c r="EJ592" s="335"/>
      <c r="EK592" s="335"/>
      <c r="EL592" s="335"/>
      <c r="EM592" s="335"/>
      <c r="EN592" s="335"/>
      <c r="EO592" s="335"/>
      <c r="EP592" s="335"/>
      <c r="EQ592" s="335"/>
      <c r="ER592" s="335"/>
      <c r="ES592" s="335"/>
      <c r="ET592" s="335"/>
      <c r="EU592" s="335"/>
      <c r="EV592" s="335"/>
      <c r="EW592" s="335"/>
      <c r="EX592" s="335"/>
      <c r="EY592" s="335"/>
      <c r="EZ592" s="335"/>
      <c r="FA592" s="335"/>
      <c r="FB592" s="335"/>
      <c r="FC592" s="335"/>
      <c r="FD592" s="335"/>
      <c r="FE592" s="335"/>
      <c r="FF592" s="335"/>
      <c r="FG592" s="335"/>
      <c r="FH592" s="335"/>
      <c r="FI592" s="335"/>
      <c r="FJ592" s="335"/>
      <c r="FK592" s="335"/>
      <c r="FL592" s="335"/>
      <c r="FM592" s="335"/>
      <c r="FN592" s="335"/>
      <c r="FO592" s="335"/>
      <c r="FP592" s="335"/>
      <c r="FQ592" s="335"/>
      <c r="FR592" s="335"/>
      <c r="FS592" s="335"/>
      <c r="FT592" s="335"/>
      <c r="FU592" s="335"/>
      <c r="FV592" s="335"/>
      <c r="FW592" s="335"/>
      <c r="FX592" s="335"/>
      <c r="FY592" s="335"/>
      <c r="FZ592" s="335"/>
      <c r="GA592" s="335"/>
      <c r="GB592" s="335"/>
      <c r="GC592" s="335"/>
      <c r="GD592" s="335"/>
      <c r="GE592" s="335"/>
      <c r="GF592" s="335"/>
      <c r="GG592" s="335"/>
      <c r="GH592" s="335"/>
      <c r="GI592" s="335"/>
      <c r="GJ592" s="335"/>
      <c r="GK592" s="335"/>
      <c r="GL592" s="335"/>
      <c r="GM592" s="335"/>
      <c r="GN592" s="335"/>
      <c r="GO592" s="335"/>
      <c r="GP592" s="335"/>
      <c r="GQ592" s="335"/>
      <c r="GR592" s="335"/>
      <c r="GS592" s="335"/>
      <c r="GT592" s="335"/>
      <c r="GU592" s="335"/>
      <c r="GV592" s="335"/>
      <c r="GW592" s="335"/>
      <c r="GX592" s="335"/>
      <c r="GY592" s="335"/>
      <c r="GZ592" s="335"/>
    </row>
    <row r="593" spans="1:208" ht="15">
      <c r="A593" s="379"/>
      <c r="B593" s="335"/>
      <c r="C593" s="335"/>
      <c r="D593" s="335"/>
      <c r="E593" s="335"/>
      <c r="F593" s="335"/>
      <c r="G593" s="335"/>
      <c r="H593" s="335"/>
      <c r="I593" s="335"/>
      <c r="J593" s="335"/>
      <c r="K593" s="335"/>
      <c r="L593" s="335"/>
      <c r="M593" s="376"/>
      <c r="N593" s="335"/>
      <c r="O593" s="380"/>
      <c r="P593" s="335"/>
      <c r="Q593" s="335"/>
      <c r="R593" s="335"/>
      <c r="S593" s="335"/>
      <c r="T593" s="335"/>
      <c r="U593" s="335"/>
      <c r="V593" s="335"/>
      <c r="W593" s="335"/>
      <c r="X593" s="335"/>
      <c r="Y593" s="335"/>
      <c r="Z593" s="335"/>
      <c r="AA593" s="335"/>
      <c r="AB593" s="335"/>
      <c r="AC593" s="335"/>
      <c r="AD593" s="335"/>
      <c r="AE593" s="335"/>
      <c r="AF593" s="335"/>
      <c r="AG593" s="335"/>
      <c r="AH593" s="335"/>
      <c r="AI593" s="335"/>
      <c r="AJ593" s="335"/>
      <c r="AK593" s="335"/>
      <c r="AL593" s="335"/>
      <c r="AM593" s="335"/>
      <c r="AN593" s="335"/>
      <c r="AO593" s="335"/>
      <c r="AP593" s="335"/>
      <c r="AQ593" s="335"/>
      <c r="AR593" s="335"/>
      <c r="AS593" s="335"/>
      <c r="AT593" s="335"/>
      <c r="AU593" s="335"/>
      <c r="AV593" s="335"/>
      <c r="AW593" s="335"/>
      <c r="AX593" s="335"/>
      <c r="AY593" s="335"/>
      <c r="AZ593" s="335"/>
      <c r="BA593" s="335"/>
      <c r="BB593" s="335"/>
      <c r="BC593" s="335"/>
      <c r="BD593" s="335"/>
      <c r="BE593" s="335"/>
      <c r="BF593" s="335"/>
      <c r="BG593" s="335"/>
      <c r="BH593" s="335"/>
      <c r="BI593" s="335"/>
      <c r="BJ593" s="335"/>
      <c r="BK593" s="335"/>
      <c r="BL593" s="335"/>
      <c r="BM593" s="335"/>
      <c r="BN593" s="335"/>
      <c r="BO593" s="335"/>
      <c r="BP593" s="335"/>
      <c r="BQ593" s="335"/>
      <c r="BR593" s="335"/>
      <c r="BS593" s="335"/>
      <c r="BT593" s="335"/>
      <c r="BU593" s="335"/>
      <c r="BV593" s="335"/>
      <c r="BW593" s="335"/>
      <c r="BX593" s="335"/>
      <c r="BY593" s="335"/>
      <c r="BZ593" s="335"/>
      <c r="CA593" s="335"/>
      <c r="CB593" s="335"/>
      <c r="CC593" s="335"/>
      <c r="CD593" s="335"/>
      <c r="CE593" s="335"/>
      <c r="CF593" s="335"/>
      <c r="CG593" s="335"/>
      <c r="CH593" s="335"/>
      <c r="CI593" s="335"/>
      <c r="CJ593" s="335"/>
      <c r="CK593" s="335"/>
      <c r="CL593" s="335"/>
      <c r="CM593" s="335"/>
      <c r="CN593" s="335"/>
      <c r="CO593" s="335"/>
      <c r="CP593" s="335"/>
      <c r="CQ593" s="335"/>
      <c r="CR593" s="335"/>
      <c r="CS593" s="335"/>
      <c r="CT593" s="335"/>
      <c r="CU593" s="335"/>
      <c r="CV593" s="335"/>
      <c r="CW593" s="335"/>
      <c r="CX593" s="335"/>
      <c r="CY593" s="335"/>
      <c r="CZ593" s="335"/>
      <c r="DA593" s="335"/>
      <c r="DB593" s="335"/>
      <c r="DC593" s="335"/>
      <c r="DD593" s="335"/>
      <c r="DE593" s="335"/>
      <c r="DF593" s="335"/>
      <c r="DG593" s="335"/>
      <c r="DH593" s="335"/>
      <c r="DI593" s="335"/>
      <c r="DJ593" s="335"/>
      <c r="DK593" s="335"/>
      <c r="DL593" s="335"/>
      <c r="DM593" s="335"/>
      <c r="DN593" s="335"/>
      <c r="DO593" s="335"/>
      <c r="DP593" s="335"/>
      <c r="DQ593" s="335"/>
      <c r="DR593" s="335"/>
      <c r="DS593" s="335"/>
      <c r="DT593" s="335"/>
      <c r="DU593" s="335"/>
      <c r="DV593" s="335"/>
      <c r="DW593" s="335"/>
      <c r="DX593" s="335"/>
      <c r="DY593" s="335"/>
      <c r="DZ593" s="335"/>
      <c r="EA593" s="335"/>
      <c r="EB593" s="335"/>
      <c r="EC593" s="335"/>
      <c r="ED593" s="335"/>
      <c r="EE593" s="335"/>
      <c r="EF593" s="335"/>
      <c r="EG593" s="335"/>
      <c r="EH593" s="335"/>
      <c r="EI593" s="335"/>
      <c r="EJ593" s="335"/>
      <c r="EK593" s="335"/>
      <c r="EL593" s="335"/>
      <c r="EM593" s="335"/>
      <c r="EN593" s="335"/>
      <c r="EO593" s="335"/>
      <c r="EP593" s="335"/>
      <c r="EQ593" s="335"/>
      <c r="ER593" s="335"/>
      <c r="ES593" s="335"/>
      <c r="ET593" s="335"/>
      <c r="EU593" s="335"/>
      <c r="EV593" s="335"/>
      <c r="EW593" s="335"/>
      <c r="EX593" s="335"/>
      <c r="EY593" s="335"/>
      <c r="EZ593" s="335"/>
      <c r="FA593" s="335"/>
      <c r="FB593" s="335"/>
      <c r="FC593" s="335"/>
      <c r="FD593" s="335"/>
      <c r="FE593" s="335"/>
      <c r="FF593" s="335"/>
      <c r="FG593" s="335"/>
      <c r="FH593" s="335"/>
      <c r="FI593" s="335"/>
      <c r="FJ593" s="335"/>
      <c r="FK593" s="335"/>
      <c r="FL593" s="335"/>
      <c r="FM593" s="335"/>
      <c r="FN593" s="335"/>
      <c r="FO593" s="335"/>
      <c r="FP593" s="335"/>
      <c r="FQ593" s="335"/>
      <c r="FR593" s="335"/>
      <c r="FS593" s="335"/>
      <c r="FT593" s="335"/>
      <c r="FU593" s="335"/>
      <c r="FV593" s="335"/>
      <c r="FW593" s="335"/>
      <c r="FX593" s="335"/>
      <c r="FY593" s="335"/>
      <c r="FZ593" s="335"/>
      <c r="GA593" s="335"/>
      <c r="GB593" s="335"/>
      <c r="GC593" s="335"/>
      <c r="GD593" s="335"/>
      <c r="GE593" s="335"/>
      <c r="GF593" s="335"/>
      <c r="GG593" s="335"/>
      <c r="GH593" s="335"/>
      <c r="GI593" s="335"/>
      <c r="GJ593" s="335"/>
      <c r="GK593" s="335"/>
      <c r="GL593" s="335"/>
      <c r="GM593" s="335"/>
      <c r="GN593" s="335"/>
      <c r="GO593" s="335"/>
      <c r="GP593" s="335"/>
      <c r="GQ593" s="335"/>
      <c r="GR593" s="335"/>
      <c r="GS593" s="335"/>
      <c r="GT593" s="335"/>
      <c r="GU593" s="335"/>
      <c r="GV593" s="335"/>
      <c r="GW593" s="335"/>
      <c r="GX593" s="335"/>
      <c r="GY593" s="335"/>
      <c r="GZ593" s="335"/>
    </row>
    <row r="594" spans="1:208" ht="15">
      <c r="A594" s="379"/>
      <c r="B594" s="335"/>
      <c r="C594" s="335"/>
      <c r="D594" s="335"/>
      <c r="E594" s="335"/>
      <c r="F594" s="335"/>
      <c r="G594" s="335"/>
      <c r="H594" s="335"/>
      <c r="I594" s="335"/>
      <c r="J594" s="335"/>
      <c r="K594" s="335"/>
      <c r="L594" s="335"/>
      <c r="M594" s="376"/>
      <c r="N594" s="335"/>
      <c r="O594" s="380"/>
      <c r="P594" s="335"/>
      <c r="Q594" s="335"/>
      <c r="R594" s="335"/>
      <c r="S594" s="335"/>
      <c r="T594" s="335"/>
      <c r="U594" s="335"/>
      <c r="V594" s="335"/>
      <c r="W594" s="335"/>
      <c r="X594" s="335"/>
      <c r="Y594" s="335"/>
      <c r="Z594" s="335"/>
      <c r="AA594" s="335"/>
      <c r="AB594" s="335"/>
      <c r="AC594" s="335"/>
      <c r="AD594" s="335"/>
      <c r="AE594" s="335"/>
      <c r="AF594" s="335"/>
      <c r="AG594" s="335"/>
      <c r="AH594" s="335"/>
      <c r="AI594" s="335"/>
      <c r="AJ594" s="335"/>
      <c r="AK594" s="335"/>
      <c r="AL594" s="335"/>
      <c r="AM594" s="335"/>
      <c r="AN594" s="335"/>
      <c r="AO594" s="335"/>
      <c r="AP594" s="335"/>
      <c r="AQ594" s="335"/>
      <c r="AR594" s="335"/>
      <c r="AS594" s="335"/>
      <c r="AT594" s="335"/>
      <c r="AU594" s="335"/>
      <c r="AV594" s="335"/>
      <c r="AW594" s="335"/>
      <c r="AX594" s="335"/>
      <c r="AY594" s="335"/>
      <c r="AZ594" s="335"/>
      <c r="BA594" s="335"/>
      <c r="BB594" s="335"/>
      <c r="BC594" s="335"/>
      <c r="BD594" s="335"/>
      <c r="BE594" s="335"/>
      <c r="BF594" s="335"/>
      <c r="BG594" s="335"/>
      <c r="BH594" s="335"/>
      <c r="BI594" s="335"/>
      <c r="BJ594" s="335"/>
      <c r="BK594" s="335"/>
      <c r="BL594" s="335"/>
      <c r="BM594" s="335"/>
      <c r="BN594" s="335"/>
      <c r="BO594" s="335"/>
      <c r="BP594" s="335"/>
      <c r="BQ594" s="335"/>
      <c r="BR594" s="335"/>
      <c r="BS594" s="335"/>
      <c r="BT594" s="335"/>
      <c r="BU594" s="335"/>
      <c r="BV594" s="335"/>
      <c r="BW594" s="335"/>
      <c r="BX594" s="335"/>
      <c r="BY594" s="335"/>
      <c r="BZ594" s="335"/>
      <c r="CA594" s="335"/>
      <c r="CB594" s="335"/>
      <c r="CC594" s="335"/>
      <c r="CD594" s="335"/>
      <c r="CE594" s="335"/>
      <c r="CF594" s="335"/>
      <c r="CG594" s="335"/>
      <c r="CH594" s="335"/>
      <c r="CI594" s="335"/>
      <c r="CJ594" s="335"/>
      <c r="CK594" s="335"/>
      <c r="CL594" s="335"/>
      <c r="CM594" s="335"/>
      <c r="CN594" s="335"/>
      <c r="CO594" s="335"/>
      <c r="CP594" s="335"/>
      <c r="CQ594" s="335"/>
      <c r="CR594" s="335"/>
      <c r="CS594" s="335"/>
      <c r="CT594" s="335"/>
      <c r="CU594" s="335"/>
      <c r="CV594" s="335"/>
      <c r="CW594" s="335"/>
      <c r="CX594" s="335"/>
      <c r="CY594" s="335"/>
      <c r="CZ594" s="335"/>
      <c r="DA594" s="335"/>
      <c r="DB594" s="335"/>
      <c r="DC594" s="335"/>
      <c r="DD594" s="335"/>
      <c r="DE594" s="335"/>
      <c r="DF594" s="335"/>
      <c r="DG594" s="335"/>
      <c r="DH594" s="335"/>
      <c r="DI594" s="335"/>
      <c r="DJ594" s="335"/>
      <c r="DK594" s="335"/>
      <c r="DL594" s="335"/>
      <c r="DM594" s="335"/>
      <c r="DN594" s="335"/>
      <c r="DO594" s="335"/>
      <c r="DP594" s="335"/>
      <c r="DQ594" s="335"/>
      <c r="DR594" s="335"/>
      <c r="DS594" s="335"/>
      <c r="DT594" s="335"/>
      <c r="DU594" s="335"/>
      <c r="DV594" s="335"/>
      <c r="DW594" s="335"/>
      <c r="DX594" s="335"/>
      <c r="DY594" s="335"/>
      <c r="DZ594" s="335"/>
      <c r="EA594" s="335"/>
      <c r="EB594" s="335"/>
      <c r="EC594" s="335"/>
      <c r="ED594" s="335"/>
      <c r="EE594" s="335"/>
      <c r="EF594" s="335"/>
      <c r="EG594" s="335"/>
      <c r="EH594" s="335"/>
      <c r="EI594" s="335"/>
      <c r="EJ594" s="335"/>
      <c r="EK594" s="335"/>
      <c r="EL594" s="335"/>
      <c r="EM594" s="335"/>
      <c r="EN594" s="335"/>
      <c r="EO594" s="335"/>
      <c r="EP594" s="335"/>
      <c r="EQ594" s="335"/>
      <c r="ER594" s="335"/>
      <c r="ES594" s="335"/>
      <c r="ET594" s="335"/>
      <c r="EU594" s="335"/>
      <c r="EV594" s="335"/>
      <c r="EW594" s="335"/>
      <c r="EX594" s="335"/>
      <c r="EY594" s="335"/>
      <c r="EZ594" s="335"/>
      <c r="FA594" s="335"/>
      <c r="FB594" s="335"/>
      <c r="FC594" s="335"/>
      <c r="FD594" s="335"/>
      <c r="FE594" s="335"/>
      <c r="FF594" s="335"/>
      <c r="FG594" s="335"/>
      <c r="FH594" s="335"/>
      <c r="FI594" s="335"/>
      <c r="FJ594" s="335"/>
      <c r="FK594" s="335"/>
      <c r="FL594" s="335"/>
      <c r="FM594" s="335"/>
      <c r="FN594" s="335"/>
      <c r="FO594" s="335"/>
      <c r="FP594" s="335"/>
      <c r="FQ594" s="335"/>
      <c r="FR594" s="335"/>
      <c r="FS594" s="335"/>
      <c r="FT594" s="335"/>
      <c r="FU594" s="335"/>
      <c r="FV594" s="335"/>
      <c r="FW594" s="335"/>
      <c r="FX594" s="335"/>
      <c r="FY594" s="335"/>
      <c r="FZ594" s="335"/>
      <c r="GA594" s="335"/>
      <c r="GB594" s="335"/>
      <c r="GC594" s="335"/>
      <c r="GD594" s="335"/>
      <c r="GE594" s="335"/>
      <c r="GF594" s="335"/>
      <c r="GG594" s="335"/>
      <c r="GH594" s="335"/>
      <c r="GI594" s="335"/>
      <c r="GJ594" s="335"/>
      <c r="GK594" s="335"/>
      <c r="GL594" s="335"/>
      <c r="GM594" s="335"/>
      <c r="GN594" s="335"/>
      <c r="GO594" s="335"/>
      <c r="GP594" s="335"/>
      <c r="GQ594" s="335"/>
      <c r="GR594" s="335"/>
      <c r="GS594" s="335"/>
      <c r="GT594" s="335"/>
      <c r="GU594" s="335"/>
      <c r="GV594" s="335"/>
      <c r="GW594" s="335"/>
      <c r="GX594" s="335"/>
      <c r="GY594" s="335"/>
      <c r="GZ594" s="335"/>
    </row>
    <row r="595" spans="1:208" ht="15">
      <c r="A595" s="379"/>
      <c r="B595" s="335"/>
      <c r="C595" s="335"/>
      <c r="D595" s="335"/>
      <c r="E595" s="335"/>
      <c r="F595" s="335"/>
      <c r="G595" s="335"/>
      <c r="H595" s="335"/>
      <c r="I595" s="335"/>
      <c r="J595" s="335"/>
      <c r="K595" s="335"/>
      <c r="L595" s="335"/>
      <c r="M595" s="376"/>
      <c r="N595" s="335"/>
      <c r="O595" s="380"/>
      <c r="P595" s="335"/>
      <c r="Q595" s="335"/>
      <c r="R595" s="335"/>
      <c r="S595" s="335"/>
      <c r="T595" s="335"/>
      <c r="U595" s="335"/>
      <c r="V595" s="335"/>
      <c r="W595" s="335"/>
      <c r="X595" s="335"/>
      <c r="Y595" s="335"/>
      <c r="Z595" s="335"/>
      <c r="AA595" s="335"/>
      <c r="AB595" s="335"/>
      <c r="AC595" s="335"/>
      <c r="AD595" s="335"/>
      <c r="AE595" s="335"/>
      <c r="AF595" s="335"/>
      <c r="AG595" s="335"/>
      <c r="AH595" s="335"/>
      <c r="AI595" s="335"/>
      <c r="AJ595" s="335"/>
      <c r="AK595" s="335"/>
      <c r="AL595" s="335"/>
      <c r="AM595" s="335"/>
      <c r="AN595" s="335"/>
      <c r="AO595" s="335"/>
      <c r="AP595" s="335"/>
      <c r="AQ595" s="335"/>
      <c r="AR595" s="335"/>
      <c r="AS595" s="335"/>
      <c r="AT595" s="335"/>
      <c r="AU595" s="335"/>
      <c r="AV595" s="335"/>
      <c r="AW595" s="335"/>
      <c r="AX595" s="335"/>
      <c r="AY595" s="335"/>
      <c r="AZ595" s="335"/>
      <c r="BA595" s="335"/>
      <c r="BB595" s="335"/>
      <c r="BC595" s="335"/>
      <c r="BD595" s="335"/>
      <c r="BE595" s="335"/>
      <c r="BF595" s="335"/>
      <c r="BG595" s="335"/>
      <c r="BH595" s="335"/>
      <c r="BI595" s="335"/>
      <c r="BJ595" s="335"/>
      <c r="BK595" s="335"/>
      <c r="BL595" s="335"/>
      <c r="BM595" s="335"/>
      <c r="BN595" s="335"/>
      <c r="BO595" s="335"/>
      <c r="BP595" s="335"/>
      <c r="BQ595" s="335"/>
      <c r="BR595" s="335"/>
      <c r="BS595" s="335"/>
      <c r="BT595" s="335"/>
      <c r="BU595" s="335"/>
      <c r="BV595" s="335"/>
      <c r="BW595" s="335"/>
      <c r="BX595" s="335"/>
      <c r="BY595" s="335"/>
      <c r="BZ595" s="335"/>
      <c r="CA595" s="335"/>
      <c r="CB595" s="335"/>
      <c r="CC595" s="335"/>
      <c r="CD595" s="335"/>
      <c r="CE595" s="335"/>
      <c r="CF595" s="335"/>
      <c r="CG595" s="335"/>
      <c r="CH595" s="335"/>
      <c r="CI595" s="335"/>
      <c r="CJ595" s="335"/>
      <c r="CK595" s="335"/>
      <c r="CL595" s="335"/>
      <c r="CM595" s="335"/>
      <c r="CN595" s="335"/>
      <c r="CO595" s="335"/>
      <c r="CP595" s="335"/>
      <c r="CQ595" s="335"/>
      <c r="CR595" s="335"/>
      <c r="CS595" s="335"/>
      <c r="CT595" s="335"/>
      <c r="CU595" s="335"/>
      <c r="CV595" s="335"/>
      <c r="CW595" s="335"/>
      <c r="CX595" s="335"/>
      <c r="CY595" s="335"/>
      <c r="CZ595" s="335"/>
      <c r="DA595" s="335"/>
      <c r="DB595" s="335"/>
      <c r="DC595" s="335"/>
      <c r="DD595" s="335"/>
      <c r="DE595" s="335"/>
      <c r="DF595" s="335"/>
      <c r="DG595" s="335"/>
      <c r="DH595" s="335"/>
      <c r="DI595" s="335"/>
      <c r="DJ595" s="335"/>
      <c r="DK595" s="335"/>
      <c r="DL595" s="335"/>
      <c r="DM595" s="335"/>
      <c r="DN595" s="335"/>
      <c r="DO595" s="335"/>
      <c r="DP595" s="335"/>
      <c r="DQ595" s="335"/>
      <c r="DR595" s="335"/>
      <c r="DS595" s="335"/>
      <c r="DT595" s="335"/>
      <c r="DU595" s="335"/>
      <c r="DV595" s="335"/>
      <c r="DW595" s="335"/>
      <c r="DX595" s="335"/>
      <c r="DY595" s="335"/>
      <c r="DZ595" s="335"/>
      <c r="EA595" s="335"/>
      <c r="EB595" s="335"/>
      <c r="EC595" s="335"/>
      <c r="ED595" s="335"/>
      <c r="EE595" s="335"/>
      <c r="EF595" s="335"/>
      <c r="EG595" s="335"/>
      <c r="EH595" s="335"/>
      <c r="EI595" s="335"/>
      <c r="EJ595" s="335"/>
      <c r="EK595" s="335"/>
      <c r="EL595" s="335"/>
      <c r="EM595" s="335"/>
      <c r="EN595" s="335"/>
      <c r="EO595" s="335"/>
      <c r="EP595" s="335"/>
      <c r="EQ595" s="335"/>
      <c r="ER595" s="335"/>
      <c r="ES595" s="335"/>
      <c r="ET595" s="335"/>
      <c r="EU595" s="335"/>
      <c r="EV595" s="335"/>
      <c r="EW595" s="335"/>
      <c r="EX595" s="335"/>
      <c r="EY595" s="335"/>
      <c r="EZ595" s="335"/>
      <c r="FA595" s="335"/>
      <c r="FB595" s="335"/>
      <c r="FC595" s="335"/>
      <c r="FD595" s="335"/>
      <c r="FE595" s="335"/>
      <c r="FF595" s="335"/>
      <c r="FG595" s="335"/>
      <c r="FH595" s="335"/>
      <c r="FI595" s="335"/>
      <c r="FJ595" s="335"/>
      <c r="FK595" s="335"/>
      <c r="FL595" s="335"/>
      <c r="FM595" s="335"/>
      <c r="FN595" s="335"/>
      <c r="FO595" s="335"/>
      <c r="FP595" s="335"/>
      <c r="FQ595" s="335"/>
      <c r="FR595" s="335"/>
      <c r="FS595" s="335"/>
      <c r="FT595" s="335"/>
      <c r="FU595" s="335"/>
      <c r="FV595" s="335"/>
      <c r="FW595" s="335"/>
      <c r="FX595" s="335"/>
      <c r="FY595" s="335"/>
      <c r="FZ595" s="335"/>
      <c r="GA595" s="335"/>
      <c r="GB595" s="335"/>
      <c r="GC595" s="335"/>
      <c r="GD595" s="335"/>
      <c r="GE595" s="335"/>
      <c r="GF595" s="335"/>
      <c r="GG595" s="335"/>
      <c r="GH595" s="335"/>
      <c r="GI595" s="335"/>
      <c r="GJ595" s="335"/>
      <c r="GK595" s="335"/>
      <c r="GL595" s="335"/>
      <c r="GM595" s="335"/>
      <c r="GN595" s="335"/>
      <c r="GO595" s="335"/>
      <c r="GP595" s="335"/>
      <c r="GQ595" s="335"/>
      <c r="GR595" s="335"/>
      <c r="GS595" s="335"/>
      <c r="GT595" s="335"/>
      <c r="GU595" s="335"/>
      <c r="GV595" s="335"/>
      <c r="GW595" s="335"/>
      <c r="GX595" s="335"/>
      <c r="GY595" s="335"/>
      <c r="GZ595" s="335"/>
    </row>
    <row r="596" spans="1:208" ht="15">
      <c r="A596" s="379"/>
      <c r="B596" s="335"/>
      <c r="C596" s="335"/>
      <c r="D596" s="335"/>
      <c r="E596" s="335"/>
      <c r="F596" s="335"/>
      <c r="G596" s="335"/>
      <c r="H596" s="335"/>
      <c r="I596" s="335"/>
      <c r="J596" s="335"/>
      <c r="K596" s="335"/>
      <c r="L596" s="335"/>
      <c r="M596" s="376"/>
      <c r="N596" s="335"/>
      <c r="O596" s="380"/>
      <c r="P596" s="335"/>
      <c r="Q596" s="335"/>
      <c r="R596" s="335"/>
      <c r="S596" s="335"/>
      <c r="T596" s="335"/>
      <c r="U596" s="335"/>
      <c r="V596" s="335"/>
      <c r="W596" s="335"/>
      <c r="X596" s="335"/>
      <c r="Y596" s="335"/>
      <c r="Z596" s="335"/>
      <c r="AA596" s="335"/>
      <c r="AB596" s="335"/>
      <c r="AC596" s="335"/>
      <c r="AD596" s="335"/>
      <c r="AE596" s="335"/>
      <c r="AF596" s="335"/>
      <c r="AG596" s="335"/>
      <c r="AH596" s="335"/>
      <c r="AI596" s="335"/>
      <c r="AJ596" s="335"/>
      <c r="AK596" s="335"/>
      <c r="AL596" s="335"/>
      <c r="AM596" s="335"/>
      <c r="AN596" s="335"/>
      <c r="AO596" s="335"/>
      <c r="AP596" s="335"/>
      <c r="AQ596" s="335"/>
      <c r="AR596" s="335"/>
      <c r="AS596" s="335"/>
      <c r="AT596" s="335"/>
      <c r="AU596" s="335"/>
      <c r="AV596" s="335"/>
      <c r="AW596" s="335"/>
      <c r="AX596" s="335"/>
      <c r="AY596" s="335"/>
      <c r="AZ596" s="335"/>
      <c r="BA596" s="335"/>
      <c r="BB596" s="335"/>
      <c r="BC596" s="335"/>
      <c r="BD596" s="335"/>
      <c r="BE596" s="335"/>
      <c r="BF596" s="335"/>
      <c r="BG596" s="335"/>
      <c r="BH596" s="335"/>
      <c r="BI596" s="335"/>
      <c r="BJ596" s="335"/>
      <c r="BK596" s="335"/>
      <c r="BL596" s="335"/>
      <c r="BM596" s="335"/>
      <c r="BN596" s="335"/>
      <c r="BO596" s="335"/>
      <c r="BP596" s="335"/>
      <c r="BQ596" s="335"/>
      <c r="BR596" s="335"/>
      <c r="BS596" s="335"/>
      <c r="BT596" s="335"/>
      <c r="BU596" s="335"/>
      <c r="BV596" s="335"/>
      <c r="BW596" s="335"/>
      <c r="BX596" s="335"/>
      <c r="BY596" s="335"/>
      <c r="BZ596" s="335"/>
      <c r="CA596" s="335"/>
      <c r="CB596" s="335"/>
      <c r="CC596" s="335"/>
      <c r="CD596" s="335"/>
      <c r="CE596" s="335"/>
      <c r="CF596" s="335"/>
      <c r="CG596" s="335"/>
      <c r="CH596" s="335"/>
      <c r="CI596" s="335"/>
      <c r="CJ596" s="335"/>
      <c r="CK596" s="335"/>
      <c r="CL596" s="335"/>
      <c r="CM596" s="335"/>
      <c r="CN596" s="335"/>
      <c r="CO596" s="335"/>
      <c r="CP596" s="335"/>
      <c r="CQ596" s="335"/>
      <c r="CR596" s="335"/>
      <c r="CS596" s="335"/>
      <c r="CT596" s="335"/>
      <c r="CU596" s="335"/>
      <c r="CV596" s="335"/>
      <c r="CW596" s="335"/>
      <c r="CX596" s="335"/>
      <c r="CY596" s="335"/>
      <c r="CZ596" s="335"/>
      <c r="DA596" s="335"/>
      <c r="DB596" s="335"/>
      <c r="DC596" s="335"/>
      <c r="DD596" s="335"/>
      <c r="DE596" s="335"/>
      <c r="DF596" s="335"/>
      <c r="DG596" s="335"/>
      <c r="DH596" s="335"/>
      <c r="DI596" s="335"/>
      <c r="DJ596" s="335"/>
      <c r="DK596" s="335"/>
      <c r="DL596" s="335"/>
      <c r="DM596" s="335"/>
      <c r="DN596" s="335"/>
      <c r="DO596" s="335"/>
      <c r="DP596" s="335"/>
      <c r="DQ596" s="335"/>
      <c r="DR596" s="335"/>
      <c r="DS596" s="335"/>
      <c r="DT596" s="335"/>
      <c r="DU596" s="335"/>
      <c r="DV596" s="335"/>
      <c r="DW596" s="335"/>
      <c r="DX596" s="335"/>
      <c r="DY596" s="335"/>
      <c r="DZ596" s="335"/>
      <c r="EA596" s="335"/>
      <c r="EB596" s="335"/>
      <c r="EC596" s="335"/>
      <c r="ED596" s="335"/>
      <c r="EE596" s="335"/>
      <c r="EF596" s="335"/>
      <c r="EG596" s="335"/>
      <c r="EH596" s="335"/>
      <c r="EI596" s="335"/>
      <c r="EJ596" s="335"/>
      <c r="EK596" s="335"/>
      <c r="EL596" s="335"/>
      <c r="EM596" s="335"/>
      <c r="EN596" s="335"/>
      <c r="EO596" s="335"/>
      <c r="EP596" s="335"/>
      <c r="EQ596" s="335"/>
      <c r="ER596" s="335"/>
      <c r="ES596" s="335"/>
      <c r="ET596" s="335"/>
      <c r="EU596" s="335"/>
      <c r="EV596" s="335"/>
      <c r="EW596" s="335"/>
      <c r="EX596" s="335"/>
      <c r="EY596" s="335"/>
      <c r="EZ596" s="335"/>
      <c r="FA596" s="335"/>
      <c r="FB596" s="335"/>
      <c r="FC596" s="335"/>
      <c r="FD596" s="335"/>
      <c r="FE596" s="335"/>
      <c r="FF596" s="335"/>
      <c r="FG596" s="335"/>
      <c r="FH596" s="335"/>
      <c r="FI596" s="335"/>
      <c r="FJ596" s="335"/>
      <c r="FK596" s="335"/>
      <c r="FL596" s="335"/>
      <c r="FM596" s="335"/>
      <c r="FN596" s="335"/>
      <c r="FO596" s="335"/>
      <c r="FP596" s="335"/>
      <c r="FQ596" s="335"/>
      <c r="FR596" s="335"/>
      <c r="FS596" s="335"/>
      <c r="FT596" s="335"/>
      <c r="FU596" s="335"/>
      <c r="FV596" s="335"/>
      <c r="FW596" s="335"/>
      <c r="FX596" s="335"/>
      <c r="FY596" s="335"/>
      <c r="FZ596" s="335"/>
      <c r="GA596" s="335"/>
      <c r="GB596" s="335"/>
      <c r="GC596" s="335"/>
      <c r="GD596" s="335"/>
      <c r="GE596" s="335"/>
      <c r="GF596" s="335"/>
      <c r="GG596" s="335"/>
      <c r="GH596" s="335"/>
      <c r="GI596" s="335"/>
      <c r="GJ596" s="335"/>
      <c r="GK596" s="335"/>
      <c r="GL596" s="335"/>
      <c r="GM596" s="335"/>
      <c r="GN596" s="335"/>
      <c r="GO596" s="335"/>
      <c r="GP596" s="335"/>
      <c r="GQ596" s="335"/>
      <c r="GR596" s="335"/>
      <c r="GS596" s="335"/>
      <c r="GT596" s="335"/>
      <c r="GU596" s="335"/>
      <c r="GV596" s="335"/>
      <c r="GW596" s="335"/>
      <c r="GX596" s="335"/>
      <c r="GY596" s="335"/>
      <c r="GZ596" s="335"/>
    </row>
    <row r="597" spans="1:208" ht="15">
      <c r="A597" s="379"/>
      <c r="B597" s="335"/>
      <c r="C597" s="335"/>
      <c r="D597" s="335"/>
      <c r="E597" s="335"/>
      <c r="F597" s="335"/>
      <c r="G597" s="335"/>
      <c r="H597" s="335"/>
      <c r="I597" s="335"/>
      <c r="J597" s="335"/>
      <c r="K597" s="335"/>
      <c r="L597" s="335"/>
      <c r="M597" s="376"/>
      <c r="N597" s="335"/>
      <c r="O597" s="380"/>
      <c r="P597" s="335"/>
      <c r="Q597" s="335"/>
      <c r="R597" s="335"/>
      <c r="S597" s="335"/>
      <c r="T597" s="335"/>
      <c r="U597" s="335"/>
      <c r="V597" s="335"/>
      <c r="W597" s="335"/>
      <c r="X597" s="335"/>
      <c r="Y597" s="335"/>
      <c r="Z597" s="335"/>
      <c r="AA597" s="335"/>
      <c r="AB597" s="335"/>
      <c r="AC597" s="335"/>
      <c r="AD597" s="335"/>
      <c r="AE597" s="335"/>
      <c r="AF597" s="335"/>
      <c r="AG597" s="335"/>
      <c r="AH597" s="335"/>
      <c r="AI597" s="335"/>
      <c r="AJ597" s="335"/>
      <c r="AK597" s="335"/>
      <c r="AL597" s="335"/>
      <c r="AM597" s="335"/>
      <c r="AN597" s="335"/>
      <c r="AO597" s="335"/>
      <c r="AP597" s="335"/>
      <c r="AQ597" s="335"/>
      <c r="AR597" s="335"/>
      <c r="AS597" s="335"/>
      <c r="AT597" s="335"/>
      <c r="AU597" s="335"/>
      <c r="AV597" s="335"/>
      <c r="AW597" s="335"/>
      <c r="AX597" s="335"/>
      <c r="AY597" s="335"/>
      <c r="AZ597" s="335"/>
      <c r="BA597" s="335"/>
      <c r="BB597" s="335"/>
      <c r="BC597" s="335"/>
      <c r="BD597" s="335"/>
      <c r="BE597" s="335"/>
      <c r="BF597" s="335"/>
      <c r="BG597" s="335"/>
      <c r="BH597" s="335"/>
      <c r="BI597" s="335"/>
      <c r="BJ597" s="335"/>
      <c r="BK597" s="335"/>
      <c r="BL597" s="335"/>
      <c r="BM597" s="335"/>
      <c r="BN597" s="335"/>
      <c r="BO597" s="335"/>
      <c r="BP597" s="335"/>
      <c r="BQ597" s="335"/>
      <c r="BR597" s="335"/>
      <c r="BS597" s="335"/>
      <c r="BT597" s="335"/>
      <c r="BU597" s="335"/>
      <c r="BV597" s="335"/>
      <c r="BW597" s="335"/>
      <c r="BX597" s="335"/>
      <c r="BY597" s="335"/>
      <c r="BZ597" s="335"/>
      <c r="CA597" s="335"/>
      <c r="CB597" s="335"/>
      <c r="CC597" s="335"/>
      <c r="CD597" s="335"/>
      <c r="CE597" s="335"/>
      <c r="CF597" s="335"/>
      <c r="CG597" s="335"/>
      <c r="CH597" s="335"/>
      <c r="CI597" s="335"/>
      <c r="CJ597" s="335"/>
      <c r="CK597" s="335"/>
      <c r="CL597" s="335"/>
      <c r="CM597" s="335"/>
      <c r="CN597" s="335"/>
      <c r="CO597" s="335"/>
      <c r="CP597" s="335"/>
      <c r="CQ597" s="335"/>
      <c r="CR597" s="335"/>
      <c r="CS597" s="335"/>
      <c r="CT597" s="335"/>
      <c r="CU597" s="335"/>
      <c r="CV597" s="335"/>
      <c r="CW597" s="335"/>
      <c r="CX597" s="335"/>
      <c r="CY597" s="335"/>
      <c r="CZ597" s="335"/>
      <c r="DA597" s="335"/>
      <c r="DB597" s="335"/>
      <c r="DC597" s="335"/>
      <c r="DD597" s="335"/>
      <c r="DE597" s="335"/>
      <c r="DF597" s="335"/>
      <c r="DG597" s="335"/>
      <c r="DH597" s="335"/>
      <c r="DI597" s="335"/>
      <c r="DJ597" s="335"/>
      <c r="DK597" s="335"/>
      <c r="DL597" s="335"/>
      <c r="DM597" s="335"/>
      <c r="DN597" s="335"/>
      <c r="DO597" s="335"/>
      <c r="DP597" s="335"/>
      <c r="DQ597" s="335"/>
      <c r="DR597" s="335"/>
      <c r="DS597" s="335"/>
      <c r="DT597" s="335"/>
      <c r="DU597" s="335"/>
      <c r="DV597" s="335"/>
      <c r="DW597" s="335"/>
      <c r="DX597" s="335"/>
      <c r="DY597" s="335"/>
      <c r="DZ597" s="335"/>
      <c r="EA597" s="335"/>
      <c r="EB597" s="335"/>
      <c r="EC597" s="335"/>
      <c r="ED597" s="335"/>
      <c r="EE597" s="335"/>
      <c r="EF597" s="335"/>
      <c r="EG597" s="335"/>
      <c r="EH597" s="335"/>
      <c r="EI597" s="335"/>
      <c r="EJ597" s="335"/>
      <c r="EK597" s="335"/>
      <c r="EL597" s="335"/>
      <c r="EM597" s="335"/>
      <c r="EN597" s="335"/>
      <c r="EO597" s="335"/>
      <c r="EP597" s="335"/>
      <c r="EQ597" s="335"/>
      <c r="ER597" s="335"/>
      <c r="ES597" s="335"/>
      <c r="ET597" s="335"/>
      <c r="EU597" s="335"/>
      <c r="EV597" s="335"/>
      <c r="EW597" s="335"/>
      <c r="EX597" s="335"/>
      <c r="EY597" s="335"/>
      <c r="EZ597" s="335"/>
      <c r="FA597" s="335"/>
      <c r="FB597" s="335"/>
      <c r="FC597" s="335"/>
      <c r="FD597" s="335"/>
      <c r="FE597" s="335"/>
      <c r="FF597" s="335"/>
      <c r="FG597" s="335"/>
      <c r="FH597" s="335"/>
      <c r="FI597" s="335"/>
      <c r="FJ597" s="335"/>
      <c r="FK597" s="335"/>
      <c r="FL597" s="335"/>
      <c r="FM597" s="335"/>
      <c r="FN597" s="335"/>
      <c r="FO597" s="335"/>
      <c r="FP597" s="335"/>
      <c r="FQ597" s="335"/>
      <c r="FR597" s="335"/>
      <c r="FS597" s="335"/>
      <c r="FT597" s="335"/>
      <c r="FU597" s="335"/>
      <c r="FV597" s="335"/>
      <c r="FW597" s="335"/>
      <c r="FX597" s="335"/>
      <c r="FY597" s="335"/>
      <c r="FZ597" s="335"/>
      <c r="GA597" s="335"/>
      <c r="GB597" s="335"/>
      <c r="GC597" s="335"/>
      <c r="GD597" s="335"/>
      <c r="GE597" s="335"/>
      <c r="GF597" s="335"/>
      <c r="GG597" s="335"/>
      <c r="GH597" s="335"/>
      <c r="GI597" s="335"/>
      <c r="GJ597" s="335"/>
      <c r="GK597" s="335"/>
      <c r="GL597" s="335"/>
      <c r="GM597" s="335"/>
      <c r="GN597" s="335"/>
      <c r="GO597" s="335"/>
      <c r="GP597" s="335"/>
      <c r="GQ597" s="335"/>
      <c r="GR597" s="335"/>
      <c r="GS597" s="335"/>
      <c r="GT597" s="335"/>
      <c r="GU597" s="335"/>
      <c r="GV597" s="335"/>
      <c r="GW597" s="335"/>
      <c r="GX597" s="335"/>
      <c r="GY597" s="335"/>
      <c r="GZ597" s="335"/>
    </row>
    <row r="598" spans="1:208" ht="15">
      <c r="A598" s="379"/>
      <c r="B598" s="335"/>
      <c r="C598" s="335"/>
      <c r="D598" s="335"/>
      <c r="E598" s="335"/>
      <c r="F598" s="335"/>
      <c r="G598" s="335"/>
      <c r="H598" s="335"/>
      <c r="I598" s="335"/>
      <c r="J598" s="335"/>
      <c r="K598" s="335"/>
      <c r="L598" s="335"/>
      <c r="M598" s="376"/>
      <c r="N598" s="335"/>
      <c r="O598" s="380"/>
      <c r="P598" s="335"/>
      <c r="Q598" s="335"/>
      <c r="R598" s="335"/>
      <c r="S598" s="335"/>
      <c r="T598" s="335"/>
      <c r="U598" s="335"/>
      <c r="V598" s="335"/>
      <c r="W598" s="335"/>
      <c r="X598" s="335"/>
      <c r="Y598" s="335"/>
      <c r="Z598" s="335"/>
      <c r="AA598" s="335"/>
      <c r="AB598" s="335"/>
      <c r="AC598" s="335"/>
      <c r="AD598" s="335"/>
      <c r="AE598" s="335"/>
      <c r="AF598" s="335"/>
      <c r="AG598" s="335"/>
      <c r="AH598" s="335"/>
      <c r="AI598" s="335"/>
      <c r="AJ598" s="335"/>
      <c r="AK598" s="335"/>
      <c r="AL598" s="335"/>
      <c r="AM598" s="335"/>
      <c r="AN598" s="335"/>
      <c r="AO598" s="335"/>
      <c r="AP598" s="335"/>
      <c r="AQ598" s="335"/>
      <c r="AR598" s="335"/>
      <c r="AS598" s="335"/>
      <c r="AT598" s="335"/>
      <c r="AU598" s="335"/>
      <c r="AV598" s="335"/>
      <c r="AW598" s="335"/>
      <c r="AX598" s="335"/>
      <c r="AY598" s="335"/>
      <c r="AZ598" s="335"/>
      <c r="BA598" s="335"/>
      <c r="BB598" s="335"/>
      <c r="BC598" s="335"/>
      <c r="BD598" s="335"/>
      <c r="BE598" s="335"/>
      <c r="BF598" s="335"/>
      <c r="BG598" s="335"/>
      <c r="BH598" s="335"/>
      <c r="BI598" s="335"/>
      <c r="BJ598" s="335"/>
      <c r="BK598" s="335"/>
      <c r="BL598" s="335"/>
      <c r="BM598" s="335"/>
      <c r="BN598" s="335"/>
      <c r="BO598" s="335"/>
      <c r="BP598" s="335"/>
      <c r="BQ598" s="335"/>
      <c r="BR598" s="335"/>
      <c r="BS598" s="335"/>
      <c r="BT598" s="335"/>
      <c r="BU598" s="335"/>
      <c r="BV598" s="335"/>
      <c r="BW598" s="335"/>
      <c r="BX598" s="335"/>
      <c r="BY598" s="335"/>
      <c r="BZ598" s="335"/>
      <c r="CA598" s="335"/>
      <c r="CB598" s="335"/>
      <c r="CC598" s="335"/>
      <c r="CD598" s="335"/>
      <c r="CE598" s="335"/>
      <c r="CF598" s="335"/>
      <c r="CG598" s="335"/>
      <c r="CH598" s="335"/>
      <c r="CI598" s="335"/>
      <c r="CJ598" s="335"/>
      <c r="CK598" s="335"/>
      <c r="CL598" s="335"/>
      <c r="CM598" s="335"/>
      <c r="CN598" s="335"/>
      <c r="CO598" s="335"/>
      <c r="CP598" s="335"/>
      <c r="CQ598" s="335"/>
      <c r="CR598" s="335"/>
      <c r="CS598" s="335"/>
      <c r="CT598" s="335"/>
      <c r="CU598" s="335"/>
      <c r="CV598" s="335"/>
      <c r="CW598" s="335"/>
      <c r="CX598" s="335"/>
      <c r="CY598" s="335"/>
      <c r="CZ598" s="335"/>
      <c r="DA598" s="335"/>
      <c r="DB598" s="335"/>
      <c r="DC598" s="335"/>
      <c r="DD598" s="335"/>
      <c r="DE598" s="335"/>
      <c r="DF598" s="335"/>
      <c r="DG598" s="335"/>
      <c r="DH598" s="335"/>
      <c r="DI598" s="335"/>
      <c r="DJ598" s="335"/>
      <c r="DK598" s="335"/>
      <c r="DL598" s="335"/>
      <c r="DM598" s="335"/>
      <c r="DN598" s="335"/>
      <c r="DO598" s="335"/>
      <c r="DP598" s="335"/>
      <c r="DQ598" s="335"/>
      <c r="DR598" s="335"/>
      <c r="DS598" s="335"/>
      <c r="DT598" s="335"/>
      <c r="DU598" s="335"/>
      <c r="DV598" s="335"/>
      <c r="DW598" s="335"/>
      <c r="DX598" s="335"/>
      <c r="DY598" s="335"/>
      <c r="DZ598" s="335"/>
      <c r="EA598" s="335"/>
      <c r="EB598" s="335"/>
      <c r="EC598" s="335"/>
      <c r="ED598" s="335"/>
      <c r="EE598" s="335"/>
      <c r="EF598" s="335"/>
      <c r="EG598" s="335"/>
      <c r="EH598" s="335"/>
      <c r="EI598" s="335"/>
      <c r="EJ598" s="335"/>
      <c r="EK598" s="335"/>
      <c r="EL598" s="335"/>
      <c r="EM598" s="335"/>
      <c r="EN598" s="335"/>
      <c r="EO598" s="335"/>
      <c r="EP598" s="335"/>
      <c r="EQ598" s="335"/>
      <c r="ER598" s="335"/>
      <c r="ES598" s="335"/>
      <c r="ET598" s="335"/>
      <c r="EU598" s="335"/>
      <c r="EV598" s="335"/>
      <c r="EW598" s="335"/>
      <c r="EX598" s="335"/>
      <c r="EY598" s="335"/>
      <c r="EZ598" s="335"/>
      <c r="FA598" s="335"/>
      <c r="FB598" s="335"/>
      <c r="FC598" s="335"/>
      <c r="FD598" s="335"/>
      <c r="FE598" s="335"/>
      <c r="FF598" s="335"/>
      <c r="FG598" s="335"/>
      <c r="FH598" s="335"/>
      <c r="FI598" s="335"/>
      <c r="FJ598" s="335"/>
      <c r="FK598" s="335"/>
      <c r="FL598" s="335"/>
      <c r="FM598" s="335"/>
      <c r="FN598" s="335"/>
      <c r="FO598" s="335"/>
      <c r="FP598" s="335"/>
      <c r="FQ598" s="335"/>
      <c r="FR598" s="335"/>
      <c r="FS598" s="335"/>
      <c r="FT598" s="335"/>
      <c r="FU598" s="335"/>
      <c r="FV598" s="335"/>
      <c r="FW598" s="335"/>
      <c r="FX598" s="335"/>
      <c r="FY598" s="335"/>
      <c r="FZ598" s="335"/>
      <c r="GA598" s="335"/>
      <c r="GB598" s="335"/>
      <c r="GC598" s="335"/>
      <c r="GD598" s="335"/>
      <c r="GE598" s="335"/>
      <c r="GF598" s="335"/>
      <c r="GG598" s="335"/>
      <c r="GH598" s="335"/>
      <c r="GI598" s="335"/>
      <c r="GJ598" s="335"/>
      <c r="GK598" s="335"/>
      <c r="GL598" s="335"/>
      <c r="GM598" s="335"/>
      <c r="GN598" s="335"/>
      <c r="GO598" s="335"/>
      <c r="GP598" s="335"/>
      <c r="GQ598" s="335"/>
      <c r="GR598" s="335"/>
      <c r="GS598" s="335"/>
      <c r="GT598" s="335"/>
      <c r="GU598" s="335"/>
      <c r="GV598" s="335"/>
      <c r="GW598" s="335"/>
      <c r="GX598" s="335"/>
      <c r="GY598" s="335"/>
      <c r="GZ598" s="335"/>
    </row>
    <row r="599" spans="1:208" ht="15">
      <c r="A599" s="379"/>
      <c r="B599" s="335"/>
      <c r="C599" s="335"/>
      <c r="D599" s="335"/>
      <c r="E599" s="335"/>
      <c r="F599" s="335"/>
      <c r="G599" s="335"/>
      <c r="H599" s="335"/>
      <c r="I599" s="335"/>
      <c r="J599" s="335"/>
      <c r="K599" s="335"/>
      <c r="L599" s="335"/>
      <c r="M599" s="376"/>
      <c r="N599" s="335"/>
      <c r="O599" s="380"/>
      <c r="P599" s="335"/>
      <c r="Q599" s="335"/>
      <c r="R599" s="335"/>
      <c r="S599" s="335"/>
      <c r="T599" s="335"/>
      <c r="U599" s="335"/>
      <c r="V599" s="335"/>
      <c r="W599" s="335"/>
      <c r="X599" s="335"/>
      <c r="Y599" s="335"/>
      <c r="Z599" s="335"/>
      <c r="AA599" s="335"/>
      <c r="AB599" s="335"/>
      <c r="AC599" s="335"/>
      <c r="AD599" s="335"/>
      <c r="AE599" s="335"/>
      <c r="AF599" s="335"/>
      <c r="AG599" s="335"/>
      <c r="AH599" s="335"/>
      <c r="AI599" s="335"/>
      <c r="AJ599" s="335"/>
      <c r="AK599" s="335"/>
      <c r="AL599" s="335"/>
      <c r="AM599" s="335"/>
      <c r="AN599" s="335"/>
      <c r="AO599" s="335"/>
      <c r="AP599" s="335"/>
      <c r="AQ599" s="335"/>
      <c r="AR599" s="335"/>
      <c r="AS599" s="335"/>
      <c r="AT599" s="335"/>
      <c r="AU599" s="335"/>
      <c r="AV599" s="335"/>
      <c r="AW599" s="335"/>
      <c r="AX599" s="335"/>
      <c r="AY599" s="335"/>
      <c r="AZ599" s="335"/>
      <c r="BA599" s="335"/>
      <c r="BB599" s="335"/>
      <c r="BC599" s="335"/>
      <c r="BD599" s="335"/>
      <c r="BE599" s="335"/>
      <c r="BF599" s="335"/>
      <c r="BG599" s="335"/>
      <c r="BH599" s="335"/>
      <c r="BI599" s="335"/>
      <c r="BJ599" s="335"/>
      <c r="BK599" s="335"/>
      <c r="BL599" s="335"/>
      <c r="BM599" s="335"/>
      <c r="BN599" s="335"/>
      <c r="BO599" s="335"/>
      <c r="BP599" s="335"/>
      <c r="BQ599" s="335"/>
      <c r="BR599" s="335"/>
      <c r="BS599" s="335"/>
      <c r="BT599" s="335"/>
      <c r="BU599" s="335"/>
      <c r="BV599" s="335"/>
      <c r="BW599" s="335"/>
      <c r="BX599" s="335"/>
      <c r="BY599" s="335"/>
      <c r="BZ599" s="335"/>
      <c r="CA599" s="335"/>
      <c r="CB599" s="335"/>
      <c r="CC599" s="335"/>
      <c r="CD599" s="335"/>
      <c r="CE599" s="335"/>
      <c r="CF599" s="335"/>
      <c r="CG599" s="335"/>
      <c r="CH599" s="335"/>
      <c r="CI599" s="335"/>
      <c r="CJ599" s="335"/>
      <c r="CK599" s="335"/>
      <c r="CL599" s="335"/>
      <c r="CM599" s="335"/>
      <c r="CN599" s="335"/>
      <c r="CO599" s="335"/>
      <c r="CP599" s="335"/>
      <c r="CQ599" s="335"/>
      <c r="CR599" s="335"/>
      <c r="CS599" s="335"/>
      <c r="CT599" s="335"/>
      <c r="CU599" s="335"/>
      <c r="CV599" s="335"/>
      <c r="CW599" s="335"/>
      <c r="CX599" s="335"/>
      <c r="CY599" s="335"/>
      <c r="CZ599" s="335"/>
      <c r="DA599" s="335"/>
      <c r="DB599" s="335"/>
      <c r="DC599" s="335"/>
      <c r="DD599" s="335"/>
      <c r="DE599" s="335"/>
      <c r="DF599" s="335"/>
      <c r="DG599" s="335"/>
      <c r="DH599" s="335"/>
      <c r="DI599" s="335"/>
      <c r="DJ599" s="335"/>
      <c r="DK599" s="335"/>
      <c r="DL599" s="335"/>
      <c r="DM599" s="335"/>
      <c r="DN599" s="335"/>
      <c r="DO599" s="335"/>
      <c r="DP599" s="335"/>
      <c r="DQ599" s="335"/>
      <c r="DR599" s="335"/>
      <c r="DS599" s="335"/>
      <c r="DT599" s="335"/>
      <c r="DU599" s="335"/>
      <c r="DV599" s="335"/>
      <c r="DW599" s="335"/>
      <c r="DX599" s="335"/>
      <c r="DY599" s="335"/>
      <c r="DZ599" s="335"/>
      <c r="EA599" s="335"/>
      <c r="EB599" s="335"/>
      <c r="EC599" s="335"/>
      <c r="ED599" s="335"/>
      <c r="EE599" s="335"/>
      <c r="EF599" s="335"/>
      <c r="EG599" s="335"/>
      <c r="EH599" s="335"/>
      <c r="EI599" s="335"/>
      <c r="EJ599" s="335"/>
      <c r="EK599" s="335"/>
      <c r="EL599" s="335"/>
      <c r="EM599" s="335"/>
      <c r="EN599" s="335"/>
      <c r="EO599" s="335"/>
      <c r="EP599" s="335"/>
      <c r="EQ599" s="335"/>
      <c r="ER599" s="335"/>
      <c r="ES599" s="335"/>
      <c r="ET599" s="335"/>
      <c r="EU599" s="335"/>
      <c r="EV599" s="335"/>
      <c r="EW599" s="335"/>
      <c r="EX599" s="335"/>
      <c r="EY599" s="335"/>
      <c r="EZ599" s="335"/>
      <c r="FA599" s="335"/>
      <c r="FB599" s="335"/>
      <c r="FC599" s="335"/>
      <c r="FD599" s="335"/>
      <c r="FE599" s="335"/>
      <c r="FF599" s="335"/>
      <c r="FG599" s="335"/>
      <c r="FH599" s="335"/>
      <c r="FI599" s="335"/>
      <c r="FJ599" s="335"/>
      <c r="FK599" s="335"/>
      <c r="FL599" s="335"/>
      <c r="FM599" s="335"/>
      <c r="FN599" s="335"/>
      <c r="FO599" s="335"/>
      <c r="FP599" s="335"/>
      <c r="FQ599" s="335"/>
      <c r="FR599" s="335"/>
      <c r="FS599" s="335"/>
      <c r="FT599" s="335"/>
      <c r="FU599" s="335"/>
      <c r="FV599" s="335"/>
      <c r="FW599" s="335"/>
      <c r="FX599" s="335"/>
      <c r="FY599" s="335"/>
      <c r="FZ599" s="335"/>
      <c r="GA599" s="335"/>
      <c r="GB599" s="335"/>
      <c r="GC599" s="335"/>
      <c r="GD599" s="335"/>
      <c r="GE599" s="335"/>
      <c r="GF599" s="335"/>
      <c r="GG599" s="335"/>
      <c r="GH599" s="335"/>
      <c r="GI599" s="335"/>
      <c r="GJ599" s="335"/>
      <c r="GK599" s="335"/>
      <c r="GL599" s="335"/>
      <c r="GM599" s="335"/>
      <c r="GN599" s="335"/>
      <c r="GO599" s="335"/>
      <c r="GP599" s="335"/>
      <c r="GQ599" s="335"/>
      <c r="GR599" s="335"/>
      <c r="GS599" s="335"/>
      <c r="GT599" s="335"/>
      <c r="GU599" s="335"/>
      <c r="GV599" s="335"/>
      <c r="GW599" s="335"/>
      <c r="GX599" s="335"/>
      <c r="GY599" s="335"/>
      <c r="GZ599" s="335"/>
    </row>
    <row r="600" spans="1:208" ht="15">
      <c r="A600" s="379"/>
      <c r="B600" s="335"/>
      <c r="C600" s="335"/>
      <c r="D600" s="335"/>
      <c r="E600" s="335"/>
      <c r="F600" s="335"/>
      <c r="G600" s="335"/>
      <c r="H600" s="335"/>
      <c r="I600" s="335"/>
      <c r="J600" s="335"/>
      <c r="K600" s="335"/>
      <c r="L600" s="335"/>
      <c r="M600" s="376"/>
      <c r="N600" s="335"/>
      <c r="O600" s="380"/>
      <c r="P600" s="335"/>
      <c r="Q600" s="335"/>
      <c r="R600" s="335"/>
      <c r="S600" s="335"/>
      <c r="T600" s="335"/>
      <c r="U600" s="335"/>
      <c r="V600" s="335"/>
      <c r="W600" s="335"/>
      <c r="X600" s="335"/>
      <c r="Y600" s="335"/>
      <c r="Z600" s="335"/>
      <c r="AA600" s="335"/>
      <c r="AB600" s="335"/>
      <c r="AC600" s="335"/>
      <c r="AD600" s="335"/>
      <c r="AE600" s="335"/>
      <c r="AF600" s="335"/>
      <c r="AG600" s="335"/>
      <c r="AH600" s="335"/>
      <c r="AI600" s="335"/>
      <c r="AJ600" s="335"/>
      <c r="AK600" s="335"/>
      <c r="AL600" s="335"/>
      <c r="AM600" s="335"/>
      <c r="AN600" s="335"/>
      <c r="AO600" s="335"/>
      <c r="AP600" s="335"/>
      <c r="AQ600" s="335"/>
      <c r="AR600" s="335"/>
      <c r="AS600" s="335"/>
      <c r="AT600" s="335"/>
      <c r="AU600" s="335"/>
      <c r="AV600" s="335"/>
      <c r="AW600" s="335"/>
      <c r="AX600" s="335"/>
      <c r="AY600" s="335"/>
      <c r="AZ600" s="335"/>
      <c r="BA600" s="335"/>
      <c r="BB600" s="335"/>
      <c r="BC600" s="335"/>
      <c r="BD600" s="335"/>
      <c r="BE600" s="335"/>
      <c r="BF600" s="335"/>
      <c r="BG600" s="335"/>
      <c r="BH600" s="335"/>
      <c r="BI600" s="335"/>
      <c r="BJ600" s="335"/>
      <c r="BK600" s="335"/>
      <c r="BL600" s="335"/>
      <c r="BM600" s="335"/>
      <c r="BN600" s="335"/>
      <c r="BO600" s="335"/>
      <c r="BP600" s="335"/>
      <c r="BQ600" s="335"/>
      <c r="BR600" s="335"/>
      <c r="BS600" s="335"/>
      <c r="BT600" s="335"/>
      <c r="BU600" s="335"/>
      <c r="BV600" s="335"/>
      <c r="BW600" s="335"/>
      <c r="BX600" s="335"/>
      <c r="BY600" s="335"/>
      <c r="BZ600" s="335"/>
      <c r="CA600" s="335"/>
      <c r="CB600" s="335"/>
      <c r="CC600" s="335"/>
      <c r="CD600" s="335"/>
      <c r="CE600" s="335"/>
      <c r="CF600" s="335"/>
      <c r="CG600" s="335"/>
      <c r="CH600" s="335"/>
      <c r="CI600" s="335"/>
      <c r="CJ600" s="335"/>
      <c r="CK600" s="335"/>
      <c r="CL600" s="335"/>
      <c r="CM600" s="335"/>
      <c r="CN600" s="335"/>
      <c r="CO600" s="335"/>
      <c r="CP600" s="335"/>
      <c r="CQ600" s="335"/>
      <c r="CR600" s="335"/>
      <c r="CS600" s="335"/>
      <c r="CT600" s="335"/>
      <c r="CU600" s="335"/>
      <c r="CV600" s="335"/>
      <c r="CW600" s="335"/>
      <c r="CX600" s="335"/>
      <c r="CY600" s="335"/>
      <c r="CZ600" s="335"/>
      <c r="DA600" s="335"/>
      <c r="DB600" s="335"/>
      <c r="DC600" s="335"/>
      <c r="DD600" s="335"/>
      <c r="DE600" s="335"/>
      <c r="DF600" s="335"/>
      <c r="DG600" s="335"/>
      <c r="DH600" s="335"/>
      <c r="DI600" s="335"/>
      <c r="DJ600" s="335"/>
      <c r="DK600" s="335"/>
      <c r="DL600" s="335"/>
      <c r="DM600" s="335"/>
      <c r="DN600" s="335"/>
      <c r="DO600" s="335"/>
      <c r="DP600" s="335"/>
      <c r="DQ600" s="335"/>
      <c r="DR600" s="335"/>
      <c r="DS600" s="335"/>
      <c r="DT600" s="335"/>
      <c r="DU600" s="335"/>
      <c r="DV600" s="335"/>
      <c r="DW600" s="335"/>
      <c r="DX600" s="335"/>
      <c r="DY600" s="335"/>
      <c r="DZ600" s="335"/>
      <c r="EA600" s="335"/>
      <c r="EB600" s="335"/>
      <c r="EC600" s="335"/>
      <c r="ED600" s="335"/>
      <c r="EE600" s="335"/>
      <c r="EF600" s="335"/>
      <c r="EG600" s="335"/>
      <c r="EH600" s="335"/>
      <c r="EI600" s="335"/>
      <c r="EJ600" s="335"/>
      <c r="EK600" s="335"/>
      <c r="EL600" s="335"/>
      <c r="EM600" s="335"/>
      <c r="EN600" s="335"/>
      <c r="EO600" s="335"/>
      <c r="EP600" s="335"/>
      <c r="EQ600" s="335"/>
      <c r="ER600" s="335"/>
      <c r="ES600" s="335"/>
      <c r="ET600" s="335"/>
      <c r="EU600" s="335"/>
      <c r="EV600" s="335"/>
      <c r="EW600" s="335"/>
      <c r="EX600" s="335"/>
      <c r="EY600" s="335"/>
      <c r="EZ600" s="335"/>
      <c r="FA600" s="335"/>
      <c r="FB600" s="335"/>
      <c r="FC600" s="335"/>
      <c r="FD600" s="335"/>
      <c r="FE600" s="335"/>
      <c r="FF600" s="335"/>
      <c r="FG600" s="335"/>
      <c r="FH600" s="335"/>
      <c r="FI600" s="335"/>
      <c r="FJ600" s="335"/>
      <c r="FK600" s="335"/>
      <c r="FL600" s="335"/>
      <c r="FM600" s="335"/>
      <c r="FN600" s="335"/>
      <c r="FO600" s="335"/>
      <c r="FP600" s="335"/>
      <c r="FQ600" s="335"/>
      <c r="FR600" s="335"/>
      <c r="FS600" s="335"/>
      <c r="FT600" s="335"/>
      <c r="FU600" s="335"/>
      <c r="FV600" s="335"/>
      <c r="FW600" s="335"/>
      <c r="FX600" s="335"/>
      <c r="FY600" s="335"/>
      <c r="FZ600" s="335"/>
      <c r="GA600" s="335"/>
      <c r="GB600" s="335"/>
      <c r="GC600" s="335"/>
      <c r="GD600" s="335"/>
      <c r="GE600" s="335"/>
      <c r="GF600" s="335"/>
      <c r="GG600" s="335"/>
      <c r="GH600" s="335"/>
      <c r="GI600" s="335"/>
      <c r="GJ600" s="335"/>
      <c r="GK600" s="335"/>
      <c r="GL600" s="335"/>
      <c r="GM600" s="335"/>
      <c r="GN600" s="335"/>
      <c r="GO600" s="335"/>
      <c r="GP600" s="335"/>
      <c r="GQ600" s="335"/>
      <c r="GR600" s="335"/>
      <c r="GS600" s="335"/>
      <c r="GT600" s="335"/>
      <c r="GU600" s="335"/>
      <c r="GV600" s="335"/>
      <c r="GW600" s="335"/>
      <c r="GX600" s="335"/>
      <c r="GY600" s="335"/>
      <c r="GZ600" s="335"/>
    </row>
    <row r="601" spans="1:208" ht="15">
      <c r="A601" s="379"/>
      <c r="B601" s="335"/>
      <c r="C601" s="335"/>
      <c r="D601" s="335"/>
      <c r="E601" s="335"/>
      <c r="F601" s="335"/>
      <c r="G601" s="335"/>
      <c r="H601" s="335"/>
      <c r="I601" s="335"/>
      <c r="J601" s="335"/>
      <c r="K601" s="335"/>
      <c r="L601" s="335"/>
      <c r="M601" s="376"/>
      <c r="N601" s="335"/>
      <c r="O601" s="380"/>
      <c r="P601" s="335"/>
      <c r="Q601" s="335"/>
      <c r="R601" s="335"/>
      <c r="S601" s="335"/>
      <c r="T601" s="335"/>
      <c r="U601" s="335"/>
      <c r="V601" s="335"/>
      <c r="W601" s="335"/>
      <c r="X601" s="335"/>
      <c r="Y601" s="335"/>
      <c r="Z601" s="335"/>
      <c r="AA601" s="335"/>
      <c r="AB601" s="335"/>
      <c r="AC601" s="335"/>
      <c r="AD601" s="335"/>
      <c r="AE601" s="335"/>
      <c r="AF601" s="335"/>
      <c r="AG601" s="335"/>
      <c r="AH601" s="335"/>
      <c r="AI601" s="335"/>
      <c r="AJ601" s="335"/>
      <c r="AK601" s="335"/>
      <c r="AL601" s="335"/>
      <c r="AM601" s="335"/>
      <c r="AN601" s="335"/>
      <c r="AO601" s="335"/>
      <c r="AP601" s="335"/>
      <c r="AQ601" s="335"/>
      <c r="AR601" s="335"/>
      <c r="AS601" s="335"/>
      <c r="AT601" s="335"/>
      <c r="AU601" s="335"/>
      <c r="AV601" s="335"/>
      <c r="AW601" s="335"/>
      <c r="AX601" s="335"/>
      <c r="AY601" s="335"/>
      <c r="AZ601" s="335"/>
      <c r="BA601" s="335"/>
      <c r="BB601" s="335"/>
      <c r="BC601" s="335"/>
      <c r="BD601" s="335"/>
      <c r="BE601" s="335"/>
      <c r="BF601" s="335"/>
      <c r="BG601" s="335"/>
      <c r="BH601" s="335"/>
      <c r="BI601" s="335"/>
      <c r="BJ601" s="335"/>
      <c r="BK601" s="335"/>
      <c r="BL601" s="335"/>
      <c r="BM601" s="335"/>
      <c r="BN601" s="335"/>
      <c r="BO601" s="335"/>
      <c r="BP601" s="335"/>
      <c r="BQ601" s="335"/>
      <c r="BR601" s="335"/>
      <c r="BS601" s="335"/>
      <c r="BT601" s="335"/>
      <c r="BU601" s="335"/>
      <c r="BV601" s="335"/>
      <c r="BW601" s="335"/>
      <c r="BX601" s="335"/>
      <c r="BY601" s="335"/>
      <c r="BZ601" s="335"/>
      <c r="CA601" s="335"/>
      <c r="CB601" s="335"/>
      <c r="CC601" s="335"/>
      <c r="CD601" s="335"/>
      <c r="CE601" s="335"/>
      <c r="CF601" s="335"/>
      <c r="CG601" s="335"/>
      <c r="CH601" s="335"/>
      <c r="CI601" s="335"/>
      <c r="CJ601" s="335"/>
      <c r="CK601" s="335"/>
      <c r="CL601" s="335"/>
      <c r="CM601" s="335"/>
      <c r="CN601" s="335"/>
      <c r="CO601" s="335"/>
      <c r="CP601" s="335"/>
      <c r="CQ601" s="335"/>
      <c r="CR601" s="335"/>
      <c r="CS601" s="335"/>
      <c r="CT601" s="335"/>
      <c r="CU601" s="335"/>
      <c r="CV601" s="335"/>
      <c r="CW601" s="335"/>
      <c r="CX601" s="335"/>
      <c r="CY601" s="335"/>
      <c r="CZ601" s="335"/>
      <c r="DA601" s="335"/>
      <c r="DB601" s="335"/>
      <c r="DC601" s="335"/>
      <c r="DD601" s="335"/>
      <c r="DE601" s="335"/>
      <c r="DF601" s="335"/>
      <c r="DG601" s="335"/>
      <c r="DH601" s="335"/>
      <c r="DI601" s="335"/>
      <c r="DJ601" s="335"/>
      <c r="DK601" s="335"/>
      <c r="DL601" s="335"/>
      <c r="DM601" s="335"/>
      <c r="DN601" s="335"/>
      <c r="DO601" s="335"/>
      <c r="DP601" s="335"/>
      <c r="DQ601" s="335"/>
      <c r="DR601" s="335"/>
      <c r="DS601" s="335"/>
      <c r="DT601" s="335"/>
      <c r="DU601" s="335"/>
      <c r="DV601" s="335"/>
      <c r="DW601" s="335"/>
      <c r="DX601" s="335"/>
      <c r="DY601" s="335"/>
      <c r="DZ601" s="335"/>
      <c r="EA601" s="335"/>
      <c r="EB601" s="335"/>
      <c r="EC601" s="335"/>
      <c r="ED601" s="335"/>
      <c r="EE601" s="335"/>
      <c r="EF601" s="335"/>
      <c r="EG601" s="335"/>
      <c r="EH601" s="335"/>
      <c r="EI601" s="335"/>
      <c r="EJ601" s="335"/>
      <c r="EK601" s="335"/>
      <c r="EL601" s="335"/>
      <c r="EM601" s="335"/>
      <c r="EN601" s="335"/>
      <c r="EO601" s="335"/>
      <c r="EP601" s="335"/>
      <c r="EQ601" s="335"/>
      <c r="ER601" s="335"/>
      <c r="ES601" s="335"/>
      <c r="ET601" s="335"/>
      <c r="EU601" s="335"/>
      <c r="EV601" s="335"/>
      <c r="EW601" s="335"/>
      <c r="EX601" s="335"/>
      <c r="EY601" s="335"/>
      <c r="EZ601" s="335"/>
      <c r="FA601" s="335"/>
      <c r="FB601" s="335"/>
      <c r="FC601" s="335"/>
      <c r="FD601" s="335"/>
      <c r="FE601" s="335"/>
      <c r="FF601" s="335"/>
      <c r="FG601" s="335"/>
      <c r="FH601" s="335"/>
      <c r="FI601" s="335"/>
      <c r="FJ601" s="335"/>
      <c r="FK601" s="335"/>
      <c r="FL601" s="335"/>
      <c r="FM601" s="335"/>
      <c r="FN601" s="335"/>
      <c r="FO601" s="335"/>
      <c r="FP601" s="335"/>
      <c r="FQ601" s="335"/>
      <c r="FR601" s="335"/>
      <c r="FS601" s="335"/>
      <c r="FT601" s="335"/>
      <c r="FU601" s="335"/>
      <c r="FV601" s="335"/>
      <c r="FW601" s="335"/>
      <c r="FX601" s="335"/>
      <c r="FY601" s="335"/>
      <c r="FZ601" s="335"/>
      <c r="GA601" s="335"/>
      <c r="GB601" s="335"/>
      <c r="GC601" s="335"/>
      <c r="GD601" s="335"/>
      <c r="GE601" s="335"/>
      <c r="GF601" s="335"/>
      <c r="GG601" s="335"/>
      <c r="GH601" s="335"/>
      <c r="GI601" s="335"/>
      <c r="GJ601" s="335"/>
      <c r="GK601" s="335"/>
      <c r="GL601" s="335"/>
      <c r="GM601" s="335"/>
      <c r="GN601" s="335"/>
      <c r="GO601" s="335"/>
      <c r="GP601" s="335"/>
      <c r="GQ601" s="335"/>
      <c r="GR601" s="335"/>
      <c r="GS601" s="335"/>
      <c r="GT601" s="335"/>
      <c r="GU601" s="335"/>
      <c r="GV601" s="335"/>
      <c r="GW601" s="335"/>
      <c r="GX601" s="335"/>
      <c r="GY601" s="335"/>
      <c r="GZ601" s="335"/>
    </row>
    <row r="602" spans="1:208" ht="15">
      <c r="A602" s="379"/>
      <c r="B602" s="335"/>
      <c r="C602" s="335"/>
      <c r="D602" s="335"/>
      <c r="E602" s="335"/>
      <c r="F602" s="335"/>
      <c r="G602" s="335"/>
      <c r="H602" s="335"/>
      <c r="I602" s="335"/>
      <c r="J602" s="335"/>
      <c r="K602" s="335"/>
      <c r="L602" s="335"/>
      <c r="M602" s="376"/>
      <c r="N602" s="335"/>
      <c r="O602" s="380"/>
      <c r="P602" s="335"/>
      <c r="Q602" s="335"/>
      <c r="R602" s="335"/>
      <c r="S602" s="335"/>
      <c r="T602" s="335"/>
      <c r="U602" s="335"/>
      <c r="V602" s="335"/>
      <c r="W602" s="335"/>
      <c r="X602" s="335"/>
      <c r="Y602" s="335"/>
      <c r="Z602" s="335"/>
      <c r="AA602" s="335"/>
      <c r="AB602" s="335"/>
      <c r="AC602" s="335"/>
      <c r="AD602" s="335"/>
      <c r="AE602" s="335"/>
      <c r="AF602" s="335"/>
      <c r="AG602" s="335"/>
      <c r="AH602" s="335"/>
      <c r="AI602" s="335"/>
      <c r="AJ602" s="335"/>
      <c r="AK602" s="335"/>
      <c r="AL602" s="335"/>
      <c r="AM602" s="335"/>
      <c r="AN602" s="335"/>
      <c r="AO602" s="335"/>
      <c r="AP602" s="335"/>
      <c r="AQ602" s="335"/>
      <c r="AR602" s="335"/>
      <c r="AS602" s="335"/>
      <c r="AT602" s="335"/>
      <c r="AU602" s="335"/>
      <c r="AV602" s="335"/>
      <c r="AW602" s="335"/>
      <c r="AX602" s="335"/>
      <c r="AY602" s="335"/>
      <c r="AZ602" s="335"/>
      <c r="BA602" s="335"/>
      <c r="BB602" s="335"/>
      <c r="BC602" s="335"/>
      <c r="BD602" s="335"/>
      <c r="BE602" s="335"/>
      <c r="BF602" s="335"/>
      <c r="BG602" s="335"/>
      <c r="BH602" s="335"/>
      <c r="BI602" s="335"/>
      <c r="BJ602" s="335"/>
      <c r="BK602" s="335"/>
      <c r="BL602" s="335"/>
      <c r="BM602" s="335"/>
      <c r="BN602" s="335"/>
      <c r="BO602" s="335"/>
      <c r="BP602" s="335"/>
      <c r="BQ602" s="335"/>
      <c r="BR602" s="335"/>
      <c r="BS602" s="335"/>
      <c r="BT602" s="335"/>
      <c r="BU602" s="335"/>
      <c r="BV602" s="335"/>
      <c r="BW602" s="335"/>
      <c r="BX602" s="335"/>
      <c r="BY602" s="335"/>
      <c r="BZ602" s="335"/>
      <c r="CA602" s="335"/>
      <c r="CB602" s="335"/>
      <c r="CC602" s="335"/>
      <c r="CD602" s="335"/>
      <c r="CE602" s="335"/>
      <c r="CF602" s="335"/>
      <c r="CG602" s="335"/>
      <c r="CH602" s="335"/>
      <c r="CI602" s="335"/>
      <c r="CJ602" s="335"/>
      <c r="CK602" s="335"/>
      <c r="CL602" s="335"/>
      <c r="CM602" s="335"/>
      <c r="CN602" s="335"/>
      <c r="CO602" s="335"/>
      <c r="CP602" s="335"/>
      <c r="CQ602" s="335"/>
      <c r="CR602" s="335"/>
      <c r="CS602" s="335"/>
      <c r="CT602" s="335"/>
      <c r="CU602" s="335"/>
      <c r="CV602" s="335"/>
      <c r="CW602" s="335"/>
      <c r="CX602" s="335"/>
      <c r="CY602" s="335"/>
      <c r="CZ602" s="335"/>
      <c r="DA602" s="335"/>
      <c r="DB602" s="335"/>
      <c r="DC602" s="335"/>
      <c r="DD602" s="335"/>
      <c r="DE602" s="335"/>
      <c r="DF602" s="335"/>
      <c r="DG602" s="335"/>
      <c r="DH602" s="335"/>
      <c r="DI602" s="335"/>
      <c r="DJ602" s="335"/>
      <c r="DK602" s="335"/>
      <c r="DL602" s="335"/>
      <c r="DM602" s="335"/>
      <c r="DN602" s="335"/>
      <c r="DO602" s="335"/>
      <c r="DP602" s="335"/>
      <c r="DQ602" s="335"/>
      <c r="DR602" s="335"/>
      <c r="DS602" s="335"/>
      <c r="DT602" s="335"/>
      <c r="DU602" s="335"/>
      <c r="DV602" s="335"/>
      <c r="DW602" s="335"/>
      <c r="DX602" s="335"/>
      <c r="DY602" s="335"/>
      <c r="DZ602" s="335"/>
      <c r="EA602" s="335"/>
      <c r="EB602" s="335"/>
      <c r="EC602" s="335"/>
      <c r="ED602" s="335"/>
      <c r="EE602" s="335"/>
      <c r="EF602" s="335"/>
      <c r="EG602" s="335"/>
      <c r="EH602" s="335"/>
      <c r="EI602" s="335"/>
      <c r="EJ602" s="335"/>
      <c r="EK602" s="335"/>
      <c r="EL602" s="335"/>
      <c r="EM602" s="335"/>
      <c r="EN602" s="335"/>
      <c r="EO602" s="335"/>
      <c r="EP602" s="335"/>
      <c r="EQ602" s="335"/>
      <c r="ER602" s="335"/>
      <c r="ES602" s="335"/>
      <c r="ET602" s="335"/>
      <c r="EU602" s="335"/>
      <c r="EV602" s="335"/>
      <c r="EW602" s="335"/>
      <c r="EX602" s="335"/>
      <c r="EY602" s="335"/>
      <c r="EZ602" s="335"/>
      <c r="FA602" s="335"/>
      <c r="FB602" s="335"/>
      <c r="FC602" s="335"/>
      <c r="FD602" s="335"/>
      <c r="FE602" s="335"/>
      <c r="FF602" s="335"/>
      <c r="FG602" s="335"/>
      <c r="FH602" s="335"/>
      <c r="FI602" s="335"/>
      <c r="FJ602" s="335"/>
      <c r="FK602" s="335"/>
      <c r="FL602" s="335"/>
      <c r="FM602" s="335"/>
      <c r="FN602" s="335"/>
      <c r="FO602" s="335"/>
      <c r="FP602" s="335"/>
      <c r="FQ602" s="335"/>
      <c r="FR602" s="335"/>
      <c r="FS602" s="335"/>
      <c r="FT602" s="335"/>
      <c r="FU602" s="335"/>
      <c r="FV602" s="335"/>
      <c r="FW602" s="335"/>
      <c r="FX602" s="335"/>
      <c r="FY602" s="335"/>
      <c r="FZ602" s="335"/>
      <c r="GA602" s="335"/>
      <c r="GB602" s="335"/>
      <c r="GC602" s="335"/>
      <c r="GD602" s="335"/>
      <c r="GE602" s="335"/>
      <c r="GF602" s="335"/>
      <c r="GG602" s="335"/>
      <c r="GH602" s="335"/>
      <c r="GI602" s="335"/>
      <c r="GJ602" s="335"/>
      <c r="GK602" s="335"/>
      <c r="GL602" s="335"/>
      <c r="GM602" s="335"/>
      <c r="GN602" s="335"/>
      <c r="GO602" s="335"/>
      <c r="GP602" s="335"/>
      <c r="GQ602" s="335"/>
      <c r="GR602" s="335"/>
      <c r="GS602" s="335"/>
      <c r="GT602" s="335"/>
      <c r="GU602" s="335"/>
      <c r="GV602" s="335"/>
      <c r="GW602" s="335"/>
      <c r="GX602" s="335"/>
      <c r="GY602" s="335"/>
      <c r="GZ602" s="335"/>
    </row>
    <row r="603" spans="1:208" ht="15">
      <c r="A603" s="379"/>
      <c r="B603" s="335"/>
      <c r="C603" s="335"/>
      <c r="D603" s="335"/>
      <c r="E603" s="335"/>
      <c r="F603" s="335"/>
      <c r="G603" s="335"/>
      <c r="H603" s="335"/>
      <c r="I603" s="335"/>
      <c r="J603" s="335"/>
      <c r="K603" s="335"/>
      <c r="L603" s="335"/>
      <c r="M603" s="376"/>
      <c r="N603" s="335"/>
      <c r="O603" s="380"/>
      <c r="P603" s="335"/>
      <c r="Q603" s="335"/>
      <c r="R603" s="335"/>
      <c r="S603" s="335"/>
      <c r="T603" s="335"/>
      <c r="U603" s="335"/>
      <c r="V603" s="335"/>
      <c r="W603" s="335"/>
      <c r="X603" s="335"/>
      <c r="Y603" s="335"/>
      <c r="Z603" s="335"/>
      <c r="AA603" s="335"/>
      <c r="AB603" s="335"/>
      <c r="AC603" s="335"/>
      <c r="AD603" s="335"/>
      <c r="AE603" s="335"/>
      <c r="AF603" s="335"/>
      <c r="AG603" s="335"/>
      <c r="AH603" s="335"/>
      <c r="AI603" s="335"/>
      <c r="AJ603" s="335"/>
      <c r="AK603" s="335"/>
      <c r="AL603" s="335"/>
      <c r="AM603" s="335"/>
      <c r="AN603" s="335"/>
      <c r="AO603" s="335"/>
      <c r="AP603" s="335"/>
      <c r="AQ603" s="335"/>
      <c r="AR603" s="335"/>
      <c r="AS603" s="335"/>
      <c r="AT603" s="335"/>
      <c r="AU603" s="335"/>
      <c r="AV603" s="335"/>
      <c r="AW603" s="335"/>
      <c r="AX603" s="335"/>
      <c r="AY603" s="335"/>
      <c r="AZ603" s="335"/>
      <c r="BA603" s="335"/>
      <c r="BB603" s="335"/>
      <c r="BC603" s="335"/>
      <c r="BD603" s="335"/>
      <c r="BE603" s="335"/>
      <c r="BF603" s="335"/>
      <c r="BG603" s="335"/>
      <c r="BH603" s="335"/>
      <c r="BI603" s="335"/>
      <c r="BJ603" s="335"/>
      <c r="BK603" s="335"/>
      <c r="BL603" s="335"/>
      <c r="BM603" s="335"/>
      <c r="BN603" s="335"/>
      <c r="BO603" s="335"/>
      <c r="BP603" s="335"/>
      <c r="BQ603" s="335"/>
      <c r="BR603" s="335"/>
      <c r="BS603" s="335"/>
      <c r="BT603" s="335"/>
      <c r="BU603" s="335"/>
      <c r="BV603" s="335"/>
      <c r="BW603" s="335"/>
      <c r="BX603" s="335"/>
      <c r="BY603" s="335"/>
      <c r="BZ603" s="335"/>
      <c r="CA603" s="335"/>
      <c r="CB603" s="335"/>
      <c r="CC603" s="335"/>
      <c r="CD603" s="335"/>
      <c r="CE603" s="335"/>
      <c r="CF603" s="335"/>
      <c r="CG603" s="335"/>
      <c r="CH603" s="335"/>
      <c r="CI603" s="335"/>
      <c r="CJ603" s="335"/>
      <c r="CK603" s="335"/>
      <c r="CL603" s="335"/>
      <c r="CM603" s="335"/>
      <c r="CN603" s="335"/>
      <c r="CO603" s="335"/>
      <c r="CP603" s="335"/>
      <c r="CQ603" s="335"/>
      <c r="CR603" s="335"/>
      <c r="CS603" s="335"/>
      <c r="CT603" s="335"/>
      <c r="CU603" s="335"/>
      <c r="CV603" s="335"/>
      <c r="CW603" s="335"/>
      <c r="CX603" s="335"/>
      <c r="CY603" s="335"/>
      <c r="CZ603" s="335"/>
      <c r="DA603" s="335"/>
      <c r="DB603" s="335"/>
      <c r="DC603" s="335"/>
      <c r="DD603" s="335"/>
      <c r="DE603" s="335"/>
      <c r="DF603" s="335"/>
      <c r="DG603" s="335"/>
      <c r="DH603" s="335"/>
      <c r="DI603" s="335"/>
      <c r="DJ603" s="335"/>
      <c r="DK603" s="335"/>
      <c r="DL603" s="335"/>
      <c r="DM603" s="335"/>
      <c r="DN603" s="335"/>
      <c r="DO603" s="335"/>
      <c r="DP603" s="335"/>
      <c r="DQ603" s="335"/>
      <c r="DR603" s="335"/>
      <c r="DS603" s="335"/>
      <c r="DT603" s="335"/>
      <c r="DU603" s="335"/>
      <c r="DV603" s="335"/>
      <c r="DW603" s="335"/>
      <c r="DX603" s="335"/>
      <c r="DY603" s="335"/>
      <c r="DZ603" s="335"/>
      <c r="EA603" s="335"/>
      <c r="EB603" s="335"/>
      <c r="EC603" s="335"/>
      <c r="ED603" s="335"/>
      <c r="EE603" s="335"/>
      <c r="EF603" s="335"/>
      <c r="EG603" s="335"/>
      <c r="EH603" s="335"/>
      <c r="EI603" s="335"/>
      <c r="EJ603" s="335"/>
      <c r="EK603" s="335"/>
      <c r="EL603" s="335"/>
      <c r="EM603" s="335"/>
      <c r="EN603" s="335"/>
      <c r="EO603" s="335"/>
      <c r="EP603" s="335"/>
      <c r="EQ603" s="335"/>
      <c r="ER603" s="335"/>
      <c r="ES603" s="335"/>
      <c r="ET603" s="335"/>
      <c r="EU603" s="335"/>
      <c r="EV603" s="335"/>
      <c r="EW603" s="335"/>
      <c r="EX603" s="335"/>
      <c r="EY603" s="335"/>
      <c r="EZ603" s="335"/>
      <c r="FA603" s="335"/>
      <c r="FB603" s="335"/>
      <c r="FC603" s="335"/>
      <c r="FD603" s="335"/>
      <c r="FE603" s="335"/>
      <c r="FF603" s="335"/>
      <c r="FG603" s="335"/>
      <c r="FH603" s="335"/>
      <c r="FI603" s="335"/>
      <c r="FJ603" s="335"/>
      <c r="FK603" s="335"/>
      <c r="FL603" s="335"/>
      <c r="FM603" s="335"/>
      <c r="FN603" s="335"/>
      <c r="FO603" s="335"/>
      <c r="FP603" s="335"/>
      <c r="FQ603" s="335"/>
      <c r="FR603" s="335"/>
      <c r="FS603" s="335"/>
      <c r="FT603" s="335"/>
      <c r="FU603" s="335"/>
      <c r="FV603" s="335"/>
      <c r="FW603" s="335"/>
      <c r="FX603" s="335"/>
      <c r="FY603" s="335"/>
      <c r="FZ603" s="335"/>
      <c r="GA603" s="335"/>
      <c r="GB603" s="335"/>
      <c r="GC603" s="335"/>
      <c r="GD603" s="335"/>
      <c r="GE603" s="335"/>
      <c r="GF603" s="335"/>
      <c r="GG603" s="335"/>
      <c r="GH603" s="335"/>
      <c r="GI603" s="335"/>
      <c r="GJ603" s="335"/>
      <c r="GK603" s="335"/>
      <c r="GL603" s="335"/>
      <c r="GM603" s="335"/>
      <c r="GN603" s="335"/>
      <c r="GO603" s="335"/>
      <c r="GP603" s="335"/>
      <c r="GQ603" s="335"/>
      <c r="GR603" s="335"/>
      <c r="GS603" s="335"/>
      <c r="GT603" s="335"/>
      <c r="GU603" s="335"/>
      <c r="GV603" s="335"/>
      <c r="GW603" s="335"/>
      <c r="GX603" s="335"/>
      <c r="GY603" s="335"/>
      <c r="GZ603" s="335"/>
    </row>
    <row r="604" spans="1:208" ht="15">
      <c r="A604" s="379"/>
      <c r="B604" s="335"/>
      <c r="C604" s="335"/>
      <c r="D604" s="335"/>
      <c r="E604" s="335"/>
      <c r="F604" s="335"/>
      <c r="G604" s="335"/>
      <c r="H604" s="335"/>
      <c r="I604" s="335"/>
      <c r="J604" s="335"/>
      <c r="K604" s="335"/>
      <c r="L604" s="335"/>
      <c r="M604" s="376"/>
      <c r="N604" s="335"/>
      <c r="O604" s="380"/>
      <c r="P604" s="335"/>
      <c r="Q604" s="335"/>
      <c r="R604" s="335"/>
      <c r="S604" s="335"/>
      <c r="T604" s="335"/>
      <c r="U604" s="335"/>
      <c r="V604" s="335"/>
      <c r="W604" s="335"/>
      <c r="X604" s="335"/>
      <c r="Y604" s="335"/>
      <c r="Z604" s="335"/>
      <c r="AA604" s="335"/>
      <c r="AB604" s="335"/>
      <c r="AC604" s="335"/>
      <c r="AD604" s="335"/>
      <c r="AE604" s="335"/>
      <c r="AF604" s="335"/>
      <c r="AG604" s="335"/>
      <c r="AH604" s="335"/>
      <c r="AI604" s="335"/>
      <c r="AJ604" s="335"/>
      <c r="AK604" s="335"/>
      <c r="AL604" s="335"/>
      <c r="AM604" s="335"/>
      <c r="AN604" s="335"/>
      <c r="AO604" s="335"/>
      <c r="AP604" s="335"/>
      <c r="AQ604" s="335"/>
      <c r="AR604" s="335"/>
      <c r="AS604" s="335"/>
      <c r="AT604" s="335"/>
      <c r="AU604" s="335"/>
      <c r="AV604" s="335"/>
      <c r="AW604" s="335"/>
      <c r="AX604" s="335"/>
      <c r="AY604" s="335"/>
      <c r="AZ604" s="335"/>
      <c r="BA604" s="335"/>
      <c r="BB604" s="335"/>
      <c r="BC604" s="335"/>
      <c r="BD604" s="335"/>
      <c r="BE604" s="335"/>
      <c r="BF604" s="335"/>
      <c r="BG604" s="335"/>
      <c r="BH604" s="335"/>
      <c r="BI604" s="335"/>
      <c r="BJ604" s="335"/>
      <c r="BK604" s="335"/>
      <c r="BL604" s="335"/>
      <c r="BM604" s="335"/>
      <c r="BN604" s="335"/>
      <c r="BO604" s="335"/>
      <c r="BP604" s="335"/>
      <c r="BQ604" s="335"/>
      <c r="BR604" s="335"/>
      <c r="BS604" s="335"/>
      <c r="BT604" s="335"/>
      <c r="BU604" s="335"/>
      <c r="BV604" s="335"/>
      <c r="BW604" s="335"/>
      <c r="BX604" s="335"/>
      <c r="BY604" s="335"/>
      <c r="BZ604" s="335"/>
      <c r="CA604" s="335"/>
      <c r="CB604" s="335"/>
      <c r="CC604" s="335"/>
      <c r="CD604" s="335"/>
      <c r="CE604" s="335"/>
      <c r="CF604" s="335"/>
      <c r="CG604" s="335"/>
      <c r="CH604" s="335"/>
      <c r="CI604" s="335"/>
      <c r="CJ604" s="335"/>
      <c r="CK604" s="335"/>
      <c r="CL604" s="335"/>
      <c r="CM604" s="335"/>
      <c r="CN604" s="335"/>
      <c r="CO604" s="335"/>
      <c r="CP604" s="335"/>
      <c r="CQ604" s="335"/>
      <c r="CR604" s="335"/>
      <c r="CS604" s="335"/>
      <c r="CT604" s="335"/>
      <c r="CU604" s="335"/>
      <c r="CV604" s="335"/>
      <c r="CW604" s="335"/>
      <c r="CX604" s="335"/>
      <c r="CY604" s="335"/>
      <c r="CZ604" s="335"/>
      <c r="DA604" s="335"/>
      <c r="DB604" s="335"/>
      <c r="DC604" s="335"/>
      <c r="DD604" s="335"/>
      <c r="DE604" s="335"/>
      <c r="DF604" s="335"/>
      <c r="DG604" s="335"/>
      <c r="DH604" s="335"/>
      <c r="DI604" s="335"/>
      <c r="DJ604" s="335"/>
      <c r="DK604" s="335"/>
      <c r="DL604" s="335"/>
      <c r="DM604" s="335"/>
      <c r="DN604" s="335"/>
      <c r="DO604" s="335"/>
      <c r="DP604" s="335"/>
      <c r="DQ604" s="335"/>
      <c r="DR604" s="335"/>
      <c r="DS604" s="335"/>
      <c r="DT604" s="335"/>
      <c r="DU604" s="335"/>
      <c r="DV604" s="335"/>
      <c r="DW604" s="335"/>
      <c r="DX604" s="335"/>
      <c r="DY604" s="335"/>
      <c r="DZ604" s="335"/>
      <c r="EA604" s="335"/>
      <c r="EB604" s="335"/>
      <c r="EC604" s="335"/>
      <c r="ED604" s="335"/>
      <c r="EE604" s="335"/>
      <c r="EF604" s="335"/>
      <c r="EG604" s="335"/>
      <c r="EH604" s="335"/>
      <c r="EI604" s="335"/>
      <c r="EJ604" s="335"/>
      <c r="EK604" s="335"/>
      <c r="EL604" s="335"/>
      <c r="EM604" s="335"/>
      <c r="EN604" s="335"/>
      <c r="EO604" s="335"/>
      <c r="EP604" s="335"/>
      <c r="EQ604" s="335"/>
      <c r="ER604" s="335"/>
      <c r="ES604" s="335"/>
      <c r="ET604" s="335"/>
      <c r="EU604" s="335"/>
      <c r="EV604" s="335"/>
      <c r="EW604" s="335"/>
      <c r="EX604" s="335"/>
      <c r="EY604" s="335"/>
      <c r="EZ604" s="335"/>
      <c r="FA604" s="335"/>
      <c r="FB604" s="335"/>
      <c r="FC604" s="335"/>
      <c r="FD604" s="335"/>
      <c r="FE604" s="335"/>
      <c r="FF604" s="335"/>
      <c r="FG604" s="335"/>
      <c r="FH604" s="335"/>
      <c r="FI604" s="335"/>
      <c r="FJ604" s="335"/>
      <c r="FK604" s="335"/>
      <c r="FL604" s="335"/>
      <c r="FM604" s="335"/>
      <c r="FN604" s="335"/>
      <c r="FO604" s="335"/>
      <c r="FP604" s="335"/>
      <c r="FQ604" s="335"/>
      <c r="FR604" s="335"/>
      <c r="FS604" s="335"/>
      <c r="FT604" s="335"/>
      <c r="FU604" s="335"/>
      <c r="FV604" s="335"/>
      <c r="FW604" s="335"/>
      <c r="FX604" s="335"/>
      <c r="FY604" s="335"/>
      <c r="FZ604" s="335"/>
      <c r="GA604" s="335"/>
      <c r="GB604" s="335"/>
      <c r="GC604" s="335"/>
      <c r="GD604" s="335"/>
      <c r="GE604" s="335"/>
      <c r="GF604" s="335"/>
      <c r="GG604" s="335"/>
      <c r="GH604" s="335"/>
      <c r="GI604" s="335"/>
      <c r="GJ604" s="335"/>
      <c r="GK604" s="335"/>
      <c r="GL604" s="335"/>
      <c r="GM604" s="335"/>
      <c r="GN604" s="335"/>
      <c r="GO604" s="335"/>
      <c r="GP604" s="335"/>
      <c r="GQ604" s="335"/>
      <c r="GR604" s="335"/>
      <c r="GS604" s="335"/>
      <c r="GT604" s="335"/>
      <c r="GU604" s="335"/>
      <c r="GV604" s="335"/>
      <c r="GW604" s="335"/>
      <c r="GX604" s="335"/>
      <c r="GY604" s="335"/>
      <c r="GZ604" s="335"/>
    </row>
    <row r="605" spans="1:208" ht="15">
      <c r="A605" s="379"/>
      <c r="B605" s="335"/>
      <c r="C605" s="335"/>
      <c r="D605" s="335"/>
      <c r="E605" s="335"/>
      <c r="F605" s="335"/>
      <c r="G605" s="335"/>
      <c r="H605" s="335"/>
      <c r="I605" s="335"/>
      <c r="J605" s="335"/>
      <c r="K605" s="335"/>
      <c r="L605" s="335"/>
      <c r="M605" s="376"/>
      <c r="N605" s="335"/>
      <c r="O605" s="380"/>
      <c r="P605" s="335"/>
      <c r="Q605" s="335"/>
      <c r="R605" s="335"/>
      <c r="S605" s="335"/>
      <c r="T605" s="335"/>
      <c r="U605" s="335"/>
      <c r="V605" s="335"/>
      <c r="W605" s="335"/>
      <c r="X605" s="335"/>
      <c r="Y605" s="335"/>
      <c r="Z605" s="335"/>
      <c r="AA605" s="335"/>
      <c r="AB605" s="335"/>
      <c r="AC605" s="335"/>
      <c r="AD605" s="335"/>
      <c r="AE605" s="335"/>
      <c r="AF605" s="335"/>
      <c r="AG605" s="335"/>
      <c r="AH605" s="335"/>
      <c r="AI605" s="335"/>
      <c r="AJ605" s="335"/>
      <c r="AK605" s="335"/>
      <c r="AL605" s="335"/>
      <c r="AM605" s="335"/>
      <c r="AN605" s="335"/>
      <c r="AO605" s="335"/>
      <c r="AP605" s="335"/>
      <c r="AQ605" s="335"/>
      <c r="AR605" s="335"/>
      <c r="AS605" s="335"/>
      <c r="AT605" s="335"/>
      <c r="AU605" s="335"/>
      <c r="AV605" s="335"/>
      <c r="AW605" s="335"/>
      <c r="AX605" s="335"/>
      <c r="AY605" s="335"/>
      <c r="AZ605" s="335"/>
      <c r="BA605" s="335"/>
      <c r="BB605" s="335"/>
      <c r="BC605" s="335"/>
      <c r="BD605" s="335"/>
      <c r="BE605" s="335"/>
      <c r="BF605" s="335"/>
      <c r="BG605" s="335"/>
      <c r="BH605" s="335"/>
      <c r="BI605" s="335"/>
      <c r="BJ605" s="335"/>
      <c r="BK605" s="335"/>
      <c r="BL605" s="335"/>
      <c r="BM605" s="335"/>
      <c r="BN605" s="335"/>
      <c r="BO605" s="335"/>
      <c r="BP605" s="335"/>
      <c r="BQ605" s="335"/>
      <c r="BR605" s="335"/>
      <c r="BS605" s="335"/>
      <c r="BT605" s="335"/>
      <c r="BU605" s="335"/>
      <c r="BV605" s="335"/>
      <c r="BW605" s="335"/>
      <c r="BX605" s="335"/>
      <c r="BY605" s="335"/>
      <c r="BZ605" s="335"/>
      <c r="CA605" s="335"/>
      <c r="CB605" s="335"/>
      <c r="CC605" s="335"/>
      <c r="CD605" s="335"/>
      <c r="CE605" s="335"/>
      <c r="CF605" s="335"/>
      <c r="CG605" s="335"/>
      <c r="CH605" s="335"/>
      <c r="CI605" s="335"/>
      <c r="CJ605" s="335"/>
      <c r="CK605" s="335"/>
      <c r="CL605" s="335"/>
      <c r="CM605" s="335"/>
      <c r="CN605" s="335"/>
      <c r="CO605" s="335"/>
      <c r="CP605" s="335"/>
      <c r="CQ605" s="335"/>
      <c r="CR605" s="335"/>
      <c r="CS605" s="335"/>
      <c r="CT605" s="335"/>
      <c r="CU605" s="335"/>
      <c r="CV605" s="335"/>
      <c r="CW605" s="335"/>
      <c r="CX605" s="335"/>
      <c r="CY605" s="335"/>
      <c r="CZ605" s="335"/>
      <c r="DA605" s="335"/>
      <c r="DB605" s="335"/>
      <c r="DC605" s="335"/>
      <c r="DD605" s="335"/>
      <c r="DE605" s="335"/>
      <c r="DF605" s="335"/>
      <c r="DG605" s="335"/>
      <c r="DH605" s="335"/>
      <c r="DI605" s="335"/>
      <c r="DJ605" s="335"/>
      <c r="DK605" s="335"/>
      <c r="DL605" s="335"/>
      <c r="DM605" s="335"/>
      <c r="DN605" s="335"/>
      <c r="DO605" s="335"/>
      <c r="DP605" s="335"/>
      <c r="DQ605" s="335"/>
      <c r="DR605" s="335"/>
      <c r="DS605" s="335"/>
      <c r="DT605" s="335"/>
      <c r="DU605" s="335"/>
      <c r="DV605" s="335"/>
      <c r="DW605" s="335"/>
      <c r="DX605" s="335"/>
      <c r="DY605" s="335"/>
      <c r="DZ605" s="335"/>
      <c r="EA605" s="335"/>
      <c r="EB605" s="335"/>
      <c r="EC605" s="335"/>
      <c r="ED605" s="335"/>
      <c r="EE605" s="335"/>
      <c r="EF605" s="335"/>
      <c r="EG605" s="335"/>
      <c r="EH605" s="335"/>
      <c r="EI605" s="335"/>
      <c r="EJ605" s="335"/>
      <c r="EK605" s="335"/>
      <c r="EL605" s="335"/>
      <c r="EM605" s="335"/>
      <c r="EN605" s="335"/>
      <c r="EO605" s="335"/>
      <c r="EP605" s="335"/>
      <c r="EQ605" s="335"/>
      <c r="ER605" s="335"/>
      <c r="ES605" s="335"/>
      <c r="ET605" s="335"/>
      <c r="EU605" s="335"/>
      <c r="EV605" s="335"/>
      <c r="EW605" s="335"/>
      <c r="EX605" s="335"/>
      <c r="EY605" s="335"/>
      <c r="EZ605" s="335"/>
      <c r="FA605" s="335"/>
      <c r="FB605" s="335"/>
      <c r="FC605" s="335"/>
      <c r="FD605" s="335"/>
      <c r="FE605" s="335"/>
      <c r="FF605" s="335"/>
      <c r="FG605" s="335"/>
      <c r="FH605" s="335"/>
      <c r="FI605" s="335"/>
      <c r="FJ605" s="335"/>
      <c r="FK605" s="335"/>
      <c r="FL605" s="335"/>
      <c r="FM605" s="335"/>
      <c r="FN605" s="335"/>
      <c r="FO605" s="335"/>
      <c r="FP605" s="335"/>
      <c r="FQ605" s="335"/>
      <c r="FR605" s="335"/>
      <c r="FS605" s="335"/>
      <c r="FT605" s="335"/>
      <c r="FU605" s="335"/>
      <c r="FV605" s="335"/>
      <c r="FW605" s="335"/>
      <c r="FX605" s="335"/>
      <c r="FY605" s="335"/>
      <c r="FZ605" s="335"/>
      <c r="GA605" s="335"/>
      <c r="GB605" s="335"/>
      <c r="GC605" s="335"/>
      <c r="GD605" s="335"/>
      <c r="GE605" s="335"/>
      <c r="GF605" s="335"/>
      <c r="GG605" s="335"/>
      <c r="GH605" s="335"/>
      <c r="GI605" s="335"/>
      <c r="GJ605" s="335"/>
      <c r="GK605" s="335"/>
      <c r="GL605" s="335"/>
      <c r="GM605" s="335"/>
      <c r="GN605" s="335"/>
      <c r="GO605" s="335"/>
      <c r="GP605" s="335"/>
      <c r="GQ605" s="335"/>
      <c r="GR605" s="335"/>
      <c r="GS605" s="335"/>
      <c r="GT605" s="335"/>
      <c r="GU605" s="335"/>
      <c r="GV605" s="335"/>
      <c r="GW605" s="335"/>
      <c r="GX605" s="335"/>
      <c r="GY605" s="335"/>
      <c r="GZ605" s="335"/>
    </row>
    <row r="606" spans="1:208" ht="15">
      <c r="A606" s="379"/>
      <c r="B606" s="335"/>
      <c r="C606" s="335"/>
      <c r="D606" s="335"/>
      <c r="E606" s="335"/>
      <c r="F606" s="335"/>
      <c r="G606" s="335"/>
      <c r="H606" s="335"/>
      <c r="I606" s="335"/>
      <c r="J606" s="335"/>
      <c r="K606" s="335"/>
      <c r="L606" s="335"/>
      <c r="M606" s="376"/>
      <c r="N606" s="335"/>
      <c r="O606" s="380"/>
      <c r="P606" s="335"/>
      <c r="Q606" s="335"/>
      <c r="R606" s="335"/>
      <c r="S606" s="335"/>
      <c r="T606" s="335"/>
      <c r="U606" s="335"/>
      <c r="V606" s="335"/>
      <c r="W606" s="335"/>
      <c r="X606" s="335"/>
      <c r="Y606" s="335"/>
      <c r="Z606" s="335"/>
      <c r="AA606" s="335"/>
      <c r="AB606" s="335"/>
      <c r="AC606" s="335"/>
      <c r="AD606" s="335"/>
      <c r="AE606" s="335"/>
      <c r="AF606" s="335"/>
      <c r="AG606" s="335"/>
      <c r="AH606" s="335"/>
      <c r="AI606" s="335"/>
      <c r="AJ606" s="335"/>
      <c r="AK606" s="335"/>
      <c r="AL606" s="335"/>
      <c r="AM606" s="335"/>
      <c r="AN606" s="335"/>
      <c r="AO606" s="335"/>
      <c r="AP606" s="335"/>
      <c r="AQ606" s="335"/>
      <c r="AR606" s="335"/>
      <c r="AS606" s="335"/>
      <c r="AT606" s="335"/>
      <c r="AU606" s="335"/>
      <c r="AV606" s="335"/>
      <c r="AW606" s="335"/>
      <c r="AX606" s="335"/>
      <c r="AY606" s="335"/>
      <c r="AZ606" s="335"/>
      <c r="BA606" s="335"/>
      <c r="BB606" s="335"/>
      <c r="BC606" s="335"/>
      <c r="BD606" s="335"/>
      <c r="BE606" s="335"/>
      <c r="BF606" s="335"/>
      <c r="BG606" s="335"/>
      <c r="BH606" s="335"/>
      <c r="BI606" s="335"/>
      <c r="BJ606" s="335"/>
      <c r="BK606" s="335"/>
      <c r="BL606" s="335"/>
      <c r="BM606" s="335"/>
      <c r="BN606" s="335"/>
      <c r="BO606" s="335"/>
      <c r="BP606" s="335"/>
      <c r="BQ606" s="335"/>
      <c r="BR606" s="335"/>
      <c r="BS606" s="335"/>
      <c r="BT606" s="335"/>
      <c r="BU606" s="335"/>
      <c r="BV606" s="335"/>
      <c r="BW606" s="335"/>
      <c r="BX606" s="335"/>
      <c r="BY606" s="335"/>
      <c r="BZ606" s="335"/>
      <c r="CA606" s="335"/>
      <c r="CB606" s="335"/>
      <c r="CC606" s="335"/>
      <c r="CD606" s="335"/>
      <c r="CE606" s="335"/>
      <c r="CF606" s="335"/>
      <c r="CG606" s="335"/>
      <c r="CH606" s="335"/>
      <c r="CI606" s="335"/>
      <c r="CJ606" s="335"/>
      <c r="CK606" s="335"/>
      <c r="CL606" s="335"/>
      <c r="CM606" s="335"/>
      <c r="CN606" s="335"/>
      <c r="CO606" s="335"/>
      <c r="CP606" s="335"/>
      <c r="CQ606" s="335"/>
      <c r="CR606" s="335"/>
      <c r="CS606" s="335"/>
      <c r="CT606" s="335"/>
      <c r="CU606" s="335"/>
      <c r="CV606" s="335"/>
      <c r="CW606" s="335"/>
      <c r="CX606" s="335"/>
      <c r="CY606" s="335"/>
      <c r="CZ606" s="335"/>
      <c r="DA606" s="335"/>
      <c r="DB606" s="335"/>
      <c r="DC606" s="335"/>
      <c r="DD606" s="335"/>
      <c r="DE606" s="335"/>
      <c r="DF606" s="335"/>
      <c r="DG606" s="335"/>
      <c r="DH606" s="335"/>
      <c r="DI606" s="335"/>
      <c r="DJ606" s="335"/>
      <c r="DK606" s="335"/>
      <c r="DL606" s="335"/>
      <c r="DM606" s="335"/>
      <c r="DN606" s="335"/>
      <c r="DO606" s="335"/>
      <c r="DP606" s="335"/>
      <c r="DQ606" s="335"/>
      <c r="DR606" s="335"/>
      <c r="DS606" s="335"/>
      <c r="DT606" s="335"/>
      <c r="DU606" s="335"/>
      <c r="DV606" s="335"/>
      <c r="DW606" s="335"/>
      <c r="DX606" s="335"/>
      <c r="DY606" s="335"/>
      <c r="DZ606" s="335"/>
      <c r="EA606" s="335"/>
      <c r="EB606" s="335"/>
      <c r="EC606" s="335"/>
      <c r="ED606" s="335"/>
      <c r="EE606" s="335"/>
      <c r="EF606" s="335"/>
      <c r="EG606" s="335"/>
      <c r="EH606" s="335"/>
      <c r="EI606" s="335"/>
      <c r="EJ606" s="335"/>
      <c r="EK606" s="335"/>
      <c r="EL606" s="335"/>
      <c r="EM606" s="335"/>
      <c r="EN606" s="335"/>
      <c r="EO606" s="335"/>
      <c r="EP606" s="335"/>
      <c r="EQ606" s="335"/>
      <c r="ER606" s="335"/>
      <c r="ES606" s="335"/>
      <c r="ET606" s="335"/>
      <c r="EU606" s="335"/>
      <c r="EV606" s="335"/>
      <c r="EW606" s="335"/>
      <c r="EX606" s="335"/>
      <c r="EY606" s="335"/>
      <c r="EZ606" s="335"/>
      <c r="FA606" s="335"/>
      <c r="FB606" s="335"/>
      <c r="FC606" s="335"/>
      <c r="FD606" s="335"/>
      <c r="FE606" s="335"/>
      <c r="FF606" s="335"/>
      <c r="FG606" s="335"/>
      <c r="FH606" s="335"/>
      <c r="FI606" s="335"/>
      <c r="FJ606" s="335"/>
      <c r="FK606" s="335"/>
      <c r="FL606" s="335"/>
      <c r="FM606" s="335"/>
      <c r="FN606" s="335"/>
      <c r="FO606" s="335"/>
      <c r="FP606" s="335"/>
      <c r="FQ606" s="335"/>
      <c r="FR606" s="335"/>
      <c r="FS606" s="335"/>
      <c r="FT606" s="335"/>
      <c r="FU606" s="335"/>
      <c r="FV606" s="335"/>
      <c r="FW606" s="335"/>
      <c r="FX606" s="335"/>
      <c r="FY606" s="335"/>
      <c r="FZ606" s="335"/>
      <c r="GA606" s="335"/>
      <c r="GB606" s="335"/>
      <c r="GC606" s="335"/>
      <c r="GD606" s="335"/>
      <c r="GE606" s="335"/>
      <c r="GF606" s="335"/>
      <c r="GG606" s="335"/>
      <c r="GH606" s="335"/>
      <c r="GI606" s="335"/>
      <c r="GJ606" s="335"/>
      <c r="GK606" s="335"/>
      <c r="GL606" s="335"/>
      <c r="GM606" s="335"/>
      <c r="GN606" s="335"/>
      <c r="GO606" s="335"/>
      <c r="GP606" s="335"/>
      <c r="GQ606" s="335"/>
      <c r="GR606" s="335"/>
      <c r="GS606" s="335"/>
      <c r="GT606" s="335"/>
      <c r="GU606" s="335"/>
      <c r="GV606" s="335"/>
      <c r="GW606" s="335"/>
      <c r="GX606" s="335"/>
      <c r="GY606" s="335"/>
      <c r="GZ606" s="335"/>
    </row>
    <row r="607" spans="1:208" ht="15">
      <c r="A607" s="379"/>
      <c r="B607" s="335"/>
      <c r="C607" s="335"/>
      <c r="D607" s="335"/>
      <c r="E607" s="335"/>
      <c r="F607" s="335"/>
      <c r="G607" s="335"/>
      <c r="H607" s="335"/>
      <c r="I607" s="335"/>
      <c r="J607" s="335"/>
      <c r="K607" s="335"/>
      <c r="L607" s="335"/>
      <c r="M607" s="376"/>
      <c r="N607" s="335"/>
      <c r="O607" s="380"/>
      <c r="P607" s="335"/>
      <c r="Q607" s="335"/>
      <c r="R607" s="335"/>
      <c r="S607" s="335"/>
      <c r="T607" s="335"/>
      <c r="U607" s="335"/>
      <c r="V607" s="335"/>
      <c r="W607" s="335"/>
      <c r="X607" s="335"/>
      <c r="Y607" s="335"/>
      <c r="Z607" s="335"/>
      <c r="AA607" s="335"/>
      <c r="AB607" s="335"/>
      <c r="AC607" s="335"/>
      <c r="AD607" s="335"/>
      <c r="AE607" s="335"/>
      <c r="AF607" s="335"/>
      <c r="AG607" s="335"/>
      <c r="AH607" s="335"/>
      <c r="AI607" s="335"/>
      <c r="AJ607" s="335"/>
      <c r="AK607" s="335"/>
      <c r="AL607" s="335"/>
      <c r="AM607" s="335"/>
      <c r="AN607" s="335"/>
      <c r="AO607" s="335"/>
      <c r="AP607" s="335"/>
      <c r="AQ607" s="335"/>
      <c r="AR607" s="335"/>
      <c r="AS607" s="335"/>
      <c r="AT607" s="335"/>
      <c r="AU607" s="335"/>
      <c r="AV607" s="335"/>
      <c r="AW607" s="335"/>
      <c r="AX607" s="335"/>
      <c r="AY607" s="335"/>
      <c r="AZ607" s="335"/>
      <c r="BA607" s="335"/>
      <c r="BB607" s="335"/>
      <c r="BC607" s="335"/>
      <c r="BD607" s="335"/>
      <c r="BE607" s="335"/>
      <c r="BF607" s="335"/>
      <c r="BG607" s="335"/>
      <c r="BH607" s="335"/>
      <c r="BI607" s="335"/>
      <c r="BJ607" s="335"/>
      <c r="BK607" s="335"/>
      <c r="BL607" s="335"/>
      <c r="BM607" s="335"/>
      <c r="BN607" s="335"/>
      <c r="BO607" s="335"/>
      <c r="BP607" s="335"/>
      <c r="BQ607" s="335"/>
      <c r="BR607" s="335"/>
      <c r="BS607" s="335"/>
      <c r="BT607" s="335"/>
      <c r="BU607" s="335"/>
      <c r="BV607" s="335"/>
      <c r="BW607" s="335"/>
      <c r="BX607" s="335"/>
      <c r="BY607" s="335"/>
      <c r="BZ607" s="335"/>
      <c r="CA607" s="335"/>
      <c r="CB607" s="335"/>
      <c r="CC607" s="335"/>
      <c r="CD607" s="335"/>
      <c r="CE607" s="335"/>
      <c r="CF607" s="335"/>
      <c r="CG607" s="335"/>
      <c r="CH607" s="335"/>
      <c r="CI607" s="335"/>
      <c r="CJ607" s="335"/>
      <c r="CK607" s="335"/>
      <c r="CL607" s="335"/>
      <c r="CM607" s="335"/>
      <c r="CN607" s="335"/>
      <c r="CO607" s="335"/>
      <c r="CP607" s="335"/>
      <c r="CQ607" s="335"/>
      <c r="CR607" s="335"/>
      <c r="CS607" s="335"/>
      <c r="CT607" s="335"/>
      <c r="CU607" s="335"/>
      <c r="CV607" s="335"/>
      <c r="CW607" s="335"/>
      <c r="CX607" s="335"/>
      <c r="CY607" s="335"/>
      <c r="CZ607" s="335"/>
      <c r="DA607" s="335"/>
      <c r="DB607" s="335"/>
      <c r="DC607" s="335"/>
      <c r="DD607" s="335"/>
      <c r="DE607" s="335"/>
      <c r="DF607" s="335"/>
      <c r="DG607" s="335"/>
      <c r="DH607" s="335"/>
      <c r="DI607" s="335"/>
      <c r="DJ607" s="335"/>
      <c r="DK607" s="335"/>
      <c r="DL607" s="335"/>
      <c r="DM607" s="335"/>
      <c r="DN607" s="335"/>
      <c r="DO607" s="335"/>
      <c r="DP607" s="335"/>
      <c r="DQ607" s="335"/>
      <c r="DR607" s="335"/>
      <c r="DS607" s="335"/>
      <c r="DT607" s="335"/>
      <c r="DU607" s="335"/>
      <c r="DV607" s="335"/>
      <c r="DW607" s="335"/>
      <c r="DX607" s="335"/>
      <c r="DY607" s="335"/>
      <c r="DZ607" s="335"/>
      <c r="EA607" s="335"/>
      <c r="EB607" s="335"/>
      <c r="EC607" s="335"/>
      <c r="ED607" s="335"/>
      <c r="EE607" s="335"/>
      <c r="EF607" s="335"/>
      <c r="EG607" s="335"/>
      <c r="EH607" s="335"/>
      <c r="EI607" s="335"/>
      <c r="EJ607" s="335"/>
      <c r="EK607" s="335"/>
      <c r="EL607" s="335"/>
      <c r="EM607" s="335"/>
      <c r="EN607" s="335"/>
      <c r="EO607" s="335"/>
      <c r="EP607" s="335"/>
      <c r="EQ607" s="335"/>
      <c r="ER607" s="335"/>
      <c r="ES607" s="335"/>
      <c r="ET607" s="335"/>
      <c r="EU607" s="335"/>
      <c r="EV607" s="335"/>
      <c r="EW607" s="335"/>
      <c r="EX607" s="335"/>
      <c r="EY607" s="335"/>
      <c r="EZ607" s="335"/>
      <c r="FA607" s="335"/>
      <c r="FB607" s="335"/>
      <c r="FC607" s="335"/>
      <c r="FD607" s="335"/>
      <c r="FE607" s="335"/>
      <c r="FF607" s="335"/>
      <c r="FG607" s="335"/>
      <c r="FH607" s="335"/>
      <c r="FI607" s="335"/>
      <c r="FJ607" s="335"/>
      <c r="FK607" s="335"/>
      <c r="FL607" s="335"/>
      <c r="FM607" s="335"/>
      <c r="FN607" s="335"/>
      <c r="FO607" s="335"/>
      <c r="FP607" s="335"/>
      <c r="FQ607" s="335"/>
      <c r="FR607" s="335"/>
      <c r="FS607" s="335"/>
      <c r="FT607" s="335"/>
      <c r="FU607" s="335"/>
      <c r="FV607" s="335"/>
      <c r="FW607" s="335"/>
      <c r="FX607" s="335"/>
      <c r="FY607" s="335"/>
      <c r="FZ607" s="335"/>
      <c r="GA607" s="335"/>
      <c r="GB607" s="335"/>
      <c r="GC607" s="335"/>
      <c r="GD607" s="335"/>
      <c r="GE607" s="335"/>
      <c r="GF607" s="335"/>
      <c r="GG607" s="335"/>
      <c r="GH607" s="335"/>
      <c r="GI607" s="335"/>
      <c r="GJ607" s="335"/>
      <c r="GK607" s="335"/>
      <c r="GL607" s="335"/>
      <c r="GM607" s="335"/>
      <c r="GN607" s="335"/>
      <c r="GO607" s="335"/>
      <c r="GP607" s="335"/>
      <c r="GQ607" s="335"/>
      <c r="GR607" s="335"/>
      <c r="GS607" s="335"/>
      <c r="GT607" s="335"/>
      <c r="GU607" s="335"/>
      <c r="GV607" s="335"/>
      <c r="GW607" s="335"/>
      <c r="GX607" s="335"/>
      <c r="GY607" s="335"/>
      <c r="GZ607" s="335"/>
    </row>
    <row r="608" spans="1:208" ht="15">
      <c r="A608" s="379"/>
      <c r="B608" s="335"/>
      <c r="C608" s="335"/>
      <c r="D608" s="335"/>
      <c r="E608" s="335"/>
      <c r="F608" s="335"/>
      <c r="G608" s="335"/>
      <c r="H608" s="335"/>
      <c r="I608" s="335"/>
      <c r="J608" s="335"/>
      <c r="K608" s="335"/>
      <c r="L608" s="335"/>
      <c r="M608" s="376"/>
      <c r="N608" s="335"/>
      <c r="O608" s="380"/>
      <c r="P608" s="335"/>
      <c r="Q608" s="335"/>
      <c r="R608" s="335"/>
      <c r="S608" s="335"/>
      <c r="T608" s="335"/>
      <c r="U608" s="335"/>
      <c r="V608" s="335"/>
      <c r="W608" s="335"/>
      <c r="X608" s="335"/>
      <c r="Y608" s="335"/>
      <c r="Z608" s="335"/>
      <c r="AA608" s="335"/>
      <c r="AB608" s="335"/>
      <c r="AC608" s="335"/>
      <c r="AD608" s="335"/>
      <c r="AE608" s="335"/>
      <c r="AF608" s="335"/>
      <c r="AG608" s="335"/>
      <c r="AH608" s="335"/>
      <c r="AI608" s="335"/>
      <c r="AJ608" s="335"/>
      <c r="AK608" s="335"/>
      <c r="AL608" s="335"/>
      <c r="AM608" s="335"/>
      <c r="AN608" s="335"/>
      <c r="AO608" s="335"/>
      <c r="AP608" s="335"/>
      <c r="AQ608" s="335"/>
      <c r="AR608" s="335"/>
      <c r="AS608" s="335"/>
      <c r="AT608" s="335"/>
      <c r="AU608" s="335"/>
      <c r="AV608" s="335"/>
      <c r="AW608" s="335"/>
      <c r="AX608" s="335"/>
      <c r="AY608" s="335"/>
      <c r="AZ608" s="335"/>
      <c r="BA608" s="335"/>
      <c r="BB608" s="335"/>
      <c r="BC608" s="335"/>
      <c r="BD608" s="335"/>
      <c r="BE608" s="335"/>
      <c r="BF608" s="335"/>
      <c r="BG608" s="335"/>
      <c r="BH608" s="335"/>
      <c r="BI608" s="335"/>
      <c r="BJ608" s="335"/>
      <c r="BK608" s="335"/>
      <c r="BL608" s="335"/>
      <c r="BM608" s="335"/>
      <c r="BN608" s="335"/>
      <c r="BO608" s="335"/>
      <c r="BP608" s="335"/>
      <c r="BQ608" s="335"/>
      <c r="BR608" s="335"/>
      <c r="BS608" s="335"/>
      <c r="BT608" s="335"/>
      <c r="BU608" s="335"/>
      <c r="BV608" s="335"/>
      <c r="BW608" s="335"/>
      <c r="BX608" s="335"/>
      <c r="BY608" s="335"/>
      <c r="BZ608" s="335"/>
      <c r="CA608" s="335"/>
      <c r="CB608" s="335"/>
      <c r="CC608" s="335"/>
      <c r="CD608" s="335"/>
      <c r="CE608" s="335"/>
      <c r="CF608" s="335"/>
      <c r="CG608" s="335"/>
      <c r="CH608" s="335"/>
      <c r="CI608" s="335"/>
      <c r="CJ608" s="335"/>
      <c r="CK608" s="335"/>
      <c r="CL608" s="335"/>
      <c r="CM608" s="335"/>
      <c r="CN608" s="335"/>
      <c r="CO608" s="335"/>
      <c r="CP608" s="335"/>
      <c r="CQ608" s="335"/>
      <c r="CR608" s="335"/>
      <c r="CS608" s="335"/>
      <c r="CT608" s="335"/>
      <c r="CU608" s="335"/>
      <c r="CV608" s="335"/>
      <c r="CW608" s="335"/>
      <c r="CX608" s="335"/>
      <c r="CY608" s="335"/>
      <c r="CZ608" s="335"/>
      <c r="DA608" s="335"/>
      <c r="DB608" s="335"/>
      <c r="DC608" s="335"/>
      <c r="DD608" s="335"/>
      <c r="DE608" s="335"/>
      <c r="DF608" s="335"/>
      <c r="DG608" s="335"/>
      <c r="DH608" s="335"/>
      <c r="DI608" s="335"/>
      <c r="DJ608" s="335"/>
      <c r="DK608" s="335"/>
      <c r="DL608" s="335"/>
      <c r="DM608" s="335"/>
      <c r="DN608" s="335"/>
      <c r="DO608" s="335"/>
      <c r="DP608" s="335"/>
      <c r="DQ608" s="335"/>
      <c r="DR608" s="335"/>
      <c r="DS608" s="335"/>
      <c r="DT608" s="335"/>
      <c r="DU608" s="335"/>
      <c r="DV608" s="335"/>
      <c r="DW608" s="335"/>
      <c r="DX608" s="335"/>
      <c r="DY608" s="335"/>
      <c r="DZ608" s="335"/>
      <c r="EA608" s="335"/>
      <c r="EB608" s="335"/>
      <c r="EC608" s="335"/>
      <c r="ED608" s="335"/>
      <c r="EE608" s="335"/>
      <c r="EF608" s="335"/>
      <c r="EG608" s="335"/>
      <c r="EH608" s="335"/>
      <c r="EI608" s="335"/>
      <c r="EJ608" s="335"/>
      <c r="EK608" s="335"/>
      <c r="EL608" s="335"/>
      <c r="EM608" s="335"/>
      <c r="EN608" s="335"/>
      <c r="EO608" s="335"/>
      <c r="EP608" s="335"/>
      <c r="EQ608" s="335"/>
      <c r="ER608" s="335"/>
      <c r="ES608" s="335"/>
      <c r="ET608" s="335"/>
      <c r="EU608" s="335"/>
      <c r="EV608" s="335"/>
      <c r="EW608" s="335"/>
      <c r="EX608" s="335"/>
      <c r="EY608" s="335"/>
      <c r="EZ608" s="335"/>
      <c r="FA608" s="335"/>
      <c r="FB608" s="335"/>
      <c r="FC608" s="335"/>
      <c r="FD608" s="335"/>
      <c r="FE608" s="335"/>
      <c r="FF608" s="335"/>
      <c r="FG608" s="335"/>
      <c r="FH608" s="335"/>
      <c r="FI608" s="335"/>
      <c r="FJ608" s="335"/>
      <c r="FK608" s="335"/>
      <c r="FL608" s="335"/>
      <c r="FM608" s="335"/>
      <c r="FN608" s="335"/>
      <c r="FO608" s="335"/>
      <c r="FP608" s="335"/>
      <c r="FQ608" s="335"/>
      <c r="FR608" s="335"/>
      <c r="FS608" s="335"/>
      <c r="FT608" s="335"/>
      <c r="FU608" s="335"/>
      <c r="FV608" s="335"/>
      <c r="FW608" s="335"/>
      <c r="FX608" s="335"/>
      <c r="FY608" s="335"/>
      <c r="FZ608" s="335"/>
      <c r="GA608" s="335"/>
      <c r="GB608" s="335"/>
      <c r="GC608" s="335"/>
      <c r="GD608" s="335"/>
      <c r="GE608" s="335"/>
      <c r="GF608" s="335"/>
      <c r="GG608" s="335"/>
      <c r="GH608" s="335"/>
      <c r="GI608" s="335"/>
      <c r="GJ608" s="335"/>
      <c r="GK608" s="335"/>
      <c r="GL608" s="335"/>
      <c r="GM608" s="335"/>
      <c r="GN608" s="335"/>
      <c r="GO608" s="335"/>
      <c r="GP608" s="335"/>
      <c r="GQ608" s="335"/>
      <c r="GR608" s="335"/>
      <c r="GS608" s="335"/>
      <c r="GT608" s="335"/>
      <c r="GU608" s="335"/>
      <c r="GV608" s="335"/>
      <c r="GW608" s="335"/>
      <c r="GX608" s="335"/>
      <c r="GY608" s="335"/>
      <c r="GZ608" s="335"/>
    </row>
    <row r="609" spans="1:208" ht="15">
      <c r="A609" s="379"/>
      <c r="B609" s="335"/>
      <c r="C609" s="335"/>
      <c r="D609" s="335"/>
      <c r="E609" s="335"/>
      <c r="F609" s="335"/>
      <c r="G609" s="335"/>
      <c r="H609" s="335"/>
      <c r="I609" s="335"/>
      <c r="J609" s="335"/>
      <c r="K609" s="335"/>
      <c r="L609" s="335"/>
      <c r="M609" s="376"/>
      <c r="N609" s="335"/>
      <c r="O609" s="380"/>
      <c r="P609" s="335"/>
      <c r="Q609" s="335"/>
      <c r="R609" s="335"/>
      <c r="S609" s="335"/>
      <c r="T609" s="335"/>
      <c r="U609" s="335"/>
      <c r="V609" s="335"/>
      <c r="W609" s="335"/>
      <c r="X609" s="335"/>
      <c r="Y609" s="335"/>
      <c r="Z609" s="335"/>
      <c r="AA609" s="335"/>
      <c r="AB609" s="335"/>
      <c r="AC609" s="335"/>
      <c r="AD609" s="335"/>
      <c r="AE609" s="335"/>
      <c r="AF609" s="335"/>
      <c r="AG609" s="335"/>
      <c r="AH609" s="335"/>
      <c r="AI609" s="335"/>
      <c r="AJ609" s="335"/>
      <c r="AK609" s="335"/>
      <c r="AL609" s="335"/>
      <c r="AM609" s="335"/>
      <c r="AN609" s="335"/>
      <c r="AO609" s="335"/>
      <c r="AP609" s="335"/>
      <c r="AQ609" s="335"/>
      <c r="AR609" s="335"/>
      <c r="AS609" s="335"/>
      <c r="AT609" s="335"/>
      <c r="AU609" s="335"/>
      <c r="AV609" s="335"/>
      <c r="AW609" s="335"/>
      <c r="AX609" s="335"/>
      <c r="AY609" s="335"/>
      <c r="AZ609" s="335"/>
      <c r="BA609" s="335"/>
      <c r="BB609" s="335"/>
      <c r="BC609" s="335"/>
      <c r="BD609" s="335"/>
      <c r="BE609" s="335"/>
      <c r="BF609" s="335"/>
      <c r="BG609" s="335"/>
      <c r="BH609" s="335"/>
      <c r="BI609" s="335"/>
      <c r="BJ609" s="335"/>
      <c r="BK609" s="335"/>
      <c r="BL609" s="335"/>
      <c r="BM609" s="335"/>
      <c r="BN609" s="335"/>
      <c r="BO609" s="335"/>
      <c r="BP609" s="335"/>
      <c r="BQ609" s="335"/>
      <c r="BR609" s="335"/>
      <c r="BS609" s="335"/>
      <c r="BT609" s="335"/>
      <c r="BU609" s="335"/>
      <c r="BV609" s="335"/>
      <c r="BW609" s="335"/>
      <c r="BX609" s="335"/>
      <c r="BY609" s="335"/>
      <c r="BZ609" s="335"/>
      <c r="CA609" s="335"/>
      <c r="CB609" s="335"/>
      <c r="CC609" s="335"/>
      <c r="CD609" s="335"/>
      <c r="CE609" s="335"/>
      <c r="CF609" s="335"/>
      <c r="CG609" s="335"/>
      <c r="CH609" s="335"/>
      <c r="CI609" s="335"/>
      <c r="CJ609" s="335"/>
      <c r="CK609" s="335"/>
      <c r="CL609" s="335"/>
      <c r="CM609" s="335"/>
      <c r="CN609" s="335"/>
      <c r="CO609" s="335"/>
      <c r="CP609" s="335"/>
      <c r="CQ609" s="335"/>
      <c r="CR609" s="335"/>
      <c r="CS609" s="335"/>
      <c r="CT609" s="335"/>
      <c r="CU609" s="335"/>
      <c r="CV609" s="335"/>
      <c r="CW609" s="335"/>
      <c r="CX609" s="335"/>
      <c r="CY609" s="335"/>
      <c r="CZ609" s="335"/>
      <c r="DA609" s="335"/>
      <c r="DB609" s="335"/>
      <c r="DC609" s="335"/>
      <c r="DD609" s="335"/>
      <c r="DE609" s="335"/>
      <c r="DF609" s="335"/>
      <c r="DG609" s="335"/>
      <c r="DH609" s="335"/>
      <c r="DI609" s="335"/>
      <c r="DJ609" s="335"/>
      <c r="DK609" s="335"/>
      <c r="DL609" s="335"/>
      <c r="DM609" s="335"/>
      <c r="DN609" s="335"/>
      <c r="DO609" s="335"/>
      <c r="DP609" s="335"/>
      <c r="DQ609" s="335"/>
      <c r="DR609" s="335"/>
      <c r="DS609" s="335"/>
      <c r="DT609" s="335"/>
      <c r="DU609" s="335"/>
      <c r="DV609" s="335"/>
      <c r="DW609" s="335"/>
      <c r="DX609" s="335"/>
      <c r="DY609" s="335"/>
      <c r="DZ609" s="335"/>
      <c r="EA609" s="335"/>
      <c r="EB609" s="335"/>
      <c r="EC609" s="335"/>
      <c r="ED609" s="335"/>
      <c r="EE609" s="335"/>
      <c r="EF609" s="335"/>
      <c r="EG609" s="335"/>
      <c r="EH609" s="335"/>
      <c r="EI609" s="335"/>
      <c r="EJ609" s="335"/>
      <c r="EK609" s="335"/>
      <c r="EL609" s="335"/>
      <c r="EM609" s="335"/>
      <c r="EN609" s="335"/>
      <c r="EO609" s="335"/>
      <c r="EP609" s="335"/>
      <c r="EQ609" s="335"/>
      <c r="ER609" s="335"/>
      <c r="ES609" s="335"/>
      <c r="ET609" s="335"/>
      <c r="EU609" s="335"/>
      <c r="EV609" s="335"/>
      <c r="EW609" s="335"/>
      <c r="EX609" s="335"/>
      <c r="EY609" s="335"/>
      <c r="EZ609" s="335"/>
      <c r="FA609" s="335"/>
      <c r="FB609" s="335"/>
      <c r="FC609" s="335"/>
      <c r="FD609" s="335"/>
      <c r="FE609" s="335"/>
      <c r="FF609" s="335"/>
      <c r="FG609" s="335"/>
      <c r="FH609" s="335"/>
      <c r="FI609" s="335"/>
      <c r="FJ609" s="335"/>
      <c r="FK609" s="335"/>
      <c r="FL609" s="335"/>
      <c r="FM609" s="335"/>
      <c r="FN609" s="335"/>
      <c r="FO609" s="335"/>
      <c r="FP609" s="335"/>
      <c r="FQ609" s="335"/>
      <c r="FR609" s="335"/>
      <c r="FS609" s="335"/>
      <c r="FT609" s="335"/>
      <c r="FU609" s="335"/>
      <c r="FV609" s="335"/>
      <c r="FW609" s="335"/>
      <c r="FX609" s="335"/>
      <c r="FY609" s="335"/>
      <c r="FZ609" s="335"/>
      <c r="GA609" s="335"/>
      <c r="GB609" s="335"/>
      <c r="GC609" s="335"/>
      <c r="GD609" s="335"/>
      <c r="GE609" s="335"/>
      <c r="GF609" s="335"/>
      <c r="GG609" s="335"/>
      <c r="GH609" s="335"/>
      <c r="GI609" s="335"/>
      <c r="GJ609" s="335"/>
      <c r="GK609" s="335"/>
      <c r="GL609" s="335"/>
      <c r="GM609" s="335"/>
      <c r="GN609" s="335"/>
      <c r="GO609" s="335"/>
      <c r="GP609" s="335"/>
      <c r="GQ609" s="335"/>
      <c r="GR609" s="335"/>
      <c r="GS609" s="335"/>
      <c r="GT609" s="335"/>
      <c r="GU609" s="335"/>
      <c r="GV609" s="335"/>
      <c r="GW609" s="335"/>
      <c r="GX609" s="335"/>
      <c r="GY609" s="335"/>
      <c r="GZ609" s="335"/>
    </row>
    <row r="610" spans="1:208" ht="15">
      <c r="A610" s="379"/>
      <c r="B610" s="335"/>
      <c r="C610" s="335"/>
      <c r="D610" s="335"/>
      <c r="E610" s="335"/>
      <c r="F610" s="335"/>
      <c r="G610" s="335"/>
      <c r="H610" s="335"/>
      <c r="I610" s="335"/>
      <c r="J610" s="335"/>
      <c r="K610" s="335"/>
      <c r="L610" s="335"/>
      <c r="M610" s="376"/>
      <c r="N610" s="335"/>
      <c r="O610" s="380"/>
      <c r="P610" s="335"/>
      <c r="Q610" s="335"/>
      <c r="R610" s="335"/>
      <c r="S610" s="335"/>
      <c r="T610" s="335"/>
      <c r="U610" s="335"/>
      <c r="V610" s="335"/>
      <c r="W610" s="335"/>
      <c r="X610" s="335"/>
      <c r="Y610" s="335"/>
      <c r="Z610" s="335"/>
      <c r="AA610" s="335"/>
      <c r="AB610" s="335"/>
      <c r="AC610" s="335"/>
      <c r="AD610" s="335"/>
      <c r="AE610" s="335"/>
      <c r="AF610" s="335"/>
      <c r="AG610" s="335"/>
      <c r="AH610" s="335"/>
      <c r="AI610" s="335"/>
      <c r="AJ610" s="335"/>
      <c r="AK610" s="335"/>
      <c r="AL610" s="335"/>
      <c r="AM610" s="335"/>
      <c r="AN610" s="335"/>
      <c r="AO610" s="335"/>
      <c r="AP610" s="335"/>
      <c r="AQ610" s="335"/>
      <c r="AR610" s="335"/>
      <c r="AS610" s="335"/>
      <c r="AT610" s="335"/>
      <c r="AU610" s="335"/>
      <c r="AV610" s="335"/>
      <c r="AW610" s="335"/>
      <c r="AX610" s="335"/>
      <c r="AY610" s="335"/>
      <c r="AZ610" s="335"/>
      <c r="BA610" s="335"/>
      <c r="BB610" s="335"/>
      <c r="BC610" s="335"/>
      <c r="BD610" s="335"/>
      <c r="BE610" s="335"/>
      <c r="BF610" s="335"/>
      <c r="BG610" s="335"/>
      <c r="BH610" s="335"/>
      <c r="BI610" s="335"/>
      <c r="BJ610" s="335"/>
      <c r="BK610" s="335"/>
      <c r="BL610" s="335"/>
      <c r="BM610" s="335"/>
      <c r="BN610" s="335"/>
      <c r="BO610" s="335"/>
      <c r="BP610" s="335"/>
      <c r="BQ610" s="335"/>
      <c r="BR610" s="335"/>
      <c r="BS610" s="335"/>
      <c r="BT610" s="335"/>
      <c r="BU610" s="335"/>
      <c r="BV610" s="335"/>
      <c r="BW610" s="335"/>
      <c r="BX610" s="335"/>
      <c r="BY610" s="335"/>
      <c r="BZ610" s="335"/>
      <c r="CA610" s="335"/>
      <c r="CB610" s="335"/>
      <c r="CC610" s="335"/>
      <c r="CD610" s="335"/>
      <c r="CE610" s="335"/>
      <c r="CF610" s="335"/>
      <c r="CG610" s="335"/>
      <c r="CH610" s="335"/>
      <c r="CI610" s="335"/>
      <c r="CJ610" s="335"/>
      <c r="CK610" s="335"/>
      <c r="CL610" s="335"/>
      <c r="CM610" s="335"/>
      <c r="CN610" s="335"/>
      <c r="CO610" s="335"/>
      <c r="CP610" s="335"/>
      <c r="CQ610" s="335"/>
      <c r="CR610" s="335"/>
      <c r="CS610" s="335"/>
      <c r="CT610" s="335"/>
      <c r="CU610" s="335"/>
      <c r="CV610" s="335"/>
      <c r="CW610" s="335"/>
      <c r="CX610" s="335"/>
      <c r="CY610" s="335"/>
      <c r="CZ610" s="335"/>
      <c r="DA610" s="335"/>
      <c r="DB610" s="335"/>
      <c r="DC610" s="335"/>
      <c r="DD610" s="335"/>
      <c r="DE610" s="335"/>
      <c r="DF610" s="335"/>
      <c r="DG610" s="335"/>
      <c r="DH610" s="335"/>
      <c r="DI610" s="335"/>
      <c r="DJ610" s="335"/>
      <c r="DK610" s="335"/>
      <c r="DL610" s="335"/>
      <c r="DM610" s="335"/>
      <c r="DN610" s="335"/>
      <c r="DO610" s="335"/>
      <c r="DP610" s="335"/>
      <c r="DQ610" s="335"/>
      <c r="DR610" s="335"/>
      <c r="DS610" s="335"/>
      <c r="DT610" s="335"/>
      <c r="DU610" s="335"/>
      <c r="DV610" s="335"/>
      <c r="DW610" s="335"/>
      <c r="DX610" s="335"/>
      <c r="DY610" s="335"/>
      <c r="DZ610" s="335"/>
      <c r="EA610" s="335"/>
      <c r="EB610" s="335"/>
      <c r="EC610" s="335"/>
      <c r="ED610" s="335"/>
      <c r="EE610" s="335"/>
      <c r="EF610" s="335"/>
      <c r="EG610" s="335"/>
      <c r="EH610" s="335"/>
      <c r="EI610" s="335"/>
      <c r="EJ610" s="335"/>
      <c r="EK610" s="335"/>
      <c r="EL610" s="335"/>
      <c r="EM610" s="335"/>
      <c r="EN610" s="335"/>
      <c r="EO610" s="335"/>
      <c r="EP610" s="335"/>
      <c r="EQ610" s="335"/>
      <c r="ER610" s="335"/>
      <c r="ES610" s="335"/>
      <c r="ET610" s="335"/>
      <c r="EU610" s="335"/>
      <c r="EV610" s="335"/>
      <c r="EW610" s="335"/>
      <c r="EX610" s="335"/>
      <c r="EY610" s="335"/>
      <c r="EZ610" s="335"/>
      <c r="FA610" s="335"/>
      <c r="FB610" s="335"/>
      <c r="FC610" s="335"/>
      <c r="FD610" s="335"/>
      <c r="FE610" s="335"/>
      <c r="FF610" s="335"/>
      <c r="FG610" s="335"/>
      <c r="FH610" s="335"/>
      <c r="FI610" s="335"/>
      <c r="FJ610" s="335"/>
      <c r="FK610" s="335"/>
      <c r="FL610" s="335"/>
      <c r="FM610" s="335"/>
      <c r="FN610" s="335"/>
      <c r="FO610" s="335"/>
      <c r="FP610" s="335"/>
      <c r="FQ610" s="335"/>
      <c r="FR610" s="335"/>
      <c r="FS610" s="335"/>
      <c r="FT610" s="335"/>
      <c r="FU610" s="335"/>
      <c r="FV610" s="335"/>
      <c r="FW610" s="335"/>
      <c r="FX610" s="335"/>
      <c r="FY610" s="335"/>
      <c r="FZ610" s="335"/>
      <c r="GA610" s="335"/>
      <c r="GB610" s="335"/>
      <c r="GC610" s="335"/>
      <c r="GD610" s="335"/>
      <c r="GE610" s="335"/>
      <c r="GF610" s="335"/>
      <c r="GG610" s="335"/>
      <c r="GH610" s="335"/>
      <c r="GI610" s="335"/>
      <c r="GJ610" s="335"/>
      <c r="GK610" s="335"/>
      <c r="GL610" s="335"/>
      <c r="GM610" s="335"/>
      <c r="GN610" s="335"/>
      <c r="GO610" s="335"/>
      <c r="GP610" s="335"/>
      <c r="GQ610" s="335"/>
      <c r="GR610" s="335"/>
      <c r="GS610" s="335"/>
      <c r="GT610" s="335"/>
      <c r="GU610" s="335"/>
      <c r="GV610" s="335"/>
      <c r="GW610" s="335"/>
      <c r="GX610" s="335"/>
      <c r="GY610" s="335"/>
      <c r="GZ610" s="335"/>
    </row>
    <row r="611" spans="1:208" ht="15">
      <c r="A611" s="379"/>
      <c r="B611" s="335"/>
      <c r="C611" s="335"/>
      <c r="D611" s="335"/>
      <c r="E611" s="335"/>
      <c r="F611" s="335"/>
      <c r="G611" s="335"/>
      <c r="H611" s="335"/>
      <c r="I611" s="335"/>
      <c r="J611" s="335"/>
      <c r="K611" s="335"/>
      <c r="L611" s="335"/>
      <c r="M611" s="376"/>
      <c r="N611" s="335"/>
      <c r="O611" s="380"/>
      <c r="P611" s="335"/>
      <c r="Q611" s="335"/>
      <c r="R611" s="335"/>
      <c r="S611" s="335"/>
      <c r="T611" s="335"/>
      <c r="U611" s="335"/>
      <c r="V611" s="335"/>
      <c r="W611" s="335"/>
      <c r="X611" s="335"/>
      <c r="Y611" s="335"/>
      <c r="Z611" s="335"/>
      <c r="AA611" s="335"/>
      <c r="AB611" s="335"/>
      <c r="AC611" s="335"/>
      <c r="AD611" s="335"/>
      <c r="AE611" s="335"/>
      <c r="AF611" s="335"/>
      <c r="AG611" s="335"/>
      <c r="AH611" s="335"/>
      <c r="AI611" s="335"/>
      <c r="AJ611" s="335"/>
      <c r="AK611" s="335"/>
      <c r="AL611" s="335"/>
      <c r="AM611" s="335"/>
      <c r="AN611" s="335"/>
      <c r="AO611" s="335"/>
      <c r="AP611" s="335"/>
      <c r="AQ611" s="335"/>
      <c r="AR611" s="335"/>
      <c r="AS611" s="335"/>
      <c r="AT611" s="335"/>
      <c r="AU611" s="335"/>
      <c r="AV611" s="335"/>
      <c r="AW611" s="335"/>
      <c r="AX611" s="335"/>
      <c r="AY611" s="335"/>
      <c r="AZ611" s="335"/>
      <c r="BA611" s="335"/>
      <c r="BB611" s="335"/>
      <c r="BC611" s="335"/>
      <c r="BD611" s="335"/>
      <c r="BE611" s="335"/>
      <c r="BF611" s="335"/>
      <c r="BG611" s="335"/>
      <c r="BH611" s="335"/>
      <c r="BI611" s="335"/>
      <c r="BJ611" s="335"/>
      <c r="BK611" s="335"/>
      <c r="BL611" s="335"/>
      <c r="BM611" s="335"/>
      <c r="BN611" s="335"/>
      <c r="BO611" s="335"/>
      <c r="BP611" s="335"/>
      <c r="BQ611" s="335"/>
      <c r="BR611" s="335"/>
      <c r="BS611" s="335"/>
      <c r="BT611" s="335"/>
      <c r="BU611" s="335"/>
      <c r="BV611" s="335"/>
      <c r="BW611" s="335"/>
      <c r="BX611" s="335"/>
      <c r="BY611" s="335"/>
      <c r="BZ611" s="335"/>
      <c r="CA611" s="335"/>
      <c r="CB611" s="335"/>
      <c r="CC611" s="335"/>
      <c r="CD611" s="335"/>
      <c r="CE611" s="335"/>
      <c r="CF611" s="335"/>
      <c r="CG611" s="335"/>
      <c r="CH611" s="335"/>
      <c r="CI611" s="335"/>
      <c r="CJ611" s="335"/>
      <c r="CK611" s="335"/>
      <c r="CL611" s="335"/>
      <c r="CM611" s="335"/>
      <c r="CN611" s="335"/>
      <c r="CO611" s="335"/>
      <c r="CP611" s="335"/>
      <c r="CQ611" s="335"/>
      <c r="CR611" s="335"/>
      <c r="CS611" s="335"/>
      <c r="CT611" s="335"/>
      <c r="CU611" s="335"/>
      <c r="CV611" s="335"/>
      <c r="CW611" s="335"/>
      <c r="CX611" s="335"/>
      <c r="CY611" s="335"/>
      <c r="CZ611" s="335"/>
      <c r="DA611" s="335"/>
      <c r="DB611" s="335"/>
      <c r="DC611" s="335"/>
      <c r="DD611" s="335"/>
      <c r="DE611" s="335"/>
      <c r="DF611" s="335"/>
      <c r="DG611" s="335"/>
      <c r="DH611" s="335"/>
      <c r="DI611" s="335"/>
      <c r="DJ611" s="335"/>
      <c r="DK611" s="335"/>
      <c r="DL611" s="335"/>
      <c r="DM611" s="335"/>
      <c r="DN611" s="335"/>
      <c r="DO611" s="335"/>
      <c r="DP611" s="335"/>
      <c r="DQ611" s="335"/>
      <c r="DR611" s="335"/>
      <c r="DS611" s="335"/>
      <c r="DT611" s="335"/>
      <c r="DU611" s="335"/>
      <c r="DV611" s="335"/>
      <c r="DW611" s="335"/>
      <c r="DX611" s="335"/>
      <c r="DY611" s="335"/>
      <c r="DZ611" s="335"/>
      <c r="EA611" s="335"/>
      <c r="EB611" s="335"/>
      <c r="EC611" s="335"/>
      <c r="ED611" s="335"/>
      <c r="EE611" s="335"/>
      <c r="EF611" s="335"/>
      <c r="EG611" s="335"/>
      <c r="EH611" s="335"/>
      <c r="EI611" s="335"/>
      <c r="EJ611" s="335"/>
      <c r="EK611" s="335"/>
      <c r="EL611" s="335"/>
      <c r="EM611" s="335"/>
      <c r="EN611" s="335"/>
      <c r="EO611" s="335"/>
      <c r="EP611" s="335"/>
      <c r="EQ611" s="335"/>
      <c r="ER611" s="335"/>
      <c r="ES611" s="335"/>
      <c r="ET611" s="335"/>
      <c r="EU611" s="335"/>
      <c r="EV611" s="335"/>
      <c r="EW611" s="335"/>
      <c r="EX611" s="335"/>
      <c r="EY611" s="335"/>
      <c r="EZ611" s="335"/>
      <c r="FA611" s="335"/>
      <c r="FB611" s="335"/>
      <c r="FC611" s="335"/>
      <c r="FD611" s="335"/>
      <c r="FE611" s="335"/>
      <c r="FF611" s="335"/>
      <c r="FG611" s="335"/>
      <c r="FH611" s="335"/>
      <c r="FI611" s="335"/>
      <c r="FJ611" s="335"/>
      <c r="FK611" s="335"/>
      <c r="FL611" s="335"/>
      <c r="FM611" s="335"/>
      <c r="FN611" s="335"/>
      <c r="FO611" s="335"/>
      <c r="FP611" s="335"/>
      <c r="FQ611" s="335"/>
      <c r="FR611" s="335"/>
      <c r="FS611" s="335"/>
      <c r="FT611" s="335"/>
      <c r="FU611" s="335"/>
      <c r="FV611" s="335"/>
      <c r="FW611" s="335"/>
      <c r="FX611" s="335"/>
      <c r="FY611" s="335"/>
      <c r="FZ611" s="335"/>
      <c r="GA611" s="335"/>
      <c r="GB611" s="335"/>
      <c r="GC611" s="335"/>
      <c r="GD611" s="335"/>
      <c r="GE611" s="335"/>
      <c r="GF611" s="335"/>
      <c r="GG611" s="335"/>
      <c r="GH611" s="335"/>
      <c r="GI611" s="335"/>
      <c r="GJ611" s="335"/>
      <c r="GK611" s="335"/>
      <c r="GL611" s="335"/>
      <c r="GM611" s="335"/>
      <c r="GN611" s="335"/>
      <c r="GO611" s="335"/>
      <c r="GP611" s="335"/>
      <c r="GQ611" s="335"/>
      <c r="GR611" s="335"/>
      <c r="GS611" s="335"/>
      <c r="GT611" s="335"/>
      <c r="GU611" s="335"/>
      <c r="GV611" s="335"/>
      <c r="GW611" s="335"/>
      <c r="GX611" s="335"/>
      <c r="GY611" s="335"/>
      <c r="GZ611" s="335"/>
    </row>
    <row r="612" spans="1:208" ht="15">
      <c r="A612" s="379"/>
      <c r="B612" s="335"/>
      <c r="C612" s="335"/>
      <c r="D612" s="335"/>
      <c r="E612" s="335"/>
      <c r="F612" s="335"/>
      <c r="G612" s="335"/>
      <c r="H612" s="335"/>
      <c r="I612" s="335"/>
      <c r="J612" s="335"/>
      <c r="K612" s="335"/>
      <c r="L612" s="335"/>
      <c r="M612" s="376"/>
      <c r="N612" s="335"/>
      <c r="O612" s="380"/>
      <c r="P612" s="335"/>
      <c r="Q612" s="335"/>
      <c r="R612" s="335"/>
      <c r="S612" s="335"/>
      <c r="T612" s="335"/>
      <c r="U612" s="335"/>
      <c r="V612" s="335"/>
      <c r="W612" s="335"/>
      <c r="X612" s="335"/>
      <c r="Y612" s="335"/>
      <c r="Z612" s="335"/>
      <c r="AA612" s="335"/>
      <c r="AB612" s="335"/>
      <c r="AC612" s="335"/>
      <c r="AD612" s="335"/>
      <c r="AE612" s="335"/>
      <c r="AF612" s="335"/>
      <c r="AG612" s="335"/>
      <c r="AH612" s="335"/>
      <c r="AI612" s="335"/>
      <c r="AJ612" s="335"/>
      <c r="AK612" s="335"/>
      <c r="AL612" s="335"/>
      <c r="AM612" s="335"/>
      <c r="AN612" s="335"/>
      <c r="AO612" s="335"/>
      <c r="AP612" s="335"/>
      <c r="AQ612" s="335"/>
      <c r="AR612" s="335"/>
      <c r="AS612" s="335"/>
      <c r="AT612" s="335"/>
      <c r="AU612" s="335"/>
      <c r="AV612" s="335"/>
      <c r="AW612" s="335"/>
      <c r="AX612" s="335"/>
      <c r="AY612" s="335"/>
      <c r="AZ612" s="335"/>
      <c r="BA612" s="335"/>
      <c r="BB612" s="335"/>
      <c r="BC612" s="335"/>
      <c r="BD612" s="335"/>
      <c r="BE612" s="335"/>
      <c r="BF612" s="335"/>
      <c r="BG612" s="335"/>
      <c r="BH612" s="335"/>
      <c r="BI612" s="335"/>
      <c r="BJ612" s="335"/>
      <c r="BK612" s="335"/>
      <c r="BL612" s="335"/>
      <c r="BM612" s="335"/>
      <c r="BN612" s="335"/>
      <c r="BO612" s="335"/>
      <c r="BP612" s="335"/>
      <c r="BQ612" s="335"/>
      <c r="BR612" s="335"/>
      <c r="BS612" s="335"/>
      <c r="BT612" s="335"/>
      <c r="BU612" s="335"/>
      <c r="BV612" s="335"/>
      <c r="BW612" s="335"/>
      <c r="BX612" s="335"/>
      <c r="BY612" s="335"/>
      <c r="BZ612" s="335"/>
      <c r="CA612" s="335"/>
      <c r="CB612" s="335"/>
      <c r="CC612" s="335"/>
      <c r="CD612" s="335"/>
      <c r="CE612" s="335"/>
      <c r="CF612" s="335"/>
      <c r="CG612" s="335"/>
      <c r="CH612" s="335"/>
      <c r="CI612" s="335"/>
      <c r="CJ612" s="335"/>
      <c r="CK612" s="335"/>
      <c r="CL612" s="335"/>
      <c r="CM612" s="335"/>
      <c r="CN612" s="335"/>
      <c r="CO612" s="335"/>
      <c r="CP612" s="335"/>
      <c r="CQ612" s="335"/>
      <c r="CR612" s="335"/>
      <c r="CS612" s="335"/>
      <c r="CT612" s="335"/>
      <c r="CU612" s="335"/>
      <c r="CV612" s="335"/>
      <c r="CW612" s="335"/>
      <c r="CX612" s="335"/>
      <c r="CY612" s="335"/>
      <c r="CZ612" s="335"/>
      <c r="DA612" s="335"/>
      <c r="DB612" s="335"/>
      <c r="DC612" s="335"/>
      <c r="DD612" s="335"/>
      <c r="DE612" s="335"/>
      <c r="DF612" s="335"/>
      <c r="DG612" s="335"/>
      <c r="DH612" s="335"/>
      <c r="DI612" s="335"/>
      <c r="DJ612" s="335"/>
      <c r="DK612" s="335"/>
      <c r="DL612" s="335"/>
      <c r="DM612" s="335"/>
      <c r="DN612" s="335"/>
      <c r="DO612" s="335"/>
      <c r="DP612" s="335"/>
      <c r="DQ612" s="335"/>
      <c r="DR612" s="335"/>
      <c r="DS612" s="335"/>
      <c r="DT612" s="335"/>
      <c r="DU612" s="335"/>
      <c r="DV612" s="335"/>
      <c r="DW612" s="335"/>
      <c r="DX612" s="335"/>
      <c r="DY612" s="335"/>
      <c r="DZ612" s="335"/>
      <c r="EA612" s="335"/>
      <c r="EB612" s="335"/>
      <c r="EC612" s="335"/>
      <c r="ED612" s="335"/>
      <c r="EE612" s="335"/>
      <c r="EF612" s="335"/>
      <c r="EG612" s="335"/>
      <c r="EH612" s="335"/>
      <c r="EI612" s="335"/>
      <c r="EJ612" s="335"/>
      <c r="EK612" s="335"/>
      <c r="EL612" s="335"/>
      <c r="EM612" s="335"/>
      <c r="EN612" s="335"/>
      <c r="EO612" s="335"/>
      <c r="EP612" s="335"/>
      <c r="EQ612" s="335"/>
      <c r="ER612" s="335"/>
      <c r="ES612" s="335"/>
      <c r="ET612" s="335"/>
      <c r="EU612" s="335"/>
      <c r="EV612" s="335"/>
      <c r="EW612" s="335"/>
      <c r="EX612" s="335"/>
      <c r="EY612" s="335"/>
      <c r="EZ612" s="335"/>
      <c r="FA612" s="335"/>
      <c r="FB612" s="335"/>
      <c r="FC612" s="335"/>
      <c r="FD612" s="335"/>
      <c r="FE612" s="335"/>
      <c r="FF612" s="335"/>
      <c r="FG612" s="335"/>
      <c r="FH612" s="335"/>
      <c r="FI612" s="335"/>
      <c r="FJ612" s="335"/>
      <c r="FK612" s="335"/>
      <c r="FL612" s="335"/>
      <c r="FM612" s="335"/>
      <c r="FN612" s="335"/>
      <c r="FO612" s="335"/>
      <c r="FP612" s="335"/>
      <c r="FQ612" s="335"/>
      <c r="FR612" s="335"/>
      <c r="FS612" s="335"/>
      <c r="FT612" s="335"/>
      <c r="FU612" s="335"/>
      <c r="FV612" s="335"/>
      <c r="FW612" s="335"/>
      <c r="FX612" s="335"/>
      <c r="FY612" s="335"/>
      <c r="FZ612" s="335"/>
      <c r="GA612" s="335"/>
      <c r="GB612" s="335"/>
      <c r="GC612" s="335"/>
      <c r="GD612" s="335"/>
      <c r="GE612" s="335"/>
      <c r="GF612" s="335"/>
      <c r="GG612" s="335"/>
      <c r="GH612" s="335"/>
      <c r="GI612" s="335"/>
      <c r="GJ612" s="335"/>
      <c r="GK612" s="335"/>
      <c r="GL612" s="335"/>
      <c r="GM612" s="335"/>
      <c r="GN612" s="335"/>
      <c r="GO612" s="335"/>
      <c r="GP612" s="335"/>
      <c r="GQ612" s="335"/>
      <c r="GR612" s="335"/>
      <c r="GS612" s="335"/>
      <c r="GT612" s="335"/>
      <c r="GU612" s="335"/>
      <c r="GV612" s="335"/>
      <c r="GW612" s="335"/>
      <c r="GX612" s="335"/>
      <c r="GY612" s="335"/>
      <c r="GZ612" s="335"/>
    </row>
    <row r="613" spans="1:208" ht="15">
      <c r="A613" s="379"/>
      <c r="B613" s="335"/>
      <c r="C613" s="335"/>
      <c r="D613" s="335"/>
      <c r="E613" s="335"/>
      <c r="F613" s="335"/>
      <c r="G613" s="335"/>
      <c r="H613" s="335"/>
      <c r="I613" s="335"/>
      <c r="J613" s="335"/>
      <c r="K613" s="335"/>
      <c r="L613" s="335"/>
      <c r="M613" s="376"/>
      <c r="N613" s="335"/>
      <c r="O613" s="380"/>
      <c r="P613" s="335"/>
      <c r="Q613" s="335"/>
      <c r="R613" s="335"/>
      <c r="S613" s="335"/>
      <c r="T613" s="335"/>
      <c r="U613" s="335"/>
      <c r="V613" s="335"/>
      <c r="W613" s="335"/>
      <c r="X613" s="335"/>
      <c r="Y613" s="335"/>
      <c r="Z613" s="335"/>
      <c r="AA613" s="335"/>
      <c r="AB613" s="335"/>
      <c r="AC613" s="335"/>
      <c r="AD613" s="335"/>
      <c r="AE613" s="335"/>
      <c r="AF613" s="335"/>
      <c r="AG613" s="335"/>
      <c r="AH613" s="335"/>
      <c r="AI613" s="335"/>
      <c r="AJ613" s="335"/>
      <c r="AK613" s="335"/>
      <c r="AL613" s="335"/>
      <c r="AM613" s="335"/>
      <c r="AN613" s="335"/>
      <c r="AO613" s="335"/>
      <c r="AP613" s="335"/>
      <c r="AQ613" s="335"/>
      <c r="AR613" s="335"/>
      <c r="AS613" s="335"/>
      <c r="AT613" s="335"/>
      <c r="AU613" s="335"/>
      <c r="AV613" s="335"/>
      <c r="AW613" s="335"/>
      <c r="AX613" s="335"/>
      <c r="AY613" s="335"/>
      <c r="AZ613" s="335"/>
      <c r="BA613" s="335"/>
      <c r="BB613" s="335"/>
      <c r="BC613" s="335"/>
      <c r="BD613" s="335"/>
      <c r="BE613" s="335"/>
      <c r="BF613" s="335"/>
      <c r="BG613" s="335"/>
      <c r="BH613" s="335"/>
      <c r="BI613" s="335"/>
      <c r="BJ613" s="335"/>
      <c r="BK613" s="335"/>
      <c r="BL613" s="335"/>
      <c r="BM613" s="335"/>
      <c r="BN613" s="335"/>
      <c r="BO613" s="335"/>
      <c r="BP613" s="335"/>
      <c r="BQ613" s="335"/>
      <c r="BR613" s="335"/>
      <c r="BS613" s="335"/>
      <c r="BT613" s="335"/>
      <c r="BU613" s="335"/>
      <c r="BV613" s="335"/>
      <c r="BW613" s="335"/>
      <c r="BX613" s="335"/>
      <c r="BY613" s="335"/>
      <c r="BZ613" s="335"/>
      <c r="CA613" s="335"/>
      <c r="CB613" s="335"/>
      <c r="CC613" s="335"/>
      <c r="CD613" s="335"/>
      <c r="CE613" s="335"/>
      <c r="CF613" s="335"/>
      <c r="CG613" s="335"/>
      <c r="CH613" s="335"/>
      <c r="CI613" s="335"/>
      <c r="CJ613" s="335"/>
      <c r="CK613" s="335"/>
      <c r="CL613" s="335"/>
      <c r="CM613" s="335"/>
      <c r="CN613" s="335"/>
      <c r="CO613" s="335"/>
      <c r="CP613" s="335"/>
      <c r="CQ613" s="335"/>
      <c r="CR613" s="335"/>
      <c r="CS613" s="335"/>
      <c r="CT613" s="335"/>
      <c r="CU613" s="335"/>
      <c r="CV613" s="335"/>
      <c r="CW613" s="335"/>
      <c r="CX613" s="335"/>
      <c r="CY613" s="335"/>
      <c r="CZ613" s="335"/>
      <c r="DA613" s="335"/>
      <c r="DB613" s="335"/>
      <c r="DC613" s="335"/>
      <c r="DD613" s="335"/>
      <c r="DE613" s="335"/>
      <c r="DF613" s="335"/>
      <c r="DG613" s="335"/>
      <c r="DH613" s="335"/>
      <c r="DI613" s="335"/>
      <c r="DJ613" s="335"/>
      <c r="DK613" s="335"/>
      <c r="DL613" s="335"/>
      <c r="DM613" s="335"/>
      <c r="DN613" s="335"/>
      <c r="DO613" s="335"/>
      <c r="DP613" s="335"/>
      <c r="DQ613" s="335"/>
      <c r="DR613" s="335"/>
      <c r="DS613" s="335"/>
      <c r="DT613" s="335"/>
      <c r="DU613" s="335"/>
      <c r="DV613" s="335"/>
      <c r="DW613" s="335"/>
      <c r="DX613" s="335"/>
      <c r="DY613" s="335"/>
      <c r="DZ613" s="335"/>
      <c r="EA613" s="335"/>
      <c r="EB613" s="335"/>
      <c r="EC613" s="335"/>
      <c r="ED613" s="335"/>
      <c r="EE613" s="335"/>
      <c r="EF613" s="335"/>
      <c r="EG613" s="335"/>
      <c r="EH613" s="335"/>
      <c r="EI613" s="335"/>
      <c r="EJ613" s="335"/>
      <c r="EK613" s="335"/>
      <c r="EL613" s="335"/>
      <c r="EM613" s="335"/>
      <c r="EN613" s="335"/>
      <c r="EO613" s="335"/>
      <c r="EP613" s="335"/>
      <c r="EQ613" s="335"/>
      <c r="ER613" s="335"/>
      <c r="ES613" s="335"/>
      <c r="ET613" s="335"/>
      <c r="EU613" s="335"/>
      <c r="EV613" s="335"/>
      <c r="EW613" s="335"/>
      <c r="EX613" s="335"/>
      <c r="EY613" s="335"/>
      <c r="EZ613" s="335"/>
      <c r="FA613" s="335"/>
      <c r="FB613" s="335"/>
      <c r="FC613" s="335"/>
      <c r="FD613" s="335"/>
      <c r="FE613" s="335"/>
      <c r="FF613" s="335"/>
      <c r="FG613" s="335"/>
      <c r="FH613" s="335"/>
      <c r="FI613" s="335"/>
      <c r="FJ613" s="335"/>
      <c r="FK613" s="335"/>
      <c r="FL613" s="335"/>
      <c r="FM613" s="335"/>
      <c r="FN613" s="335"/>
      <c r="FO613" s="335"/>
      <c r="FP613" s="335"/>
      <c r="FQ613" s="335"/>
      <c r="FR613" s="335"/>
      <c r="FS613" s="335"/>
      <c r="FT613" s="335"/>
      <c r="FU613" s="335"/>
      <c r="FV613" s="335"/>
      <c r="FW613" s="335"/>
      <c r="FX613" s="335"/>
      <c r="FY613" s="335"/>
      <c r="FZ613" s="335"/>
      <c r="GA613" s="335"/>
      <c r="GB613" s="335"/>
      <c r="GC613" s="335"/>
      <c r="GD613" s="335"/>
      <c r="GE613" s="335"/>
      <c r="GF613" s="335"/>
      <c r="GG613" s="335"/>
      <c r="GH613" s="335"/>
      <c r="GI613" s="335"/>
      <c r="GJ613" s="335"/>
      <c r="GK613" s="335"/>
      <c r="GL613" s="335"/>
      <c r="GM613" s="335"/>
      <c r="GN613" s="335"/>
      <c r="GO613" s="335"/>
      <c r="GP613" s="335"/>
      <c r="GQ613" s="335"/>
      <c r="GR613" s="335"/>
      <c r="GS613" s="335"/>
      <c r="GT613" s="335"/>
      <c r="GU613" s="335"/>
      <c r="GV613" s="335"/>
      <c r="GW613" s="335"/>
      <c r="GX613" s="335"/>
      <c r="GY613" s="335"/>
      <c r="GZ613" s="335"/>
    </row>
    <row r="614" spans="1:208" ht="15">
      <c r="A614" s="379"/>
      <c r="B614" s="335"/>
      <c r="C614" s="335"/>
      <c r="D614" s="335"/>
      <c r="E614" s="335"/>
      <c r="F614" s="335"/>
      <c r="G614" s="335"/>
      <c r="H614" s="335"/>
      <c r="I614" s="335"/>
      <c r="J614" s="335"/>
      <c r="K614" s="335"/>
      <c r="L614" s="335"/>
      <c r="M614" s="376"/>
      <c r="N614" s="335"/>
      <c r="O614" s="380"/>
      <c r="P614" s="335"/>
      <c r="Q614" s="335"/>
      <c r="R614" s="335"/>
      <c r="S614" s="335"/>
      <c r="T614" s="335"/>
      <c r="U614" s="335"/>
      <c r="V614" s="335"/>
      <c r="W614" s="335"/>
      <c r="X614" s="335"/>
      <c r="Y614" s="335"/>
      <c r="Z614" s="335"/>
      <c r="AA614" s="335"/>
      <c r="AB614" s="335"/>
      <c r="AC614" s="335"/>
      <c r="AD614" s="335"/>
      <c r="AE614" s="335"/>
      <c r="AF614" s="335"/>
      <c r="AG614" s="335"/>
      <c r="AH614" s="335"/>
      <c r="AI614" s="335"/>
      <c r="AJ614" s="335"/>
      <c r="AK614" s="335"/>
      <c r="AL614" s="335"/>
      <c r="AM614" s="335"/>
      <c r="AN614" s="335"/>
      <c r="AO614" s="335"/>
      <c r="AP614" s="335"/>
      <c r="AQ614" s="335"/>
      <c r="AR614" s="335"/>
      <c r="AS614" s="335"/>
      <c r="AT614" s="335"/>
      <c r="AU614" s="335"/>
      <c r="AV614" s="335"/>
      <c r="AW614" s="335"/>
      <c r="AX614" s="335"/>
      <c r="AY614" s="335"/>
      <c r="AZ614" s="335"/>
      <c r="BA614" s="335"/>
      <c r="BB614" s="335"/>
      <c r="BC614" s="335"/>
      <c r="BD614" s="335"/>
      <c r="BE614" s="335"/>
      <c r="BF614" s="335"/>
      <c r="BG614" s="335"/>
      <c r="BH614" s="335"/>
      <c r="BI614" s="335"/>
      <c r="BJ614" s="335"/>
      <c r="BK614" s="335"/>
      <c r="BL614" s="335"/>
      <c r="BM614" s="335"/>
      <c r="BN614" s="335"/>
      <c r="BO614" s="335"/>
      <c r="BP614" s="335"/>
      <c r="BQ614" s="335"/>
      <c r="BR614" s="335"/>
      <c r="BS614" s="335"/>
      <c r="BT614" s="335"/>
      <c r="BU614" s="335"/>
      <c r="BV614" s="335"/>
      <c r="BW614" s="335"/>
      <c r="BX614" s="335"/>
      <c r="BY614" s="335"/>
      <c r="BZ614" s="335"/>
      <c r="CA614" s="335"/>
      <c r="CB614" s="335"/>
      <c r="CC614" s="335"/>
      <c r="CD614" s="335"/>
      <c r="CE614" s="335"/>
      <c r="CF614" s="335"/>
      <c r="CG614" s="335"/>
      <c r="CH614" s="335"/>
      <c r="CI614" s="335"/>
      <c r="CJ614" s="335"/>
      <c r="CK614" s="335"/>
      <c r="CL614" s="335"/>
      <c r="CM614" s="335"/>
      <c r="CN614" s="335"/>
      <c r="CO614" s="335"/>
      <c r="CP614" s="335"/>
      <c r="CQ614" s="335"/>
      <c r="CR614" s="335"/>
      <c r="CS614" s="335"/>
      <c r="CT614" s="335"/>
      <c r="CU614" s="335"/>
      <c r="CV614" s="335"/>
      <c r="CW614" s="335"/>
      <c r="CX614" s="335"/>
      <c r="CY614" s="335"/>
      <c r="CZ614" s="335"/>
      <c r="DA614" s="335"/>
      <c r="DB614" s="335"/>
      <c r="DC614" s="335"/>
      <c r="DD614" s="335"/>
      <c r="DE614" s="335"/>
      <c r="DF614" s="335"/>
      <c r="DG614" s="335"/>
      <c r="DH614" s="335"/>
      <c r="DI614" s="335"/>
      <c r="DJ614" s="335"/>
      <c r="DK614" s="335"/>
      <c r="DL614" s="335"/>
      <c r="DM614" s="335"/>
      <c r="DN614" s="335"/>
      <c r="DO614" s="335"/>
      <c r="DP614" s="335"/>
      <c r="DQ614" s="335"/>
      <c r="DR614" s="335"/>
      <c r="DS614" s="335"/>
      <c r="DT614" s="335"/>
      <c r="DU614" s="335"/>
      <c r="DV614" s="335"/>
      <c r="DW614" s="335"/>
      <c r="DX614" s="335"/>
      <c r="DY614" s="335"/>
      <c r="DZ614" s="335"/>
      <c r="EA614" s="335"/>
      <c r="EB614" s="335"/>
      <c r="EC614" s="335"/>
      <c r="ED614" s="335"/>
      <c r="EE614" s="335"/>
      <c r="EF614" s="335"/>
      <c r="EG614" s="335"/>
      <c r="EH614" s="335"/>
      <c r="EI614" s="335"/>
      <c r="EJ614" s="335"/>
      <c r="EK614" s="335"/>
      <c r="EL614" s="335"/>
      <c r="EM614" s="335"/>
      <c r="EN614" s="335"/>
      <c r="EO614" s="335"/>
      <c r="EP614" s="335"/>
      <c r="EQ614" s="335"/>
      <c r="ER614" s="335"/>
      <c r="ES614" s="335"/>
      <c r="ET614" s="335"/>
      <c r="EU614" s="335"/>
      <c r="EV614" s="335"/>
      <c r="EW614" s="335"/>
      <c r="EX614" s="335"/>
      <c r="EY614" s="335"/>
      <c r="EZ614" s="335"/>
      <c r="FA614" s="335"/>
      <c r="FB614" s="335"/>
      <c r="FC614" s="335"/>
      <c r="FD614" s="335"/>
      <c r="FE614" s="335"/>
      <c r="FF614" s="335"/>
      <c r="FG614" s="335"/>
      <c r="FH614" s="335"/>
      <c r="FI614" s="335"/>
      <c r="FJ614" s="335"/>
      <c r="FK614" s="335"/>
      <c r="FL614" s="335"/>
      <c r="FM614" s="335"/>
      <c r="FN614" s="335"/>
      <c r="FO614" s="335"/>
      <c r="FP614" s="335"/>
      <c r="FQ614" s="335"/>
      <c r="FR614" s="335"/>
      <c r="FS614" s="335"/>
      <c r="FT614" s="335"/>
      <c r="FU614" s="335"/>
      <c r="FV614" s="335"/>
      <c r="FW614" s="335"/>
      <c r="FX614" s="335"/>
      <c r="FY614" s="335"/>
      <c r="FZ614" s="335"/>
      <c r="GA614" s="335"/>
      <c r="GB614" s="335"/>
      <c r="GC614" s="335"/>
      <c r="GD614" s="335"/>
      <c r="GE614" s="335"/>
      <c r="GF614" s="335"/>
      <c r="GG614" s="335"/>
      <c r="GH614" s="335"/>
      <c r="GI614" s="335"/>
      <c r="GJ614" s="335"/>
      <c r="GK614" s="335"/>
      <c r="GL614" s="335"/>
      <c r="GM614" s="335"/>
      <c r="GN614" s="335"/>
      <c r="GO614" s="335"/>
      <c r="GP614" s="335"/>
      <c r="GQ614" s="335"/>
      <c r="GR614" s="335"/>
      <c r="GS614" s="335"/>
      <c r="GT614" s="335"/>
      <c r="GU614" s="335"/>
      <c r="GV614" s="335"/>
      <c r="GW614" s="335"/>
      <c r="GX614" s="335"/>
      <c r="GY614" s="335"/>
      <c r="GZ614" s="335"/>
    </row>
    <row r="615" spans="1:208" ht="15">
      <c r="A615" s="379"/>
      <c r="B615" s="335"/>
      <c r="C615" s="335"/>
      <c r="D615" s="335"/>
      <c r="E615" s="335"/>
      <c r="F615" s="335"/>
      <c r="G615" s="335"/>
      <c r="H615" s="335"/>
      <c r="I615" s="335"/>
      <c r="J615" s="335"/>
      <c r="K615" s="335"/>
      <c r="L615" s="335"/>
      <c r="M615" s="376"/>
      <c r="N615" s="335"/>
      <c r="O615" s="380"/>
      <c r="P615" s="335"/>
      <c r="Q615" s="335"/>
      <c r="R615" s="335"/>
      <c r="S615" s="335"/>
      <c r="T615" s="335"/>
      <c r="U615" s="335"/>
      <c r="V615" s="335"/>
      <c r="W615" s="335"/>
      <c r="X615" s="335"/>
      <c r="Y615" s="335"/>
      <c r="Z615" s="335"/>
      <c r="AA615" s="335"/>
      <c r="AB615" s="335"/>
      <c r="AC615" s="335"/>
      <c r="AD615" s="335"/>
      <c r="AE615" s="335"/>
      <c r="AF615" s="335"/>
      <c r="AG615" s="335"/>
      <c r="AH615" s="335"/>
      <c r="AI615" s="335"/>
      <c r="AJ615" s="335"/>
      <c r="AK615" s="335"/>
      <c r="AL615" s="335"/>
      <c r="AM615" s="335"/>
      <c r="AN615" s="335"/>
      <c r="AO615" s="335"/>
      <c r="AP615" s="335"/>
      <c r="AQ615" s="335"/>
      <c r="AR615" s="335"/>
      <c r="AS615" s="335"/>
      <c r="AT615" s="335"/>
      <c r="AU615" s="335"/>
      <c r="AV615" s="335"/>
      <c r="AW615" s="335"/>
      <c r="AX615" s="335"/>
      <c r="AY615" s="335"/>
      <c r="AZ615" s="335"/>
      <c r="BA615" s="335"/>
      <c r="BB615" s="335"/>
      <c r="BC615" s="335"/>
      <c r="BD615" s="335"/>
      <c r="BE615" s="335"/>
      <c r="BF615" s="335"/>
      <c r="BG615" s="335"/>
      <c r="BH615" s="335"/>
      <c r="BI615" s="335"/>
      <c r="BJ615" s="335"/>
      <c r="BK615" s="335"/>
      <c r="BL615" s="335"/>
      <c r="BM615" s="335"/>
      <c r="BN615" s="335"/>
      <c r="BO615" s="335"/>
      <c r="BP615" s="335"/>
      <c r="BQ615" s="335"/>
      <c r="BR615" s="335"/>
      <c r="BS615" s="335"/>
      <c r="BT615" s="335"/>
      <c r="BU615" s="335"/>
      <c r="BV615" s="335"/>
      <c r="BW615" s="335"/>
      <c r="BX615" s="335"/>
      <c r="BY615" s="335"/>
      <c r="BZ615" s="335"/>
      <c r="CA615" s="335"/>
      <c r="CB615" s="335"/>
      <c r="CC615" s="335"/>
      <c r="CD615" s="335"/>
      <c r="CE615" s="335"/>
      <c r="CF615" s="335"/>
      <c r="CG615" s="335"/>
      <c r="CH615" s="335"/>
      <c r="CI615" s="335"/>
      <c r="CJ615" s="335"/>
      <c r="CK615" s="335"/>
      <c r="CL615" s="335"/>
      <c r="CM615" s="335"/>
      <c r="CN615" s="335"/>
      <c r="CO615" s="335"/>
      <c r="CP615" s="335"/>
      <c r="CQ615" s="335"/>
      <c r="CR615" s="335"/>
      <c r="CS615" s="335"/>
      <c r="CT615" s="335"/>
      <c r="CU615" s="335"/>
      <c r="CV615" s="335"/>
      <c r="CW615" s="335"/>
      <c r="CX615" s="335"/>
      <c r="CY615" s="335"/>
      <c r="CZ615" s="335"/>
      <c r="DA615" s="335"/>
      <c r="DB615" s="335"/>
      <c r="DC615" s="335"/>
      <c r="DD615" s="335"/>
      <c r="DE615" s="335"/>
      <c r="DF615" s="335"/>
      <c r="DG615" s="335"/>
      <c r="DH615" s="335"/>
      <c r="DI615" s="335"/>
      <c r="DJ615" s="335"/>
      <c r="DK615" s="335"/>
      <c r="DL615" s="335"/>
      <c r="DM615" s="335"/>
      <c r="DN615" s="335"/>
      <c r="DO615" s="335"/>
      <c r="DP615" s="335"/>
      <c r="DQ615" s="335"/>
      <c r="DR615" s="335"/>
      <c r="DS615" s="335"/>
      <c r="DT615" s="335"/>
      <c r="DU615" s="335"/>
      <c r="DV615" s="335"/>
      <c r="DW615" s="335"/>
      <c r="DX615" s="335"/>
      <c r="DY615" s="335"/>
      <c r="DZ615" s="335"/>
      <c r="EA615" s="335"/>
      <c r="EB615" s="335"/>
      <c r="EC615" s="335"/>
      <c r="ED615" s="335"/>
      <c r="EE615" s="335"/>
      <c r="EF615" s="335"/>
      <c r="EG615" s="335"/>
      <c r="EH615" s="335"/>
      <c r="EI615" s="335"/>
      <c r="EJ615" s="335"/>
      <c r="EK615" s="335"/>
      <c r="EL615" s="335"/>
      <c r="EM615" s="335"/>
      <c r="EN615" s="335"/>
      <c r="EO615" s="335"/>
      <c r="EP615" s="335"/>
      <c r="EQ615" s="335"/>
      <c r="ER615" s="335"/>
      <c r="ES615" s="335"/>
      <c r="ET615" s="335"/>
      <c r="EU615" s="335"/>
      <c r="EV615" s="335"/>
      <c r="EW615" s="335"/>
      <c r="EX615" s="335"/>
      <c r="EY615" s="335"/>
      <c r="EZ615" s="335"/>
      <c r="FA615" s="335"/>
      <c r="FB615" s="335"/>
      <c r="FC615" s="335"/>
      <c r="FD615" s="335"/>
      <c r="FE615" s="335"/>
      <c r="FF615" s="335"/>
      <c r="FG615" s="335"/>
      <c r="FH615" s="335"/>
      <c r="FI615" s="335"/>
      <c r="FJ615" s="335"/>
      <c r="FK615" s="335"/>
      <c r="FL615" s="335"/>
      <c r="FM615" s="335"/>
      <c r="FN615" s="335"/>
      <c r="FO615" s="335"/>
      <c r="FP615" s="335"/>
      <c r="FQ615" s="335"/>
      <c r="FR615" s="335"/>
      <c r="FS615" s="335"/>
      <c r="FT615" s="335"/>
      <c r="FU615" s="335"/>
      <c r="FV615" s="335"/>
      <c r="FW615" s="335"/>
      <c r="FX615" s="335"/>
      <c r="FY615" s="335"/>
      <c r="FZ615" s="335"/>
      <c r="GA615" s="335"/>
      <c r="GB615" s="335"/>
      <c r="GC615" s="335"/>
      <c r="GD615" s="335"/>
      <c r="GE615" s="335"/>
      <c r="GF615" s="335"/>
      <c r="GG615" s="335"/>
      <c r="GH615" s="335"/>
      <c r="GI615" s="335"/>
      <c r="GJ615" s="335"/>
      <c r="GK615" s="335"/>
      <c r="GL615" s="335"/>
      <c r="GM615" s="335"/>
      <c r="GN615" s="335"/>
      <c r="GO615" s="335"/>
      <c r="GP615" s="335"/>
      <c r="GQ615" s="335"/>
      <c r="GR615" s="335"/>
      <c r="GS615" s="335"/>
      <c r="GT615" s="335"/>
      <c r="GU615" s="335"/>
      <c r="GV615" s="335"/>
      <c r="GW615" s="335"/>
      <c r="GX615" s="335"/>
      <c r="GY615" s="335"/>
      <c r="GZ615" s="335"/>
    </row>
    <row r="616" spans="1:208" ht="15">
      <c r="A616" s="379"/>
      <c r="B616" s="335"/>
      <c r="C616" s="335"/>
      <c r="D616" s="335"/>
      <c r="E616" s="335"/>
      <c r="F616" s="335"/>
      <c r="G616" s="335"/>
      <c r="H616" s="335"/>
      <c r="I616" s="335"/>
      <c r="J616" s="335"/>
      <c r="K616" s="335"/>
      <c r="L616" s="335"/>
      <c r="M616" s="376"/>
      <c r="N616" s="335"/>
      <c r="O616" s="380"/>
      <c r="P616" s="335"/>
      <c r="Q616" s="335"/>
      <c r="R616" s="335"/>
      <c r="S616" s="335"/>
      <c r="T616" s="335"/>
      <c r="U616" s="335"/>
      <c r="V616" s="335"/>
      <c r="W616" s="335"/>
      <c r="X616" s="335"/>
      <c r="Y616" s="335"/>
      <c r="Z616" s="335"/>
      <c r="AA616" s="335"/>
      <c r="AB616" s="335"/>
      <c r="AC616" s="335"/>
      <c r="AD616" s="335"/>
      <c r="AE616" s="335"/>
      <c r="AF616" s="335"/>
      <c r="AG616" s="335"/>
      <c r="AH616" s="335"/>
      <c r="AI616" s="335"/>
      <c r="AJ616" s="335"/>
      <c r="AK616" s="335"/>
      <c r="AL616" s="335"/>
      <c r="AM616" s="335"/>
      <c r="AN616" s="335"/>
      <c r="AO616" s="335"/>
      <c r="AP616" s="335"/>
      <c r="AQ616" s="335"/>
      <c r="AR616" s="335"/>
      <c r="AS616" s="335"/>
      <c r="AT616" s="335"/>
      <c r="AU616" s="335"/>
      <c r="AV616" s="335"/>
      <c r="AW616" s="335"/>
      <c r="AX616" s="335"/>
      <c r="AY616" s="335"/>
      <c r="AZ616" s="335"/>
      <c r="BA616" s="335"/>
      <c r="BB616" s="335"/>
      <c r="BC616" s="335"/>
      <c r="BD616" s="335"/>
      <c r="BE616" s="335"/>
      <c r="BF616" s="335"/>
      <c r="BG616" s="335"/>
      <c r="BH616" s="335"/>
      <c r="BI616" s="335"/>
      <c r="BJ616" s="335"/>
      <c r="BK616" s="335"/>
      <c r="BL616" s="335"/>
      <c r="BM616" s="335"/>
      <c r="BN616" s="335"/>
      <c r="BO616" s="335"/>
      <c r="BP616" s="335"/>
      <c r="BQ616" s="335"/>
      <c r="BR616" s="335"/>
      <c r="BS616" s="335"/>
      <c r="BT616" s="335"/>
      <c r="BU616" s="335"/>
      <c r="BV616" s="335"/>
      <c r="BW616" s="335"/>
      <c r="BX616" s="335"/>
      <c r="BY616" s="335"/>
      <c r="BZ616" s="335"/>
      <c r="CA616" s="335"/>
      <c r="CB616" s="335"/>
      <c r="CC616" s="335"/>
      <c r="CD616" s="335"/>
      <c r="CE616" s="335"/>
      <c r="CF616" s="335"/>
      <c r="CG616" s="335"/>
      <c r="CH616" s="335"/>
      <c r="CI616" s="335"/>
      <c r="CJ616" s="335"/>
      <c r="CK616" s="335"/>
      <c r="CL616" s="335"/>
      <c r="CM616" s="335"/>
      <c r="CN616" s="335"/>
      <c r="CO616" s="335"/>
      <c r="CP616" s="335"/>
      <c r="CQ616" s="335"/>
      <c r="CR616" s="335"/>
      <c r="CS616" s="335"/>
      <c r="CT616" s="335"/>
      <c r="CU616" s="335"/>
      <c r="CV616" s="335"/>
      <c r="CW616" s="335"/>
      <c r="CX616" s="335"/>
      <c r="CY616" s="335"/>
      <c r="CZ616" s="335"/>
      <c r="DA616" s="335"/>
      <c r="DB616" s="335"/>
      <c r="DC616" s="335"/>
      <c r="DD616" s="335"/>
      <c r="DE616" s="335"/>
      <c r="DF616" s="335"/>
      <c r="DG616" s="335"/>
      <c r="DH616" s="335"/>
      <c r="DI616" s="335"/>
      <c r="DJ616" s="335"/>
      <c r="DK616" s="335"/>
      <c r="DL616" s="335"/>
      <c r="DM616" s="335"/>
      <c r="DN616" s="335"/>
      <c r="DO616" s="335"/>
      <c r="DP616" s="335"/>
      <c r="DQ616" s="335"/>
      <c r="DR616" s="335"/>
      <c r="DS616" s="335"/>
      <c r="DT616" s="335"/>
      <c r="DU616" s="335"/>
      <c r="DV616" s="335"/>
      <c r="DW616" s="335"/>
      <c r="DX616" s="335"/>
      <c r="DY616" s="335"/>
      <c r="DZ616" s="335"/>
      <c r="EA616" s="335"/>
      <c r="EB616" s="335"/>
      <c r="EC616" s="335"/>
      <c r="ED616" s="335"/>
      <c r="EE616" s="335"/>
      <c r="EF616" s="335"/>
      <c r="EG616" s="335"/>
      <c r="EH616" s="335"/>
      <c r="EI616" s="335"/>
      <c r="EJ616" s="335"/>
      <c r="EK616" s="335"/>
      <c r="EL616" s="335"/>
      <c r="EM616" s="335"/>
      <c r="EN616" s="335"/>
      <c r="EO616" s="335"/>
      <c r="EP616" s="335"/>
      <c r="EQ616" s="335"/>
      <c r="ER616" s="335"/>
      <c r="ES616" s="335"/>
      <c r="ET616" s="335"/>
      <c r="EU616" s="335"/>
      <c r="EV616" s="335"/>
      <c r="EW616" s="335"/>
      <c r="EX616" s="335"/>
      <c r="EY616" s="335"/>
      <c r="EZ616" s="335"/>
      <c r="FA616" s="335"/>
      <c r="FB616" s="335"/>
      <c r="FC616" s="335"/>
      <c r="FD616" s="335"/>
      <c r="FE616" s="335"/>
      <c r="FF616" s="335"/>
      <c r="FG616" s="335"/>
      <c r="FH616" s="335"/>
      <c r="FI616" s="335"/>
      <c r="FJ616" s="335"/>
      <c r="FK616" s="335"/>
      <c r="FL616" s="335"/>
      <c r="FM616" s="335"/>
      <c r="FN616" s="335"/>
      <c r="FO616" s="335"/>
      <c r="FP616" s="335"/>
      <c r="FQ616" s="335"/>
      <c r="FR616" s="335"/>
      <c r="FS616" s="335"/>
      <c r="FT616" s="335"/>
      <c r="FU616" s="335"/>
      <c r="FV616" s="335"/>
      <c r="FW616" s="335"/>
      <c r="FX616" s="335"/>
      <c r="FY616" s="335"/>
      <c r="FZ616" s="335"/>
      <c r="GA616" s="335"/>
      <c r="GB616" s="335"/>
      <c r="GC616" s="335"/>
      <c r="GD616" s="335"/>
      <c r="GE616" s="335"/>
      <c r="GF616" s="335"/>
      <c r="GG616" s="335"/>
      <c r="GH616" s="335"/>
      <c r="GI616" s="335"/>
      <c r="GJ616" s="335"/>
      <c r="GK616" s="335"/>
      <c r="GL616" s="335"/>
      <c r="GM616" s="335"/>
      <c r="GN616" s="335"/>
      <c r="GO616" s="335"/>
      <c r="GP616" s="335"/>
      <c r="GQ616" s="335"/>
      <c r="GR616" s="335"/>
      <c r="GS616" s="335"/>
      <c r="GT616" s="335"/>
      <c r="GU616" s="335"/>
      <c r="GV616" s="335"/>
      <c r="GW616" s="335"/>
      <c r="GX616" s="335"/>
      <c r="GY616" s="335"/>
      <c r="GZ616" s="335"/>
    </row>
    <row r="617" spans="1:208" ht="15">
      <c r="A617" s="379"/>
      <c r="B617" s="335"/>
      <c r="C617" s="335"/>
      <c r="D617" s="335"/>
      <c r="E617" s="335"/>
      <c r="F617" s="335"/>
      <c r="G617" s="335"/>
      <c r="H617" s="335"/>
      <c r="I617" s="335"/>
      <c r="J617" s="335"/>
      <c r="K617" s="335"/>
      <c r="L617" s="335"/>
      <c r="M617" s="376"/>
      <c r="N617" s="335"/>
      <c r="O617" s="380"/>
      <c r="P617" s="335"/>
      <c r="Q617" s="335"/>
      <c r="R617" s="335"/>
      <c r="S617" s="335"/>
      <c r="T617" s="335"/>
      <c r="U617" s="335"/>
      <c r="V617" s="335"/>
      <c r="W617" s="335"/>
      <c r="X617" s="335"/>
      <c r="Y617" s="335"/>
      <c r="Z617" s="335"/>
      <c r="AA617" s="335"/>
      <c r="AB617" s="335"/>
      <c r="AC617" s="335"/>
      <c r="AD617" s="335"/>
      <c r="AE617" s="335"/>
      <c r="AF617" s="335"/>
      <c r="AG617" s="335"/>
      <c r="AH617" s="335"/>
      <c r="AI617" s="335"/>
      <c r="AJ617" s="335"/>
      <c r="AK617" s="335"/>
      <c r="AL617" s="335"/>
      <c r="AM617" s="335"/>
      <c r="AN617" s="335"/>
      <c r="AO617" s="335"/>
      <c r="AP617" s="335"/>
      <c r="AQ617" s="335"/>
      <c r="AR617" s="335"/>
      <c r="AS617" s="335"/>
      <c r="AT617" s="335"/>
      <c r="AU617" s="335"/>
      <c r="AV617" s="335"/>
      <c r="AW617" s="335"/>
      <c r="AX617" s="335"/>
      <c r="AY617" s="335"/>
      <c r="AZ617" s="335"/>
      <c r="BA617" s="335"/>
      <c r="BB617" s="335"/>
      <c r="BC617" s="335"/>
      <c r="BD617" s="335"/>
      <c r="BE617" s="335"/>
      <c r="BF617" s="335"/>
      <c r="BG617" s="335"/>
      <c r="BH617" s="335"/>
      <c r="BI617" s="335"/>
      <c r="BJ617" s="335"/>
      <c r="BK617" s="335"/>
      <c r="BL617" s="335"/>
      <c r="BM617" s="335"/>
      <c r="BN617" s="335"/>
      <c r="BO617" s="335"/>
      <c r="BP617" s="335"/>
      <c r="BQ617" s="335"/>
      <c r="BR617" s="335"/>
      <c r="BS617" s="335"/>
      <c r="BT617" s="335"/>
      <c r="BU617" s="335"/>
      <c r="BV617" s="335"/>
      <c r="BW617" s="335"/>
      <c r="BX617" s="335"/>
      <c r="BY617" s="335"/>
      <c r="BZ617" s="335"/>
      <c r="CA617" s="335"/>
      <c r="CB617" s="335"/>
      <c r="CC617" s="335"/>
      <c r="CD617" s="335"/>
      <c r="CE617" s="335"/>
      <c r="CF617" s="335"/>
      <c r="CG617" s="335"/>
      <c r="CH617" s="335"/>
      <c r="CI617" s="335"/>
      <c r="CJ617" s="335"/>
      <c r="CK617" s="335"/>
      <c r="CL617" s="335"/>
      <c r="CM617" s="335"/>
      <c r="CN617" s="335"/>
      <c r="CO617" s="335"/>
      <c r="CP617" s="335"/>
      <c r="CQ617" s="335"/>
      <c r="CR617" s="335"/>
      <c r="CS617" s="335"/>
      <c r="CT617" s="335"/>
      <c r="CU617" s="335"/>
      <c r="CV617" s="335"/>
      <c r="CW617" s="335"/>
      <c r="CX617" s="335"/>
      <c r="CY617" s="335"/>
      <c r="CZ617" s="335"/>
      <c r="DA617" s="335"/>
      <c r="DB617" s="335"/>
      <c r="DC617" s="335"/>
      <c r="DD617" s="335"/>
      <c r="DE617" s="335"/>
      <c r="DF617" s="335"/>
      <c r="DG617" s="335"/>
      <c r="DH617" s="335"/>
      <c r="DI617" s="335"/>
      <c r="DJ617" s="335"/>
      <c r="DK617" s="335"/>
      <c r="DL617" s="335"/>
      <c r="DM617" s="335"/>
      <c r="DN617" s="335"/>
      <c r="DO617" s="335"/>
      <c r="DP617" s="335"/>
      <c r="DQ617" s="335"/>
      <c r="DR617" s="335"/>
      <c r="DS617" s="335"/>
      <c r="DT617" s="335"/>
      <c r="DU617" s="335"/>
      <c r="DV617" s="335"/>
      <c r="DW617" s="335"/>
      <c r="DX617" s="335"/>
      <c r="DY617" s="335"/>
      <c r="DZ617" s="335"/>
      <c r="EA617" s="335"/>
      <c r="EB617" s="335"/>
      <c r="EC617" s="335"/>
      <c r="ED617" s="335"/>
      <c r="EE617" s="335"/>
      <c r="EF617" s="335"/>
      <c r="EG617" s="335"/>
      <c r="EH617" s="335"/>
      <c r="EI617" s="335"/>
      <c r="EJ617" s="335"/>
      <c r="EK617" s="335"/>
      <c r="EL617" s="335"/>
      <c r="EM617" s="335"/>
      <c r="EN617" s="335"/>
      <c r="EO617" s="335"/>
      <c r="EP617" s="335"/>
      <c r="EQ617" s="335"/>
      <c r="ER617" s="335"/>
      <c r="ES617" s="335"/>
      <c r="ET617" s="335"/>
      <c r="EU617" s="335"/>
      <c r="EV617" s="335"/>
      <c r="EW617" s="335"/>
      <c r="EX617" s="335"/>
      <c r="EY617" s="335"/>
      <c r="EZ617" s="335"/>
      <c r="FA617" s="335"/>
      <c r="FB617" s="335"/>
      <c r="FC617" s="335"/>
      <c r="FD617" s="335"/>
      <c r="FE617" s="335"/>
      <c r="FF617" s="335"/>
      <c r="FG617" s="335"/>
      <c r="FH617" s="335"/>
      <c r="FI617" s="335"/>
      <c r="FJ617" s="335"/>
      <c r="FK617" s="335"/>
      <c r="FL617" s="335"/>
      <c r="FM617" s="335"/>
      <c r="FN617" s="335"/>
      <c r="FO617" s="335"/>
      <c r="FP617" s="335"/>
      <c r="FQ617" s="335"/>
      <c r="FR617" s="335"/>
      <c r="FS617" s="335"/>
      <c r="FT617" s="335"/>
      <c r="FU617" s="335"/>
      <c r="FV617" s="335"/>
      <c r="FW617" s="335"/>
      <c r="FX617" s="335"/>
      <c r="FY617" s="335"/>
      <c r="FZ617" s="335"/>
      <c r="GA617" s="335"/>
      <c r="GB617" s="335"/>
      <c r="GC617" s="335"/>
      <c r="GD617" s="335"/>
      <c r="GE617" s="335"/>
      <c r="GF617" s="335"/>
      <c r="GG617" s="335"/>
      <c r="GH617" s="335"/>
      <c r="GI617" s="335"/>
      <c r="GJ617" s="335"/>
      <c r="GK617" s="335"/>
      <c r="GL617" s="335"/>
      <c r="GM617" s="335"/>
      <c r="GN617" s="335"/>
      <c r="GO617" s="335"/>
      <c r="GP617" s="335"/>
      <c r="GQ617" s="335"/>
      <c r="GR617" s="335"/>
      <c r="GS617" s="335"/>
      <c r="GT617" s="335"/>
      <c r="GU617" s="335"/>
      <c r="GV617" s="335"/>
      <c r="GW617" s="335"/>
      <c r="GX617" s="335"/>
      <c r="GY617" s="335"/>
      <c r="GZ617" s="335"/>
    </row>
    <row r="618" spans="1:208" ht="15">
      <c r="A618" s="379"/>
      <c r="B618" s="335"/>
      <c r="C618" s="335"/>
      <c r="D618" s="335"/>
      <c r="E618" s="335"/>
      <c r="F618" s="335"/>
      <c r="G618" s="335"/>
      <c r="H618" s="335"/>
      <c r="I618" s="335"/>
      <c r="J618" s="335"/>
      <c r="K618" s="335"/>
      <c r="L618" s="335"/>
      <c r="M618" s="376"/>
      <c r="N618" s="335"/>
      <c r="O618" s="380"/>
      <c r="P618" s="335"/>
      <c r="Q618" s="335"/>
      <c r="R618" s="335"/>
      <c r="S618" s="335"/>
      <c r="T618" s="335"/>
      <c r="U618" s="335"/>
      <c r="V618" s="335"/>
      <c r="W618" s="335"/>
      <c r="X618" s="335"/>
      <c r="Y618" s="335"/>
      <c r="Z618" s="335"/>
      <c r="AA618" s="335"/>
      <c r="AB618" s="335"/>
      <c r="AC618" s="335"/>
      <c r="AD618" s="335"/>
      <c r="AE618" s="335"/>
      <c r="AF618" s="335"/>
      <c r="AG618" s="335"/>
      <c r="AH618" s="335"/>
      <c r="AI618" s="335"/>
      <c r="AJ618" s="335"/>
      <c r="AK618" s="335"/>
      <c r="AL618" s="335"/>
      <c r="AM618" s="335"/>
      <c r="AN618" s="335"/>
      <c r="AO618" s="335"/>
      <c r="AP618" s="335"/>
      <c r="AQ618" s="335"/>
      <c r="AR618" s="335"/>
      <c r="AS618" s="335"/>
      <c r="AT618" s="335"/>
      <c r="AU618" s="335"/>
      <c r="AV618" s="335"/>
      <c r="AW618" s="335"/>
      <c r="AX618" s="335"/>
      <c r="AY618" s="335"/>
      <c r="AZ618" s="335"/>
      <c r="BA618" s="335"/>
      <c r="BB618" s="335"/>
      <c r="BC618" s="335"/>
      <c r="BD618" s="335"/>
      <c r="BE618" s="335"/>
      <c r="BF618" s="335"/>
      <c r="BG618" s="335"/>
      <c r="BH618" s="335"/>
      <c r="BI618" s="335"/>
      <c r="BJ618" s="335"/>
      <c r="BK618" s="335"/>
      <c r="BL618" s="335"/>
      <c r="BM618" s="335"/>
      <c r="BN618" s="335"/>
      <c r="BO618" s="335"/>
      <c r="BP618" s="335"/>
      <c r="BQ618" s="335"/>
      <c r="BR618" s="335"/>
      <c r="BS618" s="335"/>
      <c r="BT618" s="335"/>
      <c r="BU618" s="335"/>
      <c r="BV618" s="335"/>
      <c r="BW618" s="335"/>
      <c r="BX618" s="335"/>
      <c r="BY618" s="335"/>
      <c r="BZ618" s="335"/>
      <c r="CA618" s="335"/>
      <c r="CB618" s="335"/>
      <c r="CC618" s="335"/>
      <c r="CD618" s="335"/>
      <c r="CE618" s="335"/>
      <c r="CF618" s="335"/>
      <c r="CG618" s="335"/>
      <c r="CH618" s="335"/>
      <c r="CI618" s="335"/>
      <c r="CJ618" s="335"/>
      <c r="CK618" s="335"/>
      <c r="CL618" s="335"/>
      <c r="CM618" s="335"/>
      <c r="CN618" s="335"/>
      <c r="CO618" s="335"/>
      <c r="CP618" s="335"/>
      <c r="CQ618" s="335"/>
      <c r="CR618" s="335"/>
      <c r="CS618" s="335"/>
      <c r="CT618" s="335"/>
      <c r="CU618" s="335"/>
      <c r="CV618" s="335"/>
      <c r="CW618" s="335"/>
      <c r="CX618" s="335"/>
      <c r="CY618" s="335"/>
      <c r="CZ618" s="335"/>
      <c r="DA618" s="335"/>
      <c r="DB618" s="335"/>
      <c r="DC618" s="335"/>
      <c r="DD618" s="335"/>
      <c r="DE618" s="335"/>
      <c r="DF618" s="335"/>
      <c r="DG618" s="335"/>
      <c r="DH618" s="335"/>
      <c r="DI618" s="335"/>
      <c r="DJ618" s="335"/>
      <c r="DK618" s="335"/>
      <c r="DL618" s="335"/>
      <c r="DM618" s="335"/>
      <c r="DN618" s="335"/>
      <c r="DO618" s="335"/>
      <c r="DP618" s="335"/>
      <c r="DQ618" s="335"/>
      <c r="DR618" s="335"/>
      <c r="DS618" s="335"/>
      <c r="DT618" s="335"/>
      <c r="DU618" s="335"/>
      <c r="DV618" s="335"/>
      <c r="DW618" s="335"/>
      <c r="DX618" s="335"/>
      <c r="DY618" s="335"/>
      <c r="DZ618" s="335"/>
      <c r="EA618" s="335"/>
      <c r="EB618" s="335"/>
      <c r="EC618" s="335"/>
      <c r="ED618" s="335"/>
      <c r="EE618" s="335"/>
      <c r="EF618" s="335"/>
      <c r="EG618" s="335"/>
      <c r="EH618" s="335"/>
      <c r="EI618" s="335"/>
      <c r="EJ618" s="335"/>
      <c r="EK618" s="335"/>
      <c r="EL618" s="335"/>
      <c r="EM618" s="335"/>
      <c r="EN618" s="335"/>
      <c r="EO618" s="335"/>
      <c r="EP618" s="335"/>
      <c r="EQ618" s="335"/>
      <c r="ER618" s="335"/>
      <c r="ES618" s="335"/>
      <c r="ET618" s="335"/>
      <c r="EU618" s="335"/>
      <c r="EV618" s="335"/>
      <c r="EW618" s="335"/>
      <c r="EX618" s="335"/>
      <c r="EY618" s="335"/>
      <c r="EZ618" s="335"/>
      <c r="FA618" s="335"/>
      <c r="FB618" s="335"/>
      <c r="FC618" s="335"/>
      <c r="FD618" s="335"/>
      <c r="FE618" s="335"/>
      <c r="FF618" s="335"/>
      <c r="FG618" s="335"/>
      <c r="FH618" s="335"/>
      <c r="FI618" s="335"/>
      <c r="FJ618" s="335"/>
      <c r="FK618" s="335"/>
      <c r="FL618" s="335"/>
      <c r="FM618" s="335"/>
      <c r="FN618" s="335"/>
      <c r="FO618" s="335"/>
      <c r="FP618" s="335"/>
      <c r="FQ618" s="335"/>
      <c r="FR618" s="335"/>
      <c r="FS618" s="335"/>
      <c r="FT618" s="335"/>
      <c r="FU618" s="335"/>
      <c r="FV618" s="335"/>
      <c r="FW618" s="335"/>
      <c r="FX618" s="335"/>
      <c r="FY618" s="335"/>
      <c r="FZ618" s="335"/>
      <c r="GA618" s="335"/>
      <c r="GB618" s="335"/>
      <c r="GC618" s="335"/>
      <c r="GD618" s="335"/>
      <c r="GE618" s="335"/>
      <c r="GF618" s="335"/>
      <c r="GG618" s="335"/>
      <c r="GH618" s="335"/>
      <c r="GI618" s="335"/>
      <c r="GJ618" s="335"/>
      <c r="GK618" s="335"/>
      <c r="GL618" s="335"/>
      <c r="GM618" s="335"/>
      <c r="GN618" s="335"/>
      <c r="GO618" s="335"/>
      <c r="GP618" s="335"/>
      <c r="GQ618" s="335"/>
      <c r="GR618" s="335"/>
      <c r="GS618" s="335"/>
      <c r="GT618" s="335"/>
      <c r="GU618" s="335"/>
      <c r="GV618" s="335"/>
      <c r="GW618" s="335"/>
      <c r="GX618" s="335"/>
      <c r="GY618" s="335"/>
      <c r="GZ618" s="335"/>
    </row>
    <row r="619" spans="1:208" ht="15">
      <c r="A619" s="379"/>
      <c r="B619" s="335"/>
      <c r="C619" s="335"/>
      <c r="D619" s="335"/>
      <c r="E619" s="335"/>
      <c r="F619" s="335"/>
      <c r="G619" s="335"/>
      <c r="H619" s="335"/>
      <c r="I619" s="335"/>
      <c r="J619" s="335"/>
      <c r="K619" s="335"/>
      <c r="L619" s="335"/>
      <c r="M619" s="376"/>
      <c r="N619" s="335"/>
      <c r="O619" s="380"/>
      <c r="P619" s="335"/>
      <c r="Q619" s="335"/>
      <c r="R619" s="335"/>
      <c r="S619" s="335"/>
      <c r="T619" s="335"/>
      <c r="U619" s="335"/>
      <c r="V619" s="335"/>
      <c r="W619" s="335"/>
      <c r="X619" s="335"/>
      <c r="Y619" s="335"/>
      <c r="Z619" s="335"/>
      <c r="AA619" s="335"/>
      <c r="AB619" s="335"/>
      <c r="AC619" s="335"/>
      <c r="AD619" s="335"/>
      <c r="AE619" s="335"/>
      <c r="AF619" s="335"/>
      <c r="AG619" s="335"/>
      <c r="AH619" s="335"/>
      <c r="AI619" s="335"/>
      <c r="AJ619" s="335"/>
      <c r="AK619" s="335"/>
      <c r="AL619" s="335"/>
      <c r="AM619" s="335"/>
      <c r="AN619" s="335"/>
      <c r="AO619" s="335"/>
      <c r="AP619" s="335"/>
      <c r="AQ619" s="335"/>
      <c r="AR619" s="335"/>
      <c r="AS619" s="335"/>
      <c r="AT619" s="335"/>
      <c r="AU619" s="335"/>
      <c r="AV619" s="335"/>
      <c r="AW619" s="335"/>
      <c r="AX619" s="335"/>
      <c r="AY619" s="335"/>
      <c r="AZ619" s="335"/>
      <c r="BA619" s="335"/>
      <c r="BB619" s="335"/>
      <c r="BC619" s="335"/>
      <c r="BD619" s="335"/>
      <c r="BE619" s="335"/>
      <c r="BF619" s="335"/>
      <c r="BG619" s="335"/>
      <c r="BH619" s="335"/>
      <c r="BI619" s="335"/>
      <c r="BJ619" s="335"/>
      <c r="BK619" s="335"/>
      <c r="BL619" s="335"/>
      <c r="BM619" s="335"/>
      <c r="BN619" s="335"/>
      <c r="BO619" s="335"/>
      <c r="BP619" s="335"/>
      <c r="BQ619" s="335"/>
      <c r="BR619" s="335"/>
      <c r="BS619" s="335"/>
      <c r="BT619" s="335"/>
      <c r="BU619" s="335"/>
      <c r="BV619" s="335"/>
      <c r="BW619" s="335"/>
      <c r="BX619" s="335"/>
      <c r="BY619" s="335"/>
      <c r="BZ619" s="335"/>
      <c r="CA619" s="335"/>
      <c r="CB619" s="335"/>
      <c r="CC619" s="335"/>
      <c r="CD619" s="335"/>
      <c r="CE619" s="335"/>
      <c r="CF619" s="335"/>
      <c r="CG619" s="335"/>
      <c r="CH619" s="335"/>
      <c r="CI619" s="335"/>
      <c r="CJ619" s="335"/>
      <c r="CK619" s="335"/>
      <c r="CL619" s="335"/>
      <c r="CM619" s="335"/>
      <c r="CN619" s="335"/>
      <c r="CO619" s="335"/>
      <c r="CP619" s="335"/>
      <c r="CQ619" s="335"/>
      <c r="CR619" s="335"/>
      <c r="CS619" s="335"/>
      <c r="CT619" s="335"/>
      <c r="CU619" s="335"/>
      <c r="CV619" s="335"/>
      <c r="CW619" s="335"/>
      <c r="CX619" s="335"/>
      <c r="CY619" s="335"/>
      <c r="CZ619" s="335"/>
      <c r="DA619" s="335"/>
      <c r="DB619" s="335"/>
      <c r="DC619" s="335"/>
      <c r="DD619" s="335"/>
      <c r="DE619" s="335"/>
      <c r="DF619" s="335"/>
      <c r="DG619" s="335"/>
      <c r="DH619" s="335"/>
      <c r="DI619" s="335"/>
      <c r="DJ619" s="335"/>
      <c r="DK619" s="335"/>
      <c r="DL619" s="335"/>
      <c r="DM619" s="335"/>
      <c r="DN619" s="335"/>
      <c r="DO619" s="335"/>
      <c r="DP619" s="335"/>
      <c r="DQ619" s="335"/>
      <c r="DR619" s="335"/>
      <c r="DS619" s="335"/>
      <c r="DT619" s="335"/>
      <c r="DU619" s="335"/>
      <c r="DV619" s="335"/>
      <c r="DW619" s="335"/>
      <c r="DX619" s="335"/>
      <c r="DY619" s="335"/>
      <c r="DZ619" s="335"/>
      <c r="EA619" s="335"/>
      <c r="EB619" s="335"/>
      <c r="EC619" s="335"/>
      <c r="ED619" s="335"/>
      <c r="EE619" s="335"/>
      <c r="EF619" s="335"/>
      <c r="EG619" s="335"/>
      <c r="EH619" s="335"/>
      <c r="EI619" s="335"/>
      <c r="EJ619" s="335"/>
      <c r="EK619" s="335"/>
      <c r="EL619" s="335"/>
      <c r="EM619" s="335"/>
      <c r="EN619" s="335"/>
      <c r="EO619" s="335"/>
      <c r="EP619" s="335"/>
      <c r="EQ619" s="335"/>
      <c r="ER619" s="335"/>
      <c r="ES619" s="335"/>
      <c r="ET619" s="335"/>
      <c r="EU619" s="335"/>
      <c r="EV619" s="335"/>
      <c r="EW619" s="335"/>
      <c r="EX619" s="335"/>
      <c r="EY619" s="335"/>
      <c r="EZ619" s="335"/>
      <c r="FA619" s="335"/>
      <c r="FB619" s="335"/>
      <c r="FC619" s="335"/>
      <c r="FD619" s="335"/>
      <c r="FE619" s="335"/>
      <c r="FF619" s="335"/>
      <c r="FG619" s="335"/>
      <c r="FH619" s="335"/>
      <c r="FI619" s="335"/>
      <c r="FJ619" s="335"/>
      <c r="FK619" s="335"/>
      <c r="FL619" s="335"/>
      <c r="FM619" s="335"/>
      <c r="FN619" s="335"/>
      <c r="FO619" s="335"/>
      <c r="FP619" s="335"/>
      <c r="FQ619" s="335"/>
      <c r="FR619" s="335"/>
      <c r="FS619" s="335"/>
      <c r="FT619" s="335"/>
      <c r="FU619" s="335"/>
      <c r="FV619" s="335"/>
      <c r="FW619" s="335"/>
      <c r="FX619" s="335"/>
      <c r="FY619" s="335"/>
      <c r="FZ619" s="335"/>
      <c r="GA619" s="335"/>
      <c r="GB619" s="335"/>
      <c r="GC619" s="335"/>
      <c r="GD619" s="335"/>
      <c r="GE619" s="335"/>
      <c r="GF619" s="335"/>
      <c r="GG619" s="335"/>
      <c r="GH619" s="335"/>
      <c r="GI619" s="335"/>
      <c r="GJ619" s="335"/>
      <c r="GK619" s="335"/>
      <c r="GL619" s="335"/>
      <c r="GM619" s="335"/>
      <c r="GN619" s="335"/>
      <c r="GO619" s="335"/>
      <c r="GP619" s="335"/>
      <c r="GQ619" s="335"/>
      <c r="GR619" s="335"/>
      <c r="GS619" s="335"/>
      <c r="GT619" s="335"/>
      <c r="GU619" s="335"/>
      <c r="GV619" s="335"/>
      <c r="GW619" s="335"/>
      <c r="GX619" s="335"/>
      <c r="GY619" s="335"/>
      <c r="GZ619" s="335"/>
    </row>
    <row r="620" spans="1:208" ht="15">
      <c r="A620" s="379"/>
      <c r="B620" s="335"/>
      <c r="C620" s="335"/>
      <c r="D620" s="335"/>
      <c r="E620" s="335"/>
      <c r="F620" s="335"/>
      <c r="G620" s="335"/>
      <c r="H620" s="335"/>
      <c r="I620" s="335"/>
      <c r="J620" s="335"/>
      <c r="K620" s="335"/>
      <c r="L620" s="335"/>
      <c r="M620" s="376"/>
      <c r="N620" s="335"/>
      <c r="O620" s="380"/>
      <c r="P620" s="335"/>
      <c r="Q620" s="335"/>
      <c r="R620" s="335"/>
      <c r="S620" s="335"/>
      <c r="T620" s="335"/>
      <c r="U620" s="335"/>
      <c r="V620" s="335"/>
      <c r="W620" s="335"/>
      <c r="X620" s="335"/>
      <c r="Y620" s="335"/>
      <c r="Z620" s="335"/>
      <c r="AA620" s="335"/>
      <c r="AB620" s="335"/>
      <c r="AC620" s="335"/>
      <c r="AD620" s="335"/>
      <c r="AE620" s="335"/>
      <c r="AF620" s="335"/>
      <c r="AG620" s="335"/>
      <c r="AH620" s="335"/>
      <c r="AI620" s="335"/>
      <c r="AJ620" s="335"/>
      <c r="AK620" s="335"/>
      <c r="AL620" s="335"/>
      <c r="AM620" s="335"/>
      <c r="AN620" s="335"/>
      <c r="AO620" s="335"/>
      <c r="AP620" s="335"/>
      <c r="AQ620" s="335"/>
      <c r="AR620" s="335"/>
      <c r="AS620" s="335"/>
      <c r="AT620" s="335"/>
      <c r="AU620" s="335"/>
      <c r="AV620" s="335"/>
      <c r="AW620" s="335"/>
      <c r="AX620" s="335"/>
      <c r="AY620" s="335"/>
      <c r="AZ620" s="335"/>
      <c r="BA620" s="335"/>
      <c r="BB620" s="335"/>
      <c r="BC620" s="335"/>
      <c r="BD620" s="335"/>
      <c r="BE620" s="335"/>
      <c r="BF620" s="335"/>
      <c r="BG620" s="335"/>
      <c r="BH620" s="335"/>
      <c r="BI620" s="335"/>
      <c r="BJ620" s="335"/>
      <c r="BK620" s="335"/>
      <c r="BL620" s="335"/>
      <c r="BM620" s="335"/>
      <c r="BN620" s="335"/>
      <c r="BO620" s="335"/>
      <c r="BP620" s="335"/>
      <c r="BQ620" s="335"/>
      <c r="BR620" s="335"/>
      <c r="BS620" s="335"/>
      <c r="BT620" s="335"/>
      <c r="BU620" s="335"/>
      <c r="BV620" s="335"/>
      <c r="BW620" s="335"/>
      <c r="BX620" s="335"/>
      <c r="BY620" s="335"/>
      <c r="BZ620" s="335"/>
      <c r="CA620" s="335"/>
      <c r="CB620" s="335"/>
      <c r="CC620" s="335"/>
      <c r="CD620" s="335"/>
      <c r="CE620" s="335"/>
      <c r="CF620" s="335"/>
      <c r="CG620" s="335"/>
      <c r="CH620" s="335"/>
      <c r="CI620" s="335"/>
      <c r="CJ620" s="335"/>
      <c r="CK620" s="335"/>
      <c r="CL620" s="335"/>
      <c r="CM620" s="335"/>
      <c r="CN620" s="335"/>
      <c r="CO620" s="335"/>
      <c r="CP620" s="335"/>
      <c r="CQ620" s="335"/>
      <c r="CR620" s="335"/>
      <c r="CS620" s="335"/>
      <c r="CT620" s="335"/>
      <c r="CU620" s="335"/>
      <c r="CV620" s="335"/>
      <c r="CW620" s="335"/>
      <c r="CX620" s="335"/>
      <c r="CY620" s="335"/>
      <c r="CZ620" s="335"/>
      <c r="DA620" s="335"/>
      <c r="DB620" s="335"/>
      <c r="DC620" s="335"/>
      <c r="DD620" s="335"/>
      <c r="DE620" s="335"/>
      <c r="DF620" s="335"/>
      <c r="DG620" s="335"/>
      <c r="DH620" s="335"/>
      <c r="DI620" s="335"/>
      <c r="DJ620" s="335"/>
      <c r="DK620" s="335"/>
      <c r="DL620" s="335"/>
      <c r="DM620" s="335"/>
      <c r="DN620" s="335"/>
      <c r="DO620" s="335"/>
      <c r="DP620" s="335"/>
      <c r="DQ620" s="335"/>
      <c r="DR620" s="335"/>
      <c r="DS620" s="335"/>
      <c r="DT620" s="335"/>
      <c r="DU620" s="335"/>
      <c r="DV620" s="335"/>
      <c r="DW620" s="335"/>
      <c r="DX620" s="335"/>
      <c r="DY620" s="335"/>
      <c r="DZ620" s="335"/>
      <c r="EA620" s="335"/>
      <c r="EB620" s="335"/>
      <c r="EC620" s="335"/>
      <c r="ED620" s="335"/>
      <c r="EE620" s="335"/>
      <c r="EF620" s="335"/>
      <c r="EG620" s="335"/>
      <c r="EH620" s="335"/>
      <c r="EI620" s="335"/>
      <c r="EJ620" s="335"/>
      <c r="EK620" s="335"/>
      <c r="EL620" s="335"/>
      <c r="EM620" s="335"/>
      <c r="EN620" s="335"/>
      <c r="EO620" s="335"/>
      <c r="EP620" s="335"/>
      <c r="EQ620" s="335"/>
      <c r="ER620" s="335"/>
      <c r="ES620" s="335"/>
      <c r="ET620" s="335"/>
      <c r="EU620" s="335"/>
      <c r="EV620" s="335"/>
      <c r="EW620" s="335"/>
      <c r="EX620" s="335"/>
      <c r="EY620" s="335"/>
      <c r="EZ620" s="335"/>
      <c r="FA620" s="335"/>
      <c r="FB620" s="335"/>
      <c r="FC620" s="335"/>
      <c r="FD620" s="335"/>
      <c r="FE620" s="335"/>
      <c r="FF620" s="335"/>
      <c r="FG620" s="335"/>
      <c r="FH620" s="335"/>
      <c r="FI620" s="335"/>
      <c r="FJ620" s="335"/>
      <c r="FK620" s="335"/>
      <c r="FL620" s="335"/>
      <c r="FM620" s="335"/>
      <c r="FN620" s="335"/>
      <c r="FO620" s="335"/>
      <c r="FP620" s="335"/>
      <c r="FQ620" s="335"/>
      <c r="FR620" s="335"/>
      <c r="FS620" s="335"/>
      <c r="FT620" s="335"/>
      <c r="FU620" s="335"/>
      <c r="FV620" s="335"/>
      <c r="FW620" s="335"/>
      <c r="FX620" s="335"/>
      <c r="FY620" s="335"/>
      <c r="FZ620" s="335"/>
      <c r="GA620" s="335"/>
      <c r="GB620" s="335"/>
      <c r="GC620" s="335"/>
      <c r="GD620" s="335"/>
      <c r="GE620" s="335"/>
      <c r="GF620" s="335"/>
      <c r="GG620" s="335"/>
      <c r="GH620" s="335"/>
      <c r="GI620" s="335"/>
      <c r="GJ620" s="335"/>
      <c r="GK620" s="335"/>
      <c r="GL620" s="335"/>
      <c r="GM620" s="335"/>
      <c r="GN620" s="335"/>
      <c r="GO620" s="335"/>
      <c r="GP620" s="335"/>
      <c r="GQ620" s="335"/>
      <c r="GR620" s="335"/>
      <c r="GS620" s="335"/>
      <c r="GT620" s="335"/>
      <c r="GU620" s="335"/>
      <c r="GV620" s="335"/>
      <c r="GW620" s="335"/>
      <c r="GX620" s="335"/>
      <c r="GY620" s="335"/>
      <c r="GZ620" s="335"/>
    </row>
    <row r="621" spans="1:208" ht="15">
      <c r="A621" s="379"/>
      <c r="B621" s="335"/>
      <c r="C621" s="335"/>
      <c r="D621" s="335"/>
      <c r="E621" s="335"/>
      <c r="F621" s="335"/>
      <c r="G621" s="335"/>
      <c r="H621" s="335"/>
      <c r="I621" s="335"/>
      <c r="J621" s="335"/>
      <c r="K621" s="335"/>
      <c r="L621" s="335"/>
      <c r="M621" s="376"/>
      <c r="N621" s="335"/>
      <c r="O621" s="380"/>
      <c r="P621" s="335"/>
      <c r="Q621" s="335"/>
      <c r="R621" s="335"/>
      <c r="S621" s="335"/>
      <c r="T621" s="335"/>
      <c r="U621" s="335"/>
      <c r="V621" s="335"/>
      <c r="W621" s="335"/>
      <c r="X621" s="335"/>
      <c r="Y621" s="335"/>
      <c r="Z621" s="335"/>
      <c r="AA621" s="335"/>
      <c r="AB621" s="335"/>
      <c r="AC621" s="335"/>
      <c r="AD621" s="335"/>
      <c r="AE621" s="335"/>
      <c r="AF621" s="335"/>
      <c r="AG621" s="335"/>
      <c r="AH621" s="335"/>
      <c r="AI621" s="335"/>
      <c r="AJ621" s="335"/>
      <c r="AK621" s="335"/>
      <c r="AL621" s="335"/>
      <c r="AM621" s="335"/>
      <c r="AN621" s="335"/>
      <c r="AO621" s="335"/>
      <c r="AP621" s="335"/>
      <c r="AQ621" s="335"/>
      <c r="AR621" s="335"/>
      <c r="AS621" s="335"/>
      <c r="AT621" s="335"/>
      <c r="AU621" s="335"/>
      <c r="AV621" s="335"/>
      <c r="AW621" s="335"/>
      <c r="AX621" s="335"/>
      <c r="AY621" s="335"/>
      <c r="AZ621" s="335"/>
      <c r="BA621" s="335"/>
      <c r="BB621" s="335"/>
      <c r="BC621" s="335"/>
      <c r="BD621" s="335"/>
      <c r="BE621" s="335"/>
      <c r="BF621" s="335"/>
      <c r="BG621" s="335"/>
      <c r="BH621" s="335"/>
      <c r="BI621" s="335"/>
      <c r="BJ621" s="335"/>
      <c r="BK621" s="335"/>
      <c r="BL621" s="335"/>
      <c r="BM621" s="335"/>
      <c r="BN621" s="335"/>
      <c r="BO621" s="335"/>
      <c r="BP621" s="335"/>
      <c r="BQ621" s="335"/>
      <c r="BR621" s="335"/>
      <c r="BS621" s="335"/>
      <c r="BT621" s="335"/>
      <c r="BU621" s="335"/>
      <c r="BV621" s="335"/>
      <c r="BW621" s="335"/>
      <c r="BX621" s="335"/>
      <c r="BY621" s="335"/>
      <c r="BZ621" s="335"/>
      <c r="CA621" s="335"/>
      <c r="CB621" s="335"/>
      <c r="CC621" s="335"/>
      <c r="CD621" s="335"/>
      <c r="CE621" s="335"/>
      <c r="CF621" s="335"/>
      <c r="CG621" s="335"/>
      <c r="CH621" s="335"/>
      <c r="CI621" s="335"/>
      <c r="CJ621" s="335"/>
      <c r="CK621" s="335"/>
      <c r="CL621" s="335"/>
      <c r="CM621" s="335"/>
      <c r="CN621" s="335"/>
      <c r="CO621" s="335"/>
      <c r="CP621" s="335"/>
      <c r="CQ621" s="335"/>
      <c r="CR621" s="335"/>
      <c r="CS621" s="335"/>
      <c r="CT621" s="335"/>
      <c r="CU621" s="335"/>
      <c r="CV621" s="335"/>
      <c r="CW621" s="335"/>
      <c r="CX621" s="335"/>
      <c r="CY621" s="335"/>
      <c r="CZ621" s="335"/>
      <c r="DA621" s="335"/>
      <c r="DB621" s="335"/>
      <c r="DC621" s="335"/>
      <c r="DD621" s="335"/>
      <c r="DE621" s="335"/>
      <c r="DF621" s="335"/>
      <c r="DG621" s="335"/>
      <c r="DH621" s="335"/>
      <c r="DI621" s="335"/>
      <c r="DJ621" s="335"/>
      <c r="DK621" s="335"/>
      <c r="DL621" s="335"/>
      <c r="DM621" s="335"/>
      <c r="DN621" s="335"/>
      <c r="DO621" s="335"/>
      <c r="DP621" s="335"/>
      <c r="DQ621" s="335"/>
      <c r="DR621" s="335"/>
      <c r="DS621" s="335"/>
      <c r="DT621" s="335"/>
      <c r="DU621" s="335"/>
      <c r="DV621" s="335"/>
      <c r="DW621" s="335"/>
      <c r="DX621" s="335"/>
      <c r="DY621" s="335"/>
      <c r="DZ621" s="335"/>
      <c r="EA621" s="335"/>
      <c r="EB621" s="335"/>
      <c r="EC621" s="335"/>
      <c r="ED621" s="335"/>
      <c r="EE621" s="335"/>
      <c r="EF621" s="335"/>
      <c r="EG621" s="335"/>
      <c r="EH621" s="335"/>
      <c r="EI621" s="335"/>
      <c r="EJ621" s="335"/>
      <c r="EK621" s="335"/>
      <c r="EL621" s="335"/>
      <c r="EM621" s="335"/>
      <c r="EN621" s="335"/>
      <c r="EO621" s="335"/>
      <c r="EP621" s="335"/>
      <c r="EQ621" s="335"/>
      <c r="ER621" s="335"/>
      <c r="ES621" s="335"/>
      <c r="ET621" s="335"/>
      <c r="EU621" s="335"/>
      <c r="EV621" s="335"/>
      <c r="EW621" s="335"/>
      <c r="EX621" s="335"/>
      <c r="EY621" s="335"/>
      <c r="EZ621" s="335"/>
      <c r="FA621" s="335"/>
      <c r="FB621" s="335"/>
      <c r="FC621" s="335"/>
      <c r="FD621" s="335"/>
      <c r="FE621" s="335"/>
      <c r="FF621" s="335"/>
      <c r="FG621" s="335"/>
      <c r="FH621" s="335"/>
      <c r="FI621" s="335"/>
      <c r="FJ621" s="335"/>
      <c r="FK621" s="335"/>
      <c r="FL621" s="335"/>
      <c r="FM621" s="335"/>
      <c r="FN621" s="335"/>
      <c r="FO621" s="335"/>
      <c r="FP621" s="335"/>
      <c r="FQ621" s="335"/>
      <c r="FR621" s="335"/>
      <c r="FS621" s="335"/>
      <c r="FT621" s="335"/>
      <c r="FU621" s="335"/>
      <c r="FV621" s="335"/>
      <c r="FW621" s="335"/>
      <c r="FX621" s="335"/>
      <c r="FY621" s="335"/>
      <c r="FZ621" s="335"/>
      <c r="GA621" s="335"/>
      <c r="GB621" s="335"/>
      <c r="GC621" s="335"/>
      <c r="GD621" s="335"/>
      <c r="GE621" s="335"/>
      <c r="GF621" s="335"/>
      <c r="GG621" s="335"/>
      <c r="GH621" s="335"/>
      <c r="GI621" s="335"/>
      <c r="GJ621" s="335"/>
      <c r="GK621" s="335"/>
      <c r="GL621" s="335"/>
      <c r="GM621" s="335"/>
      <c r="GN621" s="335"/>
      <c r="GO621" s="335"/>
      <c r="GP621" s="335"/>
      <c r="GQ621" s="335"/>
      <c r="GR621" s="335"/>
      <c r="GS621" s="335"/>
      <c r="GT621" s="335"/>
      <c r="GU621" s="335"/>
      <c r="GV621" s="335"/>
      <c r="GW621" s="335"/>
      <c r="GX621" s="335"/>
      <c r="GY621" s="335"/>
      <c r="GZ621" s="335"/>
    </row>
    <row r="622" spans="1:208" ht="15">
      <c r="A622" s="379"/>
      <c r="B622" s="335"/>
      <c r="C622" s="335"/>
      <c r="D622" s="335"/>
      <c r="E622" s="335"/>
      <c r="F622" s="335"/>
      <c r="G622" s="335"/>
      <c r="H622" s="335"/>
      <c r="I622" s="335"/>
      <c r="J622" s="335"/>
      <c r="K622" s="335"/>
      <c r="L622" s="335"/>
      <c r="M622" s="376"/>
      <c r="N622" s="335"/>
      <c r="O622" s="380"/>
      <c r="P622" s="335"/>
      <c r="Q622" s="335"/>
      <c r="R622" s="335"/>
      <c r="S622" s="335"/>
      <c r="T622" s="335"/>
      <c r="U622" s="335"/>
      <c r="V622" s="335"/>
      <c r="W622" s="335"/>
      <c r="X622" s="335"/>
      <c r="Y622" s="335"/>
      <c r="Z622" s="335"/>
      <c r="AA622" s="335"/>
      <c r="AB622" s="335"/>
      <c r="AC622" s="335"/>
      <c r="AD622" s="335"/>
      <c r="AE622" s="335"/>
      <c r="AF622" s="335"/>
      <c r="AG622" s="335"/>
      <c r="AH622" s="335"/>
      <c r="AI622" s="335"/>
      <c r="AJ622" s="335"/>
      <c r="AK622" s="335"/>
      <c r="AL622" s="335"/>
      <c r="AM622" s="335"/>
      <c r="AN622" s="335"/>
      <c r="AO622" s="335"/>
      <c r="AP622" s="335"/>
      <c r="AQ622" s="335"/>
      <c r="AR622" s="335"/>
      <c r="AS622" s="335"/>
      <c r="AT622" s="335"/>
      <c r="AU622" s="335"/>
      <c r="AV622" s="335"/>
      <c r="AW622" s="335"/>
      <c r="AX622" s="335"/>
      <c r="AY622" s="335"/>
      <c r="AZ622" s="335"/>
      <c r="BA622" s="335"/>
      <c r="BB622" s="335"/>
      <c r="BC622" s="335"/>
      <c r="BD622" s="335"/>
      <c r="BE622" s="335"/>
      <c r="BF622" s="335"/>
      <c r="BG622" s="335"/>
      <c r="BH622" s="335"/>
      <c r="BI622" s="335"/>
      <c r="BJ622" s="335"/>
      <c r="BK622" s="335"/>
      <c r="BL622" s="335"/>
      <c r="BM622" s="335"/>
      <c r="BN622" s="335"/>
      <c r="BO622" s="335"/>
      <c r="BP622" s="335"/>
      <c r="BQ622" s="335"/>
      <c r="BR622" s="335"/>
      <c r="BS622" s="335"/>
      <c r="BT622" s="335"/>
      <c r="BU622" s="335"/>
      <c r="BV622" s="335"/>
      <c r="BW622" s="335"/>
      <c r="BX622" s="335"/>
      <c r="BY622" s="335"/>
      <c r="BZ622" s="335"/>
      <c r="CA622" s="335"/>
      <c r="CB622" s="335"/>
      <c r="CC622" s="335"/>
      <c r="CD622" s="335"/>
      <c r="CE622" s="335"/>
      <c r="CF622" s="335"/>
      <c r="CG622" s="335"/>
      <c r="CH622" s="335"/>
      <c r="CI622" s="335"/>
      <c r="CJ622" s="335"/>
      <c r="CK622" s="335"/>
      <c r="CL622" s="335"/>
      <c r="CM622" s="335"/>
      <c r="CN622" s="335"/>
      <c r="CO622" s="335"/>
      <c r="CP622" s="335"/>
      <c r="CQ622" s="335"/>
      <c r="CR622" s="335"/>
      <c r="CS622" s="335"/>
      <c r="CT622" s="335"/>
      <c r="CU622" s="335"/>
      <c r="CV622" s="335"/>
      <c r="CW622" s="335"/>
      <c r="CX622" s="335"/>
      <c r="CY622" s="335"/>
      <c r="CZ622" s="335"/>
      <c r="DA622" s="335"/>
      <c r="DB622" s="335"/>
      <c r="DC622" s="335"/>
      <c r="DD622" s="335"/>
      <c r="DE622" s="335"/>
      <c r="DF622" s="335"/>
      <c r="DG622" s="335"/>
      <c r="DH622" s="335"/>
      <c r="DI622" s="335"/>
      <c r="DJ622" s="335"/>
      <c r="DK622" s="335"/>
      <c r="DL622" s="335"/>
      <c r="DM622" s="335"/>
      <c r="DN622" s="335"/>
      <c r="DO622" s="335"/>
      <c r="DP622" s="335"/>
      <c r="DQ622" s="335"/>
      <c r="DR622" s="335"/>
      <c r="DS622" s="335"/>
      <c r="DT622" s="335"/>
      <c r="DU622" s="335"/>
      <c r="DV622" s="335"/>
      <c r="DW622" s="335"/>
      <c r="DX622" s="335"/>
      <c r="DY622" s="335"/>
      <c r="DZ622" s="335"/>
      <c r="EA622" s="335"/>
      <c r="EB622" s="335"/>
      <c r="EC622" s="335"/>
      <c r="ED622" s="335"/>
      <c r="EE622" s="335"/>
      <c r="EF622" s="335"/>
      <c r="EG622" s="335"/>
      <c r="EH622" s="335"/>
      <c r="EI622" s="335"/>
      <c r="EJ622" s="335"/>
      <c r="EK622" s="335"/>
      <c r="EL622" s="335"/>
      <c r="EM622" s="335"/>
      <c r="EN622" s="335"/>
      <c r="EO622" s="335"/>
      <c r="EP622" s="335"/>
      <c r="EQ622" s="335"/>
      <c r="ER622" s="335"/>
      <c r="ES622" s="335"/>
      <c r="ET622" s="335"/>
      <c r="EU622" s="335"/>
      <c r="EV622" s="335"/>
      <c r="EW622" s="335"/>
      <c r="EX622" s="335"/>
      <c r="EY622" s="335"/>
      <c r="EZ622" s="335"/>
      <c r="FA622" s="335"/>
      <c r="FB622" s="335"/>
      <c r="FC622" s="335"/>
      <c r="FD622" s="335"/>
      <c r="FE622" s="335"/>
      <c r="FF622" s="335"/>
      <c r="FG622" s="335"/>
      <c r="FH622" s="335"/>
      <c r="FI622" s="335"/>
      <c r="FJ622" s="335"/>
      <c r="FK622" s="335"/>
      <c r="FL622" s="335"/>
      <c r="FM622" s="335"/>
      <c r="FN622" s="335"/>
      <c r="FO622" s="335"/>
      <c r="FP622" s="335"/>
      <c r="FQ622" s="335"/>
      <c r="FR622" s="335"/>
      <c r="FS622" s="335"/>
      <c r="FT622" s="335"/>
      <c r="FU622" s="335"/>
      <c r="FV622" s="335"/>
      <c r="FW622" s="335"/>
      <c r="FX622" s="335"/>
      <c r="FY622" s="335"/>
      <c r="FZ622" s="335"/>
      <c r="GA622" s="335"/>
      <c r="GB622" s="335"/>
      <c r="GC622" s="335"/>
      <c r="GD622" s="335"/>
      <c r="GE622" s="335"/>
      <c r="GF622" s="335"/>
      <c r="GG622" s="335"/>
      <c r="GH622" s="335"/>
      <c r="GI622" s="335"/>
      <c r="GJ622" s="335"/>
      <c r="GK622" s="335"/>
      <c r="GL622" s="335"/>
      <c r="GM622" s="335"/>
      <c r="GN622" s="335"/>
      <c r="GO622" s="335"/>
      <c r="GP622" s="335"/>
      <c r="GQ622" s="335"/>
      <c r="GR622" s="335"/>
      <c r="GS622" s="335"/>
      <c r="GT622" s="335"/>
      <c r="GU622" s="335"/>
      <c r="GV622" s="335"/>
      <c r="GW622" s="335"/>
      <c r="GX622" s="335"/>
      <c r="GY622" s="335"/>
      <c r="GZ622" s="335"/>
    </row>
    <row r="623" spans="1:208" ht="15">
      <c r="A623" s="379"/>
      <c r="B623" s="335"/>
      <c r="C623" s="335"/>
      <c r="D623" s="335"/>
      <c r="E623" s="335"/>
      <c r="F623" s="335"/>
      <c r="G623" s="335"/>
      <c r="H623" s="335"/>
      <c r="I623" s="335"/>
      <c r="J623" s="335"/>
      <c r="K623" s="335"/>
      <c r="L623" s="335"/>
      <c r="M623" s="376"/>
      <c r="N623" s="335"/>
      <c r="O623" s="380"/>
      <c r="P623" s="335"/>
      <c r="Q623" s="335"/>
      <c r="R623" s="335"/>
      <c r="S623" s="335"/>
      <c r="T623" s="335"/>
      <c r="U623" s="335"/>
      <c r="V623" s="335"/>
      <c r="W623" s="335"/>
      <c r="X623" s="335"/>
      <c r="Y623" s="335"/>
      <c r="Z623" s="335"/>
      <c r="AA623" s="335"/>
      <c r="AB623" s="335"/>
      <c r="AC623" s="335"/>
      <c r="AD623" s="335"/>
      <c r="AE623" s="335"/>
      <c r="AF623" s="335"/>
      <c r="AG623" s="335"/>
      <c r="AH623" s="335"/>
      <c r="AI623" s="335"/>
      <c r="AJ623" s="335"/>
      <c r="AK623" s="335"/>
      <c r="AL623" s="335"/>
      <c r="AM623" s="335"/>
      <c r="AN623" s="335"/>
      <c r="AO623" s="335"/>
      <c r="AP623" s="335"/>
      <c r="AQ623" s="335"/>
      <c r="AR623" s="335"/>
      <c r="AS623" s="335"/>
      <c r="AT623" s="335"/>
      <c r="AU623" s="335"/>
      <c r="AV623" s="335"/>
      <c r="AW623" s="335"/>
      <c r="AX623" s="335"/>
      <c r="AY623" s="335"/>
      <c r="AZ623" s="335"/>
      <c r="BA623" s="335"/>
      <c r="BB623" s="335"/>
      <c r="BC623" s="335"/>
      <c r="BD623" s="335"/>
      <c r="BE623" s="335"/>
      <c r="BF623" s="335"/>
      <c r="BG623" s="335"/>
      <c r="BH623" s="335"/>
      <c r="BI623" s="335"/>
      <c r="BJ623" s="335"/>
      <c r="BK623" s="335"/>
      <c r="BL623" s="335"/>
      <c r="BM623" s="335"/>
      <c r="BN623" s="335"/>
      <c r="BO623" s="335"/>
      <c r="BP623" s="335"/>
      <c r="BQ623" s="335"/>
      <c r="BR623" s="335"/>
      <c r="BS623" s="335"/>
      <c r="BT623" s="335"/>
      <c r="BU623" s="335"/>
      <c r="BV623" s="335"/>
      <c r="BW623" s="335"/>
      <c r="BX623" s="335"/>
      <c r="BY623" s="335"/>
      <c r="BZ623" s="335"/>
      <c r="CA623" s="335"/>
      <c r="CB623" s="335"/>
      <c r="CC623" s="335"/>
      <c r="CD623" s="335"/>
      <c r="CE623" s="335"/>
      <c r="CF623" s="335"/>
      <c r="CG623" s="335"/>
      <c r="CH623" s="335"/>
      <c r="CI623" s="335"/>
      <c r="CJ623" s="335"/>
      <c r="CK623" s="335"/>
      <c r="CL623" s="335"/>
      <c r="CM623" s="335"/>
      <c r="CN623" s="335"/>
      <c r="CO623" s="335"/>
      <c r="CP623" s="335"/>
      <c r="CQ623" s="335"/>
      <c r="CR623" s="335"/>
      <c r="CS623" s="335"/>
      <c r="CT623" s="335"/>
      <c r="CU623" s="335"/>
      <c r="CV623" s="335"/>
      <c r="CW623" s="335"/>
      <c r="CX623" s="335"/>
      <c r="CY623" s="335"/>
      <c r="CZ623" s="335"/>
      <c r="DA623" s="335"/>
      <c r="DB623" s="335"/>
      <c r="DC623" s="335"/>
      <c r="DD623" s="335"/>
      <c r="DE623" s="335"/>
      <c r="DF623" s="335"/>
      <c r="DG623" s="335"/>
      <c r="DH623" s="335"/>
      <c r="DI623" s="335"/>
      <c r="DJ623" s="335"/>
      <c r="DK623" s="335"/>
      <c r="DL623" s="335"/>
      <c r="DM623" s="335"/>
      <c r="DN623" s="335"/>
      <c r="DO623" s="335"/>
      <c r="DP623" s="335"/>
      <c r="DQ623" s="335"/>
      <c r="DR623" s="335"/>
      <c r="DS623" s="335"/>
      <c r="DT623" s="335"/>
      <c r="DU623" s="335"/>
      <c r="DV623" s="335"/>
      <c r="DW623" s="335"/>
      <c r="DX623" s="335"/>
      <c r="DY623" s="335"/>
      <c r="DZ623" s="335"/>
      <c r="EA623" s="335"/>
      <c r="EB623" s="335"/>
      <c r="EC623" s="335"/>
      <c r="ED623" s="335"/>
      <c r="EE623" s="335"/>
      <c r="EF623" s="335"/>
      <c r="EG623" s="335"/>
      <c r="EH623" s="335"/>
      <c r="EI623" s="335"/>
      <c r="EJ623" s="335"/>
      <c r="EK623" s="335"/>
      <c r="EL623" s="335"/>
      <c r="EM623" s="335"/>
      <c r="EN623" s="335"/>
      <c r="EO623" s="335"/>
      <c r="EP623" s="335"/>
      <c r="EQ623" s="335"/>
      <c r="ER623" s="335"/>
      <c r="ES623" s="335"/>
      <c r="ET623" s="335"/>
      <c r="EU623" s="335"/>
      <c r="EV623" s="335"/>
      <c r="EW623" s="335"/>
      <c r="EX623" s="335"/>
      <c r="EY623" s="335"/>
      <c r="EZ623" s="335"/>
      <c r="FA623" s="335"/>
      <c r="FB623" s="335"/>
      <c r="FC623" s="335"/>
      <c r="FD623" s="335"/>
      <c r="FE623" s="335"/>
      <c r="FF623" s="335"/>
      <c r="FG623" s="335"/>
      <c r="FH623" s="335"/>
      <c r="FI623" s="335"/>
      <c r="FJ623" s="335"/>
      <c r="FK623" s="335"/>
      <c r="FL623" s="335"/>
      <c r="FM623" s="335"/>
      <c r="FN623" s="335"/>
      <c r="FO623" s="335"/>
      <c r="FP623" s="335"/>
      <c r="FQ623" s="335"/>
      <c r="FR623" s="335"/>
      <c r="FS623" s="335"/>
      <c r="FT623" s="335"/>
      <c r="FU623" s="335"/>
      <c r="FV623" s="335"/>
      <c r="FW623" s="335"/>
      <c r="FX623" s="335"/>
      <c r="FY623" s="335"/>
      <c r="FZ623" s="335"/>
      <c r="GA623" s="335"/>
      <c r="GB623" s="335"/>
      <c r="GC623" s="335"/>
      <c r="GD623" s="335"/>
      <c r="GE623" s="335"/>
      <c r="GF623" s="335"/>
      <c r="GG623" s="335"/>
      <c r="GH623" s="335"/>
      <c r="GI623" s="335"/>
      <c r="GJ623" s="335"/>
      <c r="GK623" s="335"/>
      <c r="GL623" s="335"/>
      <c r="GM623" s="335"/>
      <c r="GN623" s="335"/>
      <c r="GO623" s="335"/>
      <c r="GP623" s="335"/>
      <c r="GQ623" s="335"/>
      <c r="GR623" s="335"/>
      <c r="GS623" s="335"/>
      <c r="GT623" s="335"/>
      <c r="GU623" s="335"/>
      <c r="GV623" s="335"/>
      <c r="GW623" s="335"/>
      <c r="GX623" s="335"/>
      <c r="GY623" s="335"/>
      <c r="GZ623" s="335"/>
    </row>
    <row r="624" spans="1:208" ht="15">
      <c r="A624" s="379"/>
      <c r="B624" s="335"/>
      <c r="C624" s="335"/>
      <c r="D624" s="335"/>
      <c r="E624" s="335"/>
      <c r="F624" s="335"/>
      <c r="G624" s="335"/>
      <c r="H624" s="335"/>
      <c r="I624" s="335"/>
      <c r="J624" s="335"/>
      <c r="K624" s="335"/>
      <c r="L624" s="335"/>
      <c r="M624" s="376"/>
      <c r="N624" s="335"/>
      <c r="O624" s="380"/>
      <c r="P624" s="335"/>
      <c r="Q624" s="335"/>
      <c r="R624" s="335"/>
      <c r="S624" s="335"/>
      <c r="T624" s="335"/>
      <c r="U624" s="335"/>
      <c r="V624" s="335"/>
      <c r="W624" s="335"/>
      <c r="X624" s="335"/>
      <c r="Y624" s="335"/>
      <c r="Z624" s="335"/>
      <c r="AA624" s="335"/>
      <c r="AB624" s="335"/>
      <c r="AC624" s="335"/>
      <c r="AD624" s="335"/>
      <c r="AE624" s="335"/>
      <c r="AF624" s="335"/>
      <c r="AG624" s="335"/>
      <c r="AH624" s="335"/>
      <c r="AI624" s="335"/>
      <c r="AJ624" s="335"/>
      <c r="AK624" s="335"/>
      <c r="AL624" s="335"/>
      <c r="AM624" s="335"/>
      <c r="AN624" s="335"/>
      <c r="AO624" s="335"/>
      <c r="AP624" s="335"/>
      <c r="AQ624" s="335"/>
      <c r="AR624" s="335"/>
      <c r="AS624" s="335"/>
      <c r="AT624" s="335"/>
      <c r="AU624" s="335"/>
      <c r="AV624" s="335"/>
      <c r="AW624" s="335"/>
      <c r="AX624" s="335"/>
      <c r="AY624" s="335"/>
      <c r="AZ624" s="335"/>
      <c r="BA624" s="335"/>
      <c r="BB624" s="335"/>
      <c r="BC624" s="335"/>
      <c r="BD624" s="335"/>
      <c r="BE624" s="335"/>
      <c r="BF624" s="335"/>
      <c r="BG624" s="335"/>
      <c r="BH624" s="335"/>
      <c r="BI624" s="335"/>
      <c r="BJ624" s="335"/>
      <c r="BK624" s="335"/>
      <c r="BL624" s="335"/>
      <c r="BM624" s="335"/>
      <c r="BN624" s="335"/>
      <c r="BO624" s="335"/>
      <c r="BP624" s="335"/>
      <c r="BQ624" s="335"/>
      <c r="BR624" s="335"/>
      <c r="BS624" s="335"/>
      <c r="BT624" s="335"/>
      <c r="BU624" s="335"/>
      <c r="BV624" s="335"/>
      <c r="BW624" s="335"/>
      <c r="BX624" s="335"/>
      <c r="BY624" s="335"/>
      <c r="BZ624" s="335"/>
      <c r="CA624" s="335"/>
      <c r="CB624" s="335"/>
      <c r="CC624" s="335"/>
      <c r="CD624" s="335"/>
      <c r="CE624" s="335"/>
      <c r="CF624" s="335"/>
      <c r="CG624" s="335"/>
      <c r="CH624" s="335"/>
      <c r="CI624" s="335"/>
      <c r="CJ624" s="335"/>
      <c r="CK624" s="335"/>
      <c r="CL624" s="335"/>
      <c r="CM624" s="335"/>
      <c r="CN624" s="335"/>
      <c r="CO624" s="335"/>
      <c r="CP624" s="335"/>
      <c r="CQ624" s="335"/>
      <c r="CR624" s="335"/>
      <c r="CS624" s="335"/>
      <c r="CT624" s="335"/>
      <c r="CU624" s="335"/>
      <c r="CV624" s="335"/>
      <c r="CW624" s="335"/>
      <c r="CX624" s="335"/>
      <c r="CY624" s="335"/>
      <c r="CZ624" s="335"/>
      <c r="DA624" s="335"/>
      <c r="DB624" s="335"/>
      <c r="DC624" s="335"/>
      <c r="DD624" s="335"/>
      <c r="DE624" s="335"/>
      <c r="DF624" s="335"/>
      <c r="DG624" s="335"/>
      <c r="DH624" s="335"/>
      <c r="DI624" s="335"/>
      <c r="DJ624" s="335"/>
      <c r="DK624" s="335"/>
      <c r="DL624" s="335"/>
      <c r="DM624" s="335"/>
      <c r="DN624" s="335"/>
      <c r="DO624" s="335"/>
      <c r="DP624" s="335"/>
      <c r="DQ624" s="335"/>
      <c r="DR624" s="335"/>
      <c r="DS624" s="335"/>
      <c r="DT624" s="335"/>
      <c r="DU624" s="335"/>
      <c r="DV624" s="335"/>
      <c r="DW624" s="335"/>
      <c r="DX624" s="335"/>
      <c r="DY624" s="335"/>
      <c r="DZ624" s="335"/>
      <c r="EA624" s="335"/>
      <c r="EB624" s="335"/>
      <c r="EC624" s="335"/>
      <c r="ED624" s="335"/>
      <c r="EE624" s="335"/>
      <c r="EF624" s="335"/>
      <c r="EG624" s="335"/>
      <c r="EH624" s="335"/>
      <c r="EI624" s="335"/>
      <c r="EJ624" s="335"/>
      <c r="EK624" s="335"/>
      <c r="EL624" s="335"/>
      <c r="EM624" s="335"/>
      <c r="EN624" s="335"/>
      <c r="EO624" s="335"/>
      <c r="EP624" s="335"/>
      <c r="EQ624" s="335"/>
      <c r="ER624" s="335"/>
      <c r="ES624" s="335"/>
      <c r="ET624" s="335"/>
      <c r="EU624" s="335"/>
      <c r="EV624" s="335"/>
      <c r="EW624" s="335"/>
      <c r="EX624" s="335"/>
      <c r="EY624" s="335"/>
      <c r="EZ624" s="335"/>
      <c r="FA624" s="335"/>
      <c r="FB624" s="335"/>
      <c r="FC624" s="335"/>
      <c r="FD624" s="335"/>
      <c r="FE624" s="335"/>
      <c r="FF624" s="335"/>
      <c r="FG624" s="335"/>
      <c r="FH624" s="335"/>
      <c r="FI624" s="335"/>
      <c r="FJ624" s="335"/>
      <c r="FK624" s="335"/>
      <c r="FL624" s="335"/>
      <c r="FM624" s="335"/>
      <c r="FN624" s="335"/>
      <c r="FO624" s="335"/>
      <c r="FP624" s="335"/>
      <c r="FQ624" s="335"/>
      <c r="FR624" s="335"/>
      <c r="FS624" s="335"/>
      <c r="FT624" s="335"/>
      <c r="FU624" s="335"/>
      <c r="FV624" s="335"/>
      <c r="FW624" s="335"/>
      <c r="FX624" s="335"/>
      <c r="FY624" s="335"/>
      <c r="FZ624" s="335"/>
      <c r="GA624" s="335"/>
      <c r="GB624" s="335"/>
      <c r="GC624" s="335"/>
      <c r="GD624" s="335"/>
      <c r="GE624" s="335"/>
      <c r="GF624" s="335"/>
      <c r="GG624" s="335"/>
      <c r="GH624" s="335"/>
      <c r="GI624" s="335"/>
      <c r="GJ624" s="335"/>
      <c r="GK624" s="335"/>
      <c r="GL624" s="335"/>
      <c r="GM624" s="335"/>
      <c r="GN624" s="335"/>
      <c r="GO624" s="335"/>
      <c r="GP624" s="335"/>
      <c r="GQ624" s="335"/>
      <c r="GR624" s="335"/>
      <c r="GS624" s="335"/>
      <c r="GT624" s="335"/>
      <c r="GU624" s="335"/>
      <c r="GV624" s="335"/>
      <c r="GW624" s="335"/>
      <c r="GX624" s="335"/>
      <c r="GY624" s="335"/>
      <c r="GZ624" s="335"/>
    </row>
    <row r="625" spans="1:208" ht="15">
      <c r="A625" s="379"/>
      <c r="B625" s="335"/>
      <c r="C625" s="335"/>
      <c r="D625" s="335"/>
      <c r="E625" s="335"/>
      <c r="F625" s="335"/>
      <c r="G625" s="335"/>
      <c r="H625" s="335"/>
      <c r="I625" s="335"/>
      <c r="J625" s="335"/>
      <c r="K625" s="335"/>
      <c r="L625" s="335"/>
      <c r="M625" s="376"/>
      <c r="N625" s="335"/>
      <c r="O625" s="380"/>
      <c r="P625" s="335"/>
      <c r="Q625" s="335"/>
      <c r="R625" s="335"/>
      <c r="S625" s="335"/>
      <c r="T625" s="335"/>
      <c r="U625" s="335"/>
      <c r="V625" s="335"/>
      <c r="W625" s="335"/>
      <c r="X625" s="335"/>
      <c r="Y625" s="335"/>
      <c r="Z625" s="335"/>
      <c r="AA625" s="335"/>
      <c r="AB625" s="335"/>
      <c r="AC625" s="335"/>
      <c r="AD625" s="335"/>
      <c r="AE625" s="335"/>
      <c r="AF625" s="335"/>
      <c r="AG625" s="335"/>
      <c r="AH625" s="335"/>
      <c r="AI625" s="335"/>
      <c r="AJ625" s="335"/>
      <c r="AK625" s="335"/>
      <c r="AL625" s="335"/>
      <c r="AM625" s="335"/>
      <c r="AN625" s="335"/>
      <c r="AO625" s="335"/>
      <c r="AP625" s="335"/>
      <c r="AQ625" s="335"/>
      <c r="AR625" s="335"/>
      <c r="AS625" s="335"/>
      <c r="AT625" s="335"/>
      <c r="AU625" s="335"/>
      <c r="AV625" s="335"/>
      <c r="AW625" s="335"/>
      <c r="AX625" s="335"/>
      <c r="AY625" s="335"/>
      <c r="AZ625" s="335"/>
      <c r="BA625" s="335"/>
      <c r="BB625" s="335"/>
      <c r="BC625" s="335"/>
      <c r="BD625" s="335"/>
      <c r="BE625" s="335"/>
      <c r="BF625" s="335"/>
      <c r="BG625" s="335"/>
      <c r="BH625" s="335"/>
      <c r="BI625" s="335"/>
      <c r="BJ625" s="335"/>
      <c r="BK625" s="335"/>
      <c r="BL625" s="335"/>
      <c r="BM625" s="335"/>
      <c r="BN625" s="335"/>
      <c r="BO625" s="335"/>
      <c r="BP625" s="335"/>
      <c r="BQ625" s="335"/>
      <c r="BR625" s="335"/>
      <c r="BS625" s="335"/>
      <c r="BT625" s="335"/>
      <c r="BU625" s="335"/>
      <c r="BV625" s="335"/>
      <c r="BW625" s="335"/>
      <c r="BX625" s="335"/>
      <c r="BY625" s="335"/>
      <c r="BZ625" s="335"/>
      <c r="CA625" s="335"/>
      <c r="CB625" s="335"/>
      <c r="CC625" s="335"/>
      <c r="CD625" s="335"/>
      <c r="CE625" s="335"/>
      <c r="CF625" s="335"/>
      <c r="CG625" s="335"/>
      <c r="CH625" s="335"/>
      <c r="CI625" s="335"/>
      <c r="CJ625" s="335"/>
      <c r="CK625" s="335"/>
      <c r="CL625" s="335"/>
      <c r="CM625" s="335"/>
      <c r="CN625" s="335"/>
      <c r="CO625" s="335"/>
      <c r="CP625" s="335"/>
      <c r="CQ625" s="335"/>
      <c r="CR625" s="335"/>
      <c r="CS625" s="335"/>
      <c r="CT625" s="335"/>
      <c r="CU625" s="335"/>
      <c r="CV625" s="335"/>
      <c r="CW625" s="335"/>
      <c r="CX625" s="335"/>
      <c r="CY625" s="335"/>
      <c r="CZ625" s="335"/>
      <c r="DA625" s="335"/>
      <c r="DB625" s="335"/>
      <c r="DC625" s="335"/>
      <c r="DD625" s="335"/>
      <c r="DE625" s="335"/>
      <c r="DF625" s="335"/>
      <c r="DG625" s="335"/>
      <c r="DH625" s="335"/>
      <c r="DI625" s="335"/>
      <c r="DJ625" s="335"/>
      <c r="DK625" s="335"/>
      <c r="DL625" s="335"/>
      <c r="DM625" s="335"/>
      <c r="DN625" s="335"/>
      <c r="DO625" s="335"/>
      <c r="DP625" s="335"/>
      <c r="DQ625" s="335"/>
      <c r="DR625" s="335"/>
      <c r="DS625" s="335"/>
      <c r="DT625" s="335"/>
      <c r="DU625" s="335"/>
      <c r="DV625" s="335"/>
      <c r="DW625" s="335"/>
      <c r="DX625" s="335"/>
      <c r="DY625" s="335"/>
      <c r="DZ625" s="335"/>
      <c r="EA625" s="335"/>
      <c r="EB625" s="335"/>
      <c r="EC625" s="335"/>
      <c r="ED625" s="335"/>
      <c r="EE625" s="335"/>
      <c r="EF625" s="335"/>
      <c r="EG625" s="335"/>
      <c r="EH625" s="335"/>
      <c r="EI625" s="335"/>
      <c r="EJ625" s="335"/>
      <c r="EK625" s="335"/>
      <c r="EL625" s="335"/>
      <c r="EM625" s="335"/>
      <c r="EN625" s="335"/>
      <c r="EO625" s="335"/>
      <c r="EP625" s="335"/>
      <c r="EQ625" s="335"/>
      <c r="ER625" s="335"/>
      <c r="ES625" s="335"/>
      <c r="ET625" s="335"/>
      <c r="EU625" s="335"/>
      <c r="EV625" s="335"/>
      <c r="EW625" s="335"/>
      <c r="EX625" s="335"/>
      <c r="EY625" s="335"/>
      <c r="EZ625" s="335"/>
      <c r="FA625" s="335"/>
      <c r="FB625" s="335"/>
      <c r="FC625" s="335"/>
      <c r="FD625" s="335"/>
      <c r="FE625" s="335"/>
      <c r="FF625" s="335"/>
      <c r="FG625" s="335"/>
      <c r="FH625" s="335"/>
      <c r="FI625" s="335"/>
      <c r="FJ625" s="335"/>
      <c r="FK625" s="335"/>
      <c r="FL625" s="335"/>
      <c r="FM625" s="335"/>
      <c r="FN625" s="335"/>
      <c r="FO625" s="335"/>
      <c r="FP625" s="335"/>
      <c r="FQ625" s="335"/>
      <c r="FR625" s="335"/>
      <c r="FS625" s="335"/>
      <c r="FT625" s="335"/>
      <c r="FU625" s="335"/>
      <c r="FV625" s="335"/>
      <c r="FW625" s="335"/>
      <c r="FX625" s="335"/>
      <c r="FY625" s="335"/>
      <c r="FZ625" s="335"/>
      <c r="GA625" s="335"/>
      <c r="GB625" s="335"/>
      <c r="GC625" s="335"/>
      <c r="GD625" s="335"/>
      <c r="GE625" s="335"/>
      <c r="GF625" s="335"/>
      <c r="GG625" s="335"/>
      <c r="GH625" s="335"/>
      <c r="GI625" s="335"/>
      <c r="GJ625" s="335"/>
      <c r="GK625" s="335"/>
      <c r="GL625" s="335"/>
      <c r="GM625" s="335"/>
      <c r="GN625" s="335"/>
      <c r="GO625" s="335"/>
      <c r="GP625" s="335"/>
      <c r="GQ625" s="335"/>
      <c r="GR625" s="335"/>
      <c r="GS625" s="335"/>
      <c r="GT625" s="335"/>
      <c r="GU625" s="335"/>
      <c r="GV625" s="335"/>
      <c r="GW625" s="335"/>
      <c r="GX625" s="335"/>
      <c r="GY625" s="335"/>
      <c r="GZ625" s="335"/>
    </row>
    <row r="626" spans="1:208" ht="15">
      <c r="A626" s="379"/>
      <c r="B626" s="335"/>
      <c r="C626" s="335"/>
      <c r="D626" s="335"/>
      <c r="E626" s="335"/>
      <c r="F626" s="335"/>
      <c r="G626" s="335"/>
      <c r="H626" s="335"/>
      <c r="I626" s="335"/>
      <c r="J626" s="335"/>
      <c r="K626" s="335"/>
      <c r="L626" s="335"/>
      <c r="M626" s="376"/>
      <c r="N626" s="335"/>
      <c r="O626" s="380"/>
      <c r="P626" s="335"/>
      <c r="Q626" s="335"/>
      <c r="R626" s="335"/>
      <c r="S626" s="335"/>
      <c r="T626" s="335"/>
      <c r="U626" s="335"/>
      <c r="V626" s="335"/>
      <c r="W626" s="335"/>
      <c r="X626" s="335"/>
      <c r="Y626" s="335"/>
      <c r="Z626" s="335"/>
      <c r="AA626" s="335"/>
      <c r="AB626" s="335"/>
      <c r="AC626" s="335"/>
      <c r="AD626" s="335"/>
      <c r="AE626" s="335"/>
      <c r="AF626" s="335"/>
      <c r="AG626" s="335"/>
      <c r="AH626" s="335"/>
      <c r="AI626" s="335"/>
      <c r="AJ626" s="335"/>
      <c r="AK626" s="335"/>
      <c r="AL626" s="335"/>
      <c r="AM626" s="335"/>
      <c r="AN626" s="335"/>
      <c r="AO626" s="335"/>
      <c r="AP626" s="335"/>
      <c r="AQ626" s="335"/>
      <c r="AR626" s="335"/>
      <c r="AS626" s="335"/>
      <c r="AT626" s="335"/>
      <c r="AU626" s="335"/>
      <c r="AV626" s="335"/>
      <c r="AW626" s="335"/>
      <c r="AX626" s="335"/>
      <c r="AY626" s="335"/>
      <c r="AZ626" s="335"/>
      <c r="BA626" s="335"/>
      <c r="BB626" s="335"/>
      <c r="BC626" s="335"/>
      <c r="BD626" s="335"/>
      <c r="BE626" s="335"/>
      <c r="BF626" s="335"/>
      <c r="BG626" s="335"/>
      <c r="BH626" s="335"/>
      <c r="BI626" s="335"/>
      <c r="BJ626" s="335"/>
      <c r="BK626" s="335"/>
      <c r="BL626" s="335"/>
      <c r="BM626" s="335"/>
      <c r="BN626" s="335"/>
      <c r="BO626" s="335"/>
      <c r="BP626" s="335"/>
      <c r="BQ626" s="335"/>
      <c r="BR626" s="335"/>
      <c r="BS626" s="335"/>
      <c r="BT626" s="335"/>
      <c r="BU626" s="335"/>
      <c r="BV626" s="335"/>
      <c r="BW626" s="335"/>
      <c r="BX626" s="335"/>
      <c r="BY626" s="335"/>
      <c r="BZ626" s="335"/>
      <c r="CA626" s="335"/>
      <c r="CB626" s="335"/>
      <c r="CC626" s="335"/>
      <c r="CD626" s="335"/>
      <c r="CE626" s="335"/>
      <c r="CF626" s="335"/>
      <c r="CG626" s="335"/>
      <c r="CH626" s="335"/>
      <c r="CI626" s="335"/>
      <c r="CJ626" s="335"/>
      <c r="CK626" s="335"/>
      <c r="CL626" s="335"/>
      <c r="CM626" s="335"/>
      <c r="CN626" s="335"/>
      <c r="CO626" s="335"/>
      <c r="CP626" s="335"/>
      <c r="CQ626" s="335"/>
      <c r="CR626" s="335"/>
      <c r="CS626" s="335"/>
      <c r="CT626" s="335"/>
      <c r="CU626" s="335"/>
      <c r="CV626" s="335"/>
      <c r="CW626" s="335"/>
      <c r="CX626" s="335"/>
      <c r="CY626" s="335"/>
      <c r="CZ626" s="335"/>
      <c r="DA626" s="335"/>
      <c r="DB626" s="335"/>
      <c r="DC626" s="335"/>
      <c r="DD626" s="335"/>
      <c r="DE626" s="335"/>
      <c r="DF626" s="335"/>
      <c r="DG626" s="335"/>
      <c r="DH626" s="335"/>
      <c r="DI626" s="335"/>
      <c r="DJ626" s="335"/>
      <c r="DK626" s="335"/>
      <c r="DL626" s="335"/>
      <c r="DM626" s="335"/>
      <c r="DN626" s="335"/>
      <c r="DO626" s="335"/>
      <c r="DP626" s="335"/>
      <c r="DQ626" s="335"/>
      <c r="DR626" s="335"/>
      <c r="DS626" s="335"/>
      <c r="DT626" s="335"/>
      <c r="DU626" s="335"/>
      <c r="DV626" s="335"/>
      <c r="DW626" s="335"/>
      <c r="DX626" s="335"/>
      <c r="DY626" s="335"/>
      <c r="DZ626" s="335"/>
      <c r="EA626" s="335"/>
      <c r="EB626" s="335"/>
      <c r="EC626" s="335"/>
      <c r="ED626" s="335"/>
      <c r="EE626" s="335"/>
      <c r="EF626" s="335"/>
      <c r="EG626" s="335"/>
      <c r="EH626" s="335"/>
      <c r="EI626" s="335"/>
      <c r="EJ626" s="335"/>
      <c r="EK626" s="335"/>
      <c r="EL626" s="335"/>
      <c r="EM626" s="335"/>
      <c r="EN626" s="335"/>
      <c r="EO626" s="335"/>
      <c r="EP626" s="335"/>
      <c r="EQ626" s="335"/>
      <c r="ER626" s="335"/>
      <c r="ES626" s="335"/>
      <c r="ET626" s="335"/>
      <c r="EU626" s="335"/>
      <c r="EV626" s="335"/>
      <c r="EW626" s="335"/>
      <c r="EX626" s="335"/>
      <c r="EY626" s="335"/>
      <c r="EZ626" s="335"/>
      <c r="FA626" s="335"/>
      <c r="FB626" s="335"/>
      <c r="FC626" s="335"/>
      <c r="FD626" s="335"/>
      <c r="FE626" s="335"/>
      <c r="FF626" s="335"/>
      <c r="FG626" s="335"/>
      <c r="FH626" s="335"/>
      <c r="FI626" s="335"/>
      <c r="FJ626" s="335"/>
      <c r="FK626" s="335"/>
      <c r="FL626" s="335"/>
      <c r="FM626" s="335"/>
      <c r="FN626" s="335"/>
      <c r="FO626" s="335"/>
      <c r="FP626" s="335"/>
      <c r="FQ626" s="335"/>
      <c r="FR626" s="335"/>
      <c r="FS626" s="335"/>
      <c r="FT626" s="335"/>
      <c r="FU626" s="335"/>
      <c r="FV626" s="335"/>
      <c r="FW626" s="335"/>
      <c r="FX626" s="335"/>
      <c r="FY626" s="335"/>
      <c r="FZ626" s="335"/>
      <c r="GA626" s="335"/>
      <c r="GB626" s="335"/>
      <c r="GC626" s="335"/>
      <c r="GD626" s="335"/>
      <c r="GE626" s="335"/>
      <c r="GF626" s="335"/>
      <c r="GG626" s="335"/>
      <c r="GH626" s="335"/>
      <c r="GI626" s="335"/>
      <c r="GJ626" s="335"/>
      <c r="GK626" s="335"/>
      <c r="GL626" s="335"/>
      <c r="GM626" s="335"/>
      <c r="GN626" s="335"/>
      <c r="GO626" s="335"/>
      <c r="GP626" s="335"/>
      <c r="GQ626" s="335"/>
      <c r="GR626" s="335"/>
      <c r="GS626" s="335"/>
      <c r="GT626" s="335"/>
      <c r="GU626" s="335"/>
      <c r="GV626" s="335"/>
      <c r="GW626" s="335"/>
      <c r="GX626" s="335"/>
      <c r="GY626" s="335"/>
      <c r="GZ626" s="335"/>
    </row>
    <row r="627" spans="1:208" ht="15">
      <c r="A627" s="379"/>
      <c r="B627" s="335"/>
      <c r="C627" s="335"/>
      <c r="D627" s="335"/>
      <c r="E627" s="335"/>
      <c r="F627" s="335"/>
      <c r="G627" s="335"/>
      <c r="H627" s="335"/>
      <c r="I627" s="335"/>
      <c r="J627" s="335"/>
      <c r="K627" s="335"/>
      <c r="L627" s="335"/>
      <c r="M627" s="376"/>
      <c r="N627" s="335"/>
      <c r="O627" s="380"/>
      <c r="P627" s="335"/>
      <c r="Q627" s="335"/>
      <c r="R627" s="335"/>
      <c r="S627" s="335"/>
      <c r="T627" s="335"/>
      <c r="U627" s="335"/>
      <c r="V627" s="335"/>
      <c r="W627" s="335"/>
      <c r="X627" s="335"/>
      <c r="Y627" s="335"/>
      <c r="Z627" s="335"/>
      <c r="AA627" s="335"/>
      <c r="AB627" s="335"/>
      <c r="AC627" s="335"/>
      <c r="AD627" s="335"/>
      <c r="AE627" s="335"/>
      <c r="AF627" s="335"/>
      <c r="AG627" s="335"/>
      <c r="AH627" s="335"/>
      <c r="AI627" s="335"/>
      <c r="AJ627" s="335"/>
      <c r="AK627" s="335"/>
      <c r="AL627" s="335"/>
      <c r="AM627" s="335"/>
      <c r="AN627" s="335"/>
      <c r="AO627" s="335"/>
      <c r="AP627" s="335"/>
      <c r="AQ627" s="335"/>
      <c r="AR627" s="335"/>
      <c r="AS627" s="335"/>
      <c r="AT627" s="335"/>
      <c r="AU627" s="335"/>
      <c r="AV627" s="335"/>
      <c r="AW627" s="335"/>
      <c r="AX627" s="335"/>
      <c r="AY627" s="335"/>
      <c r="AZ627" s="335"/>
      <c r="BA627" s="335"/>
      <c r="BB627" s="335"/>
      <c r="BC627" s="335"/>
      <c r="BD627" s="335"/>
      <c r="BE627" s="335"/>
      <c r="BF627" s="335"/>
      <c r="BG627" s="335"/>
      <c r="BH627" s="335"/>
      <c r="BI627" s="335"/>
      <c r="BJ627" s="335"/>
      <c r="BK627" s="335"/>
      <c r="BL627" s="335"/>
      <c r="BM627" s="335"/>
      <c r="BN627" s="335"/>
      <c r="BO627" s="335"/>
      <c r="BP627" s="335"/>
      <c r="BQ627" s="335"/>
      <c r="BR627" s="335"/>
      <c r="BS627" s="335"/>
      <c r="BT627" s="335"/>
      <c r="BU627" s="335"/>
      <c r="BV627" s="335"/>
      <c r="BW627" s="335"/>
      <c r="BX627" s="335"/>
      <c r="BY627" s="335"/>
      <c r="BZ627" s="335"/>
      <c r="CA627" s="335"/>
      <c r="CB627" s="335"/>
      <c r="CC627" s="335"/>
      <c r="CD627" s="335"/>
      <c r="CE627" s="335"/>
      <c r="CF627" s="335"/>
      <c r="CG627" s="335"/>
      <c r="CH627" s="335"/>
      <c r="CI627" s="335"/>
      <c r="CJ627" s="335"/>
      <c r="CK627" s="335"/>
      <c r="CL627" s="335"/>
      <c r="CM627" s="335"/>
      <c r="CN627" s="335"/>
      <c r="CO627" s="335"/>
      <c r="CP627" s="335"/>
      <c r="CQ627" s="335"/>
      <c r="CR627" s="335"/>
      <c r="CS627" s="335"/>
      <c r="CT627" s="335"/>
      <c r="CU627" s="335"/>
      <c r="CV627" s="335"/>
      <c r="CW627" s="335"/>
      <c r="CX627" s="335"/>
      <c r="CY627" s="335"/>
      <c r="CZ627" s="335"/>
      <c r="DA627" s="335"/>
      <c r="DB627" s="335"/>
      <c r="DC627" s="335"/>
      <c r="DD627" s="335"/>
      <c r="DE627" s="335"/>
      <c r="DF627" s="335"/>
      <c r="DG627" s="335"/>
      <c r="DH627" s="335"/>
      <c r="DI627" s="335"/>
      <c r="DJ627" s="335"/>
      <c r="DK627" s="335"/>
      <c r="DL627" s="335"/>
      <c r="DM627" s="335"/>
      <c r="DN627" s="335"/>
      <c r="DO627" s="335"/>
      <c r="DP627" s="335"/>
      <c r="DQ627" s="335"/>
      <c r="DR627" s="335"/>
      <c r="DS627" s="335"/>
      <c r="DT627" s="335"/>
      <c r="DU627" s="335"/>
      <c r="DV627" s="335"/>
      <c r="DW627" s="335"/>
      <c r="DX627" s="335"/>
      <c r="DY627" s="335"/>
      <c r="DZ627" s="335"/>
      <c r="EA627" s="335"/>
      <c r="EB627" s="335"/>
      <c r="EC627" s="335"/>
      <c r="ED627" s="335"/>
      <c r="EE627" s="335"/>
      <c r="EF627" s="335"/>
      <c r="EG627" s="335"/>
      <c r="EH627" s="335"/>
      <c r="EI627" s="335"/>
      <c r="EJ627" s="335"/>
      <c r="EK627" s="335"/>
      <c r="EL627" s="335"/>
      <c r="EM627" s="335"/>
      <c r="EN627" s="335"/>
      <c r="EO627" s="335"/>
      <c r="EP627" s="335"/>
      <c r="EQ627" s="335"/>
      <c r="ER627" s="335"/>
      <c r="ES627" s="335"/>
      <c r="ET627" s="335"/>
      <c r="EU627" s="335"/>
      <c r="EV627" s="335"/>
      <c r="EW627" s="335"/>
      <c r="EX627" s="335"/>
      <c r="EY627" s="335"/>
      <c r="EZ627" s="335"/>
      <c r="FA627" s="335"/>
      <c r="FB627" s="335"/>
      <c r="FC627" s="335"/>
      <c r="FD627" s="335"/>
      <c r="FE627" s="335"/>
      <c r="FF627" s="335"/>
      <c r="FG627" s="335"/>
      <c r="FH627" s="335"/>
      <c r="FI627" s="335"/>
      <c r="FJ627" s="335"/>
      <c r="FK627" s="335"/>
      <c r="FL627" s="335"/>
      <c r="FM627" s="335"/>
      <c r="FN627" s="335"/>
      <c r="FO627" s="335"/>
      <c r="FP627" s="335"/>
      <c r="FQ627" s="335"/>
      <c r="FR627" s="335"/>
      <c r="FS627" s="335"/>
      <c r="FT627" s="335"/>
      <c r="FU627" s="335"/>
      <c r="FV627" s="335"/>
      <c r="FW627" s="335"/>
      <c r="FX627" s="335"/>
      <c r="FY627" s="335"/>
      <c r="FZ627" s="335"/>
      <c r="GA627" s="335"/>
      <c r="GB627" s="335"/>
      <c r="GC627" s="335"/>
      <c r="GD627" s="335"/>
      <c r="GE627" s="335"/>
      <c r="GF627" s="335"/>
      <c r="GG627" s="335"/>
      <c r="GH627" s="335"/>
      <c r="GI627" s="335"/>
      <c r="GJ627" s="335"/>
      <c r="GK627" s="335"/>
      <c r="GL627" s="335"/>
      <c r="GM627" s="335"/>
      <c r="GN627" s="335"/>
      <c r="GO627" s="335"/>
      <c r="GP627" s="335"/>
      <c r="GQ627" s="335"/>
      <c r="GR627" s="335"/>
      <c r="GS627" s="335"/>
      <c r="GT627" s="335"/>
      <c r="GU627" s="335"/>
      <c r="GV627" s="335"/>
      <c r="GW627" s="335"/>
      <c r="GX627" s="335"/>
      <c r="GY627" s="335"/>
      <c r="GZ627" s="335"/>
    </row>
    <row r="628" spans="1:208" ht="15">
      <c r="A628" s="379"/>
      <c r="B628" s="335"/>
      <c r="C628" s="335"/>
      <c r="D628" s="335"/>
      <c r="E628" s="335"/>
      <c r="F628" s="335"/>
      <c r="G628" s="335"/>
      <c r="H628" s="335"/>
      <c r="I628" s="335"/>
      <c r="J628" s="335"/>
      <c r="K628" s="335"/>
      <c r="L628" s="335"/>
      <c r="M628" s="376"/>
      <c r="N628" s="335"/>
      <c r="O628" s="380"/>
      <c r="P628" s="335"/>
      <c r="Q628" s="335"/>
      <c r="R628" s="335"/>
      <c r="S628" s="335"/>
      <c r="T628" s="335"/>
      <c r="U628" s="335"/>
      <c r="V628" s="335"/>
      <c r="W628" s="335"/>
      <c r="X628" s="335"/>
      <c r="Y628" s="335"/>
      <c r="Z628" s="335"/>
      <c r="AA628" s="335"/>
      <c r="AB628" s="335"/>
      <c r="AC628" s="335"/>
      <c r="AD628" s="335"/>
      <c r="AE628" s="335"/>
      <c r="AF628" s="335"/>
      <c r="AG628" s="335"/>
      <c r="AH628" s="335"/>
      <c r="AI628" s="335"/>
      <c r="AJ628" s="335"/>
      <c r="AK628" s="335"/>
      <c r="AL628" s="335"/>
      <c r="AM628" s="335"/>
      <c r="AN628" s="335"/>
      <c r="AO628" s="335"/>
      <c r="AP628" s="335"/>
      <c r="AQ628" s="335"/>
      <c r="AR628" s="335"/>
      <c r="AS628" s="335"/>
      <c r="AT628" s="335"/>
      <c r="AU628" s="335"/>
      <c r="AV628" s="335"/>
      <c r="AW628" s="335"/>
      <c r="AX628" s="335"/>
      <c r="AY628" s="335"/>
      <c r="AZ628" s="335"/>
      <c r="BA628" s="335"/>
      <c r="BB628" s="335"/>
      <c r="BC628" s="335"/>
      <c r="BD628" s="335"/>
      <c r="BE628" s="335"/>
      <c r="BF628" s="335"/>
      <c r="BG628" s="335"/>
      <c r="BH628" s="335"/>
      <c r="BI628" s="335"/>
      <c r="BJ628" s="335"/>
      <c r="BK628" s="335"/>
      <c r="BL628" s="335"/>
      <c r="BM628" s="335"/>
      <c r="BN628" s="335"/>
      <c r="BO628" s="335"/>
      <c r="BP628" s="335"/>
      <c r="BQ628" s="335"/>
      <c r="BR628" s="335"/>
      <c r="BS628" s="335"/>
      <c r="BT628" s="335"/>
      <c r="BU628" s="335"/>
      <c r="BV628" s="335"/>
      <c r="BW628" s="335"/>
      <c r="BX628" s="335"/>
      <c r="BY628" s="335"/>
      <c r="BZ628" s="335"/>
      <c r="CA628" s="335"/>
      <c r="CB628" s="335"/>
      <c r="CC628" s="335"/>
      <c r="CD628" s="335"/>
      <c r="CE628" s="335"/>
      <c r="CF628" s="335"/>
      <c r="CG628" s="335"/>
      <c r="CH628" s="335"/>
      <c r="CI628" s="335"/>
      <c r="CJ628" s="335"/>
      <c r="CK628" s="335"/>
      <c r="CL628" s="335"/>
      <c r="CM628" s="335"/>
      <c r="CN628" s="335"/>
      <c r="CO628" s="335"/>
      <c r="CP628" s="335"/>
      <c r="CQ628" s="335"/>
      <c r="CR628" s="335"/>
      <c r="CS628" s="335"/>
      <c r="CT628" s="335"/>
      <c r="CU628" s="335"/>
      <c r="CV628" s="335"/>
      <c r="CW628" s="335"/>
      <c r="CX628" s="335"/>
      <c r="CY628" s="335"/>
      <c r="CZ628" s="335"/>
      <c r="DA628" s="335"/>
      <c r="DB628" s="335"/>
      <c r="DC628" s="335"/>
      <c r="DD628" s="335"/>
      <c r="DE628" s="335"/>
      <c r="DF628" s="335"/>
      <c r="DG628" s="335"/>
      <c r="DH628" s="335"/>
      <c r="DI628" s="335"/>
      <c r="DJ628" s="335"/>
      <c r="DK628" s="335"/>
      <c r="DL628" s="335"/>
      <c r="DM628" s="335"/>
      <c r="DN628" s="335"/>
      <c r="DO628" s="335"/>
      <c r="DP628" s="335"/>
      <c r="DQ628" s="335"/>
      <c r="DR628" s="335"/>
      <c r="DS628" s="335"/>
      <c r="DT628" s="335"/>
      <c r="DU628" s="335"/>
      <c r="DV628" s="335"/>
      <c r="DW628" s="335"/>
      <c r="DX628" s="335"/>
      <c r="DY628" s="335"/>
      <c r="DZ628" s="335"/>
      <c r="EA628" s="335"/>
      <c r="EB628" s="335"/>
      <c r="EC628" s="335"/>
      <c r="ED628" s="335"/>
      <c r="EE628" s="335"/>
      <c r="EF628" s="335"/>
      <c r="EG628" s="335"/>
      <c r="EH628" s="335"/>
      <c r="EI628" s="335"/>
      <c r="EJ628" s="335"/>
      <c r="EK628" s="335"/>
      <c r="EL628" s="335"/>
      <c r="EM628" s="335"/>
      <c r="EN628" s="335"/>
      <c r="EO628" s="335"/>
      <c r="EP628" s="335"/>
      <c r="EQ628" s="335"/>
      <c r="ER628" s="335"/>
      <c r="ES628" s="335"/>
      <c r="ET628" s="335"/>
      <c r="EU628" s="335"/>
      <c r="EV628" s="335"/>
      <c r="EW628" s="335"/>
      <c r="EX628" s="335"/>
      <c r="EY628" s="335"/>
      <c r="EZ628" s="335"/>
      <c r="FA628" s="335"/>
      <c r="FB628" s="335"/>
      <c r="FC628" s="335"/>
      <c r="FD628" s="335"/>
      <c r="FE628" s="335"/>
      <c r="FF628" s="335"/>
      <c r="FG628" s="335"/>
      <c r="FH628" s="335"/>
      <c r="FI628" s="335"/>
      <c r="FJ628" s="335"/>
      <c r="FK628" s="335"/>
      <c r="FL628" s="335"/>
      <c r="FM628" s="335"/>
      <c r="FN628" s="335"/>
      <c r="FO628" s="335"/>
      <c r="FP628" s="335"/>
      <c r="FQ628" s="335"/>
      <c r="FR628" s="335"/>
      <c r="FS628" s="335"/>
      <c r="FT628" s="335"/>
      <c r="FU628" s="335"/>
      <c r="FV628" s="335"/>
      <c r="FW628" s="335"/>
      <c r="FX628" s="335"/>
      <c r="FY628" s="335"/>
      <c r="FZ628" s="335"/>
      <c r="GA628" s="335"/>
      <c r="GB628" s="335"/>
      <c r="GC628" s="335"/>
      <c r="GD628" s="335"/>
      <c r="GE628" s="335"/>
      <c r="GF628" s="335"/>
      <c r="GG628" s="335"/>
      <c r="GH628" s="335"/>
      <c r="GI628" s="335"/>
      <c r="GJ628" s="335"/>
      <c r="GK628" s="335"/>
      <c r="GL628" s="335"/>
      <c r="GM628" s="335"/>
      <c r="GN628" s="335"/>
      <c r="GO628" s="335"/>
      <c r="GP628" s="335"/>
      <c r="GQ628" s="335"/>
      <c r="GR628" s="335"/>
      <c r="GS628" s="335"/>
      <c r="GT628" s="335"/>
      <c r="GU628" s="335"/>
      <c r="GV628" s="335"/>
      <c r="GW628" s="335"/>
      <c r="GX628" s="335"/>
      <c r="GY628" s="335"/>
      <c r="GZ628" s="335"/>
    </row>
    <row r="629" spans="1:208" ht="15">
      <c r="A629" s="379"/>
      <c r="B629" s="335"/>
      <c r="C629" s="335"/>
      <c r="D629" s="335"/>
      <c r="E629" s="335"/>
      <c r="F629" s="335"/>
      <c r="G629" s="335"/>
      <c r="H629" s="335"/>
      <c r="I629" s="335"/>
      <c r="J629" s="335"/>
      <c r="K629" s="335"/>
      <c r="L629" s="335"/>
      <c r="M629" s="376"/>
      <c r="N629" s="335"/>
      <c r="O629" s="380"/>
      <c r="P629" s="335"/>
      <c r="Q629" s="335"/>
      <c r="R629" s="335"/>
      <c r="S629" s="335"/>
      <c r="T629" s="335"/>
      <c r="U629" s="335"/>
      <c r="V629" s="335"/>
      <c r="W629" s="335"/>
      <c r="X629" s="335"/>
      <c r="Y629" s="335"/>
      <c r="Z629" s="335"/>
      <c r="AA629" s="335"/>
      <c r="AB629" s="335"/>
      <c r="AC629" s="335"/>
      <c r="AD629" s="335"/>
      <c r="AE629" s="335"/>
      <c r="AF629" s="335"/>
      <c r="AG629" s="335"/>
      <c r="AH629" s="335"/>
      <c r="AI629" s="335"/>
      <c r="AJ629" s="335"/>
      <c r="AK629" s="335"/>
      <c r="AL629" s="335"/>
      <c r="AM629" s="335"/>
      <c r="AN629" s="335"/>
      <c r="AO629" s="335"/>
      <c r="AP629" s="335"/>
      <c r="AQ629" s="335"/>
      <c r="AR629" s="335"/>
      <c r="AS629" s="335"/>
      <c r="AT629" s="335"/>
      <c r="AU629" s="335"/>
      <c r="AV629" s="335"/>
      <c r="AW629" s="335"/>
      <c r="AX629" s="335"/>
      <c r="AY629" s="335"/>
      <c r="AZ629" s="335"/>
      <c r="BA629" s="335"/>
      <c r="BB629" s="335"/>
      <c r="BC629" s="335"/>
      <c r="BD629" s="335"/>
      <c r="BE629" s="335"/>
      <c r="BF629" s="335"/>
      <c r="BG629" s="335"/>
      <c r="BH629" s="335"/>
      <c r="BI629" s="335"/>
      <c r="BJ629" s="335"/>
      <c r="BK629" s="335"/>
      <c r="BL629" s="335"/>
      <c r="BM629" s="335"/>
      <c r="BN629" s="335"/>
      <c r="BO629" s="335"/>
      <c r="BP629" s="335"/>
      <c r="BQ629" s="335"/>
      <c r="BR629" s="335"/>
      <c r="BS629" s="335"/>
      <c r="BT629" s="335"/>
      <c r="BU629" s="335"/>
      <c r="BV629" s="335"/>
      <c r="BW629" s="335"/>
      <c r="BX629" s="335"/>
      <c r="BY629" s="335"/>
      <c r="BZ629" s="335"/>
      <c r="CA629" s="335"/>
      <c r="CB629" s="335"/>
      <c r="CC629" s="335"/>
      <c r="CD629" s="335"/>
      <c r="CE629" s="335"/>
      <c r="CF629" s="335"/>
      <c r="CG629" s="335"/>
      <c r="CH629" s="335"/>
      <c r="CI629" s="335"/>
      <c r="CJ629" s="335"/>
      <c r="CK629" s="335"/>
      <c r="CL629" s="335"/>
      <c r="CM629" s="335"/>
      <c r="CN629" s="335"/>
      <c r="CO629" s="335"/>
      <c r="CP629" s="335"/>
      <c r="CQ629" s="335"/>
      <c r="CR629" s="335"/>
      <c r="CS629" s="335"/>
      <c r="CT629" s="335"/>
      <c r="CU629" s="335"/>
      <c r="CV629" s="335"/>
      <c r="CW629" s="335"/>
      <c r="CX629" s="335"/>
      <c r="CY629" s="335"/>
      <c r="CZ629" s="335"/>
      <c r="DA629" s="335"/>
      <c r="DB629" s="335"/>
      <c r="DC629" s="335"/>
      <c r="DD629" s="335"/>
      <c r="DE629" s="335"/>
      <c r="DF629" s="335"/>
      <c r="DG629" s="335"/>
      <c r="DH629" s="335"/>
      <c r="DI629" s="335"/>
      <c r="DJ629" s="335"/>
      <c r="DK629" s="335"/>
      <c r="DL629" s="335"/>
      <c r="DM629" s="335"/>
      <c r="DN629" s="335"/>
      <c r="DO629" s="335"/>
      <c r="DP629" s="335"/>
      <c r="DQ629" s="335"/>
      <c r="DR629" s="335"/>
      <c r="DS629" s="335"/>
      <c r="DT629" s="335"/>
      <c r="DU629" s="335"/>
      <c r="DV629" s="335"/>
      <c r="DW629" s="335"/>
      <c r="DX629" s="335"/>
      <c r="DY629" s="335"/>
      <c r="DZ629" s="335"/>
      <c r="EA629" s="335"/>
      <c r="EB629" s="335"/>
      <c r="EC629" s="335"/>
      <c r="ED629" s="335"/>
      <c r="EE629" s="335"/>
      <c r="EF629" s="335"/>
      <c r="EG629" s="335"/>
      <c r="EH629" s="335"/>
      <c r="EI629" s="335"/>
      <c r="EJ629" s="335"/>
      <c r="EK629" s="335"/>
      <c r="EL629" s="335"/>
      <c r="EM629" s="335"/>
      <c r="EN629" s="335"/>
      <c r="EO629" s="335"/>
      <c r="EP629" s="335"/>
      <c r="EQ629" s="335"/>
      <c r="ER629" s="335"/>
      <c r="ES629" s="335"/>
      <c r="ET629" s="335"/>
      <c r="EU629" s="335"/>
      <c r="EV629" s="335"/>
      <c r="EW629" s="335"/>
      <c r="EX629" s="335"/>
      <c r="EY629" s="335"/>
      <c r="EZ629" s="335"/>
      <c r="FA629" s="335"/>
      <c r="FB629" s="335"/>
      <c r="FC629" s="335"/>
      <c r="FD629" s="335"/>
      <c r="FE629" s="335"/>
      <c r="FF629" s="335"/>
      <c r="FG629" s="335"/>
      <c r="FH629" s="335"/>
      <c r="FI629" s="335"/>
      <c r="FJ629" s="335"/>
      <c r="FK629" s="335"/>
      <c r="FL629" s="335"/>
      <c r="FM629" s="335"/>
      <c r="FN629" s="335"/>
      <c r="FO629" s="335"/>
      <c r="FP629" s="335"/>
      <c r="FQ629" s="335"/>
      <c r="FR629" s="335"/>
      <c r="FS629" s="335"/>
      <c r="FT629" s="335"/>
      <c r="FU629" s="335"/>
      <c r="FV629" s="335"/>
      <c r="FW629" s="335"/>
      <c r="FX629" s="335"/>
      <c r="FY629" s="335"/>
      <c r="FZ629" s="335"/>
      <c r="GA629" s="335"/>
      <c r="GB629" s="335"/>
      <c r="GC629" s="335"/>
      <c r="GD629" s="335"/>
      <c r="GE629" s="335"/>
      <c r="GF629" s="335"/>
      <c r="GG629" s="335"/>
      <c r="GH629" s="335"/>
      <c r="GI629" s="335"/>
      <c r="GJ629" s="335"/>
      <c r="GK629" s="335"/>
      <c r="GL629" s="335"/>
      <c r="GM629" s="335"/>
      <c r="GN629" s="335"/>
      <c r="GO629" s="335"/>
      <c r="GP629" s="335"/>
      <c r="GQ629" s="335"/>
      <c r="GR629" s="335"/>
      <c r="GS629" s="335"/>
      <c r="GT629" s="335"/>
      <c r="GU629" s="335"/>
      <c r="GV629" s="335"/>
      <c r="GW629" s="335"/>
      <c r="GX629" s="335"/>
      <c r="GY629" s="335"/>
      <c r="GZ629" s="335"/>
    </row>
    <row r="630" spans="1:208" ht="15">
      <c r="A630" s="379"/>
      <c r="B630" s="335"/>
      <c r="C630" s="335"/>
      <c r="D630" s="335"/>
      <c r="E630" s="335"/>
      <c r="F630" s="335"/>
      <c r="G630" s="335"/>
      <c r="H630" s="335"/>
      <c r="I630" s="335"/>
      <c r="J630" s="335"/>
      <c r="K630" s="335"/>
      <c r="L630" s="335"/>
      <c r="M630" s="376"/>
      <c r="N630" s="335"/>
      <c r="O630" s="380"/>
      <c r="P630" s="335"/>
      <c r="Q630" s="335"/>
      <c r="R630" s="335"/>
      <c r="S630" s="335"/>
      <c r="T630" s="335"/>
      <c r="U630" s="335"/>
      <c r="V630" s="335"/>
      <c r="W630" s="335"/>
      <c r="X630" s="335"/>
      <c r="Y630" s="335"/>
      <c r="Z630" s="335"/>
      <c r="AA630" s="335"/>
      <c r="AB630" s="335"/>
      <c r="AC630" s="335"/>
      <c r="AD630" s="335"/>
      <c r="AE630" s="335"/>
      <c r="AF630" s="335"/>
      <c r="AG630" s="335"/>
      <c r="AH630" s="335"/>
      <c r="AI630" s="335"/>
      <c r="AJ630" s="335"/>
      <c r="AK630" s="335"/>
      <c r="AL630" s="335"/>
      <c r="AM630" s="335"/>
      <c r="AN630" s="335"/>
      <c r="AO630" s="335"/>
      <c r="AP630" s="335"/>
      <c r="AQ630" s="335"/>
      <c r="AR630" s="335"/>
      <c r="AS630" s="335"/>
      <c r="AT630" s="335"/>
      <c r="AU630" s="335"/>
      <c r="AV630" s="335"/>
      <c r="AW630" s="335"/>
      <c r="AX630" s="335"/>
      <c r="AY630" s="335"/>
      <c r="AZ630" s="335"/>
      <c r="BA630" s="335"/>
      <c r="BB630" s="335"/>
      <c r="BC630" s="335"/>
      <c r="BD630" s="335"/>
      <c r="BE630" s="335"/>
      <c r="BF630" s="335"/>
      <c r="BG630" s="335"/>
      <c r="BH630" s="335"/>
      <c r="BI630" s="335"/>
      <c r="BJ630" s="335"/>
      <c r="BK630" s="335"/>
      <c r="BL630" s="335"/>
      <c r="BM630" s="335"/>
      <c r="BN630" s="335"/>
      <c r="BO630" s="335"/>
      <c r="BP630" s="335"/>
      <c r="BQ630" s="335"/>
      <c r="BR630" s="335"/>
      <c r="BS630" s="335"/>
      <c r="BT630" s="335"/>
      <c r="BU630" s="335"/>
      <c r="BV630" s="335"/>
      <c r="BW630" s="335"/>
      <c r="BX630" s="335"/>
      <c r="BY630" s="335"/>
      <c r="BZ630" s="335"/>
      <c r="CA630" s="335"/>
      <c r="CB630" s="335"/>
      <c r="CC630" s="335"/>
      <c r="CD630" s="335"/>
      <c r="CE630" s="335"/>
      <c r="CF630" s="335"/>
      <c r="CG630" s="335"/>
      <c r="CH630" s="335"/>
      <c r="CI630" s="335"/>
      <c r="CJ630" s="335"/>
      <c r="CK630" s="335"/>
      <c r="CL630" s="335"/>
      <c r="CM630" s="335"/>
      <c r="CN630" s="335"/>
      <c r="CO630" s="335"/>
      <c r="CP630" s="335"/>
      <c r="CQ630" s="335"/>
      <c r="CR630" s="335"/>
      <c r="CS630" s="335"/>
      <c r="CT630" s="335"/>
      <c r="CU630" s="335"/>
      <c r="CV630" s="335"/>
      <c r="CW630" s="335"/>
      <c r="CX630" s="335"/>
      <c r="CY630" s="335"/>
      <c r="CZ630" s="335"/>
      <c r="DA630" s="335"/>
      <c r="DB630" s="335"/>
      <c r="DC630" s="335"/>
      <c r="DD630" s="335"/>
      <c r="DE630" s="335"/>
      <c r="DF630" s="335"/>
      <c r="DG630" s="335"/>
      <c r="DH630" s="335"/>
      <c r="DI630" s="335"/>
      <c r="DJ630" s="335"/>
      <c r="DK630" s="335"/>
      <c r="DL630" s="335"/>
      <c r="DM630" s="335"/>
      <c r="DN630" s="335"/>
      <c r="DO630" s="335"/>
      <c r="DP630" s="335"/>
      <c r="DQ630" s="335"/>
      <c r="DR630" s="335"/>
      <c r="DS630" s="335"/>
      <c r="DT630" s="335"/>
      <c r="DU630" s="335"/>
      <c r="DV630" s="335"/>
      <c r="DW630" s="335"/>
      <c r="DX630" s="335"/>
      <c r="DY630" s="335"/>
      <c r="DZ630" s="335"/>
      <c r="EA630" s="335"/>
      <c r="EB630" s="335"/>
      <c r="EC630" s="335"/>
      <c r="ED630" s="335"/>
      <c r="EE630" s="335"/>
      <c r="EF630" s="335"/>
      <c r="EG630" s="335"/>
      <c r="EH630" s="335"/>
      <c r="EI630" s="335"/>
      <c r="EJ630" s="335"/>
      <c r="EK630" s="335"/>
      <c r="EL630" s="335"/>
      <c r="EM630" s="335"/>
      <c r="EN630" s="335"/>
      <c r="EO630" s="335"/>
      <c r="EP630" s="335"/>
      <c r="EQ630" s="335"/>
      <c r="ER630" s="335"/>
      <c r="ES630" s="335"/>
      <c r="ET630" s="335"/>
      <c r="EU630" s="335"/>
      <c r="EV630" s="335"/>
      <c r="EW630" s="335"/>
      <c r="EX630" s="335"/>
      <c r="EY630" s="335"/>
      <c r="EZ630" s="335"/>
      <c r="FA630" s="335"/>
      <c r="FB630" s="335"/>
      <c r="FC630" s="335"/>
      <c r="FD630" s="335"/>
      <c r="FE630" s="335"/>
      <c r="FF630" s="335"/>
      <c r="FG630" s="335"/>
      <c r="FH630" s="335"/>
      <c r="FI630" s="335"/>
      <c r="FJ630" s="335"/>
      <c r="FK630" s="335"/>
      <c r="FL630" s="335"/>
      <c r="FM630" s="335"/>
      <c r="FN630" s="335"/>
      <c r="FO630" s="335"/>
      <c r="FP630" s="335"/>
      <c r="FQ630" s="335"/>
      <c r="FR630" s="335"/>
      <c r="FS630" s="335"/>
      <c r="FT630" s="335"/>
      <c r="FU630" s="335"/>
      <c r="FV630" s="335"/>
      <c r="FW630" s="335"/>
      <c r="FX630" s="335"/>
      <c r="FY630" s="335"/>
      <c r="FZ630" s="335"/>
      <c r="GA630" s="335"/>
      <c r="GB630" s="335"/>
      <c r="GC630" s="335"/>
      <c r="GD630" s="335"/>
      <c r="GE630" s="335"/>
      <c r="GF630" s="335"/>
      <c r="GG630" s="335"/>
      <c r="GH630" s="335"/>
      <c r="GI630" s="335"/>
      <c r="GJ630" s="335"/>
      <c r="GK630" s="335"/>
      <c r="GL630" s="335"/>
      <c r="GM630" s="335"/>
      <c r="GN630" s="335"/>
      <c r="GO630" s="335"/>
      <c r="GP630" s="335"/>
      <c r="GQ630" s="335"/>
      <c r="GR630" s="335"/>
      <c r="GS630" s="335"/>
      <c r="GT630" s="335"/>
      <c r="GU630" s="335"/>
      <c r="GV630" s="335"/>
      <c r="GW630" s="335"/>
      <c r="GX630" s="335"/>
      <c r="GY630" s="335"/>
      <c r="GZ630" s="335"/>
    </row>
    <row r="631" spans="1:208" ht="15">
      <c r="A631" s="379"/>
      <c r="B631" s="335"/>
      <c r="C631" s="335"/>
      <c r="D631" s="335"/>
      <c r="E631" s="335"/>
      <c r="F631" s="335"/>
      <c r="G631" s="335"/>
      <c r="H631" s="335"/>
      <c r="I631" s="335"/>
      <c r="J631" s="335"/>
      <c r="K631" s="335"/>
      <c r="L631" s="335"/>
      <c r="M631" s="376"/>
      <c r="N631" s="335"/>
      <c r="O631" s="380"/>
      <c r="P631" s="335"/>
      <c r="Q631" s="335"/>
      <c r="R631" s="335"/>
      <c r="S631" s="335"/>
      <c r="T631" s="335"/>
      <c r="U631" s="335"/>
      <c r="V631" s="335"/>
      <c r="W631" s="335"/>
      <c r="X631" s="335"/>
      <c r="Y631" s="335"/>
      <c r="Z631" s="335"/>
      <c r="AA631" s="335"/>
      <c r="AB631" s="335"/>
      <c r="AC631" s="335"/>
      <c r="AD631" s="335"/>
      <c r="AE631" s="335"/>
      <c r="AF631" s="335"/>
      <c r="AG631" s="335"/>
      <c r="AH631" s="335"/>
      <c r="AI631" s="335"/>
      <c r="AJ631" s="335"/>
      <c r="AK631" s="335"/>
      <c r="AL631" s="335"/>
      <c r="AM631" s="335"/>
      <c r="AN631" s="335"/>
      <c r="AO631" s="335"/>
      <c r="AP631" s="335"/>
      <c r="AQ631" s="335"/>
      <c r="AR631" s="335"/>
      <c r="AS631" s="335"/>
      <c r="AT631" s="335"/>
      <c r="AU631" s="335"/>
      <c r="AV631" s="335"/>
      <c r="AW631" s="335"/>
      <c r="AX631" s="335"/>
      <c r="AY631" s="335"/>
      <c r="AZ631" s="335"/>
      <c r="BA631" s="335"/>
      <c r="BB631" s="335"/>
      <c r="BC631" s="335"/>
      <c r="BD631" s="335"/>
      <c r="BE631" s="335"/>
      <c r="BF631" s="335"/>
      <c r="BG631" s="335"/>
      <c r="BH631" s="335"/>
      <c r="BI631" s="335"/>
      <c r="BJ631" s="335"/>
      <c r="BK631" s="335"/>
      <c r="BL631" s="335"/>
      <c r="BM631" s="335"/>
      <c r="BN631" s="335"/>
      <c r="BO631" s="335"/>
      <c r="BP631" s="335"/>
      <c r="BQ631" s="335"/>
      <c r="BR631" s="335"/>
      <c r="BS631" s="335"/>
      <c r="BT631" s="335"/>
      <c r="BU631" s="335"/>
      <c r="BV631" s="335"/>
      <c r="BW631" s="335"/>
      <c r="BX631" s="335"/>
      <c r="BY631" s="335"/>
      <c r="BZ631" s="335"/>
      <c r="CA631" s="335"/>
      <c r="CB631" s="335"/>
      <c r="CC631" s="335"/>
      <c r="CD631" s="335"/>
      <c r="CE631" s="335"/>
      <c r="CF631" s="335"/>
      <c r="CG631" s="335"/>
      <c r="CH631" s="335"/>
      <c r="CI631" s="335"/>
      <c r="CJ631" s="335"/>
      <c r="CK631" s="335"/>
      <c r="CL631" s="335"/>
      <c r="CM631" s="335"/>
      <c r="CN631" s="335"/>
      <c r="CO631" s="335"/>
      <c r="CP631" s="335"/>
      <c r="CQ631" s="335"/>
      <c r="CR631" s="335"/>
      <c r="CS631" s="335"/>
      <c r="CT631" s="335"/>
      <c r="CU631" s="335"/>
      <c r="CV631" s="335"/>
      <c r="CW631" s="335"/>
      <c r="CX631" s="335"/>
      <c r="CY631" s="335"/>
      <c r="CZ631" s="335"/>
      <c r="DA631" s="335"/>
      <c r="DB631" s="335"/>
      <c r="DC631" s="335"/>
      <c r="DD631" s="335"/>
      <c r="DE631" s="335"/>
      <c r="DF631" s="335"/>
      <c r="DG631" s="335"/>
      <c r="DH631" s="335"/>
      <c r="DI631" s="335"/>
      <c r="DJ631" s="335"/>
      <c r="DK631" s="335"/>
      <c r="DL631" s="335"/>
      <c r="DM631" s="335"/>
      <c r="DN631" s="335"/>
      <c r="DO631" s="335"/>
      <c r="DP631" s="335"/>
      <c r="DQ631" s="335"/>
      <c r="DR631" s="335"/>
      <c r="DS631" s="335"/>
      <c r="DT631" s="335"/>
      <c r="DU631" s="335"/>
      <c r="DV631" s="335"/>
      <c r="DW631" s="335"/>
      <c r="DX631" s="335"/>
      <c r="DY631" s="335"/>
      <c r="DZ631" s="335"/>
      <c r="EA631" s="335"/>
      <c r="EB631" s="335"/>
      <c r="EC631" s="335"/>
      <c r="ED631" s="335"/>
      <c r="EE631" s="335"/>
      <c r="EF631" s="335"/>
      <c r="EG631" s="335"/>
      <c r="EH631" s="335"/>
      <c r="EI631" s="335"/>
      <c r="EJ631" s="335"/>
      <c r="EK631" s="335"/>
      <c r="EL631" s="335"/>
      <c r="EM631" s="335"/>
      <c r="EN631" s="335"/>
      <c r="EO631" s="335"/>
      <c r="EP631" s="335"/>
      <c r="EQ631" s="335"/>
      <c r="ER631" s="335"/>
      <c r="ES631" s="335"/>
      <c r="ET631" s="335"/>
      <c r="EU631" s="335"/>
      <c r="EV631" s="335"/>
      <c r="EW631" s="335"/>
      <c r="EX631" s="335"/>
      <c r="EY631" s="335"/>
      <c r="EZ631" s="335"/>
      <c r="FA631" s="335"/>
      <c r="FB631" s="335"/>
      <c r="FC631" s="335"/>
      <c r="FD631" s="335"/>
      <c r="FE631" s="335"/>
      <c r="FF631" s="335"/>
      <c r="FG631" s="335"/>
      <c r="FH631" s="335"/>
      <c r="FI631" s="335"/>
      <c r="FJ631" s="335"/>
      <c r="FK631" s="335"/>
      <c r="FL631" s="335"/>
      <c r="FM631" s="335"/>
      <c r="FN631" s="335"/>
      <c r="FO631" s="335"/>
      <c r="FP631" s="335"/>
      <c r="FQ631" s="335"/>
      <c r="FR631" s="335"/>
      <c r="FS631" s="335"/>
      <c r="FT631" s="335"/>
      <c r="FU631" s="335"/>
      <c r="FV631" s="335"/>
      <c r="FW631" s="335"/>
      <c r="FX631" s="335"/>
      <c r="FY631" s="335"/>
      <c r="FZ631" s="335"/>
      <c r="GA631" s="335"/>
      <c r="GB631" s="335"/>
      <c r="GC631" s="335"/>
      <c r="GD631" s="335"/>
      <c r="GE631" s="335"/>
      <c r="GF631" s="335"/>
      <c r="GG631" s="335"/>
      <c r="GH631" s="335"/>
      <c r="GI631" s="335"/>
      <c r="GJ631" s="335"/>
      <c r="GK631" s="335"/>
      <c r="GL631" s="335"/>
      <c r="GM631" s="335"/>
      <c r="GN631" s="335"/>
      <c r="GO631" s="335"/>
      <c r="GP631" s="335"/>
      <c r="GQ631" s="335"/>
      <c r="GR631" s="335"/>
      <c r="GS631" s="335"/>
      <c r="GT631" s="335"/>
      <c r="GU631" s="335"/>
      <c r="GV631" s="335"/>
      <c r="GW631" s="335"/>
      <c r="GX631" s="335"/>
      <c r="GY631" s="335"/>
      <c r="GZ631" s="335"/>
    </row>
    <row r="632" spans="1:208" ht="15">
      <c r="A632" s="379"/>
      <c r="B632" s="335"/>
      <c r="C632" s="335"/>
      <c r="D632" s="335"/>
      <c r="E632" s="335"/>
      <c r="F632" s="335"/>
      <c r="G632" s="335"/>
      <c r="H632" s="335"/>
      <c r="I632" s="335"/>
      <c r="J632" s="335"/>
      <c r="K632" s="335"/>
      <c r="L632" s="335"/>
      <c r="M632" s="376"/>
      <c r="N632" s="335"/>
      <c r="O632" s="380"/>
      <c r="P632" s="335"/>
      <c r="Q632" s="335"/>
      <c r="R632" s="335"/>
      <c r="S632" s="335"/>
      <c r="T632" s="335"/>
      <c r="U632" s="335"/>
      <c r="V632" s="335"/>
      <c r="W632" s="335"/>
      <c r="X632" s="335"/>
      <c r="Y632" s="335"/>
      <c r="Z632" s="335"/>
      <c r="AA632" s="335"/>
      <c r="AB632" s="335"/>
      <c r="AC632" s="335"/>
      <c r="AD632" s="335"/>
      <c r="AE632" s="335"/>
      <c r="AF632" s="335"/>
      <c r="AG632" s="335"/>
      <c r="AH632" s="335"/>
      <c r="AI632" s="335"/>
      <c r="AJ632" s="335"/>
      <c r="AK632" s="335"/>
      <c r="AL632" s="335"/>
      <c r="AM632" s="335"/>
      <c r="AN632" s="335"/>
      <c r="AO632" s="335"/>
      <c r="AP632" s="335"/>
      <c r="AQ632" s="335"/>
      <c r="AR632" s="335"/>
      <c r="AS632" s="335"/>
      <c r="AT632" s="335"/>
      <c r="AU632" s="335"/>
      <c r="AV632" s="335"/>
      <c r="AW632" s="335"/>
      <c r="AX632" s="335"/>
      <c r="AY632" s="335"/>
      <c r="AZ632" s="335"/>
      <c r="BA632" s="335"/>
      <c r="BB632" s="335"/>
      <c r="BC632" s="335"/>
      <c r="BD632" s="335"/>
      <c r="BE632" s="335"/>
      <c r="BF632" s="335"/>
      <c r="BG632" s="335"/>
      <c r="BH632" s="335"/>
      <c r="BI632" s="335"/>
      <c r="BJ632" s="335"/>
      <c r="BK632" s="335"/>
      <c r="BL632" s="335"/>
      <c r="BM632" s="335"/>
      <c r="BN632" s="335"/>
      <c r="BO632" s="335"/>
      <c r="BP632" s="335"/>
      <c r="BQ632" s="335"/>
      <c r="BR632" s="335"/>
      <c r="BS632" s="335"/>
      <c r="BT632" s="335"/>
      <c r="BU632" s="335"/>
      <c r="BV632" s="335"/>
      <c r="BW632" s="335"/>
      <c r="BX632" s="335"/>
      <c r="BY632" s="335"/>
      <c r="BZ632" s="335"/>
      <c r="CA632" s="335"/>
      <c r="CB632" s="335"/>
      <c r="CC632" s="335"/>
      <c r="CD632" s="335"/>
      <c r="CE632" s="335"/>
      <c r="CF632" s="335"/>
      <c r="CG632" s="335"/>
      <c r="CH632" s="335"/>
      <c r="CI632" s="335"/>
      <c r="CJ632" s="335"/>
      <c r="CK632" s="335"/>
      <c r="CL632" s="335"/>
      <c r="CM632" s="335"/>
      <c r="CN632" s="335"/>
      <c r="CO632" s="335"/>
      <c r="CP632" s="335"/>
      <c r="CQ632" s="335"/>
      <c r="CR632" s="335"/>
      <c r="CS632" s="335"/>
      <c r="CT632" s="335"/>
      <c r="CU632" s="335"/>
      <c r="CV632" s="335"/>
      <c r="CW632" s="335"/>
      <c r="CX632" s="335"/>
      <c r="CY632" s="335"/>
      <c r="CZ632" s="335"/>
      <c r="DA632" s="335"/>
      <c r="DB632" s="335"/>
      <c r="DC632" s="335"/>
      <c r="DD632" s="335"/>
      <c r="DE632" s="335"/>
      <c r="DF632" s="335"/>
      <c r="DG632" s="335"/>
      <c r="DH632" s="335"/>
      <c r="DI632" s="335"/>
      <c r="DJ632" s="335"/>
      <c r="DK632" s="335"/>
      <c r="DL632" s="335"/>
      <c r="DM632" s="335"/>
      <c r="DN632" s="335"/>
      <c r="DO632" s="335"/>
      <c r="DP632" s="335"/>
      <c r="DQ632" s="335"/>
      <c r="DR632" s="335"/>
      <c r="DS632" s="335"/>
      <c r="DT632" s="335"/>
      <c r="DU632" s="335"/>
      <c r="DV632" s="335"/>
      <c r="DW632" s="335"/>
      <c r="DX632" s="335"/>
      <c r="DY632" s="335"/>
      <c r="DZ632" s="335"/>
      <c r="EA632" s="335"/>
      <c r="EB632" s="335"/>
      <c r="EC632" s="335"/>
      <c r="ED632" s="335"/>
      <c r="EE632" s="335"/>
      <c r="EF632" s="335"/>
      <c r="EG632" s="335"/>
      <c r="EH632" s="335"/>
      <c r="EI632" s="335"/>
      <c r="EJ632" s="335"/>
      <c r="EK632" s="335"/>
      <c r="EL632" s="335"/>
      <c r="EM632" s="335"/>
      <c r="EN632" s="335"/>
      <c r="EO632" s="335"/>
      <c r="EP632" s="335"/>
      <c r="EQ632" s="335"/>
      <c r="ER632" s="335"/>
      <c r="ES632" s="335"/>
      <c r="ET632" s="335"/>
      <c r="EU632" s="335"/>
      <c r="EV632" s="335"/>
      <c r="EW632" s="335"/>
      <c r="EX632" s="335"/>
      <c r="EY632" s="335"/>
      <c r="EZ632" s="335"/>
      <c r="FA632" s="335"/>
      <c r="FB632" s="335"/>
      <c r="FC632" s="335"/>
      <c r="FD632" s="335"/>
      <c r="FE632" s="335"/>
      <c r="FF632" s="335"/>
      <c r="FG632" s="335"/>
      <c r="FH632" s="335"/>
      <c r="FI632" s="335"/>
      <c r="FJ632" s="335"/>
      <c r="FK632" s="335"/>
      <c r="FL632" s="335"/>
      <c r="FM632" s="335"/>
      <c r="FN632" s="335"/>
      <c r="FO632" s="335"/>
      <c r="FP632" s="335"/>
      <c r="FQ632" s="335"/>
      <c r="FR632" s="335"/>
      <c r="FS632" s="335"/>
      <c r="FT632" s="335"/>
      <c r="FU632" s="335"/>
      <c r="FV632" s="335"/>
      <c r="FW632" s="335"/>
      <c r="FX632" s="335"/>
      <c r="FY632" s="335"/>
      <c r="FZ632" s="335"/>
      <c r="GA632" s="335"/>
      <c r="GB632" s="335"/>
      <c r="GC632" s="335"/>
      <c r="GD632" s="335"/>
      <c r="GE632" s="335"/>
      <c r="GF632" s="335"/>
      <c r="GG632" s="335"/>
      <c r="GH632" s="335"/>
      <c r="GI632" s="335"/>
      <c r="GJ632" s="335"/>
      <c r="GK632" s="335"/>
      <c r="GL632" s="335"/>
      <c r="GM632" s="335"/>
      <c r="GN632" s="335"/>
      <c r="GO632" s="335"/>
      <c r="GP632" s="335"/>
      <c r="GQ632" s="335"/>
      <c r="GR632" s="335"/>
      <c r="GS632" s="335"/>
      <c r="GT632" s="335"/>
      <c r="GU632" s="335"/>
      <c r="GV632" s="335"/>
      <c r="GW632" s="335"/>
      <c r="GX632" s="335"/>
      <c r="GY632" s="335"/>
      <c r="GZ632" s="335"/>
    </row>
    <row r="633" spans="1:208" ht="15">
      <c r="A633" s="379"/>
      <c r="B633" s="335"/>
      <c r="C633" s="335"/>
      <c r="D633" s="335"/>
      <c r="E633" s="335"/>
      <c r="F633" s="335"/>
      <c r="G633" s="335"/>
      <c r="H633" s="335"/>
      <c r="I633" s="335"/>
      <c r="J633" s="335"/>
      <c r="K633" s="335"/>
      <c r="L633" s="335"/>
      <c r="M633" s="376"/>
      <c r="N633" s="335"/>
      <c r="O633" s="380"/>
      <c r="P633" s="335"/>
      <c r="Q633" s="335"/>
      <c r="R633" s="335"/>
      <c r="S633" s="335"/>
      <c r="T633" s="335"/>
      <c r="U633" s="335"/>
      <c r="V633" s="335"/>
      <c r="W633" s="335"/>
      <c r="X633" s="335"/>
      <c r="Y633" s="335"/>
      <c r="Z633" s="335"/>
      <c r="AA633" s="335"/>
      <c r="AB633" s="335"/>
      <c r="AC633" s="335"/>
      <c r="AD633" s="335"/>
      <c r="AE633" s="335"/>
      <c r="AF633" s="335"/>
      <c r="AG633" s="335"/>
      <c r="AH633" s="335"/>
      <c r="AI633" s="335"/>
      <c r="AJ633" s="335"/>
      <c r="AK633" s="335"/>
      <c r="AL633" s="335"/>
      <c r="AM633" s="335"/>
      <c r="AN633" s="335"/>
      <c r="AO633" s="335"/>
      <c r="AP633" s="335"/>
      <c r="AQ633" s="335"/>
      <c r="AR633" s="335"/>
      <c r="AS633" s="335"/>
      <c r="AT633" s="335"/>
      <c r="AU633" s="335"/>
      <c r="AV633" s="335"/>
      <c r="AW633" s="335"/>
      <c r="AX633" s="335"/>
      <c r="AY633" s="335"/>
      <c r="AZ633" s="335"/>
      <c r="BA633" s="335"/>
      <c r="BB633" s="335"/>
      <c r="BC633" s="335"/>
      <c r="BD633" s="335"/>
      <c r="BE633" s="335"/>
      <c r="BF633" s="335"/>
      <c r="BG633" s="335"/>
      <c r="BH633" s="335"/>
      <c r="BI633" s="335"/>
      <c r="BJ633" s="335"/>
      <c r="BK633" s="335"/>
      <c r="BL633" s="335"/>
      <c r="BM633" s="335"/>
      <c r="BN633" s="335"/>
      <c r="BO633" s="335"/>
      <c r="BP633" s="335"/>
      <c r="BQ633" s="335"/>
      <c r="BR633" s="335"/>
      <c r="BS633" s="335"/>
      <c r="BT633" s="335"/>
      <c r="BU633" s="335"/>
      <c r="BV633" s="335"/>
      <c r="BW633" s="335"/>
      <c r="BX633" s="335"/>
      <c r="BY633" s="335"/>
      <c r="BZ633" s="335"/>
      <c r="CA633" s="335"/>
      <c r="CB633" s="335"/>
      <c r="CC633" s="335"/>
      <c r="CD633" s="335"/>
      <c r="CE633" s="335"/>
      <c r="CF633" s="335"/>
      <c r="CG633" s="335"/>
      <c r="CH633" s="335"/>
      <c r="CI633" s="335"/>
      <c r="CJ633" s="335"/>
      <c r="CK633" s="335"/>
      <c r="CL633" s="335"/>
      <c r="CM633" s="335"/>
      <c r="CN633" s="335"/>
      <c r="CO633" s="335"/>
      <c r="CP633" s="335"/>
      <c r="CQ633" s="335"/>
      <c r="CR633" s="335"/>
      <c r="CS633" s="335"/>
      <c r="CT633" s="335"/>
      <c r="CU633" s="335"/>
      <c r="CV633" s="335"/>
      <c r="CW633" s="335"/>
      <c r="CX633" s="335"/>
      <c r="CY633" s="335"/>
      <c r="CZ633" s="335"/>
      <c r="DA633" s="335"/>
      <c r="DB633" s="335"/>
      <c r="DC633" s="335"/>
      <c r="DD633" s="335"/>
      <c r="DE633" s="335"/>
      <c r="DF633" s="335"/>
      <c r="DG633" s="335"/>
      <c r="DH633" s="335"/>
      <c r="DI633" s="335"/>
      <c r="DJ633" s="335"/>
      <c r="DK633" s="335"/>
      <c r="DL633" s="335"/>
      <c r="DM633" s="335"/>
      <c r="DN633" s="335"/>
      <c r="DO633" s="335"/>
      <c r="DP633" s="335"/>
      <c r="DQ633" s="335"/>
      <c r="DR633" s="335"/>
      <c r="DS633" s="335"/>
      <c r="DT633" s="335"/>
      <c r="DU633" s="335"/>
      <c r="DV633" s="335"/>
      <c r="DW633" s="335"/>
      <c r="DX633" s="335"/>
      <c r="DY633" s="335"/>
      <c r="DZ633" s="335"/>
      <c r="EA633" s="335"/>
      <c r="EB633" s="335"/>
      <c r="EC633" s="335"/>
      <c r="ED633" s="335"/>
      <c r="EE633" s="335"/>
      <c r="EF633" s="335"/>
      <c r="EG633" s="335"/>
      <c r="EH633" s="335"/>
      <c r="EI633" s="335"/>
      <c r="EJ633" s="335"/>
      <c r="EK633" s="335"/>
      <c r="EL633" s="335"/>
      <c r="EM633" s="335"/>
      <c r="EN633" s="335"/>
      <c r="EO633" s="335"/>
      <c r="EP633" s="335"/>
      <c r="EQ633" s="335"/>
      <c r="ER633" s="335"/>
      <c r="ES633" s="335"/>
      <c r="ET633" s="335"/>
      <c r="EU633" s="335"/>
      <c r="EV633" s="335"/>
      <c r="EW633" s="335"/>
      <c r="EX633" s="335"/>
      <c r="EY633" s="335"/>
      <c r="EZ633" s="335"/>
      <c r="FA633" s="335"/>
      <c r="FB633" s="335"/>
      <c r="FC633" s="335"/>
      <c r="FD633" s="335"/>
      <c r="FE633" s="335"/>
      <c r="FF633" s="335"/>
      <c r="FG633" s="335"/>
      <c r="FH633" s="335"/>
      <c r="FI633" s="335"/>
      <c r="FJ633" s="335"/>
      <c r="FK633" s="335"/>
      <c r="FL633" s="335"/>
      <c r="FM633" s="335"/>
      <c r="FN633" s="335"/>
      <c r="FO633" s="335"/>
      <c r="FP633" s="335"/>
      <c r="FQ633" s="335"/>
      <c r="FR633" s="335"/>
      <c r="FS633" s="335"/>
      <c r="FT633" s="335"/>
      <c r="FU633" s="335"/>
      <c r="FV633" s="335"/>
      <c r="FW633" s="335"/>
      <c r="FX633" s="335"/>
      <c r="FY633" s="335"/>
      <c r="FZ633" s="335"/>
      <c r="GA633" s="335"/>
      <c r="GB633" s="335"/>
      <c r="GC633" s="335"/>
      <c r="GD633" s="335"/>
      <c r="GE633" s="335"/>
      <c r="GF633" s="335"/>
      <c r="GG633" s="335"/>
      <c r="GH633" s="335"/>
      <c r="GI633" s="335"/>
      <c r="GJ633" s="335"/>
      <c r="GK633" s="335"/>
      <c r="GL633" s="335"/>
      <c r="GM633" s="335"/>
      <c r="GN633" s="335"/>
      <c r="GO633" s="335"/>
      <c r="GP633" s="335"/>
      <c r="GQ633" s="335"/>
      <c r="GR633" s="335"/>
      <c r="GS633" s="335"/>
      <c r="GT633" s="335"/>
      <c r="GU633" s="335"/>
      <c r="GV633" s="335"/>
      <c r="GW633" s="335"/>
      <c r="GX633" s="335"/>
      <c r="GY633" s="335"/>
      <c r="GZ633" s="335"/>
    </row>
    <row r="634" spans="1:208" ht="15">
      <c r="A634" s="379"/>
      <c r="B634" s="335"/>
      <c r="C634" s="335"/>
      <c r="D634" s="335"/>
      <c r="E634" s="335"/>
      <c r="F634" s="335"/>
      <c r="G634" s="335"/>
      <c r="H634" s="335"/>
      <c r="I634" s="335"/>
      <c r="J634" s="335"/>
      <c r="K634" s="335"/>
      <c r="L634" s="335"/>
      <c r="M634" s="376"/>
      <c r="N634" s="335"/>
      <c r="O634" s="380"/>
      <c r="P634" s="335"/>
      <c r="Q634" s="335"/>
      <c r="R634" s="335"/>
      <c r="S634" s="335"/>
      <c r="T634" s="335"/>
      <c r="U634" s="335"/>
      <c r="V634" s="335"/>
      <c r="W634" s="335"/>
      <c r="X634" s="335"/>
      <c r="Y634" s="335"/>
      <c r="Z634" s="335"/>
      <c r="AA634" s="335"/>
      <c r="AB634" s="335"/>
      <c r="AC634" s="335"/>
      <c r="AD634" s="335"/>
      <c r="AE634" s="335"/>
      <c r="AF634" s="335"/>
      <c r="AG634" s="335"/>
      <c r="AH634" s="335"/>
      <c r="AI634" s="335"/>
      <c r="AJ634" s="335"/>
      <c r="AK634" s="335"/>
      <c r="AL634" s="335"/>
      <c r="AM634" s="335"/>
      <c r="AN634" s="335"/>
      <c r="AO634" s="335"/>
      <c r="AP634" s="335"/>
      <c r="AQ634" s="335"/>
      <c r="AR634" s="335"/>
      <c r="AS634" s="335"/>
      <c r="AT634" s="335"/>
      <c r="AU634" s="335"/>
      <c r="AV634" s="335"/>
      <c r="AW634" s="335"/>
      <c r="AX634" s="335"/>
      <c r="AY634" s="335"/>
      <c r="AZ634" s="335"/>
      <c r="BA634" s="335"/>
      <c r="BB634" s="335"/>
      <c r="BC634" s="335"/>
      <c r="BD634" s="335"/>
      <c r="BE634" s="335"/>
      <c r="BF634" s="335"/>
      <c r="BG634" s="335"/>
      <c r="BH634" s="335"/>
      <c r="BI634" s="335"/>
      <c r="BJ634" s="335"/>
      <c r="BK634" s="335"/>
      <c r="BL634" s="335"/>
      <c r="BM634" s="335"/>
      <c r="BN634" s="335"/>
      <c r="BO634" s="335"/>
      <c r="BP634" s="335"/>
      <c r="BQ634" s="335"/>
      <c r="BR634" s="335"/>
      <c r="BS634" s="335"/>
      <c r="BT634" s="335"/>
      <c r="BU634" s="335"/>
      <c r="BV634" s="335"/>
      <c r="BW634" s="335"/>
      <c r="BX634" s="335"/>
      <c r="BY634" s="335"/>
      <c r="BZ634" s="335"/>
      <c r="CA634" s="335"/>
      <c r="CB634" s="335"/>
      <c r="CC634" s="335"/>
      <c r="CD634" s="335"/>
      <c r="CE634" s="335"/>
      <c r="CF634" s="335"/>
      <c r="CG634" s="335"/>
      <c r="CH634" s="335"/>
      <c r="CI634" s="335"/>
      <c r="CJ634" s="335"/>
      <c r="CK634" s="335"/>
      <c r="CL634" s="335"/>
      <c r="CM634" s="335"/>
      <c r="CN634" s="335"/>
      <c r="CO634" s="335"/>
      <c r="CP634" s="335"/>
      <c r="CQ634" s="335"/>
      <c r="CR634" s="335"/>
      <c r="CS634" s="335"/>
      <c r="CT634" s="335"/>
      <c r="CU634" s="335"/>
      <c r="CV634" s="335"/>
      <c r="CW634" s="335"/>
      <c r="CX634" s="335"/>
      <c r="CY634" s="335"/>
      <c r="CZ634" s="335"/>
      <c r="DA634" s="335"/>
      <c r="DB634" s="335"/>
      <c r="DC634" s="335"/>
      <c r="DD634" s="335"/>
      <c r="DE634" s="335"/>
      <c r="DF634" s="335"/>
      <c r="DG634" s="335"/>
      <c r="DH634" s="335"/>
      <c r="DI634" s="335"/>
      <c r="DJ634" s="335"/>
      <c r="DK634" s="335"/>
      <c r="DL634" s="335"/>
      <c r="DM634" s="335"/>
      <c r="DN634" s="335"/>
      <c r="DO634" s="335"/>
      <c r="DP634" s="335"/>
      <c r="DQ634" s="335"/>
      <c r="DR634" s="335"/>
      <c r="DS634" s="335"/>
      <c r="DT634" s="335"/>
      <c r="DU634" s="335"/>
      <c r="DV634" s="335"/>
      <c r="DW634" s="335"/>
      <c r="DX634" s="335"/>
      <c r="DY634" s="335"/>
      <c r="DZ634" s="335"/>
      <c r="EA634" s="335"/>
      <c r="EB634" s="335"/>
      <c r="EC634" s="335"/>
      <c r="ED634" s="335"/>
      <c r="EE634" s="335"/>
      <c r="EF634" s="335"/>
      <c r="EG634" s="335"/>
      <c r="EH634" s="335"/>
      <c r="EI634" s="335"/>
      <c r="EJ634" s="335"/>
      <c r="EK634" s="335"/>
      <c r="EL634" s="335"/>
      <c r="EM634" s="335"/>
      <c r="EN634" s="335"/>
      <c r="EO634" s="335"/>
      <c r="EP634" s="335"/>
      <c r="EQ634" s="335"/>
      <c r="ER634" s="335"/>
      <c r="ES634" s="335"/>
      <c r="ET634" s="335"/>
      <c r="EU634" s="335"/>
      <c r="EV634" s="335"/>
      <c r="EW634" s="335"/>
      <c r="EX634" s="335"/>
      <c r="EY634" s="335"/>
      <c r="EZ634" s="335"/>
      <c r="FA634" s="335"/>
      <c r="FB634" s="335"/>
      <c r="FC634" s="335"/>
      <c r="FD634" s="335"/>
      <c r="FE634" s="335"/>
      <c r="FF634" s="335"/>
      <c r="FG634" s="335"/>
      <c r="FH634" s="335"/>
      <c r="FI634" s="335"/>
      <c r="FJ634" s="335"/>
      <c r="FK634" s="335"/>
      <c r="FL634" s="335"/>
      <c r="FM634" s="335"/>
      <c r="FN634" s="335"/>
      <c r="FO634" s="335"/>
      <c r="FP634" s="335"/>
      <c r="FQ634" s="335"/>
      <c r="FR634" s="335"/>
      <c r="FS634" s="335"/>
      <c r="FT634" s="335"/>
      <c r="FU634" s="335"/>
      <c r="FV634" s="335"/>
      <c r="FW634" s="335"/>
      <c r="FX634" s="335"/>
      <c r="FY634" s="335"/>
      <c r="FZ634" s="335"/>
      <c r="GA634" s="335"/>
      <c r="GB634" s="335"/>
      <c r="GC634" s="335"/>
      <c r="GD634" s="335"/>
      <c r="GE634" s="335"/>
      <c r="GF634" s="335"/>
      <c r="GG634" s="335"/>
      <c r="GH634" s="335"/>
      <c r="GI634" s="335"/>
      <c r="GJ634" s="335"/>
      <c r="GK634" s="335"/>
      <c r="GL634" s="335"/>
      <c r="GM634" s="335"/>
      <c r="GN634" s="335"/>
      <c r="GO634" s="335"/>
      <c r="GP634" s="335"/>
      <c r="GQ634" s="335"/>
      <c r="GR634" s="335"/>
      <c r="GS634" s="335"/>
      <c r="GT634" s="335"/>
      <c r="GU634" s="335"/>
      <c r="GV634" s="335"/>
      <c r="GW634" s="335"/>
      <c r="GX634" s="335"/>
      <c r="GY634" s="335"/>
      <c r="GZ634" s="335"/>
    </row>
    <row r="635" spans="1:208" ht="15">
      <c r="A635" s="379"/>
      <c r="B635" s="335"/>
      <c r="C635" s="335"/>
      <c r="D635" s="335"/>
      <c r="E635" s="335"/>
      <c r="F635" s="335"/>
      <c r="G635" s="335"/>
      <c r="H635" s="335"/>
      <c r="I635" s="335"/>
      <c r="J635" s="335"/>
      <c r="K635" s="335"/>
      <c r="L635" s="335"/>
      <c r="M635" s="376"/>
      <c r="N635" s="335"/>
      <c r="O635" s="380"/>
      <c r="P635" s="335"/>
      <c r="Q635" s="335"/>
      <c r="R635" s="335"/>
      <c r="S635" s="335"/>
      <c r="T635" s="335"/>
      <c r="U635" s="335"/>
      <c r="V635" s="335"/>
      <c r="W635" s="335"/>
      <c r="X635" s="335"/>
      <c r="Y635" s="335"/>
      <c r="Z635" s="335"/>
      <c r="AA635" s="335"/>
      <c r="AB635" s="335"/>
      <c r="AC635" s="335"/>
      <c r="AD635" s="335"/>
      <c r="AE635" s="335"/>
      <c r="AF635" s="335"/>
      <c r="AG635" s="335"/>
      <c r="AH635" s="335"/>
      <c r="AI635" s="335"/>
      <c r="AJ635" s="335"/>
      <c r="AK635" s="335"/>
      <c r="AL635" s="335"/>
      <c r="AM635" s="335"/>
      <c r="AN635" s="335"/>
      <c r="AO635" s="335"/>
      <c r="AP635" s="335"/>
      <c r="AQ635" s="335"/>
      <c r="AR635" s="335"/>
      <c r="AS635" s="335"/>
      <c r="AT635" s="335"/>
      <c r="AU635" s="335"/>
      <c r="AV635" s="335"/>
      <c r="AW635" s="335"/>
      <c r="AX635" s="335"/>
      <c r="AY635" s="335"/>
      <c r="AZ635" s="335"/>
      <c r="BA635" s="335"/>
      <c r="BB635" s="335"/>
      <c r="BC635" s="335"/>
      <c r="BD635" s="335"/>
      <c r="BE635" s="335"/>
      <c r="BF635" s="335"/>
      <c r="BG635" s="335"/>
      <c r="BH635" s="335"/>
      <c r="BI635" s="335"/>
      <c r="BJ635" s="335"/>
      <c r="BK635" s="335"/>
      <c r="BL635" s="335"/>
      <c r="BM635" s="335"/>
      <c r="BN635" s="335"/>
      <c r="BO635" s="335"/>
      <c r="BP635" s="335"/>
      <c r="BQ635" s="335"/>
      <c r="BR635" s="335"/>
      <c r="BS635" s="335"/>
      <c r="BT635" s="335"/>
      <c r="BU635" s="335"/>
      <c r="BV635" s="335"/>
      <c r="BW635" s="335"/>
      <c r="BX635" s="335"/>
      <c r="BY635" s="335"/>
      <c r="BZ635" s="335"/>
      <c r="CA635" s="335"/>
      <c r="CB635" s="335"/>
      <c r="CC635" s="335"/>
      <c r="CD635" s="335"/>
      <c r="CE635" s="335"/>
      <c r="CF635" s="335"/>
      <c r="CG635" s="335"/>
      <c r="CH635" s="335"/>
      <c r="CI635" s="335"/>
      <c r="CJ635" s="335"/>
      <c r="CK635" s="335"/>
      <c r="CL635" s="335"/>
      <c r="CM635" s="335"/>
      <c r="CN635" s="335"/>
      <c r="CO635" s="335"/>
      <c r="CP635" s="335"/>
      <c r="CQ635" s="335"/>
      <c r="CR635" s="335"/>
      <c r="CS635" s="335"/>
      <c r="CT635" s="335"/>
      <c r="CU635" s="335"/>
      <c r="CV635" s="335"/>
      <c r="CW635" s="335"/>
      <c r="CX635" s="335"/>
      <c r="CY635" s="335"/>
      <c r="CZ635" s="335"/>
      <c r="DA635" s="335"/>
      <c r="DB635" s="335"/>
      <c r="DC635" s="335"/>
      <c r="DD635" s="335"/>
      <c r="DE635" s="335"/>
      <c r="DF635" s="335"/>
      <c r="DG635" s="335"/>
      <c r="DH635" s="335"/>
      <c r="DI635" s="335"/>
      <c r="DJ635" s="335"/>
      <c r="DK635" s="335"/>
      <c r="DL635" s="335"/>
      <c r="DM635" s="335"/>
      <c r="DN635" s="335"/>
      <c r="DO635" s="335"/>
      <c r="DP635" s="335"/>
      <c r="DQ635" s="335"/>
      <c r="DR635" s="335"/>
      <c r="DS635" s="335"/>
      <c r="DT635" s="335"/>
      <c r="DU635" s="335"/>
      <c r="DV635" s="335"/>
      <c r="DW635" s="335"/>
      <c r="DX635" s="335"/>
      <c r="DY635" s="335"/>
      <c r="DZ635" s="335"/>
      <c r="EA635" s="335"/>
      <c r="EB635" s="335"/>
      <c r="EC635" s="335"/>
      <c r="ED635" s="335"/>
      <c r="EE635" s="335"/>
      <c r="EF635" s="335"/>
      <c r="EG635" s="335"/>
      <c r="EH635" s="335"/>
      <c r="EI635" s="335"/>
      <c r="EJ635" s="335"/>
      <c r="EK635" s="335"/>
      <c r="EL635" s="335"/>
      <c r="EM635" s="335"/>
      <c r="EN635" s="335"/>
      <c r="EO635" s="335"/>
      <c r="EP635" s="335"/>
      <c r="EQ635" s="335"/>
      <c r="ER635" s="335"/>
      <c r="ES635" s="335"/>
      <c r="ET635" s="335"/>
      <c r="EU635" s="335"/>
      <c r="EV635" s="335"/>
      <c r="EW635" s="335"/>
      <c r="EX635" s="335"/>
      <c r="EY635" s="335"/>
      <c r="EZ635" s="335"/>
      <c r="FA635" s="335"/>
      <c r="FB635" s="335"/>
      <c r="FC635" s="335"/>
      <c r="FD635" s="335"/>
      <c r="FE635" s="335"/>
      <c r="FF635" s="335"/>
      <c r="FG635" s="335"/>
      <c r="FH635" s="335"/>
      <c r="FI635" s="335"/>
      <c r="FJ635" s="335"/>
      <c r="FK635" s="335"/>
      <c r="FL635" s="335"/>
      <c r="FM635" s="335"/>
      <c r="FN635" s="335"/>
      <c r="FO635" s="335"/>
      <c r="FP635" s="335"/>
      <c r="FQ635" s="335"/>
      <c r="FR635" s="335"/>
      <c r="FS635" s="335"/>
      <c r="FT635" s="335"/>
      <c r="FU635" s="335"/>
      <c r="FV635" s="335"/>
      <c r="FW635" s="335"/>
      <c r="FX635" s="335"/>
      <c r="FY635" s="335"/>
      <c r="FZ635" s="335"/>
      <c r="GA635" s="335"/>
      <c r="GB635" s="335"/>
      <c r="GC635" s="335"/>
      <c r="GD635" s="335"/>
      <c r="GE635" s="335"/>
      <c r="GF635" s="335"/>
      <c r="GG635" s="335"/>
      <c r="GH635" s="335"/>
      <c r="GI635" s="335"/>
      <c r="GJ635" s="335"/>
      <c r="GK635" s="335"/>
      <c r="GL635" s="335"/>
      <c r="GM635" s="335"/>
      <c r="GN635" s="335"/>
      <c r="GO635" s="335"/>
      <c r="GP635" s="335"/>
      <c r="GQ635" s="335"/>
      <c r="GR635" s="335"/>
      <c r="GS635" s="335"/>
      <c r="GT635" s="335"/>
      <c r="GU635" s="335"/>
      <c r="GV635" s="335"/>
      <c r="GW635" s="335"/>
      <c r="GX635" s="335"/>
      <c r="GY635" s="335"/>
      <c r="GZ635" s="335"/>
    </row>
    <row r="636" spans="1:208" ht="15">
      <c r="A636" s="379"/>
      <c r="B636" s="335"/>
      <c r="C636" s="335"/>
      <c r="D636" s="335"/>
      <c r="E636" s="335"/>
      <c r="F636" s="335"/>
      <c r="G636" s="335"/>
      <c r="H636" s="335"/>
      <c r="I636" s="335"/>
      <c r="J636" s="335"/>
      <c r="K636" s="335"/>
      <c r="L636" s="335"/>
      <c r="M636" s="376"/>
      <c r="N636" s="335"/>
      <c r="O636" s="380"/>
      <c r="P636" s="335"/>
      <c r="Q636" s="335"/>
      <c r="R636" s="335"/>
      <c r="S636" s="335"/>
      <c r="T636" s="335"/>
      <c r="U636" s="335"/>
      <c r="V636" s="335"/>
      <c r="W636" s="335"/>
      <c r="X636" s="335"/>
      <c r="Y636" s="335"/>
      <c r="Z636" s="335"/>
      <c r="AA636" s="335"/>
      <c r="AB636" s="335"/>
      <c r="AC636" s="335"/>
      <c r="AD636" s="335"/>
      <c r="AE636" s="335"/>
      <c r="AF636" s="335"/>
      <c r="AG636" s="335"/>
      <c r="AH636" s="335"/>
      <c r="AI636" s="335"/>
      <c r="AJ636" s="335"/>
      <c r="AK636" s="335"/>
      <c r="AL636" s="335"/>
      <c r="AM636" s="335"/>
      <c r="AN636" s="335"/>
      <c r="AO636" s="335"/>
      <c r="AP636" s="335"/>
      <c r="AQ636" s="335"/>
      <c r="AR636" s="335"/>
      <c r="AS636" s="335"/>
      <c r="AT636" s="335"/>
      <c r="AU636" s="335"/>
      <c r="AV636" s="335"/>
      <c r="AW636" s="335"/>
      <c r="AX636" s="335"/>
      <c r="AY636" s="335"/>
      <c r="AZ636" s="335"/>
      <c r="BA636" s="335"/>
      <c r="BB636" s="335"/>
      <c r="BC636" s="335"/>
      <c r="BD636" s="335"/>
      <c r="BE636" s="335"/>
      <c r="BF636" s="335"/>
      <c r="BG636" s="335"/>
      <c r="BH636" s="335"/>
      <c r="BI636" s="335"/>
      <c r="BJ636" s="335"/>
      <c r="BK636" s="335"/>
      <c r="BL636" s="335"/>
      <c r="BM636" s="335"/>
      <c r="BN636" s="335"/>
      <c r="BO636" s="335"/>
      <c r="BP636" s="335"/>
      <c r="BQ636" s="335"/>
      <c r="BR636" s="335"/>
      <c r="BS636" s="335"/>
      <c r="BT636" s="335"/>
      <c r="BU636" s="335"/>
      <c r="BV636" s="335"/>
      <c r="BW636" s="335"/>
      <c r="BX636" s="335"/>
      <c r="BY636" s="335"/>
      <c r="BZ636" s="335"/>
      <c r="CA636" s="335"/>
      <c r="CB636" s="335"/>
      <c r="CC636" s="335"/>
      <c r="CD636" s="335"/>
      <c r="CE636" s="335"/>
      <c r="CF636" s="335"/>
      <c r="CG636" s="335"/>
      <c r="CH636" s="335"/>
      <c r="CI636" s="335"/>
      <c r="CJ636" s="335"/>
      <c r="CK636" s="335"/>
      <c r="CL636" s="335"/>
      <c r="CM636" s="335"/>
      <c r="CN636" s="335"/>
      <c r="CO636" s="335"/>
      <c r="CP636" s="335"/>
      <c r="CQ636" s="335"/>
      <c r="CR636" s="335"/>
      <c r="CS636" s="335"/>
      <c r="CT636" s="335"/>
      <c r="CU636" s="335"/>
      <c r="CV636" s="335"/>
      <c r="CW636" s="335"/>
      <c r="CX636" s="335"/>
      <c r="CY636" s="335"/>
      <c r="CZ636" s="335"/>
      <c r="DA636" s="335"/>
      <c r="DB636" s="335"/>
      <c r="DC636" s="335"/>
      <c r="DD636" s="335"/>
      <c r="DE636" s="335"/>
      <c r="DF636" s="335"/>
      <c r="DG636" s="335"/>
      <c r="DH636" s="335"/>
      <c r="DI636" s="335"/>
      <c r="DJ636" s="335"/>
      <c r="DK636" s="335"/>
      <c r="DL636" s="335"/>
      <c r="DM636" s="335"/>
      <c r="DN636" s="335"/>
      <c r="DO636" s="335"/>
      <c r="DP636" s="335"/>
      <c r="DQ636" s="335"/>
      <c r="DR636" s="335"/>
      <c r="DS636" s="335"/>
      <c r="DT636" s="335"/>
      <c r="DU636" s="335"/>
      <c r="DV636" s="335"/>
      <c r="DW636" s="335"/>
      <c r="DX636" s="335"/>
      <c r="DY636" s="335"/>
      <c r="DZ636" s="335"/>
      <c r="EA636" s="335"/>
      <c r="EB636" s="335"/>
      <c r="EC636" s="335"/>
      <c r="ED636" s="335"/>
      <c r="EE636" s="335"/>
      <c r="EF636" s="335"/>
      <c r="EG636" s="335"/>
      <c r="EH636" s="335"/>
      <c r="EI636" s="335"/>
      <c r="EJ636" s="335"/>
      <c r="EK636" s="335"/>
      <c r="EL636" s="335"/>
      <c r="EM636" s="335"/>
      <c r="EN636" s="335"/>
      <c r="EO636" s="335"/>
      <c r="EP636" s="335"/>
      <c r="EQ636" s="335"/>
      <c r="ER636" s="335"/>
      <c r="ES636" s="335"/>
      <c r="ET636" s="335"/>
      <c r="EU636" s="335"/>
      <c r="EV636" s="335"/>
      <c r="EW636" s="335"/>
      <c r="EX636" s="335"/>
      <c r="EY636" s="335"/>
      <c r="EZ636" s="335"/>
      <c r="FA636" s="335"/>
      <c r="FB636" s="335"/>
      <c r="FC636" s="335"/>
      <c r="FD636" s="335"/>
      <c r="FE636" s="335"/>
      <c r="FF636" s="335"/>
      <c r="FG636" s="335"/>
      <c r="FH636" s="335"/>
      <c r="FI636" s="335"/>
      <c r="FJ636" s="335"/>
      <c r="FK636" s="335"/>
      <c r="FL636" s="335"/>
      <c r="FM636" s="335"/>
      <c r="FN636" s="335"/>
      <c r="FO636" s="335"/>
      <c r="FP636" s="335"/>
      <c r="FQ636" s="335"/>
      <c r="FR636" s="335"/>
      <c r="FS636" s="335"/>
      <c r="FT636" s="335"/>
      <c r="FU636" s="335"/>
      <c r="FV636" s="335"/>
      <c r="FW636" s="335"/>
      <c r="FX636" s="335"/>
      <c r="FY636" s="335"/>
      <c r="FZ636" s="335"/>
      <c r="GA636" s="335"/>
      <c r="GB636" s="335"/>
      <c r="GC636" s="335"/>
      <c r="GD636" s="335"/>
      <c r="GE636" s="335"/>
      <c r="GF636" s="335"/>
      <c r="GG636" s="335"/>
      <c r="GH636" s="335"/>
      <c r="GI636" s="335"/>
      <c r="GJ636" s="335"/>
      <c r="GK636" s="335"/>
      <c r="GL636" s="335"/>
      <c r="GM636" s="335"/>
      <c r="GN636" s="335"/>
      <c r="GO636" s="335"/>
      <c r="GP636" s="335"/>
      <c r="GQ636" s="335"/>
      <c r="GR636" s="335"/>
      <c r="GS636" s="335"/>
      <c r="GT636" s="335"/>
      <c r="GU636" s="335"/>
      <c r="GV636" s="335"/>
      <c r="GW636" s="335"/>
      <c r="GX636" s="335"/>
      <c r="GY636" s="335"/>
      <c r="GZ636" s="335"/>
    </row>
    <row r="637" spans="1:208" ht="15">
      <c r="A637" s="379"/>
      <c r="B637" s="335"/>
      <c r="C637" s="335"/>
      <c r="D637" s="335"/>
      <c r="E637" s="335"/>
      <c r="F637" s="335"/>
      <c r="G637" s="335"/>
      <c r="H637" s="335"/>
      <c r="I637" s="335"/>
      <c r="J637" s="335"/>
      <c r="K637" s="335"/>
      <c r="L637" s="335"/>
      <c r="M637" s="376"/>
      <c r="N637" s="335"/>
      <c r="O637" s="380"/>
      <c r="P637" s="335"/>
      <c r="Q637" s="335"/>
      <c r="R637" s="335"/>
      <c r="S637" s="335"/>
      <c r="T637" s="335"/>
      <c r="U637" s="335"/>
      <c r="V637" s="335"/>
      <c r="W637" s="335"/>
      <c r="X637" s="335"/>
      <c r="Y637" s="335"/>
      <c r="Z637" s="335"/>
      <c r="AA637" s="335"/>
      <c r="AB637" s="335"/>
      <c r="AC637" s="335"/>
      <c r="AD637" s="335"/>
      <c r="AE637" s="335"/>
      <c r="AF637" s="335"/>
      <c r="AG637" s="335"/>
      <c r="AH637" s="335"/>
      <c r="AI637" s="335"/>
      <c r="AJ637" s="335"/>
      <c r="AK637" s="335"/>
      <c r="AL637" s="335"/>
      <c r="AM637" s="335"/>
      <c r="AN637" s="335"/>
      <c r="AO637" s="335"/>
      <c r="AP637" s="335"/>
      <c r="AQ637" s="335"/>
      <c r="AR637" s="335"/>
      <c r="AS637" s="335"/>
      <c r="AT637" s="335"/>
      <c r="AU637" s="335"/>
      <c r="AV637" s="335"/>
      <c r="AW637" s="335"/>
      <c r="AX637" s="335"/>
      <c r="AY637" s="335"/>
      <c r="AZ637" s="335"/>
      <c r="BA637" s="335"/>
      <c r="BB637" s="335"/>
      <c r="BC637" s="335"/>
      <c r="BD637" s="335"/>
      <c r="BE637" s="335"/>
      <c r="BF637" s="335"/>
      <c r="BG637" s="335"/>
      <c r="BH637" s="335"/>
      <c r="BI637" s="335"/>
      <c r="BJ637" s="335"/>
      <c r="BK637" s="335"/>
      <c r="BL637" s="335"/>
      <c r="BM637" s="335"/>
      <c r="BN637" s="335"/>
      <c r="BO637" s="335"/>
      <c r="BP637" s="335"/>
      <c r="BQ637" s="335"/>
      <c r="BR637" s="335"/>
      <c r="BS637" s="335"/>
      <c r="BT637" s="335"/>
      <c r="BU637" s="335"/>
      <c r="BV637" s="335"/>
      <c r="BW637" s="335"/>
      <c r="BX637" s="335"/>
      <c r="BY637" s="335"/>
      <c r="BZ637" s="335"/>
      <c r="CA637" s="335"/>
      <c r="CB637" s="335"/>
      <c r="CC637" s="335"/>
      <c r="CD637" s="335"/>
      <c r="CE637" s="335"/>
      <c r="CF637" s="335"/>
      <c r="CG637" s="335"/>
      <c r="CH637" s="335"/>
      <c r="CI637" s="335"/>
      <c r="CJ637" s="335"/>
      <c r="CK637" s="335"/>
      <c r="CL637" s="335"/>
      <c r="CM637" s="335"/>
      <c r="CN637" s="335"/>
      <c r="CO637" s="335"/>
      <c r="CP637" s="335"/>
      <c r="CQ637" s="335"/>
      <c r="CR637" s="335"/>
      <c r="CS637" s="335"/>
      <c r="CT637" s="335"/>
      <c r="CU637" s="335"/>
      <c r="CV637" s="335"/>
      <c r="CW637" s="335"/>
      <c r="CX637" s="335"/>
      <c r="CY637" s="335"/>
      <c r="CZ637" s="335"/>
      <c r="DA637" s="335"/>
      <c r="DB637" s="335"/>
      <c r="DC637" s="335"/>
      <c r="DD637" s="335"/>
      <c r="DE637" s="335"/>
      <c r="DF637" s="335"/>
      <c r="DG637" s="335"/>
      <c r="DH637" s="335"/>
      <c r="DI637" s="335"/>
      <c r="DJ637" s="335"/>
      <c r="DK637" s="335"/>
      <c r="DL637" s="335"/>
      <c r="DM637" s="335"/>
      <c r="DN637" s="335"/>
      <c r="DO637" s="335"/>
      <c r="DP637" s="335"/>
      <c r="DQ637" s="335"/>
      <c r="DR637" s="335"/>
      <c r="DS637" s="335"/>
      <c r="DT637" s="335"/>
      <c r="DU637" s="335"/>
      <c r="DV637" s="335"/>
      <c r="DW637" s="335"/>
      <c r="DX637" s="335"/>
      <c r="DY637" s="335"/>
      <c r="DZ637" s="335"/>
      <c r="EA637" s="335"/>
      <c r="EB637" s="335"/>
      <c r="EC637" s="335"/>
      <c r="ED637" s="335"/>
      <c r="EE637" s="335"/>
      <c r="EF637" s="335"/>
      <c r="EG637" s="335"/>
      <c r="EH637" s="335"/>
      <c r="EI637" s="335"/>
      <c r="EJ637" s="335"/>
      <c r="EK637" s="335"/>
      <c r="EL637" s="335"/>
      <c r="EM637" s="335"/>
      <c r="EN637" s="335"/>
      <c r="EO637" s="335"/>
      <c r="EP637" s="335"/>
      <c r="EQ637" s="335"/>
      <c r="ER637" s="335"/>
      <c r="ES637" s="335"/>
      <c r="ET637" s="335"/>
      <c r="EU637" s="335"/>
      <c r="EV637" s="335"/>
      <c r="EW637" s="335"/>
      <c r="EX637" s="335"/>
      <c r="EY637" s="335"/>
      <c r="EZ637" s="335"/>
      <c r="FA637" s="335"/>
      <c r="FB637" s="335"/>
      <c r="FC637" s="335"/>
      <c r="FD637" s="335"/>
      <c r="FE637" s="335"/>
      <c r="FF637" s="335"/>
      <c r="FG637" s="335"/>
      <c r="FH637" s="335"/>
      <c r="FI637" s="335"/>
      <c r="FJ637" s="335"/>
      <c r="FK637" s="335"/>
      <c r="FL637" s="335"/>
      <c r="FM637" s="335"/>
      <c r="FN637" s="335"/>
      <c r="FO637" s="335"/>
      <c r="FP637" s="335"/>
      <c r="FQ637" s="335"/>
      <c r="FR637" s="335"/>
      <c r="FS637" s="335"/>
      <c r="FT637" s="335"/>
      <c r="FU637" s="335"/>
      <c r="FV637" s="335"/>
      <c r="FW637" s="335"/>
      <c r="FX637" s="335"/>
      <c r="FY637" s="335"/>
      <c r="FZ637" s="335"/>
      <c r="GA637" s="335"/>
      <c r="GB637" s="335"/>
      <c r="GC637" s="335"/>
      <c r="GD637" s="335"/>
      <c r="GE637" s="335"/>
      <c r="GF637" s="335"/>
      <c r="GG637" s="335"/>
      <c r="GH637" s="335"/>
      <c r="GI637" s="335"/>
      <c r="GJ637" s="335"/>
      <c r="GK637" s="335"/>
      <c r="GL637" s="335"/>
      <c r="GM637" s="335"/>
      <c r="GN637" s="335"/>
      <c r="GO637" s="335"/>
      <c r="GP637" s="335"/>
      <c r="GQ637" s="335"/>
      <c r="GR637" s="335"/>
      <c r="GS637" s="335"/>
      <c r="GT637" s="335"/>
      <c r="GU637" s="335"/>
      <c r="GV637" s="335"/>
      <c r="GW637" s="335"/>
      <c r="GX637" s="335"/>
      <c r="GY637" s="335"/>
      <c r="GZ637" s="335"/>
    </row>
    <row r="638" spans="1:208" ht="15">
      <c r="A638" s="379"/>
      <c r="B638" s="335"/>
      <c r="C638" s="335"/>
      <c r="D638" s="335"/>
      <c r="E638" s="335"/>
      <c r="F638" s="335"/>
      <c r="G638" s="335"/>
      <c r="H638" s="335"/>
      <c r="I638" s="335"/>
      <c r="J638" s="335"/>
      <c r="K638" s="335"/>
      <c r="L638" s="335"/>
      <c r="M638" s="376"/>
      <c r="N638" s="335"/>
      <c r="O638" s="380"/>
      <c r="P638" s="335"/>
      <c r="Q638" s="335"/>
      <c r="R638" s="335"/>
      <c r="S638" s="335"/>
      <c r="T638" s="335"/>
      <c r="U638" s="335"/>
      <c r="V638" s="335"/>
      <c r="W638" s="335"/>
      <c r="X638" s="335"/>
      <c r="Y638" s="335"/>
      <c r="Z638" s="335"/>
      <c r="AA638" s="335"/>
      <c r="AB638" s="335"/>
      <c r="AC638" s="335"/>
      <c r="AD638" s="335"/>
      <c r="AE638" s="335"/>
      <c r="AF638" s="335"/>
      <c r="AG638" s="335"/>
      <c r="AH638" s="335"/>
      <c r="AI638" s="335"/>
      <c r="AJ638" s="335"/>
      <c r="AK638" s="335"/>
      <c r="AL638" s="335"/>
      <c r="AM638" s="335"/>
      <c r="AN638" s="335"/>
      <c r="AO638" s="335"/>
      <c r="AP638" s="335"/>
      <c r="AQ638" s="335"/>
      <c r="AR638" s="335"/>
      <c r="AS638" s="335"/>
      <c r="AT638" s="335"/>
      <c r="AU638" s="335"/>
      <c r="AV638" s="335"/>
      <c r="AW638" s="335"/>
      <c r="AX638" s="335"/>
      <c r="AY638" s="335"/>
      <c r="AZ638" s="335"/>
      <c r="BA638" s="335"/>
      <c r="BB638" s="335"/>
      <c r="BC638" s="335"/>
      <c r="BD638" s="335"/>
      <c r="BE638" s="335"/>
      <c r="BF638" s="335"/>
      <c r="BG638" s="335"/>
      <c r="BH638" s="335"/>
      <c r="BI638" s="335"/>
      <c r="BJ638" s="335"/>
      <c r="BK638" s="335"/>
      <c r="BL638" s="335"/>
      <c r="BM638" s="335"/>
      <c r="BN638" s="335"/>
      <c r="BO638" s="335"/>
      <c r="BP638" s="335"/>
      <c r="BQ638" s="335"/>
      <c r="BR638" s="335"/>
      <c r="BS638" s="335"/>
      <c r="BT638" s="335"/>
      <c r="BU638" s="335"/>
      <c r="BV638" s="335"/>
      <c r="BW638" s="335"/>
      <c r="BX638" s="335"/>
      <c r="BY638" s="335"/>
      <c r="BZ638" s="335"/>
      <c r="CA638" s="335"/>
      <c r="CB638" s="335"/>
      <c r="CC638" s="335"/>
      <c r="CD638" s="335"/>
      <c r="CE638" s="335"/>
      <c r="CF638" s="335"/>
      <c r="CG638" s="335"/>
      <c r="CH638" s="335"/>
      <c r="CI638" s="335"/>
      <c r="CJ638" s="335"/>
      <c r="CK638" s="335"/>
      <c r="CL638" s="335"/>
      <c r="CM638" s="335"/>
      <c r="CN638" s="335"/>
      <c r="CO638" s="335"/>
      <c r="CP638" s="335"/>
      <c r="CQ638" s="335"/>
      <c r="CR638" s="335"/>
      <c r="CS638" s="335"/>
      <c r="CT638" s="335"/>
      <c r="CU638" s="335"/>
      <c r="CV638" s="335"/>
      <c r="CW638" s="335"/>
      <c r="CX638" s="335"/>
      <c r="CY638" s="335"/>
      <c r="CZ638" s="335"/>
      <c r="DA638" s="335"/>
      <c r="DB638" s="335"/>
      <c r="DC638" s="335"/>
      <c r="DD638" s="335"/>
      <c r="DE638" s="335"/>
      <c r="DF638" s="335"/>
      <c r="DG638" s="335"/>
      <c r="DH638" s="335"/>
      <c r="DI638" s="335"/>
      <c r="DJ638" s="335"/>
      <c r="DK638" s="335"/>
      <c r="DL638" s="335"/>
      <c r="DM638" s="335"/>
      <c r="DN638" s="335"/>
      <c r="DO638" s="335"/>
      <c r="DP638" s="335"/>
      <c r="DQ638" s="335"/>
      <c r="DR638" s="335"/>
      <c r="DS638" s="335"/>
      <c r="DT638" s="335"/>
      <c r="DU638" s="335"/>
      <c r="DV638" s="335"/>
      <c r="DW638" s="335"/>
      <c r="DX638" s="335"/>
      <c r="DY638" s="335"/>
      <c r="DZ638" s="335"/>
      <c r="EA638" s="335"/>
      <c r="EB638" s="335"/>
      <c r="EC638" s="335"/>
      <c r="ED638" s="335"/>
      <c r="EE638" s="335"/>
      <c r="EF638" s="335"/>
      <c r="EG638" s="335"/>
      <c r="EH638" s="335"/>
      <c r="EI638" s="335"/>
      <c r="EJ638" s="335"/>
      <c r="EK638" s="335"/>
      <c r="EL638" s="335"/>
      <c r="EM638" s="335"/>
      <c r="EN638" s="335"/>
      <c r="EO638" s="335"/>
      <c r="EP638" s="335"/>
      <c r="EQ638" s="335"/>
      <c r="ER638" s="335"/>
      <c r="ES638" s="335"/>
      <c r="ET638" s="335"/>
      <c r="EU638" s="335"/>
      <c r="EV638" s="335"/>
      <c r="EW638" s="335"/>
      <c r="EX638" s="335"/>
      <c r="EY638" s="335"/>
      <c r="EZ638" s="335"/>
      <c r="FA638" s="335"/>
      <c r="FB638" s="335"/>
      <c r="FC638" s="335"/>
      <c r="FD638" s="335"/>
      <c r="FE638" s="335"/>
      <c r="FF638" s="335"/>
      <c r="FG638" s="335"/>
      <c r="FH638" s="335"/>
      <c r="FI638" s="335"/>
      <c r="FJ638" s="335"/>
      <c r="FK638" s="335"/>
      <c r="FL638" s="335"/>
      <c r="FM638" s="335"/>
      <c r="FN638" s="335"/>
      <c r="FO638" s="335"/>
      <c r="FP638" s="335"/>
      <c r="FQ638" s="335"/>
      <c r="FR638" s="335"/>
      <c r="FS638" s="335"/>
      <c r="FT638" s="335"/>
      <c r="FU638" s="335"/>
      <c r="FV638" s="335"/>
      <c r="FW638" s="335"/>
      <c r="FX638" s="335"/>
      <c r="FY638" s="335"/>
      <c r="FZ638" s="335"/>
      <c r="GA638" s="335"/>
      <c r="GB638" s="335"/>
      <c r="GC638" s="335"/>
      <c r="GD638" s="335"/>
      <c r="GE638" s="335"/>
      <c r="GF638" s="335"/>
      <c r="GG638" s="335"/>
      <c r="GH638" s="335"/>
      <c r="GI638" s="335"/>
      <c r="GJ638" s="335"/>
      <c r="GK638" s="335"/>
      <c r="GL638" s="335"/>
      <c r="GM638" s="335"/>
      <c r="GN638" s="335"/>
      <c r="GO638" s="335"/>
      <c r="GP638" s="335"/>
      <c r="GQ638" s="335"/>
      <c r="GR638" s="335"/>
      <c r="GS638" s="335"/>
      <c r="GT638" s="335"/>
      <c r="GU638" s="335"/>
      <c r="GV638" s="335"/>
      <c r="GW638" s="335"/>
      <c r="GX638" s="335"/>
      <c r="GY638" s="335"/>
      <c r="GZ638" s="335"/>
    </row>
    <row r="639" spans="1:208" ht="15">
      <c r="A639" s="379"/>
      <c r="B639" s="335"/>
      <c r="C639" s="335"/>
      <c r="D639" s="335"/>
      <c r="E639" s="335"/>
      <c r="F639" s="335"/>
      <c r="G639" s="335"/>
      <c r="H639" s="335"/>
      <c r="I639" s="335"/>
      <c r="J639" s="335"/>
      <c r="K639" s="335"/>
      <c r="L639" s="335"/>
      <c r="M639" s="376"/>
      <c r="N639" s="335"/>
      <c r="O639" s="380"/>
      <c r="P639" s="335"/>
      <c r="Q639" s="335"/>
      <c r="R639" s="335"/>
      <c r="S639" s="335"/>
      <c r="T639" s="335"/>
      <c r="U639" s="335"/>
      <c r="V639" s="335"/>
      <c r="W639" s="335"/>
      <c r="X639" s="335"/>
      <c r="Y639" s="335"/>
      <c r="Z639" s="335"/>
      <c r="AA639" s="335"/>
      <c r="AB639" s="335"/>
      <c r="AC639" s="335"/>
      <c r="AD639" s="335"/>
      <c r="AE639" s="335"/>
      <c r="AF639" s="335"/>
      <c r="AG639" s="335"/>
      <c r="AH639" s="335"/>
      <c r="AI639" s="335"/>
      <c r="AJ639" s="335"/>
      <c r="AK639" s="335"/>
      <c r="AL639" s="335"/>
      <c r="AM639" s="335"/>
      <c r="AN639" s="335"/>
      <c r="AO639" s="335"/>
      <c r="AP639" s="335"/>
      <c r="AQ639" s="335"/>
      <c r="AR639" s="335"/>
      <c r="AS639" s="335"/>
      <c r="AT639" s="335"/>
      <c r="AU639" s="335"/>
      <c r="AV639" s="335"/>
      <c r="AW639" s="335"/>
      <c r="AX639" s="335"/>
      <c r="AY639" s="335"/>
      <c r="AZ639" s="335"/>
      <c r="BA639" s="335"/>
      <c r="BB639" s="335"/>
      <c r="BC639" s="335"/>
      <c r="BD639" s="335"/>
      <c r="BE639" s="335"/>
      <c r="BF639" s="335"/>
      <c r="BG639" s="335"/>
      <c r="BH639" s="335"/>
      <c r="BI639" s="335"/>
      <c r="BJ639" s="335"/>
      <c r="BK639" s="335"/>
      <c r="BL639" s="335"/>
      <c r="BM639" s="335"/>
      <c r="BN639" s="335"/>
      <c r="BO639" s="335"/>
      <c r="BP639" s="335"/>
      <c r="BQ639" s="335"/>
      <c r="BR639" s="335"/>
      <c r="BS639" s="335"/>
      <c r="BT639" s="335"/>
      <c r="BU639" s="335"/>
      <c r="BV639" s="335"/>
      <c r="BW639" s="335"/>
      <c r="BX639" s="335"/>
      <c r="BY639" s="335"/>
      <c r="BZ639" s="335"/>
      <c r="CA639" s="335"/>
      <c r="CB639" s="335"/>
      <c r="CC639" s="335"/>
      <c r="CD639" s="335"/>
      <c r="CE639" s="335"/>
      <c r="CF639" s="335"/>
      <c r="CG639" s="335"/>
      <c r="CH639" s="335"/>
      <c r="CI639" s="335"/>
      <c r="CJ639" s="335"/>
      <c r="CK639" s="335"/>
      <c r="CL639" s="335"/>
      <c r="CM639" s="335"/>
      <c r="CN639" s="335"/>
      <c r="CO639" s="335"/>
      <c r="CP639" s="335"/>
      <c r="CQ639" s="335"/>
      <c r="CR639" s="335"/>
      <c r="CS639" s="335"/>
      <c r="CT639" s="335"/>
      <c r="CU639" s="335"/>
      <c r="CV639" s="335"/>
      <c r="CW639" s="335"/>
      <c r="CX639" s="335"/>
      <c r="CY639" s="335"/>
      <c r="CZ639" s="335"/>
      <c r="DA639" s="335"/>
      <c r="DB639" s="335"/>
      <c r="DC639" s="335"/>
      <c r="DD639" s="335"/>
      <c r="DE639" s="335"/>
      <c r="DF639" s="335"/>
      <c r="DG639" s="335"/>
      <c r="DH639" s="335"/>
      <c r="DI639" s="335"/>
      <c r="DJ639" s="335"/>
      <c r="DK639" s="335"/>
      <c r="DL639" s="335"/>
      <c r="DM639" s="335"/>
      <c r="DN639" s="335"/>
      <c r="DO639" s="335"/>
      <c r="DP639" s="335"/>
      <c r="DQ639" s="335"/>
      <c r="DR639" s="335"/>
      <c r="DS639" s="335"/>
      <c r="DT639" s="335"/>
      <c r="DU639" s="335"/>
      <c r="DV639" s="335"/>
      <c r="DW639" s="335"/>
      <c r="DX639" s="335"/>
      <c r="DY639" s="335"/>
      <c r="DZ639" s="335"/>
      <c r="EA639" s="335"/>
      <c r="EB639" s="335"/>
      <c r="EC639" s="335"/>
      <c r="ED639" s="335"/>
      <c r="EE639" s="335"/>
      <c r="EF639" s="335"/>
      <c r="EG639" s="335"/>
      <c r="EH639" s="335"/>
      <c r="EI639" s="335"/>
      <c r="EJ639" s="335"/>
      <c r="EK639" s="335"/>
      <c r="EL639" s="335"/>
      <c r="EM639" s="335"/>
      <c r="EN639" s="335"/>
      <c r="EO639" s="335"/>
      <c r="EP639" s="335"/>
      <c r="EQ639" s="335"/>
      <c r="ER639" s="335"/>
      <c r="ES639" s="335"/>
      <c r="ET639" s="335"/>
      <c r="EU639" s="335"/>
      <c r="EV639" s="335"/>
      <c r="EW639" s="335"/>
      <c r="EX639" s="335"/>
      <c r="EY639" s="335"/>
      <c r="EZ639" s="335"/>
      <c r="FA639" s="335"/>
      <c r="FB639" s="335"/>
      <c r="FC639" s="335"/>
      <c r="FD639" s="335"/>
      <c r="FE639" s="335"/>
      <c r="FF639" s="335"/>
      <c r="FG639" s="335"/>
      <c r="FH639" s="335"/>
      <c r="FI639" s="335"/>
      <c r="FJ639" s="335"/>
      <c r="FK639" s="335"/>
      <c r="FL639" s="335"/>
      <c r="FM639" s="335"/>
      <c r="FN639" s="335"/>
      <c r="FO639" s="335"/>
      <c r="FP639" s="335"/>
      <c r="FQ639" s="335"/>
      <c r="FR639" s="335"/>
      <c r="FS639" s="335"/>
      <c r="FT639" s="335"/>
      <c r="FU639" s="335"/>
      <c r="FV639" s="335"/>
      <c r="FW639" s="335"/>
      <c r="FX639" s="335"/>
      <c r="FY639" s="335"/>
      <c r="FZ639" s="335"/>
      <c r="GA639" s="335"/>
      <c r="GB639" s="335"/>
      <c r="GC639" s="335"/>
      <c r="GD639" s="335"/>
      <c r="GE639" s="335"/>
      <c r="GF639" s="335"/>
      <c r="GG639" s="335"/>
      <c r="GH639" s="335"/>
      <c r="GI639" s="335"/>
      <c r="GJ639" s="335"/>
      <c r="GK639" s="335"/>
      <c r="GL639" s="335"/>
      <c r="GM639" s="335"/>
      <c r="GN639" s="335"/>
      <c r="GO639" s="335"/>
      <c r="GP639" s="335"/>
      <c r="GQ639" s="335"/>
      <c r="GR639" s="335"/>
      <c r="GS639" s="335"/>
      <c r="GT639" s="335"/>
      <c r="GU639" s="335"/>
      <c r="GV639" s="335"/>
      <c r="GW639" s="335"/>
      <c r="GX639" s="335"/>
      <c r="GY639" s="335"/>
      <c r="GZ639" s="335"/>
    </row>
    <row r="640" spans="1:208" ht="15">
      <c r="A640" s="379"/>
      <c r="B640" s="335"/>
      <c r="C640" s="335"/>
      <c r="D640" s="335"/>
      <c r="E640" s="335"/>
      <c r="F640" s="335"/>
      <c r="G640" s="335"/>
      <c r="H640" s="335"/>
      <c r="I640" s="335"/>
      <c r="J640" s="335"/>
      <c r="K640" s="335"/>
      <c r="L640" s="335"/>
      <c r="M640" s="376"/>
      <c r="N640" s="335"/>
      <c r="O640" s="380"/>
      <c r="P640" s="335"/>
      <c r="Q640" s="335"/>
      <c r="R640" s="335"/>
      <c r="S640" s="335"/>
      <c r="T640" s="335"/>
      <c r="U640" s="335"/>
      <c r="V640" s="335"/>
      <c r="W640" s="335"/>
      <c r="X640" s="335"/>
      <c r="Y640" s="335"/>
      <c r="Z640" s="335"/>
      <c r="AA640" s="335"/>
      <c r="AB640" s="335"/>
      <c r="AC640" s="335"/>
      <c r="AD640" s="335"/>
      <c r="AE640" s="335"/>
      <c r="AF640" s="335"/>
      <c r="AG640" s="335"/>
      <c r="AH640" s="335"/>
      <c r="AI640" s="335"/>
      <c r="AJ640" s="335"/>
      <c r="AK640" s="335"/>
      <c r="AL640" s="335"/>
      <c r="AM640" s="335"/>
      <c r="AN640" s="335"/>
      <c r="AO640" s="335"/>
      <c r="AP640" s="335"/>
      <c r="AQ640" s="335"/>
      <c r="AR640" s="335"/>
      <c r="AS640" s="335"/>
      <c r="AT640" s="335"/>
      <c r="AU640" s="335"/>
      <c r="AV640" s="335"/>
      <c r="AW640" s="335"/>
      <c r="AX640" s="335"/>
      <c r="AY640" s="335"/>
      <c r="AZ640" s="335"/>
      <c r="BA640" s="335"/>
      <c r="BB640" s="335"/>
      <c r="BC640" s="335"/>
      <c r="BD640" s="335"/>
      <c r="BE640" s="335"/>
      <c r="BF640" s="335"/>
      <c r="BG640" s="335"/>
      <c r="BH640" s="335"/>
      <c r="BI640" s="335"/>
      <c r="BJ640" s="335"/>
      <c r="BK640" s="335"/>
      <c r="BL640" s="335"/>
      <c r="BM640" s="335"/>
      <c r="BN640" s="335"/>
      <c r="BO640" s="335"/>
      <c r="BP640" s="335"/>
      <c r="BQ640" s="335"/>
      <c r="BR640" s="335"/>
      <c r="BS640" s="335"/>
      <c r="BT640" s="335"/>
      <c r="BU640" s="335"/>
      <c r="BV640" s="335"/>
      <c r="BW640" s="335"/>
      <c r="BX640" s="335"/>
      <c r="BY640" s="335"/>
      <c r="BZ640" s="335"/>
      <c r="CA640" s="335"/>
      <c r="CB640" s="335"/>
      <c r="CC640" s="335"/>
      <c r="CD640" s="335"/>
      <c r="CE640" s="335"/>
      <c r="CF640" s="335"/>
      <c r="CG640" s="335"/>
      <c r="CH640" s="335"/>
      <c r="CI640" s="335"/>
      <c r="CJ640" s="335"/>
      <c r="CK640" s="335"/>
      <c r="CL640" s="335"/>
      <c r="CM640" s="335"/>
      <c r="CN640" s="335"/>
      <c r="CO640" s="335"/>
      <c r="CP640" s="335"/>
      <c r="CQ640" s="335"/>
      <c r="CR640" s="335"/>
      <c r="CS640" s="335"/>
      <c r="CT640" s="335"/>
      <c r="CU640" s="335"/>
      <c r="CV640" s="335"/>
      <c r="CW640" s="335"/>
      <c r="CX640" s="335"/>
      <c r="CY640" s="335"/>
      <c r="CZ640" s="335"/>
      <c r="DA640" s="335"/>
      <c r="DB640" s="335"/>
      <c r="DC640" s="335"/>
      <c r="DD640" s="335"/>
      <c r="DE640" s="335"/>
      <c r="DF640" s="335"/>
      <c r="DG640" s="335"/>
      <c r="DH640" s="335"/>
      <c r="DI640" s="335"/>
      <c r="DJ640" s="335"/>
      <c r="DK640" s="335"/>
      <c r="DL640" s="335"/>
      <c r="DM640" s="335"/>
      <c r="DN640" s="335"/>
      <c r="DO640" s="335"/>
      <c r="DP640" s="335"/>
      <c r="DQ640" s="335"/>
      <c r="DR640" s="335"/>
      <c r="DS640" s="335"/>
      <c r="DT640" s="335"/>
      <c r="DU640" s="335"/>
      <c r="DV640" s="335"/>
      <c r="DW640" s="335"/>
      <c r="DX640" s="335"/>
      <c r="DY640" s="335"/>
      <c r="DZ640" s="335"/>
      <c r="EA640" s="335"/>
      <c r="EB640" s="335"/>
      <c r="EC640" s="335"/>
      <c r="ED640" s="335"/>
      <c r="EE640" s="335"/>
      <c r="EF640" s="335"/>
      <c r="EG640" s="335"/>
      <c r="EH640" s="335"/>
      <c r="EI640" s="335"/>
      <c r="EJ640" s="335"/>
      <c r="EK640" s="335"/>
      <c r="EL640" s="335"/>
      <c r="EM640" s="335"/>
      <c r="EN640" s="335"/>
      <c r="EO640" s="335"/>
      <c r="EP640" s="335"/>
      <c r="EQ640" s="335"/>
      <c r="ER640" s="335"/>
      <c r="ES640" s="335"/>
      <c r="ET640" s="335"/>
      <c r="EU640" s="335"/>
      <c r="EV640" s="335"/>
      <c r="EW640" s="335"/>
      <c r="EX640" s="335"/>
      <c r="EY640" s="335"/>
      <c r="EZ640" s="335"/>
      <c r="FA640" s="335"/>
      <c r="FB640" s="335"/>
      <c r="FC640" s="335"/>
      <c r="FD640" s="335"/>
      <c r="FE640" s="335"/>
      <c r="FF640" s="335"/>
      <c r="FG640" s="335"/>
      <c r="FH640" s="335"/>
      <c r="FI640" s="335"/>
      <c r="FJ640" s="335"/>
      <c r="FK640" s="335"/>
      <c r="FL640" s="335"/>
      <c r="FM640" s="335"/>
      <c r="FN640" s="335"/>
      <c r="FO640" s="335"/>
      <c r="FP640" s="335"/>
      <c r="FQ640" s="335"/>
      <c r="FR640" s="335"/>
      <c r="FS640" s="335"/>
      <c r="FT640" s="335"/>
      <c r="FU640" s="335"/>
      <c r="FV640" s="335"/>
      <c r="FW640" s="335"/>
      <c r="FX640" s="335"/>
      <c r="FY640" s="335"/>
      <c r="FZ640" s="335"/>
      <c r="GA640" s="335"/>
      <c r="GB640" s="335"/>
      <c r="GC640" s="335"/>
      <c r="GD640" s="335"/>
      <c r="GE640" s="335"/>
      <c r="GF640" s="335"/>
      <c r="GG640" s="335"/>
      <c r="GH640" s="335"/>
      <c r="GI640" s="335"/>
      <c r="GJ640" s="335"/>
      <c r="GK640" s="335"/>
      <c r="GL640" s="335"/>
      <c r="GM640" s="335"/>
      <c r="GN640" s="335"/>
      <c r="GO640" s="335"/>
      <c r="GP640" s="335"/>
      <c r="GQ640" s="335"/>
      <c r="GR640" s="335"/>
      <c r="GS640" s="335"/>
      <c r="GT640" s="335"/>
      <c r="GU640" s="335"/>
      <c r="GV640" s="335"/>
      <c r="GW640" s="335"/>
      <c r="GX640" s="335"/>
      <c r="GY640" s="335"/>
      <c r="GZ640" s="335"/>
    </row>
    <row r="641" spans="1:208" ht="15">
      <c r="A641" s="379"/>
      <c r="B641" s="335"/>
      <c r="C641" s="335"/>
      <c r="D641" s="335"/>
      <c r="E641" s="335"/>
      <c r="F641" s="335"/>
      <c r="G641" s="335"/>
      <c r="H641" s="335"/>
      <c r="I641" s="335"/>
      <c r="J641" s="335"/>
      <c r="K641" s="335"/>
      <c r="L641" s="335"/>
      <c r="M641" s="376"/>
      <c r="N641" s="335"/>
      <c r="O641" s="380"/>
      <c r="P641" s="335"/>
      <c r="Q641" s="335"/>
      <c r="R641" s="335"/>
      <c r="S641" s="335"/>
      <c r="T641" s="335"/>
      <c r="U641" s="335"/>
      <c r="V641" s="335"/>
      <c r="W641" s="335"/>
      <c r="X641" s="335"/>
      <c r="Y641" s="335"/>
      <c r="Z641" s="335"/>
      <c r="AA641" s="335"/>
      <c r="AB641" s="335"/>
      <c r="AC641" s="335"/>
      <c r="AD641" s="335"/>
      <c r="AE641" s="335"/>
      <c r="AF641" s="335"/>
      <c r="AG641" s="335"/>
      <c r="AH641" s="335"/>
      <c r="AI641" s="335"/>
      <c r="AJ641" s="335"/>
      <c r="AK641" s="335"/>
      <c r="AL641" s="335"/>
      <c r="AM641" s="335"/>
      <c r="AN641" s="335"/>
      <c r="AO641" s="335"/>
      <c r="AP641" s="335"/>
      <c r="AQ641" s="335"/>
      <c r="AR641" s="335"/>
      <c r="AS641" s="335"/>
      <c r="AT641" s="335"/>
      <c r="AU641" s="335"/>
      <c r="AV641" s="335"/>
      <c r="AW641" s="335"/>
      <c r="AX641" s="335"/>
      <c r="AY641" s="335"/>
      <c r="AZ641" s="335"/>
      <c r="BA641" s="335"/>
      <c r="BB641" s="335"/>
      <c r="BC641" s="335"/>
      <c r="BD641" s="335"/>
      <c r="BE641" s="335"/>
      <c r="BF641" s="335"/>
      <c r="BG641" s="335"/>
      <c r="BH641" s="335"/>
      <c r="BI641" s="335"/>
      <c r="BJ641" s="335"/>
      <c r="BK641" s="335"/>
      <c r="BL641" s="335"/>
      <c r="BM641" s="335"/>
      <c r="BN641" s="335"/>
      <c r="BO641" s="335"/>
      <c r="BP641" s="335"/>
      <c r="BQ641" s="335"/>
      <c r="BR641" s="335"/>
      <c r="BS641" s="335"/>
      <c r="BT641" s="335"/>
      <c r="BU641" s="335"/>
      <c r="BV641" s="335"/>
      <c r="BW641" s="335"/>
      <c r="BX641" s="335"/>
      <c r="BY641" s="335"/>
      <c r="BZ641" s="335"/>
      <c r="CA641" s="335"/>
      <c r="CB641" s="335"/>
      <c r="CC641" s="335"/>
      <c r="CD641" s="335"/>
      <c r="CE641" s="335"/>
      <c r="CF641" s="335"/>
      <c r="CG641" s="335"/>
      <c r="CH641" s="335"/>
      <c r="CI641" s="335"/>
      <c r="CJ641" s="335"/>
      <c r="CK641" s="335"/>
      <c r="CL641" s="335"/>
      <c r="CM641" s="335"/>
      <c r="CN641" s="335"/>
      <c r="CO641" s="335"/>
      <c r="CP641" s="335"/>
      <c r="CQ641" s="335"/>
      <c r="CR641" s="335"/>
      <c r="CS641" s="335"/>
      <c r="CT641" s="335"/>
      <c r="CU641" s="335"/>
      <c r="CV641" s="335"/>
      <c r="CW641" s="335"/>
      <c r="CX641" s="335"/>
      <c r="CY641" s="335"/>
      <c r="CZ641" s="335"/>
      <c r="DA641" s="335"/>
      <c r="DB641" s="335"/>
      <c r="DC641" s="335"/>
      <c r="DD641" s="335"/>
      <c r="DE641" s="335"/>
      <c r="DF641" s="335"/>
      <c r="DG641" s="335"/>
      <c r="DH641" s="335"/>
      <c r="DI641" s="335"/>
      <c r="DJ641" s="335"/>
      <c r="DK641" s="335"/>
      <c r="DL641" s="335"/>
      <c r="DM641" s="335"/>
      <c r="DN641" s="335"/>
      <c r="DO641" s="335"/>
      <c r="DP641" s="335"/>
      <c r="DQ641" s="335"/>
      <c r="DR641" s="335"/>
      <c r="DS641" s="335"/>
      <c r="DT641" s="335"/>
      <c r="DU641" s="335"/>
      <c r="DV641" s="335"/>
      <c r="DW641" s="335"/>
      <c r="DX641" s="335"/>
      <c r="DY641" s="335"/>
      <c r="DZ641" s="335"/>
      <c r="EA641" s="335"/>
      <c r="EB641" s="335"/>
      <c r="EC641" s="335"/>
      <c r="ED641" s="335"/>
      <c r="EE641" s="335"/>
      <c r="EF641" s="335"/>
      <c r="EG641" s="335"/>
      <c r="EH641" s="335"/>
      <c r="EI641" s="335"/>
      <c r="EJ641" s="335"/>
      <c r="EK641" s="335"/>
      <c r="EL641" s="335"/>
      <c r="EM641" s="335"/>
      <c r="EN641" s="335"/>
      <c r="EO641" s="335"/>
      <c r="EP641" s="335"/>
      <c r="EQ641" s="335"/>
      <c r="ER641" s="335"/>
      <c r="ES641" s="335"/>
      <c r="ET641" s="335"/>
      <c r="EU641" s="335"/>
      <c r="EV641" s="335"/>
      <c r="EW641" s="335"/>
      <c r="EX641" s="335"/>
      <c r="EY641" s="335"/>
      <c r="EZ641" s="335"/>
      <c r="FA641" s="335"/>
      <c r="FB641" s="335"/>
      <c r="FC641" s="335"/>
      <c r="FD641" s="335"/>
      <c r="FE641" s="335"/>
      <c r="FF641" s="335"/>
      <c r="FG641" s="335"/>
      <c r="FH641" s="335"/>
      <c r="FI641" s="335"/>
      <c r="FJ641" s="335"/>
      <c r="FK641" s="335"/>
      <c r="FL641" s="335"/>
      <c r="FM641" s="335"/>
      <c r="FN641" s="335"/>
      <c r="FO641" s="335"/>
      <c r="FP641" s="335"/>
      <c r="FQ641" s="335"/>
      <c r="FR641" s="335"/>
      <c r="FS641" s="335"/>
      <c r="FT641" s="335"/>
      <c r="FU641" s="335"/>
      <c r="FV641" s="335"/>
      <c r="FW641" s="335"/>
      <c r="FX641" s="335"/>
      <c r="FY641" s="335"/>
      <c r="FZ641" s="335"/>
      <c r="GA641" s="335"/>
      <c r="GB641" s="335"/>
      <c r="GC641" s="335"/>
      <c r="GD641" s="335"/>
      <c r="GE641" s="335"/>
      <c r="GF641" s="335"/>
      <c r="GG641" s="335"/>
      <c r="GH641" s="335"/>
      <c r="GI641" s="335"/>
      <c r="GJ641" s="335"/>
      <c r="GK641" s="335"/>
      <c r="GL641" s="335"/>
      <c r="GM641" s="335"/>
      <c r="GN641" s="335"/>
      <c r="GO641" s="335"/>
      <c r="GP641" s="335"/>
      <c r="GQ641" s="335"/>
      <c r="GR641" s="335"/>
      <c r="GS641" s="335"/>
      <c r="GT641" s="335"/>
      <c r="GU641" s="335"/>
      <c r="GV641" s="335"/>
      <c r="GW641" s="335"/>
      <c r="GX641" s="335"/>
      <c r="GY641" s="335"/>
      <c r="GZ641" s="335"/>
    </row>
    <row r="642" spans="1:208" ht="15">
      <c r="A642" s="379"/>
      <c r="B642" s="335"/>
      <c r="C642" s="335"/>
      <c r="D642" s="335"/>
      <c r="E642" s="335"/>
      <c r="F642" s="335"/>
      <c r="G642" s="335"/>
      <c r="H642" s="335"/>
      <c r="I642" s="335"/>
      <c r="J642" s="335"/>
      <c r="K642" s="335"/>
      <c r="L642" s="335"/>
      <c r="M642" s="376"/>
      <c r="N642" s="335"/>
      <c r="O642" s="380"/>
      <c r="P642" s="335"/>
      <c r="Q642" s="335"/>
      <c r="R642" s="335"/>
      <c r="S642" s="335"/>
      <c r="T642" s="335"/>
      <c r="U642" s="335"/>
      <c r="V642" s="335"/>
      <c r="W642" s="335"/>
      <c r="X642" s="335"/>
      <c r="Y642" s="335"/>
      <c r="Z642" s="335"/>
      <c r="AA642" s="335"/>
      <c r="AB642" s="335"/>
      <c r="AC642" s="335"/>
      <c r="AD642" s="335"/>
      <c r="AE642" s="335"/>
      <c r="AF642" s="335"/>
      <c r="AG642" s="335"/>
      <c r="AH642" s="335"/>
      <c r="AI642" s="335"/>
      <c r="AJ642" s="335"/>
      <c r="AK642" s="335"/>
      <c r="AL642" s="335"/>
      <c r="AM642" s="335"/>
      <c r="AN642" s="335"/>
      <c r="AO642" s="335"/>
      <c r="AP642" s="335"/>
      <c r="AQ642" s="335"/>
      <c r="AR642" s="335"/>
      <c r="AS642" s="335"/>
      <c r="AT642" s="335"/>
      <c r="AU642" s="335"/>
      <c r="AV642" s="335"/>
      <c r="AW642" s="335"/>
      <c r="AX642" s="335"/>
      <c r="AY642" s="335"/>
      <c r="AZ642" s="335"/>
      <c r="BA642" s="335"/>
      <c r="BB642" s="335"/>
      <c r="BC642" s="335"/>
      <c r="BD642" s="335"/>
      <c r="BE642" s="335"/>
      <c r="BF642" s="335"/>
      <c r="BG642" s="335"/>
      <c r="BH642" s="335"/>
      <c r="BI642" s="335"/>
      <c r="BJ642" s="335"/>
      <c r="BK642" s="335"/>
      <c r="BL642" s="335"/>
      <c r="BM642" s="335"/>
      <c r="BN642" s="335"/>
      <c r="BO642" s="335"/>
      <c r="BP642" s="335"/>
      <c r="BQ642" s="335"/>
      <c r="BR642" s="335"/>
      <c r="BS642" s="335"/>
      <c r="BT642" s="335"/>
      <c r="BU642" s="335"/>
      <c r="BV642" s="335"/>
      <c r="BW642" s="335"/>
      <c r="BX642" s="335"/>
      <c r="BY642" s="335"/>
      <c r="BZ642" s="335"/>
      <c r="CA642" s="335"/>
      <c r="CB642" s="335"/>
      <c r="CC642" s="335"/>
      <c r="CD642" s="335"/>
      <c r="CE642" s="335"/>
      <c r="CF642" s="335"/>
      <c r="CG642" s="335"/>
      <c r="CH642" s="335"/>
      <c r="CI642" s="335"/>
      <c r="CJ642" s="335"/>
      <c r="CK642" s="335"/>
      <c r="CL642" s="335"/>
      <c r="CM642" s="335"/>
      <c r="CN642" s="335"/>
      <c r="CO642" s="335"/>
      <c r="CP642" s="335"/>
      <c r="CQ642" s="335"/>
      <c r="CR642" s="335"/>
      <c r="CS642" s="335"/>
      <c r="CT642" s="335"/>
      <c r="CU642" s="335"/>
      <c r="CV642" s="335"/>
      <c r="CW642" s="335"/>
      <c r="CX642" s="335"/>
      <c r="CY642" s="335"/>
      <c r="CZ642" s="335"/>
      <c r="DA642" s="335"/>
      <c r="DB642" s="335"/>
      <c r="DC642" s="335"/>
      <c r="DD642" s="335"/>
      <c r="DE642" s="335"/>
      <c r="DF642" s="335"/>
      <c r="DG642" s="335"/>
      <c r="DH642" s="335"/>
      <c r="DI642" s="335"/>
      <c r="DJ642" s="335"/>
      <c r="DK642" s="335"/>
      <c r="DL642" s="335"/>
      <c r="DM642" s="335"/>
      <c r="DN642" s="335"/>
      <c r="DO642" s="335"/>
      <c r="DP642" s="335"/>
      <c r="DQ642" s="335"/>
      <c r="DR642" s="335"/>
      <c r="DS642" s="335"/>
      <c r="DT642" s="335"/>
      <c r="DU642" s="335"/>
      <c r="DV642" s="335"/>
      <c r="DW642" s="335"/>
      <c r="DX642" s="335"/>
      <c r="DY642" s="335"/>
      <c r="DZ642" s="335"/>
      <c r="EA642" s="335"/>
      <c r="EB642" s="335"/>
      <c r="EC642" s="335"/>
      <c r="ED642" s="335"/>
      <c r="EE642" s="335"/>
      <c r="EF642" s="335"/>
      <c r="EG642" s="335"/>
      <c r="EH642" s="335"/>
      <c r="EI642" s="335"/>
      <c r="EJ642" s="335"/>
      <c r="EK642" s="335"/>
      <c r="EL642" s="335"/>
      <c r="EM642" s="335"/>
      <c r="EN642" s="335"/>
      <c r="EO642" s="335"/>
      <c r="EP642" s="335"/>
      <c r="EQ642" s="335"/>
      <c r="ER642" s="335"/>
      <c r="ES642" s="335"/>
      <c r="ET642" s="335"/>
      <c r="EU642" s="335"/>
      <c r="EV642" s="335"/>
      <c r="EW642" s="335"/>
      <c r="EX642" s="335"/>
      <c r="EY642" s="335"/>
      <c r="EZ642" s="335"/>
      <c r="FA642" s="335"/>
      <c r="FB642" s="335"/>
      <c r="FC642" s="335"/>
      <c r="FD642" s="335"/>
      <c r="FE642" s="335"/>
      <c r="FF642" s="335"/>
      <c r="FG642" s="335"/>
      <c r="FH642" s="335"/>
      <c r="FI642" s="335"/>
      <c r="FJ642" s="335"/>
      <c r="FK642" s="335"/>
      <c r="FL642" s="335"/>
      <c r="FM642" s="335"/>
      <c r="FN642" s="335"/>
      <c r="FO642" s="335"/>
      <c r="FP642" s="335"/>
      <c r="FQ642" s="335"/>
      <c r="FR642" s="335"/>
      <c r="FS642" s="335"/>
      <c r="FT642" s="335"/>
      <c r="FU642" s="335"/>
      <c r="FV642" s="335"/>
      <c r="FW642" s="335"/>
      <c r="FX642" s="335"/>
      <c r="FY642" s="335"/>
      <c r="FZ642" s="335"/>
      <c r="GA642" s="335"/>
      <c r="GB642" s="335"/>
      <c r="GC642" s="335"/>
      <c r="GD642" s="335"/>
      <c r="GE642" s="335"/>
      <c r="GF642" s="335"/>
      <c r="GG642" s="335"/>
      <c r="GH642" s="335"/>
      <c r="GI642" s="335"/>
      <c r="GJ642" s="335"/>
      <c r="GK642" s="335"/>
      <c r="GL642" s="335"/>
      <c r="GM642" s="335"/>
      <c r="GN642" s="335"/>
      <c r="GO642" s="335"/>
      <c r="GP642" s="335"/>
      <c r="GQ642" s="335"/>
      <c r="GR642" s="335"/>
      <c r="GS642" s="335"/>
      <c r="GT642" s="335"/>
      <c r="GU642" s="335"/>
      <c r="GV642" s="335"/>
      <c r="GW642" s="335"/>
      <c r="GX642" s="335"/>
      <c r="GY642" s="335"/>
      <c r="GZ642" s="335"/>
    </row>
    <row r="643" spans="1:208" ht="15">
      <c r="A643" s="379"/>
      <c r="B643" s="335"/>
      <c r="C643" s="335"/>
      <c r="D643" s="335"/>
      <c r="E643" s="335"/>
      <c r="F643" s="335"/>
      <c r="G643" s="335"/>
      <c r="H643" s="335"/>
      <c r="I643" s="335"/>
      <c r="J643" s="335"/>
      <c r="K643" s="335"/>
      <c r="L643" s="335"/>
      <c r="M643" s="376"/>
      <c r="N643" s="335"/>
      <c r="O643" s="380"/>
      <c r="P643" s="335"/>
      <c r="Q643" s="335"/>
      <c r="R643" s="335"/>
      <c r="S643" s="335"/>
      <c r="T643" s="335"/>
      <c r="U643" s="335"/>
      <c r="V643" s="335"/>
      <c r="W643" s="335"/>
      <c r="X643" s="335"/>
      <c r="Y643" s="335"/>
      <c r="Z643" s="335"/>
      <c r="AA643" s="335"/>
      <c r="AB643" s="335"/>
      <c r="AC643" s="335"/>
      <c r="AD643" s="335"/>
      <c r="AE643" s="335"/>
      <c r="AF643" s="335"/>
      <c r="AG643" s="335"/>
      <c r="AH643" s="335"/>
      <c r="AI643" s="335"/>
      <c r="AJ643" s="335"/>
      <c r="AK643" s="335"/>
      <c r="AL643" s="335"/>
      <c r="AM643" s="335"/>
      <c r="AN643" s="335"/>
      <c r="AO643" s="335"/>
      <c r="AP643" s="335"/>
      <c r="AQ643" s="335"/>
      <c r="AR643" s="335"/>
      <c r="AS643" s="335"/>
      <c r="AT643" s="335"/>
      <c r="AU643" s="335"/>
      <c r="AV643" s="335"/>
      <c r="AW643" s="335"/>
      <c r="AX643" s="335"/>
      <c r="AY643" s="335"/>
      <c r="AZ643" s="335"/>
      <c r="BA643" s="335"/>
      <c r="BB643" s="335"/>
      <c r="BC643" s="335"/>
      <c r="BD643" s="335"/>
      <c r="BE643" s="335"/>
      <c r="BF643" s="335"/>
      <c r="BG643" s="335"/>
      <c r="BH643" s="335"/>
      <c r="BI643" s="335"/>
      <c r="BJ643" s="335"/>
      <c r="BK643" s="335"/>
      <c r="BL643" s="335"/>
      <c r="BM643" s="335"/>
      <c r="BN643" s="335"/>
      <c r="BO643" s="335"/>
      <c r="BP643" s="335"/>
      <c r="BQ643" s="335"/>
      <c r="BR643" s="335"/>
      <c r="BS643" s="335"/>
      <c r="BT643" s="335"/>
      <c r="BU643" s="335"/>
      <c r="BV643" s="335"/>
      <c r="BW643" s="335"/>
      <c r="BX643" s="335"/>
      <c r="BY643" s="335"/>
      <c r="BZ643" s="335"/>
      <c r="CA643" s="335"/>
      <c r="CB643" s="335"/>
      <c r="CC643" s="335"/>
      <c r="CD643" s="335"/>
      <c r="CE643" s="335"/>
      <c r="CF643" s="335"/>
      <c r="CG643" s="335"/>
      <c r="CH643" s="335"/>
      <c r="CI643" s="335"/>
      <c r="CJ643" s="335"/>
      <c r="CK643" s="335"/>
      <c r="CL643" s="335"/>
      <c r="CM643" s="335"/>
      <c r="CN643" s="335"/>
      <c r="CO643" s="335"/>
      <c r="CP643" s="335"/>
      <c r="CQ643" s="335"/>
      <c r="CR643" s="335"/>
      <c r="CS643" s="335"/>
      <c r="CT643" s="335"/>
      <c r="CU643" s="335"/>
      <c r="CV643" s="335"/>
      <c r="CW643" s="335"/>
      <c r="CX643" s="335"/>
      <c r="CY643" s="335"/>
      <c r="CZ643" s="335"/>
      <c r="DA643" s="335"/>
      <c r="DB643" s="335"/>
      <c r="DC643" s="335"/>
      <c r="DD643" s="335"/>
      <c r="DE643" s="335"/>
      <c r="DF643" s="335"/>
      <c r="DG643" s="335"/>
      <c r="DH643" s="335"/>
      <c r="DI643" s="335"/>
      <c r="DJ643" s="335"/>
      <c r="DK643" s="335"/>
      <c r="DL643" s="335"/>
      <c r="DM643" s="335"/>
      <c r="DN643" s="335"/>
      <c r="DO643" s="335"/>
      <c r="DP643" s="335"/>
      <c r="DQ643" s="335"/>
      <c r="DR643" s="335"/>
      <c r="DS643" s="335"/>
      <c r="DT643" s="335"/>
      <c r="DU643" s="335"/>
      <c r="DV643" s="335"/>
      <c r="DW643" s="335"/>
      <c r="DX643" s="335"/>
      <c r="DY643" s="335"/>
      <c r="DZ643" s="335"/>
      <c r="EA643" s="335"/>
      <c r="EB643" s="335"/>
      <c r="EC643" s="335"/>
      <c r="ED643" s="335"/>
      <c r="EE643" s="335"/>
      <c r="EF643" s="335"/>
      <c r="EG643" s="335"/>
      <c r="EH643" s="335"/>
      <c r="EI643" s="335"/>
      <c r="EJ643" s="335"/>
      <c r="EK643" s="335"/>
      <c r="EL643" s="335"/>
      <c r="EM643" s="335"/>
      <c r="EN643" s="335"/>
      <c r="EO643" s="335"/>
      <c r="EP643" s="335"/>
      <c r="EQ643" s="335"/>
      <c r="ER643" s="335"/>
      <c r="ES643" s="335"/>
      <c r="ET643" s="335"/>
      <c r="EU643" s="335"/>
      <c r="EV643" s="335"/>
      <c r="EW643" s="335"/>
      <c r="EX643" s="335"/>
      <c r="EY643" s="335"/>
      <c r="EZ643" s="335"/>
      <c r="FA643" s="335"/>
      <c r="FB643" s="335"/>
      <c r="FC643" s="335"/>
      <c r="FD643" s="335"/>
      <c r="FE643" s="335"/>
      <c r="FF643" s="335"/>
      <c r="FG643" s="335"/>
      <c r="FH643" s="335"/>
      <c r="FI643" s="335"/>
      <c r="FJ643" s="335"/>
      <c r="FK643" s="335"/>
      <c r="FL643" s="335"/>
      <c r="FM643" s="335"/>
      <c r="FN643" s="335"/>
      <c r="FO643" s="335"/>
      <c r="FP643" s="335"/>
      <c r="FQ643" s="335"/>
      <c r="FR643" s="335"/>
      <c r="FS643" s="335"/>
      <c r="FT643" s="335"/>
      <c r="FU643" s="335"/>
      <c r="FV643" s="335"/>
      <c r="FW643" s="335"/>
      <c r="FX643" s="335"/>
      <c r="FY643" s="335"/>
      <c r="FZ643" s="335"/>
      <c r="GA643" s="335"/>
      <c r="GB643" s="335"/>
      <c r="GC643" s="335"/>
      <c r="GD643" s="335"/>
      <c r="GE643" s="335"/>
      <c r="GF643" s="335"/>
      <c r="GG643" s="335"/>
      <c r="GH643" s="335"/>
      <c r="GI643" s="335"/>
      <c r="GJ643" s="335"/>
      <c r="GK643" s="335"/>
      <c r="GL643" s="335"/>
      <c r="GM643" s="335"/>
      <c r="GN643" s="335"/>
      <c r="GO643" s="335"/>
      <c r="GP643" s="335"/>
      <c r="GQ643" s="335"/>
      <c r="GR643" s="335"/>
      <c r="GS643" s="335"/>
      <c r="GT643" s="335"/>
      <c r="GU643" s="335"/>
      <c r="GV643" s="335"/>
      <c r="GW643" s="335"/>
      <c r="GX643" s="335"/>
      <c r="GY643" s="335"/>
      <c r="GZ643" s="335"/>
    </row>
    <row r="644" spans="1:208" ht="15">
      <c r="A644" s="379"/>
      <c r="B644" s="335"/>
      <c r="C644" s="335"/>
      <c r="D644" s="335"/>
      <c r="E644" s="335"/>
      <c r="F644" s="335"/>
      <c r="G644" s="335"/>
      <c r="H644" s="335"/>
      <c r="I644" s="335"/>
      <c r="J644" s="335"/>
      <c r="K644" s="335"/>
      <c r="L644" s="335"/>
      <c r="M644" s="376"/>
      <c r="N644" s="335"/>
      <c r="O644" s="380"/>
      <c r="P644" s="335"/>
      <c r="Q644" s="335"/>
      <c r="R644" s="335"/>
      <c r="S644" s="335"/>
      <c r="T644" s="335"/>
      <c r="U644" s="335"/>
      <c r="V644" s="335"/>
      <c r="W644" s="335"/>
      <c r="X644" s="335"/>
      <c r="Y644" s="335"/>
      <c r="Z644" s="335"/>
      <c r="AA644" s="335"/>
      <c r="AB644" s="335"/>
      <c r="AC644" s="335"/>
      <c r="AD644" s="335"/>
      <c r="AE644" s="335"/>
      <c r="AF644" s="335"/>
      <c r="AG644" s="335"/>
      <c r="AH644" s="335"/>
      <c r="AI644" s="335"/>
      <c r="AJ644" s="335"/>
      <c r="AK644" s="335"/>
      <c r="AL644" s="335"/>
      <c r="AM644" s="335"/>
      <c r="AN644" s="335"/>
      <c r="AO644" s="335"/>
      <c r="AP644" s="335"/>
      <c r="AQ644" s="335"/>
      <c r="AR644" s="335"/>
      <c r="AS644" s="335"/>
      <c r="AT644" s="335"/>
      <c r="AU644" s="335"/>
      <c r="AV644" s="335"/>
      <c r="AW644" s="335"/>
      <c r="AX644" s="335"/>
      <c r="AY644" s="335"/>
      <c r="AZ644" s="335"/>
      <c r="BA644" s="335"/>
      <c r="BB644" s="335"/>
      <c r="BC644" s="335"/>
      <c r="BD644" s="335"/>
      <c r="BE644" s="335"/>
      <c r="BF644" s="335"/>
      <c r="BG644" s="335"/>
      <c r="BH644" s="335"/>
      <c r="BI644" s="335"/>
      <c r="BJ644" s="335"/>
      <c r="BK644" s="335"/>
      <c r="BL644" s="335"/>
      <c r="BM644" s="335"/>
      <c r="BN644" s="335"/>
      <c r="BO644" s="335"/>
      <c r="BP644" s="335"/>
      <c r="BQ644" s="335"/>
      <c r="BR644" s="335"/>
      <c r="BS644" s="335"/>
      <c r="BT644" s="335"/>
      <c r="BU644" s="335"/>
      <c r="BV644" s="335"/>
      <c r="BW644" s="335"/>
      <c r="BX644" s="335"/>
      <c r="BY644" s="335"/>
      <c r="BZ644" s="335"/>
      <c r="CA644" s="335"/>
      <c r="CB644" s="335"/>
      <c r="CC644" s="335"/>
      <c r="CD644" s="335"/>
      <c r="CE644" s="335"/>
      <c r="CF644" s="335"/>
      <c r="CG644" s="335"/>
      <c r="CH644" s="335"/>
      <c r="CI644" s="335"/>
      <c r="CJ644" s="335"/>
      <c r="CK644" s="335"/>
      <c r="CL644" s="335"/>
      <c r="CM644" s="335"/>
      <c r="CN644" s="335"/>
      <c r="CO644" s="335"/>
      <c r="CP644" s="335"/>
      <c r="CQ644" s="335"/>
      <c r="CR644" s="335"/>
      <c r="CS644" s="335"/>
      <c r="CT644" s="335"/>
      <c r="CU644" s="335"/>
      <c r="CV644" s="335"/>
      <c r="CW644" s="335"/>
      <c r="CX644" s="335"/>
      <c r="CY644" s="335"/>
      <c r="CZ644" s="335"/>
      <c r="DA644" s="335"/>
      <c r="DB644" s="335"/>
      <c r="DC644" s="335"/>
      <c r="DD644" s="335"/>
      <c r="DE644" s="335"/>
      <c r="DF644" s="335"/>
      <c r="DG644" s="335"/>
      <c r="DH644" s="335"/>
      <c r="DI644" s="335"/>
      <c r="DJ644" s="335"/>
      <c r="DK644" s="335"/>
      <c r="DL644" s="335"/>
      <c r="DM644" s="335"/>
      <c r="DN644" s="335"/>
      <c r="DO644" s="335"/>
      <c r="DP644" s="335"/>
      <c r="DQ644" s="335"/>
      <c r="DR644" s="335"/>
      <c r="DS644" s="335"/>
      <c r="DT644" s="335"/>
      <c r="DU644" s="335"/>
      <c r="DV644" s="335"/>
      <c r="DW644" s="335"/>
      <c r="DX644" s="335"/>
      <c r="DY644" s="335"/>
      <c r="DZ644" s="335"/>
      <c r="EA644" s="335"/>
      <c r="EB644" s="335"/>
      <c r="EC644" s="335"/>
      <c r="ED644" s="335"/>
      <c r="EE644" s="335"/>
      <c r="EF644" s="335"/>
      <c r="EG644" s="335"/>
      <c r="EH644" s="335"/>
      <c r="EI644" s="335"/>
      <c r="EJ644" s="335"/>
      <c r="EK644" s="335"/>
      <c r="EL644" s="335"/>
      <c r="EM644" s="335"/>
      <c r="EN644" s="335"/>
      <c r="EO644" s="335"/>
      <c r="EP644" s="335"/>
      <c r="EQ644" s="335"/>
      <c r="ER644" s="335"/>
      <c r="ES644" s="335"/>
      <c r="ET644" s="335"/>
      <c r="EU644" s="335"/>
      <c r="EV644" s="335"/>
      <c r="EW644" s="335"/>
      <c r="EX644" s="335"/>
      <c r="EY644" s="335"/>
      <c r="EZ644" s="335"/>
      <c r="FA644" s="335"/>
      <c r="FB644" s="335"/>
      <c r="FC644" s="335"/>
      <c r="FD644" s="335"/>
      <c r="FE644" s="335"/>
      <c r="FF644" s="335"/>
      <c r="FG644" s="335"/>
      <c r="FH644" s="335"/>
      <c r="FI644" s="335"/>
      <c r="FJ644" s="335"/>
      <c r="FK644" s="335"/>
      <c r="FL644" s="335"/>
      <c r="FM644" s="335"/>
      <c r="FN644" s="335"/>
      <c r="FO644" s="335"/>
      <c r="FP644" s="335"/>
      <c r="FQ644" s="335"/>
      <c r="FR644" s="335"/>
      <c r="FS644" s="335"/>
      <c r="FT644" s="335"/>
      <c r="FU644" s="335"/>
      <c r="FV644" s="335"/>
      <c r="FW644" s="335"/>
      <c r="FX644" s="335"/>
      <c r="FY644" s="335"/>
      <c r="FZ644" s="335"/>
      <c r="GA644" s="335"/>
      <c r="GB644" s="335"/>
      <c r="GC644" s="335"/>
      <c r="GD644" s="335"/>
      <c r="GE644" s="335"/>
      <c r="GF644" s="335"/>
      <c r="GG644" s="335"/>
      <c r="GH644" s="335"/>
      <c r="GI644" s="335"/>
      <c r="GJ644" s="335"/>
      <c r="GK644" s="335"/>
      <c r="GL644" s="335"/>
      <c r="GM644" s="335"/>
      <c r="GN644" s="335"/>
      <c r="GO644" s="335"/>
      <c r="GP644" s="335"/>
      <c r="GQ644" s="335"/>
      <c r="GR644" s="335"/>
      <c r="GS644" s="335"/>
      <c r="GT644" s="335"/>
      <c r="GU644" s="335"/>
      <c r="GV644" s="335"/>
      <c r="GW644" s="335"/>
      <c r="GX644" s="335"/>
      <c r="GY644" s="335"/>
      <c r="GZ644" s="335"/>
    </row>
    <row r="645" spans="1:208" ht="15">
      <c r="A645" s="379"/>
      <c r="B645" s="335"/>
      <c r="C645" s="335"/>
      <c r="D645" s="335"/>
      <c r="E645" s="335"/>
      <c r="F645" s="335"/>
      <c r="G645" s="335"/>
      <c r="H645" s="335"/>
      <c r="I645" s="335"/>
      <c r="J645" s="335"/>
      <c r="K645" s="335"/>
      <c r="L645" s="335"/>
      <c r="M645" s="376"/>
      <c r="N645" s="335"/>
      <c r="O645" s="380"/>
      <c r="P645" s="335"/>
      <c r="Q645" s="335"/>
      <c r="R645" s="335"/>
      <c r="S645" s="335"/>
      <c r="T645" s="335"/>
      <c r="U645" s="335"/>
      <c r="V645" s="335"/>
      <c r="W645" s="335"/>
      <c r="X645" s="335"/>
      <c r="Y645" s="335"/>
      <c r="Z645" s="335"/>
      <c r="AA645" s="335"/>
      <c r="AB645" s="335"/>
      <c r="AC645" s="335"/>
      <c r="AD645" s="335"/>
      <c r="AE645" s="335"/>
      <c r="AF645" s="335"/>
      <c r="AG645" s="335"/>
      <c r="AH645" s="335"/>
      <c r="AI645" s="335"/>
      <c r="AJ645" s="335"/>
      <c r="AK645" s="335"/>
      <c r="AL645" s="335"/>
      <c r="AM645" s="335"/>
      <c r="AN645" s="335"/>
      <c r="AO645" s="335"/>
      <c r="AP645" s="335"/>
      <c r="AQ645" s="335"/>
      <c r="AR645" s="335"/>
      <c r="AS645" s="335"/>
      <c r="AT645" s="335"/>
      <c r="AU645" s="335"/>
      <c r="AV645" s="335"/>
      <c r="AW645" s="335"/>
      <c r="AX645" s="335"/>
      <c r="AY645" s="335"/>
      <c r="AZ645" s="335"/>
      <c r="BA645" s="335"/>
      <c r="BB645" s="335"/>
      <c r="BC645" s="335"/>
      <c r="BD645" s="335"/>
      <c r="BE645" s="335"/>
      <c r="BF645" s="335"/>
      <c r="BG645" s="335"/>
      <c r="BH645" s="335"/>
      <c r="BI645" s="335"/>
      <c r="BJ645" s="335"/>
      <c r="BK645" s="335"/>
      <c r="BL645" s="335"/>
      <c r="BM645" s="335"/>
      <c r="BN645" s="335"/>
      <c r="BO645" s="335"/>
      <c r="BP645" s="335"/>
      <c r="BQ645" s="335"/>
      <c r="BR645" s="335"/>
      <c r="BS645" s="335"/>
      <c r="BT645" s="335"/>
      <c r="BU645" s="335"/>
      <c r="BV645" s="335"/>
      <c r="BW645" s="335"/>
      <c r="BX645" s="335"/>
      <c r="BY645" s="335"/>
      <c r="BZ645" s="335"/>
      <c r="CA645" s="335"/>
      <c r="CB645" s="335"/>
      <c r="CC645" s="335"/>
      <c r="CD645" s="335"/>
      <c r="CE645" s="335"/>
      <c r="CF645" s="335"/>
      <c r="CG645" s="335"/>
      <c r="CH645" s="335"/>
      <c r="CI645" s="335"/>
      <c r="CJ645" s="335"/>
      <c r="CK645" s="335"/>
      <c r="CL645" s="335"/>
      <c r="CM645" s="335"/>
      <c r="CN645" s="335"/>
      <c r="CO645" s="335"/>
      <c r="CP645" s="335"/>
      <c r="CQ645" s="335"/>
      <c r="CR645" s="335"/>
      <c r="CS645" s="335"/>
      <c r="CT645" s="335"/>
      <c r="CU645" s="335"/>
      <c r="CV645" s="335"/>
      <c r="CW645" s="335"/>
      <c r="CX645" s="335"/>
      <c r="CY645" s="335"/>
      <c r="CZ645" s="335"/>
      <c r="DA645" s="335"/>
      <c r="DB645" s="335"/>
      <c r="DC645" s="335"/>
      <c r="DD645" s="335"/>
      <c r="DE645" s="335"/>
      <c r="DF645" s="335"/>
      <c r="DG645" s="335"/>
      <c r="DH645" s="335"/>
      <c r="DI645" s="335"/>
      <c r="DJ645" s="335"/>
      <c r="DK645" s="335"/>
      <c r="DL645" s="335"/>
      <c r="DM645" s="335"/>
      <c r="DN645" s="335"/>
      <c r="DO645" s="335"/>
      <c r="DP645" s="335"/>
      <c r="DQ645" s="335"/>
      <c r="DR645" s="335"/>
      <c r="DS645" s="335"/>
      <c r="DT645" s="335"/>
      <c r="DU645" s="335"/>
      <c r="DV645" s="335"/>
      <c r="DW645" s="335"/>
      <c r="DX645" s="335"/>
      <c r="DY645" s="335"/>
      <c r="DZ645" s="335"/>
      <c r="EA645" s="335"/>
      <c r="EB645" s="335"/>
      <c r="EC645" s="335"/>
      <c r="ED645" s="335"/>
      <c r="EE645" s="335"/>
      <c r="EF645" s="335"/>
      <c r="EG645" s="335"/>
      <c r="EH645" s="335"/>
      <c r="EI645" s="335"/>
      <c r="EJ645" s="335"/>
      <c r="EK645" s="335"/>
      <c r="EL645" s="335"/>
      <c r="EM645" s="335"/>
      <c r="EN645" s="335"/>
      <c r="EO645" s="335"/>
      <c r="EP645" s="335"/>
      <c r="EQ645" s="335"/>
      <c r="ER645" s="335"/>
      <c r="ES645" s="335"/>
      <c r="ET645" s="335"/>
      <c r="EU645" s="335"/>
      <c r="EV645" s="335"/>
      <c r="EW645" s="335"/>
      <c r="EX645" s="335"/>
      <c r="EY645" s="335"/>
      <c r="EZ645" s="335"/>
      <c r="FA645" s="335"/>
      <c r="FB645" s="335"/>
      <c r="FC645" s="335"/>
      <c r="FD645" s="335"/>
      <c r="FE645" s="335"/>
      <c r="FF645" s="335"/>
      <c r="FG645" s="335"/>
      <c r="FH645" s="335"/>
      <c r="FI645" s="335"/>
      <c r="FJ645" s="335"/>
      <c r="FK645" s="335"/>
      <c r="FL645" s="335"/>
      <c r="FM645" s="335"/>
      <c r="FN645" s="335"/>
      <c r="FO645" s="335"/>
      <c r="FP645" s="335"/>
      <c r="FQ645" s="335"/>
      <c r="FR645" s="335"/>
      <c r="FS645" s="335"/>
      <c r="FT645" s="335"/>
      <c r="FU645" s="335"/>
      <c r="FV645" s="335"/>
      <c r="FW645" s="335"/>
      <c r="FX645" s="335"/>
      <c r="FY645" s="335"/>
      <c r="FZ645" s="335"/>
      <c r="GA645" s="335"/>
      <c r="GB645" s="335"/>
      <c r="GC645" s="335"/>
      <c r="GD645" s="335"/>
      <c r="GE645" s="335"/>
      <c r="GF645" s="335"/>
      <c r="GG645" s="335"/>
      <c r="GH645" s="335"/>
      <c r="GI645" s="335"/>
      <c r="GJ645" s="335"/>
      <c r="GK645" s="335"/>
      <c r="GL645" s="335"/>
      <c r="GM645" s="335"/>
      <c r="GN645" s="335"/>
      <c r="GO645" s="335"/>
      <c r="GP645" s="335"/>
      <c r="GQ645" s="335"/>
      <c r="GR645" s="335"/>
      <c r="GS645" s="335"/>
      <c r="GT645" s="335"/>
      <c r="GU645" s="335"/>
      <c r="GV645" s="335"/>
      <c r="GW645" s="335"/>
      <c r="GX645" s="335"/>
      <c r="GY645" s="335"/>
      <c r="GZ645" s="335"/>
    </row>
    <row r="646" spans="1:208" ht="15">
      <c r="A646" s="379"/>
      <c r="B646" s="335"/>
      <c r="C646" s="335"/>
      <c r="D646" s="335"/>
      <c r="E646" s="335"/>
      <c r="F646" s="335"/>
      <c r="G646" s="335"/>
      <c r="H646" s="335"/>
      <c r="I646" s="335"/>
      <c r="J646" s="335"/>
      <c r="K646" s="335"/>
      <c r="L646" s="335"/>
      <c r="M646" s="376"/>
      <c r="N646" s="335"/>
      <c r="O646" s="380"/>
      <c r="P646" s="335"/>
      <c r="Q646" s="335"/>
      <c r="R646" s="335"/>
      <c r="S646" s="335"/>
      <c r="T646" s="335"/>
      <c r="U646" s="335"/>
      <c r="V646" s="335"/>
      <c r="W646" s="335"/>
      <c r="X646" s="335"/>
      <c r="Y646" s="335"/>
      <c r="Z646" s="335"/>
      <c r="AA646" s="335"/>
      <c r="AB646" s="335"/>
      <c r="AC646" s="335"/>
      <c r="AD646" s="335"/>
      <c r="AE646" s="335"/>
      <c r="AF646" s="335"/>
      <c r="AG646" s="335"/>
      <c r="AH646" s="335"/>
      <c r="AI646" s="335"/>
      <c r="AJ646" s="335"/>
      <c r="AK646" s="335"/>
      <c r="AL646" s="335"/>
      <c r="AM646" s="335"/>
      <c r="AN646" s="335"/>
      <c r="AO646" s="335"/>
      <c r="AP646" s="335"/>
      <c r="AQ646" s="335"/>
      <c r="AR646" s="335"/>
      <c r="AS646" s="335"/>
      <c r="AT646" s="335"/>
      <c r="AU646" s="335"/>
      <c r="AV646" s="335"/>
      <c r="AW646" s="335"/>
      <c r="AX646" s="335"/>
      <c r="AY646" s="335"/>
      <c r="AZ646" s="335"/>
      <c r="BA646" s="335"/>
      <c r="BB646" s="335"/>
      <c r="BC646" s="335"/>
      <c r="BD646" s="335"/>
      <c r="BE646" s="335"/>
      <c r="BF646" s="335"/>
      <c r="BG646" s="335"/>
      <c r="BH646" s="335"/>
      <c r="BI646" s="335"/>
      <c r="BJ646" s="335"/>
      <c r="BK646" s="335"/>
      <c r="BL646" s="335"/>
      <c r="BM646" s="335"/>
      <c r="BN646" s="335"/>
      <c r="BO646" s="335"/>
      <c r="BP646" s="335"/>
      <c r="BQ646" s="335"/>
      <c r="BR646" s="335"/>
      <c r="BS646" s="335"/>
      <c r="BT646" s="335"/>
      <c r="BU646" s="335"/>
      <c r="BV646" s="335"/>
      <c r="BW646" s="335"/>
      <c r="BX646" s="335"/>
      <c r="BY646" s="335"/>
      <c r="BZ646" s="335"/>
      <c r="CA646" s="335"/>
      <c r="CB646" s="335"/>
      <c r="CC646" s="335"/>
      <c r="CD646" s="335"/>
      <c r="CE646" s="335"/>
      <c r="CF646" s="335"/>
      <c r="CG646" s="335"/>
      <c r="CH646" s="335"/>
      <c r="CI646" s="335"/>
      <c r="CJ646" s="335"/>
      <c r="CK646" s="335"/>
      <c r="CL646" s="335"/>
      <c r="CM646" s="335"/>
      <c r="CN646" s="335"/>
      <c r="CO646" s="335"/>
      <c r="CP646" s="335"/>
      <c r="CQ646" s="335"/>
      <c r="CR646" s="335"/>
      <c r="CS646" s="335"/>
      <c r="CT646" s="335"/>
      <c r="CU646" s="335"/>
      <c r="CV646" s="335"/>
      <c r="CW646" s="335"/>
      <c r="CX646" s="335"/>
      <c r="CY646" s="335"/>
      <c r="CZ646" s="335"/>
      <c r="DA646" s="335"/>
      <c r="DB646" s="335"/>
      <c r="DC646" s="335"/>
      <c r="DD646" s="335"/>
      <c r="DE646" s="335"/>
      <c r="DF646" s="335"/>
      <c r="DG646" s="335"/>
      <c r="DH646" s="335"/>
      <c r="DI646" s="335"/>
      <c r="DJ646" s="335"/>
      <c r="DK646" s="335"/>
      <c r="DL646" s="335"/>
      <c r="DM646" s="335"/>
      <c r="DN646" s="335"/>
      <c r="DO646" s="335"/>
      <c r="DP646" s="335"/>
      <c r="DQ646" s="335"/>
      <c r="DR646" s="335"/>
      <c r="DS646" s="335"/>
      <c r="DT646" s="335"/>
      <c r="DU646" s="335"/>
      <c r="DV646" s="335"/>
      <c r="DW646" s="335"/>
      <c r="DX646" s="335"/>
      <c r="DY646" s="335"/>
      <c r="DZ646" s="335"/>
      <c r="EA646" s="335"/>
      <c r="EB646" s="335"/>
      <c r="EC646" s="335"/>
      <c r="ED646" s="335"/>
      <c r="EE646" s="335"/>
      <c r="EF646" s="335"/>
      <c r="EG646" s="335"/>
      <c r="EH646" s="335"/>
      <c r="EI646" s="335"/>
      <c r="EJ646" s="335"/>
      <c r="EK646" s="335"/>
      <c r="EL646" s="335"/>
      <c r="EM646" s="335"/>
      <c r="EN646" s="335"/>
      <c r="EO646" s="335"/>
      <c r="EP646" s="335"/>
      <c r="EQ646" s="335"/>
      <c r="ER646" s="335"/>
      <c r="ES646" s="335"/>
      <c r="ET646" s="335"/>
      <c r="EU646" s="335"/>
      <c r="EV646" s="335"/>
      <c r="EW646" s="335"/>
      <c r="EX646" s="335"/>
      <c r="EY646" s="335"/>
      <c r="EZ646" s="335"/>
      <c r="FA646" s="335"/>
      <c r="FB646" s="335"/>
      <c r="FC646" s="335"/>
      <c r="FD646" s="335"/>
      <c r="FE646" s="335"/>
      <c r="FF646" s="335"/>
      <c r="FG646" s="335"/>
      <c r="FH646" s="335"/>
      <c r="FI646" s="335"/>
      <c r="FJ646" s="335"/>
      <c r="FK646" s="335"/>
      <c r="FL646" s="335"/>
      <c r="FM646" s="335"/>
      <c r="FN646" s="335"/>
      <c r="FO646" s="335"/>
      <c r="FP646" s="335"/>
      <c r="FQ646" s="335"/>
      <c r="FR646" s="335"/>
      <c r="FS646" s="335"/>
      <c r="FT646" s="335"/>
      <c r="FU646" s="335"/>
      <c r="FV646" s="335"/>
      <c r="FW646" s="335"/>
      <c r="FX646" s="335"/>
      <c r="FY646" s="335"/>
      <c r="FZ646" s="335"/>
      <c r="GA646" s="335"/>
      <c r="GB646" s="335"/>
      <c r="GC646" s="335"/>
      <c r="GD646" s="335"/>
      <c r="GE646" s="335"/>
      <c r="GF646" s="335"/>
      <c r="GG646" s="335"/>
      <c r="GH646" s="335"/>
      <c r="GI646" s="335"/>
      <c r="GJ646" s="335"/>
      <c r="GK646" s="335"/>
      <c r="GL646" s="335"/>
      <c r="GM646" s="335"/>
      <c r="GN646" s="335"/>
      <c r="GO646" s="335"/>
      <c r="GP646" s="335"/>
      <c r="GQ646" s="335"/>
      <c r="GR646" s="335"/>
      <c r="GS646" s="335"/>
      <c r="GT646" s="335"/>
      <c r="GU646" s="335"/>
      <c r="GV646" s="335"/>
      <c r="GW646" s="335"/>
      <c r="GX646" s="335"/>
      <c r="GY646" s="335"/>
      <c r="GZ646" s="335"/>
    </row>
    <row r="647" spans="1:208" ht="15">
      <c r="A647" s="379"/>
      <c r="B647" s="335"/>
      <c r="C647" s="335"/>
      <c r="D647" s="335"/>
      <c r="E647" s="335"/>
      <c r="F647" s="335"/>
      <c r="G647" s="335"/>
      <c r="H647" s="335"/>
      <c r="I647" s="335"/>
      <c r="J647" s="335"/>
      <c r="K647" s="335"/>
      <c r="L647" s="335"/>
      <c r="M647" s="376"/>
      <c r="N647" s="335"/>
      <c r="O647" s="380"/>
      <c r="P647" s="335"/>
      <c r="Q647" s="335"/>
      <c r="R647" s="335"/>
      <c r="S647" s="335"/>
      <c r="T647" s="335"/>
      <c r="U647" s="335"/>
      <c r="V647" s="335"/>
      <c r="W647" s="335"/>
      <c r="X647" s="335"/>
      <c r="Y647" s="335"/>
      <c r="Z647" s="335"/>
      <c r="AA647" s="335"/>
      <c r="AB647" s="335"/>
      <c r="AC647" s="335"/>
      <c r="AD647" s="335"/>
      <c r="AE647" s="335"/>
      <c r="AF647" s="335"/>
      <c r="AG647" s="335"/>
      <c r="AH647" s="335"/>
      <c r="AI647" s="335"/>
      <c r="AJ647" s="335"/>
      <c r="AK647" s="335"/>
      <c r="AL647" s="335"/>
      <c r="AM647" s="335"/>
      <c r="AN647" s="335"/>
      <c r="AO647" s="335"/>
      <c r="AP647" s="335"/>
      <c r="AQ647" s="335"/>
      <c r="AR647" s="335"/>
      <c r="AS647" s="335"/>
      <c r="AT647" s="335"/>
      <c r="AU647" s="335"/>
      <c r="AV647" s="335"/>
      <c r="AW647" s="335"/>
      <c r="AX647" s="335"/>
      <c r="AY647" s="335"/>
      <c r="AZ647" s="335"/>
      <c r="BA647" s="335"/>
      <c r="BB647" s="335"/>
      <c r="BC647" s="335"/>
      <c r="BD647" s="335"/>
      <c r="BE647" s="335"/>
      <c r="BF647" s="335"/>
      <c r="BG647" s="335"/>
      <c r="BH647" s="335"/>
      <c r="BI647" s="335"/>
      <c r="BJ647" s="335"/>
      <c r="BK647" s="335"/>
      <c r="BL647" s="335"/>
      <c r="BM647" s="335"/>
      <c r="BN647" s="335"/>
      <c r="BO647" s="335"/>
      <c r="BP647" s="335"/>
      <c r="BQ647" s="335"/>
      <c r="BR647" s="335"/>
      <c r="BS647" s="335"/>
      <c r="BT647" s="335"/>
      <c r="BU647" s="335"/>
      <c r="BV647" s="335"/>
      <c r="BW647" s="335"/>
      <c r="BX647" s="335"/>
      <c r="BY647" s="335"/>
      <c r="BZ647" s="335"/>
      <c r="CA647" s="335"/>
      <c r="CB647" s="335"/>
      <c r="CC647" s="335"/>
      <c r="CD647" s="335"/>
      <c r="CE647" s="335"/>
      <c r="CF647" s="335"/>
      <c r="CG647" s="335"/>
      <c r="CH647" s="335"/>
      <c r="CI647" s="335"/>
      <c r="CJ647" s="335"/>
      <c r="CK647" s="335"/>
      <c r="CL647" s="335"/>
      <c r="CM647" s="335"/>
      <c r="CN647" s="335"/>
      <c r="CO647" s="335"/>
      <c r="CP647" s="335"/>
      <c r="CQ647" s="335"/>
      <c r="CR647" s="335"/>
      <c r="CS647" s="335"/>
      <c r="CT647" s="335"/>
      <c r="CU647" s="335"/>
      <c r="CV647" s="335"/>
      <c r="CW647" s="335"/>
      <c r="CX647" s="335"/>
      <c r="CY647" s="335"/>
      <c r="CZ647" s="335"/>
      <c r="DA647" s="335"/>
      <c r="DB647" s="335"/>
      <c r="DC647" s="335"/>
      <c r="DD647" s="335"/>
      <c r="DE647" s="335"/>
      <c r="DF647" s="335"/>
      <c r="DG647" s="335"/>
      <c r="DH647" s="335"/>
      <c r="DI647" s="335"/>
      <c r="DJ647" s="335"/>
      <c r="DK647" s="335"/>
      <c r="DL647" s="335"/>
      <c r="DM647" s="335"/>
      <c r="DN647" s="335"/>
      <c r="DO647" s="335"/>
      <c r="DP647" s="335"/>
      <c r="DQ647" s="335"/>
      <c r="DR647" s="335"/>
      <c r="DS647" s="335"/>
      <c r="DT647" s="335"/>
      <c r="DU647" s="335"/>
      <c r="DV647" s="335"/>
      <c r="DW647" s="335"/>
      <c r="DX647" s="335"/>
      <c r="DY647" s="335"/>
      <c r="DZ647" s="335"/>
      <c r="EA647" s="335"/>
      <c r="EB647" s="335"/>
      <c r="EC647" s="335"/>
      <c r="ED647" s="335"/>
      <c r="EE647" s="335"/>
      <c r="EF647" s="335"/>
      <c r="EG647" s="335"/>
      <c r="EH647" s="335"/>
      <c r="EI647" s="335"/>
      <c r="EJ647" s="335"/>
      <c r="EK647" s="335"/>
      <c r="EL647" s="335"/>
      <c r="EM647" s="335"/>
      <c r="EN647" s="335"/>
      <c r="EO647" s="335"/>
      <c r="EP647" s="335"/>
      <c r="EQ647" s="335"/>
      <c r="ER647" s="335"/>
      <c r="ES647" s="335"/>
      <c r="ET647" s="335"/>
      <c r="EU647" s="335"/>
      <c r="EV647" s="335"/>
      <c r="EW647" s="335"/>
      <c r="EX647" s="335"/>
      <c r="EY647" s="335"/>
      <c r="EZ647" s="335"/>
      <c r="FA647" s="335"/>
      <c r="FB647" s="335"/>
      <c r="FC647" s="335"/>
      <c r="FD647" s="335"/>
      <c r="FE647" s="335"/>
      <c r="FF647" s="335"/>
      <c r="FG647" s="335"/>
      <c r="FH647" s="335"/>
      <c r="FI647" s="335"/>
      <c r="FJ647" s="335"/>
      <c r="FK647" s="335"/>
      <c r="FL647" s="335"/>
      <c r="FM647" s="335"/>
      <c r="FN647" s="335"/>
      <c r="FO647" s="335"/>
      <c r="FP647" s="335"/>
      <c r="FQ647" s="335"/>
      <c r="FR647" s="335"/>
      <c r="FS647" s="335"/>
      <c r="FT647" s="335"/>
      <c r="FU647" s="335"/>
      <c r="FV647" s="335"/>
      <c r="FW647" s="335"/>
      <c r="FX647" s="335"/>
      <c r="FY647" s="335"/>
      <c r="FZ647" s="335"/>
      <c r="GA647" s="335"/>
      <c r="GB647" s="335"/>
      <c r="GC647" s="335"/>
      <c r="GD647" s="335"/>
      <c r="GE647" s="335"/>
      <c r="GF647" s="335"/>
      <c r="GG647" s="335"/>
      <c r="GH647" s="335"/>
      <c r="GI647" s="335"/>
      <c r="GJ647" s="335"/>
      <c r="GK647" s="335"/>
      <c r="GL647" s="335"/>
      <c r="GM647" s="335"/>
      <c r="GN647" s="335"/>
      <c r="GO647" s="335"/>
      <c r="GP647" s="335"/>
      <c r="GQ647" s="335"/>
      <c r="GR647" s="335"/>
      <c r="GS647" s="335"/>
      <c r="GT647" s="335"/>
      <c r="GU647" s="335"/>
      <c r="GV647" s="335"/>
      <c r="GW647" s="335"/>
      <c r="GX647" s="335"/>
      <c r="GY647" s="335"/>
      <c r="GZ647" s="335"/>
    </row>
    <row r="648" spans="1:208" ht="15">
      <c r="A648" s="379"/>
      <c r="B648" s="335"/>
      <c r="C648" s="335"/>
      <c r="D648" s="335"/>
      <c r="E648" s="335"/>
      <c r="F648" s="335"/>
      <c r="G648" s="335"/>
      <c r="H648" s="335"/>
      <c r="I648" s="335"/>
      <c r="J648" s="335"/>
      <c r="K648" s="335"/>
      <c r="L648" s="335"/>
      <c r="M648" s="376"/>
      <c r="N648" s="335"/>
      <c r="O648" s="380"/>
      <c r="P648" s="335"/>
      <c r="Q648" s="335"/>
      <c r="R648" s="335"/>
      <c r="S648" s="335"/>
      <c r="T648" s="335"/>
      <c r="U648" s="335"/>
      <c r="V648" s="335"/>
      <c r="W648" s="335"/>
      <c r="X648" s="335"/>
      <c r="Y648" s="335"/>
      <c r="Z648" s="335"/>
      <c r="AA648" s="335"/>
      <c r="AB648" s="335"/>
      <c r="AC648" s="335"/>
      <c r="AD648" s="335"/>
      <c r="AE648" s="335"/>
      <c r="AF648" s="335"/>
      <c r="AG648" s="335"/>
      <c r="AH648" s="335"/>
      <c r="AI648" s="335"/>
      <c r="AJ648" s="335"/>
      <c r="AK648" s="335"/>
      <c r="AL648" s="335"/>
      <c r="AM648" s="335"/>
      <c r="AN648" s="335"/>
      <c r="AO648" s="335"/>
      <c r="AP648" s="335"/>
      <c r="AQ648" s="335"/>
      <c r="AR648" s="335"/>
      <c r="AS648" s="335"/>
      <c r="AT648" s="335"/>
      <c r="AU648" s="335"/>
      <c r="AV648" s="335"/>
      <c r="AW648" s="335"/>
      <c r="AX648" s="335"/>
      <c r="AY648" s="335"/>
      <c r="AZ648" s="335"/>
      <c r="BA648" s="335"/>
      <c r="BB648" s="335"/>
      <c r="BC648" s="335"/>
      <c r="BD648" s="335"/>
      <c r="BE648" s="335"/>
      <c r="BF648" s="335"/>
      <c r="BG648" s="335"/>
      <c r="BH648" s="335"/>
      <c r="BI648" s="335"/>
      <c r="BJ648" s="335"/>
      <c r="BK648" s="335"/>
      <c r="BL648" s="335"/>
      <c r="BM648" s="335"/>
      <c r="BN648" s="335"/>
      <c r="BO648" s="335"/>
      <c r="BP648" s="335"/>
      <c r="BQ648" s="335"/>
      <c r="BR648" s="335"/>
      <c r="BS648" s="335"/>
      <c r="BT648" s="335"/>
      <c r="BU648" s="335"/>
      <c r="BV648" s="335"/>
      <c r="BW648" s="335"/>
      <c r="BX648" s="335"/>
      <c r="BY648" s="335"/>
      <c r="BZ648" s="335"/>
      <c r="CA648" s="335"/>
      <c r="CB648" s="335"/>
      <c r="CC648" s="335"/>
      <c r="CD648" s="335"/>
      <c r="CE648" s="335"/>
      <c r="CF648" s="335"/>
      <c r="CG648" s="335"/>
      <c r="CH648" s="335"/>
      <c r="CI648" s="335"/>
      <c r="CJ648" s="335"/>
      <c r="CK648" s="335"/>
      <c r="CL648" s="335"/>
      <c r="CM648" s="335"/>
      <c r="CN648" s="335"/>
      <c r="CO648" s="335"/>
      <c r="CP648" s="335"/>
      <c r="CQ648" s="335"/>
      <c r="CR648" s="335"/>
      <c r="CS648" s="335"/>
      <c r="CT648" s="335"/>
      <c r="CU648" s="335"/>
      <c r="CV648" s="335"/>
      <c r="CW648" s="335"/>
      <c r="CX648" s="335"/>
      <c r="CY648" s="335"/>
      <c r="CZ648" s="335"/>
      <c r="DA648" s="335"/>
      <c r="DB648" s="335"/>
      <c r="DC648" s="335"/>
      <c r="DD648" s="335"/>
      <c r="DE648" s="335"/>
      <c r="DF648" s="335"/>
      <c r="DG648" s="335"/>
      <c r="DH648" s="335"/>
      <c r="DI648" s="335"/>
      <c r="DJ648" s="335"/>
      <c r="DK648" s="335"/>
      <c r="DL648" s="335"/>
      <c r="DM648" s="335"/>
      <c r="DN648" s="335"/>
      <c r="DO648" s="335"/>
      <c r="DP648" s="335"/>
      <c r="DQ648" s="335"/>
      <c r="DR648" s="335"/>
      <c r="DS648" s="335"/>
      <c r="DT648" s="335"/>
      <c r="DU648" s="335"/>
      <c r="DV648" s="335"/>
      <c r="DW648" s="335"/>
      <c r="DX648" s="335"/>
      <c r="DY648" s="335"/>
      <c r="DZ648" s="335"/>
      <c r="EA648" s="335"/>
      <c r="EB648" s="335"/>
      <c r="EC648" s="335"/>
      <c r="ED648" s="335"/>
      <c r="EE648" s="335"/>
      <c r="EF648" s="335"/>
      <c r="EG648" s="335"/>
      <c r="EH648" s="335"/>
      <c r="EI648" s="335"/>
      <c r="EJ648" s="335"/>
      <c r="EK648" s="335"/>
      <c r="EL648" s="335"/>
      <c r="EM648" s="335"/>
      <c r="EN648" s="335"/>
      <c r="EO648" s="335"/>
      <c r="EP648" s="335"/>
      <c r="EQ648" s="335"/>
      <c r="ER648" s="335"/>
      <c r="ES648" s="335"/>
      <c r="ET648" s="335"/>
      <c r="EU648" s="335"/>
      <c r="EV648" s="335"/>
      <c r="EW648" s="335"/>
      <c r="EX648" s="335"/>
      <c r="EY648" s="335"/>
      <c r="EZ648" s="335"/>
      <c r="FA648" s="335"/>
      <c r="FB648" s="335"/>
      <c r="FC648" s="335"/>
      <c r="FD648" s="335"/>
      <c r="FE648" s="335"/>
      <c r="FF648" s="335"/>
      <c r="FG648" s="335"/>
      <c r="FH648" s="335"/>
      <c r="FI648" s="335"/>
      <c r="FJ648" s="335"/>
      <c r="FK648" s="335"/>
      <c r="FL648" s="335"/>
      <c r="FM648" s="335"/>
      <c r="FN648" s="335"/>
      <c r="FO648" s="335"/>
      <c r="FP648" s="335"/>
      <c r="FQ648" s="335"/>
      <c r="FR648" s="335"/>
      <c r="FS648" s="335"/>
      <c r="FT648" s="335"/>
      <c r="FU648" s="335"/>
      <c r="FV648" s="335"/>
      <c r="FW648" s="335"/>
      <c r="FX648" s="335"/>
      <c r="FY648" s="335"/>
      <c r="FZ648" s="335"/>
      <c r="GA648" s="335"/>
      <c r="GB648" s="335"/>
      <c r="GC648" s="335"/>
      <c r="GD648" s="335"/>
      <c r="GE648" s="335"/>
      <c r="GF648" s="335"/>
      <c r="GG648" s="335"/>
      <c r="GH648" s="335"/>
      <c r="GI648" s="335"/>
      <c r="GJ648" s="335"/>
      <c r="GK648" s="335"/>
      <c r="GL648" s="335"/>
      <c r="GM648" s="335"/>
      <c r="GN648" s="335"/>
      <c r="GO648" s="335"/>
      <c r="GP648" s="335"/>
      <c r="GQ648" s="335"/>
      <c r="GR648" s="335"/>
      <c r="GS648" s="335"/>
      <c r="GT648" s="335"/>
      <c r="GU648" s="335"/>
      <c r="GV648" s="335"/>
      <c r="GW648" s="335"/>
      <c r="GX648" s="335"/>
      <c r="GY648" s="335"/>
      <c r="GZ648" s="335"/>
    </row>
    <row r="649" spans="1:208" ht="15">
      <c r="A649" s="379"/>
      <c r="B649" s="335"/>
      <c r="C649" s="335"/>
      <c r="D649" s="335"/>
      <c r="E649" s="335"/>
      <c r="F649" s="335"/>
      <c r="G649" s="335"/>
      <c r="H649" s="335"/>
      <c r="I649" s="335"/>
      <c r="J649" s="335"/>
      <c r="K649" s="335"/>
      <c r="L649" s="335"/>
      <c r="M649" s="376"/>
      <c r="N649" s="335"/>
      <c r="O649" s="380"/>
      <c r="P649" s="335"/>
      <c r="Q649" s="335"/>
      <c r="R649" s="335"/>
      <c r="S649" s="335"/>
      <c r="T649" s="335"/>
      <c r="U649" s="335"/>
      <c r="V649" s="335"/>
      <c r="W649" s="335"/>
      <c r="X649" s="335"/>
      <c r="Y649" s="335"/>
      <c r="Z649" s="335"/>
      <c r="AA649" s="335"/>
      <c r="AB649" s="335"/>
      <c r="AC649" s="335"/>
      <c r="AD649" s="335"/>
      <c r="AE649" s="335"/>
      <c r="AF649" s="335"/>
      <c r="AG649" s="335"/>
      <c r="AH649" s="335"/>
      <c r="AI649" s="335"/>
      <c r="AJ649" s="335"/>
      <c r="AK649" s="335"/>
      <c r="AL649" s="335"/>
      <c r="AM649" s="335"/>
      <c r="AN649" s="335"/>
      <c r="AO649" s="335"/>
      <c r="AP649" s="335"/>
      <c r="AQ649" s="335"/>
      <c r="AR649" s="335"/>
      <c r="AS649" s="335"/>
      <c r="AT649" s="335"/>
      <c r="AU649" s="335"/>
      <c r="AV649" s="335"/>
      <c r="AW649" s="335"/>
      <c r="AX649" s="335"/>
      <c r="AY649" s="335"/>
      <c r="AZ649" s="335"/>
      <c r="BA649" s="335"/>
      <c r="BB649" s="335"/>
      <c r="BC649" s="335"/>
      <c r="BD649" s="335"/>
      <c r="BE649" s="335"/>
      <c r="BF649" s="335"/>
      <c r="BG649" s="335"/>
      <c r="BH649" s="335"/>
      <c r="BI649" s="335"/>
      <c r="BJ649" s="335"/>
      <c r="BK649" s="335"/>
      <c r="BL649" s="335"/>
      <c r="BM649" s="335"/>
      <c r="BN649" s="335"/>
      <c r="BO649" s="335"/>
      <c r="BP649" s="335"/>
      <c r="BQ649" s="335"/>
      <c r="BR649" s="335"/>
      <c r="BS649" s="335"/>
      <c r="BT649" s="335"/>
      <c r="BU649" s="335"/>
      <c r="BV649" s="335"/>
      <c r="BW649" s="335"/>
      <c r="BX649" s="335"/>
      <c r="BY649" s="335"/>
      <c r="BZ649" s="335"/>
      <c r="CA649" s="335"/>
      <c r="CB649" s="335"/>
      <c r="CC649" s="335"/>
      <c r="CD649" s="335"/>
      <c r="CE649" s="335"/>
      <c r="CF649" s="335"/>
      <c r="CG649" s="335"/>
      <c r="CH649" s="335"/>
      <c r="CI649" s="335"/>
      <c r="CJ649" s="335"/>
      <c r="CK649" s="335"/>
      <c r="CL649" s="335"/>
      <c r="CM649" s="335"/>
      <c r="CN649" s="335"/>
      <c r="CO649" s="335"/>
      <c r="CP649" s="335"/>
      <c r="CQ649" s="335"/>
      <c r="CR649" s="335"/>
      <c r="CS649" s="335"/>
      <c r="CT649" s="335"/>
      <c r="CU649" s="335"/>
      <c r="CV649" s="335"/>
      <c r="CW649" s="335"/>
      <c r="CX649" s="335"/>
      <c r="CY649" s="335"/>
      <c r="CZ649" s="335"/>
      <c r="DA649" s="335"/>
      <c r="DB649" s="335"/>
      <c r="DC649" s="335"/>
      <c r="DD649" s="335"/>
      <c r="DE649" s="335"/>
      <c r="DF649" s="335"/>
      <c r="DG649" s="335"/>
      <c r="DH649" s="335"/>
      <c r="DI649" s="335"/>
      <c r="DJ649" s="335"/>
      <c r="DK649" s="335"/>
      <c r="DL649" s="335"/>
      <c r="DM649" s="335"/>
      <c r="DN649" s="335"/>
      <c r="DO649" s="335"/>
      <c r="DP649" s="335"/>
      <c r="DQ649" s="335"/>
      <c r="DR649" s="335"/>
      <c r="DS649" s="335"/>
      <c r="DT649" s="335"/>
      <c r="DU649" s="335"/>
      <c r="DV649" s="335"/>
      <c r="DW649" s="335"/>
      <c r="DX649" s="335"/>
      <c r="DY649" s="335"/>
      <c r="DZ649" s="335"/>
      <c r="EA649" s="335"/>
      <c r="EB649" s="335"/>
      <c r="EC649" s="335"/>
      <c r="ED649" s="335"/>
      <c r="EE649" s="335"/>
      <c r="EF649" s="335"/>
      <c r="EG649" s="335"/>
      <c r="EH649" s="335"/>
      <c r="EI649" s="335"/>
      <c r="EJ649" s="335"/>
      <c r="EK649" s="335"/>
      <c r="EL649" s="335"/>
      <c r="EM649" s="335"/>
      <c r="EN649" s="335"/>
      <c r="EO649" s="335"/>
      <c r="EP649" s="335"/>
      <c r="EQ649" s="335"/>
      <c r="ER649" s="335"/>
      <c r="ES649" s="335"/>
      <c r="ET649" s="335"/>
      <c r="EU649" s="335"/>
      <c r="EV649" s="335"/>
      <c r="EW649" s="335"/>
      <c r="EX649" s="335"/>
      <c r="EY649" s="335"/>
      <c r="EZ649" s="335"/>
      <c r="FA649" s="335"/>
      <c r="FB649" s="335"/>
      <c r="FC649" s="335"/>
      <c r="FD649" s="335"/>
      <c r="FE649" s="335"/>
      <c r="FF649" s="335"/>
      <c r="FG649" s="335"/>
      <c r="FH649" s="335"/>
      <c r="FI649" s="335"/>
      <c r="FJ649" s="335"/>
      <c r="FK649" s="335"/>
      <c r="FL649" s="335"/>
      <c r="FM649" s="335"/>
      <c r="FN649" s="335"/>
      <c r="FO649" s="335"/>
      <c r="FP649" s="335"/>
      <c r="FQ649" s="335"/>
      <c r="FR649" s="335"/>
      <c r="FS649" s="335"/>
      <c r="FT649" s="335"/>
      <c r="FU649" s="335"/>
      <c r="FV649" s="335"/>
      <c r="FW649" s="335"/>
      <c r="FX649" s="335"/>
      <c r="FY649" s="335"/>
      <c r="FZ649" s="335"/>
      <c r="GA649" s="335"/>
      <c r="GB649" s="335"/>
      <c r="GC649" s="335"/>
      <c r="GD649" s="335"/>
      <c r="GE649" s="335"/>
      <c r="GF649" s="335"/>
      <c r="GG649" s="335"/>
      <c r="GH649" s="335"/>
      <c r="GI649" s="335"/>
      <c r="GJ649" s="335"/>
      <c r="GK649" s="335"/>
      <c r="GL649" s="335"/>
      <c r="GM649" s="335"/>
      <c r="GN649" s="335"/>
      <c r="GO649" s="335"/>
      <c r="GP649" s="335"/>
      <c r="GQ649" s="335"/>
      <c r="GR649" s="335"/>
      <c r="GS649" s="335"/>
      <c r="GT649" s="335"/>
      <c r="GU649" s="335"/>
      <c r="GV649" s="335"/>
      <c r="GW649" s="335"/>
      <c r="GX649" s="335"/>
      <c r="GY649" s="335"/>
      <c r="GZ649" s="335"/>
    </row>
    <row r="650" spans="1:208" ht="15">
      <c r="A650" s="379"/>
      <c r="B650" s="335"/>
      <c r="C650" s="335"/>
      <c r="D650" s="335"/>
      <c r="E650" s="335"/>
      <c r="F650" s="335"/>
      <c r="G650" s="335"/>
      <c r="H650" s="335"/>
      <c r="I650" s="335"/>
      <c r="J650" s="335"/>
      <c r="K650" s="335"/>
      <c r="L650" s="335"/>
      <c r="M650" s="376"/>
      <c r="N650" s="335"/>
      <c r="O650" s="380"/>
      <c r="P650" s="335"/>
      <c r="Q650" s="335"/>
      <c r="R650" s="335"/>
      <c r="S650" s="335"/>
      <c r="T650" s="335"/>
      <c r="U650" s="335"/>
      <c r="V650" s="335"/>
      <c r="W650" s="335"/>
      <c r="X650" s="335"/>
      <c r="Y650" s="335"/>
      <c r="Z650" s="335"/>
      <c r="AA650" s="335"/>
      <c r="AB650" s="335"/>
      <c r="AC650" s="335"/>
      <c r="AD650" s="335"/>
      <c r="AE650" s="335"/>
      <c r="AF650" s="335"/>
      <c r="AG650" s="335"/>
      <c r="AH650" s="335"/>
      <c r="AI650" s="335"/>
      <c r="AJ650" s="335"/>
      <c r="AK650" s="335"/>
      <c r="AL650" s="335"/>
      <c r="AM650" s="335"/>
      <c r="AN650" s="335"/>
      <c r="AO650" s="335"/>
      <c r="AP650" s="335"/>
      <c r="AQ650" s="335"/>
      <c r="AR650" s="335"/>
      <c r="AS650" s="335"/>
      <c r="AT650" s="335"/>
      <c r="AU650" s="335"/>
      <c r="AV650" s="335"/>
      <c r="AW650" s="335"/>
      <c r="AX650" s="335"/>
      <c r="AY650" s="335"/>
      <c r="AZ650" s="335"/>
      <c r="BA650" s="335"/>
      <c r="BB650" s="335"/>
      <c r="BC650" s="335"/>
      <c r="BD650" s="335"/>
      <c r="BE650" s="335"/>
      <c r="BF650" s="335"/>
      <c r="BG650" s="335"/>
      <c r="BH650" s="335"/>
      <c r="BI650" s="335"/>
      <c r="BJ650" s="335"/>
      <c r="BK650" s="335"/>
      <c r="BL650" s="335"/>
      <c r="BM650" s="335"/>
      <c r="BN650" s="335"/>
      <c r="BO650" s="335"/>
      <c r="BP650" s="335"/>
      <c r="BQ650" s="335"/>
      <c r="BR650" s="335"/>
      <c r="BS650" s="335"/>
      <c r="BT650" s="335"/>
      <c r="BU650" s="335"/>
      <c r="BV650" s="335"/>
      <c r="BW650" s="335"/>
      <c r="BX650" s="335"/>
      <c r="BY650" s="335"/>
      <c r="BZ650" s="335"/>
      <c r="CA650" s="335"/>
      <c r="CB650" s="335"/>
      <c r="CC650" s="335"/>
      <c r="CD650" s="335"/>
      <c r="CE650" s="335"/>
      <c r="CF650" s="335"/>
      <c r="CG650" s="335"/>
      <c r="CH650" s="335"/>
      <c r="CI650" s="335"/>
      <c r="CJ650" s="335"/>
      <c r="CK650" s="335"/>
      <c r="CL650" s="335"/>
      <c r="CM650" s="335"/>
      <c r="CN650" s="335"/>
      <c r="CO650" s="335"/>
      <c r="CP650" s="335"/>
      <c r="CQ650" s="335"/>
      <c r="CR650" s="335"/>
      <c r="CS650" s="335"/>
      <c r="CT650" s="335"/>
      <c r="CU650" s="335"/>
      <c r="CV650" s="335"/>
      <c r="CW650" s="335"/>
      <c r="CX650" s="335"/>
      <c r="CY650" s="335"/>
      <c r="CZ650" s="335"/>
      <c r="DA650" s="335"/>
      <c r="DB650" s="335"/>
      <c r="DC650" s="335"/>
      <c r="DD650" s="335"/>
      <c r="DE650" s="335"/>
      <c r="DF650" s="335"/>
      <c r="DG650" s="335"/>
      <c r="DH650" s="335"/>
      <c r="DI650" s="335"/>
      <c r="DJ650" s="335"/>
      <c r="DK650" s="335"/>
      <c r="DL650" s="335"/>
      <c r="DM650" s="335"/>
      <c r="DN650" s="335"/>
      <c r="DO650" s="335"/>
      <c r="DP650" s="335"/>
      <c r="DQ650" s="335"/>
      <c r="DR650" s="335"/>
      <c r="DS650" s="335"/>
      <c r="DT650" s="335"/>
      <c r="DU650" s="335"/>
      <c r="DV650" s="335"/>
      <c r="DW650" s="335"/>
      <c r="DX650" s="335"/>
      <c r="DY650" s="335"/>
      <c r="DZ650" s="335"/>
      <c r="EA650" s="335"/>
      <c r="EB650" s="335"/>
      <c r="EC650" s="335"/>
      <c r="ED650" s="335"/>
      <c r="EE650" s="335"/>
      <c r="EF650" s="335"/>
      <c r="EG650" s="335"/>
      <c r="EH650" s="335"/>
      <c r="EI650" s="335"/>
      <c r="EJ650" s="335"/>
      <c r="EK650" s="335"/>
      <c r="EL650" s="335"/>
      <c r="EM650" s="335"/>
      <c r="EN650" s="335"/>
      <c r="EO650" s="335"/>
      <c r="EP650" s="335"/>
      <c r="EQ650" s="335"/>
      <c r="ER650" s="335"/>
      <c r="ES650" s="335"/>
      <c r="ET650" s="335"/>
      <c r="EU650" s="335"/>
      <c r="EV650" s="335"/>
      <c r="EW650" s="335"/>
      <c r="EX650" s="335"/>
      <c r="EY650" s="335"/>
      <c r="EZ650" s="335"/>
      <c r="FA650" s="335"/>
      <c r="FB650" s="335"/>
      <c r="FC650" s="335"/>
      <c r="FD650" s="335"/>
      <c r="FE650" s="335"/>
      <c r="FF650" s="335"/>
      <c r="FG650" s="335"/>
      <c r="FH650" s="335"/>
      <c r="FI650" s="335"/>
      <c r="FJ650" s="335"/>
      <c r="FK650" s="335"/>
      <c r="FL650" s="335"/>
      <c r="FM650" s="335"/>
      <c r="FN650" s="335"/>
      <c r="FO650" s="335"/>
      <c r="FP650" s="335"/>
      <c r="FQ650" s="335"/>
      <c r="FR650" s="335"/>
      <c r="FS650" s="335"/>
      <c r="FT650" s="335"/>
      <c r="FU650" s="335"/>
      <c r="FV650" s="335"/>
      <c r="FW650" s="335"/>
      <c r="FX650" s="335"/>
      <c r="FY650" s="335"/>
      <c r="FZ650" s="335"/>
      <c r="GA650" s="335"/>
      <c r="GB650" s="335"/>
      <c r="GC650" s="335"/>
      <c r="GD650" s="335"/>
      <c r="GE650" s="335"/>
      <c r="GF650" s="335"/>
      <c r="GG650" s="335"/>
      <c r="GH650" s="335"/>
      <c r="GI650" s="335"/>
      <c r="GJ650" s="335"/>
      <c r="GK650" s="335"/>
      <c r="GL650" s="335"/>
      <c r="GM650" s="335"/>
      <c r="GN650" s="335"/>
      <c r="GO650" s="335"/>
      <c r="GP650" s="335"/>
      <c r="GQ650" s="335"/>
      <c r="GR650" s="335"/>
      <c r="GS650" s="335"/>
      <c r="GT650" s="335"/>
      <c r="GU650" s="335"/>
      <c r="GV650" s="335"/>
      <c r="GW650" s="335"/>
      <c r="GX650" s="335"/>
      <c r="GY650" s="335"/>
      <c r="GZ650" s="335"/>
    </row>
    <row r="651" spans="1:208" ht="15">
      <c r="A651" s="379"/>
      <c r="B651" s="335"/>
      <c r="C651" s="335"/>
      <c r="D651" s="335"/>
      <c r="E651" s="335"/>
      <c r="F651" s="335"/>
      <c r="G651" s="335"/>
      <c r="H651" s="335"/>
      <c r="I651" s="335"/>
      <c r="J651" s="335"/>
      <c r="K651" s="335"/>
      <c r="L651" s="335"/>
      <c r="M651" s="376"/>
      <c r="N651" s="335"/>
      <c r="O651" s="380"/>
      <c r="P651" s="335"/>
      <c r="Q651" s="335"/>
      <c r="R651" s="335"/>
      <c r="S651" s="335"/>
      <c r="T651" s="335"/>
      <c r="U651" s="335"/>
      <c r="V651" s="335"/>
      <c r="W651" s="335"/>
      <c r="X651" s="335"/>
      <c r="Y651" s="335"/>
      <c r="Z651" s="335"/>
      <c r="AA651" s="335"/>
      <c r="AB651" s="335"/>
      <c r="AC651" s="335"/>
      <c r="AD651" s="335"/>
      <c r="AE651" s="335"/>
      <c r="AF651" s="335"/>
      <c r="AG651" s="335"/>
      <c r="AH651" s="335"/>
      <c r="AI651" s="335"/>
      <c r="AJ651" s="335"/>
      <c r="AK651" s="335"/>
      <c r="AL651" s="335"/>
      <c r="AM651" s="335"/>
      <c r="AN651" s="335"/>
      <c r="AO651" s="335"/>
      <c r="AP651" s="335"/>
      <c r="AQ651" s="335"/>
      <c r="AR651" s="335"/>
      <c r="AS651" s="335"/>
      <c r="AT651" s="335"/>
      <c r="AU651" s="335"/>
      <c r="AV651" s="335"/>
      <c r="AW651" s="335"/>
      <c r="AX651" s="335"/>
      <c r="AY651" s="335"/>
      <c r="AZ651" s="335"/>
      <c r="BA651" s="335"/>
      <c r="BB651" s="335"/>
      <c r="BC651" s="335"/>
      <c r="BD651" s="335"/>
      <c r="BE651" s="335"/>
      <c r="BF651" s="335"/>
      <c r="BG651" s="335"/>
      <c r="BH651" s="335"/>
      <c r="BI651" s="335"/>
      <c r="BJ651" s="335"/>
      <c r="BK651" s="335"/>
      <c r="BL651" s="335"/>
      <c r="BM651" s="335"/>
      <c r="BN651" s="335"/>
      <c r="BO651" s="335"/>
      <c r="BP651" s="335"/>
      <c r="BQ651" s="335"/>
      <c r="BR651" s="335"/>
      <c r="BS651" s="335"/>
      <c r="BT651" s="335"/>
      <c r="BU651" s="335"/>
      <c r="BV651" s="335"/>
      <c r="BW651" s="335"/>
      <c r="BX651" s="335"/>
      <c r="BY651" s="335"/>
      <c r="BZ651" s="335"/>
      <c r="CA651" s="335"/>
      <c r="CB651" s="335"/>
      <c r="CC651" s="335"/>
      <c r="CD651" s="335"/>
      <c r="CE651" s="335"/>
      <c r="CF651" s="335"/>
      <c r="CG651" s="335"/>
      <c r="CH651" s="335"/>
      <c r="CI651" s="335"/>
      <c r="CJ651" s="335"/>
      <c r="CK651" s="335"/>
      <c r="CL651" s="335"/>
      <c r="CM651" s="335"/>
      <c r="CN651" s="335"/>
      <c r="CO651" s="335"/>
      <c r="CP651" s="335"/>
      <c r="CQ651" s="335"/>
      <c r="CR651" s="335"/>
      <c r="CS651" s="335"/>
      <c r="CT651" s="335"/>
      <c r="CU651" s="335"/>
      <c r="CV651" s="335"/>
      <c r="CW651" s="335"/>
      <c r="CX651" s="335"/>
      <c r="CY651" s="335"/>
      <c r="CZ651" s="335"/>
      <c r="DA651" s="335"/>
      <c r="DB651" s="335"/>
      <c r="DC651" s="335"/>
      <c r="DD651" s="335"/>
      <c r="DE651" s="335"/>
      <c r="DF651" s="335"/>
      <c r="DG651" s="335"/>
      <c r="DH651" s="335"/>
      <c r="DI651" s="335"/>
      <c r="DJ651" s="335"/>
      <c r="DK651" s="335"/>
      <c r="DL651" s="335"/>
      <c r="DM651" s="335"/>
      <c r="DN651" s="335"/>
      <c r="DO651" s="335"/>
      <c r="DP651" s="335"/>
      <c r="DQ651" s="335"/>
      <c r="DR651" s="335"/>
      <c r="DS651" s="335"/>
      <c r="DT651" s="335"/>
      <c r="DU651" s="335"/>
      <c r="DV651" s="335"/>
      <c r="DW651" s="335"/>
      <c r="DX651" s="335"/>
      <c r="DY651" s="335"/>
      <c r="DZ651" s="335"/>
      <c r="EA651" s="335"/>
      <c r="EB651" s="335"/>
      <c r="EC651" s="335"/>
      <c r="ED651" s="335"/>
      <c r="EE651" s="335"/>
      <c r="EF651" s="335"/>
      <c r="EG651" s="335"/>
      <c r="EH651" s="335"/>
      <c r="EI651" s="335"/>
      <c r="EJ651" s="335"/>
      <c r="EK651" s="335"/>
      <c r="EL651" s="335"/>
      <c r="EM651" s="335"/>
      <c r="EN651" s="335"/>
      <c r="EO651" s="335"/>
      <c r="EP651" s="335"/>
      <c r="EQ651" s="335"/>
      <c r="ER651" s="335"/>
      <c r="ES651" s="335"/>
      <c r="ET651" s="335"/>
      <c r="EU651" s="335"/>
      <c r="EV651" s="335"/>
      <c r="EW651" s="335"/>
      <c r="EX651" s="335"/>
      <c r="EY651" s="335"/>
      <c r="EZ651" s="335"/>
      <c r="FA651" s="335"/>
      <c r="FB651" s="335"/>
      <c r="FC651" s="335"/>
      <c r="FD651" s="335"/>
      <c r="FE651" s="335"/>
      <c r="FF651" s="335"/>
      <c r="FG651" s="335"/>
      <c r="FH651" s="335"/>
      <c r="FI651" s="335"/>
      <c r="FJ651" s="335"/>
      <c r="FK651" s="335"/>
      <c r="FL651" s="335"/>
      <c r="FM651" s="335"/>
      <c r="FN651" s="335"/>
      <c r="FO651" s="335"/>
      <c r="FP651" s="335"/>
      <c r="FQ651" s="335"/>
      <c r="FR651" s="335"/>
      <c r="FS651" s="335"/>
      <c r="FT651" s="335"/>
      <c r="FU651" s="335"/>
      <c r="FV651" s="335"/>
      <c r="FW651" s="335"/>
      <c r="FX651" s="335"/>
      <c r="FY651" s="335"/>
      <c r="FZ651" s="335"/>
      <c r="GA651" s="335"/>
      <c r="GB651" s="335"/>
      <c r="GC651" s="335"/>
      <c r="GD651" s="335"/>
      <c r="GE651" s="335"/>
      <c r="GF651" s="335"/>
      <c r="GG651" s="335"/>
      <c r="GH651" s="335"/>
      <c r="GI651" s="335"/>
      <c r="GJ651" s="335"/>
      <c r="GK651" s="335"/>
      <c r="GL651" s="335"/>
      <c r="GM651" s="335"/>
      <c r="GN651" s="335"/>
      <c r="GO651" s="335"/>
      <c r="GP651" s="335"/>
      <c r="GQ651" s="335"/>
      <c r="GR651" s="335"/>
      <c r="GS651" s="335"/>
      <c r="GT651" s="335"/>
      <c r="GU651" s="335"/>
      <c r="GV651" s="335"/>
      <c r="GW651" s="335"/>
      <c r="GX651" s="335"/>
      <c r="GY651" s="335"/>
      <c r="GZ651" s="335"/>
    </row>
    <row r="652" spans="1:208" ht="15">
      <c r="A652" s="379"/>
      <c r="B652" s="335"/>
      <c r="C652" s="335"/>
      <c r="D652" s="335"/>
      <c r="E652" s="335"/>
      <c r="F652" s="335"/>
      <c r="G652" s="335"/>
      <c r="H652" s="335"/>
      <c r="I652" s="335"/>
      <c r="J652" s="335"/>
      <c r="K652" s="335"/>
      <c r="L652" s="335"/>
      <c r="M652" s="376"/>
      <c r="N652" s="335"/>
      <c r="O652" s="380"/>
      <c r="P652" s="335"/>
      <c r="Q652" s="335"/>
      <c r="R652" s="335"/>
      <c r="S652" s="335"/>
      <c r="T652" s="335"/>
      <c r="U652" s="335"/>
      <c r="V652" s="335"/>
      <c r="W652" s="335"/>
      <c r="X652" s="335"/>
      <c r="Y652" s="335"/>
      <c r="Z652" s="335"/>
      <c r="AA652" s="335"/>
      <c r="AB652" s="335"/>
      <c r="AC652" s="335"/>
      <c r="AD652" s="335"/>
      <c r="AE652" s="335"/>
      <c r="AF652" s="335"/>
      <c r="AG652" s="335"/>
      <c r="AH652" s="335"/>
      <c r="AI652" s="335"/>
      <c r="AJ652" s="335"/>
      <c r="AK652" s="335"/>
      <c r="AL652" s="335"/>
      <c r="AM652" s="335"/>
      <c r="AN652" s="335"/>
      <c r="AO652" s="335"/>
      <c r="AP652" s="335"/>
      <c r="AQ652" s="335"/>
      <c r="AR652" s="335"/>
      <c r="AS652" s="335"/>
      <c r="AT652" s="335"/>
      <c r="AU652" s="335"/>
      <c r="AV652" s="335"/>
      <c r="AW652" s="335"/>
      <c r="AX652" s="335"/>
      <c r="AY652" s="335"/>
      <c r="AZ652" s="335"/>
      <c r="BA652" s="335"/>
      <c r="BB652" s="335"/>
      <c r="BC652" s="335"/>
      <c r="BD652" s="335"/>
      <c r="BE652" s="335"/>
      <c r="BF652" s="335"/>
      <c r="BG652" s="335"/>
      <c r="BH652" s="335"/>
      <c r="BI652" s="335"/>
      <c r="BJ652" s="335"/>
      <c r="BK652" s="335"/>
      <c r="BL652" s="335"/>
      <c r="BM652" s="335"/>
      <c r="BN652" s="335"/>
      <c r="BO652" s="335"/>
      <c r="BP652" s="335"/>
      <c r="BQ652" s="335"/>
      <c r="BR652" s="335"/>
      <c r="BS652" s="335"/>
      <c r="BT652" s="335"/>
      <c r="BU652" s="335"/>
      <c r="BV652" s="335"/>
      <c r="BW652" s="335"/>
      <c r="BX652" s="335"/>
      <c r="BY652" s="335"/>
      <c r="BZ652" s="335"/>
      <c r="CA652" s="335"/>
      <c r="CB652" s="335"/>
      <c r="CC652" s="335"/>
      <c r="CD652" s="335"/>
      <c r="CE652" s="335"/>
      <c r="CF652" s="335"/>
      <c r="CG652" s="335"/>
      <c r="CH652" s="335"/>
      <c r="CI652" s="335"/>
      <c r="CJ652" s="335"/>
      <c r="CK652" s="335"/>
      <c r="CL652" s="335"/>
      <c r="CM652" s="335"/>
      <c r="CN652" s="335"/>
      <c r="CO652" s="335"/>
      <c r="CP652" s="335"/>
      <c r="CQ652" s="335"/>
      <c r="CR652" s="335"/>
      <c r="CS652" s="335"/>
      <c r="CT652" s="335"/>
      <c r="CU652" s="335"/>
      <c r="CV652" s="335"/>
      <c r="CW652" s="335"/>
      <c r="CX652" s="335"/>
      <c r="CY652" s="335"/>
      <c r="CZ652" s="335"/>
      <c r="DA652" s="335"/>
      <c r="DB652" s="335"/>
      <c r="DC652" s="335"/>
      <c r="DD652" s="335"/>
      <c r="DE652" s="335"/>
      <c r="DF652" s="335"/>
      <c r="DG652" s="335"/>
      <c r="DH652" s="335"/>
      <c r="DI652" s="335"/>
      <c r="DJ652" s="335"/>
      <c r="DK652" s="335"/>
      <c r="DL652" s="335"/>
      <c r="DM652" s="335"/>
      <c r="DN652" s="335"/>
      <c r="DO652" s="335"/>
      <c r="DP652" s="335"/>
      <c r="DQ652" s="335"/>
      <c r="DR652" s="335"/>
      <c r="DS652" s="335"/>
      <c r="DT652" s="335"/>
      <c r="DU652" s="335"/>
      <c r="DV652" s="335"/>
      <c r="DW652" s="335"/>
      <c r="DX652" s="335"/>
      <c r="DY652" s="335"/>
      <c r="DZ652" s="335"/>
      <c r="EA652" s="335"/>
      <c r="EB652" s="335"/>
      <c r="EC652" s="335"/>
      <c r="ED652" s="335"/>
      <c r="EE652" s="335"/>
      <c r="EF652" s="335"/>
      <c r="EG652" s="335"/>
      <c r="EH652" s="335"/>
      <c r="EI652" s="335"/>
      <c r="EJ652" s="335"/>
      <c r="EK652" s="335"/>
      <c r="EL652" s="335"/>
      <c r="EM652" s="335"/>
      <c r="EN652" s="335"/>
      <c r="EO652" s="335"/>
      <c r="EP652" s="335"/>
      <c r="EQ652" s="335"/>
      <c r="ER652" s="335"/>
      <c r="ES652" s="335"/>
      <c r="ET652" s="335"/>
      <c r="EU652" s="335"/>
      <c r="EV652" s="335"/>
      <c r="EW652" s="335"/>
      <c r="EX652" s="335"/>
      <c r="EY652" s="335"/>
      <c r="EZ652" s="335"/>
      <c r="FA652" s="335"/>
      <c r="FB652" s="335"/>
      <c r="FC652" s="335"/>
      <c r="FD652" s="335"/>
      <c r="FE652" s="335"/>
      <c r="FF652" s="335"/>
      <c r="FG652" s="335"/>
      <c r="FH652" s="335"/>
      <c r="FI652" s="335"/>
      <c r="FJ652" s="335"/>
      <c r="FK652" s="335"/>
      <c r="FL652" s="335"/>
      <c r="FM652" s="335"/>
      <c r="FN652" s="335"/>
      <c r="FO652" s="335"/>
      <c r="FP652" s="335"/>
      <c r="FQ652" s="335"/>
      <c r="FR652" s="335"/>
      <c r="FS652" s="335"/>
      <c r="FT652" s="335"/>
      <c r="FU652" s="335"/>
      <c r="FV652" s="335"/>
      <c r="FW652" s="335"/>
      <c r="FX652" s="335"/>
      <c r="FY652" s="335"/>
      <c r="FZ652" s="335"/>
      <c r="GA652" s="335"/>
      <c r="GB652" s="335"/>
      <c r="GC652" s="335"/>
      <c r="GD652" s="335"/>
      <c r="GE652" s="335"/>
      <c r="GF652" s="335"/>
      <c r="GG652" s="335"/>
      <c r="GH652" s="335"/>
      <c r="GI652" s="335"/>
      <c r="GJ652" s="335"/>
      <c r="GK652" s="335"/>
      <c r="GL652" s="335"/>
      <c r="GM652" s="335"/>
      <c r="GN652" s="335"/>
      <c r="GO652" s="335"/>
      <c r="GP652" s="335"/>
      <c r="GQ652" s="335"/>
      <c r="GR652" s="335"/>
      <c r="GS652" s="335"/>
      <c r="GT652" s="335"/>
      <c r="GU652" s="335"/>
      <c r="GV652" s="335"/>
      <c r="GW652" s="335"/>
      <c r="GX652" s="335"/>
      <c r="GY652" s="335"/>
      <c r="GZ652" s="335"/>
    </row>
    <row r="653" spans="1:208" ht="15">
      <c r="A653" s="379"/>
      <c r="B653" s="335"/>
      <c r="C653" s="335"/>
      <c r="D653" s="335"/>
      <c r="E653" s="335"/>
      <c r="F653" s="335"/>
      <c r="G653" s="335"/>
      <c r="H653" s="335"/>
      <c r="I653" s="335"/>
      <c r="J653" s="335"/>
      <c r="K653" s="335"/>
      <c r="L653" s="335"/>
      <c r="M653" s="376"/>
      <c r="N653" s="335"/>
      <c r="O653" s="380"/>
      <c r="P653" s="335"/>
      <c r="Q653" s="335"/>
      <c r="R653" s="335"/>
      <c r="S653" s="335"/>
      <c r="T653" s="335"/>
      <c r="U653" s="335"/>
      <c r="V653" s="335"/>
      <c r="W653" s="335"/>
      <c r="X653" s="335"/>
      <c r="Y653" s="335"/>
      <c r="Z653" s="335"/>
      <c r="AA653" s="335"/>
      <c r="AB653" s="335"/>
      <c r="AC653" s="335"/>
      <c r="AD653" s="335"/>
      <c r="AE653" s="335"/>
      <c r="AF653" s="335"/>
      <c r="AG653" s="335"/>
      <c r="AH653" s="335"/>
      <c r="AI653" s="335"/>
      <c r="AJ653" s="335"/>
      <c r="AK653" s="335"/>
      <c r="AL653" s="335"/>
      <c r="AM653" s="335"/>
      <c r="AN653" s="335"/>
      <c r="AO653" s="335"/>
      <c r="AP653" s="335"/>
      <c r="AQ653" s="335"/>
      <c r="AR653" s="335"/>
      <c r="AS653" s="335"/>
      <c r="AT653" s="335"/>
      <c r="AU653" s="335"/>
      <c r="AV653" s="335"/>
      <c r="AW653" s="335"/>
      <c r="AX653" s="335"/>
      <c r="AY653" s="335"/>
      <c r="AZ653" s="335"/>
      <c r="BA653" s="335"/>
      <c r="BB653" s="335"/>
      <c r="BC653" s="335"/>
      <c r="BD653" s="335"/>
      <c r="BE653" s="335"/>
      <c r="BF653" s="335"/>
      <c r="BG653" s="335"/>
      <c r="BH653" s="335"/>
      <c r="BI653" s="335"/>
      <c r="BJ653" s="335"/>
      <c r="BK653" s="335"/>
      <c r="BL653" s="335"/>
      <c r="BM653" s="335"/>
      <c r="BN653" s="335"/>
      <c r="BO653" s="335"/>
      <c r="BP653" s="335"/>
      <c r="BQ653" s="335"/>
      <c r="BR653" s="335"/>
      <c r="BS653" s="335"/>
      <c r="BT653" s="335"/>
      <c r="BU653" s="335"/>
      <c r="BV653" s="335"/>
      <c r="BW653" s="335"/>
      <c r="BX653" s="335"/>
      <c r="BY653" s="335"/>
      <c r="BZ653" s="335"/>
      <c r="CA653" s="335"/>
      <c r="CB653" s="335"/>
      <c r="CC653" s="335"/>
      <c r="CD653" s="335"/>
      <c r="CE653" s="335"/>
      <c r="CF653" s="335"/>
      <c r="CG653" s="335"/>
      <c r="CH653" s="335"/>
      <c r="CI653" s="335"/>
      <c r="CJ653" s="335"/>
      <c r="CK653" s="335"/>
      <c r="CL653" s="335"/>
      <c r="CM653" s="335"/>
      <c r="CN653" s="335"/>
      <c r="CO653" s="335"/>
      <c r="CP653" s="335"/>
      <c r="CQ653" s="335"/>
      <c r="CR653" s="335"/>
      <c r="CS653" s="335"/>
      <c r="CT653" s="335"/>
      <c r="CU653" s="335"/>
      <c r="CV653" s="335"/>
      <c r="CW653" s="335"/>
      <c r="CX653" s="335"/>
      <c r="CY653" s="335"/>
      <c r="CZ653" s="335"/>
      <c r="DA653" s="335"/>
      <c r="DB653" s="335"/>
      <c r="DC653" s="335"/>
      <c r="DD653" s="335"/>
      <c r="DE653" s="335"/>
      <c r="DF653" s="335"/>
      <c r="DG653" s="335"/>
      <c r="DH653" s="335"/>
      <c r="DI653" s="335"/>
      <c r="DJ653" s="335"/>
      <c r="DK653" s="335"/>
      <c r="DL653" s="335"/>
      <c r="DM653" s="335"/>
      <c r="DN653" s="335"/>
      <c r="DO653" s="335"/>
      <c r="DP653" s="335"/>
      <c r="DQ653" s="335"/>
      <c r="DR653" s="335"/>
      <c r="DS653" s="335"/>
      <c r="DT653" s="335"/>
      <c r="DU653" s="335"/>
      <c r="DV653" s="335"/>
      <c r="DW653" s="335"/>
      <c r="DX653" s="335"/>
      <c r="DY653" s="335"/>
      <c r="DZ653" s="335"/>
      <c r="EA653" s="335"/>
      <c r="EB653" s="335"/>
      <c r="EC653" s="335"/>
      <c r="ED653" s="335"/>
      <c r="EE653" s="335"/>
      <c r="EF653" s="335"/>
      <c r="EG653" s="335"/>
      <c r="EH653" s="335"/>
      <c r="EI653" s="335"/>
      <c r="EJ653" s="335"/>
      <c r="EK653" s="335"/>
      <c r="EL653" s="335"/>
      <c r="EM653" s="335"/>
      <c r="EN653" s="335"/>
      <c r="EO653" s="335"/>
      <c r="EP653" s="335"/>
      <c r="EQ653" s="335"/>
      <c r="ER653" s="335"/>
      <c r="ES653" s="335"/>
      <c r="ET653" s="335"/>
      <c r="EU653" s="335"/>
      <c r="EV653" s="335"/>
      <c r="EW653" s="335"/>
      <c r="EX653" s="335"/>
      <c r="EY653" s="335"/>
      <c r="EZ653" s="335"/>
      <c r="FA653" s="335"/>
      <c r="FB653" s="335"/>
      <c r="FC653" s="335"/>
      <c r="FD653" s="335"/>
      <c r="FE653" s="335"/>
      <c r="FF653" s="335"/>
      <c r="FG653" s="335"/>
      <c r="FH653" s="335"/>
      <c r="FI653" s="335"/>
      <c r="FJ653" s="335"/>
      <c r="FK653" s="335"/>
      <c r="FL653" s="335"/>
      <c r="FM653" s="335"/>
      <c r="FN653" s="335"/>
      <c r="FO653" s="335"/>
      <c r="FP653" s="335"/>
      <c r="FQ653" s="335"/>
      <c r="FR653" s="335"/>
      <c r="FS653" s="335"/>
      <c r="FT653" s="335"/>
      <c r="FU653" s="335"/>
      <c r="FV653" s="335"/>
      <c r="FW653" s="335"/>
      <c r="FX653" s="335"/>
      <c r="FY653" s="335"/>
      <c r="FZ653" s="335"/>
      <c r="GA653" s="335"/>
      <c r="GB653" s="335"/>
      <c r="GC653" s="335"/>
      <c r="GD653" s="335"/>
      <c r="GE653" s="335"/>
      <c r="GF653" s="335"/>
      <c r="GG653" s="335"/>
      <c r="GH653" s="335"/>
      <c r="GI653" s="335"/>
      <c r="GJ653" s="335"/>
      <c r="GK653" s="335"/>
      <c r="GL653" s="335"/>
      <c r="GM653" s="335"/>
      <c r="GN653" s="335"/>
      <c r="GO653" s="335"/>
      <c r="GP653" s="335"/>
      <c r="GQ653" s="335"/>
      <c r="GR653" s="335"/>
      <c r="GS653" s="335"/>
      <c r="GT653" s="335"/>
      <c r="GU653" s="335"/>
      <c r="GV653" s="335"/>
      <c r="GW653" s="335"/>
      <c r="GX653" s="335"/>
      <c r="GY653" s="335"/>
      <c r="GZ653" s="335"/>
    </row>
    <row r="654" spans="1:208" ht="15">
      <c r="A654" s="379"/>
      <c r="B654" s="335"/>
      <c r="C654" s="335"/>
      <c r="D654" s="335"/>
      <c r="E654" s="335"/>
      <c r="F654" s="335"/>
      <c r="G654" s="335"/>
      <c r="H654" s="335"/>
      <c r="I654" s="335"/>
      <c r="J654" s="335"/>
      <c r="K654" s="335"/>
      <c r="L654" s="335"/>
      <c r="M654" s="376"/>
      <c r="N654" s="335"/>
      <c r="O654" s="380"/>
      <c r="P654" s="335"/>
      <c r="Q654" s="335"/>
      <c r="R654" s="335"/>
      <c r="S654" s="335"/>
      <c r="T654" s="335"/>
      <c r="U654" s="335"/>
      <c r="V654" s="335"/>
      <c r="W654" s="335"/>
      <c r="X654" s="335"/>
      <c r="Y654" s="335"/>
      <c r="Z654" s="335"/>
      <c r="AA654" s="335"/>
      <c r="AB654" s="335"/>
      <c r="AC654" s="335"/>
      <c r="AD654" s="335"/>
      <c r="AE654" s="335"/>
      <c r="AF654" s="335"/>
      <c r="AG654" s="335"/>
      <c r="AH654" s="335"/>
      <c r="AI654" s="335"/>
      <c r="AJ654" s="335"/>
      <c r="AK654" s="335"/>
      <c r="AL654" s="335"/>
      <c r="AM654" s="335"/>
      <c r="AN654" s="335"/>
      <c r="AO654" s="335"/>
      <c r="AP654" s="335"/>
      <c r="AQ654" s="335"/>
      <c r="AR654" s="335"/>
      <c r="AS654" s="335"/>
      <c r="AT654" s="335"/>
      <c r="AU654" s="335"/>
      <c r="AV654" s="335"/>
      <c r="AW654" s="335"/>
      <c r="AX654" s="335"/>
      <c r="AY654" s="335"/>
      <c r="AZ654" s="335"/>
      <c r="BA654" s="335"/>
      <c r="BB654" s="335"/>
      <c r="BC654" s="335"/>
      <c r="BD654" s="335"/>
      <c r="BE654" s="335"/>
      <c r="BF654" s="335"/>
      <c r="BG654" s="335"/>
      <c r="BH654" s="335"/>
      <c r="BI654" s="335"/>
      <c r="BJ654" s="335"/>
      <c r="BK654" s="335"/>
      <c r="BL654" s="335"/>
      <c r="BM654" s="335"/>
      <c r="BN654" s="335"/>
      <c r="BO654" s="335"/>
      <c r="BP654" s="335"/>
      <c r="BQ654" s="335"/>
      <c r="BR654" s="335"/>
      <c r="BS654" s="335"/>
      <c r="BT654" s="335"/>
      <c r="BU654" s="335"/>
      <c r="BV654" s="335"/>
      <c r="BW654" s="335"/>
      <c r="BX654" s="335"/>
      <c r="BY654" s="335"/>
      <c r="BZ654" s="335"/>
      <c r="CA654" s="335"/>
      <c r="CB654" s="335"/>
      <c r="CC654" s="335"/>
      <c r="CD654" s="335"/>
      <c r="CE654" s="335"/>
      <c r="CF654" s="335"/>
      <c r="CG654" s="335"/>
      <c r="CH654" s="335"/>
      <c r="CI654" s="335"/>
      <c r="CJ654" s="335"/>
      <c r="CK654" s="335"/>
      <c r="CL654" s="335"/>
      <c r="CM654" s="335"/>
      <c r="CN654" s="335"/>
      <c r="CO654" s="335"/>
      <c r="CP654" s="335"/>
      <c r="CQ654" s="335"/>
      <c r="CR654" s="335"/>
      <c r="CS654" s="335"/>
      <c r="CT654" s="335"/>
      <c r="CU654" s="335"/>
      <c r="CV654" s="335"/>
      <c r="CW654" s="335"/>
      <c r="CX654" s="335"/>
      <c r="CY654" s="335"/>
      <c r="CZ654" s="335"/>
      <c r="DA654" s="335"/>
      <c r="DB654" s="335"/>
      <c r="DC654" s="335"/>
      <c r="DD654" s="335"/>
      <c r="DE654" s="335"/>
      <c r="DF654" s="335"/>
      <c r="DG654" s="335"/>
      <c r="DH654" s="335"/>
      <c r="DI654" s="335"/>
      <c r="DJ654" s="335"/>
      <c r="DK654" s="335"/>
      <c r="DL654" s="335"/>
      <c r="DM654" s="335"/>
      <c r="DN654" s="335"/>
      <c r="DO654" s="335"/>
      <c r="DP654" s="335"/>
      <c r="DQ654" s="335"/>
      <c r="DR654" s="335"/>
      <c r="DS654" s="335"/>
      <c r="DT654" s="335"/>
      <c r="DU654" s="335"/>
      <c r="DV654" s="335"/>
      <c r="DW654" s="335"/>
      <c r="DX654" s="335"/>
      <c r="DY654" s="335"/>
      <c r="DZ654" s="335"/>
      <c r="EA654" s="335"/>
      <c r="EB654" s="335"/>
      <c r="EC654" s="335"/>
      <c r="ED654" s="335"/>
      <c r="EE654" s="335"/>
      <c r="EF654" s="335"/>
      <c r="EG654" s="335"/>
      <c r="EH654" s="335"/>
      <c r="EI654" s="335"/>
      <c r="EJ654" s="335"/>
      <c r="EK654" s="335"/>
      <c r="EL654" s="335"/>
      <c r="EM654" s="335"/>
      <c r="EN654" s="335"/>
      <c r="EO654" s="335"/>
      <c r="EP654" s="335"/>
      <c r="EQ654" s="335"/>
      <c r="ER654" s="335"/>
      <c r="ES654" s="335"/>
      <c r="ET654" s="335"/>
      <c r="EU654" s="335"/>
      <c r="EV654" s="335"/>
      <c r="EW654" s="335"/>
      <c r="EX654" s="335"/>
      <c r="EY654" s="335"/>
      <c r="EZ654" s="335"/>
      <c r="FA654" s="335"/>
      <c r="FB654" s="335"/>
      <c r="FC654" s="335"/>
      <c r="FD654" s="335"/>
      <c r="FE654" s="335"/>
      <c r="FF654" s="335"/>
      <c r="FG654" s="335"/>
      <c r="FH654" s="335"/>
      <c r="FI654" s="335"/>
      <c r="FJ654" s="335"/>
      <c r="FK654" s="335"/>
      <c r="FL654" s="335"/>
      <c r="FM654" s="335"/>
      <c r="FN654" s="335"/>
      <c r="FO654" s="335"/>
      <c r="FP654" s="335"/>
      <c r="FQ654" s="335"/>
      <c r="FR654" s="335"/>
      <c r="FS654" s="335"/>
      <c r="FT654" s="335"/>
      <c r="FU654" s="335"/>
      <c r="FV654" s="335"/>
      <c r="FW654" s="335"/>
      <c r="FX654" s="335"/>
      <c r="FY654" s="335"/>
      <c r="FZ654" s="335"/>
      <c r="GA654" s="335"/>
      <c r="GB654" s="335"/>
      <c r="GC654" s="335"/>
      <c r="GD654" s="335"/>
      <c r="GE654" s="335"/>
      <c r="GF654" s="335"/>
      <c r="GG654" s="335"/>
      <c r="GH654" s="335"/>
      <c r="GI654" s="335"/>
      <c r="GJ654" s="335"/>
      <c r="GK654" s="335"/>
      <c r="GL654" s="335"/>
      <c r="GM654" s="335"/>
      <c r="GN654" s="335"/>
      <c r="GO654" s="335"/>
      <c r="GP654" s="335"/>
      <c r="GQ654" s="335"/>
      <c r="GR654" s="335"/>
      <c r="GS654" s="335"/>
      <c r="GT654" s="335"/>
      <c r="GU654" s="335"/>
      <c r="GV654" s="335"/>
      <c r="GW654" s="335"/>
      <c r="GX654" s="335"/>
      <c r="GY654" s="335"/>
      <c r="GZ654" s="335"/>
    </row>
    <row r="655" spans="1:208" ht="15">
      <c r="A655" s="379"/>
      <c r="B655" s="335"/>
      <c r="C655" s="335"/>
      <c r="D655" s="335"/>
      <c r="E655" s="335"/>
      <c r="F655" s="335"/>
      <c r="G655" s="335"/>
      <c r="H655" s="335"/>
      <c r="I655" s="335"/>
      <c r="J655" s="335"/>
      <c r="K655" s="335"/>
      <c r="L655" s="335"/>
      <c r="M655" s="376"/>
      <c r="N655" s="335"/>
      <c r="O655" s="380"/>
      <c r="P655" s="335"/>
      <c r="Q655" s="335"/>
      <c r="R655" s="335"/>
      <c r="S655" s="335"/>
      <c r="T655" s="335"/>
      <c r="U655" s="335"/>
      <c r="V655" s="335"/>
      <c r="W655" s="335"/>
      <c r="X655" s="335"/>
      <c r="Y655" s="335"/>
      <c r="Z655" s="335"/>
      <c r="AA655" s="335"/>
      <c r="AB655" s="335"/>
      <c r="AC655" s="335"/>
      <c r="AD655" s="335"/>
      <c r="AE655" s="335"/>
      <c r="AF655" s="335"/>
      <c r="AG655" s="335"/>
      <c r="AH655" s="335"/>
      <c r="AI655" s="335"/>
      <c r="AJ655" s="335"/>
      <c r="AK655" s="335"/>
      <c r="AL655" s="335"/>
      <c r="AM655" s="335"/>
      <c r="AN655" s="335"/>
      <c r="AO655" s="335"/>
      <c r="AP655" s="335"/>
      <c r="AQ655" s="335"/>
      <c r="AR655" s="335"/>
      <c r="AS655" s="335"/>
      <c r="AT655" s="335"/>
      <c r="AU655" s="335"/>
      <c r="AV655" s="335"/>
      <c r="AW655" s="335"/>
      <c r="AX655" s="335"/>
      <c r="AY655" s="335"/>
      <c r="AZ655" s="335"/>
      <c r="BA655" s="335"/>
      <c r="BB655" s="335"/>
      <c r="BC655" s="335"/>
      <c r="BD655" s="335"/>
      <c r="BE655" s="335"/>
      <c r="BF655" s="335"/>
      <c r="BG655" s="335"/>
      <c r="BH655" s="335"/>
      <c r="BI655" s="335"/>
      <c r="BJ655" s="335"/>
      <c r="BK655" s="335"/>
      <c r="BL655" s="335"/>
      <c r="BM655" s="335"/>
      <c r="BN655" s="335"/>
      <c r="BO655" s="335"/>
      <c r="BP655" s="335"/>
      <c r="BQ655" s="335"/>
      <c r="BR655" s="335"/>
      <c r="BS655" s="335"/>
      <c r="BT655" s="335"/>
      <c r="BU655" s="335"/>
      <c r="BV655" s="335"/>
      <c r="BW655" s="335"/>
      <c r="BX655" s="335"/>
      <c r="BY655" s="335"/>
      <c r="BZ655" s="335"/>
      <c r="CA655" s="335"/>
      <c r="CB655" s="335"/>
      <c r="CC655" s="335"/>
      <c r="CD655" s="335"/>
      <c r="CE655" s="335"/>
      <c r="CF655" s="335"/>
      <c r="CG655" s="335"/>
      <c r="CH655" s="335"/>
      <c r="CI655" s="335"/>
      <c r="CJ655" s="335"/>
      <c r="CK655" s="335"/>
      <c r="CL655" s="335"/>
      <c r="CM655" s="335"/>
      <c r="CN655" s="335"/>
      <c r="CO655" s="335"/>
      <c r="CP655" s="335"/>
      <c r="CQ655" s="335"/>
      <c r="CR655" s="335"/>
      <c r="CS655" s="335"/>
      <c r="CT655" s="335"/>
      <c r="CU655" s="335"/>
      <c r="CV655" s="335"/>
      <c r="CW655" s="335"/>
      <c r="CX655" s="335"/>
      <c r="CY655" s="335"/>
      <c r="CZ655" s="335"/>
      <c r="DA655" s="335"/>
      <c r="DB655" s="335"/>
      <c r="DC655" s="335"/>
      <c r="DD655" s="335"/>
      <c r="DE655" s="335"/>
      <c r="DF655" s="335"/>
      <c r="DG655" s="335"/>
      <c r="DH655" s="335"/>
      <c r="DI655" s="335"/>
      <c r="DJ655" s="335"/>
      <c r="DK655" s="335"/>
      <c r="DL655" s="335"/>
      <c r="DM655" s="335"/>
      <c r="DN655" s="335"/>
      <c r="DO655" s="335"/>
      <c r="DP655" s="335"/>
      <c r="DQ655" s="335"/>
      <c r="DR655" s="335"/>
      <c r="DS655" s="335"/>
      <c r="DT655" s="335"/>
      <c r="DU655" s="335"/>
      <c r="DV655" s="335"/>
      <c r="DW655" s="335"/>
      <c r="DX655" s="335"/>
      <c r="DY655" s="335"/>
      <c r="DZ655" s="335"/>
      <c r="EA655" s="335"/>
      <c r="EB655" s="335"/>
      <c r="EC655" s="335"/>
      <c r="ED655" s="335"/>
      <c r="EE655" s="335"/>
      <c r="EF655" s="335"/>
      <c r="EG655" s="335"/>
      <c r="EH655" s="335"/>
      <c r="EI655" s="335"/>
      <c r="EJ655" s="335"/>
      <c r="EK655" s="335"/>
      <c r="EL655" s="335"/>
      <c r="EM655" s="335"/>
      <c r="EN655" s="335"/>
      <c r="EO655" s="335"/>
      <c r="EP655" s="335"/>
      <c r="EQ655" s="335"/>
      <c r="ER655" s="335"/>
      <c r="ES655" s="335"/>
      <c r="ET655" s="335"/>
      <c r="EU655" s="335"/>
      <c r="EV655" s="335"/>
      <c r="EW655" s="335"/>
      <c r="EX655" s="335"/>
      <c r="EY655" s="335"/>
      <c r="EZ655" s="335"/>
      <c r="FA655" s="335"/>
      <c r="FB655" s="335"/>
      <c r="FC655" s="335"/>
      <c r="FD655" s="335"/>
      <c r="FE655" s="335"/>
      <c r="FF655" s="335"/>
      <c r="FG655" s="335"/>
      <c r="FH655" s="335"/>
      <c r="FI655" s="335"/>
      <c r="FJ655" s="335"/>
      <c r="FK655" s="335"/>
      <c r="FL655" s="335"/>
      <c r="FM655" s="335"/>
      <c r="FN655" s="335"/>
      <c r="FO655" s="335"/>
      <c r="FP655" s="335"/>
      <c r="FQ655" s="335"/>
      <c r="FR655" s="335"/>
      <c r="FS655" s="335"/>
      <c r="FT655" s="335"/>
      <c r="FU655" s="335"/>
      <c r="FV655" s="335"/>
      <c r="FW655" s="335"/>
      <c r="FX655" s="335"/>
      <c r="FY655" s="335"/>
      <c r="FZ655" s="335"/>
      <c r="GA655" s="335"/>
      <c r="GB655" s="335"/>
      <c r="GC655" s="335"/>
      <c r="GD655" s="335"/>
      <c r="GE655" s="335"/>
      <c r="GF655" s="335"/>
      <c r="GG655" s="335"/>
      <c r="GH655" s="335"/>
      <c r="GI655" s="335"/>
      <c r="GJ655" s="335"/>
      <c r="GK655" s="335"/>
      <c r="GL655" s="335"/>
      <c r="GM655" s="335"/>
      <c r="GN655" s="335"/>
      <c r="GO655" s="335"/>
      <c r="GP655" s="335"/>
      <c r="GQ655" s="335"/>
      <c r="GR655" s="335"/>
      <c r="GS655" s="335"/>
      <c r="GT655" s="335"/>
      <c r="GU655" s="335"/>
      <c r="GV655" s="335"/>
      <c r="GW655" s="335"/>
      <c r="GX655" s="335"/>
      <c r="GY655" s="335"/>
      <c r="GZ655" s="335"/>
    </row>
    <row r="656" spans="1:208" ht="15">
      <c r="A656" s="379"/>
      <c r="B656" s="335"/>
      <c r="C656" s="335"/>
      <c r="D656" s="335"/>
      <c r="E656" s="335"/>
      <c r="F656" s="335"/>
      <c r="G656" s="335"/>
      <c r="H656" s="335"/>
      <c r="I656" s="335"/>
      <c r="J656" s="335"/>
      <c r="K656" s="335"/>
      <c r="L656" s="335"/>
      <c r="M656" s="376"/>
      <c r="N656" s="335"/>
      <c r="O656" s="380"/>
      <c r="P656" s="335"/>
      <c r="Q656" s="335"/>
      <c r="R656" s="335"/>
      <c r="S656" s="335"/>
      <c r="T656" s="335"/>
      <c r="U656" s="335"/>
      <c r="V656" s="335"/>
      <c r="W656" s="335"/>
      <c r="X656" s="335"/>
      <c r="Y656" s="335"/>
      <c r="Z656" s="335"/>
      <c r="AA656" s="335"/>
      <c r="AB656" s="335"/>
      <c r="AC656" s="335"/>
      <c r="AD656" s="335"/>
      <c r="AE656" s="335"/>
      <c r="AF656" s="335"/>
      <c r="AG656" s="335"/>
      <c r="AH656" s="335"/>
      <c r="AI656" s="335"/>
      <c r="AJ656" s="335"/>
      <c r="AK656" s="335"/>
      <c r="AL656" s="335"/>
      <c r="AM656" s="335"/>
      <c r="AN656" s="335"/>
      <c r="AO656" s="335"/>
      <c r="AP656" s="335"/>
      <c r="AQ656" s="335"/>
      <c r="AR656" s="335"/>
      <c r="AS656" s="335"/>
      <c r="AT656" s="335"/>
      <c r="AU656" s="335"/>
      <c r="AV656" s="335"/>
      <c r="AW656" s="335"/>
      <c r="AX656" s="335"/>
      <c r="AY656" s="335"/>
      <c r="AZ656" s="335"/>
      <c r="BA656" s="335"/>
      <c r="BB656" s="335"/>
      <c r="BC656" s="335"/>
      <c r="BD656" s="335"/>
      <c r="BE656" s="335"/>
      <c r="BF656" s="335"/>
      <c r="BG656" s="335"/>
      <c r="BH656" s="335"/>
      <c r="BI656" s="335"/>
      <c r="BJ656" s="335"/>
      <c r="BK656" s="335"/>
      <c r="BL656" s="335"/>
      <c r="BM656" s="335"/>
      <c r="BN656" s="335"/>
      <c r="BO656" s="335"/>
      <c r="BP656" s="335"/>
      <c r="BQ656" s="335"/>
      <c r="BR656" s="335"/>
      <c r="BS656" s="335"/>
      <c r="BT656" s="335"/>
      <c r="BU656" s="335"/>
      <c r="BV656" s="335"/>
      <c r="BW656" s="335"/>
      <c r="BX656" s="335"/>
      <c r="BY656" s="335"/>
      <c r="BZ656" s="335"/>
      <c r="CA656" s="335"/>
      <c r="CB656" s="335"/>
      <c r="CC656" s="335"/>
      <c r="CD656" s="335"/>
      <c r="CE656" s="335"/>
      <c r="CF656" s="335"/>
      <c r="CG656" s="335"/>
      <c r="CH656" s="335"/>
      <c r="CI656" s="335"/>
      <c r="CJ656" s="335"/>
      <c r="CK656" s="335"/>
      <c r="CL656" s="335"/>
      <c r="CM656" s="335"/>
      <c r="CN656" s="335"/>
      <c r="CO656" s="335"/>
      <c r="CP656" s="335"/>
      <c r="CQ656" s="335"/>
      <c r="CR656" s="335"/>
      <c r="CS656" s="335"/>
      <c r="CT656" s="335"/>
      <c r="CU656" s="335"/>
      <c r="CV656" s="335"/>
      <c r="CW656" s="335"/>
      <c r="CX656" s="335"/>
      <c r="CY656" s="335"/>
      <c r="CZ656" s="335"/>
      <c r="DA656" s="335"/>
      <c r="DB656" s="335"/>
      <c r="DC656" s="335"/>
      <c r="DD656" s="335"/>
      <c r="DE656" s="335"/>
      <c r="DF656" s="335"/>
      <c r="DG656" s="335"/>
      <c r="DH656" s="335"/>
      <c r="DI656" s="335"/>
      <c r="DJ656" s="335"/>
      <c r="DK656" s="335"/>
      <c r="DL656" s="335"/>
      <c r="DM656" s="335"/>
      <c r="DN656" s="335"/>
      <c r="DO656" s="335"/>
      <c r="DP656" s="335"/>
      <c r="DQ656" s="335"/>
      <c r="DR656" s="335"/>
      <c r="DS656" s="335"/>
      <c r="DT656" s="335"/>
      <c r="DU656" s="335"/>
      <c r="DV656" s="335"/>
      <c r="DW656" s="335"/>
      <c r="DX656" s="335"/>
      <c r="DY656" s="335"/>
      <c r="DZ656" s="335"/>
      <c r="EA656" s="335"/>
      <c r="EB656" s="335"/>
      <c r="EC656" s="335"/>
      <c r="ED656" s="335"/>
      <c r="EE656" s="335"/>
      <c r="EF656" s="335"/>
      <c r="EG656" s="335"/>
      <c r="EH656" s="335"/>
      <c r="EI656" s="335"/>
      <c r="EJ656" s="335"/>
      <c r="EK656" s="335"/>
      <c r="EL656" s="335"/>
      <c r="EM656" s="335"/>
      <c r="EN656" s="335"/>
      <c r="EO656" s="335"/>
      <c r="EP656" s="335"/>
      <c r="EQ656" s="335"/>
      <c r="ER656" s="335"/>
      <c r="ES656" s="335"/>
      <c r="ET656" s="335"/>
      <c r="EU656" s="335"/>
      <c r="EV656" s="335"/>
      <c r="EW656" s="335"/>
      <c r="EX656" s="335"/>
      <c r="EY656" s="335"/>
      <c r="EZ656" s="335"/>
      <c r="FA656" s="335"/>
      <c r="FB656" s="335"/>
      <c r="FC656" s="335"/>
      <c r="FD656" s="335"/>
      <c r="FE656" s="335"/>
      <c r="FF656" s="335"/>
      <c r="FG656" s="335"/>
      <c r="FH656" s="335"/>
      <c r="FI656" s="335"/>
      <c r="FJ656" s="335"/>
      <c r="FK656" s="335"/>
      <c r="FL656" s="335"/>
      <c r="FM656" s="335"/>
      <c r="FN656" s="335"/>
      <c r="FO656" s="335"/>
      <c r="FP656" s="335"/>
      <c r="FQ656" s="335"/>
      <c r="FR656" s="335"/>
      <c r="FS656" s="335"/>
      <c r="FT656" s="335"/>
      <c r="FU656" s="335"/>
      <c r="FV656" s="335"/>
      <c r="FW656" s="335"/>
      <c r="FX656" s="335"/>
      <c r="FY656" s="335"/>
      <c r="FZ656" s="335"/>
      <c r="GA656" s="335"/>
      <c r="GB656" s="335"/>
      <c r="GC656" s="335"/>
      <c r="GD656" s="335"/>
      <c r="GE656" s="335"/>
      <c r="GF656" s="335"/>
      <c r="GG656" s="335"/>
      <c r="GH656" s="335"/>
      <c r="GI656" s="335"/>
      <c r="GJ656" s="335"/>
      <c r="GK656" s="335"/>
      <c r="GL656" s="335"/>
      <c r="GM656" s="335"/>
      <c r="GN656" s="335"/>
      <c r="GO656" s="335"/>
      <c r="GP656" s="335"/>
      <c r="GQ656" s="335"/>
      <c r="GR656" s="335"/>
      <c r="GS656" s="335"/>
      <c r="GT656" s="335"/>
      <c r="GU656" s="335"/>
      <c r="GV656" s="335"/>
      <c r="GW656" s="335"/>
      <c r="GX656" s="335"/>
      <c r="GY656" s="335"/>
      <c r="GZ656" s="335"/>
    </row>
    <row r="657" spans="1:208" ht="15">
      <c r="A657" s="379"/>
      <c r="B657" s="335"/>
      <c r="C657" s="335"/>
      <c r="D657" s="335"/>
      <c r="E657" s="335"/>
      <c r="F657" s="335"/>
      <c r="G657" s="335"/>
      <c r="H657" s="335"/>
      <c r="I657" s="335"/>
      <c r="J657" s="335"/>
      <c r="K657" s="335"/>
      <c r="L657" s="335"/>
      <c r="M657" s="376"/>
      <c r="N657" s="335"/>
      <c r="O657" s="380"/>
      <c r="P657" s="335"/>
      <c r="Q657" s="335"/>
      <c r="R657" s="335"/>
      <c r="S657" s="335"/>
      <c r="T657" s="335"/>
      <c r="U657" s="335"/>
      <c r="V657" s="335"/>
      <c r="W657" s="335"/>
      <c r="X657" s="335"/>
      <c r="Y657" s="335"/>
      <c r="Z657" s="335"/>
      <c r="AA657" s="335"/>
      <c r="AB657" s="335"/>
      <c r="AC657" s="335"/>
      <c r="AD657" s="335"/>
      <c r="AE657" s="335"/>
      <c r="AF657" s="335"/>
      <c r="AG657" s="335"/>
      <c r="AH657" s="335"/>
      <c r="AI657" s="335"/>
      <c r="AJ657" s="335"/>
      <c r="AK657" s="335"/>
      <c r="AL657" s="335"/>
      <c r="AM657" s="335"/>
      <c r="AN657" s="335"/>
      <c r="AO657" s="335"/>
      <c r="AP657" s="335"/>
      <c r="AQ657" s="335"/>
      <c r="AR657" s="335"/>
      <c r="AS657" s="335"/>
      <c r="AT657" s="335"/>
      <c r="AU657" s="335"/>
      <c r="AV657" s="335"/>
      <c r="AW657" s="335"/>
      <c r="AX657" s="335"/>
      <c r="AY657" s="335"/>
      <c r="AZ657" s="335"/>
      <c r="BA657" s="335"/>
      <c r="BB657" s="335"/>
      <c r="BC657" s="335"/>
      <c r="BD657" s="335"/>
      <c r="BE657" s="335"/>
      <c r="BF657" s="335"/>
      <c r="BG657" s="335"/>
      <c r="BH657" s="335"/>
      <c r="BI657" s="335"/>
      <c r="BJ657" s="335"/>
      <c r="BK657" s="335"/>
      <c r="BL657" s="335"/>
      <c r="BM657" s="335"/>
      <c r="BN657" s="335"/>
      <c r="BO657" s="335"/>
      <c r="BP657" s="335"/>
      <c r="BQ657" s="335"/>
      <c r="BR657" s="335"/>
      <c r="BS657" s="335"/>
      <c r="BT657" s="335"/>
      <c r="BU657" s="335"/>
      <c r="BV657" s="335"/>
      <c r="BW657" s="335"/>
      <c r="BX657" s="335"/>
      <c r="BY657" s="335"/>
      <c r="BZ657" s="335"/>
      <c r="CA657" s="335"/>
      <c r="CB657" s="335"/>
      <c r="CC657" s="335"/>
      <c r="CD657" s="335"/>
      <c r="CE657" s="335"/>
      <c r="CF657" s="335"/>
      <c r="CG657" s="335"/>
      <c r="CH657" s="335"/>
      <c r="CI657" s="335"/>
      <c r="CJ657" s="335"/>
      <c r="CK657" s="335"/>
      <c r="CL657" s="335"/>
      <c r="CM657" s="335"/>
      <c r="CN657" s="335"/>
      <c r="CO657" s="335"/>
      <c r="CP657" s="335"/>
      <c r="CQ657" s="335"/>
      <c r="CR657" s="335"/>
      <c r="CS657" s="335"/>
      <c r="CT657" s="335"/>
      <c r="CU657" s="335"/>
      <c r="CV657" s="335"/>
      <c r="CW657" s="335"/>
      <c r="CX657" s="335"/>
      <c r="CY657" s="335"/>
      <c r="CZ657" s="335"/>
      <c r="DA657" s="335"/>
      <c r="DB657" s="335"/>
      <c r="DC657" s="335"/>
      <c r="DD657" s="335"/>
      <c r="DE657" s="335"/>
      <c r="DF657" s="335"/>
      <c r="DG657" s="335"/>
      <c r="DH657" s="335"/>
      <c r="DI657" s="335"/>
      <c r="DJ657" s="335"/>
      <c r="DK657" s="335"/>
      <c r="DL657" s="335"/>
      <c r="DM657" s="335"/>
      <c r="DN657" s="335"/>
      <c r="DO657" s="335"/>
      <c r="DP657" s="335"/>
      <c r="DQ657" s="335"/>
      <c r="DR657" s="335"/>
      <c r="DS657" s="335"/>
      <c r="DT657" s="335"/>
      <c r="DU657" s="335"/>
      <c r="DV657" s="335"/>
      <c r="DW657" s="335"/>
      <c r="DX657" s="335"/>
      <c r="DY657" s="335"/>
      <c r="DZ657" s="335"/>
      <c r="EA657" s="335"/>
      <c r="EB657" s="335"/>
      <c r="EC657" s="335"/>
      <c r="ED657" s="335"/>
      <c r="EE657" s="335"/>
      <c r="EF657" s="335"/>
      <c r="EG657" s="335"/>
      <c r="EH657" s="335"/>
      <c r="EI657" s="335"/>
      <c r="EJ657" s="335"/>
      <c r="EK657" s="335"/>
      <c r="EL657" s="335"/>
      <c r="EM657" s="335"/>
      <c r="EN657" s="335"/>
      <c r="EO657" s="335"/>
      <c r="EP657" s="335"/>
      <c r="EQ657" s="335"/>
      <c r="ER657" s="335"/>
      <c r="ES657" s="335"/>
      <c r="ET657" s="335"/>
      <c r="EU657" s="335"/>
      <c r="EV657" s="335"/>
      <c r="EW657" s="335"/>
      <c r="EX657" s="335"/>
      <c r="EY657" s="335"/>
      <c r="EZ657" s="335"/>
      <c r="FA657" s="335"/>
      <c r="FB657" s="335"/>
      <c r="FC657" s="335"/>
      <c r="FD657" s="335"/>
      <c r="FE657" s="335"/>
      <c r="FF657" s="335"/>
      <c r="FG657" s="335"/>
      <c r="FH657" s="335"/>
      <c r="FI657" s="335"/>
      <c r="FJ657" s="335"/>
      <c r="FK657" s="335"/>
      <c r="FL657" s="335"/>
      <c r="FM657" s="335"/>
      <c r="FN657" s="335"/>
      <c r="FO657" s="335"/>
      <c r="FP657" s="335"/>
      <c r="FQ657" s="335"/>
      <c r="FR657" s="335"/>
      <c r="FS657" s="335"/>
      <c r="FT657" s="335"/>
      <c r="FU657" s="335"/>
      <c r="FV657" s="335"/>
      <c r="FW657" s="335"/>
      <c r="FX657" s="335"/>
      <c r="FY657" s="335"/>
      <c r="FZ657" s="335"/>
      <c r="GA657" s="335"/>
      <c r="GB657" s="335"/>
      <c r="GC657" s="335"/>
      <c r="GD657" s="335"/>
      <c r="GE657" s="335"/>
      <c r="GF657" s="335"/>
      <c r="GG657" s="335"/>
      <c r="GH657" s="335"/>
      <c r="GI657" s="335"/>
      <c r="GJ657" s="335"/>
      <c r="GK657" s="335"/>
      <c r="GL657" s="335"/>
      <c r="GM657" s="335"/>
      <c r="GN657" s="335"/>
      <c r="GO657" s="335"/>
      <c r="GP657" s="335"/>
      <c r="GQ657" s="335"/>
      <c r="GR657" s="335"/>
      <c r="GS657" s="335"/>
      <c r="GT657" s="335"/>
      <c r="GU657" s="335"/>
      <c r="GV657" s="335"/>
      <c r="GW657" s="335"/>
      <c r="GX657" s="335"/>
      <c r="GY657" s="335"/>
      <c r="GZ657" s="335"/>
    </row>
    <row r="658" spans="1:208" ht="15">
      <c r="A658" s="379"/>
      <c r="B658" s="335"/>
      <c r="C658" s="335"/>
      <c r="D658" s="335"/>
      <c r="E658" s="335"/>
      <c r="F658" s="335"/>
      <c r="G658" s="335"/>
      <c r="H658" s="335"/>
      <c r="I658" s="335"/>
      <c r="J658" s="335"/>
      <c r="K658" s="335"/>
      <c r="L658" s="335"/>
      <c r="M658" s="376"/>
      <c r="N658" s="335"/>
      <c r="O658" s="380"/>
      <c r="P658" s="335"/>
      <c r="Q658" s="335"/>
      <c r="R658" s="335"/>
      <c r="S658" s="335"/>
      <c r="T658" s="335"/>
      <c r="U658" s="335"/>
      <c r="V658" s="335"/>
      <c r="W658" s="335"/>
      <c r="X658" s="335"/>
      <c r="Y658" s="335"/>
      <c r="Z658" s="335"/>
      <c r="AA658" s="335"/>
      <c r="AB658" s="335"/>
      <c r="AC658" s="335"/>
      <c r="AD658" s="335"/>
      <c r="AE658" s="335"/>
      <c r="AF658" s="335"/>
      <c r="AG658" s="335"/>
      <c r="AH658" s="335"/>
      <c r="AI658" s="335"/>
      <c r="AJ658" s="335"/>
      <c r="AK658" s="335"/>
      <c r="AL658" s="335"/>
      <c r="AM658" s="335"/>
      <c r="AN658" s="335"/>
      <c r="AO658" s="335"/>
      <c r="AP658" s="335"/>
      <c r="AQ658" s="335"/>
      <c r="AR658" s="335"/>
      <c r="AS658" s="335"/>
      <c r="AT658" s="335"/>
      <c r="AU658" s="335"/>
      <c r="AV658" s="335"/>
      <c r="AW658" s="335"/>
      <c r="AX658" s="335"/>
      <c r="AY658" s="335"/>
      <c r="AZ658" s="335"/>
      <c r="BA658" s="335"/>
      <c r="BB658" s="335"/>
      <c r="BC658" s="335"/>
      <c r="BD658" s="335"/>
      <c r="BE658" s="335"/>
      <c r="BF658" s="335"/>
      <c r="BG658" s="335"/>
      <c r="BH658" s="335"/>
      <c r="BI658" s="335"/>
      <c r="BJ658" s="335"/>
      <c r="BK658" s="335"/>
      <c r="BL658" s="335"/>
      <c r="BM658" s="335"/>
      <c r="BN658" s="335"/>
      <c r="BO658" s="335"/>
      <c r="BP658" s="335"/>
      <c r="BQ658" s="335"/>
      <c r="BR658" s="335"/>
      <c r="BS658" s="335"/>
      <c r="BT658" s="335"/>
      <c r="BU658" s="335"/>
      <c r="BV658" s="335"/>
      <c r="BW658" s="335"/>
      <c r="BX658" s="335"/>
      <c r="BY658" s="335"/>
      <c r="BZ658" s="335"/>
      <c r="CA658" s="335"/>
      <c r="CB658" s="335"/>
      <c r="CC658" s="335"/>
      <c r="CD658" s="335"/>
      <c r="CE658" s="335"/>
      <c r="CF658" s="335"/>
      <c r="CG658" s="335"/>
      <c r="CH658" s="335"/>
      <c r="CI658" s="335"/>
      <c r="CJ658" s="335"/>
      <c r="CK658" s="335"/>
      <c r="CL658" s="335"/>
      <c r="CM658" s="335"/>
      <c r="CN658" s="335"/>
      <c r="CO658" s="335"/>
      <c r="CP658" s="335"/>
      <c r="CQ658" s="335"/>
      <c r="CR658" s="335"/>
      <c r="CS658" s="335"/>
      <c r="CT658" s="335"/>
      <c r="CU658" s="335"/>
      <c r="CV658" s="335"/>
      <c r="CW658" s="335"/>
      <c r="CX658" s="335"/>
      <c r="CY658" s="335"/>
      <c r="CZ658" s="335"/>
      <c r="DA658" s="335"/>
      <c r="DB658" s="335"/>
      <c r="DC658" s="335"/>
      <c r="DD658" s="335"/>
      <c r="DE658" s="335"/>
      <c r="DF658" s="335"/>
      <c r="DG658" s="335"/>
      <c r="DH658" s="335"/>
      <c r="DI658" s="335"/>
      <c r="DJ658" s="335"/>
      <c r="DK658" s="335"/>
      <c r="DL658" s="335"/>
      <c r="DM658" s="335"/>
      <c r="DN658" s="335"/>
      <c r="DO658" s="335"/>
      <c r="DP658" s="335"/>
      <c r="DQ658" s="335"/>
      <c r="DR658" s="335"/>
      <c r="DS658" s="335"/>
      <c r="DT658" s="335"/>
      <c r="DU658" s="335"/>
      <c r="DV658" s="335"/>
      <c r="DW658" s="335"/>
      <c r="DX658" s="335"/>
      <c r="DY658" s="335"/>
      <c r="DZ658" s="335"/>
      <c r="EA658" s="335"/>
      <c r="EB658" s="335"/>
      <c r="EC658" s="335"/>
      <c r="ED658" s="335"/>
      <c r="EE658" s="335"/>
      <c r="EF658" s="335"/>
      <c r="EG658" s="335"/>
      <c r="EH658" s="335"/>
      <c r="EI658" s="335"/>
      <c r="EJ658" s="335"/>
      <c r="EK658" s="335"/>
      <c r="EL658" s="335"/>
      <c r="EM658" s="335"/>
      <c r="EN658" s="335"/>
      <c r="EO658" s="335"/>
      <c r="EP658" s="335"/>
      <c r="EQ658" s="335"/>
      <c r="ER658" s="335"/>
      <c r="ES658" s="335"/>
      <c r="ET658" s="335"/>
      <c r="EU658" s="335"/>
      <c r="EV658" s="335"/>
      <c r="EW658" s="335"/>
      <c r="EX658" s="335"/>
      <c r="EY658" s="335"/>
      <c r="EZ658" s="335"/>
      <c r="FA658" s="335"/>
      <c r="FB658" s="335"/>
      <c r="FC658" s="335"/>
      <c r="FD658" s="335"/>
      <c r="FE658" s="335"/>
      <c r="FF658" s="335"/>
      <c r="FG658" s="335"/>
      <c r="FH658" s="335"/>
      <c r="FI658" s="335"/>
      <c r="FJ658" s="335"/>
      <c r="FK658" s="335"/>
      <c r="FL658" s="335"/>
      <c r="FM658" s="335"/>
      <c r="FN658" s="335"/>
      <c r="FO658" s="335"/>
      <c r="FP658" s="335"/>
      <c r="FQ658" s="335"/>
      <c r="FR658" s="335"/>
      <c r="FS658" s="335"/>
      <c r="FT658" s="335"/>
      <c r="FU658" s="335"/>
      <c r="FV658" s="335"/>
      <c r="FW658" s="335"/>
      <c r="FX658" s="335"/>
      <c r="FY658" s="335"/>
      <c r="FZ658" s="335"/>
      <c r="GA658" s="335"/>
      <c r="GB658" s="335"/>
      <c r="GC658" s="335"/>
      <c r="GD658" s="335"/>
      <c r="GE658" s="335"/>
      <c r="GF658" s="335"/>
      <c r="GG658" s="335"/>
      <c r="GH658" s="335"/>
      <c r="GI658" s="335"/>
      <c r="GJ658" s="335"/>
      <c r="GK658" s="335"/>
      <c r="GL658" s="335"/>
      <c r="GM658" s="335"/>
      <c r="GN658" s="335"/>
      <c r="GO658" s="335"/>
      <c r="GP658" s="335"/>
      <c r="GQ658" s="335"/>
      <c r="GR658" s="335"/>
      <c r="GS658" s="335"/>
      <c r="GT658" s="335"/>
      <c r="GU658" s="335"/>
      <c r="GV658" s="335"/>
      <c r="GW658" s="335"/>
      <c r="GX658" s="335"/>
      <c r="GY658" s="335"/>
      <c r="GZ658" s="335"/>
    </row>
    <row r="659" spans="1:208" ht="15">
      <c r="A659" s="379"/>
      <c r="B659" s="335"/>
      <c r="C659" s="335"/>
      <c r="D659" s="335"/>
      <c r="E659" s="335"/>
      <c r="F659" s="335"/>
      <c r="G659" s="335"/>
      <c r="H659" s="335"/>
      <c r="I659" s="335"/>
      <c r="J659" s="335"/>
      <c r="K659" s="335"/>
      <c r="L659" s="335"/>
      <c r="M659" s="376"/>
      <c r="N659" s="335"/>
      <c r="O659" s="380"/>
      <c r="P659" s="335"/>
      <c r="Q659" s="335"/>
      <c r="R659" s="335"/>
      <c r="S659" s="335"/>
      <c r="T659" s="335"/>
      <c r="U659" s="335"/>
      <c r="V659" s="335"/>
      <c r="W659" s="335"/>
      <c r="X659" s="335"/>
      <c r="Y659" s="335"/>
      <c r="Z659" s="335"/>
      <c r="AA659" s="335"/>
      <c r="AB659" s="335"/>
      <c r="AC659" s="335"/>
      <c r="AD659" s="335"/>
      <c r="AE659" s="335"/>
      <c r="AF659" s="335"/>
      <c r="AG659" s="335"/>
      <c r="AH659" s="335"/>
      <c r="AI659" s="335"/>
      <c r="AJ659" s="335"/>
      <c r="AK659" s="335"/>
      <c r="AL659" s="335"/>
      <c r="AM659" s="335"/>
      <c r="AN659" s="335"/>
      <c r="AO659" s="335"/>
      <c r="AP659" s="335"/>
      <c r="AQ659" s="335"/>
      <c r="AR659" s="335"/>
      <c r="AS659" s="335"/>
      <c r="AT659" s="335"/>
      <c r="AU659" s="335"/>
      <c r="AV659" s="335"/>
      <c r="AW659" s="335"/>
      <c r="AX659" s="335"/>
      <c r="AY659" s="335"/>
      <c r="AZ659" s="335"/>
      <c r="BA659" s="335"/>
      <c r="BB659" s="335"/>
      <c r="BC659" s="335"/>
      <c r="BD659" s="335"/>
      <c r="BE659" s="335"/>
      <c r="BF659" s="335"/>
      <c r="BG659" s="335"/>
      <c r="BH659" s="335"/>
      <c r="BI659" s="335"/>
      <c r="BJ659" s="335"/>
      <c r="BK659" s="335"/>
      <c r="BL659" s="335"/>
      <c r="BM659" s="335"/>
      <c r="BN659" s="335"/>
      <c r="BO659" s="335"/>
      <c r="BP659" s="335"/>
      <c r="BQ659" s="335"/>
      <c r="BR659" s="335"/>
      <c r="BS659" s="335"/>
      <c r="BT659" s="335"/>
      <c r="BU659" s="335"/>
      <c r="BV659" s="335"/>
      <c r="BW659" s="335"/>
      <c r="BX659" s="335"/>
      <c r="BY659" s="335"/>
      <c r="BZ659" s="335"/>
      <c r="CA659" s="335"/>
      <c r="CB659" s="335"/>
      <c r="CC659" s="335"/>
      <c r="CD659" s="335"/>
      <c r="CE659" s="335"/>
      <c r="CF659" s="335"/>
      <c r="CG659" s="335"/>
      <c r="CH659" s="335"/>
      <c r="CI659" s="335"/>
      <c r="CJ659" s="335"/>
      <c r="CK659" s="335"/>
      <c r="CL659" s="335"/>
      <c r="CM659" s="335"/>
      <c r="CN659" s="335"/>
      <c r="CO659" s="335"/>
      <c r="CP659" s="335"/>
      <c r="CQ659" s="335"/>
      <c r="CR659" s="335"/>
      <c r="CS659" s="335"/>
      <c r="CT659" s="335"/>
      <c r="CU659" s="335"/>
      <c r="CV659" s="335"/>
      <c r="CW659" s="335"/>
      <c r="CX659" s="335"/>
      <c r="CY659" s="335"/>
      <c r="CZ659" s="335"/>
      <c r="DA659" s="335"/>
      <c r="DB659" s="335"/>
      <c r="DC659" s="335"/>
      <c r="DD659" s="335"/>
      <c r="DE659" s="335"/>
      <c r="DF659" s="335"/>
      <c r="DG659" s="335"/>
      <c r="DH659" s="335"/>
      <c r="DI659" s="335"/>
      <c r="DJ659" s="335"/>
      <c r="DK659" s="335"/>
      <c r="DL659" s="335"/>
      <c r="DM659" s="335"/>
      <c r="DN659" s="335"/>
      <c r="DO659" s="335"/>
      <c r="DP659" s="335"/>
      <c r="DQ659" s="335"/>
      <c r="DR659" s="335"/>
      <c r="DS659" s="335"/>
      <c r="DT659" s="335"/>
      <c r="DU659" s="335"/>
      <c r="DV659" s="335"/>
      <c r="DW659" s="335"/>
      <c r="DX659" s="335"/>
      <c r="DY659" s="335"/>
      <c r="DZ659" s="335"/>
      <c r="EA659" s="335"/>
      <c r="EB659" s="335"/>
      <c r="EC659" s="335"/>
      <c r="ED659" s="335"/>
      <c r="EE659" s="335"/>
      <c r="EF659" s="335"/>
      <c r="EG659" s="335"/>
      <c r="EH659" s="335"/>
      <c r="EI659" s="335"/>
      <c r="EJ659" s="335"/>
      <c r="EK659" s="335"/>
      <c r="EL659" s="335"/>
      <c r="EM659" s="335"/>
      <c r="EN659" s="335"/>
      <c r="EO659" s="335"/>
      <c r="EP659" s="335"/>
      <c r="EQ659" s="335"/>
      <c r="ER659" s="335"/>
      <c r="ES659" s="335"/>
      <c r="ET659" s="335"/>
      <c r="EU659" s="335"/>
      <c r="EV659" s="335"/>
      <c r="EW659" s="335"/>
      <c r="EX659" s="335"/>
      <c r="EY659" s="335"/>
      <c r="EZ659" s="335"/>
      <c r="FA659" s="335"/>
      <c r="FB659" s="335"/>
      <c r="FC659" s="335"/>
      <c r="FD659" s="335"/>
      <c r="FE659" s="335"/>
      <c r="FF659" s="335"/>
      <c r="FG659" s="335"/>
      <c r="FH659" s="335"/>
      <c r="FI659" s="335"/>
      <c r="FJ659" s="335"/>
      <c r="FK659" s="335"/>
      <c r="FL659" s="335"/>
      <c r="FM659" s="335"/>
      <c r="FN659" s="335"/>
      <c r="FO659" s="335"/>
      <c r="FP659" s="335"/>
      <c r="FQ659" s="335"/>
      <c r="FR659" s="335"/>
      <c r="FS659" s="335"/>
      <c r="FT659" s="335"/>
      <c r="FU659" s="335"/>
      <c r="FV659" s="335"/>
      <c r="FW659" s="335"/>
      <c r="FX659" s="335"/>
      <c r="FY659" s="335"/>
      <c r="FZ659" s="335"/>
      <c r="GA659" s="335"/>
      <c r="GB659" s="335"/>
      <c r="GC659" s="335"/>
      <c r="GD659" s="335"/>
      <c r="GE659" s="335"/>
      <c r="GF659" s="335"/>
      <c r="GG659" s="335"/>
      <c r="GH659" s="335"/>
      <c r="GI659" s="335"/>
      <c r="GJ659" s="335"/>
      <c r="GK659" s="335"/>
      <c r="GL659" s="335"/>
      <c r="GM659" s="335"/>
      <c r="GN659" s="335"/>
      <c r="GO659" s="335"/>
      <c r="GP659" s="335"/>
      <c r="GQ659" s="335"/>
      <c r="GR659" s="335"/>
      <c r="GS659" s="335"/>
      <c r="GT659" s="335"/>
      <c r="GU659" s="335"/>
      <c r="GV659" s="335"/>
      <c r="GW659" s="335"/>
      <c r="GX659" s="335"/>
      <c r="GY659" s="335"/>
      <c r="GZ659" s="335"/>
    </row>
    <row r="660" spans="1:208" ht="15">
      <c r="A660" s="379"/>
      <c r="B660" s="335"/>
      <c r="C660" s="335"/>
      <c r="D660" s="335"/>
      <c r="E660" s="335"/>
      <c r="F660" s="335"/>
      <c r="G660" s="335"/>
      <c r="H660" s="335"/>
      <c r="I660" s="335"/>
      <c r="J660" s="335"/>
      <c r="K660" s="335"/>
      <c r="L660" s="335"/>
      <c r="M660" s="376"/>
      <c r="N660" s="335"/>
      <c r="O660" s="380"/>
      <c r="P660" s="335"/>
      <c r="Q660" s="335"/>
      <c r="R660" s="335"/>
      <c r="S660" s="335"/>
      <c r="T660" s="335"/>
      <c r="U660" s="335"/>
      <c r="V660" s="335"/>
      <c r="W660" s="335"/>
      <c r="X660" s="335"/>
      <c r="Y660" s="335"/>
      <c r="Z660" s="335"/>
      <c r="AA660" s="335"/>
      <c r="AB660" s="335"/>
      <c r="AC660" s="335"/>
      <c r="AD660" s="335"/>
      <c r="AE660" s="335"/>
      <c r="AF660" s="335"/>
      <c r="AG660" s="335"/>
      <c r="AH660" s="335"/>
      <c r="AI660" s="335"/>
      <c r="AJ660" s="335"/>
      <c r="AK660" s="335"/>
      <c r="AL660" s="335"/>
      <c r="AM660" s="335"/>
      <c r="AN660" s="335"/>
      <c r="AO660" s="335"/>
      <c r="AP660" s="335"/>
      <c r="AQ660" s="335"/>
      <c r="AR660" s="335"/>
      <c r="AS660" s="335"/>
      <c r="AT660" s="335"/>
      <c r="AU660" s="335"/>
      <c r="AV660" s="335"/>
      <c r="AW660" s="335"/>
      <c r="AX660" s="335"/>
      <c r="AY660" s="335"/>
      <c r="AZ660" s="335"/>
      <c r="BA660" s="335"/>
      <c r="BB660" s="335"/>
      <c r="BC660" s="335"/>
      <c r="BD660" s="335"/>
      <c r="BE660" s="335"/>
      <c r="BF660" s="335"/>
      <c r="BG660" s="335"/>
      <c r="BH660" s="335"/>
      <c r="BI660" s="335"/>
      <c r="BJ660" s="335"/>
      <c r="BK660" s="335"/>
      <c r="BL660" s="335"/>
      <c r="BM660" s="335"/>
      <c r="BN660" s="335"/>
      <c r="BO660" s="335"/>
      <c r="BP660" s="335"/>
      <c r="BQ660" s="335"/>
      <c r="BR660" s="335"/>
      <c r="BS660" s="335"/>
      <c r="BT660" s="335"/>
      <c r="BU660" s="335"/>
      <c r="BV660" s="335"/>
      <c r="BW660" s="335"/>
      <c r="BX660" s="335"/>
      <c r="BY660" s="335"/>
      <c r="BZ660" s="335"/>
      <c r="CA660" s="335"/>
      <c r="CB660" s="335"/>
      <c r="CC660" s="335"/>
      <c r="CD660" s="335"/>
      <c r="CE660" s="335"/>
      <c r="CF660" s="335"/>
      <c r="CG660" s="335"/>
      <c r="CH660" s="335"/>
      <c r="CI660" s="335"/>
      <c r="CJ660" s="335"/>
      <c r="CK660" s="335"/>
      <c r="CL660" s="335"/>
      <c r="CM660" s="335"/>
      <c r="CN660" s="335"/>
      <c r="CO660" s="335"/>
      <c r="CP660" s="335"/>
      <c r="CQ660" s="335"/>
      <c r="CR660" s="335"/>
      <c r="CS660" s="335"/>
      <c r="CT660" s="335"/>
      <c r="CU660" s="335"/>
      <c r="CV660" s="335"/>
      <c r="CW660" s="335"/>
      <c r="CX660" s="335"/>
      <c r="CY660" s="335"/>
      <c r="CZ660" s="335"/>
      <c r="DA660" s="335"/>
      <c r="DB660" s="335"/>
      <c r="DC660" s="335"/>
      <c r="DD660" s="335"/>
      <c r="DE660" s="335"/>
      <c r="DF660" s="335"/>
      <c r="DG660" s="335"/>
      <c r="DH660" s="335"/>
      <c r="DI660" s="335"/>
      <c r="DJ660" s="335"/>
      <c r="DK660" s="335"/>
      <c r="DL660" s="335"/>
      <c r="DM660" s="335"/>
      <c r="DN660" s="335"/>
      <c r="DO660" s="335"/>
      <c r="DP660" s="335"/>
      <c r="DQ660" s="335"/>
      <c r="DR660" s="335"/>
      <c r="DS660" s="335"/>
      <c r="DT660" s="335"/>
      <c r="DU660" s="335"/>
      <c r="DV660" s="335"/>
      <c r="DW660" s="335"/>
      <c r="DX660" s="335"/>
      <c r="DY660" s="335"/>
      <c r="DZ660" s="335"/>
      <c r="EA660" s="335"/>
      <c r="EB660" s="335"/>
      <c r="EC660" s="335"/>
      <c r="ED660" s="335"/>
      <c r="EE660" s="335"/>
      <c r="EF660" s="335"/>
      <c r="EG660" s="335"/>
      <c r="EH660" s="335"/>
      <c r="EI660" s="335"/>
      <c r="EJ660" s="335"/>
      <c r="EK660" s="335"/>
      <c r="EL660" s="335"/>
      <c r="EM660" s="335"/>
      <c r="EN660" s="335"/>
      <c r="EO660" s="335"/>
      <c r="EP660" s="335"/>
      <c r="EQ660" s="335"/>
      <c r="ER660" s="335"/>
      <c r="ES660" s="335"/>
      <c r="ET660" s="335"/>
      <c r="EU660" s="335"/>
      <c r="EV660" s="335"/>
      <c r="EW660" s="335"/>
      <c r="EX660" s="335"/>
      <c r="EY660" s="335"/>
      <c r="EZ660" s="335"/>
      <c r="FA660" s="335"/>
      <c r="FB660" s="335"/>
      <c r="FC660" s="335"/>
      <c r="FD660" s="335"/>
      <c r="FE660" s="335"/>
      <c r="FF660" s="335"/>
      <c r="FG660" s="335"/>
      <c r="FH660" s="335"/>
      <c r="FI660" s="335"/>
      <c r="FJ660" s="335"/>
      <c r="FK660" s="335"/>
      <c r="FL660" s="335"/>
      <c r="FM660" s="335"/>
      <c r="FN660" s="335"/>
      <c r="FO660" s="335"/>
      <c r="FP660" s="335"/>
      <c r="FQ660" s="335"/>
      <c r="FR660" s="335"/>
      <c r="FS660" s="335"/>
      <c r="FT660" s="335"/>
      <c r="FU660" s="335"/>
      <c r="FV660" s="335"/>
      <c r="FW660" s="335"/>
      <c r="FX660" s="335"/>
      <c r="FY660" s="335"/>
      <c r="FZ660" s="335"/>
      <c r="GA660" s="335"/>
      <c r="GB660" s="335"/>
      <c r="GC660" s="335"/>
      <c r="GD660" s="335"/>
      <c r="GE660" s="335"/>
      <c r="GF660" s="335"/>
      <c r="GG660" s="335"/>
      <c r="GH660" s="335"/>
      <c r="GI660" s="335"/>
      <c r="GJ660" s="335"/>
      <c r="GK660" s="335"/>
      <c r="GL660" s="335"/>
      <c r="GM660" s="335"/>
      <c r="GN660" s="335"/>
      <c r="GO660" s="335"/>
      <c r="GP660" s="335"/>
      <c r="GQ660" s="335"/>
      <c r="GR660" s="335"/>
      <c r="GS660" s="335"/>
      <c r="GT660" s="335"/>
      <c r="GU660" s="335"/>
      <c r="GV660" s="335"/>
      <c r="GW660" s="335"/>
      <c r="GX660" s="335"/>
      <c r="GY660" s="335"/>
      <c r="GZ660" s="335"/>
    </row>
    <row r="661" spans="1:208" ht="15">
      <c r="A661" s="379"/>
      <c r="B661" s="335"/>
      <c r="C661" s="335"/>
      <c r="D661" s="335"/>
      <c r="E661" s="335"/>
      <c r="F661" s="335"/>
      <c r="G661" s="335"/>
      <c r="H661" s="335"/>
      <c r="I661" s="335"/>
      <c r="J661" s="335"/>
      <c r="K661" s="335"/>
      <c r="L661" s="335"/>
      <c r="M661" s="376"/>
      <c r="N661" s="335"/>
      <c r="O661" s="380"/>
      <c r="P661" s="335"/>
      <c r="Q661" s="335"/>
      <c r="R661" s="335"/>
      <c r="S661" s="335"/>
      <c r="T661" s="335"/>
      <c r="U661" s="335"/>
      <c r="V661" s="335"/>
      <c r="W661" s="335"/>
      <c r="X661" s="335"/>
      <c r="Y661" s="335"/>
      <c r="Z661" s="335"/>
      <c r="AA661" s="335"/>
      <c r="AB661" s="335"/>
      <c r="AC661" s="335"/>
      <c r="AD661" s="335"/>
      <c r="AE661" s="335"/>
      <c r="AF661" s="335"/>
      <c r="AG661" s="335"/>
      <c r="AH661" s="335"/>
      <c r="AI661" s="335"/>
      <c r="AJ661" s="335"/>
      <c r="AK661" s="335"/>
      <c r="AL661" s="335"/>
      <c r="AM661" s="335"/>
      <c r="AN661" s="335"/>
      <c r="AO661" s="335"/>
      <c r="AP661" s="335"/>
      <c r="AQ661" s="335"/>
      <c r="AR661" s="335"/>
      <c r="AS661" s="335"/>
      <c r="AT661" s="335"/>
      <c r="AU661" s="335"/>
      <c r="AV661" s="335"/>
      <c r="AW661" s="335"/>
      <c r="AX661" s="335"/>
      <c r="AY661" s="335"/>
      <c r="AZ661" s="335"/>
      <c r="BA661" s="335"/>
      <c r="BB661" s="335"/>
      <c r="BC661" s="335"/>
      <c r="BD661" s="335"/>
      <c r="BE661" s="335"/>
      <c r="BF661" s="335"/>
      <c r="BG661" s="335"/>
      <c r="BH661" s="335"/>
      <c r="BI661" s="335"/>
      <c r="BJ661" s="335"/>
      <c r="BK661" s="335"/>
      <c r="BL661" s="335"/>
      <c r="BM661" s="335"/>
      <c r="BN661" s="335"/>
      <c r="BO661" s="335"/>
      <c r="BP661" s="335"/>
      <c r="BQ661" s="335"/>
      <c r="BR661" s="335"/>
      <c r="BS661" s="335"/>
      <c r="BT661" s="335"/>
      <c r="BU661" s="335"/>
      <c r="BV661" s="335"/>
      <c r="BW661" s="335"/>
      <c r="BX661" s="335"/>
      <c r="BY661" s="335"/>
      <c r="BZ661" s="335"/>
      <c r="CA661" s="335"/>
      <c r="CB661" s="335"/>
      <c r="CC661" s="335"/>
      <c r="CD661" s="335"/>
      <c r="CE661" s="335"/>
      <c r="CF661" s="335"/>
      <c r="CG661" s="335"/>
      <c r="CH661" s="335"/>
      <c r="CI661" s="335"/>
      <c r="CJ661" s="335"/>
      <c r="CK661" s="335"/>
      <c r="CL661" s="335"/>
      <c r="CM661" s="335"/>
      <c r="CN661" s="335"/>
      <c r="CO661" s="335"/>
      <c r="CP661" s="335"/>
      <c r="CQ661" s="335"/>
      <c r="CR661" s="335"/>
      <c r="CS661" s="335"/>
      <c r="CT661" s="335"/>
      <c r="CU661" s="335"/>
      <c r="CV661" s="335"/>
      <c r="CW661" s="335"/>
      <c r="CX661" s="335"/>
      <c r="CY661" s="335"/>
      <c r="CZ661" s="335"/>
      <c r="DA661" s="335"/>
      <c r="DB661" s="335"/>
      <c r="DC661" s="335"/>
      <c r="DD661" s="335"/>
      <c r="DE661" s="335"/>
      <c r="DF661" s="335"/>
      <c r="DG661" s="335"/>
      <c r="DH661" s="335"/>
      <c r="DI661" s="335"/>
      <c r="DJ661" s="335"/>
      <c r="DK661" s="335"/>
      <c r="DL661" s="335"/>
      <c r="DM661" s="335"/>
      <c r="DN661" s="335"/>
      <c r="DO661" s="335"/>
      <c r="DP661" s="335"/>
      <c r="DQ661" s="335"/>
      <c r="DR661" s="335"/>
      <c r="DS661" s="335"/>
      <c r="DT661" s="335"/>
      <c r="DU661" s="335"/>
      <c r="DV661" s="335"/>
      <c r="DW661" s="335"/>
      <c r="DX661" s="335"/>
      <c r="DY661" s="335"/>
      <c r="DZ661" s="335"/>
      <c r="EA661" s="335"/>
      <c r="EB661" s="335"/>
      <c r="EC661" s="335"/>
      <c r="ED661" s="335"/>
      <c r="EE661" s="335"/>
      <c r="EF661" s="335"/>
      <c r="EG661" s="335"/>
      <c r="EH661" s="335"/>
      <c r="EI661" s="335"/>
      <c r="EJ661" s="335"/>
      <c r="EK661" s="335"/>
      <c r="EL661" s="335"/>
      <c r="EM661" s="335"/>
      <c r="EN661" s="335"/>
      <c r="EO661" s="335"/>
      <c r="EP661" s="335"/>
      <c r="EQ661" s="335"/>
      <c r="ER661" s="335"/>
      <c r="ES661" s="335"/>
      <c r="ET661" s="335"/>
      <c r="EU661" s="335"/>
      <c r="EV661" s="335"/>
      <c r="EW661" s="335"/>
      <c r="EX661" s="335"/>
      <c r="EY661" s="335"/>
      <c r="EZ661" s="335"/>
      <c r="FA661" s="335"/>
      <c r="FB661" s="335"/>
      <c r="FC661" s="335"/>
      <c r="FD661" s="335"/>
      <c r="FE661" s="335"/>
      <c r="FF661" s="335"/>
      <c r="FG661" s="335"/>
      <c r="FH661" s="335"/>
      <c r="FI661" s="335"/>
      <c r="FJ661" s="335"/>
      <c r="FK661" s="335"/>
      <c r="FL661" s="335"/>
      <c r="FM661" s="335"/>
      <c r="FN661" s="335"/>
      <c r="FO661" s="335"/>
      <c r="FP661" s="335"/>
      <c r="FQ661" s="335"/>
      <c r="FR661" s="335"/>
      <c r="FS661" s="335"/>
      <c r="FT661" s="335"/>
      <c r="FU661" s="335"/>
      <c r="FV661" s="335"/>
      <c r="FW661" s="335"/>
      <c r="FX661" s="335"/>
      <c r="FY661" s="335"/>
      <c r="FZ661" s="335"/>
      <c r="GA661" s="335"/>
      <c r="GB661" s="335"/>
      <c r="GC661" s="335"/>
      <c r="GD661" s="335"/>
      <c r="GE661" s="335"/>
      <c r="GF661" s="335"/>
      <c r="GG661" s="335"/>
      <c r="GH661" s="335"/>
      <c r="GI661" s="335"/>
      <c r="GJ661" s="335"/>
      <c r="GK661" s="335"/>
      <c r="GL661" s="335"/>
      <c r="GM661" s="335"/>
      <c r="GN661" s="335"/>
      <c r="GO661" s="335"/>
      <c r="GP661" s="335"/>
      <c r="GQ661" s="335"/>
      <c r="GR661" s="335"/>
      <c r="GS661" s="335"/>
      <c r="GT661" s="335"/>
      <c r="GU661" s="335"/>
      <c r="GV661" s="335"/>
      <c r="GW661" s="335"/>
      <c r="GX661" s="335"/>
      <c r="GY661" s="335"/>
      <c r="GZ661" s="335"/>
    </row>
    <row r="662" spans="1:208" ht="15">
      <c r="A662" s="379"/>
      <c r="B662" s="335"/>
      <c r="C662" s="335"/>
      <c r="D662" s="335"/>
      <c r="E662" s="335"/>
      <c r="F662" s="335"/>
      <c r="G662" s="335"/>
      <c r="H662" s="335"/>
      <c r="I662" s="335"/>
      <c r="J662" s="335"/>
      <c r="K662" s="335"/>
      <c r="L662" s="335"/>
      <c r="M662" s="376"/>
      <c r="N662" s="335"/>
      <c r="O662" s="380"/>
      <c r="P662" s="335"/>
      <c r="Q662" s="335"/>
      <c r="R662" s="335"/>
      <c r="S662" s="335"/>
      <c r="T662" s="335"/>
      <c r="U662" s="335"/>
      <c r="V662" s="335"/>
      <c r="W662" s="335"/>
      <c r="X662" s="335"/>
      <c r="Y662" s="335"/>
      <c r="Z662" s="335"/>
      <c r="AA662" s="335"/>
      <c r="AB662" s="335"/>
      <c r="AC662" s="335"/>
      <c r="AD662" s="335"/>
      <c r="AE662" s="335"/>
      <c r="AF662" s="335"/>
      <c r="AG662" s="335"/>
      <c r="AH662" s="335"/>
      <c r="AI662" s="335"/>
      <c r="AJ662" s="335"/>
      <c r="AK662" s="335"/>
      <c r="AL662" s="335"/>
      <c r="AM662" s="335"/>
      <c r="AN662" s="335"/>
      <c r="AO662" s="335"/>
      <c r="AP662" s="335"/>
      <c r="AQ662" s="335"/>
      <c r="AR662" s="335"/>
      <c r="AS662" s="335"/>
      <c r="AT662" s="335"/>
      <c r="AU662" s="335"/>
      <c r="AV662" s="335"/>
      <c r="AW662" s="335"/>
      <c r="AX662" s="335"/>
      <c r="AY662" s="335"/>
      <c r="AZ662" s="335"/>
      <c r="BA662" s="335"/>
      <c r="BB662" s="335"/>
      <c r="BC662" s="335"/>
      <c r="BD662" s="335"/>
      <c r="BE662" s="335"/>
      <c r="BF662" s="335"/>
      <c r="BG662" s="335"/>
      <c r="BH662" s="335"/>
      <c r="BI662" s="335"/>
      <c r="BJ662" s="335"/>
      <c r="BK662" s="335"/>
      <c r="BL662" s="335"/>
      <c r="BM662" s="335"/>
      <c r="BN662" s="335"/>
      <c r="BO662" s="335"/>
      <c r="BP662" s="335"/>
      <c r="BQ662" s="335"/>
      <c r="BR662" s="335"/>
      <c r="BS662" s="335"/>
      <c r="BT662" s="335"/>
      <c r="BU662" s="335"/>
      <c r="BV662" s="335"/>
      <c r="BW662" s="335"/>
      <c r="BX662" s="335"/>
      <c r="BY662" s="335"/>
      <c r="BZ662" s="335"/>
      <c r="CA662" s="335"/>
      <c r="CB662" s="335"/>
      <c r="CC662" s="335"/>
      <c r="CD662" s="335"/>
      <c r="CE662" s="335"/>
      <c r="CF662" s="335"/>
      <c r="CG662" s="335"/>
      <c r="CH662" s="335"/>
      <c r="CI662" s="335"/>
      <c r="CJ662" s="335"/>
      <c r="CK662" s="335"/>
      <c r="CL662" s="335"/>
      <c r="CM662" s="335"/>
      <c r="CN662" s="335"/>
      <c r="CO662" s="335"/>
      <c r="CP662" s="335"/>
      <c r="CQ662" s="335"/>
      <c r="CR662" s="335"/>
      <c r="CS662" s="335"/>
      <c r="CT662" s="335"/>
      <c r="CU662" s="335"/>
      <c r="CV662" s="335"/>
      <c r="CW662" s="335"/>
      <c r="CX662" s="335"/>
      <c r="CY662" s="335"/>
      <c r="CZ662" s="335"/>
      <c r="DA662" s="335"/>
      <c r="DB662" s="335"/>
      <c r="DC662" s="335"/>
      <c r="DD662" s="335"/>
      <c r="DE662" s="335"/>
      <c r="DF662" s="335"/>
      <c r="DG662" s="335"/>
      <c r="DH662" s="335"/>
      <c r="DI662" s="335"/>
      <c r="DJ662" s="335"/>
      <c r="DK662" s="335"/>
      <c r="DL662" s="335"/>
      <c r="DM662" s="335"/>
      <c r="DN662" s="335"/>
      <c r="DO662" s="335"/>
      <c r="DP662" s="335"/>
      <c r="DQ662" s="335"/>
      <c r="DR662" s="335"/>
      <c r="DS662" s="335"/>
      <c r="DT662" s="335"/>
      <c r="DU662" s="335"/>
      <c r="DV662" s="335"/>
      <c r="DW662" s="335"/>
      <c r="DX662" s="335"/>
      <c r="DY662" s="335"/>
      <c r="DZ662" s="335"/>
      <c r="EA662" s="335"/>
      <c r="EB662" s="335"/>
      <c r="EC662" s="335"/>
      <c r="ED662" s="335"/>
      <c r="EE662" s="335"/>
      <c r="EF662" s="335"/>
      <c r="EG662" s="335"/>
      <c r="EH662" s="335"/>
      <c r="EI662" s="335"/>
      <c r="EJ662" s="335"/>
      <c r="EK662" s="335"/>
      <c r="EL662" s="335"/>
      <c r="EM662" s="335"/>
      <c r="EN662" s="335"/>
      <c r="EO662" s="335"/>
      <c r="EP662" s="335"/>
      <c r="EQ662" s="335"/>
      <c r="ER662" s="335"/>
      <c r="ES662" s="335"/>
      <c r="ET662" s="335"/>
      <c r="EU662" s="335"/>
      <c r="EV662" s="335"/>
      <c r="EW662" s="335"/>
      <c r="EX662" s="335"/>
      <c r="EY662" s="335"/>
      <c r="EZ662" s="335"/>
      <c r="FA662" s="335"/>
      <c r="FB662" s="335"/>
      <c r="FC662" s="335"/>
      <c r="FD662" s="335"/>
      <c r="FE662" s="335"/>
      <c r="FF662" s="335"/>
      <c r="FG662" s="335"/>
      <c r="FH662" s="335"/>
      <c r="FI662" s="335"/>
      <c r="FJ662" s="335"/>
      <c r="FK662" s="335"/>
      <c r="FL662" s="335"/>
      <c r="FM662" s="335"/>
      <c r="FN662" s="335"/>
      <c r="FO662" s="335"/>
      <c r="FP662" s="335"/>
      <c r="FQ662" s="335"/>
      <c r="FR662" s="335"/>
      <c r="FS662" s="335"/>
      <c r="FT662" s="335"/>
      <c r="FU662" s="335"/>
      <c r="FV662" s="335"/>
      <c r="FW662" s="335"/>
      <c r="FX662" s="335"/>
      <c r="FY662" s="335"/>
      <c r="FZ662" s="335"/>
      <c r="GA662" s="335"/>
      <c r="GB662" s="335"/>
      <c r="GC662" s="335"/>
      <c r="GD662" s="335"/>
      <c r="GE662" s="335"/>
      <c r="GF662" s="335"/>
      <c r="GG662" s="335"/>
      <c r="GH662" s="335"/>
      <c r="GI662" s="335"/>
      <c r="GJ662" s="335"/>
      <c r="GK662" s="335"/>
      <c r="GL662" s="335"/>
      <c r="GM662" s="335"/>
      <c r="GN662" s="335"/>
      <c r="GO662" s="335"/>
      <c r="GP662" s="335"/>
      <c r="GQ662" s="335"/>
      <c r="GR662" s="335"/>
      <c r="GS662" s="335"/>
      <c r="GT662" s="335"/>
      <c r="GU662" s="335"/>
      <c r="GV662" s="335"/>
      <c r="GW662" s="335"/>
      <c r="GX662" s="335"/>
      <c r="GY662" s="335"/>
      <c r="GZ662" s="335"/>
    </row>
    <row r="663" spans="1:208" ht="15">
      <c r="A663" s="379"/>
      <c r="B663" s="335"/>
      <c r="C663" s="335"/>
      <c r="D663" s="335"/>
      <c r="E663" s="335"/>
      <c r="F663" s="335"/>
      <c r="G663" s="335"/>
      <c r="H663" s="335"/>
      <c r="I663" s="335"/>
      <c r="J663" s="335"/>
      <c r="K663" s="335"/>
      <c r="L663" s="335"/>
      <c r="M663" s="376"/>
      <c r="N663" s="335"/>
      <c r="O663" s="380"/>
      <c r="P663" s="335"/>
      <c r="Q663" s="335"/>
      <c r="R663" s="335"/>
      <c r="S663" s="335"/>
      <c r="T663" s="335"/>
      <c r="U663" s="335"/>
      <c r="V663" s="335"/>
      <c r="W663" s="335"/>
      <c r="X663" s="335"/>
      <c r="Y663" s="335"/>
      <c r="Z663" s="335"/>
      <c r="AA663" s="335"/>
      <c r="AB663" s="335"/>
      <c r="AC663" s="335"/>
      <c r="AD663" s="335"/>
      <c r="AE663" s="335"/>
      <c r="AF663" s="335"/>
      <c r="AG663" s="335"/>
      <c r="AH663" s="335"/>
      <c r="AI663" s="335"/>
      <c r="AJ663" s="335"/>
      <c r="AK663" s="335"/>
      <c r="AL663" s="335"/>
      <c r="AM663" s="335"/>
      <c r="AN663" s="335"/>
      <c r="AO663" s="335"/>
      <c r="AP663" s="335"/>
      <c r="AQ663" s="335"/>
      <c r="AR663" s="335"/>
      <c r="AS663" s="335"/>
      <c r="AT663" s="335"/>
      <c r="AU663" s="335"/>
      <c r="AV663" s="335"/>
      <c r="AW663" s="335"/>
      <c r="AX663" s="335"/>
      <c r="AY663" s="335"/>
      <c r="AZ663" s="335"/>
      <c r="BA663" s="335"/>
      <c r="BB663" s="335"/>
      <c r="BC663" s="335"/>
      <c r="BD663" s="335"/>
      <c r="BE663" s="335"/>
      <c r="BF663" s="335"/>
      <c r="BG663" s="335"/>
      <c r="BH663" s="335"/>
      <c r="BI663" s="335"/>
      <c r="BJ663" s="335"/>
      <c r="BK663" s="335"/>
      <c r="BL663" s="335"/>
      <c r="BM663" s="335"/>
      <c r="BN663" s="335"/>
      <c r="BO663" s="335"/>
      <c r="BP663" s="335"/>
      <c r="BQ663" s="335"/>
      <c r="BR663" s="335"/>
      <c r="BS663" s="335"/>
      <c r="BT663" s="335"/>
      <c r="BU663" s="335"/>
      <c r="BV663" s="335"/>
      <c r="BW663" s="335"/>
      <c r="BX663" s="335"/>
      <c r="BY663" s="335"/>
      <c r="BZ663" s="335"/>
      <c r="CA663" s="335"/>
      <c r="CB663" s="335"/>
      <c r="CC663" s="335"/>
      <c r="CD663" s="335"/>
      <c r="CE663" s="335"/>
      <c r="CF663" s="335"/>
      <c r="CG663" s="335"/>
      <c r="CH663" s="335"/>
      <c r="CI663" s="335"/>
      <c r="CJ663" s="335"/>
      <c r="CK663" s="335"/>
      <c r="CL663" s="335"/>
      <c r="CM663" s="335"/>
      <c r="CN663" s="335"/>
      <c r="CO663" s="335"/>
      <c r="CP663" s="335"/>
      <c r="CQ663" s="335"/>
      <c r="CR663" s="335"/>
      <c r="CS663" s="335"/>
      <c r="CT663" s="335"/>
      <c r="CU663" s="335"/>
      <c r="CV663" s="335"/>
      <c r="CW663" s="335"/>
      <c r="CX663" s="335"/>
      <c r="CY663" s="335"/>
      <c r="CZ663" s="335"/>
      <c r="DA663" s="335"/>
      <c r="DB663" s="335"/>
      <c r="DC663" s="335"/>
      <c r="DD663" s="335"/>
      <c r="DE663" s="335"/>
      <c r="DF663" s="335"/>
      <c r="DG663" s="335"/>
      <c r="DH663" s="335"/>
      <c r="DI663" s="335"/>
      <c r="DJ663" s="335"/>
      <c r="DK663" s="335"/>
      <c r="DL663" s="335"/>
      <c r="DM663" s="335"/>
      <c r="DN663" s="335"/>
      <c r="DO663" s="335"/>
      <c r="DP663" s="335"/>
      <c r="DQ663" s="335"/>
      <c r="DR663" s="335"/>
      <c r="DS663" s="335"/>
      <c r="DT663" s="335"/>
      <c r="DU663" s="335"/>
      <c r="DV663" s="335"/>
      <c r="DW663" s="335"/>
      <c r="DX663" s="335"/>
      <c r="DY663" s="335"/>
      <c r="DZ663" s="335"/>
      <c r="EA663" s="335"/>
      <c r="EB663" s="335"/>
      <c r="EC663" s="335"/>
      <c r="ED663" s="335"/>
      <c r="EE663" s="335"/>
      <c r="EF663" s="335"/>
      <c r="EG663" s="335"/>
      <c r="EH663" s="335"/>
      <c r="EI663" s="335"/>
      <c r="EJ663" s="335"/>
      <c r="EK663" s="335"/>
      <c r="EL663" s="335"/>
      <c r="EM663" s="335"/>
      <c r="EN663" s="335"/>
      <c r="EO663" s="335"/>
      <c r="EP663" s="335"/>
      <c r="EQ663" s="335"/>
      <c r="ER663" s="335"/>
      <c r="ES663" s="335"/>
      <c r="ET663" s="335"/>
      <c r="EU663" s="335"/>
      <c r="EV663" s="335"/>
      <c r="EW663" s="335"/>
      <c r="EX663" s="335"/>
      <c r="EY663" s="335"/>
      <c r="EZ663" s="335"/>
      <c r="FA663" s="335"/>
      <c r="FB663" s="335"/>
      <c r="FC663" s="335"/>
      <c r="FD663" s="335"/>
      <c r="FE663" s="335"/>
      <c r="FF663" s="335"/>
      <c r="FG663" s="335"/>
      <c r="FH663" s="335"/>
      <c r="FI663" s="335"/>
      <c r="FJ663" s="335"/>
      <c r="FK663" s="335"/>
      <c r="FL663" s="335"/>
      <c r="FM663" s="335"/>
      <c r="FN663" s="335"/>
      <c r="FO663" s="335"/>
      <c r="FP663" s="335"/>
      <c r="FQ663" s="335"/>
      <c r="FR663" s="335"/>
      <c r="FS663" s="335"/>
      <c r="FT663" s="335"/>
      <c r="FU663" s="335"/>
      <c r="FV663" s="335"/>
      <c r="FW663" s="335"/>
      <c r="FX663" s="335"/>
      <c r="FY663" s="335"/>
      <c r="FZ663" s="335"/>
      <c r="GA663" s="335"/>
      <c r="GB663" s="335"/>
      <c r="GC663" s="335"/>
      <c r="GD663" s="335"/>
      <c r="GE663" s="335"/>
      <c r="GF663" s="335"/>
      <c r="GG663" s="335"/>
      <c r="GH663" s="335"/>
      <c r="GI663" s="335"/>
      <c r="GJ663" s="335"/>
      <c r="GK663" s="335"/>
      <c r="GL663" s="335"/>
      <c r="GM663" s="335"/>
      <c r="GN663" s="335"/>
      <c r="GO663" s="335"/>
      <c r="GP663" s="335"/>
      <c r="GQ663" s="335"/>
      <c r="GR663" s="335"/>
      <c r="GS663" s="335"/>
      <c r="GT663" s="335"/>
      <c r="GU663" s="335"/>
      <c r="GV663" s="335"/>
      <c r="GW663" s="335"/>
      <c r="GX663" s="335"/>
      <c r="GY663" s="335"/>
      <c r="GZ663" s="335"/>
    </row>
    <row r="664" spans="1:208" ht="15">
      <c r="A664" s="379"/>
      <c r="B664" s="335"/>
      <c r="C664" s="335"/>
      <c r="D664" s="335"/>
      <c r="E664" s="335"/>
      <c r="F664" s="335"/>
      <c r="G664" s="335"/>
      <c r="H664" s="335"/>
      <c r="I664" s="335"/>
      <c r="J664" s="335"/>
      <c r="K664" s="335"/>
      <c r="L664" s="335"/>
      <c r="M664" s="376"/>
      <c r="N664" s="335"/>
      <c r="O664" s="380"/>
      <c r="P664" s="335"/>
      <c r="Q664" s="335"/>
      <c r="R664" s="335"/>
      <c r="S664" s="335"/>
      <c r="T664" s="335"/>
      <c r="U664" s="335"/>
      <c r="V664" s="335"/>
      <c r="W664" s="335"/>
      <c r="X664" s="335"/>
      <c r="Y664" s="335"/>
      <c r="Z664" s="335"/>
      <c r="AA664" s="335"/>
      <c r="AB664" s="335"/>
      <c r="AC664" s="335"/>
      <c r="AD664" s="335"/>
      <c r="AE664" s="335"/>
      <c r="AF664" s="335"/>
      <c r="AG664" s="335"/>
      <c r="AH664" s="335"/>
      <c r="AI664" s="335"/>
      <c r="AJ664" s="335"/>
      <c r="AK664" s="335"/>
      <c r="AL664" s="335"/>
      <c r="AM664" s="335"/>
      <c r="AN664" s="335"/>
      <c r="AO664" s="335"/>
      <c r="AP664" s="335"/>
      <c r="AQ664" s="335"/>
      <c r="AR664" s="335"/>
      <c r="AS664" s="335"/>
      <c r="AT664" s="335"/>
      <c r="AU664" s="335"/>
      <c r="AV664" s="335"/>
      <c r="AW664" s="335"/>
      <c r="AX664" s="335"/>
      <c r="AY664" s="335"/>
      <c r="AZ664" s="335"/>
      <c r="BA664" s="335"/>
      <c r="BB664" s="335"/>
      <c r="BC664" s="335"/>
      <c r="BD664" s="335"/>
      <c r="BE664" s="335"/>
      <c r="BF664" s="335"/>
      <c r="BG664" s="335"/>
      <c r="BH664" s="335"/>
      <c r="BI664" s="335"/>
      <c r="BJ664" s="335"/>
      <c r="BK664" s="335"/>
      <c r="BL664" s="335"/>
      <c r="BM664" s="335"/>
      <c r="BN664" s="335"/>
      <c r="BO664" s="335"/>
      <c r="BP664" s="335"/>
      <c r="BQ664" s="335"/>
      <c r="BR664" s="335"/>
      <c r="BS664" s="335"/>
      <c r="BT664" s="335"/>
      <c r="BU664" s="335"/>
      <c r="BV664" s="335"/>
      <c r="BW664" s="335"/>
      <c r="BX664" s="335"/>
      <c r="BY664" s="335"/>
      <c r="BZ664" s="335"/>
      <c r="CA664" s="335"/>
      <c r="CB664" s="335"/>
      <c r="CC664" s="335"/>
      <c r="CD664" s="335"/>
      <c r="CE664" s="335"/>
      <c r="CF664" s="335"/>
      <c r="CG664" s="335"/>
      <c r="CH664" s="335"/>
      <c r="CI664" s="335"/>
      <c r="CJ664" s="335"/>
      <c r="CK664" s="335"/>
      <c r="CL664" s="335"/>
      <c r="CM664" s="335"/>
      <c r="CN664" s="335"/>
      <c r="CO664" s="335"/>
      <c r="CP664" s="335"/>
      <c r="CQ664" s="335"/>
      <c r="CR664" s="335"/>
      <c r="CS664" s="335"/>
      <c r="CT664" s="335"/>
      <c r="CU664" s="335"/>
      <c r="CV664" s="335"/>
      <c r="CW664" s="335"/>
      <c r="CX664" s="335"/>
      <c r="CY664" s="335"/>
      <c r="CZ664" s="335"/>
      <c r="DA664" s="335"/>
      <c r="DB664" s="335"/>
      <c r="DC664" s="335"/>
      <c r="DD664" s="335"/>
      <c r="DE664" s="335"/>
      <c r="DF664" s="335"/>
      <c r="DG664" s="335"/>
      <c r="DH664" s="335"/>
      <c r="DI664" s="335"/>
      <c r="DJ664" s="335"/>
      <c r="DK664" s="335"/>
      <c r="DL664" s="335"/>
      <c r="DM664" s="335"/>
      <c r="DN664" s="335"/>
      <c r="DO664" s="335"/>
      <c r="DP664" s="335"/>
      <c r="DQ664" s="335"/>
      <c r="DR664" s="335"/>
      <c r="DS664" s="335"/>
      <c r="DT664" s="335"/>
      <c r="DU664" s="335"/>
      <c r="DV664" s="335"/>
      <c r="DW664" s="335"/>
      <c r="DX664" s="335"/>
      <c r="DY664" s="335"/>
      <c r="DZ664" s="335"/>
      <c r="EA664" s="335"/>
      <c r="EB664" s="335"/>
      <c r="EC664" s="335"/>
      <c r="ED664" s="335"/>
      <c r="EE664" s="335"/>
      <c r="EF664" s="335"/>
      <c r="EG664" s="335"/>
      <c r="EH664" s="335"/>
      <c r="EI664" s="335"/>
      <c r="EJ664" s="335"/>
      <c r="EK664" s="335"/>
      <c r="EL664" s="335"/>
      <c r="EM664" s="335"/>
      <c r="EN664" s="335"/>
      <c r="EO664" s="335"/>
      <c r="EP664" s="335"/>
      <c r="EQ664" s="335"/>
      <c r="ER664" s="335"/>
      <c r="ES664" s="335"/>
      <c r="ET664" s="335"/>
      <c r="EU664" s="335"/>
      <c r="EV664" s="335"/>
      <c r="EW664" s="335"/>
      <c r="EX664" s="335"/>
      <c r="EY664" s="335"/>
      <c r="EZ664" s="335"/>
      <c r="FA664" s="335"/>
      <c r="FB664" s="335"/>
      <c r="FC664" s="335"/>
      <c r="FD664" s="335"/>
      <c r="FE664" s="335"/>
      <c r="FF664" s="335"/>
      <c r="FG664" s="335"/>
      <c r="FH664" s="335"/>
      <c r="FI664" s="335"/>
      <c r="FJ664" s="335"/>
      <c r="FK664" s="335"/>
      <c r="FL664" s="335"/>
      <c r="FM664" s="335"/>
      <c r="FN664" s="335"/>
      <c r="FO664" s="335"/>
      <c r="FP664" s="335"/>
      <c r="FQ664" s="335"/>
      <c r="FR664" s="335"/>
      <c r="FS664" s="335"/>
      <c r="FT664" s="335"/>
      <c r="FU664" s="335"/>
      <c r="FV664" s="335"/>
      <c r="FW664" s="335"/>
      <c r="FX664" s="335"/>
      <c r="FY664" s="335"/>
      <c r="FZ664" s="335"/>
      <c r="GA664" s="335"/>
      <c r="GB664" s="335"/>
      <c r="GC664" s="335"/>
      <c r="GD664" s="335"/>
      <c r="GE664" s="335"/>
      <c r="GF664" s="335"/>
      <c r="GG664" s="335"/>
      <c r="GH664" s="335"/>
      <c r="GI664" s="335"/>
      <c r="GJ664" s="335"/>
      <c r="GK664" s="335"/>
      <c r="GL664" s="335"/>
      <c r="GM664" s="335"/>
      <c r="GN664" s="335"/>
      <c r="GO664" s="335"/>
      <c r="GP664" s="335"/>
      <c r="GQ664" s="335"/>
      <c r="GR664" s="335"/>
      <c r="GS664" s="335"/>
      <c r="GT664" s="335"/>
      <c r="GU664" s="335"/>
      <c r="GV664" s="335"/>
      <c r="GW664" s="335"/>
      <c r="GX664" s="335"/>
      <c r="GY664" s="335"/>
      <c r="GZ664" s="335"/>
    </row>
    <row r="665" spans="1:208" ht="15">
      <c r="A665" s="379"/>
      <c r="B665" s="335"/>
      <c r="C665" s="335"/>
      <c r="D665" s="335"/>
      <c r="E665" s="335"/>
      <c r="F665" s="335"/>
      <c r="G665" s="335"/>
      <c r="H665" s="335"/>
      <c r="I665" s="335"/>
      <c r="J665" s="335"/>
      <c r="K665" s="335"/>
      <c r="L665" s="335"/>
      <c r="M665" s="376"/>
      <c r="N665" s="335"/>
      <c r="O665" s="380"/>
      <c r="P665" s="335"/>
      <c r="Q665" s="335"/>
      <c r="R665" s="335"/>
      <c r="S665" s="335"/>
      <c r="T665" s="335"/>
      <c r="U665" s="335"/>
      <c r="V665" s="335"/>
      <c r="W665" s="335"/>
      <c r="X665" s="335"/>
      <c r="Y665" s="335"/>
      <c r="Z665" s="335"/>
      <c r="AA665" s="335"/>
      <c r="AB665" s="335"/>
      <c r="AC665" s="335"/>
      <c r="AD665" s="335"/>
      <c r="AE665" s="335"/>
      <c r="AF665" s="335"/>
      <c r="AG665" s="335"/>
      <c r="AH665" s="335"/>
      <c r="AI665" s="335"/>
      <c r="AJ665" s="335"/>
      <c r="AK665" s="335"/>
      <c r="AL665" s="335"/>
      <c r="AM665" s="335"/>
      <c r="AN665" s="335"/>
      <c r="AO665" s="335"/>
      <c r="AP665" s="335"/>
      <c r="AQ665" s="335"/>
      <c r="AR665" s="335"/>
      <c r="AS665" s="335"/>
      <c r="AT665" s="335"/>
      <c r="AU665" s="335"/>
      <c r="AV665" s="335"/>
      <c r="AW665" s="335"/>
      <c r="AX665" s="335"/>
      <c r="AY665" s="335"/>
      <c r="AZ665" s="335"/>
      <c r="BA665" s="335"/>
      <c r="BB665" s="335"/>
      <c r="BC665" s="335"/>
      <c r="BD665" s="335"/>
      <c r="BE665" s="335"/>
      <c r="BF665" s="335"/>
      <c r="BG665" s="335"/>
      <c r="BH665" s="335"/>
      <c r="BI665" s="335"/>
      <c r="BJ665" s="335"/>
      <c r="BK665" s="335"/>
      <c r="BL665" s="335"/>
      <c r="BM665" s="335"/>
      <c r="BN665" s="335"/>
      <c r="BO665" s="335"/>
      <c r="BP665" s="335"/>
      <c r="BQ665" s="335"/>
      <c r="BR665" s="335"/>
      <c r="BS665" s="335"/>
      <c r="BT665" s="335"/>
      <c r="BU665" s="335"/>
      <c r="BV665" s="335"/>
      <c r="BW665" s="335"/>
      <c r="BX665" s="335"/>
      <c r="BY665" s="335"/>
      <c r="BZ665" s="335"/>
      <c r="CA665" s="335"/>
      <c r="CB665" s="335"/>
      <c r="CC665" s="335"/>
      <c r="CD665" s="335"/>
      <c r="CE665" s="335"/>
      <c r="CF665" s="335"/>
      <c r="CG665" s="335"/>
      <c r="CH665" s="335"/>
      <c r="CI665" s="335"/>
      <c r="CJ665" s="335"/>
      <c r="CK665" s="335"/>
      <c r="CL665" s="335"/>
      <c r="CM665" s="335"/>
      <c r="CN665" s="335"/>
      <c r="CO665" s="335"/>
      <c r="CP665" s="335"/>
      <c r="CQ665" s="335"/>
      <c r="CR665" s="335"/>
      <c r="CS665" s="335"/>
      <c r="CT665" s="335"/>
      <c r="CU665" s="335"/>
      <c r="CV665" s="335"/>
      <c r="CW665" s="335"/>
      <c r="CX665" s="335"/>
      <c r="CY665" s="335"/>
      <c r="CZ665" s="335"/>
      <c r="DA665" s="335"/>
      <c r="DB665" s="335"/>
      <c r="DC665" s="335"/>
      <c r="DD665" s="335"/>
      <c r="DE665" s="335"/>
      <c r="DF665" s="335"/>
      <c r="DG665" s="335"/>
      <c r="DH665" s="335"/>
      <c r="DI665" s="335"/>
      <c r="DJ665" s="335"/>
      <c r="DK665" s="335"/>
      <c r="DL665" s="335"/>
      <c r="DM665" s="335"/>
      <c r="DN665" s="335"/>
      <c r="DO665" s="335"/>
      <c r="DP665" s="335"/>
      <c r="DQ665" s="335"/>
      <c r="DR665" s="335"/>
      <c r="DS665" s="335"/>
      <c r="DT665" s="335"/>
      <c r="DU665" s="335"/>
      <c r="DV665" s="335"/>
      <c r="DW665" s="335"/>
      <c r="DX665" s="335"/>
      <c r="DY665" s="335"/>
      <c r="DZ665" s="335"/>
      <c r="EA665" s="335"/>
      <c r="EB665" s="335"/>
      <c r="EC665" s="335"/>
      <c r="ED665" s="335"/>
      <c r="EE665" s="335"/>
      <c r="EF665" s="335"/>
      <c r="EG665" s="335"/>
      <c r="EH665" s="335"/>
      <c r="EI665" s="335"/>
      <c r="EJ665" s="335"/>
      <c r="EK665" s="335"/>
      <c r="EL665" s="335"/>
      <c r="EM665" s="335"/>
      <c r="EN665" s="335"/>
      <c r="EO665" s="335"/>
      <c r="EP665" s="335"/>
      <c r="EQ665" s="335"/>
      <c r="ER665" s="335"/>
      <c r="ES665" s="335"/>
      <c r="ET665" s="335"/>
      <c r="EU665" s="335"/>
      <c r="EV665" s="335"/>
      <c r="EW665" s="335"/>
      <c r="EX665" s="335"/>
      <c r="EY665" s="335"/>
      <c r="EZ665" s="335"/>
      <c r="FA665" s="335"/>
      <c r="FB665" s="335"/>
      <c r="FC665" s="335"/>
      <c r="FD665" s="335"/>
      <c r="FE665" s="335"/>
      <c r="FF665" s="335"/>
      <c r="FG665" s="335"/>
      <c r="FH665" s="335"/>
      <c r="FI665" s="335"/>
      <c r="FJ665" s="335"/>
      <c r="FK665" s="335"/>
      <c r="FL665" s="335"/>
      <c r="FM665" s="335"/>
      <c r="FN665" s="335"/>
      <c r="FO665" s="335"/>
      <c r="FP665" s="335"/>
      <c r="FQ665" s="335"/>
      <c r="FR665" s="335"/>
      <c r="FS665" s="335"/>
      <c r="FT665" s="335"/>
      <c r="FU665" s="335"/>
      <c r="FV665" s="335"/>
      <c r="FW665" s="335"/>
      <c r="FX665" s="335"/>
      <c r="FY665" s="335"/>
      <c r="FZ665" s="335"/>
      <c r="GA665" s="335"/>
      <c r="GB665" s="335"/>
      <c r="GC665" s="335"/>
      <c r="GD665" s="335"/>
      <c r="GE665" s="335"/>
      <c r="GF665" s="335"/>
      <c r="GG665" s="335"/>
      <c r="GH665" s="335"/>
      <c r="GI665" s="335"/>
      <c r="GJ665" s="335"/>
      <c r="GK665" s="335"/>
      <c r="GL665" s="335"/>
      <c r="GM665" s="335"/>
      <c r="GN665" s="335"/>
      <c r="GO665" s="335"/>
      <c r="GP665" s="335"/>
      <c r="GQ665" s="335"/>
      <c r="GR665" s="335"/>
      <c r="GS665" s="335"/>
      <c r="GT665" s="335"/>
      <c r="GU665" s="335"/>
      <c r="GV665" s="335"/>
      <c r="GW665" s="335"/>
      <c r="GX665" s="335"/>
      <c r="GY665" s="335"/>
      <c r="GZ665" s="335"/>
    </row>
    <row r="666" spans="1:208" ht="15">
      <c r="A666" s="379"/>
      <c r="B666" s="335"/>
      <c r="C666" s="335"/>
      <c r="D666" s="335"/>
      <c r="E666" s="335"/>
      <c r="F666" s="335"/>
      <c r="G666" s="335"/>
      <c r="H666" s="335"/>
      <c r="I666" s="335"/>
      <c r="J666" s="335"/>
      <c r="K666" s="335"/>
      <c r="L666" s="335"/>
      <c r="M666" s="376"/>
      <c r="N666" s="335"/>
      <c r="O666" s="380"/>
      <c r="P666" s="335"/>
      <c r="Q666" s="335"/>
      <c r="R666" s="335"/>
      <c r="S666" s="335"/>
      <c r="T666" s="335"/>
      <c r="U666" s="335"/>
      <c r="V666" s="335"/>
      <c r="W666" s="335"/>
      <c r="X666" s="335"/>
      <c r="Y666" s="335"/>
      <c r="Z666" s="335"/>
      <c r="AA666" s="335"/>
      <c r="AB666" s="335"/>
      <c r="AC666" s="335"/>
      <c r="AD666" s="335"/>
      <c r="AE666" s="335"/>
      <c r="AF666" s="335"/>
      <c r="AG666" s="335"/>
      <c r="AH666" s="335"/>
      <c r="AI666" s="335"/>
      <c r="AJ666" s="335"/>
      <c r="AK666" s="335"/>
      <c r="AL666" s="335"/>
      <c r="AM666" s="335"/>
      <c r="AN666" s="335"/>
      <c r="AO666" s="335"/>
      <c r="AP666" s="335"/>
      <c r="AQ666" s="335"/>
      <c r="AR666" s="335"/>
      <c r="AS666" s="335"/>
      <c r="AT666" s="335"/>
      <c r="AU666" s="335"/>
      <c r="AV666" s="335"/>
      <c r="AW666" s="335"/>
      <c r="AX666" s="335"/>
      <c r="AY666" s="335"/>
      <c r="AZ666" s="335"/>
      <c r="BA666" s="335"/>
      <c r="BB666" s="335"/>
      <c r="BC666" s="335"/>
      <c r="BD666" s="335"/>
      <c r="BE666" s="335"/>
      <c r="BF666" s="335"/>
      <c r="BG666" s="335"/>
      <c r="BH666" s="335"/>
      <c r="BI666" s="335"/>
      <c r="BJ666" s="335"/>
      <c r="BK666" s="335"/>
      <c r="BL666" s="335"/>
      <c r="BM666" s="335"/>
      <c r="BN666" s="335"/>
      <c r="BO666" s="335"/>
      <c r="BP666" s="335"/>
      <c r="BQ666" s="335"/>
      <c r="BR666" s="335"/>
      <c r="BS666" s="335"/>
      <c r="BT666" s="335"/>
      <c r="BU666" s="335"/>
      <c r="BV666" s="335"/>
      <c r="BW666" s="335"/>
      <c r="BX666" s="335"/>
      <c r="BY666" s="335"/>
      <c r="BZ666" s="335"/>
      <c r="CA666" s="335"/>
      <c r="CB666" s="335"/>
      <c r="CC666" s="335"/>
      <c r="CD666" s="335"/>
      <c r="CE666" s="335"/>
      <c r="CF666" s="335"/>
      <c r="CG666" s="335"/>
      <c r="CH666" s="335"/>
      <c r="CI666" s="335"/>
      <c r="CJ666" s="335"/>
      <c r="CK666" s="335"/>
      <c r="CL666" s="335"/>
      <c r="CM666" s="335"/>
      <c r="CN666" s="335"/>
      <c r="CO666" s="335"/>
      <c r="CP666" s="335"/>
      <c r="CQ666" s="335"/>
      <c r="CR666" s="335"/>
      <c r="CS666" s="335"/>
      <c r="CT666" s="335"/>
      <c r="CU666" s="335"/>
      <c r="CV666" s="335"/>
      <c r="CW666" s="335"/>
      <c r="CX666" s="335"/>
      <c r="CY666" s="335"/>
      <c r="CZ666" s="335"/>
      <c r="DA666" s="335"/>
      <c r="DB666" s="335"/>
      <c r="DC666" s="335"/>
      <c r="DD666" s="335"/>
      <c r="DE666" s="335"/>
      <c r="DF666" s="335"/>
      <c r="DG666" s="335"/>
      <c r="DH666" s="335"/>
      <c r="DI666" s="335"/>
      <c r="DJ666" s="335"/>
      <c r="DK666" s="335"/>
      <c r="DL666" s="335"/>
      <c r="DM666" s="335"/>
      <c r="DN666" s="335"/>
      <c r="DO666" s="335"/>
      <c r="DP666" s="335"/>
      <c r="DQ666" s="335"/>
      <c r="DR666" s="335"/>
      <c r="DS666" s="335"/>
      <c r="DT666" s="335"/>
      <c r="DU666" s="335"/>
      <c r="DV666" s="335"/>
      <c r="DW666" s="335"/>
      <c r="DX666" s="335"/>
      <c r="DY666" s="335"/>
      <c r="DZ666" s="335"/>
      <c r="EA666" s="335"/>
      <c r="EB666" s="335"/>
      <c r="EC666" s="335"/>
      <c r="ED666" s="335"/>
      <c r="EE666" s="335"/>
      <c r="EF666" s="335"/>
      <c r="EG666" s="335"/>
      <c r="EH666" s="335"/>
      <c r="EI666" s="335"/>
      <c r="EJ666" s="335"/>
      <c r="EK666" s="335"/>
      <c r="EL666" s="335"/>
      <c r="EM666" s="335"/>
      <c r="EN666" s="335"/>
      <c r="EO666" s="335"/>
      <c r="EP666" s="335"/>
      <c r="EQ666" s="335"/>
      <c r="ER666" s="335"/>
      <c r="ES666" s="335"/>
      <c r="ET666" s="335"/>
      <c r="EU666" s="335"/>
      <c r="EV666" s="335"/>
      <c r="EW666" s="335"/>
      <c r="EX666" s="335"/>
      <c r="EY666" s="335"/>
      <c r="EZ666" s="335"/>
      <c r="FA666" s="335"/>
      <c r="FB666" s="335"/>
      <c r="FC666" s="335"/>
      <c r="FD666" s="335"/>
      <c r="FE666" s="335"/>
      <c r="FF666" s="335"/>
      <c r="FG666" s="335"/>
      <c r="FH666" s="335"/>
      <c r="FI666" s="335"/>
      <c r="FJ666" s="335"/>
      <c r="FK666" s="335"/>
      <c r="FL666" s="335"/>
      <c r="FM666" s="335"/>
      <c r="FN666" s="335"/>
      <c r="FO666" s="335"/>
      <c r="FP666" s="335"/>
      <c r="FQ666" s="335"/>
      <c r="FR666" s="335"/>
      <c r="FS666" s="335"/>
      <c r="FT666" s="335"/>
      <c r="FU666" s="335"/>
      <c r="FV666" s="335"/>
      <c r="FW666" s="335"/>
      <c r="FX666" s="335"/>
      <c r="FY666" s="335"/>
      <c r="FZ666" s="335"/>
      <c r="GA666" s="335"/>
      <c r="GB666" s="335"/>
      <c r="GC666" s="335"/>
      <c r="GD666" s="335"/>
      <c r="GE666" s="335"/>
      <c r="GF666" s="335"/>
      <c r="GG666" s="335"/>
      <c r="GH666" s="335"/>
      <c r="GI666" s="335"/>
      <c r="GJ666" s="335"/>
      <c r="GK666" s="335"/>
      <c r="GL666" s="335"/>
      <c r="GM666" s="335"/>
      <c r="GN666" s="335"/>
      <c r="GO666" s="335"/>
      <c r="GP666" s="335"/>
      <c r="GQ666" s="335"/>
      <c r="GR666" s="335"/>
      <c r="GS666" s="335"/>
      <c r="GT666" s="335"/>
      <c r="GU666" s="335"/>
      <c r="GV666" s="335"/>
      <c r="GW666" s="335"/>
      <c r="GX666" s="335"/>
      <c r="GY666" s="335"/>
      <c r="GZ666" s="335"/>
    </row>
    <row r="667" spans="1:208" ht="15">
      <c r="A667" s="379"/>
      <c r="B667" s="335"/>
      <c r="C667" s="335"/>
      <c r="D667" s="335"/>
      <c r="E667" s="335"/>
      <c r="F667" s="335"/>
      <c r="G667" s="335"/>
      <c r="H667" s="335"/>
      <c r="I667" s="335"/>
      <c r="J667" s="335"/>
      <c r="K667" s="335"/>
      <c r="L667" s="335"/>
      <c r="M667" s="376"/>
      <c r="N667" s="335"/>
      <c r="O667" s="380"/>
      <c r="P667" s="335"/>
      <c r="Q667" s="335"/>
      <c r="R667" s="335"/>
      <c r="S667" s="335"/>
      <c r="T667" s="335"/>
      <c r="U667" s="335"/>
      <c r="V667" s="335"/>
      <c r="W667" s="335"/>
      <c r="X667" s="335"/>
      <c r="Y667" s="335"/>
      <c r="Z667" s="335"/>
      <c r="AA667" s="335"/>
      <c r="AB667" s="335"/>
      <c r="AC667" s="335"/>
      <c r="AD667" s="335"/>
      <c r="AE667" s="335"/>
      <c r="AF667" s="335"/>
      <c r="AG667" s="335"/>
      <c r="AH667" s="335"/>
      <c r="AI667" s="335"/>
      <c r="AJ667" s="335"/>
      <c r="AK667" s="335"/>
      <c r="AL667" s="335"/>
      <c r="AM667" s="335"/>
      <c r="AN667" s="335"/>
      <c r="AO667" s="335"/>
      <c r="AP667" s="335"/>
      <c r="AQ667" s="335"/>
      <c r="AR667" s="335"/>
      <c r="AS667" s="335"/>
      <c r="AT667" s="335"/>
      <c r="AU667" s="335"/>
      <c r="AV667" s="335"/>
      <c r="AW667" s="335"/>
      <c r="AX667" s="335"/>
      <c r="AY667" s="335"/>
      <c r="AZ667" s="335"/>
      <c r="BA667" s="335"/>
      <c r="BB667" s="335"/>
      <c r="BC667" s="335"/>
      <c r="BD667" s="335"/>
      <c r="BE667" s="335"/>
      <c r="BF667" s="335"/>
      <c r="BG667" s="335"/>
      <c r="BH667" s="335"/>
      <c r="BI667" s="335"/>
      <c r="BJ667" s="335"/>
      <c r="BK667" s="335"/>
      <c r="BL667" s="335"/>
      <c r="BM667" s="335"/>
      <c r="BN667" s="335"/>
      <c r="BO667" s="335"/>
      <c r="BP667" s="335"/>
      <c r="BQ667" s="335"/>
      <c r="BR667" s="335"/>
      <c r="BS667" s="335"/>
      <c r="BT667" s="335"/>
      <c r="BU667" s="335"/>
      <c r="BV667" s="335"/>
      <c r="BW667" s="335"/>
      <c r="BX667" s="335"/>
      <c r="BY667" s="335"/>
      <c r="BZ667" s="335"/>
      <c r="CA667" s="335"/>
      <c r="CB667" s="335"/>
      <c r="CC667" s="335"/>
      <c r="CD667" s="335"/>
      <c r="CE667" s="335"/>
      <c r="CF667" s="335"/>
      <c r="CG667" s="335"/>
      <c r="CH667" s="335"/>
      <c r="CI667" s="335"/>
      <c r="CJ667" s="335"/>
      <c r="CK667" s="335"/>
      <c r="CL667" s="335"/>
      <c r="CM667" s="335"/>
      <c r="CN667" s="335"/>
      <c r="CO667" s="335"/>
      <c r="CP667" s="335"/>
      <c r="CQ667" s="335"/>
      <c r="CR667" s="335"/>
      <c r="CS667" s="335"/>
      <c r="CT667" s="335"/>
      <c r="CU667" s="335"/>
      <c r="CV667" s="335"/>
      <c r="CW667" s="335"/>
      <c r="CX667" s="335"/>
      <c r="CY667" s="335"/>
      <c r="CZ667" s="335"/>
      <c r="DA667" s="335"/>
      <c r="DB667" s="335"/>
      <c r="DC667" s="335"/>
      <c r="DD667" s="335"/>
      <c r="DE667" s="335"/>
      <c r="DF667" s="335"/>
      <c r="DG667" s="335"/>
      <c r="DH667" s="335"/>
      <c r="DI667" s="335"/>
      <c r="DJ667" s="335"/>
      <c r="DK667" s="335"/>
      <c r="DL667" s="335"/>
      <c r="DM667" s="335"/>
      <c r="DN667" s="335"/>
      <c r="DO667" s="335"/>
      <c r="DP667" s="335"/>
      <c r="DQ667" s="335"/>
      <c r="DR667" s="335"/>
      <c r="DS667" s="335"/>
      <c r="DT667" s="335"/>
      <c r="DU667" s="335"/>
      <c r="DV667" s="335"/>
      <c r="DW667" s="335"/>
      <c r="DX667" s="335"/>
      <c r="DY667" s="335"/>
      <c r="DZ667" s="335"/>
      <c r="EA667" s="335"/>
      <c r="EB667" s="335"/>
      <c r="EC667" s="335"/>
      <c r="ED667" s="335"/>
      <c r="EE667" s="335"/>
      <c r="EF667" s="335"/>
      <c r="EG667" s="335"/>
      <c r="EH667" s="335"/>
      <c r="EI667" s="335"/>
      <c r="EJ667" s="335"/>
      <c r="EK667" s="335"/>
      <c r="EL667" s="335"/>
      <c r="EM667" s="335"/>
      <c r="EN667" s="335"/>
      <c r="EO667" s="335"/>
      <c r="EP667" s="335"/>
      <c r="EQ667" s="335"/>
      <c r="ER667" s="335"/>
      <c r="ES667" s="335"/>
      <c r="ET667" s="335"/>
      <c r="EU667" s="335"/>
      <c r="EV667" s="335"/>
      <c r="EW667" s="335"/>
      <c r="EX667" s="335"/>
      <c r="EY667" s="335"/>
      <c r="EZ667" s="335"/>
      <c r="FA667" s="335"/>
      <c r="FB667" s="335"/>
      <c r="FC667" s="335"/>
      <c r="FD667" s="335"/>
      <c r="FE667" s="335"/>
      <c r="FF667" s="335"/>
      <c r="FG667" s="335"/>
      <c r="FH667" s="335"/>
      <c r="FI667" s="335"/>
      <c r="FJ667" s="335"/>
      <c r="FK667" s="335"/>
      <c r="FL667" s="335"/>
      <c r="FM667" s="335"/>
      <c r="FN667" s="335"/>
      <c r="FO667" s="335"/>
      <c r="FP667" s="335"/>
      <c r="FQ667" s="335"/>
      <c r="FR667" s="335"/>
      <c r="FS667" s="335"/>
      <c r="FT667" s="335"/>
      <c r="FU667" s="335"/>
      <c r="FV667" s="335"/>
      <c r="FW667" s="335"/>
      <c r="FX667" s="335"/>
      <c r="FY667" s="335"/>
      <c r="FZ667" s="335"/>
      <c r="GA667" s="335"/>
      <c r="GB667" s="335"/>
      <c r="GC667" s="335"/>
      <c r="GD667" s="335"/>
      <c r="GE667" s="335"/>
      <c r="GF667" s="335"/>
      <c r="GG667" s="335"/>
      <c r="GH667" s="335"/>
      <c r="GI667" s="335"/>
      <c r="GJ667" s="335"/>
      <c r="GK667" s="335"/>
      <c r="GL667" s="335"/>
      <c r="GM667" s="335"/>
      <c r="GN667" s="335"/>
      <c r="GO667" s="335"/>
      <c r="GP667" s="335"/>
      <c r="GQ667" s="335"/>
      <c r="GR667" s="335"/>
      <c r="GS667" s="335"/>
      <c r="GT667" s="335"/>
      <c r="GU667" s="335"/>
      <c r="GV667" s="335"/>
      <c r="GW667" s="335"/>
      <c r="GX667" s="335"/>
      <c r="GY667" s="335"/>
      <c r="GZ667" s="335"/>
    </row>
    <row r="668" spans="1:208" ht="15">
      <c r="A668" s="379"/>
      <c r="B668" s="335"/>
      <c r="C668" s="335"/>
      <c r="D668" s="335"/>
      <c r="E668" s="335"/>
      <c r="F668" s="335"/>
      <c r="G668" s="335"/>
      <c r="H668" s="335"/>
      <c r="I668" s="335"/>
      <c r="J668" s="335"/>
      <c r="K668" s="335"/>
      <c r="L668" s="335"/>
      <c r="M668" s="376"/>
      <c r="N668" s="335"/>
      <c r="O668" s="380"/>
      <c r="P668" s="335"/>
      <c r="Q668" s="335"/>
      <c r="R668" s="335"/>
      <c r="S668" s="335"/>
      <c r="T668" s="335"/>
      <c r="U668" s="335"/>
      <c r="V668" s="335"/>
      <c r="W668" s="335"/>
      <c r="X668" s="335"/>
      <c r="Y668" s="335"/>
      <c r="Z668" s="335"/>
      <c r="AA668" s="335"/>
      <c r="AB668" s="335"/>
      <c r="AC668" s="335"/>
      <c r="AD668" s="335"/>
      <c r="AE668" s="335"/>
      <c r="AF668" s="335"/>
      <c r="AG668" s="335"/>
      <c r="AH668" s="335"/>
      <c r="AI668" s="335"/>
      <c r="AJ668" s="335"/>
      <c r="AK668" s="335"/>
      <c r="AL668" s="335"/>
      <c r="AM668" s="335"/>
      <c r="AN668" s="335"/>
      <c r="AO668" s="335"/>
      <c r="AP668" s="335"/>
      <c r="AQ668" s="335"/>
      <c r="AR668" s="335"/>
      <c r="AS668" s="335"/>
      <c r="AT668" s="335"/>
      <c r="AU668" s="335"/>
      <c r="AV668" s="335"/>
      <c r="AW668" s="335"/>
      <c r="AX668" s="335"/>
      <c r="AY668" s="335"/>
      <c r="AZ668" s="335"/>
      <c r="BA668" s="335"/>
      <c r="BB668" s="335"/>
      <c r="BC668" s="335"/>
      <c r="BD668" s="335"/>
      <c r="BE668" s="335"/>
      <c r="BF668" s="335"/>
      <c r="BG668" s="335"/>
      <c r="BH668" s="335"/>
      <c r="BI668" s="335"/>
      <c r="BJ668" s="335"/>
      <c r="BK668" s="335"/>
      <c r="BL668" s="335"/>
      <c r="BM668" s="335"/>
      <c r="BN668" s="335"/>
      <c r="BO668" s="335"/>
      <c r="BP668" s="335"/>
      <c r="BQ668" s="335"/>
      <c r="BR668" s="335"/>
      <c r="BS668" s="335"/>
      <c r="BT668" s="335"/>
      <c r="BU668" s="335"/>
      <c r="BV668" s="335"/>
      <c r="BW668" s="335"/>
      <c r="BX668" s="335"/>
      <c r="BY668" s="335"/>
      <c r="BZ668" s="335"/>
      <c r="CA668" s="335"/>
      <c r="CB668" s="335"/>
      <c r="CC668" s="335"/>
      <c r="CD668" s="335"/>
      <c r="CE668" s="335"/>
      <c r="CF668" s="335"/>
      <c r="CG668" s="335"/>
      <c r="CH668" s="335"/>
      <c r="CI668" s="335"/>
      <c r="CJ668" s="335"/>
      <c r="CK668" s="335"/>
      <c r="CL668" s="335"/>
      <c r="CM668" s="335"/>
      <c r="CN668" s="335"/>
      <c r="CO668" s="335"/>
      <c r="CP668" s="335"/>
      <c r="CQ668" s="335"/>
      <c r="CR668" s="335"/>
      <c r="CS668" s="335"/>
      <c r="CT668" s="335"/>
      <c r="CU668" s="335"/>
      <c r="CV668" s="335"/>
      <c r="CW668" s="335"/>
      <c r="CX668" s="335"/>
      <c r="CY668" s="335"/>
      <c r="CZ668" s="335"/>
      <c r="DA668" s="335"/>
      <c r="DB668" s="335"/>
      <c r="DC668" s="335"/>
      <c r="DD668" s="335"/>
      <c r="DE668" s="335"/>
      <c r="DF668" s="335"/>
      <c r="DG668" s="335"/>
      <c r="DH668" s="335"/>
      <c r="DI668" s="335"/>
      <c r="DJ668" s="335"/>
      <c r="DK668" s="335"/>
      <c r="DL668" s="335"/>
      <c r="DM668" s="335"/>
      <c r="DN668" s="335"/>
      <c r="DO668" s="335"/>
      <c r="DP668" s="335"/>
      <c r="DQ668" s="335"/>
      <c r="DR668" s="335"/>
      <c r="DS668" s="335"/>
      <c r="DT668" s="335"/>
      <c r="DU668" s="335"/>
      <c r="DV668" s="335"/>
      <c r="DW668" s="335"/>
      <c r="DX668" s="335"/>
      <c r="DY668" s="335"/>
      <c r="DZ668" s="335"/>
      <c r="EA668" s="335"/>
      <c r="EB668" s="335"/>
      <c r="EC668" s="335"/>
      <c r="ED668" s="335"/>
      <c r="EE668" s="335"/>
      <c r="EF668" s="335"/>
      <c r="EG668" s="335"/>
      <c r="EH668" s="335"/>
      <c r="EI668" s="335"/>
      <c r="EJ668" s="335"/>
      <c r="EK668" s="335"/>
      <c r="EL668" s="335"/>
      <c r="EM668" s="335"/>
      <c r="EN668" s="335"/>
      <c r="EO668" s="335"/>
      <c r="EP668" s="335"/>
      <c r="EQ668" s="335"/>
      <c r="ER668" s="335"/>
      <c r="ES668" s="335"/>
      <c r="ET668" s="335"/>
      <c r="EU668" s="335"/>
      <c r="EV668" s="335"/>
      <c r="EW668" s="335"/>
      <c r="EX668" s="335"/>
      <c r="EY668" s="335"/>
      <c r="EZ668" s="335"/>
      <c r="FA668" s="335"/>
      <c r="FB668" s="335"/>
      <c r="FC668" s="335"/>
      <c r="FD668" s="335"/>
      <c r="FE668" s="335"/>
      <c r="FF668" s="335"/>
      <c r="FG668" s="335"/>
      <c r="FH668" s="335"/>
      <c r="FI668" s="335"/>
      <c r="FJ668" s="335"/>
      <c r="FK668" s="335"/>
      <c r="FL668" s="335"/>
      <c r="FM668" s="335"/>
      <c r="FN668" s="335"/>
      <c r="FO668" s="335"/>
      <c r="FP668" s="335"/>
      <c r="FQ668" s="335"/>
      <c r="FR668" s="335"/>
      <c r="FS668" s="335"/>
      <c r="FT668" s="335"/>
      <c r="FU668" s="335"/>
      <c r="FV668" s="335"/>
      <c r="FW668" s="335"/>
      <c r="FX668" s="335"/>
      <c r="FY668" s="335"/>
      <c r="FZ668" s="335"/>
      <c r="GA668" s="335"/>
      <c r="GB668" s="335"/>
      <c r="GC668" s="335"/>
      <c r="GD668" s="335"/>
      <c r="GE668" s="335"/>
      <c r="GF668" s="335"/>
      <c r="GG668" s="335"/>
      <c r="GH668" s="335"/>
      <c r="GI668" s="335"/>
      <c r="GJ668" s="335"/>
      <c r="GK668" s="335"/>
      <c r="GL668" s="335"/>
      <c r="GM668" s="335"/>
      <c r="GN668" s="335"/>
      <c r="GO668" s="335"/>
      <c r="GP668" s="335"/>
      <c r="GQ668" s="335"/>
      <c r="GR668" s="335"/>
      <c r="GS668" s="335"/>
      <c r="GT668" s="335"/>
      <c r="GU668" s="335"/>
      <c r="GV668" s="335"/>
      <c r="GW668" s="335"/>
      <c r="GX668" s="335"/>
      <c r="GY668" s="335"/>
      <c r="GZ668" s="335"/>
    </row>
    <row r="669" spans="1:208" ht="15">
      <c r="A669" s="379"/>
      <c r="B669" s="335"/>
      <c r="C669" s="335"/>
      <c r="D669" s="335"/>
      <c r="E669" s="335"/>
      <c r="F669" s="335"/>
      <c r="G669" s="335"/>
      <c r="H669" s="335"/>
      <c r="I669" s="335"/>
      <c r="J669" s="335"/>
      <c r="K669" s="335"/>
      <c r="L669" s="335"/>
      <c r="M669" s="376"/>
      <c r="N669" s="335"/>
      <c r="O669" s="380"/>
      <c r="P669" s="335"/>
      <c r="Q669" s="335"/>
      <c r="R669" s="335"/>
      <c r="S669" s="335"/>
      <c r="T669" s="335"/>
      <c r="U669" s="335"/>
      <c r="V669" s="335"/>
      <c r="W669" s="335"/>
      <c r="X669" s="335"/>
      <c r="Y669" s="335"/>
      <c r="Z669" s="335"/>
      <c r="AA669" s="335"/>
      <c r="AB669" s="335"/>
      <c r="AC669" s="335"/>
      <c r="AD669" s="335"/>
      <c r="AE669" s="335"/>
      <c r="AF669" s="335"/>
      <c r="AG669" s="335"/>
      <c r="AH669" s="335"/>
      <c r="AI669" s="335"/>
      <c r="AJ669" s="335"/>
      <c r="AK669" s="335"/>
      <c r="AL669" s="335"/>
      <c r="AM669" s="335"/>
      <c r="AN669" s="335"/>
      <c r="AO669" s="335"/>
      <c r="AP669" s="335"/>
      <c r="AQ669" s="335"/>
      <c r="AR669" s="335"/>
      <c r="AS669" s="335"/>
      <c r="AT669" s="335"/>
      <c r="AU669" s="335"/>
      <c r="AV669" s="335"/>
      <c r="AW669" s="335"/>
      <c r="AX669" s="335"/>
      <c r="AY669" s="335"/>
      <c r="AZ669" s="335"/>
      <c r="BA669" s="335"/>
      <c r="BB669" s="335"/>
      <c r="BC669" s="335"/>
      <c r="BD669" s="335"/>
      <c r="BE669" s="335"/>
      <c r="BF669" s="335"/>
      <c r="BG669" s="335"/>
      <c r="BH669" s="335"/>
      <c r="BI669" s="335"/>
      <c r="BJ669" s="335"/>
      <c r="BK669" s="335"/>
      <c r="BL669" s="335"/>
      <c r="BM669" s="335"/>
      <c r="BN669" s="335"/>
      <c r="BO669" s="335"/>
      <c r="BP669" s="335"/>
      <c r="BQ669" s="335"/>
      <c r="BR669" s="335"/>
      <c r="BS669" s="335"/>
      <c r="BT669" s="335"/>
      <c r="BU669" s="335"/>
      <c r="BV669" s="335"/>
      <c r="BW669" s="335"/>
      <c r="BX669" s="335"/>
      <c r="BY669" s="335"/>
      <c r="BZ669" s="335"/>
      <c r="CA669" s="335"/>
      <c r="CB669" s="335"/>
      <c r="CC669" s="335"/>
      <c r="CD669" s="335"/>
      <c r="CE669" s="335"/>
      <c r="CF669" s="335"/>
      <c r="CG669" s="335"/>
      <c r="CH669" s="335"/>
      <c r="CI669" s="335"/>
      <c r="CJ669" s="335"/>
      <c r="CK669" s="335"/>
      <c r="CL669" s="335"/>
      <c r="CM669" s="335"/>
      <c r="CN669" s="335"/>
      <c r="CO669" s="335"/>
      <c r="CP669" s="335"/>
      <c r="CQ669" s="335"/>
      <c r="CR669" s="335"/>
      <c r="CS669" s="335"/>
      <c r="CT669" s="335"/>
      <c r="CU669" s="335"/>
      <c r="CV669" s="335"/>
      <c r="CW669" s="335"/>
      <c r="CX669" s="335"/>
      <c r="CY669" s="335"/>
      <c r="CZ669" s="335"/>
      <c r="DA669" s="335"/>
      <c r="DB669" s="335"/>
      <c r="DC669" s="335"/>
      <c r="DD669" s="335"/>
      <c r="DE669" s="335"/>
      <c r="DF669" s="335"/>
      <c r="DG669" s="335"/>
      <c r="DH669" s="335"/>
      <c r="DI669" s="335"/>
      <c r="DJ669" s="335"/>
      <c r="DK669" s="335"/>
      <c r="DL669" s="335"/>
      <c r="DM669" s="335"/>
      <c r="DN669" s="335"/>
      <c r="DO669" s="335"/>
      <c r="DP669" s="335"/>
      <c r="DQ669" s="335"/>
      <c r="DR669" s="335"/>
      <c r="DS669" s="335"/>
      <c r="DT669" s="335"/>
      <c r="DU669" s="335"/>
      <c r="DV669" s="335"/>
      <c r="DW669" s="335"/>
      <c r="DX669" s="335"/>
      <c r="DY669" s="335"/>
      <c r="DZ669" s="335"/>
      <c r="EA669" s="335"/>
      <c r="EB669" s="335"/>
      <c r="EC669" s="335"/>
      <c r="ED669" s="335"/>
      <c r="EE669" s="335"/>
      <c r="EF669" s="335"/>
      <c r="EG669" s="335"/>
      <c r="EH669" s="335"/>
      <c r="EI669" s="335"/>
      <c r="EJ669" s="335"/>
      <c r="EK669" s="335"/>
      <c r="EL669" s="335"/>
      <c r="EM669" s="335"/>
      <c r="EN669" s="335"/>
      <c r="EO669" s="335"/>
      <c r="EP669" s="335"/>
      <c r="EQ669" s="335"/>
      <c r="ER669" s="335"/>
      <c r="ES669" s="335"/>
      <c r="ET669" s="335"/>
      <c r="EU669" s="335"/>
      <c r="EV669" s="335"/>
      <c r="EW669" s="335"/>
      <c r="EX669" s="335"/>
      <c r="EY669" s="335"/>
      <c r="EZ669" s="335"/>
      <c r="FA669" s="335"/>
      <c r="FB669" s="335"/>
      <c r="FC669" s="335"/>
      <c r="FD669" s="335"/>
      <c r="FE669" s="335"/>
      <c r="FF669" s="335"/>
      <c r="FG669" s="335"/>
      <c r="FH669" s="335"/>
      <c r="FI669" s="335"/>
      <c r="FJ669" s="335"/>
      <c r="FK669" s="335"/>
      <c r="FL669" s="335"/>
      <c r="FM669" s="335"/>
      <c r="FN669" s="335"/>
      <c r="FO669" s="335"/>
      <c r="FP669" s="335"/>
      <c r="FQ669" s="335"/>
      <c r="FR669" s="335"/>
      <c r="FS669" s="335"/>
      <c r="FT669" s="335"/>
      <c r="FU669" s="335"/>
      <c r="FV669" s="335"/>
      <c r="FW669" s="335"/>
      <c r="FX669" s="335"/>
      <c r="FY669" s="335"/>
      <c r="FZ669" s="335"/>
      <c r="GA669" s="335"/>
      <c r="GB669" s="335"/>
      <c r="GC669" s="335"/>
      <c r="GD669" s="335"/>
      <c r="GE669" s="335"/>
      <c r="GF669" s="335"/>
      <c r="GG669" s="335"/>
      <c r="GH669" s="335"/>
      <c r="GI669" s="335"/>
      <c r="GJ669" s="335"/>
      <c r="GK669" s="335"/>
      <c r="GL669" s="335"/>
      <c r="GM669" s="335"/>
      <c r="GN669" s="335"/>
      <c r="GO669" s="335"/>
      <c r="GP669" s="335"/>
      <c r="GQ669" s="335"/>
      <c r="GR669" s="335"/>
      <c r="GS669" s="335"/>
      <c r="GT669" s="335"/>
      <c r="GU669" s="335"/>
      <c r="GV669" s="335"/>
      <c r="GW669" s="335"/>
      <c r="GX669" s="335"/>
      <c r="GY669" s="335"/>
      <c r="GZ669" s="335"/>
    </row>
    <row r="670" spans="1:208" ht="15">
      <c r="A670" s="379"/>
      <c r="B670" s="335"/>
      <c r="C670" s="335"/>
      <c r="D670" s="335"/>
      <c r="E670" s="335"/>
      <c r="F670" s="335"/>
      <c r="G670" s="335"/>
      <c r="H670" s="335"/>
      <c r="I670" s="335"/>
      <c r="J670" s="335"/>
      <c r="K670" s="335"/>
      <c r="L670" s="335"/>
      <c r="M670" s="376"/>
      <c r="N670" s="335"/>
      <c r="O670" s="380"/>
      <c r="P670" s="335"/>
      <c r="Q670" s="335"/>
      <c r="R670" s="335"/>
      <c r="S670" s="335"/>
      <c r="T670" s="335"/>
      <c r="U670" s="335"/>
      <c r="V670" s="335"/>
      <c r="W670" s="335"/>
      <c r="X670" s="335"/>
      <c r="Y670" s="335"/>
      <c r="Z670" s="335"/>
      <c r="AA670" s="335"/>
      <c r="AB670" s="335"/>
      <c r="AC670" s="335"/>
      <c r="AD670" s="335"/>
      <c r="AE670" s="335"/>
      <c r="AF670" s="335"/>
      <c r="AG670" s="335"/>
      <c r="AH670" s="335"/>
      <c r="AI670" s="335"/>
      <c r="AJ670" s="335"/>
      <c r="AK670" s="335"/>
      <c r="AL670" s="335"/>
      <c r="AM670" s="335"/>
      <c r="AN670" s="335"/>
      <c r="AO670" s="335"/>
      <c r="AP670" s="335"/>
      <c r="AQ670" s="335"/>
      <c r="AR670" s="335"/>
      <c r="AS670" s="335"/>
      <c r="AT670" s="335"/>
      <c r="AU670" s="335"/>
      <c r="AV670" s="335"/>
      <c r="AW670" s="335"/>
      <c r="AX670" s="335"/>
      <c r="AY670" s="335"/>
      <c r="AZ670" s="335"/>
      <c r="BA670" s="335"/>
      <c r="BB670" s="335"/>
      <c r="BC670" s="335"/>
      <c r="BD670" s="335"/>
      <c r="BE670" s="335"/>
      <c r="BF670" s="335"/>
      <c r="BG670" s="335"/>
      <c r="BH670" s="335"/>
      <c r="BI670" s="335"/>
      <c r="BJ670" s="335"/>
      <c r="BK670" s="335"/>
      <c r="BL670" s="335"/>
      <c r="BM670" s="335"/>
      <c r="BN670" s="335"/>
      <c r="BO670" s="335"/>
      <c r="BP670" s="335"/>
      <c r="BQ670" s="335"/>
      <c r="BR670" s="335"/>
      <c r="BS670" s="335"/>
      <c r="BT670" s="335"/>
      <c r="BU670" s="335"/>
      <c r="BV670" s="335"/>
      <c r="BW670" s="335"/>
      <c r="BX670" s="335"/>
      <c r="BY670" s="335"/>
      <c r="BZ670" s="335"/>
      <c r="CA670" s="335"/>
      <c r="CB670" s="335"/>
      <c r="CC670" s="335"/>
      <c r="CD670" s="335"/>
      <c r="CE670" s="335"/>
      <c r="CF670" s="335"/>
      <c r="CG670" s="335"/>
      <c r="CH670" s="335"/>
      <c r="CI670" s="335"/>
      <c r="CJ670" s="335"/>
      <c r="CK670" s="335"/>
      <c r="CL670" s="335"/>
      <c r="CM670" s="335"/>
      <c r="CN670" s="335"/>
      <c r="CO670" s="335"/>
      <c r="CP670" s="335"/>
      <c r="CQ670" s="335"/>
      <c r="CR670" s="335"/>
      <c r="CS670" s="335"/>
      <c r="CT670" s="335"/>
      <c r="CU670" s="335"/>
      <c r="CV670" s="335"/>
      <c r="CW670" s="335"/>
      <c r="CX670" s="335"/>
      <c r="CY670" s="335"/>
      <c r="CZ670" s="335"/>
      <c r="DA670" s="335"/>
      <c r="DB670" s="335"/>
      <c r="DC670" s="335"/>
      <c r="DD670" s="335"/>
      <c r="DE670" s="335"/>
      <c r="DF670" s="335"/>
      <c r="DG670" s="335"/>
      <c r="DH670" s="335"/>
      <c r="DI670" s="335"/>
      <c r="DJ670" s="335"/>
      <c r="DK670" s="335"/>
      <c r="DL670" s="335"/>
      <c r="DM670" s="335"/>
      <c r="DN670" s="335"/>
      <c r="DO670" s="335"/>
      <c r="DP670" s="335"/>
      <c r="DQ670" s="335"/>
      <c r="DR670" s="335"/>
      <c r="DS670" s="335"/>
      <c r="DT670" s="335"/>
      <c r="DU670" s="335"/>
      <c r="DV670" s="335"/>
      <c r="DW670" s="335"/>
      <c r="DX670" s="335"/>
      <c r="DY670" s="335"/>
      <c r="DZ670" s="335"/>
      <c r="EA670" s="335"/>
      <c r="EB670" s="335"/>
      <c r="EC670" s="335"/>
      <c r="ED670" s="335"/>
      <c r="EE670" s="335"/>
      <c r="EF670" s="335"/>
      <c r="EG670" s="335"/>
      <c r="EH670" s="335"/>
      <c r="EI670" s="335"/>
      <c r="EJ670" s="335"/>
      <c r="EK670" s="335"/>
      <c r="EL670" s="335"/>
      <c r="EM670" s="335"/>
      <c r="EN670" s="335"/>
      <c r="EO670" s="335"/>
      <c r="EP670" s="335"/>
      <c r="EQ670" s="335"/>
      <c r="ER670" s="335"/>
      <c r="ES670" s="335"/>
      <c r="ET670" s="335"/>
      <c r="EU670" s="335"/>
      <c r="EV670" s="335"/>
      <c r="EW670" s="335"/>
      <c r="EX670" s="335"/>
      <c r="EY670" s="335"/>
      <c r="EZ670" s="335"/>
      <c r="FA670" s="335"/>
      <c r="FB670" s="335"/>
      <c r="FC670" s="335"/>
      <c r="FD670" s="335"/>
      <c r="FE670" s="335"/>
      <c r="FF670" s="335"/>
      <c r="FG670" s="335"/>
      <c r="FH670" s="335"/>
      <c r="FI670" s="335"/>
      <c r="FJ670" s="335"/>
      <c r="FK670" s="335"/>
      <c r="FL670" s="335"/>
      <c r="FM670" s="335"/>
      <c r="FN670" s="335"/>
      <c r="FO670" s="335"/>
      <c r="FP670" s="335"/>
      <c r="FQ670" s="335"/>
      <c r="FR670" s="335"/>
      <c r="FS670" s="335"/>
      <c r="FT670" s="335"/>
      <c r="FU670" s="335"/>
      <c r="FV670" s="335"/>
      <c r="FW670" s="335"/>
      <c r="FX670" s="335"/>
      <c r="FY670" s="335"/>
      <c r="FZ670" s="335"/>
      <c r="GA670" s="335"/>
      <c r="GB670" s="335"/>
      <c r="GC670" s="335"/>
      <c r="GD670" s="335"/>
      <c r="GE670" s="335"/>
      <c r="GF670" s="335"/>
      <c r="GG670" s="335"/>
      <c r="GH670" s="335"/>
      <c r="GI670" s="335"/>
      <c r="GJ670" s="335"/>
      <c r="GK670" s="335"/>
      <c r="GL670" s="335"/>
      <c r="GM670" s="335"/>
      <c r="GN670" s="335"/>
      <c r="GO670" s="335"/>
      <c r="GP670" s="335"/>
      <c r="GQ670" s="335"/>
      <c r="GR670" s="335"/>
      <c r="GS670" s="335"/>
      <c r="GT670" s="335"/>
      <c r="GU670" s="335"/>
      <c r="GV670" s="335"/>
      <c r="GW670" s="335"/>
      <c r="GX670" s="335"/>
      <c r="GY670" s="335"/>
      <c r="GZ670" s="335"/>
    </row>
    <row r="671" spans="1:208" ht="15">
      <c r="A671" s="379"/>
      <c r="B671" s="335"/>
      <c r="C671" s="335"/>
      <c r="D671" s="335"/>
      <c r="E671" s="335"/>
      <c r="F671" s="335"/>
      <c r="G671" s="335"/>
      <c r="H671" s="335"/>
      <c r="I671" s="335"/>
      <c r="J671" s="335"/>
      <c r="K671" s="335"/>
      <c r="L671" s="335"/>
      <c r="M671" s="376"/>
      <c r="N671" s="335"/>
      <c r="O671" s="380"/>
      <c r="P671" s="335"/>
      <c r="Q671" s="335"/>
      <c r="R671" s="335"/>
      <c r="S671" s="335"/>
      <c r="T671" s="335"/>
      <c r="U671" s="335"/>
      <c r="V671" s="335"/>
      <c r="W671" s="335"/>
      <c r="X671" s="335"/>
      <c r="Y671" s="335"/>
      <c r="Z671" s="335"/>
      <c r="AA671" s="335"/>
      <c r="AB671" s="335"/>
      <c r="AC671" s="335"/>
      <c r="AD671" s="335"/>
      <c r="AE671" s="335"/>
      <c r="AF671" s="335"/>
      <c r="AG671" s="335"/>
      <c r="AH671" s="335"/>
      <c r="AI671" s="335"/>
      <c r="AJ671" s="335"/>
      <c r="AK671" s="335"/>
      <c r="AL671" s="335"/>
      <c r="AM671" s="335"/>
      <c r="AN671" s="335"/>
      <c r="AO671" s="335"/>
      <c r="AP671" s="335"/>
      <c r="AQ671" s="335"/>
      <c r="AR671" s="335"/>
      <c r="AS671" s="335"/>
      <c r="AT671" s="335"/>
      <c r="AU671" s="335"/>
      <c r="AV671" s="335"/>
      <c r="AW671" s="335"/>
      <c r="AX671" s="335"/>
      <c r="AY671" s="335"/>
      <c r="AZ671" s="335"/>
      <c r="BA671" s="335"/>
      <c r="BB671" s="335"/>
      <c r="BC671" s="335"/>
      <c r="BD671" s="335"/>
      <c r="BE671" s="335"/>
      <c r="BF671" s="335"/>
      <c r="BG671" s="335"/>
      <c r="BH671" s="335"/>
      <c r="BI671" s="335"/>
      <c r="BJ671" s="335"/>
      <c r="BK671" s="335"/>
      <c r="BL671" s="335"/>
      <c r="BM671" s="335"/>
      <c r="BN671" s="335"/>
      <c r="BO671" s="335"/>
      <c r="BP671" s="335"/>
      <c r="BQ671" s="335"/>
      <c r="BR671" s="335"/>
      <c r="BS671" s="335"/>
      <c r="BT671" s="335"/>
      <c r="BU671" s="335"/>
      <c r="BV671" s="335"/>
      <c r="BW671" s="335"/>
      <c r="BX671" s="335"/>
      <c r="BY671" s="335"/>
      <c r="BZ671" s="335"/>
      <c r="CA671" s="335"/>
      <c r="CB671" s="335"/>
      <c r="CC671" s="335"/>
      <c r="CD671" s="335"/>
      <c r="CE671" s="335"/>
      <c r="CF671" s="335"/>
      <c r="CG671" s="335"/>
      <c r="CH671" s="335"/>
      <c r="CI671" s="335"/>
      <c r="CJ671" s="335"/>
      <c r="CK671" s="335"/>
      <c r="CL671" s="335"/>
      <c r="CM671" s="335"/>
      <c r="CN671" s="335"/>
      <c r="CO671" s="335"/>
      <c r="CP671" s="335"/>
      <c r="CQ671" s="335"/>
      <c r="CR671" s="335"/>
      <c r="CS671" s="335"/>
      <c r="CT671" s="335"/>
      <c r="CU671" s="335"/>
      <c r="CV671" s="335"/>
      <c r="CW671" s="335"/>
      <c r="CX671" s="335"/>
      <c r="CY671" s="335"/>
      <c r="CZ671" s="335"/>
      <c r="DA671" s="335"/>
      <c r="DB671" s="335"/>
      <c r="DC671" s="335"/>
      <c r="DD671" s="335"/>
      <c r="DE671" s="335"/>
      <c r="DF671" s="335"/>
      <c r="DG671" s="335"/>
      <c r="DH671" s="335"/>
      <c r="DI671" s="335"/>
      <c r="DJ671" s="335"/>
      <c r="DK671" s="335"/>
      <c r="DL671" s="335"/>
      <c r="DM671" s="335"/>
      <c r="DN671" s="335"/>
      <c r="DO671" s="335"/>
      <c r="DP671" s="335"/>
      <c r="DQ671" s="335"/>
      <c r="DR671" s="335"/>
      <c r="DS671" s="335"/>
      <c r="DT671" s="335"/>
      <c r="DU671" s="335"/>
      <c r="DV671" s="335"/>
      <c r="DW671" s="335"/>
      <c r="DX671" s="335"/>
      <c r="DY671" s="335"/>
      <c r="DZ671" s="335"/>
      <c r="EA671" s="335"/>
      <c r="EB671" s="335"/>
      <c r="EC671" s="335"/>
      <c r="ED671" s="335"/>
      <c r="EE671" s="335"/>
      <c r="EF671" s="335"/>
      <c r="EG671" s="335"/>
      <c r="EH671" s="335"/>
      <c r="EI671" s="335"/>
      <c r="EJ671" s="335"/>
      <c r="EK671" s="335"/>
      <c r="EL671" s="335"/>
      <c r="EM671" s="335"/>
      <c r="EN671" s="335"/>
      <c r="EO671" s="335"/>
      <c r="EP671" s="335"/>
      <c r="EQ671" s="335"/>
      <c r="ER671" s="335"/>
      <c r="ES671" s="335"/>
      <c r="ET671" s="335"/>
      <c r="EU671" s="335"/>
      <c r="EV671" s="335"/>
      <c r="EW671" s="335"/>
      <c r="EX671" s="335"/>
      <c r="EY671" s="335"/>
      <c r="EZ671" s="335"/>
      <c r="FA671" s="335"/>
      <c r="FB671" s="335"/>
      <c r="FC671" s="335"/>
      <c r="FD671" s="335"/>
      <c r="FE671" s="335"/>
      <c r="FF671" s="335"/>
      <c r="FG671" s="335"/>
      <c r="FH671" s="335"/>
      <c r="FI671" s="335"/>
      <c r="FJ671" s="335"/>
      <c r="FK671" s="335"/>
      <c r="FL671" s="335"/>
      <c r="FM671" s="335"/>
      <c r="FN671" s="335"/>
      <c r="FO671" s="335"/>
      <c r="FP671" s="335"/>
      <c r="FQ671" s="335"/>
      <c r="FR671" s="335"/>
      <c r="FS671" s="335"/>
      <c r="FT671" s="335"/>
      <c r="FU671" s="335"/>
      <c r="FV671" s="335"/>
      <c r="FW671" s="335"/>
      <c r="FX671" s="335"/>
      <c r="FY671" s="335"/>
      <c r="FZ671" s="335"/>
      <c r="GA671" s="335"/>
      <c r="GB671" s="335"/>
      <c r="GC671" s="335"/>
      <c r="GD671" s="335"/>
      <c r="GE671" s="335"/>
      <c r="GF671" s="335"/>
      <c r="GG671" s="335"/>
      <c r="GH671" s="335"/>
      <c r="GI671" s="335"/>
      <c r="GJ671" s="335"/>
      <c r="GK671" s="335"/>
      <c r="GL671" s="335"/>
      <c r="GM671" s="335"/>
      <c r="GN671" s="335"/>
      <c r="GO671" s="335"/>
      <c r="GP671" s="335"/>
      <c r="GQ671" s="335"/>
      <c r="GR671" s="335"/>
      <c r="GS671" s="335"/>
      <c r="GT671" s="335"/>
      <c r="GU671" s="335"/>
      <c r="GV671" s="335"/>
      <c r="GW671" s="335"/>
      <c r="GX671" s="335"/>
      <c r="GY671" s="335"/>
      <c r="GZ671" s="335"/>
    </row>
    <row r="672" spans="1:208" ht="15">
      <c r="A672" s="379"/>
      <c r="B672" s="335"/>
      <c r="C672" s="335"/>
      <c r="D672" s="335"/>
      <c r="E672" s="335"/>
      <c r="F672" s="335"/>
      <c r="G672" s="335"/>
      <c r="H672" s="335"/>
      <c r="I672" s="335"/>
      <c r="J672" s="335"/>
      <c r="K672" s="335"/>
      <c r="L672" s="335"/>
      <c r="M672" s="376"/>
      <c r="N672" s="335"/>
      <c r="O672" s="380"/>
      <c r="P672" s="335"/>
      <c r="Q672" s="335"/>
      <c r="R672" s="335"/>
      <c r="S672" s="335"/>
      <c r="T672" s="335"/>
      <c r="U672" s="335"/>
      <c r="V672" s="335"/>
      <c r="W672" s="335"/>
      <c r="X672" s="335"/>
      <c r="Y672" s="335"/>
      <c r="Z672" s="335"/>
      <c r="AA672" s="335"/>
      <c r="AB672" s="335"/>
      <c r="AC672" s="335"/>
      <c r="AD672" s="335"/>
      <c r="AE672" s="335"/>
      <c r="AF672" s="335"/>
      <c r="AG672" s="335"/>
      <c r="AH672" s="335"/>
      <c r="AI672" s="335"/>
      <c r="AJ672" s="335"/>
      <c r="AK672" s="335"/>
      <c r="AL672" s="335"/>
      <c r="AM672" s="335"/>
      <c r="AN672" s="335"/>
      <c r="AO672" s="335"/>
      <c r="AP672" s="335"/>
      <c r="AQ672" s="335"/>
      <c r="AR672" s="335"/>
      <c r="AS672" s="335"/>
      <c r="AT672" s="335"/>
      <c r="AU672" s="335"/>
      <c r="AV672" s="335"/>
      <c r="AW672" s="335"/>
      <c r="AX672" s="335"/>
      <c r="AY672" s="335"/>
      <c r="AZ672" s="335"/>
      <c r="BA672" s="335"/>
      <c r="BB672" s="335"/>
      <c r="BC672" s="335"/>
      <c r="BD672" s="335"/>
      <c r="BE672" s="335"/>
      <c r="BF672" s="335"/>
      <c r="BG672" s="335"/>
      <c r="BH672" s="335"/>
      <c r="BI672" s="335"/>
      <c r="BJ672" s="335"/>
      <c r="BK672" s="335"/>
      <c r="BL672" s="335"/>
      <c r="BM672" s="335"/>
      <c r="BN672" s="335"/>
      <c r="BO672" s="335"/>
      <c r="BP672" s="335"/>
      <c r="BQ672" s="335"/>
      <c r="BR672" s="335"/>
      <c r="BS672" s="335"/>
      <c r="BT672" s="335"/>
      <c r="BU672" s="335"/>
      <c r="BV672" s="335"/>
      <c r="BW672" s="335"/>
      <c r="BX672" s="335"/>
      <c r="BY672" s="335"/>
      <c r="BZ672" s="335"/>
      <c r="CA672" s="335"/>
      <c r="CB672" s="335"/>
      <c r="CC672" s="335"/>
      <c r="CD672" s="335"/>
      <c r="CE672" s="335"/>
      <c r="CF672" s="335"/>
      <c r="CG672" s="335"/>
      <c r="CH672" s="335"/>
      <c r="CI672" s="335"/>
      <c r="CJ672" s="335"/>
      <c r="CK672" s="335"/>
      <c r="CL672" s="335"/>
      <c r="CM672" s="335"/>
      <c r="CN672" s="335"/>
      <c r="CO672" s="335"/>
      <c r="CP672" s="335"/>
      <c r="CQ672" s="335"/>
      <c r="CR672" s="335"/>
      <c r="CS672" s="335"/>
      <c r="CT672" s="335"/>
      <c r="CU672" s="335"/>
      <c r="CV672" s="335"/>
      <c r="CW672" s="335"/>
      <c r="CX672" s="335"/>
      <c r="CY672" s="335"/>
      <c r="CZ672" s="335"/>
      <c r="DA672" s="335"/>
      <c r="DB672" s="335"/>
      <c r="DC672" s="335"/>
      <c r="DD672" s="335"/>
      <c r="DE672" s="335"/>
      <c r="DF672" s="335"/>
      <c r="DG672" s="335"/>
      <c r="DH672" s="335"/>
      <c r="DI672" s="335"/>
      <c r="DJ672" s="335"/>
      <c r="DK672" s="335"/>
      <c r="DL672" s="335"/>
      <c r="DM672" s="335"/>
      <c r="DN672" s="335"/>
      <c r="DO672" s="335"/>
      <c r="DP672" s="335"/>
      <c r="DQ672" s="335"/>
      <c r="DR672" s="335"/>
      <c r="DS672" s="335"/>
      <c r="DT672" s="335"/>
      <c r="DU672" s="335"/>
      <c r="DV672" s="335"/>
      <c r="DW672" s="335"/>
      <c r="DX672" s="335"/>
      <c r="DY672" s="335"/>
      <c r="DZ672" s="335"/>
      <c r="EA672" s="335"/>
      <c r="EB672" s="335"/>
      <c r="EC672" s="335"/>
      <c r="ED672" s="335"/>
      <c r="EE672" s="335"/>
      <c r="EF672" s="335"/>
      <c r="EG672" s="335"/>
      <c r="EH672" s="335"/>
      <c r="EI672" s="335"/>
      <c r="EJ672" s="335"/>
      <c r="EK672" s="335"/>
      <c r="EL672" s="335"/>
      <c r="EM672" s="335"/>
      <c r="EN672" s="335"/>
      <c r="EO672" s="335"/>
      <c r="EP672" s="335"/>
      <c r="EQ672" s="335"/>
      <c r="ER672" s="335"/>
      <c r="ES672" s="335"/>
      <c r="ET672" s="335"/>
      <c r="EU672" s="335"/>
      <c r="EV672" s="335"/>
      <c r="EW672" s="335"/>
      <c r="EX672" s="335"/>
      <c r="EY672" s="335"/>
      <c r="EZ672" s="335"/>
      <c r="FA672" s="335"/>
      <c r="FB672" s="335"/>
      <c r="FC672" s="335"/>
      <c r="FD672" s="335"/>
      <c r="FE672" s="335"/>
      <c r="FF672" s="335"/>
      <c r="FG672" s="335"/>
      <c r="FH672" s="335"/>
      <c r="FI672" s="335"/>
      <c r="FJ672" s="335"/>
      <c r="FK672" s="335"/>
      <c r="FL672" s="335"/>
      <c r="FM672" s="335"/>
      <c r="FN672" s="335"/>
      <c r="FO672" s="335"/>
      <c r="FP672" s="335"/>
      <c r="FQ672" s="335"/>
      <c r="FR672" s="335"/>
      <c r="FS672" s="335"/>
      <c r="FT672" s="335"/>
      <c r="FU672" s="335"/>
      <c r="FV672" s="335"/>
      <c r="FW672" s="335"/>
      <c r="FX672" s="335"/>
      <c r="FY672" s="335"/>
      <c r="FZ672" s="335"/>
      <c r="GA672" s="335"/>
      <c r="GB672" s="335"/>
      <c r="GC672" s="335"/>
      <c r="GD672" s="335"/>
      <c r="GE672" s="335"/>
      <c r="GF672" s="335"/>
      <c r="GG672" s="335"/>
      <c r="GH672" s="335"/>
      <c r="GI672" s="335"/>
      <c r="GJ672" s="335"/>
      <c r="GK672" s="335"/>
      <c r="GL672" s="335"/>
      <c r="GM672" s="335"/>
      <c r="GN672" s="335"/>
      <c r="GO672" s="335"/>
      <c r="GP672" s="335"/>
      <c r="GQ672" s="335"/>
      <c r="GR672" s="335"/>
      <c r="GS672" s="335"/>
      <c r="GT672" s="335"/>
      <c r="GU672" s="335"/>
      <c r="GV672" s="335"/>
      <c r="GW672" s="335"/>
      <c r="GX672" s="335"/>
      <c r="GY672" s="335"/>
      <c r="GZ672" s="335"/>
    </row>
    <row r="673" spans="1:208" ht="15">
      <c r="A673" s="379"/>
      <c r="B673" s="335"/>
      <c r="C673" s="335"/>
      <c r="D673" s="335"/>
      <c r="E673" s="335"/>
      <c r="F673" s="335"/>
      <c r="G673" s="335"/>
      <c r="H673" s="335"/>
      <c r="I673" s="335"/>
      <c r="J673" s="335"/>
      <c r="K673" s="335"/>
      <c r="L673" s="335"/>
      <c r="M673" s="376"/>
      <c r="N673" s="335"/>
      <c r="O673" s="380"/>
      <c r="P673" s="335"/>
      <c r="Q673" s="335"/>
      <c r="R673" s="335"/>
      <c r="S673" s="335"/>
      <c r="T673" s="335"/>
      <c r="U673" s="335"/>
      <c r="V673" s="335"/>
      <c r="W673" s="335"/>
      <c r="X673" s="335"/>
      <c r="Y673" s="335"/>
      <c r="Z673" s="335"/>
      <c r="AA673" s="335"/>
      <c r="AB673" s="335"/>
      <c r="AC673" s="335"/>
      <c r="AD673" s="335"/>
      <c r="AE673" s="335"/>
      <c r="AF673" s="335"/>
      <c r="AG673" s="335"/>
      <c r="AH673" s="335"/>
      <c r="AI673" s="335"/>
      <c r="AJ673" s="335"/>
      <c r="AK673" s="335"/>
      <c r="AL673" s="335"/>
      <c r="AM673" s="335"/>
      <c r="AN673" s="335"/>
      <c r="AO673" s="335"/>
      <c r="AP673" s="335"/>
      <c r="AQ673" s="335"/>
      <c r="AR673" s="335"/>
      <c r="AS673" s="335"/>
      <c r="AT673" s="335"/>
      <c r="AU673" s="335"/>
      <c r="AV673" s="335"/>
      <c r="AW673" s="335"/>
      <c r="AX673" s="335"/>
      <c r="AY673" s="335"/>
      <c r="AZ673" s="335"/>
      <c r="BA673" s="335"/>
      <c r="BB673" s="335"/>
      <c r="BC673" s="335"/>
      <c r="BD673" s="335"/>
      <c r="BE673" s="335"/>
      <c r="BF673" s="335"/>
      <c r="BG673" s="335"/>
      <c r="BH673" s="335"/>
      <c r="BI673" s="335"/>
      <c r="BJ673" s="335"/>
      <c r="BK673" s="335"/>
      <c r="BL673" s="335"/>
      <c r="BM673" s="335"/>
      <c r="BN673" s="335"/>
      <c r="BO673" s="335"/>
      <c r="BP673" s="335"/>
      <c r="BQ673" s="335"/>
      <c r="BR673" s="335"/>
      <c r="BS673" s="335"/>
      <c r="BT673" s="335"/>
      <c r="BU673" s="335"/>
      <c r="BV673" s="335"/>
      <c r="BW673" s="335"/>
      <c r="BX673" s="335"/>
      <c r="BY673" s="335"/>
      <c r="BZ673" s="335"/>
      <c r="CA673" s="335"/>
      <c r="CB673" s="335"/>
      <c r="CC673" s="335"/>
      <c r="CD673" s="335"/>
      <c r="CE673" s="335"/>
      <c r="CF673" s="335"/>
      <c r="CG673" s="335"/>
      <c r="CH673" s="335"/>
      <c r="CI673" s="335"/>
      <c r="CJ673" s="335"/>
      <c r="CK673" s="335"/>
      <c r="CL673" s="335"/>
      <c r="CM673" s="335"/>
      <c r="CN673" s="335"/>
      <c r="CO673" s="335"/>
      <c r="CP673" s="335"/>
      <c r="CQ673" s="335"/>
      <c r="CR673" s="335"/>
      <c r="CS673" s="335"/>
      <c r="CT673" s="335"/>
      <c r="CU673" s="335"/>
      <c r="CV673" s="335"/>
      <c r="CW673" s="335"/>
      <c r="CX673" s="335"/>
      <c r="CY673" s="335"/>
      <c r="CZ673" s="335"/>
      <c r="DA673" s="335"/>
      <c r="DB673" s="335"/>
      <c r="DC673" s="335"/>
      <c r="DD673" s="335"/>
      <c r="DE673" s="335"/>
      <c r="DF673" s="335"/>
      <c r="DG673" s="335"/>
      <c r="DH673" s="335"/>
      <c r="DI673" s="335"/>
      <c r="DJ673" s="335"/>
      <c r="DK673" s="335"/>
      <c r="DL673" s="335"/>
      <c r="DM673" s="335"/>
      <c r="DN673" s="335"/>
      <c r="DO673" s="335"/>
      <c r="DP673" s="335"/>
      <c r="DQ673" s="335"/>
      <c r="DR673" s="335"/>
      <c r="DS673" s="335"/>
      <c r="DT673" s="335"/>
      <c r="DU673" s="335"/>
      <c r="DV673" s="335"/>
      <c r="DW673" s="335"/>
      <c r="DX673" s="335"/>
      <c r="DY673" s="335"/>
      <c r="DZ673" s="335"/>
      <c r="EA673" s="335"/>
      <c r="EB673" s="335"/>
      <c r="EC673" s="335"/>
      <c r="ED673" s="335"/>
      <c r="EE673" s="335"/>
      <c r="EF673" s="335"/>
      <c r="EG673" s="335"/>
      <c r="EH673" s="335"/>
      <c r="EI673" s="335"/>
      <c r="EJ673" s="335"/>
      <c r="EK673" s="335"/>
      <c r="EL673" s="335"/>
      <c r="EM673" s="335"/>
      <c r="EN673" s="335"/>
      <c r="EO673" s="335"/>
      <c r="EP673" s="335"/>
      <c r="EQ673" s="335"/>
      <c r="ER673" s="335"/>
      <c r="ES673" s="335"/>
      <c r="ET673" s="335"/>
      <c r="EU673" s="335"/>
      <c r="EV673" s="335"/>
      <c r="EW673" s="335"/>
      <c r="EX673" s="335"/>
      <c r="EY673" s="335"/>
      <c r="EZ673" s="335"/>
      <c r="FA673" s="335"/>
      <c r="FB673" s="335"/>
      <c r="FC673" s="335"/>
      <c r="FD673" s="335"/>
      <c r="FE673" s="335"/>
      <c r="FF673" s="335"/>
      <c r="FG673" s="335"/>
      <c r="FH673" s="335"/>
      <c r="FI673" s="335"/>
      <c r="FJ673" s="335"/>
      <c r="FK673" s="335"/>
      <c r="FL673" s="335"/>
      <c r="FM673" s="335"/>
      <c r="FN673" s="335"/>
      <c r="FO673" s="335"/>
      <c r="FP673" s="335"/>
      <c r="FQ673" s="335"/>
      <c r="FR673" s="335"/>
      <c r="FS673" s="335"/>
      <c r="FT673" s="335"/>
      <c r="FU673" s="335"/>
      <c r="FV673" s="335"/>
      <c r="FW673" s="335"/>
      <c r="FX673" s="335"/>
      <c r="FY673" s="335"/>
      <c r="FZ673" s="335"/>
      <c r="GA673" s="335"/>
      <c r="GB673" s="335"/>
      <c r="GC673" s="335"/>
      <c r="GD673" s="335"/>
      <c r="GE673" s="335"/>
      <c r="GF673" s="335"/>
      <c r="GG673" s="335"/>
      <c r="GH673" s="335"/>
      <c r="GI673" s="335"/>
      <c r="GJ673" s="335"/>
      <c r="GK673" s="335"/>
      <c r="GL673" s="335"/>
      <c r="GM673" s="335"/>
      <c r="GN673" s="335"/>
      <c r="GO673" s="335"/>
      <c r="GP673" s="335"/>
      <c r="GQ673" s="335"/>
      <c r="GR673" s="335"/>
      <c r="GS673" s="335"/>
      <c r="GT673" s="335"/>
      <c r="GU673" s="335"/>
      <c r="GV673" s="335"/>
      <c r="GW673" s="335"/>
      <c r="GX673" s="335"/>
      <c r="GY673" s="335"/>
      <c r="GZ673" s="335"/>
    </row>
    <row r="674" spans="1:208" ht="15">
      <c r="A674" s="379"/>
      <c r="B674" s="335"/>
      <c r="C674" s="335"/>
      <c r="D674" s="335"/>
      <c r="E674" s="335"/>
      <c r="F674" s="335"/>
      <c r="G674" s="335"/>
      <c r="H674" s="335"/>
      <c r="I674" s="335"/>
      <c r="J674" s="335"/>
      <c r="K674" s="335"/>
      <c r="L674" s="335"/>
      <c r="M674" s="376"/>
      <c r="N674" s="335"/>
      <c r="O674" s="380"/>
      <c r="P674" s="335"/>
      <c r="Q674" s="335"/>
      <c r="R674" s="335"/>
      <c r="S674" s="335"/>
      <c r="T674" s="335"/>
      <c r="U674" s="335"/>
      <c r="V674" s="335"/>
      <c r="W674" s="335"/>
      <c r="X674" s="335"/>
      <c r="Y674" s="335"/>
      <c r="Z674" s="335"/>
      <c r="AA674" s="335"/>
      <c r="AB674" s="335"/>
      <c r="AC674" s="335"/>
      <c r="AD674" s="335"/>
      <c r="AE674" s="335"/>
      <c r="AF674" s="335"/>
      <c r="AG674" s="335"/>
      <c r="AH674" s="335"/>
      <c r="AI674" s="335"/>
      <c r="AJ674" s="335"/>
      <c r="AK674" s="335"/>
      <c r="AL674" s="335"/>
      <c r="AM674" s="335"/>
      <c r="AN674" s="335"/>
      <c r="AO674" s="335"/>
      <c r="AP674" s="335"/>
      <c r="AQ674" s="335"/>
      <c r="AR674" s="335"/>
      <c r="AS674" s="335"/>
      <c r="AT674" s="335"/>
      <c r="AU674" s="335"/>
      <c r="AV674" s="335"/>
      <c r="AW674" s="335"/>
      <c r="AX674" s="335"/>
      <c r="AY674" s="335"/>
      <c r="AZ674" s="335"/>
      <c r="BA674" s="335"/>
      <c r="BB674" s="335"/>
      <c r="BC674" s="335"/>
      <c r="BD674" s="335"/>
      <c r="BE674" s="335"/>
      <c r="BF674" s="335"/>
      <c r="BG674" s="335"/>
      <c r="BH674" s="335"/>
      <c r="BI674" s="335"/>
      <c r="BJ674" s="335"/>
      <c r="BK674" s="335"/>
      <c r="BL674" s="335"/>
      <c r="BM674" s="335"/>
      <c r="BN674" s="335"/>
      <c r="BO674" s="335"/>
      <c r="BP674" s="335"/>
      <c r="BQ674" s="335"/>
      <c r="BR674" s="335"/>
      <c r="BS674" s="335"/>
      <c r="BT674" s="335"/>
      <c r="BU674" s="335"/>
      <c r="BV674" s="335"/>
      <c r="BW674" s="335"/>
      <c r="BX674" s="335"/>
      <c r="BY674" s="335"/>
      <c r="BZ674" s="335"/>
      <c r="CA674" s="335"/>
      <c r="CB674" s="335"/>
      <c r="CC674" s="335"/>
      <c r="CD674" s="335"/>
      <c r="CE674" s="335"/>
      <c r="CF674" s="335"/>
      <c r="CG674" s="335"/>
      <c r="CH674" s="335"/>
      <c r="CI674" s="335"/>
      <c r="CJ674" s="335"/>
      <c r="CK674" s="335"/>
      <c r="CL674" s="335"/>
      <c r="CM674" s="335"/>
      <c r="CN674" s="335"/>
      <c r="CO674" s="335"/>
      <c r="CP674" s="335"/>
      <c r="CQ674" s="335"/>
      <c r="CR674" s="335"/>
      <c r="CS674" s="335"/>
      <c r="CT674" s="335"/>
      <c r="CU674" s="335"/>
      <c r="CV674" s="335"/>
      <c r="CW674" s="335"/>
      <c r="CX674" s="335"/>
      <c r="CY674" s="335"/>
      <c r="CZ674" s="335"/>
      <c r="DA674" s="335"/>
      <c r="DB674" s="335"/>
      <c r="DC674" s="335"/>
      <c r="DD674" s="335"/>
      <c r="DE674" s="335"/>
      <c r="DF674" s="335"/>
      <c r="DG674" s="335"/>
      <c r="DH674" s="335"/>
      <c r="DI674" s="335"/>
      <c r="DJ674" s="335"/>
      <c r="DK674" s="335"/>
      <c r="DL674" s="335"/>
      <c r="DM674" s="335"/>
      <c r="DN674" s="335"/>
      <c r="DO674" s="335"/>
      <c r="DP674" s="335"/>
      <c r="DQ674" s="335"/>
      <c r="DR674" s="335"/>
      <c r="DS674" s="335"/>
      <c r="DT674" s="335"/>
      <c r="DU674" s="335"/>
      <c r="DV674" s="335"/>
      <c r="DW674" s="335"/>
      <c r="DX674" s="335"/>
      <c r="DY674" s="335"/>
      <c r="DZ674" s="335"/>
      <c r="EA674" s="335"/>
      <c r="EB674" s="335"/>
      <c r="EC674" s="335"/>
      <c r="ED674" s="335"/>
      <c r="EE674" s="335"/>
      <c r="EF674" s="335"/>
      <c r="EG674" s="335"/>
      <c r="EH674" s="335"/>
      <c r="EI674" s="335"/>
      <c r="EJ674" s="335"/>
      <c r="EK674" s="335"/>
      <c r="EL674" s="335"/>
      <c r="EM674" s="335"/>
      <c r="EN674" s="335"/>
      <c r="EO674" s="335"/>
      <c r="EP674" s="335"/>
      <c r="EQ674" s="335"/>
      <c r="ER674" s="335"/>
      <c r="ES674" s="335"/>
      <c r="ET674" s="335"/>
      <c r="EU674" s="335"/>
      <c r="EV674" s="335"/>
      <c r="EW674" s="335"/>
      <c r="EX674" s="335"/>
      <c r="EY674" s="335"/>
      <c r="EZ674" s="335"/>
      <c r="FA674" s="335"/>
      <c r="FB674" s="335"/>
      <c r="FC674" s="335"/>
      <c r="FD674" s="335"/>
      <c r="FE674" s="335"/>
      <c r="FF674" s="335"/>
      <c r="FG674" s="335"/>
      <c r="FH674" s="335"/>
      <c r="FI674" s="335"/>
      <c r="FJ674" s="335"/>
      <c r="FK674" s="335"/>
      <c r="FL674" s="335"/>
      <c r="FM674" s="335"/>
      <c r="FN674" s="335"/>
      <c r="FO674" s="335"/>
      <c r="FP674" s="335"/>
      <c r="FQ674" s="335"/>
      <c r="FR674" s="335"/>
      <c r="FS674" s="335"/>
      <c r="FT674" s="335"/>
      <c r="FU674" s="335"/>
      <c r="FV674" s="335"/>
      <c r="FW674" s="335"/>
      <c r="FX674" s="335"/>
      <c r="FY674" s="335"/>
      <c r="FZ674" s="335"/>
      <c r="GA674" s="335"/>
      <c r="GB674" s="335"/>
      <c r="GC674" s="335"/>
      <c r="GD674" s="335"/>
      <c r="GE674" s="335"/>
      <c r="GF674" s="335"/>
      <c r="GG674" s="335"/>
      <c r="GH674" s="335"/>
      <c r="GI674" s="335"/>
      <c r="GJ674" s="335"/>
      <c r="GK674" s="335"/>
      <c r="GL674" s="335"/>
      <c r="GM674" s="335"/>
      <c r="GN674" s="335"/>
      <c r="GO674" s="335"/>
      <c r="GP674" s="335"/>
      <c r="GQ674" s="335"/>
      <c r="GR674" s="335"/>
      <c r="GS674" s="335"/>
      <c r="GT674" s="335"/>
      <c r="GU674" s="335"/>
      <c r="GV674" s="335"/>
      <c r="GW674" s="335"/>
      <c r="GX674" s="335"/>
      <c r="GY674" s="335"/>
      <c r="GZ674" s="335"/>
    </row>
    <row r="675" spans="1:208" ht="15">
      <c r="A675" s="379"/>
      <c r="B675" s="335"/>
      <c r="C675" s="335"/>
      <c r="D675" s="335"/>
      <c r="E675" s="335"/>
      <c r="F675" s="335"/>
      <c r="G675" s="335"/>
      <c r="H675" s="335"/>
      <c r="I675" s="335"/>
      <c r="J675" s="335"/>
      <c r="K675" s="335"/>
      <c r="L675" s="335"/>
      <c r="M675" s="376"/>
      <c r="N675" s="335"/>
      <c r="O675" s="380"/>
      <c r="P675" s="335"/>
      <c r="Q675" s="335"/>
      <c r="R675" s="335"/>
      <c r="S675" s="335"/>
      <c r="T675" s="335"/>
      <c r="U675" s="335"/>
      <c r="V675" s="335"/>
      <c r="W675" s="335"/>
      <c r="X675" s="335"/>
      <c r="Y675" s="335"/>
      <c r="Z675" s="335"/>
      <c r="AA675" s="335"/>
      <c r="AB675" s="335"/>
      <c r="AC675" s="335"/>
      <c r="AD675" s="335"/>
      <c r="AE675" s="335"/>
      <c r="AF675" s="335"/>
      <c r="AG675" s="335"/>
      <c r="AH675" s="335"/>
      <c r="AI675" s="335"/>
      <c r="AJ675" s="335"/>
      <c r="AK675" s="335"/>
      <c r="AL675" s="335"/>
      <c r="AM675" s="335"/>
      <c r="AN675" s="335"/>
      <c r="AO675" s="335"/>
      <c r="AP675" s="335"/>
      <c r="AQ675" s="335"/>
      <c r="AR675" s="335"/>
      <c r="AS675" s="335"/>
      <c r="AT675" s="335"/>
      <c r="AU675" s="335"/>
      <c r="AV675" s="335"/>
      <c r="AW675" s="335"/>
      <c r="AX675" s="335"/>
      <c r="AY675" s="335"/>
      <c r="AZ675" s="335"/>
      <c r="BA675" s="335"/>
      <c r="BB675" s="335"/>
      <c r="BC675" s="335"/>
      <c r="BD675" s="335"/>
      <c r="BE675" s="335"/>
      <c r="BF675" s="335"/>
      <c r="BG675" s="335"/>
      <c r="BH675" s="335"/>
      <c r="BI675" s="335"/>
      <c r="BJ675" s="335"/>
      <c r="BK675" s="335"/>
      <c r="BL675" s="335"/>
      <c r="BM675" s="335"/>
      <c r="BN675" s="335"/>
      <c r="BO675" s="335"/>
      <c r="BP675" s="335"/>
      <c r="BQ675" s="335"/>
      <c r="BR675" s="335"/>
      <c r="BS675" s="335"/>
      <c r="BT675" s="335"/>
      <c r="BU675" s="335"/>
      <c r="BV675" s="335"/>
      <c r="BW675" s="335"/>
      <c r="BX675" s="335"/>
      <c r="BY675" s="335"/>
      <c r="BZ675" s="335"/>
      <c r="CA675" s="335"/>
      <c r="CB675" s="335"/>
      <c r="CC675" s="335"/>
      <c r="CD675" s="335"/>
      <c r="CE675" s="335"/>
      <c r="CF675" s="335"/>
      <c r="CG675" s="335"/>
      <c r="CH675" s="335"/>
      <c r="CI675" s="335"/>
      <c r="CJ675" s="335"/>
      <c r="CK675" s="335"/>
      <c r="CL675" s="335"/>
      <c r="CM675" s="335"/>
      <c r="CN675" s="335"/>
      <c r="CO675" s="335"/>
      <c r="CP675" s="335"/>
      <c r="CQ675" s="335"/>
      <c r="CR675" s="335"/>
      <c r="CS675" s="335"/>
      <c r="CT675" s="335"/>
      <c r="CU675" s="335"/>
      <c r="CV675" s="335"/>
      <c r="CW675" s="335"/>
      <c r="CX675" s="335"/>
      <c r="CY675" s="335"/>
      <c r="CZ675" s="335"/>
      <c r="DA675" s="335"/>
      <c r="DB675" s="335"/>
      <c r="DC675" s="335"/>
      <c r="DD675" s="335"/>
      <c r="DE675" s="335"/>
      <c r="DF675" s="335"/>
      <c r="DG675" s="335"/>
      <c r="DH675" s="335"/>
      <c r="DI675" s="335"/>
      <c r="DJ675" s="335"/>
      <c r="DK675" s="335"/>
      <c r="DL675" s="335"/>
      <c r="DM675" s="335"/>
      <c r="DN675" s="335"/>
      <c r="DO675" s="335"/>
      <c r="DP675" s="335"/>
      <c r="DQ675" s="335"/>
      <c r="DR675" s="335"/>
      <c r="DS675" s="335"/>
      <c r="DT675" s="335"/>
      <c r="DU675" s="335"/>
      <c r="DV675" s="335"/>
      <c r="DW675" s="335"/>
      <c r="DX675" s="335"/>
      <c r="DY675" s="335"/>
      <c r="DZ675" s="335"/>
      <c r="EA675" s="335"/>
      <c r="EB675" s="335"/>
      <c r="EC675" s="335"/>
      <c r="ED675" s="335"/>
      <c r="EE675" s="335"/>
      <c r="EF675" s="335"/>
      <c r="EG675" s="335"/>
      <c r="EH675" s="335"/>
      <c r="EI675" s="335"/>
      <c r="EJ675" s="335"/>
      <c r="EK675" s="335"/>
      <c r="EL675" s="335"/>
      <c r="EM675" s="335"/>
      <c r="EN675" s="335"/>
      <c r="EO675" s="335"/>
      <c r="EP675" s="335"/>
      <c r="EQ675" s="335"/>
      <c r="ER675" s="335"/>
      <c r="ES675" s="335"/>
      <c r="ET675" s="335"/>
      <c r="EU675" s="335"/>
      <c r="EV675" s="335"/>
      <c r="EW675" s="335"/>
      <c r="EX675" s="335"/>
      <c r="EY675" s="335"/>
      <c r="EZ675" s="335"/>
      <c r="FA675" s="335"/>
      <c r="FB675" s="335"/>
      <c r="FC675" s="335"/>
      <c r="FD675" s="335"/>
      <c r="FE675" s="335"/>
      <c r="FF675" s="335"/>
      <c r="FG675" s="335"/>
      <c r="FH675" s="335"/>
      <c r="FI675" s="335"/>
      <c r="FJ675" s="335"/>
      <c r="FK675" s="335"/>
      <c r="FL675" s="335"/>
      <c r="FM675" s="335"/>
      <c r="FN675" s="335"/>
      <c r="FO675" s="335"/>
      <c r="FP675" s="335"/>
      <c r="FQ675" s="335"/>
      <c r="FR675" s="335"/>
      <c r="FS675" s="335"/>
      <c r="FT675" s="335"/>
      <c r="FU675" s="335"/>
      <c r="FV675" s="335"/>
      <c r="FW675" s="335"/>
      <c r="FX675" s="335"/>
      <c r="FY675" s="335"/>
      <c r="FZ675" s="335"/>
      <c r="GA675" s="335"/>
      <c r="GB675" s="335"/>
      <c r="GC675" s="335"/>
      <c r="GD675" s="335"/>
      <c r="GE675" s="335"/>
      <c r="GF675" s="335"/>
      <c r="GG675" s="335"/>
      <c r="GH675" s="335"/>
      <c r="GI675" s="335"/>
      <c r="GJ675" s="335"/>
      <c r="GK675" s="335"/>
      <c r="GL675" s="335"/>
      <c r="GM675" s="335"/>
      <c r="GN675" s="335"/>
      <c r="GO675" s="335"/>
      <c r="GP675" s="335"/>
      <c r="GQ675" s="335"/>
      <c r="GR675" s="335"/>
      <c r="GS675" s="335"/>
      <c r="GT675" s="335"/>
      <c r="GU675" s="335"/>
      <c r="GV675" s="335"/>
      <c r="GW675" s="335"/>
      <c r="GX675" s="335"/>
      <c r="GY675" s="335"/>
      <c r="GZ675" s="335"/>
    </row>
    <row r="676" spans="1:208" ht="15">
      <c r="A676" s="379"/>
      <c r="B676" s="335"/>
      <c r="C676" s="335"/>
      <c r="D676" s="335"/>
      <c r="E676" s="335"/>
      <c r="F676" s="335"/>
      <c r="G676" s="335"/>
      <c r="H676" s="335"/>
      <c r="I676" s="335"/>
      <c r="J676" s="335"/>
      <c r="K676" s="335"/>
      <c r="L676" s="335"/>
      <c r="M676" s="376"/>
      <c r="N676" s="335"/>
      <c r="O676" s="380"/>
      <c r="P676" s="335"/>
      <c r="Q676" s="335"/>
      <c r="R676" s="335"/>
      <c r="S676" s="335"/>
      <c r="T676" s="335"/>
      <c r="U676" s="335"/>
      <c r="V676" s="335"/>
      <c r="W676" s="335"/>
      <c r="X676" s="335"/>
      <c r="Y676" s="335"/>
      <c r="Z676" s="335"/>
      <c r="AA676" s="335"/>
      <c r="AB676" s="335"/>
      <c r="AC676" s="335"/>
      <c r="AD676" s="335"/>
      <c r="AE676" s="335"/>
      <c r="AF676" s="335"/>
      <c r="AG676" s="335"/>
      <c r="AH676" s="335"/>
      <c r="AI676" s="335"/>
      <c r="AJ676" s="335"/>
      <c r="AK676" s="335"/>
      <c r="AL676" s="335"/>
      <c r="AM676" s="335"/>
      <c r="AN676" s="335"/>
      <c r="AO676" s="335"/>
      <c r="AP676" s="335"/>
      <c r="AQ676" s="335"/>
      <c r="AR676" s="335"/>
      <c r="AS676" s="335"/>
      <c r="AT676" s="335"/>
      <c r="AU676" s="335"/>
      <c r="AV676" s="335"/>
      <c r="AW676" s="335"/>
      <c r="AX676" s="335"/>
      <c r="AY676" s="335"/>
      <c r="AZ676" s="335"/>
      <c r="BA676" s="335"/>
      <c r="BB676" s="335"/>
      <c r="BC676" s="335"/>
      <c r="BD676" s="335"/>
      <c r="BE676" s="335"/>
      <c r="BF676" s="335"/>
      <c r="BG676" s="335"/>
      <c r="BH676" s="335"/>
      <c r="BI676" s="335"/>
      <c r="BJ676" s="335"/>
      <c r="BK676" s="335"/>
      <c r="BL676" s="335"/>
      <c r="BM676" s="335"/>
      <c r="BN676" s="335"/>
      <c r="BO676" s="335"/>
      <c r="BP676" s="335"/>
      <c r="BQ676" s="335"/>
      <c r="BR676" s="335"/>
      <c r="BS676" s="335"/>
      <c r="BT676" s="335"/>
      <c r="BU676" s="335"/>
      <c r="BV676" s="335"/>
      <c r="BW676" s="335"/>
      <c r="BX676" s="335"/>
      <c r="BY676" s="335"/>
      <c r="BZ676" s="335"/>
      <c r="CA676" s="335"/>
      <c r="CB676" s="335"/>
      <c r="CC676" s="335"/>
      <c r="CD676" s="335"/>
      <c r="CE676" s="335"/>
      <c r="CF676" s="335"/>
      <c r="CG676" s="335"/>
      <c r="CH676" s="335"/>
      <c r="CI676" s="335"/>
      <c r="CJ676" s="335"/>
      <c r="CK676" s="335"/>
      <c r="CL676" s="335"/>
      <c r="CM676" s="335"/>
      <c r="CN676" s="335"/>
      <c r="CO676" s="335"/>
      <c r="CP676" s="335"/>
      <c r="CQ676" s="335"/>
      <c r="CR676" s="335"/>
      <c r="CS676" s="335"/>
      <c r="CT676" s="335"/>
      <c r="CU676" s="335"/>
      <c r="CV676" s="335"/>
      <c r="CW676" s="335"/>
      <c r="CX676" s="335"/>
      <c r="CY676" s="335"/>
      <c r="CZ676" s="335"/>
      <c r="DA676" s="335"/>
      <c r="DB676" s="335"/>
      <c r="DC676" s="335"/>
      <c r="DD676" s="335"/>
      <c r="DE676" s="335"/>
      <c r="DF676" s="335"/>
      <c r="DG676" s="335"/>
      <c r="DH676" s="335"/>
      <c r="DI676" s="335"/>
      <c r="DJ676" s="335"/>
      <c r="DK676" s="335"/>
      <c r="DL676" s="335"/>
      <c r="DM676" s="335"/>
      <c r="DN676" s="335"/>
      <c r="DO676" s="335"/>
      <c r="DP676" s="335"/>
      <c r="DQ676" s="335"/>
      <c r="DR676" s="335"/>
      <c r="DS676" s="335"/>
      <c r="DT676" s="335"/>
      <c r="DU676" s="335"/>
      <c r="DV676" s="335"/>
      <c r="DW676" s="335"/>
      <c r="DX676" s="335"/>
      <c r="DY676" s="335"/>
      <c r="DZ676" s="335"/>
      <c r="EA676" s="335"/>
      <c r="EB676" s="335"/>
      <c r="EC676" s="335"/>
      <c r="ED676" s="335"/>
      <c r="EE676" s="335"/>
      <c r="EF676" s="335"/>
      <c r="EG676" s="335"/>
      <c r="EH676" s="335"/>
      <c r="EI676" s="335"/>
      <c r="EJ676" s="335"/>
      <c r="EK676" s="335"/>
      <c r="EL676" s="335"/>
      <c r="EM676" s="335"/>
      <c r="EN676" s="335"/>
      <c r="EO676" s="335"/>
      <c r="EP676" s="335"/>
      <c r="EQ676" s="335"/>
      <c r="ER676" s="335"/>
      <c r="ES676" s="335"/>
      <c r="ET676" s="335"/>
      <c r="EU676" s="335"/>
      <c r="EV676" s="335"/>
      <c r="EW676" s="335"/>
      <c r="EX676" s="335"/>
      <c r="EY676" s="335"/>
      <c r="EZ676" s="335"/>
      <c r="FA676" s="335"/>
      <c r="FB676" s="335"/>
      <c r="FC676" s="335"/>
      <c r="FD676" s="335"/>
      <c r="FE676" s="335"/>
      <c r="FF676" s="335"/>
      <c r="FG676" s="335"/>
      <c r="FH676" s="335"/>
      <c r="FI676" s="335"/>
      <c r="FJ676" s="335"/>
      <c r="FK676" s="335"/>
      <c r="FL676" s="335"/>
      <c r="FM676" s="335"/>
      <c r="FN676" s="335"/>
      <c r="FO676" s="335"/>
      <c r="FP676" s="335"/>
      <c r="FQ676" s="335"/>
      <c r="FR676" s="335"/>
      <c r="FS676" s="335"/>
      <c r="FT676" s="335"/>
      <c r="FU676" s="335"/>
      <c r="FV676" s="335"/>
      <c r="FW676" s="335"/>
      <c r="FX676" s="335"/>
      <c r="FY676" s="335"/>
      <c r="FZ676" s="335"/>
      <c r="GA676" s="335"/>
      <c r="GB676" s="335"/>
      <c r="GC676" s="335"/>
      <c r="GD676" s="335"/>
      <c r="GE676" s="335"/>
      <c r="GF676" s="335"/>
      <c r="GG676" s="335"/>
      <c r="GH676" s="335"/>
      <c r="GI676" s="335"/>
      <c r="GJ676" s="335"/>
      <c r="GK676" s="335"/>
      <c r="GL676" s="335"/>
      <c r="GM676" s="335"/>
      <c r="GN676" s="335"/>
      <c r="GO676" s="335"/>
      <c r="GP676" s="335"/>
      <c r="GQ676" s="335"/>
      <c r="GR676" s="335"/>
      <c r="GS676" s="335"/>
      <c r="GT676" s="335"/>
      <c r="GU676" s="335"/>
      <c r="GV676" s="335"/>
      <c r="GW676" s="335"/>
      <c r="GX676" s="335"/>
      <c r="GY676" s="335"/>
      <c r="GZ676" s="335"/>
    </row>
    <row r="677" spans="1:208" ht="15">
      <c r="A677" s="379"/>
      <c r="B677" s="335"/>
      <c r="C677" s="335"/>
      <c r="D677" s="335"/>
      <c r="E677" s="335"/>
      <c r="F677" s="335"/>
      <c r="G677" s="335"/>
      <c r="H677" s="335"/>
      <c r="I677" s="335"/>
      <c r="J677" s="335"/>
      <c r="K677" s="335"/>
      <c r="L677" s="335"/>
      <c r="M677" s="376"/>
      <c r="N677" s="335"/>
      <c r="O677" s="380"/>
      <c r="P677" s="335"/>
      <c r="Q677" s="335"/>
      <c r="R677" s="335"/>
      <c r="S677" s="335"/>
      <c r="T677" s="335"/>
      <c r="U677" s="335"/>
      <c r="V677" s="335"/>
      <c r="W677" s="335"/>
      <c r="X677" s="335"/>
      <c r="Y677" s="335"/>
      <c r="Z677" s="335"/>
      <c r="AA677" s="335"/>
      <c r="AB677" s="335"/>
      <c r="AC677" s="335"/>
      <c r="AD677" s="335"/>
      <c r="AE677" s="335"/>
      <c r="AF677" s="335"/>
      <c r="AG677" s="335"/>
      <c r="AH677" s="335"/>
      <c r="AI677" s="335"/>
      <c r="AJ677" s="335"/>
      <c r="AK677" s="335"/>
      <c r="AL677" s="335"/>
      <c r="AM677" s="335"/>
      <c r="AN677" s="335"/>
      <c r="AO677" s="335"/>
      <c r="AP677" s="335"/>
      <c r="AQ677" s="335"/>
      <c r="AR677" s="335"/>
      <c r="AS677" s="335"/>
      <c r="AT677" s="335"/>
      <c r="AU677" s="335"/>
      <c r="AV677" s="335"/>
      <c r="AW677" s="335"/>
      <c r="AX677" s="335"/>
      <c r="AY677" s="335"/>
      <c r="AZ677" s="335"/>
      <c r="BA677" s="335"/>
      <c r="BB677" s="335"/>
      <c r="BC677" s="335"/>
      <c r="BD677" s="335"/>
      <c r="BE677" s="335"/>
      <c r="BF677" s="335"/>
      <c r="BG677" s="335"/>
      <c r="BH677" s="335"/>
      <c r="BI677" s="335"/>
      <c r="BJ677" s="335"/>
      <c r="BK677" s="335"/>
      <c r="BL677" s="335"/>
      <c r="BM677" s="335"/>
      <c r="BN677" s="335"/>
      <c r="BO677" s="335"/>
      <c r="BP677" s="335"/>
      <c r="BQ677" s="335"/>
      <c r="BR677" s="335"/>
      <c r="BS677" s="335"/>
      <c r="BT677" s="335"/>
      <c r="BU677" s="335"/>
      <c r="BV677" s="335"/>
      <c r="BW677" s="335"/>
      <c r="BX677" s="335"/>
      <c r="BY677" s="335"/>
      <c r="BZ677" s="335"/>
      <c r="CA677" s="335"/>
      <c r="CB677" s="335"/>
      <c r="CC677" s="335"/>
      <c r="CD677" s="335"/>
      <c r="CE677" s="335"/>
      <c r="CF677" s="335"/>
      <c r="CG677" s="335"/>
      <c r="CH677" s="335"/>
      <c r="CI677" s="335"/>
      <c r="CJ677" s="335"/>
      <c r="CK677" s="335"/>
      <c r="CL677" s="335"/>
      <c r="CM677" s="335"/>
      <c r="CN677" s="335"/>
      <c r="CO677" s="335"/>
      <c r="CP677" s="335"/>
      <c r="CQ677" s="335"/>
      <c r="CR677" s="335"/>
      <c r="CS677" s="335"/>
      <c r="CT677" s="335"/>
      <c r="CU677" s="335"/>
      <c r="CV677" s="335"/>
      <c r="CW677" s="335"/>
      <c r="CX677" s="335"/>
      <c r="CY677" s="335"/>
      <c r="CZ677" s="335"/>
      <c r="DA677" s="335"/>
      <c r="DB677" s="335"/>
      <c r="DC677" s="335"/>
      <c r="DD677" s="335"/>
      <c r="DE677" s="335"/>
      <c r="DF677" s="335"/>
      <c r="DG677" s="335"/>
      <c r="DH677" s="335"/>
      <c r="DI677" s="335"/>
      <c r="DJ677" s="335"/>
      <c r="DK677" s="335"/>
      <c r="DL677" s="335"/>
      <c r="DM677" s="335"/>
      <c r="DN677" s="335"/>
      <c r="DO677" s="335"/>
      <c r="DP677" s="335"/>
      <c r="DQ677" s="335"/>
      <c r="DR677" s="335"/>
      <c r="DS677" s="335"/>
      <c r="DT677" s="335"/>
      <c r="DU677" s="335"/>
      <c r="DV677" s="335"/>
      <c r="DW677" s="335"/>
      <c r="DX677" s="335"/>
      <c r="DY677" s="335"/>
      <c r="DZ677" s="335"/>
      <c r="EA677" s="335"/>
      <c r="EB677" s="335"/>
      <c r="EC677" s="335"/>
      <c r="ED677" s="335"/>
      <c r="EE677" s="335"/>
      <c r="EF677" s="335"/>
      <c r="EG677" s="335"/>
      <c r="EH677" s="335"/>
      <c r="EI677" s="335"/>
      <c r="EJ677" s="335"/>
      <c r="EK677" s="335"/>
      <c r="EL677" s="335"/>
      <c r="EM677" s="335"/>
      <c r="EN677" s="335"/>
      <c r="EO677" s="335"/>
      <c r="EP677" s="335"/>
      <c r="EQ677" s="335"/>
      <c r="ER677" s="335"/>
      <c r="ES677" s="335"/>
      <c r="ET677" s="335"/>
      <c r="EU677" s="335"/>
      <c r="EV677" s="335"/>
      <c r="EW677" s="335"/>
      <c r="EX677" s="335"/>
      <c r="EY677" s="335"/>
      <c r="EZ677" s="335"/>
      <c r="FA677" s="335"/>
      <c r="FB677" s="335"/>
      <c r="FC677" s="335"/>
      <c r="FD677" s="335"/>
      <c r="FE677" s="335"/>
      <c r="FF677" s="335"/>
      <c r="FG677" s="335"/>
      <c r="FH677" s="335"/>
      <c r="FI677" s="335"/>
      <c r="FJ677" s="335"/>
      <c r="FK677" s="335"/>
      <c r="FL677" s="335"/>
      <c r="FM677" s="335"/>
      <c r="FN677" s="335"/>
      <c r="FO677" s="335"/>
      <c r="FP677" s="335"/>
      <c r="FQ677" s="335"/>
      <c r="FR677" s="335"/>
      <c r="FS677" s="335"/>
      <c r="FT677" s="335"/>
      <c r="FU677" s="335"/>
      <c r="FV677" s="335"/>
      <c r="FW677" s="335"/>
      <c r="FX677" s="335"/>
      <c r="FY677" s="335"/>
      <c r="FZ677" s="335"/>
      <c r="GA677" s="335"/>
      <c r="GB677" s="335"/>
      <c r="GC677" s="335"/>
      <c r="GD677" s="335"/>
      <c r="GE677" s="335"/>
      <c r="GF677" s="335"/>
      <c r="GG677" s="335"/>
      <c r="GH677" s="335"/>
      <c r="GI677" s="335"/>
      <c r="GJ677" s="335"/>
      <c r="GK677" s="335"/>
      <c r="GL677" s="335"/>
      <c r="GM677" s="335"/>
      <c r="GN677" s="335"/>
      <c r="GO677" s="335"/>
      <c r="GP677" s="335"/>
      <c r="GQ677" s="335"/>
      <c r="GR677" s="335"/>
      <c r="GS677" s="335"/>
      <c r="GT677" s="335"/>
      <c r="GU677" s="335"/>
      <c r="GV677" s="335"/>
      <c r="GW677" s="335"/>
      <c r="GX677" s="335"/>
      <c r="GY677" s="335"/>
      <c r="GZ677" s="335"/>
    </row>
    <row r="678" spans="1:208" ht="15">
      <c r="A678" s="379"/>
      <c r="B678" s="335"/>
      <c r="C678" s="335"/>
      <c r="D678" s="335"/>
      <c r="E678" s="335"/>
      <c r="F678" s="335"/>
      <c r="G678" s="335"/>
      <c r="H678" s="335"/>
      <c r="I678" s="335"/>
      <c r="J678" s="335"/>
      <c r="K678" s="335"/>
      <c r="L678" s="335"/>
      <c r="M678" s="376"/>
      <c r="N678" s="335"/>
      <c r="O678" s="380"/>
      <c r="P678" s="335"/>
      <c r="Q678" s="335"/>
      <c r="R678" s="335"/>
      <c r="S678" s="335"/>
      <c r="T678" s="335"/>
      <c r="U678" s="335"/>
      <c r="V678" s="335"/>
      <c r="W678" s="335"/>
      <c r="X678" s="335"/>
      <c r="Y678" s="335"/>
      <c r="Z678" s="335"/>
      <c r="AA678" s="335"/>
      <c r="AB678" s="335"/>
      <c r="AC678" s="335"/>
      <c r="AD678" s="335"/>
      <c r="AE678" s="335"/>
      <c r="AF678" s="335"/>
      <c r="AG678" s="335"/>
      <c r="AH678" s="335"/>
      <c r="AI678" s="335"/>
      <c r="AJ678" s="335"/>
      <c r="AK678" s="335"/>
      <c r="AL678" s="335"/>
      <c r="AM678" s="335"/>
      <c r="AN678" s="335"/>
      <c r="AO678" s="335"/>
      <c r="AP678" s="335"/>
      <c r="AQ678" s="335"/>
      <c r="AR678" s="335"/>
      <c r="AS678" s="335"/>
      <c r="AT678" s="335"/>
      <c r="AU678" s="335"/>
      <c r="AV678" s="335"/>
      <c r="AW678" s="335"/>
      <c r="AX678" s="335"/>
      <c r="AY678" s="335"/>
      <c r="AZ678" s="335"/>
      <c r="BA678" s="335"/>
      <c r="BB678" s="335"/>
      <c r="BC678" s="335"/>
      <c r="BD678" s="335"/>
      <c r="BE678" s="335"/>
      <c r="BF678" s="335"/>
      <c r="BG678" s="335"/>
      <c r="BH678" s="335"/>
      <c r="BI678" s="335"/>
      <c r="BJ678" s="335"/>
      <c r="BK678" s="335"/>
      <c r="BL678" s="335"/>
      <c r="BM678" s="335"/>
      <c r="BN678" s="335"/>
      <c r="BO678" s="335"/>
      <c r="BP678" s="335"/>
      <c r="BQ678" s="335"/>
      <c r="BR678" s="335"/>
      <c r="BS678" s="335"/>
      <c r="BT678" s="335"/>
      <c r="BU678" s="335"/>
      <c r="BV678" s="335"/>
      <c r="BW678" s="335"/>
      <c r="BX678" s="335"/>
      <c r="BY678" s="335"/>
      <c r="BZ678" s="335"/>
      <c r="CA678" s="335"/>
      <c r="CB678" s="335"/>
      <c r="CC678" s="335"/>
      <c r="CD678" s="335"/>
      <c r="CE678" s="335"/>
      <c r="CF678" s="335"/>
      <c r="CG678" s="335"/>
      <c r="CH678" s="335"/>
      <c r="CI678" s="335"/>
      <c r="CJ678" s="335"/>
      <c r="CK678" s="335"/>
      <c r="CL678" s="335"/>
      <c r="CM678" s="335"/>
      <c r="CN678" s="335"/>
      <c r="CO678" s="335"/>
      <c r="CP678" s="335"/>
      <c r="CQ678" s="335"/>
      <c r="CR678" s="335"/>
      <c r="CS678" s="335"/>
      <c r="CT678" s="335"/>
      <c r="CU678" s="335"/>
      <c r="CV678" s="335"/>
      <c r="CW678" s="335"/>
      <c r="CX678" s="335"/>
      <c r="CY678" s="335"/>
      <c r="CZ678" s="335"/>
      <c r="DA678" s="335"/>
      <c r="DB678" s="335"/>
      <c r="DC678" s="335"/>
      <c r="DD678" s="335"/>
      <c r="DE678" s="335"/>
      <c r="DF678" s="335"/>
      <c r="DG678" s="335"/>
      <c r="DH678" s="335"/>
      <c r="DI678" s="335"/>
      <c r="DJ678" s="335"/>
      <c r="DK678" s="335"/>
      <c r="DL678" s="335"/>
      <c r="DM678" s="335"/>
      <c r="DN678" s="335"/>
      <c r="DO678" s="335"/>
      <c r="DP678" s="335"/>
      <c r="DQ678" s="335"/>
      <c r="DR678" s="335"/>
      <c r="DS678" s="335"/>
      <c r="DT678" s="335"/>
      <c r="DU678" s="335"/>
      <c r="DV678" s="335"/>
      <c r="DW678" s="335"/>
      <c r="DX678" s="335"/>
      <c r="DY678" s="335"/>
      <c r="DZ678" s="335"/>
      <c r="EA678" s="335"/>
      <c r="EB678" s="335"/>
      <c r="EC678" s="335"/>
      <c r="ED678" s="335"/>
      <c r="EE678" s="335"/>
      <c r="EF678" s="335"/>
      <c r="EG678" s="335"/>
      <c r="EH678" s="335"/>
      <c r="EI678" s="335"/>
      <c r="EJ678" s="335"/>
      <c r="EK678" s="335"/>
      <c r="EL678" s="335"/>
      <c r="EM678" s="335"/>
      <c r="EN678" s="335"/>
      <c r="EO678" s="335"/>
      <c r="EP678" s="335"/>
      <c r="EQ678" s="335"/>
      <c r="ER678" s="335"/>
      <c r="ES678" s="335"/>
      <c r="ET678" s="335"/>
      <c r="EU678" s="335"/>
      <c r="EV678" s="335"/>
      <c r="EW678" s="335"/>
      <c r="EX678" s="335"/>
      <c r="EY678" s="335"/>
      <c r="EZ678" s="335"/>
      <c r="FA678" s="335"/>
      <c r="FB678" s="335"/>
      <c r="FC678" s="335"/>
      <c r="FD678" s="335"/>
      <c r="FE678" s="335"/>
      <c r="FF678" s="335"/>
      <c r="FG678" s="335"/>
      <c r="FH678" s="335"/>
      <c r="FI678" s="335"/>
      <c r="FJ678" s="335"/>
      <c r="FK678" s="335"/>
      <c r="FL678" s="335"/>
      <c r="FM678" s="335"/>
      <c r="FN678" s="335"/>
      <c r="FO678" s="335"/>
      <c r="FP678" s="335"/>
      <c r="FQ678" s="335"/>
      <c r="FR678" s="335"/>
      <c r="FS678" s="335"/>
      <c r="FT678" s="335"/>
      <c r="FU678" s="335"/>
      <c r="FV678" s="335"/>
      <c r="FW678" s="335"/>
      <c r="FX678" s="335"/>
      <c r="FY678" s="335"/>
      <c r="FZ678" s="335"/>
      <c r="GA678" s="335"/>
      <c r="GB678" s="335"/>
      <c r="GC678" s="335"/>
      <c r="GD678" s="335"/>
      <c r="GE678" s="335"/>
      <c r="GF678" s="335"/>
      <c r="GG678" s="335"/>
      <c r="GH678" s="335"/>
      <c r="GI678" s="335"/>
      <c r="GJ678" s="335"/>
      <c r="GK678" s="335"/>
      <c r="GL678" s="335"/>
      <c r="GM678" s="335"/>
      <c r="GN678" s="335"/>
      <c r="GO678" s="335"/>
      <c r="GP678" s="335"/>
      <c r="GQ678" s="335"/>
      <c r="GR678" s="335"/>
      <c r="GS678" s="335"/>
      <c r="GT678" s="335"/>
      <c r="GU678" s="335"/>
      <c r="GV678" s="335"/>
      <c r="GW678" s="335"/>
      <c r="GX678" s="335"/>
      <c r="GY678" s="335"/>
      <c r="GZ678" s="335"/>
    </row>
    <row r="679" spans="1:208" ht="15">
      <c r="A679" s="379"/>
      <c r="B679" s="335"/>
      <c r="C679" s="335"/>
      <c r="D679" s="335"/>
      <c r="E679" s="335"/>
      <c r="F679" s="335"/>
      <c r="G679" s="335"/>
      <c r="H679" s="335"/>
      <c r="I679" s="335"/>
      <c r="J679" s="335"/>
      <c r="K679" s="335"/>
      <c r="L679" s="335"/>
      <c r="M679" s="376"/>
      <c r="N679" s="335"/>
      <c r="O679" s="380"/>
      <c r="P679" s="335"/>
      <c r="Q679" s="335"/>
      <c r="R679" s="335"/>
      <c r="S679" s="335"/>
      <c r="T679" s="335"/>
      <c r="U679" s="335"/>
      <c r="V679" s="335"/>
      <c r="W679" s="335"/>
      <c r="X679" s="335"/>
      <c r="Y679" s="335"/>
      <c r="Z679" s="335"/>
      <c r="AA679" s="335"/>
      <c r="AB679" s="335"/>
      <c r="AC679" s="335"/>
      <c r="AD679" s="335"/>
      <c r="AE679" s="335"/>
      <c r="AF679" s="335"/>
      <c r="AG679" s="335"/>
      <c r="AH679" s="335"/>
      <c r="AI679" s="335"/>
      <c r="AJ679" s="335"/>
      <c r="AK679" s="335"/>
      <c r="AL679" s="335"/>
      <c r="AM679" s="335"/>
      <c r="AN679" s="335"/>
      <c r="AO679" s="335"/>
      <c r="AP679" s="335"/>
      <c r="AQ679" s="335"/>
      <c r="AR679" s="335"/>
      <c r="AS679" s="335"/>
      <c r="AT679" s="335"/>
      <c r="AU679" s="335"/>
      <c r="AV679" s="335"/>
      <c r="AW679" s="335"/>
      <c r="AX679" s="335"/>
      <c r="AY679" s="335"/>
      <c r="AZ679" s="335"/>
      <c r="BA679" s="335"/>
      <c r="BB679" s="335"/>
      <c r="BC679" s="335"/>
      <c r="BD679" s="335"/>
      <c r="BE679" s="335"/>
      <c r="BF679" s="335"/>
      <c r="BG679" s="335"/>
      <c r="BH679" s="335"/>
      <c r="BI679" s="335"/>
      <c r="BJ679" s="335"/>
      <c r="BK679" s="335"/>
      <c r="BL679" s="335"/>
      <c r="BM679" s="335"/>
      <c r="BN679" s="335"/>
      <c r="BO679" s="335"/>
      <c r="BP679" s="335"/>
      <c r="BQ679" s="335"/>
      <c r="BR679" s="335"/>
      <c r="BS679" s="335"/>
      <c r="BT679" s="335"/>
      <c r="BU679" s="335"/>
      <c r="BV679" s="335"/>
      <c r="BW679" s="335"/>
      <c r="BX679" s="335"/>
      <c r="BY679" s="335"/>
      <c r="BZ679" s="335"/>
      <c r="CA679" s="335"/>
      <c r="CB679" s="335"/>
      <c r="CC679" s="335"/>
      <c r="CD679" s="335"/>
      <c r="CE679" s="335"/>
      <c r="CF679" s="335"/>
      <c r="CG679" s="335"/>
      <c r="CH679" s="335"/>
      <c r="CI679" s="335"/>
      <c r="CJ679" s="335"/>
      <c r="CK679" s="335"/>
      <c r="CL679" s="335"/>
      <c r="CM679" s="335"/>
      <c r="CN679" s="335"/>
      <c r="CO679" s="335"/>
      <c r="CP679" s="335"/>
      <c r="CQ679" s="335"/>
      <c r="CR679" s="335"/>
      <c r="CS679" s="335"/>
      <c r="CT679" s="335"/>
      <c r="CU679" s="335"/>
      <c r="CV679" s="335"/>
      <c r="CW679" s="335"/>
      <c r="CX679" s="335"/>
      <c r="CY679" s="335"/>
      <c r="CZ679" s="335"/>
      <c r="DA679" s="335"/>
      <c r="DB679" s="335"/>
      <c r="DC679" s="335"/>
      <c r="DD679" s="335"/>
      <c r="DE679" s="335"/>
      <c r="DF679" s="335"/>
      <c r="DG679" s="335"/>
      <c r="DH679" s="335"/>
      <c r="DI679" s="335"/>
      <c r="DJ679" s="335"/>
      <c r="DK679" s="335"/>
      <c r="DL679" s="335"/>
      <c r="DM679" s="335"/>
      <c r="DN679" s="335"/>
      <c r="DO679" s="335"/>
      <c r="DP679" s="335"/>
      <c r="DQ679" s="335"/>
      <c r="DR679" s="335"/>
      <c r="DS679" s="335"/>
      <c r="DT679" s="335"/>
      <c r="DU679" s="335"/>
      <c r="DV679" s="335"/>
      <c r="DW679" s="335"/>
      <c r="DX679" s="335"/>
      <c r="DY679" s="335"/>
      <c r="DZ679" s="335"/>
      <c r="EA679" s="335"/>
      <c r="EB679" s="335"/>
      <c r="EC679" s="335"/>
      <c r="ED679" s="335"/>
      <c r="EE679" s="335"/>
      <c r="EF679" s="335"/>
      <c r="EG679" s="335"/>
      <c r="EH679" s="335"/>
      <c r="EI679" s="335"/>
      <c r="EJ679" s="335"/>
      <c r="EK679" s="335"/>
      <c r="EL679" s="335"/>
      <c r="EM679" s="335"/>
      <c r="EN679" s="335"/>
      <c r="EO679" s="335"/>
      <c r="EP679" s="335"/>
      <c r="EQ679" s="335"/>
      <c r="ER679" s="335"/>
      <c r="ES679" s="335"/>
      <c r="ET679" s="335"/>
      <c r="EU679" s="335"/>
      <c r="EV679" s="335"/>
      <c r="EW679" s="335"/>
      <c r="EX679" s="335"/>
      <c r="EY679" s="335"/>
      <c r="EZ679" s="335"/>
      <c r="FA679" s="335"/>
      <c r="FB679" s="335"/>
      <c r="FC679" s="335"/>
      <c r="FD679" s="335"/>
      <c r="FE679" s="335"/>
      <c r="FF679" s="335"/>
      <c r="FG679" s="335"/>
      <c r="FH679" s="335"/>
      <c r="FI679" s="335"/>
      <c r="FJ679" s="335"/>
      <c r="FK679" s="335"/>
      <c r="FL679" s="335"/>
      <c r="FM679" s="335"/>
      <c r="FN679" s="335"/>
      <c r="FO679" s="335"/>
      <c r="FP679" s="335"/>
      <c r="FQ679" s="335"/>
      <c r="FR679" s="335"/>
      <c r="FS679" s="335"/>
      <c r="FT679" s="335"/>
      <c r="FU679" s="335"/>
      <c r="FV679" s="335"/>
      <c r="FW679" s="335"/>
      <c r="FX679" s="335"/>
      <c r="FY679" s="335"/>
      <c r="FZ679" s="335"/>
      <c r="GA679" s="335"/>
      <c r="GB679" s="335"/>
      <c r="GC679" s="335"/>
      <c r="GD679" s="335"/>
      <c r="GE679" s="335"/>
      <c r="GF679" s="335"/>
      <c r="GG679" s="335"/>
      <c r="GH679" s="335"/>
      <c r="GI679" s="335"/>
      <c r="GJ679" s="335"/>
      <c r="GK679" s="335"/>
      <c r="GL679" s="335"/>
      <c r="GM679" s="335"/>
      <c r="GN679" s="335"/>
      <c r="GO679" s="335"/>
      <c r="GP679" s="335"/>
      <c r="GQ679" s="335"/>
      <c r="GR679" s="335"/>
      <c r="GS679" s="335"/>
      <c r="GT679" s="335"/>
      <c r="GU679" s="335"/>
      <c r="GV679" s="335"/>
      <c r="GW679" s="335"/>
      <c r="GX679" s="335"/>
      <c r="GY679" s="335"/>
      <c r="GZ679" s="335"/>
    </row>
    <row r="680" spans="1:208" ht="15">
      <c r="A680" s="379"/>
      <c r="B680" s="335"/>
      <c r="C680" s="335"/>
      <c r="D680" s="335"/>
      <c r="E680" s="335"/>
      <c r="F680" s="335"/>
      <c r="G680" s="335"/>
      <c r="H680" s="335"/>
      <c r="I680" s="335"/>
      <c r="J680" s="335"/>
      <c r="K680" s="335"/>
      <c r="L680" s="335"/>
      <c r="M680" s="376"/>
      <c r="N680" s="335"/>
      <c r="O680" s="380"/>
      <c r="P680" s="335"/>
      <c r="Q680" s="335"/>
      <c r="R680" s="335"/>
      <c r="S680" s="335"/>
      <c r="T680" s="335"/>
      <c r="U680" s="335"/>
      <c r="V680" s="335"/>
      <c r="W680" s="335"/>
      <c r="X680" s="335"/>
      <c r="Y680" s="335"/>
      <c r="Z680" s="335"/>
      <c r="AA680" s="335"/>
      <c r="AB680" s="335"/>
      <c r="AC680" s="335"/>
      <c r="AD680" s="335"/>
      <c r="AE680" s="335"/>
      <c r="AF680" s="335"/>
      <c r="AG680" s="335"/>
      <c r="AH680" s="335"/>
      <c r="AI680" s="335"/>
      <c r="AJ680" s="335"/>
      <c r="AK680" s="335"/>
      <c r="AL680" s="335"/>
      <c r="AM680" s="335"/>
      <c r="AN680" s="335"/>
      <c r="AO680" s="335"/>
      <c r="AP680" s="335"/>
      <c r="AQ680" s="335"/>
      <c r="AR680" s="335"/>
      <c r="AS680" s="335"/>
      <c r="AT680" s="335"/>
      <c r="AU680" s="335"/>
      <c r="AV680" s="335"/>
      <c r="AW680" s="335"/>
      <c r="AX680" s="335"/>
      <c r="AY680" s="335"/>
      <c r="AZ680" s="335"/>
      <c r="BA680" s="335"/>
      <c r="BB680" s="335"/>
      <c r="BC680" s="335"/>
      <c r="BD680" s="335"/>
      <c r="BE680" s="335"/>
      <c r="BF680" s="335"/>
      <c r="BG680" s="335"/>
      <c r="BH680" s="335"/>
      <c r="BI680" s="335"/>
      <c r="BJ680" s="335"/>
      <c r="BK680" s="335"/>
      <c r="BL680" s="335"/>
      <c r="BM680" s="335"/>
      <c r="BN680" s="335"/>
      <c r="BO680" s="335"/>
      <c r="BP680" s="335"/>
      <c r="BQ680" s="335"/>
      <c r="BR680" s="335"/>
      <c r="BS680" s="335"/>
      <c r="BT680" s="335"/>
      <c r="BU680" s="335"/>
      <c r="BV680" s="335"/>
      <c r="BW680" s="335"/>
      <c r="BX680" s="335"/>
      <c r="BY680" s="335"/>
      <c r="BZ680" s="335"/>
      <c r="CA680" s="335"/>
      <c r="CB680" s="335"/>
      <c r="CC680" s="335"/>
      <c r="CD680" s="335"/>
      <c r="CE680" s="335"/>
      <c r="CF680" s="335"/>
      <c r="CG680" s="335"/>
      <c r="CH680" s="335"/>
      <c r="CI680" s="335"/>
      <c r="CJ680" s="335"/>
      <c r="CK680" s="335"/>
      <c r="CL680" s="335"/>
      <c r="CM680" s="335"/>
      <c r="CN680" s="335"/>
      <c r="CO680" s="335"/>
      <c r="CP680" s="335"/>
      <c r="CQ680" s="335"/>
      <c r="CR680" s="335"/>
      <c r="CS680" s="335"/>
      <c r="CT680" s="335"/>
      <c r="CU680" s="335"/>
      <c r="CV680" s="335"/>
      <c r="CW680" s="335"/>
      <c r="CX680" s="335"/>
      <c r="CY680" s="335"/>
      <c r="CZ680" s="335"/>
      <c r="DA680" s="335"/>
      <c r="DB680" s="335"/>
      <c r="DC680" s="335"/>
      <c r="DD680" s="335"/>
      <c r="DE680" s="335"/>
      <c r="DF680" s="335"/>
      <c r="DG680" s="335"/>
      <c r="DH680" s="335"/>
      <c r="DI680" s="335"/>
      <c r="DJ680" s="335"/>
      <c r="DK680" s="335"/>
      <c r="DL680" s="335"/>
      <c r="DM680" s="335"/>
      <c r="DN680" s="335"/>
      <c r="DO680" s="335"/>
      <c r="DP680" s="335"/>
      <c r="DQ680" s="335"/>
      <c r="DR680" s="335"/>
      <c r="DS680" s="335"/>
      <c r="DT680" s="335"/>
      <c r="DU680" s="335"/>
      <c r="DV680" s="335"/>
      <c r="DW680" s="335"/>
      <c r="DX680" s="335"/>
      <c r="DY680" s="335"/>
      <c r="DZ680" s="335"/>
      <c r="EA680" s="335"/>
      <c r="EB680" s="335"/>
      <c r="EC680" s="335"/>
      <c r="ED680" s="335"/>
      <c r="EE680" s="335"/>
      <c r="EF680" s="335"/>
      <c r="EG680" s="335"/>
      <c r="EH680" s="335"/>
      <c r="EI680" s="335"/>
      <c r="EJ680" s="335"/>
      <c r="EK680" s="335"/>
      <c r="EL680" s="335"/>
      <c r="EM680" s="335"/>
      <c r="EN680" s="335"/>
      <c r="EO680" s="335"/>
      <c r="EP680" s="335"/>
      <c r="EQ680" s="335"/>
      <c r="ER680" s="335"/>
      <c r="ES680" s="335"/>
      <c r="ET680" s="335"/>
      <c r="EU680" s="335"/>
      <c r="EV680" s="335"/>
      <c r="EW680" s="335"/>
      <c r="EX680" s="335"/>
      <c r="EY680" s="335"/>
      <c r="EZ680" s="335"/>
      <c r="FA680" s="335"/>
      <c r="FB680" s="335"/>
      <c r="FC680" s="335"/>
      <c r="FD680" s="335"/>
      <c r="FE680" s="335"/>
      <c r="FF680" s="335"/>
      <c r="FG680" s="335"/>
      <c r="FH680" s="335"/>
      <c r="FI680" s="335"/>
      <c r="FJ680" s="335"/>
      <c r="FK680" s="335"/>
      <c r="FL680" s="335"/>
      <c r="FM680" s="335"/>
      <c r="FN680" s="335"/>
      <c r="FO680" s="335"/>
      <c r="FP680" s="335"/>
      <c r="FQ680" s="335"/>
      <c r="FR680" s="335"/>
      <c r="FS680" s="335"/>
      <c r="FT680" s="335"/>
      <c r="FU680" s="335"/>
      <c r="FV680" s="335"/>
      <c r="FW680" s="335"/>
      <c r="FX680" s="335"/>
      <c r="FY680" s="335"/>
      <c r="FZ680" s="335"/>
      <c r="GA680" s="335"/>
      <c r="GB680" s="335"/>
      <c r="GC680" s="335"/>
      <c r="GD680" s="335"/>
      <c r="GE680" s="335"/>
      <c r="GF680" s="335"/>
      <c r="GG680" s="335"/>
      <c r="GH680" s="335"/>
      <c r="GI680" s="335"/>
      <c r="GJ680" s="335"/>
      <c r="GK680" s="335"/>
      <c r="GL680" s="335"/>
      <c r="GM680" s="335"/>
      <c r="GN680" s="335"/>
      <c r="GO680" s="335"/>
      <c r="GP680" s="335"/>
      <c r="GQ680" s="335"/>
      <c r="GR680" s="335"/>
      <c r="GS680" s="335"/>
      <c r="GT680" s="335"/>
      <c r="GU680" s="335"/>
      <c r="GV680" s="335"/>
      <c r="GW680" s="335"/>
      <c r="GX680" s="335"/>
      <c r="GY680" s="335"/>
      <c r="GZ680" s="335"/>
    </row>
    <row r="681" spans="1:208" ht="15">
      <c r="A681" s="379"/>
      <c r="B681" s="335"/>
      <c r="C681" s="335"/>
      <c r="D681" s="335"/>
      <c r="E681" s="335"/>
      <c r="F681" s="335"/>
      <c r="G681" s="335"/>
      <c r="H681" s="335"/>
      <c r="I681" s="335"/>
      <c r="J681" s="335"/>
      <c r="K681" s="335"/>
      <c r="L681" s="335"/>
      <c r="M681" s="376"/>
      <c r="N681" s="335"/>
      <c r="O681" s="380"/>
      <c r="P681" s="335"/>
      <c r="Q681" s="335"/>
      <c r="R681" s="335"/>
      <c r="S681" s="335"/>
      <c r="T681" s="335"/>
      <c r="U681" s="335"/>
      <c r="V681" s="335"/>
      <c r="W681" s="335"/>
      <c r="X681" s="335"/>
      <c r="Y681" s="335"/>
      <c r="Z681" s="335"/>
      <c r="AA681" s="335"/>
      <c r="AB681" s="335"/>
      <c r="AC681" s="335"/>
      <c r="AD681" s="335"/>
      <c r="AE681" s="335"/>
      <c r="AF681" s="335"/>
      <c r="AG681" s="335"/>
      <c r="AH681" s="335"/>
      <c r="AI681" s="335"/>
      <c r="AJ681" s="335"/>
      <c r="AK681" s="335"/>
      <c r="AL681" s="335"/>
      <c r="AM681" s="335"/>
      <c r="AN681" s="335"/>
      <c r="AO681" s="335"/>
      <c r="AP681" s="335"/>
      <c r="AQ681" s="335"/>
      <c r="AR681" s="335"/>
      <c r="AS681" s="335"/>
      <c r="AT681" s="335"/>
      <c r="AU681" s="335"/>
      <c r="AV681" s="335"/>
      <c r="AW681" s="335"/>
      <c r="AX681" s="335"/>
      <c r="AY681" s="335"/>
      <c r="AZ681" s="335"/>
      <c r="BA681" s="335"/>
      <c r="BB681" s="335"/>
      <c r="BC681" s="335"/>
      <c r="BD681" s="335"/>
      <c r="BE681" s="335"/>
      <c r="BF681" s="335"/>
      <c r="BG681" s="335"/>
      <c r="BH681" s="335"/>
      <c r="BI681" s="335"/>
      <c r="BJ681" s="335"/>
      <c r="BK681" s="335"/>
      <c r="BL681" s="335"/>
      <c r="BM681" s="335"/>
      <c r="BN681" s="335"/>
      <c r="BO681" s="335"/>
      <c r="BP681" s="335"/>
      <c r="BQ681" s="335"/>
      <c r="BR681" s="335"/>
      <c r="BS681" s="335"/>
      <c r="BT681" s="335"/>
      <c r="BU681" s="335"/>
      <c r="BV681" s="335"/>
      <c r="BW681" s="335"/>
      <c r="BX681" s="335"/>
      <c r="BY681" s="335"/>
      <c r="BZ681" s="335"/>
      <c r="CA681" s="335"/>
      <c r="CB681" s="335"/>
      <c r="CC681" s="335"/>
      <c r="CD681" s="335"/>
      <c r="CE681" s="335"/>
      <c r="CF681" s="335"/>
      <c r="CG681" s="335"/>
      <c r="CH681" s="335"/>
      <c r="CI681" s="335"/>
      <c r="CJ681" s="335"/>
      <c r="CK681" s="335"/>
      <c r="CL681" s="335"/>
      <c r="CM681" s="335"/>
      <c r="CN681" s="335"/>
      <c r="CO681" s="335"/>
      <c r="CP681" s="335"/>
      <c r="CQ681" s="335"/>
      <c r="CR681" s="335"/>
      <c r="CS681" s="335"/>
      <c r="CT681" s="335"/>
      <c r="CU681" s="335"/>
      <c r="CV681" s="335"/>
      <c r="CW681" s="335"/>
      <c r="CX681" s="335"/>
      <c r="CY681" s="335"/>
      <c r="CZ681" s="335"/>
      <c r="DA681" s="335"/>
      <c r="DB681" s="335"/>
      <c r="DC681" s="335"/>
      <c r="DD681" s="335"/>
      <c r="DE681" s="335"/>
      <c r="DF681" s="335"/>
      <c r="DG681" s="335"/>
      <c r="DH681" s="335"/>
      <c r="DI681" s="335"/>
      <c r="DJ681" s="335"/>
      <c r="DK681" s="335"/>
      <c r="DL681" s="335"/>
      <c r="DM681" s="335"/>
      <c r="DN681" s="335"/>
      <c r="DO681" s="335"/>
      <c r="DP681" s="335"/>
      <c r="DQ681" s="335"/>
      <c r="DR681" s="335"/>
      <c r="DS681" s="335"/>
      <c r="DT681" s="335"/>
      <c r="DU681" s="335"/>
      <c r="DV681" s="335"/>
      <c r="DW681" s="335"/>
      <c r="DX681" s="335"/>
      <c r="DY681" s="335"/>
      <c r="DZ681" s="335"/>
      <c r="EA681" s="335"/>
      <c r="EB681" s="335"/>
      <c r="EC681" s="335"/>
      <c r="ED681" s="335"/>
      <c r="EE681" s="335"/>
      <c r="EF681" s="335"/>
      <c r="EG681" s="335"/>
      <c r="EH681" s="335"/>
      <c r="EI681" s="335"/>
      <c r="EJ681" s="335"/>
      <c r="EK681" s="335"/>
      <c r="EL681" s="335"/>
      <c r="EM681" s="335"/>
      <c r="EN681" s="335"/>
      <c r="EO681" s="335"/>
      <c r="EP681" s="335"/>
      <c r="EQ681" s="335"/>
      <c r="ER681" s="335"/>
      <c r="ES681" s="335"/>
      <c r="ET681" s="335"/>
      <c r="EU681" s="335"/>
      <c r="EV681" s="335"/>
      <c r="EW681" s="335"/>
      <c r="EX681" s="335"/>
      <c r="EY681" s="335"/>
      <c r="EZ681" s="335"/>
      <c r="FA681" s="335"/>
      <c r="FB681" s="335"/>
      <c r="FC681" s="335"/>
      <c r="FD681" s="335"/>
      <c r="FE681" s="335"/>
      <c r="FF681" s="335"/>
      <c r="FG681" s="335"/>
      <c r="FH681" s="335"/>
      <c r="FI681" s="335"/>
      <c r="FJ681" s="335"/>
      <c r="FK681" s="335"/>
      <c r="FL681" s="335"/>
      <c r="FM681" s="335"/>
      <c r="FN681" s="335"/>
      <c r="FO681" s="335"/>
      <c r="FP681" s="335"/>
      <c r="FQ681" s="335"/>
      <c r="FR681" s="335"/>
      <c r="FS681" s="335"/>
      <c r="FT681" s="335"/>
      <c r="FU681" s="335"/>
      <c r="FV681" s="335"/>
      <c r="FW681" s="335"/>
      <c r="FX681" s="335"/>
      <c r="FY681" s="335"/>
      <c r="FZ681" s="335"/>
      <c r="GA681" s="335"/>
      <c r="GB681" s="335"/>
      <c r="GC681" s="335"/>
      <c r="GD681" s="335"/>
      <c r="GE681" s="335"/>
      <c r="GF681" s="335"/>
      <c r="GG681" s="335"/>
      <c r="GH681" s="335"/>
      <c r="GI681" s="335"/>
      <c r="GJ681" s="335"/>
      <c r="GK681" s="335"/>
      <c r="GL681" s="335"/>
      <c r="GM681" s="335"/>
      <c r="GN681" s="335"/>
      <c r="GO681" s="335"/>
      <c r="GP681" s="335"/>
      <c r="GQ681" s="335"/>
      <c r="GR681" s="335"/>
      <c r="GS681" s="335"/>
      <c r="GT681" s="335"/>
      <c r="GU681" s="335"/>
      <c r="GV681" s="335"/>
      <c r="GW681" s="335"/>
      <c r="GX681" s="335"/>
      <c r="GY681" s="335"/>
      <c r="GZ681" s="335"/>
    </row>
    <row r="682" spans="1:208" ht="15">
      <c r="A682" s="379"/>
      <c r="B682" s="335"/>
      <c r="C682" s="335"/>
      <c r="D682" s="335"/>
      <c r="E682" s="335"/>
      <c r="F682" s="335"/>
      <c r="G682" s="335"/>
      <c r="H682" s="335"/>
      <c r="I682" s="335"/>
      <c r="J682" s="335"/>
      <c r="K682" s="335"/>
      <c r="L682" s="335"/>
      <c r="M682" s="376"/>
      <c r="N682" s="335"/>
      <c r="O682" s="380"/>
      <c r="P682" s="335"/>
      <c r="Q682" s="335"/>
      <c r="R682" s="335"/>
      <c r="S682" s="335"/>
      <c r="T682" s="335"/>
      <c r="U682" s="335"/>
      <c r="V682" s="335"/>
      <c r="W682" s="335"/>
      <c r="X682" s="335"/>
      <c r="Y682" s="335"/>
      <c r="Z682" s="335"/>
      <c r="AA682" s="335"/>
      <c r="AB682" s="335"/>
      <c r="AC682" s="335"/>
      <c r="AD682" s="335"/>
      <c r="AE682" s="335"/>
      <c r="AF682" s="335"/>
      <c r="AG682" s="335"/>
      <c r="AH682" s="335"/>
      <c r="AI682" s="335"/>
      <c r="AJ682" s="335"/>
      <c r="AK682" s="335"/>
      <c r="AL682" s="335"/>
      <c r="AM682" s="335"/>
      <c r="AN682" s="335"/>
      <c r="AO682" s="335"/>
      <c r="AP682" s="335"/>
      <c r="AQ682" s="335"/>
      <c r="AR682" s="335"/>
      <c r="AS682" s="335"/>
      <c r="AT682" s="335"/>
      <c r="AU682" s="335"/>
      <c r="AV682" s="335"/>
      <c r="AW682" s="335"/>
      <c r="AX682" s="335"/>
      <c r="AY682" s="335"/>
      <c r="AZ682" s="335"/>
      <c r="BA682" s="335"/>
      <c r="BB682" s="335"/>
      <c r="BC682" s="335"/>
      <c r="BD682" s="335"/>
      <c r="BE682" s="335"/>
      <c r="BF682" s="335"/>
      <c r="BG682" s="335"/>
      <c r="BH682" s="335"/>
      <c r="BI682" s="335"/>
      <c r="BJ682" s="335"/>
      <c r="BK682" s="335"/>
      <c r="BL682" s="335"/>
      <c r="BM682" s="335"/>
      <c r="BN682" s="335"/>
      <c r="BO682" s="335"/>
      <c r="BP682" s="335"/>
      <c r="BQ682" s="335"/>
      <c r="BR682" s="335"/>
      <c r="BS682" s="335"/>
      <c r="BT682" s="335"/>
      <c r="BU682" s="335"/>
      <c r="BV682" s="335"/>
      <c r="BW682" s="335"/>
      <c r="BX682" s="335"/>
      <c r="BY682" s="335"/>
      <c r="BZ682" s="335"/>
      <c r="CA682" s="335"/>
      <c r="CB682" s="335"/>
      <c r="CC682" s="335"/>
      <c r="CD682" s="335"/>
      <c r="CE682" s="335"/>
      <c r="CF682" s="335"/>
      <c r="CG682" s="335"/>
      <c r="CH682" s="335"/>
      <c r="CI682" s="335"/>
      <c r="CJ682" s="335"/>
      <c r="CK682" s="335"/>
      <c r="CL682" s="335"/>
      <c r="CM682" s="335"/>
      <c r="CN682" s="335"/>
      <c r="CO682" s="335"/>
      <c r="CP682" s="335"/>
      <c r="CQ682" s="335"/>
      <c r="CR682" s="335"/>
      <c r="CS682" s="335"/>
      <c r="CT682" s="335"/>
      <c r="CU682" s="335"/>
      <c r="CV682" s="335"/>
      <c r="CW682" s="335"/>
      <c r="CX682" s="335"/>
      <c r="CY682" s="335"/>
      <c r="CZ682" s="335"/>
      <c r="DA682" s="335"/>
      <c r="DB682" s="335"/>
      <c r="DC682" s="335"/>
      <c r="DD682" s="335"/>
      <c r="DE682" s="335"/>
      <c r="DF682" s="335"/>
      <c r="DG682" s="335"/>
      <c r="DH682" s="335"/>
      <c r="DI682" s="335"/>
      <c r="DJ682" s="335"/>
      <c r="DK682" s="335"/>
      <c r="DL682" s="335"/>
      <c r="DM682" s="335"/>
      <c r="DN682" s="335"/>
      <c r="DO682" s="335"/>
      <c r="DP682" s="335"/>
      <c r="DQ682" s="335"/>
      <c r="DR682" s="335"/>
      <c r="DS682" s="335"/>
      <c r="DT682" s="335"/>
      <c r="DU682" s="335"/>
      <c r="DV682" s="335"/>
      <c r="DW682" s="335"/>
      <c r="DX682" s="335"/>
      <c r="DY682" s="335"/>
      <c r="DZ682" s="335"/>
      <c r="EA682" s="335"/>
      <c r="EB682" s="335"/>
      <c r="EC682" s="335"/>
      <c r="ED682" s="335"/>
      <c r="EE682" s="335"/>
      <c r="EF682" s="335"/>
      <c r="EG682" s="335"/>
      <c r="EH682" s="335"/>
      <c r="EI682" s="335"/>
      <c r="EJ682" s="335"/>
      <c r="EK682" s="335"/>
      <c r="EL682" s="335"/>
      <c r="EM682" s="335"/>
      <c r="EN682" s="335"/>
      <c r="EO682" s="335"/>
      <c r="EP682" s="335"/>
      <c r="EQ682" s="335"/>
      <c r="ER682" s="335"/>
      <c r="ES682" s="335"/>
      <c r="ET682" s="335"/>
      <c r="EU682" s="335"/>
      <c r="EV682" s="335"/>
      <c r="EW682" s="335"/>
      <c r="EX682" s="335"/>
      <c r="EY682" s="335"/>
      <c r="EZ682" s="335"/>
      <c r="FA682" s="335"/>
      <c r="FB682" s="335"/>
      <c r="FC682" s="335"/>
      <c r="FD682" s="335"/>
      <c r="FE682" s="335"/>
      <c r="FF682" s="335"/>
      <c r="FG682" s="335"/>
      <c r="FH682" s="335"/>
      <c r="FI682" s="335"/>
      <c r="FJ682" s="335"/>
      <c r="FK682" s="335"/>
      <c r="FL682" s="335"/>
      <c r="FM682" s="335"/>
      <c r="FN682" s="335"/>
      <c r="FO682" s="335"/>
      <c r="FP682" s="335"/>
      <c r="FQ682" s="335"/>
      <c r="FR682" s="335"/>
      <c r="FS682" s="335"/>
      <c r="FT682" s="335"/>
      <c r="FU682" s="335"/>
      <c r="FV682" s="335"/>
      <c r="FW682" s="335"/>
      <c r="FX682" s="335"/>
      <c r="FY682" s="335"/>
      <c r="FZ682" s="335"/>
      <c r="GA682" s="335"/>
      <c r="GB682" s="335"/>
      <c r="GC682" s="335"/>
      <c r="GD682" s="335"/>
      <c r="GE682" s="335"/>
      <c r="GF682" s="335"/>
      <c r="GG682" s="335"/>
      <c r="GH682" s="335"/>
      <c r="GI682" s="335"/>
      <c r="GJ682" s="335"/>
      <c r="GK682" s="335"/>
      <c r="GL682" s="335"/>
      <c r="GM682" s="335"/>
      <c r="GN682" s="335"/>
      <c r="GO682" s="335"/>
      <c r="GP682" s="335"/>
      <c r="GQ682" s="335"/>
      <c r="GR682" s="335"/>
      <c r="GS682" s="335"/>
      <c r="GT682" s="335"/>
      <c r="GU682" s="335"/>
      <c r="GV682" s="335"/>
      <c r="GW682" s="335"/>
      <c r="GX682" s="335"/>
      <c r="GY682" s="335"/>
      <c r="GZ682" s="335"/>
    </row>
    <row r="683" spans="1:208" ht="15">
      <c r="A683" s="379"/>
      <c r="B683" s="335"/>
      <c r="C683" s="335"/>
      <c r="D683" s="335"/>
      <c r="E683" s="335"/>
      <c r="F683" s="335"/>
      <c r="G683" s="335"/>
      <c r="H683" s="335"/>
      <c r="I683" s="335"/>
      <c r="J683" s="335"/>
      <c r="K683" s="335"/>
      <c r="L683" s="335"/>
      <c r="M683" s="376"/>
      <c r="N683" s="335"/>
      <c r="O683" s="380"/>
      <c r="P683" s="335"/>
      <c r="Q683" s="335"/>
      <c r="R683" s="335"/>
      <c r="S683" s="335"/>
      <c r="T683" s="335"/>
      <c r="U683" s="335"/>
      <c r="V683" s="335"/>
      <c r="W683" s="335"/>
      <c r="X683" s="335"/>
      <c r="Y683" s="335"/>
      <c r="Z683" s="335"/>
      <c r="AA683" s="335"/>
      <c r="AB683" s="335"/>
      <c r="AC683" s="335"/>
      <c r="AD683" s="335"/>
      <c r="AE683" s="335"/>
      <c r="AF683" s="335"/>
      <c r="AG683" s="335"/>
      <c r="AH683" s="335"/>
      <c r="AI683" s="335"/>
      <c r="AJ683" s="335"/>
      <c r="AK683" s="335"/>
      <c r="AL683" s="335"/>
      <c r="AM683" s="335"/>
      <c r="AN683" s="335"/>
      <c r="AO683" s="335"/>
      <c r="AP683" s="335"/>
      <c r="AQ683" s="335"/>
      <c r="AR683" s="335"/>
      <c r="AS683" s="335"/>
      <c r="AT683" s="335"/>
      <c r="AU683" s="335"/>
      <c r="AV683" s="335"/>
      <c r="AW683" s="335"/>
      <c r="AX683" s="335"/>
      <c r="AY683" s="335"/>
      <c r="AZ683" s="335"/>
      <c r="BA683" s="335"/>
      <c r="BB683" s="335"/>
      <c r="BC683" s="335"/>
      <c r="BD683" s="335"/>
      <c r="BE683" s="335"/>
      <c r="BF683" s="335"/>
      <c r="BG683" s="335"/>
      <c r="BH683" s="335"/>
      <c r="BI683" s="335"/>
      <c r="BJ683" s="335"/>
      <c r="BK683" s="335"/>
      <c r="BL683" s="335"/>
      <c r="BM683" s="335"/>
      <c r="BN683" s="335"/>
      <c r="BO683" s="335"/>
      <c r="BP683" s="335"/>
      <c r="BQ683" s="335"/>
      <c r="BR683" s="335"/>
      <c r="BS683" s="335"/>
      <c r="BT683" s="335"/>
      <c r="BU683" s="335"/>
      <c r="BV683" s="335"/>
      <c r="BW683" s="335"/>
      <c r="BX683" s="335"/>
      <c r="BY683" s="335"/>
      <c r="BZ683" s="335"/>
      <c r="CA683" s="335"/>
      <c r="CB683" s="335"/>
      <c r="CC683" s="335"/>
      <c r="CD683" s="335"/>
      <c r="CE683" s="335"/>
      <c r="CF683" s="335"/>
      <c r="CG683" s="335"/>
      <c r="CH683" s="335"/>
      <c r="CI683" s="335"/>
      <c r="CJ683" s="335"/>
      <c r="CK683" s="335"/>
      <c r="CL683" s="335"/>
      <c r="CM683" s="335"/>
      <c r="CN683" s="335"/>
      <c r="CO683" s="335"/>
      <c r="CP683" s="335"/>
      <c r="CQ683" s="335"/>
      <c r="CR683" s="335"/>
      <c r="CS683" s="335"/>
      <c r="CT683" s="335"/>
      <c r="CU683" s="335"/>
      <c r="CV683" s="335"/>
      <c r="CW683" s="335"/>
      <c r="CX683" s="335"/>
      <c r="CY683" s="335"/>
      <c r="CZ683" s="335"/>
      <c r="DA683" s="335"/>
      <c r="DB683" s="335"/>
      <c r="DC683" s="335"/>
      <c r="DD683" s="335"/>
      <c r="DE683" s="335"/>
      <c r="DF683" s="335"/>
      <c r="DG683" s="335"/>
      <c r="DH683" s="335"/>
      <c r="DI683" s="335"/>
      <c r="DJ683" s="335"/>
      <c r="DK683" s="335"/>
      <c r="DL683" s="335"/>
      <c r="DM683" s="335"/>
      <c r="DN683" s="335"/>
      <c r="DO683" s="335"/>
      <c r="DP683" s="335"/>
      <c r="DQ683" s="335"/>
      <c r="DR683" s="335"/>
      <c r="DS683" s="335"/>
      <c r="DT683" s="335"/>
      <c r="DU683" s="335"/>
      <c r="DV683" s="335"/>
      <c r="DW683" s="335"/>
      <c r="DX683" s="335"/>
      <c r="DY683" s="335"/>
      <c r="DZ683" s="335"/>
      <c r="EA683" s="335"/>
      <c r="EB683" s="335"/>
      <c r="EC683" s="335"/>
      <c r="ED683" s="335"/>
      <c r="EE683" s="335"/>
      <c r="EF683" s="335"/>
      <c r="EG683" s="335"/>
      <c r="EH683" s="335"/>
      <c r="EI683" s="335"/>
      <c r="EJ683" s="335"/>
      <c r="EK683" s="335"/>
      <c r="EL683" s="335"/>
      <c r="EM683" s="335"/>
      <c r="EN683" s="335"/>
      <c r="EO683" s="335"/>
      <c r="EP683" s="335"/>
      <c r="EQ683" s="335"/>
      <c r="ER683" s="335"/>
      <c r="ES683" s="335"/>
      <c r="ET683" s="335"/>
      <c r="EU683" s="335"/>
      <c r="EV683" s="335"/>
      <c r="EW683" s="335"/>
      <c r="EX683" s="335"/>
      <c r="EY683" s="335"/>
      <c r="EZ683" s="335"/>
      <c r="FA683" s="335"/>
      <c r="FB683" s="335"/>
      <c r="FC683" s="335"/>
      <c r="FD683" s="335"/>
      <c r="FE683" s="335"/>
      <c r="FF683" s="335"/>
      <c r="FG683" s="335"/>
      <c r="FH683" s="335"/>
      <c r="FI683" s="335"/>
      <c r="FJ683" s="335"/>
      <c r="FK683" s="335"/>
      <c r="FL683" s="335"/>
      <c r="FM683" s="335"/>
      <c r="FN683" s="335"/>
      <c r="FO683" s="335"/>
      <c r="FP683" s="335"/>
      <c r="FQ683" s="335"/>
      <c r="FR683" s="335"/>
      <c r="FS683" s="335"/>
      <c r="FT683" s="335"/>
      <c r="FU683" s="335"/>
      <c r="FV683" s="335"/>
      <c r="FW683" s="335"/>
      <c r="FX683" s="335"/>
      <c r="FY683" s="335"/>
      <c r="FZ683" s="335"/>
      <c r="GA683" s="335"/>
      <c r="GB683" s="335"/>
      <c r="GC683" s="335"/>
      <c r="GD683" s="335"/>
      <c r="GE683" s="335"/>
      <c r="GF683" s="335"/>
      <c r="GG683" s="335"/>
      <c r="GH683" s="335"/>
      <c r="GI683" s="335"/>
      <c r="GJ683" s="335"/>
      <c r="GK683" s="335"/>
      <c r="GL683" s="335"/>
      <c r="GM683" s="335"/>
      <c r="GN683" s="335"/>
      <c r="GO683" s="335"/>
      <c r="GP683" s="335"/>
      <c r="GQ683" s="335"/>
      <c r="GR683" s="335"/>
      <c r="GS683" s="335"/>
      <c r="GT683" s="335"/>
      <c r="GU683" s="335"/>
      <c r="GV683" s="335"/>
      <c r="GW683" s="335"/>
      <c r="GX683" s="335"/>
      <c r="GY683" s="335"/>
      <c r="GZ683" s="335"/>
    </row>
    <row r="684" spans="1:208" ht="15">
      <c r="A684" s="379"/>
      <c r="B684" s="335"/>
      <c r="C684" s="335"/>
      <c r="D684" s="335"/>
      <c r="E684" s="335"/>
      <c r="F684" s="335"/>
      <c r="G684" s="335"/>
      <c r="H684" s="335"/>
      <c r="I684" s="335"/>
      <c r="J684" s="335"/>
      <c r="K684" s="335"/>
      <c r="L684" s="335"/>
      <c r="M684" s="376"/>
      <c r="N684" s="335"/>
      <c r="O684" s="380"/>
      <c r="P684" s="335"/>
      <c r="Q684" s="335"/>
      <c r="R684" s="335"/>
      <c r="S684" s="335"/>
      <c r="T684" s="335"/>
      <c r="U684" s="335"/>
      <c r="V684" s="335"/>
      <c r="W684" s="335"/>
      <c r="X684" s="335"/>
      <c r="Y684" s="335"/>
      <c r="Z684" s="335"/>
      <c r="AA684" s="335"/>
      <c r="AB684" s="335"/>
      <c r="AC684" s="335"/>
      <c r="AD684" s="335"/>
      <c r="AE684" s="335"/>
      <c r="AF684" s="335"/>
      <c r="AG684" s="335"/>
      <c r="AH684" s="335"/>
      <c r="AI684" s="335"/>
      <c r="AJ684" s="335"/>
      <c r="AK684" s="335"/>
      <c r="AL684" s="335"/>
      <c r="AM684" s="335"/>
      <c r="AN684" s="335"/>
      <c r="AO684" s="335"/>
      <c r="AP684" s="335"/>
      <c r="AQ684" s="335"/>
      <c r="AR684" s="335"/>
      <c r="AS684" s="335"/>
      <c r="AT684" s="335"/>
      <c r="AU684" s="335"/>
      <c r="AV684" s="335"/>
      <c r="AW684" s="335"/>
      <c r="AX684" s="335"/>
      <c r="AY684" s="335"/>
      <c r="AZ684" s="335"/>
      <c r="BA684" s="335"/>
      <c r="BB684" s="335"/>
      <c r="BC684" s="335"/>
      <c r="BD684" s="335"/>
      <c r="BE684" s="335"/>
      <c r="BF684" s="335"/>
      <c r="BG684" s="335"/>
      <c r="BH684" s="335"/>
      <c r="BI684" s="335"/>
      <c r="BJ684" s="335"/>
      <c r="BK684" s="335"/>
      <c r="BL684" s="335"/>
      <c r="BM684" s="335"/>
      <c r="BN684" s="335"/>
      <c r="BO684" s="335"/>
      <c r="BP684" s="335"/>
      <c r="BQ684" s="335"/>
      <c r="BR684" s="335"/>
      <c r="BS684" s="335"/>
      <c r="BT684" s="335"/>
      <c r="BU684" s="335"/>
      <c r="BV684" s="335"/>
      <c r="BW684" s="335"/>
      <c r="BX684" s="335"/>
      <c r="BY684" s="335"/>
      <c r="BZ684" s="335"/>
      <c r="CA684" s="335"/>
      <c r="CB684" s="335"/>
      <c r="CC684" s="335"/>
      <c r="CD684" s="335"/>
      <c r="CE684" s="335"/>
      <c r="CF684" s="335"/>
      <c r="CG684" s="335"/>
      <c r="CH684" s="335"/>
      <c r="CI684" s="335"/>
      <c r="CJ684" s="335"/>
      <c r="CK684" s="335"/>
      <c r="CL684" s="335"/>
      <c r="CM684" s="335"/>
      <c r="CN684" s="335"/>
      <c r="CO684" s="335"/>
      <c r="CP684" s="335"/>
      <c r="CQ684" s="335"/>
      <c r="CR684" s="335"/>
      <c r="CS684" s="335"/>
      <c r="CT684" s="335"/>
      <c r="CU684" s="335"/>
      <c r="CV684" s="335"/>
      <c r="CW684" s="335"/>
      <c r="CX684" s="335"/>
      <c r="CY684" s="335"/>
      <c r="CZ684" s="335"/>
      <c r="DA684" s="335"/>
      <c r="DB684" s="335"/>
      <c r="DC684" s="335"/>
      <c r="DD684" s="335"/>
      <c r="DE684" s="335"/>
      <c r="DF684" s="335"/>
      <c r="DG684" s="335"/>
      <c r="DH684" s="335"/>
      <c r="DI684" s="335"/>
      <c r="DJ684" s="335"/>
      <c r="DK684" s="335"/>
      <c r="DL684" s="335"/>
      <c r="DM684" s="335"/>
      <c r="DN684" s="335"/>
      <c r="DO684" s="335"/>
      <c r="DP684" s="335"/>
      <c r="DQ684" s="335"/>
      <c r="DR684" s="335"/>
      <c r="DS684" s="335"/>
      <c r="DT684" s="335"/>
      <c r="DU684" s="335"/>
      <c r="DV684" s="335"/>
      <c r="DW684" s="335"/>
      <c r="DX684" s="335"/>
      <c r="DY684" s="335"/>
      <c r="DZ684" s="335"/>
      <c r="EA684" s="335"/>
      <c r="EB684" s="335"/>
      <c r="EC684" s="335"/>
      <c r="ED684" s="335"/>
      <c r="EE684" s="335"/>
      <c r="EF684" s="335"/>
      <c r="EG684" s="335"/>
      <c r="EH684" s="335"/>
      <c r="EI684" s="335"/>
      <c r="EJ684" s="335"/>
      <c r="EK684" s="335"/>
      <c r="EL684" s="335"/>
      <c r="EM684" s="335"/>
      <c r="EN684" s="335"/>
      <c r="EO684" s="335"/>
      <c r="EP684" s="335"/>
      <c r="EQ684" s="335"/>
      <c r="ER684" s="335"/>
      <c r="ES684" s="335"/>
      <c r="ET684" s="335"/>
      <c r="EU684" s="335"/>
      <c r="EV684" s="335"/>
      <c r="EW684" s="335"/>
      <c r="EX684" s="335"/>
      <c r="EY684" s="335"/>
      <c r="EZ684" s="335"/>
      <c r="FA684" s="335"/>
      <c r="FB684" s="335"/>
      <c r="FC684" s="335"/>
      <c r="FD684" s="335"/>
      <c r="FE684" s="335"/>
      <c r="FF684" s="335"/>
      <c r="FG684" s="335"/>
      <c r="FH684" s="335"/>
      <c r="FI684" s="335"/>
      <c r="FJ684" s="335"/>
      <c r="FK684" s="335"/>
      <c r="FL684" s="335"/>
      <c r="FM684" s="335"/>
      <c r="FN684" s="335"/>
      <c r="FO684" s="335"/>
      <c r="FP684" s="335"/>
      <c r="FQ684" s="335"/>
      <c r="FR684" s="335"/>
      <c r="FS684" s="335"/>
      <c r="FT684" s="335"/>
      <c r="FU684" s="335"/>
      <c r="FV684" s="335"/>
      <c r="FW684" s="335"/>
      <c r="FX684" s="335"/>
      <c r="FY684" s="335"/>
      <c r="FZ684" s="335"/>
      <c r="GA684" s="335"/>
      <c r="GB684" s="335"/>
      <c r="GC684" s="335"/>
      <c r="GD684" s="335"/>
      <c r="GE684" s="335"/>
      <c r="GF684" s="335"/>
      <c r="GG684" s="335"/>
      <c r="GH684" s="335"/>
      <c r="GI684" s="335"/>
      <c r="GJ684" s="335"/>
      <c r="GK684" s="335"/>
      <c r="GL684" s="335"/>
      <c r="GM684" s="335"/>
      <c r="GN684" s="335"/>
      <c r="GO684" s="335"/>
      <c r="GP684" s="335"/>
      <c r="GQ684" s="335"/>
      <c r="GR684" s="335"/>
      <c r="GS684" s="335"/>
      <c r="GT684" s="335"/>
      <c r="GU684" s="335"/>
      <c r="GV684" s="335"/>
      <c r="GW684" s="335"/>
      <c r="GX684" s="335"/>
      <c r="GY684" s="335"/>
      <c r="GZ684" s="335"/>
    </row>
    <row r="685" spans="1:208" ht="15">
      <c r="A685" s="379"/>
      <c r="B685" s="335"/>
      <c r="C685" s="335"/>
      <c r="D685" s="335"/>
      <c r="E685" s="335"/>
      <c r="F685" s="335"/>
      <c r="G685" s="335"/>
      <c r="H685" s="335"/>
      <c r="I685" s="335"/>
      <c r="J685" s="335"/>
      <c r="K685" s="335"/>
      <c r="L685" s="335"/>
      <c r="M685" s="376"/>
      <c r="N685" s="335"/>
      <c r="O685" s="380"/>
      <c r="P685" s="335"/>
      <c r="Q685" s="335"/>
      <c r="R685" s="335"/>
      <c r="S685" s="335"/>
      <c r="T685" s="335"/>
      <c r="U685" s="335"/>
      <c r="V685" s="335"/>
      <c r="W685" s="335"/>
      <c r="X685" s="335"/>
      <c r="Y685" s="335"/>
      <c r="Z685" s="335"/>
      <c r="AA685" s="335"/>
      <c r="AB685" s="335"/>
      <c r="AC685" s="335"/>
      <c r="AD685" s="335"/>
      <c r="AE685" s="335"/>
      <c r="AF685" s="335"/>
      <c r="AG685" s="335"/>
      <c r="AH685" s="335"/>
      <c r="AI685" s="335"/>
      <c r="AJ685" s="335"/>
      <c r="AK685" s="335"/>
      <c r="AL685" s="335"/>
      <c r="AM685" s="335"/>
      <c r="AN685" s="335"/>
      <c r="AO685" s="335"/>
      <c r="AP685" s="335"/>
      <c r="AQ685" s="335"/>
      <c r="AR685" s="335"/>
      <c r="AS685" s="335"/>
      <c r="AT685" s="335"/>
      <c r="AU685" s="335"/>
      <c r="AV685" s="335"/>
      <c r="AW685" s="335"/>
      <c r="AX685" s="335"/>
      <c r="AY685" s="335"/>
      <c r="AZ685" s="335"/>
      <c r="BA685" s="335"/>
      <c r="BB685" s="335"/>
      <c r="BC685" s="335"/>
      <c r="BD685" s="335"/>
      <c r="BE685" s="335"/>
      <c r="BF685" s="335"/>
      <c r="BG685" s="335"/>
      <c r="BH685" s="335"/>
      <c r="BI685" s="335"/>
      <c r="BJ685" s="335"/>
      <c r="BK685" s="335"/>
      <c r="BL685" s="335"/>
      <c r="BM685" s="335"/>
      <c r="BN685" s="335"/>
      <c r="BO685" s="335"/>
      <c r="BP685" s="335"/>
      <c r="BQ685" s="335"/>
      <c r="BR685" s="335"/>
      <c r="BS685" s="335"/>
      <c r="BT685" s="335"/>
      <c r="BU685" s="335"/>
      <c r="BV685" s="335"/>
      <c r="BW685" s="335"/>
      <c r="BX685" s="335"/>
      <c r="BY685" s="335"/>
      <c r="BZ685" s="335"/>
      <c r="CA685" s="335"/>
      <c r="CB685" s="335"/>
      <c r="CC685" s="335"/>
      <c r="CD685" s="335"/>
      <c r="CE685" s="335"/>
      <c r="CF685" s="335"/>
      <c r="CG685" s="335"/>
      <c r="CH685" s="335"/>
      <c r="CI685" s="335"/>
      <c r="CJ685" s="335"/>
      <c r="CK685" s="335"/>
      <c r="CL685" s="335"/>
      <c r="CM685" s="335"/>
      <c r="CN685" s="335"/>
      <c r="CO685" s="335"/>
      <c r="CP685" s="335"/>
      <c r="CQ685" s="335"/>
      <c r="CR685" s="335"/>
      <c r="CS685" s="335"/>
      <c r="CT685" s="335"/>
      <c r="CU685" s="335"/>
      <c r="CV685" s="335"/>
      <c r="CW685" s="335"/>
      <c r="CX685" s="335"/>
      <c r="CY685" s="335"/>
      <c r="CZ685" s="335"/>
      <c r="DA685" s="335"/>
      <c r="DB685" s="335"/>
      <c r="DC685" s="335"/>
      <c r="DD685" s="335"/>
      <c r="DE685" s="335"/>
      <c r="DF685" s="335"/>
      <c r="DG685" s="335"/>
      <c r="DH685" s="335"/>
      <c r="DI685" s="335"/>
      <c r="DJ685" s="335"/>
      <c r="DK685" s="335"/>
      <c r="DL685" s="335"/>
      <c r="DM685" s="335"/>
      <c r="DN685" s="335"/>
      <c r="DO685" s="335"/>
      <c r="DP685" s="335"/>
      <c r="DQ685" s="335"/>
      <c r="DR685" s="335"/>
      <c r="DS685" s="335"/>
      <c r="DT685" s="335"/>
      <c r="DU685" s="335"/>
      <c r="DV685" s="335"/>
      <c r="DW685" s="335"/>
      <c r="DX685" s="335"/>
      <c r="DY685" s="335"/>
      <c r="DZ685" s="335"/>
      <c r="EA685" s="335"/>
      <c r="EB685" s="335"/>
      <c r="EC685" s="335"/>
      <c r="ED685" s="335"/>
      <c r="EE685" s="335"/>
      <c r="EF685" s="335"/>
      <c r="EG685" s="335"/>
      <c r="EH685" s="335"/>
      <c r="EI685" s="335"/>
      <c r="EJ685" s="335"/>
      <c r="EK685" s="335"/>
      <c r="EL685" s="335"/>
      <c r="EM685" s="335"/>
      <c r="EN685" s="335"/>
      <c r="EO685" s="335"/>
      <c r="EP685" s="335"/>
      <c r="EQ685" s="335"/>
      <c r="ER685" s="335"/>
      <c r="ES685" s="335"/>
      <c r="ET685" s="335"/>
      <c r="EU685" s="335"/>
      <c r="EV685" s="335"/>
      <c r="EW685" s="335"/>
      <c r="EX685" s="335"/>
      <c r="EY685" s="335"/>
      <c r="EZ685" s="335"/>
      <c r="FA685" s="335"/>
      <c r="FB685" s="335"/>
      <c r="FC685" s="335"/>
      <c r="FD685" s="335"/>
      <c r="FE685" s="335"/>
      <c r="FF685" s="335"/>
      <c r="FG685" s="335"/>
      <c r="FH685" s="335"/>
      <c r="FI685" s="335"/>
      <c r="FJ685" s="335"/>
      <c r="FK685" s="335"/>
      <c r="FL685" s="335"/>
      <c r="FM685" s="335"/>
      <c r="FN685" s="335"/>
      <c r="FO685" s="335"/>
      <c r="FP685" s="335"/>
      <c r="FQ685" s="335"/>
      <c r="FR685" s="335"/>
      <c r="FS685" s="335"/>
      <c r="FT685" s="335"/>
      <c r="FU685" s="335"/>
      <c r="FV685" s="335"/>
      <c r="FW685" s="335"/>
      <c r="FX685" s="335"/>
      <c r="FY685" s="335"/>
      <c r="FZ685" s="335"/>
      <c r="GA685" s="335"/>
      <c r="GB685" s="335"/>
      <c r="GC685" s="335"/>
      <c r="GD685" s="335"/>
      <c r="GE685" s="335"/>
      <c r="GF685" s="335"/>
      <c r="GG685" s="335"/>
      <c r="GH685" s="335"/>
      <c r="GI685" s="335"/>
      <c r="GJ685" s="335"/>
      <c r="GK685" s="335"/>
      <c r="GL685" s="335"/>
      <c r="GM685" s="335"/>
      <c r="GN685" s="335"/>
      <c r="GO685" s="335"/>
      <c r="GP685" s="335"/>
      <c r="GQ685" s="335"/>
      <c r="GR685" s="335"/>
      <c r="GS685" s="335"/>
      <c r="GT685" s="335"/>
      <c r="GU685" s="335"/>
      <c r="GV685" s="335"/>
      <c r="GW685" s="335"/>
      <c r="GX685" s="335"/>
      <c r="GY685" s="335"/>
      <c r="GZ685" s="335"/>
    </row>
    <row r="686" spans="1:208" ht="15">
      <c r="A686" s="379"/>
      <c r="B686" s="335"/>
      <c r="C686" s="335"/>
      <c r="D686" s="335"/>
      <c r="E686" s="335"/>
      <c r="F686" s="335"/>
      <c r="G686" s="335"/>
      <c r="H686" s="335"/>
      <c r="I686" s="335"/>
      <c r="J686" s="335"/>
      <c r="K686" s="335"/>
      <c r="L686" s="335"/>
      <c r="M686" s="376"/>
      <c r="N686" s="335"/>
      <c r="O686" s="380"/>
      <c r="P686" s="335"/>
      <c r="Q686" s="335"/>
      <c r="R686" s="335"/>
      <c r="S686" s="335"/>
      <c r="T686" s="335"/>
      <c r="U686" s="335"/>
      <c r="V686" s="335"/>
      <c r="W686" s="335"/>
      <c r="X686" s="335"/>
      <c r="Y686" s="335"/>
      <c r="Z686" s="335"/>
      <c r="AA686" s="335"/>
      <c r="AB686" s="335"/>
      <c r="AC686" s="335"/>
      <c r="AD686" s="335"/>
      <c r="AE686" s="335"/>
      <c r="AF686" s="335"/>
      <c r="AG686" s="335"/>
      <c r="AH686" s="335"/>
      <c r="AI686" s="335"/>
      <c r="AJ686" s="335"/>
      <c r="AK686" s="335"/>
      <c r="AL686" s="335"/>
      <c r="AM686" s="335"/>
      <c r="AN686" s="335"/>
      <c r="AO686" s="335"/>
      <c r="AP686" s="335"/>
      <c r="AQ686" s="335"/>
      <c r="AR686" s="335"/>
      <c r="AS686" s="335"/>
      <c r="AT686" s="335"/>
      <c r="AU686" s="335"/>
      <c r="AV686" s="335"/>
      <c r="AW686" s="335"/>
      <c r="AX686" s="335"/>
      <c r="AY686" s="335"/>
      <c r="AZ686" s="335"/>
      <c r="BA686" s="335"/>
      <c r="BB686" s="335"/>
      <c r="BC686" s="335"/>
      <c r="BD686" s="335"/>
      <c r="BE686" s="335"/>
      <c r="BF686" s="335"/>
      <c r="BG686" s="335"/>
      <c r="BH686" s="335"/>
      <c r="BI686" s="335"/>
      <c r="BJ686" s="335"/>
      <c r="BK686" s="335"/>
      <c r="BL686" s="335"/>
      <c r="BM686" s="335"/>
      <c r="BN686" s="335"/>
      <c r="BO686" s="335"/>
      <c r="BP686" s="335"/>
      <c r="BQ686" s="335"/>
      <c r="BR686" s="335"/>
      <c r="BS686" s="335"/>
      <c r="BT686" s="335"/>
      <c r="BU686" s="335"/>
      <c r="BV686" s="335"/>
      <c r="BW686" s="335"/>
      <c r="BX686" s="335"/>
      <c r="BY686" s="335"/>
      <c r="BZ686" s="335"/>
      <c r="CA686" s="335"/>
      <c r="CB686" s="335"/>
      <c r="CC686" s="335"/>
      <c r="CD686" s="335"/>
      <c r="CE686" s="335"/>
      <c r="CF686" s="335"/>
      <c r="CG686" s="335"/>
      <c r="CH686" s="335"/>
      <c r="CI686" s="335"/>
      <c r="CJ686" s="335"/>
      <c r="CK686" s="335"/>
      <c r="CL686" s="335"/>
      <c r="CM686" s="335"/>
      <c r="CN686" s="335"/>
      <c r="CO686" s="335"/>
      <c r="CP686" s="335"/>
      <c r="CQ686" s="335"/>
      <c r="CR686" s="335"/>
      <c r="CS686" s="335"/>
      <c r="CT686" s="335"/>
      <c r="CU686" s="335"/>
      <c r="CV686" s="335"/>
      <c r="CW686" s="335"/>
      <c r="CX686" s="335"/>
      <c r="CY686" s="335"/>
      <c r="CZ686" s="335"/>
      <c r="DA686" s="335"/>
      <c r="DB686" s="335"/>
      <c r="DC686" s="335"/>
      <c r="DD686" s="335"/>
      <c r="DE686" s="335"/>
      <c r="DF686" s="335"/>
      <c r="DG686" s="335"/>
      <c r="DH686" s="335"/>
      <c r="DI686" s="335"/>
      <c r="DJ686" s="335"/>
      <c r="DK686" s="335"/>
      <c r="DL686" s="335"/>
      <c r="DM686" s="335"/>
      <c r="DN686" s="335"/>
      <c r="DO686" s="335"/>
      <c r="DP686" s="335"/>
      <c r="DQ686" s="335"/>
      <c r="DR686" s="335"/>
      <c r="DS686" s="335"/>
      <c r="DT686" s="335"/>
      <c r="DU686" s="335"/>
      <c r="DV686" s="335"/>
      <c r="DW686" s="335"/>
      <c r="DX686" s="335"/>
      <c r="DY686" s="335"/>
      <c r="DZ686" s="335"/>
      <c r="EA686" s="335"/>
      <c r="EB686" s="335"/>
      <c r="EC686" s="335"/>
      <c r="ED686" s="335"/>
      <c r="EE686" s="335"/>
      <c r="EF686" s="335"/>
      <c r="EG686" s="335"/>
      <c r="EH686" s="335"/>
      <c r="EI686" s="335"/>
      <c r="EJ686" s="335"/>
      <c r="EK686" s="335"/>
      <c r="EL686" s="335"/>
      <c r="EM686" s="335"/>
      <c r="EN686" s="335"/>
      <c r="EO686" s="335"/>
      <c r="EP686" s="335"/>
      <c r="EQ686" s="335"/>
      <c r="ER686" s="335"/>
      <c r="ES686" s="335"/>
      <c r="ET686" s="335"/>
      <c r="EU686" s="335"/>
      <c r="EV686" s="335"/>
      <c r="EW686" s="335"/>
      <c r="EX686" s="335"/>
      <c r="EY686" s="335"/>
      <c r="EZ686" s="335"/>
      <c r="FA686" s="335"/>
      <c r="FB686" s="335"/>
      <c r="FC686" s="335"/>
      <c r="FD686" s="335"/>
      <c r="FE686" s="335"/>
      <c r="FF686" s="335"/>
      <c r="FG686" s="335"/>
      <c r="FH686" s="335"/>
      <c r="FI686" s="335"/>
      <c r="FJ686" s="335"/>
      <c r="FK686" s="335"/>
      <c r="FL686" s="335"/>
      <c r="FM686" s="335"/>
      <c r="FN686" s="335"/>
      <c r="FO686" s="335"/>
      <c r="FP686" s="335"/>
      <c r="FQ686" s="335"/>
      <c r="FR686" s="335"/>
      <c r="FS686" s="335"/>
      <c r="FT686" s="335"/>
      <c r="FU686" s="335"/>
      <c r="FV686" s="335"/>
      <c r="FW686" s="335"/>
      <c r="FX686" s="335"/>
      <c r="FY686" s="335"/>
      <c r="FZ686" s="335"/>
      <c r="GA686" s="335"/>
      <c r="GB686" s="335"/>
      <c r="GC686" s="335"/>
      <c r="GD686" s="335"/>
      <c r="GE686" s="335"/>
      <c r="GF686" s="335"/>
      <c r="GG686" s="335"/>
      <c r="GH686" s="335"/>
      <c r="GI686" s="335"/>
      <c r="GJ686" s="335"/>
      <c r="GK686" s="335"/>
      <c r="GL686" s="335"/>
      <c r="GM686" s="335"/>
      <c r="GN686" s="335"/>
      <c r="GO686" s="335"/>
      <c r="GP686" s="335"/>
      <c r="GQ686" s="335"/>
      <c r="GR686" s="335"/>
      <c r="GS686" s="335"/>
      <c r="GT686" s="335"/>
      <c r="GU686" s="335"/>
      <c r="GV686" s="335"/>
      <c r="GW686" s="335"/>
      <c r="GX686" s="335"/>
      <c r="GY686" s="335"/>
      <c r="GZ686" s="335"/>
    </row>
    <row r="687" spans="1:208" ht="15">
      <c r="A687" s="379"/>
      <c r="B687" s="335"/>
      <c r="C687" s="335"/>
      <c r="D687" s="335"/>
      <c r="E687" s="335"/>
      <c r="F687" s="335"/>
      <c r="G687" s="335"/>
      <c r="H687" s="335"/>
      <c r="I687" s="335"/>
      <c r="J687" s="335"/>
      <c r="K687" s="335"/>
      <c r="L687" s="335"/>
      <c r="M687" s="376"/>
      <c r="N687" s="335"/>
      <c r="O687" s="380"/>
      <c r="P687" s="335"/>
      <c r="Q687" s="335"/>
      <c r="R687" s="335"/>
      <c r="S687" s="335"/>
      <c r="T687" s="335"/>
      <c r="U687" s="335"/>
      <c r="V687" s="335"/>
      <c r="W687" s="335"/>
      <c r="X687" s="335"/>
      <c r="Y687" s="335"/>
      <c r="Z687" s="335"/>
      <c r="AA687" s="335"/>
      <c r="AB687" s="335"/>
      <c r="AC687" s="335"/>
      <c r="AD687" s="335"/>
      <c r="AE687" s="335"/>
      <c r="AF687" s="335"/>
      <c r="AG687" s="335"/>
      <c r="AH687" s="335"/>
      <c r="AI687" s="335"/>
      <c r="AJ687" s="335"/>
      <c r="AK687" s="335"/>
      <c r="AL687" s="335"/>
      <c r="AM687" s="335"/>
      <c r="AN687" s="335"/>
      <c r="AO687" s="335"/>
      <c r="AP687" s="335"/>
      <c r="AQ687" s="335"/>
      <c r="AR687" s="335"/>
      <c r="AS687" s="335"/>
      <c r="AT687" s="335"/>
      <c r="AU687" s="335"/>
      <c r="AV687" s="335"/>
      <c r="AW687" s="335"/>
      <c r="AX687" s="335"/>
      <c r="AY687" s="335"/>
      <c r="AZ687" s="335"/>
      <c r="BA687" s="335"/>
      <c r="BB687" s="335"/>
      <c r="BC687" s="335"/>
      <c r="BD687" s="335"/>
      <c r="BE687" s="335"/>
      <c r="BF687" s="335"/>
      <c r="BG687" s="335"/>
      <c r="BH687" s="335"/>
      <c r="BI687" s="335"/>
      <c r="BJ687" s="335"/>
      <c r="BK687" s="335"/>
      <c r="BL687" s="335"/>
      <c r="BM687" s="335"/>
      <c r="BN687" s="335"/>
      <c r="BO687" s="335"/>
      <c r="BP687" s="335"/>
      <c r="BQ687" s="335"/>
      <c r="BR687" s="335"/>
      <c r="BS687" s="335"/>
      <c r="BT687" s="335"/>
      <c r="BU687" s="335"/>
      <c r="BV687" s="335"/>
      <c r="BW687" s="335"/>
      <c r="BX687" s="335"/>
      <c r="BY687" s="335"/>
      <c r="BZ687" s="335"/>
      <c r="CA687" s="335"/>
      <c r="CB687" s="335"/>
      <c r="CC687" s="335"/>
      <c r="CD687" s="335"/>
      <c r="CE687" s="335"/>
      <c r="CF687" s="335"/>
      <c r="CG687" s="335"/>
      <c r="CH687" s="335"/>
      <c r="CI687" s="335"/>
      <c r="CJ687" s="335"/>
      <c r="CK687" s="335"/>
      <c r="CL687" s="335"/>
      <c r="CM687" s="335"/>
      <c r="CN687" s="335"/>
      <c r="CO687" s="335"/>
      <c r="CP687" s="335"/>
      <c r="CQ687" s="335"/>
      <c r="CR687" s="335"/>
      <c r="CS687" s="335"/>
      <c r="CT687" s="335"/>
      <c r="CU687" s="335"/>
      <c r="CV687" s="335"/>
      <c r="CW687" s="335"/>
      <c r="CX687" s="335"/>
      <c r="CY687" s="335"/>
      <c r="CZ687" s="335"/>
      <c r="DA687" s="335"/>
      <c r="DB687" s="335"/>
      <c r="DC687" s="335"/>
      <c r="DD687" s="335"/>
      <c r="DE687" s="335"/>
      <c r="DF687" s="335"/>
      <c r="DG687" s="335"/>
      <c r="DH687" s="335"/>
      <c r="DI687" s="335"/>
      <c r="DJ687" s="335"/>
      <c r="DK687" s="335"/>
      <c r="DL687" s="335"/>
      <c r="DM687" s="335"/>
      <c r="DN687" s="335"/>
      <c r="DO687" s="335"/>
      <c r="DP687" s="335"/>
      <c r="DQ687" s="335"/>
      <c r="DR687" s="335"/>
      <c r="DS687" s="335"/>
      <c r="DT687" s="335"/>
      <c r="DU687" s="335"/>
      <c r="DV687" s="335"/>
      <c r="DW687" s="335"/>
      <c r="DX687" s="335"/>
      <c r="DY687" s="335"/>
      <c r="DZ687" s="335"/>
      <c r="EA687" s="335"/>
      <c r="EB687" s="335"/>
      <c r="EC687" s="335"/>
      <c r="ED687" s="335"/>
      <c r="EE687" s="335"/>
      <c r="EF687" s="335"/>
      <c r="EG687" s="335"/>
      <c r="EH687" s="335"/>
      <c r="EI687" s="335"/>
      <c r="EJ687" s="335"/>
      <c r="EK687" s="335"/>
      <c r="EL687" s="335"/>
      <c r="EM687" s="335"/>
      <c r="EN687" s="335"/>
      <c r="EO687" s="335"/>
      <c r="EP687" s="335"/>
      <c r="EQ687" s="335"/>
      <c r="ER687" s="335"/>
      <c r="ES687" s="335"/>
      <c r="ET687" s="335"/>
      <c r="EU687" s="335"/>
      <c r="EV687" s="335"/>
      <c r="EW687" s="335"/>
      <c r="EX687" s="335"/>
      <c r="EY687" s="335"/>
      <c r="EZ687" s="335"/>
      <c r="FA687" s="335"/>
      <c r="FB687" s="335"/>
      <c r="FC687" s="335"/>
      <c r="FD687" s="335"/>
      <c r="FE687" s="335"/>
      <c r="FF687" s="335"/>
      <c r="FG687" s="335"/>
      <c r="FH687" s="335"/>
      <c r="FI687" s="335"/>
      <c r="FJ687" s="335"/>
      <c r="FK687" s="335"/>
      <c r="FL687" s="335"/>
      <c r="FM687" s="335"/>
      <c r="FN687" s="335"/>
      <c r="FO687" s="335"/>
      <c r="FP687" s="335"/>
      <c r="FQ687" s="335"/>
      <c r="FR687" s="335"/>
      <c r="FS687" s="335"/>
      <c r="FT687" s="335"/>
      <c r="FU687" s="335"/>
      <c r="FV687" s="335"/>
      <c r="FW687" s="335"/>
      <c r="FX687" s="335"/>
      <c r="FY687" s="335"/>
      <c r="FZ687" s="335"/>
      <c r="GA687" s="335"/>
      <c r="GB687" s="335"/>
      <c r="GC687" s="335"/>
      <c r="GD687" s="335"/>
      <c r="GE687" s="335"/>
      <c r="GF687" s="335"/>
      <c r="GG687" s="335"/>
      <c r="GH687" s="335"/>
      <c r="GI687" s="335"/>
      <c r="GJ687" s="335"/>
      <c r="GK687" s="335"/>
      <c r="GL687" s="335"/>
      <c r="GM687" s="335"/>
      <c r="GN687" s="335"/>
      <c r="GO687" s="335"/>
      <c r="GP687" s="335"/>
      <c r="GQ687" s="335"/>
      <c r="GR687" s="335"/>
      <c r="GS687" s="335"/>
      <c r="GT687" s="335"/>
      <c r="GU687" s="335"/>
      <c r="GV687" s="335"/>
      <c r="GW687" s="335"/>
      <c r="GX687" s="335"/>
      <c r="GY687" s="335"/>
      <c r="GZ687" s="335"/>
    </row>
    <row r="688" spans="1:208" ht="15">
      <c r="A688" s="379"/>
      <c r="B688" s="335"/>
      <c r="C688" s="335"/>
      <c r="D688" s="335"/>
      <c r="E688" s="335"/>
      <c r="F688" s="335"/>
      <c r="G688" s="335"/>
      <c r="H688" s="335"/>
      <c r="I688" s="335"/>
      <c r="J688" s="335"/>
      <c r="K688" s="335"/>
      <c r="L688" s="335"/>
      <c r="M688" s="376"/>
      <c r="N688" s="335"/>
      <c r="O688" s="380"/>
      <c r="P688" s="335"/>
      <c r="Q688" s="335"/>
      <c r="R688" s="335"/>
      <c r="S688" s="335"/>
      <c r="T688" s="335"/>
      <c r="U688" s="335"/>
      <c r="V688" s="335"/>
      <c r="W688" s="335"/>
      <c r="X688" s="335"/>
      <c r="Y688" s="335"/>
      <c r="Z688" s="335"/>
      <c r="AA688" s="335"/>
      <c r="AB688" s="335"/>
      <c r="AC688" s="335"/>
      <c r="AD688" s="335"/>
      <c r="AE688" s="335"/>
      <c r="AF688" s="335"/>
      <c r="AG688" s="335"/>
      <c r="AH688" s="335"/>
      <c r="AI688" s="335"/>
      <c r="AJ688" s="335"/>
      <c r="AK688" s="335"/>
      <c r="AL688" s="335"/>
      <c r="AM688" s="335"/>
      <c r="AN688" s="335"/>
      <c r="AO688" s="335"/>
      <c r="AP688" s="335"/>
      <c r="AQ688" s="335"/>
      <c r="AR688" s="335"/>
      <c r="AS688" s="335"/>
      <c r="AT688" s="335"/>
      <c r="AU688" s="335"/>
      <c r="AV688" s="335"/>
      <c r="AW688" s="335"/>
      <c r="AX688" s="335"/>
      <c r="AY688" s="335"/>
      <c r="AZ688" s="335"/>
      <c r="BA688" s="335"/>
      <c r="BB688" s="335"/>
      <c r="BC688" s="335"/>
      <c r="BD688" s="335"/>
      <c r="BE688" s="335"/>
      <c r="BF688" s="335"/>
      <c r="BG688" s="335"/>
      <c r="BH688" s="335"/>
      <c r="BI688" s="335"/>
      <c r="BJ688" s="335"/>
      <c r="BK688" s="335"/>
      <c r="BL688" s="335"/>
      <c r="BM688" s="335"/>
      <c r="BN688" s="335"/>
      <c r="BO688" s="335"/>
      <c r="BP688" s="335"/>
      <c r="BQ688" s="335"/>
      <c r="BR688" s="335"/>
      <c r="BS688" s="335"/>
      <c r="BT688" s="335"/>
      <c r="BU688" s="335"/>
      <c r="BV688" s="335"/>
      <c r="BW688" s="335"/>
      <c r="BX688" s="335"/>
      <c r="BY688" s="335"/>
      <c r="BZ688" s="335"/>
      <c r="CA688" s="335"/>
      <c r="CB688" s="335"/>
      <c r="CC688" s="335"/>
      <c r="CD688" s="335"/>
      <c r="CE688" s="335"/>
      <c r="CF688" s="335"/>
      <c r="CG688" s="335"/>
      <c r="CH688" s="335"/>
      <c r="CI688" s="335"/>
      <c r="CJ688" s="335"/>
      <c r="CK688" s="335"/>
      <c r="CL688" s="335"/>
      <c r="CM688" s="335"/>
      <c r="CN688" s="335"/>
      <c r="CO688" s="335"/>
      <c r="CP688" s="335"/>
      <c r="CQ688" s="335"/>
      <c r="CR688" s="335"/>
      <c r="CS688" s="335"/>
      <c r="CT688" s="335"/>
      <c r="CU688" s="335"/>
      <c r="CV688" s="335"/>
      <c r="CW688" s="335"/>
      <c r="CX688" s="335"/>
      <c r="CY688" s="335"/>
      <c r="CZ688" s="335"/>
      <c r="DA688" s="335"/>
      <c r="DB688" s="335"/>
      <c r="DC688" s="335"/>
      <c r="DD688" s="335"/>
      <c r="DE688" s="335"/>
      <c r="DF688" s="335"/>
      <c r="DG688" s="335"/>
      <c r="DH688" s="335"/>
      <c r="DI688" s="335"/>
      <c r="DJ688" s="335"/>
      <c r="DK688" s="335"/>
      <c r="DL688" s="335"/>
      <c r="DM688" s="335"/>
      <c r="DN688" s="335"/>
      <c r="DO688" s="335"/>
      <c r="DP688" s="335"/>
      <c r="DQ688" s="335"/>
      <c r="DR688" s="335"/>
      <c r="DS688" s="335"/>
      <c r="DT688" s="335"/>
      <c r="DU688" s="335"/>
      <c r="DV688" s="335"/>
      <c r="DW688" s="335"/>
      <c r="DX688" s="335"/>
      <c r="DY688" s="335"/>
      <c r="DZ688" s="335"/>
      <c r="EA688" s="335"/>
      <c r="EB688" s="335"/>
      <c r="EC688" s="335"/>
      <c r="ED688" s="335"/>
      <c r="EE688" s="335"/>
      <c r="EF688" s="335"/>
      <c r="EG688" s="335"/>
      <c r="EH688" s="335"/>
      <c r="EI688" s="335"/>
      <c r="EJ688" s="335"/>
      <c r="EK688" s="335"/>
      <c r="EL688" s="335"/>
      <c r="EM688" s="335"/>
      <c r="EN688" s="335"/>
      <c r="EO688" s="335"/>
      <c r="EP688" s="335"/>
      <c r="EQ688" s="335"/>
      <c r="ER688" s="335"/>
      <c r="ES688" s="335"/>
      <c r="ET688" s="335"/>
      <c r="EU688" s="335"/>
      <c r="EV688" s="335"/>
      <c r="EW688" s="335"/>
      <c r="EX688" s="335"/>
      <c r="EY688" s="335"/>
      <c r="EZ688" s="335"/>
      <c r="FA688" s="335"/>
      <c r="FB688" s="335"/>
      <c r="FC688" s="335"/>
      <c r="FD688" s="335"/>
      <c r="FE688" s="335"/>
      <c r="FF688" s="335"/>
      <c r="FG688" s="335"/>
      <c r="FH688" s="335"/>
      <c r="FI688" s="335"/>
      <c r="FJ688" s="335"/>
      <c r="FK688" s="335"/>
      <c r="FL688" s="335"/>
      <c r="FM688" s="335"/>
      <c r="FN688" s="335"/>
      <c r="FO688" s="335"/>
      <c r="FP688" s="335"/>
      <c r="FQ688" s="335"/>
      <c r="FR688" s="335"/>
      <c r="FS688" s="335"/>
      <c r="FT688" s="335"/>
      <c r="FU688" s="335"/>
      <c r="FV688" s="335"/>
      <c r="FW688" s="335"/>
      <c r="FX688" s="335"/>
      <c r="FY688" s="335"/>
      <c r="FZ688" s="335"/>
      <c r="GA688" s="335"/>
      <c r="GB688" s="335"/>
      <c r="GC688" s="335"/>
      <c r="GD688" s="335"/>
      <c r="GE688" s="335"/>
      <c r="GF688" s="335"/>
      <c r="GG688" s="335"/>
      <c r="GH688" s="335"/>
      <c r="GI688" s="335"/>
      <c r="GJ688" s="335"/>
      <c r="GK688" s="335"/>
      <c r="GL688" s="335"/>
      <c r="GM688" s="335"/>
      <c r="GN688" s="335"/>
      <c r="GO688" s="335"/>
      <c r="GP688" s="335"/>
      <c r="GQ688" s="335"/>
      <c r="GR688" s="335"/>
      <c r="GS688" s="335"/>
      <c r="GT688" s="335"/>
      <c r="GU688" s="335"/>
      <c r="GV688" s="335"/>
      <c r="GW688" s="335"/>
      <c r="GX688" s="335"/>
      <c r="GY688" s="335"/>
      <c r="GZ688" s="335"/>
    </row>
    <row r="689" spans="1:208" ht="15">
      <c r="A689" s="379"/>
      <c r="B689" s="335"/>
      <c r="C689" s="335"/>
      <c r="D689" s="335"/>
      <c r="E689" s="335"/>
      <c r="F689" s="335"/>
      <c r="G689" s="335"/>
      <c r="H689" s="335"/>
      <c r="I689" s="335"/>
      <c r="J689" s="335"/>
      <c r="K689" s="335"/>
      <c r="L689" s="335"/>
      <c r="M689" s="376"/>
      <c r="N689" s="335"/>
      <c r="O689" s="380"/>
      <c r="P689" s="335"/>
      <c r="Q689" s="335"/>
      <c r="R689" s="335"/>
      <c r="S689" s="335"/>
      <c r="T689" s="335"/>
      <c r="U689" s="335"/>
      <c r="V689" s="335"/>
      <c r="W689" s="335"/>
      <c r="X689" s="335"/>
      <c r="Y689" s="335"/>
      <c r="Z689" s="335"/>
      <c r="AA689" s="335"/>
      <c r="AB689" s="335"/>
      <c r="AC689" s="335"/>
      <c r="AD689" s="335"/>
      <c r="AE689" s="335"/>
      <c r="AF689" s="335"/>
      <c r="AG689" s="335"/>
      <c r="AH689" s="335"/>
      <c r="AI689" s="335"/>
      <c r="AJ689" s="335"/>
      <c r="AK689" s="335"/>
      <c r="AL689" s="335"/>
      <c r="AM689" s="335"/>
      <c r="AN689" s="335"/>
      <c r="AO689" s="335"/>
      <c r="AP689" s="335"/>
      <c r="AQ689" s="335"/>
      <c r="AR689" s="335"/>
      <c r="AS689" s="335"/>
      <c r="AT689" s="335"/>
      <c r="AU689" s="335"/>
      <c r="AV689" s="335"/>
      <c r="AW689" s="335"/>
      <c r="AX689" s="335"/>
      <c r="AY689" s="335"/>
      <c r="AZ689" s="335"/>
      <c r="BA689" s="335"/>
      <c r="BB689" s="335"/>
      <c r="BC689" s="335"/>
      <c r="BD689" s="335"/>
      <c r="BE689" s="335"/>
      <c r="BF689" s="335"/>
      <c r="BG689" s="335"/>
      <c r="BH689" s="335"/>
      <c r="BI689" s="335"/>
      <c r="BJ689" s="335"/>
      <c r="BK689" s="335"/>
      <c r="BL689" s="335"/>
      <c r="BM689" s="335"/>
      <c r="BN689" s="335"/>
      <c r="BO689" s="335"/>
      <c r="BP689" s="335"/>
      <c r="BQ689" s="335"/>
      <c r="BR689" s="335"/>
      <c r="BS689" s="335"/>
      <c r="BT689" s="335"/>
      <c r="BU689" s="335"/>
      <c r="BV689" s="335"/>
      <c r="BW689" s="335"/>
      <c r="BX689" s="335"/>
      <c r="BY689" s="335"/>
      <c r="BZ689" s="335"/>
      <c r="CA689" s="335"/>
      <c r="CB689" s="335"/>
      <c r="CC689" s="335"/>
      <c r="CD689" s="335"/>
      <c r="CE689" s="335"/>
      <c r="CF689" s="335"/>
      <c r="CG689" s="335"/>
      <c r="CH689" s="335"/>
      <c r="CI689" s="335"/>
      <c r="CJ689" s="335"/>
      <c r="CK689" s="335"/>
      <c r="CL689" s="335"/>
      <c r="CM689" s="335"/>
      <c r="CN689" s="335"/>
      <c r="CO689" s="335"/>
      <c r="CP689" s="335"/>
      <c r="CQ689" s="335"/>
      <c r="CR689" s="335"/>
      <c r="CS689" s="335"/>
      <c r="CT689" s="335"/>
      <c r="CU689" s="335"/>
      <c r="CV689" s="335"/>
      <c r="CW689" s="335"/>
      <c r="CX689" s="335"/>
      <c r="CY689" s="335"/>
      <c r="CZ689" s="335"/>
      <c r="DA689" s="335"/>
      <c r="DB689" s="335"/>
      <c r="DC689" s="335"/>
      <c r="DD689" s="335"/>
      <c r="DE689" s="335"/>
      <c r="DF689" s="335"/>
      <c r="DG689" s="335"/>
      <c r="DH689" s="335"/>
      <c r="DI689" s="335"/>
      <c r="DJ689" s="335"/>
      <c r="DK689" s="335"/>
      <c r="DL689" s="335"/>
      <c r="DM689" s="335"/>
      <c r="DN689" s="335"/>
      <c r="DO689" s="335"/>
      <c r="DP689" s="335"/>
      <c r="DQ689" s="335"/>
      <c r="DR689" s="335"/>
      <c r="DS689" s="335"/>
      <c r="DT689" s="335"/>
      <c r="DU689" s="335"/>
      <c r="DV689" s="335"/>
      <c r="DW689" s="335"/>
      <c r="DX689" s="335"/>
      <c r="DY689" s="335"/>
      <c r="DZ689" s="335"/>
      <c r="EA689" s="335"/>
      <c r="EB689" s="335"/>
      <c r="EC689" s="335"/>
      <c r="ED689" s="335"/>
      <c r="EE689" s="335"/>
      <c r="EF689" s="335"/>
      <c r="EG689" s="335"/>
      <c r="EH689" s="335"/>
      <c r="EI689" s="335"/>
      <c r="EJ689" s="335"/>
      <c r="EK689" s="335"/>
      <c r="EL689" s="335"/>
      <c r="EM689" s="335"/>
      <c r="EN689" s="335"/>
      <c r="EO689" s="335"/>
      <c r="EP689" s="335"/>
      <c r="EQ689" s="335"/>
      <c r="ER689" s="335"/>
      <c r="ES689" s="335"/>
      <c r="ET689" s="335"/>
      <c r="EU689" s="335"/>
      <c r="EV689" s="335"/>
      <c r="EW689" s="335"/>
      <c r="EX689" s="335"/>
      <c r="EY689" s="335"/>
      <c r="EZ689" s="335"/>
      <c r="FA689" s="335"/>
      <c r="FB689" s="335"/>
      <c r="FC689" s="335"/>
      <c r="FD689" s="335"/>
      <c r="FE689" s="335"/>
      <c r="FF689" s="335"/>
      <c r="FG689" s="335"/>
      <c r="FH689" s="335"/>
      <c r="FI689" s="335"/>
      <c r="FJ689" s="335"/>
      <c r="FK689" s="335"/>
      <c r="FL689" s="335"/>
      <c r="FM689" s="335"/>
      <c r="FN689" s="335"/>
      <c r="FO689" s="335"/>
      <c r="FP689" s="335"/>
      <c r="FQ689" s="335"/>
      <c r="FR689" s="335"/>
      <c r="FS689" s="335"/>
      <c r="FT689" s="335"/>
      <c r="FU689" s="335"/>
      <c r="FV689" s="335"/>
      <c r="FW689" s="335"/>
      <c r="FX689" s="335"/>
      <c r="FY689" s="335"/>
      <c r="FZ689" s="335"/>
      <c r="GA689" s="335"/>
      <c r="GB689" s="335"/>
      <c r="GC689" s="335"/>
      <c r="GD689" s="335"/>
      <c r="GE689" s="335"/>
      <c r="GF689" s="335"/>
      <c r="GG689" s="335"/>
      <c r="GH689" s="335"/>
      <c r="GI689" s="335"/>
      <c r="GJ689" s="335"/>
      <c r="GK689" s="335"/>
      <c r="GL689" s="335"/>
      <c r="GM689" s="335"/>
      <c r="GN689" s="335"/>
      <c r="GO689" s="335"/>
      <c r="GP689" s="335"/>
      <c r="GQ689" s="335"/>
      <c r="GR689" s="335"/>
      <c r="GS689" s="335"/>
      <c r="GT689" s="335"/>
      <c r="GU689" s="335"/>
      <c r="GV689" s="335"/>
      <c r="GW689" s="335"/>
      <c r="GX689" s="335"/>
      <c r="GY689" s="335"/>
      <c r="GZ689" s="335"/>
    </row>
    <row r="690" spans="1:208" ht="15">
      <c r="A690" s="379"/>
      <c r="B690" s="335"/>
      <c r="C690" s="335"/>
      <c r="D690" s="335"/>
      <c r="E690" s="335"/>
      <c r="F690" s="335"/>
      <c r="G690" s="335"/>
      <c r="H690" s="335"/>
      <c r="I690" s="335"/>
      <c r="J690" s="335"/>
      <c r="K690" s="335"/>
      <c r="L690" s="335"/>
      <c r="M690" s="376"/>
      <c r="N690" s="335"/>
      <c r="O690" s="380"/>
      <c r="P690" s="335"/>
      <c r="Q690" s="335"/>
      <c r="R690" s="335"/>
      <c r="S690" s="335"/>
      <c r="T690" s="335"/>
      <c r="U690" s="335"/>
      <c r="V690" s="335"/>
      <c r="W690" s="335"/>
      <c r="X690" s="335"/>
      <c r="Y690" s="335"/>
      <c r="Z690" s="335"/>
      <c r="AA690" s="335"/>
      <c r="AB690" s="335"/>
      <c r="AC690" s="335"/>
      <c r="AD690" s="335"/>
      <c r="AE690" s="335"/>
      <c r="AF690" s="335"/>
      <c r="AG690" s="335"/>
      <c r="AH690" s="335"/>
      <c r="AI690" s="335"/>
      <c r="AJ690" s="335"/>
      <c r="AK690" s="335"/>
      <c r="AL690" s="335"/>
      <c r="AM690" s="335"/>
      <c r="AN690" s="335"/>
      <c r="AO690" s="335"/>
      <c r="AP690" s="335"/>
      <c r="AQ690" s="335"/>
      <c r="AR690" s="335"/>
      <c r="AS690" s="335"/>
      <c r="AT690" s="335"/>
      <c r="AU690" s="335"/>
      <c r="AV690" s="335"/>
      <c r="AW690" s="335"/>
      <c r="AX690" s="335"/>
      <c r="AY690" s="335"/>
      <c r="AZ690" s="335"/>
      <c r="BA690" s="335"/>
      <c r="BB690" s="335"/>
      <c r="BC690" s="335"/>
      <c r="BD690" s="335"/>
      <c r="BE690" s="335"/>
      <c r="BF690" s="335"/>
      <c r="BG690" s="335"/>
      <c r="BH690" s="335"/>
      <c r="BI690" s="335"/>
      <c r="BJ690" s="335"/>
      <c r="BK690" s="335"/>
      <c r="BL690" s="335"/>
      <c r="BM690" s="335"/>
      <c r="BN690" s="335"/>
      <c r="BO690" s="335"/>
      <c r="BP690" s="335"/>
      <c r="BQ690" s="335"/>
      <c r="BR690" s="335"/>
      <c r="BS690" s="335"/>
      <c r="BT690" s="335"/>
      <c r="BU690" s="335"/>
      <c r="BV690" s="335"/>
      <c r="BW690" s="335"/>
      <c r="BX690" s="335"/>
      <c r="BY690" s="335"/>
      <c r="BZ690" s="335"/>
      <c r="CA690" s="335"/>
      <c r="CB690" s="335"/>
      <c r="CC690" s="335"/>
      <c r="CD690" s="335"/>
      <c r="CE690" s="335"/>
      <c r="CF690" s="335"/>
      <c r="CG690" s="335"/>
      <c r="CH690" s="335"/>
      <c r="CI690" s="335"/>
      <c r="CJ690" s="335"/>
      <c r="CK690" s="335"/>
      <c r="CL690" s="335"/>
      <c r="CM690" s="335"/>
      <c r="CN690" s="335"/>
      <c r="CO690" s="335"/>
      <c r="CP690" s="335"/>
      <c r="CQ690" s="335"/>
      <c r="CR690" s="335"/>
      <c r="CS690" s="335"/>
      <c r="CT690" s="335"/>
      <c r="CU690" s="335"/>
      <c r="CV690" s="335"/>
      <c r="CW690" s="335"/>
      <c r="CX690" s="335"/>
      <c r="CY690" s="335"/>
      <c r="CZ690" s="335"/>
      <c r="DA690" s="335"/>
      <c r="DB690" s="335"/>
      <c r="DC690" s="335"/>
      <c r="DD690" s="335"/>
      <c r="DE690" s="335"/>
      <c r="DF690" s="335"/>
      <c r="DG690" s="335"/>
      <c r="DH690" s="335"/>
      <c r="DI690" s="335"/>
      <c r="DJ690" s="335"/>
      <c r="DK690" s="335"/>
      <c r="DL690" s="335"/>
      <c r="DM690" s="335"/>
      <c r="DN690" s="335"/>
      <c r="DO690" s="335"/>
      <c r="DP690" s="335"/>
      <c r="DQ690" s="335"/>
      <c r="DR690" s="335"/>
      <c r="DS690" s="335"/>
      <c r="DT690" s="335"/>
      <c r="DU690" s="335"/>
      <c r="DV690" s="335"/>
      <c r="DW690" s="335"/>
      <c r="DX690" s="335"/>
      <c r="DY690" s="335"/>
      <c r="DZ690" s="335"/>
      <c r="EA690" s="335"/>
      <c r="EB690" s="335"/>
      <c r="EC690" s="335"/>
      <c r="ED690" s="335"/>
      <c r="EE690" s="335"/>
      <c r="EF690" s="335"/>
      <c r="EG690" s="335"/>
      <c r="EH690" s="335"/>
      <c r="EI690" s="335"/>
      <c r="EJ690" s="335"/>
      <c r="EK690" s="335"/>
      <c r="EL690" s="335"/>
      <c r="EM690" s="335"/>
      <c r="EN690" s="335"/>
      <c r="EO690" s="335"/>
      <c r="EP690" s="335"/>
      <c r="EQ690" s="335"/>
      <c r="ER690" s="335"/>
      <c r="ES690" s="335"/>
      <c r="ET690" s="335"/>
      <c r="EU690" s="335"/>
      <c r="EV690" s="335"/>
      <c r="EW690" s="335"/>
      <c r="EX690" s="335"/>
      <c r="EY690" s="335"/>
      <c r="EZ690" s="335"/>
      <c r="FA690" s="335"/>
      <c r="FB690" s="335"/>
      <c r="FC690" s="335"/>
      <c r="FD690" s="335"/>
      <c r="FE690" s="335"/>
      <c r="FF690" s="335"/>
      <c r="FG690" s="335"/>
      <c r="FH690" s="335"/>
      <c r="FI690" s="335"/>
      <c r="FJ690" s="335"/>
      <c r="FK690" s="335"/>
      <c r="FL690" s="335"/>
      <c r="FM690" s="335"/>
      <c r="FN690" s="335"/>
      <c r="FO690" s="335"/>
      <c r="FP690" s="335"/>
      <c r="FQ690" s="335"/>
      <c r="FR690" s="335"/>
      <c r="FS690" s="335"/>
      <c r="FT690" s="335"/>
      <c r="FU690" s="335"/>
      <c r="FV690" s="335"/>
      <c r="FW690" s="335"/>
      <c r="FX690" s="335"/>
      <c r="FY690" s="335"/>
      <c r="FZ690" s="335"/>
      <c r="GA690" s="335"/>
      <c r="GB690" s="335"/>
      <c r="GC690" s="335"/>
      <c r="GD690" s="335"/>
      <c r="GE690" s="335"/>
      <c r="GF690" s="335"/>
      <c r="GG690" s="335"/>
      <c r="GH690" s="335"/>
      <c r="GI690" s="335"/>
      <c r="GJ690" s="335"/>
      <c r="GK690" s="335"/>
      <c r="GL690" s="335"/>
      <c r="GM690" s="335"/>
      <c r="GN690" s="335"/>
      <c r="GO690" s="335"/>
      <c r="GP690" s="335"/>
      <c r="GQ690" s="335"/>
      <c r="GR690" s="335"/>
      <c r="GS690" s="335"/>
      <c r="GT690" s="335"/>
      <c r="GU690" s="335"/>
      <c r="GV690" s="335"/>
      <c r="GW690" s="335"/>
      <c r="GX690" s="335"/>
      <c r="GY690" s="335"/>
      <c r="GZ690" s="335"/>
    </row>
    <row r="691" spans="1:208" ht="15">
      <c r="A691" s="379"/>
      <c r="B691" s="335"/>
      <c r="C691" s="335"/>
      <c r="D691" s="335"/>
      <c r="E691" s="335"/>
      <c r="F691" s="335"/>
      <c r="G691" s="335"/>
      <c r="H691" s="335"/>
      <c r="I691" s="335"/>
      <c r="J691" s="335"/>
      <c r="K691" s="335"/>
      <c r="L691" s="335"/>
      <c r="M691" s="376"/>
      <c r="N691" s="335"/>
      <c r="O691" s="380"/>
      <c r="P691" s="335"/>
      <c r="Q691" s="335"/>
      <c r="R691" s="335"/>
      <c r="S691" s="335"/>
      <c r="T691" s="335"/>
      <c r="U691" s="335"/>
      <c r="V691" s="335"/>
      <c r="W691" s="335"/>
      <c r="X691" s="335"/>
      <c r="Y691" s="335"/>
      <c r="Z691" s="335"/>
      <c r="AA691" s="335"/>
      <c r="AB691" s="335"/>
      <c r="AC691" s="335"/>
      <c r="AD691" s="335"/>
      <c r="AE691" s="335"/>
      <c r="AF691" s="335"/>
      <c r="AG691" s="335"/>
      <c r="AH691" s="335"/>
      <c r="AI691" s="335"/>
      <c r="AJ691" s="335"/>
      <c r="AK691" s="335"/>
      <c r="AL691" s="335"/>
      <c r="AM691" s="335"/>
      <c r="AN691" s="335"/>
      <c r="AO691" s="335"/>
      <c r="AP691" s="335"/>
      <c r="AQ691" s="335"/>
      <c r="AR691" s="335"/>
      <c r="AS691" s="335"/>
      <c r="AT691" s="335"/>
      <c r="AU691" s="335"/>
      <c r="AV691" s="335"/>
      <c r="AW691" s="335"/>
      <c r="AX691" s="335"/>
      <c r="AY691" s="335"/>
      <c r="AZ691" s="335"/>
      <c r="BA691" s="335"/>
      <c r="BB691" s="335"/>
      <c r="BC691" s="335"/>
      <c r="BD691" s="335"/>
      <c r="BE691" s="335"/>
      <c r="BF691" s="335"/>
      <c r="BG691" s="335"/>
      <c r="BH691" s="335"/>
      <c r="BI691" s="335"/>
      <c r="BJ691" s="335"/>
      <c r="BK691" s="335"/>
      <c r="BL691" s="335"/>
      <c r="BM691" s="335"/>
      <c r="BN691" s="335"/>
      <c r="BO691" s="335"/>
      <c r="BP691" s="335"/>
      <c r="BQ691" s="335"/>
      <c r="BR691" s="335"/>
      <c r="BS691" s="335"/>
      <c r="BT691" s="335"/>
      <c r="BU691" s="335"/>
      <c r="BV691" s="335"/>
      <c r="BW691" s="335"/>
      <c r="BX691" s="335"/>
      <c r="BY691" s="335"/>
      <c r="BZ691" s="335"/>
      <c r="CA691" s="335"/>
      <c r="CB691" s="335"/>
      <c r="CC691" s="335"/>
      <c r="CD691" s="335"/>
      <c r="CE691" s="335"/>
      <c r="CF691" s="335"/>
      <c r="CG691" s="335"/>
      <c r="CH691" s="335"/>
      <c r="CI691" s="335"/>
      <c r="CJ691" s="335"/>
      <c r="CK691" s="335"/>
      <c r="CL691" s="335"/>
      <c r="CM691" s="335"/>
      <c r="CN691" s="335"/>
      <c r="CO691" s="335"/>
      <c r="CP691" s="335"/>
      <c r="CQ691" s="335"/>
      <c r="CR691" s="335"/>
      <c r="CS691" s="335"/>
      <c r="CT691" s="335"/>
      <c r="CU691" s="335"/>
      <c r="CV691" s="335"/>
      <c r="CW691" s="335"/>
      <c r="CX691" s="335"/>
      <c r="CY691" s="335"/>
      <c r="CZ691" s="335"/>
      <c r="DA691" s="335"/>
      <c r="DB691" s="335"/>
      <c r="DC691" s="335"/>
      <c r="DD691" s="335"/>
      <c r="DE691" s="335"/>
      <c r="DF691" s="335"/>
      <c r="DG691" s="335"/>
      <c r="DH691" s="335"/>
      <c r="DI691" s="335"/>
      <c r="DJ691" s="335"/>
      <c r="DK691" s="335"/>
      <c r="DL691" s="335"/>
      <c r="DM691" s="335"/>
      <c r="DN691" s="335"/>
      <c r="DO691" s="335"/>
      <c r="DP691" s="335"/>
      <c r="DQ691" s="335"/>
      <c r="DR691" s="335"/>
      <c r="DS691" s="335"/>
      <c r="DT691" s="335"/>
      <c r="DU691" s="335"/>
      <c r="DV691" s="335"/>
      <c r="DW691" s="335"/>
      <c r="DX691" s="335"/>
      <c r="DY691" s="335"/>
      <c r="DZ691" s="335"/>
      <c r="EA691" s="335"/>
      <c r="EB691" s="335"/>
      <c r="EC691" s="335"/>
      <c r="ED691" s="335"/>
      <c r="EE691" s="335"/>
      <c r="EF691" s="335"/>
      <c r="EG691" s="335"/>
      <c r="EH691" s="335"/>
      <c r="EI691" s="335"/>
      <c r="EJ691" s="335"/>
      <c r="EK691" s="335"/>
      <c r="EL691" s="335"/>
      <c r="EM691" s="335"/>
      <c r="EN691" s="335"/>
      <c r="EO691" s="335"/>
      <c r="EP691" s="335"/>
      <c r="EQ691" s="335"/>
      <c r="ER691" s="335"/>
      <c r="ES691" s="335"/>
      <c r="ET691" s="335"/>
      <c r="EU691" s="335"/>
      <c r="EV691" s="335"/>
      <c r="EW691" s="335"/>
      <c r="EX691" s="335"/>
      <c r="EY691" s="335"/>
      <c r="EZ691" s="335"/>
      <c r="FA691" s="335"/>
      <c r="FB691" s="335"/>
      <c r="FC691" s="335"/>
      <c r="FD691" s="335"/>
      <c r="FE691" s="335"/>
      <c r="FF691" s="335"/>
      <c r="FG691" s="335"/>
      <c r="FH691" s="335"/>
      <c r="FI691" s="335"/>
      <c r="FJ691" s="335"/>
      <c r="FK691" s="335"/>
      <c r="FL691" s="335"/>
      <c r="FM691" s="335"/>
      <c r="FN691" s="335"/>
      <c r="FO691" s="335"/>
      <c r="FP691" s="335"/>
      <c r="FQ691" s="335"/>
      <c r="FR691" s="335"/>
      <c r="FS691" s="335"/>
      <c r="FT691" s="335"/>
      <c r="FU691" s="335"/>
      <c r="FV691" s="335"/>
      <c r="FW691" s="335"/>
      <c r="FX691" s="335"/>
      <c r="FY691" s="335"/>
      <c r="FZ691" s="335"/>
      <c r="GA691" s="335"/>
      <c r="GB691" s="335"/>
      <c r="GC691" s="335"/>
      <c r="GD691" s="335"/>
      <c r="GE691" s="335"/>
      <c r="GF691" s="335"/>
      <c r="GG691" s="335"/>
      <c r="GH691" s="335"/>
      <c r="GI691" s="335"/>
      <c r="GJ691" s="335"/>
      <c r="GK691" s="335"/>
      <c r="GL691" s="335"/>
      <c r="GM691" s="335"/>
      <c r="GN691" s="335"/>
      <c r="GO691" s="335"/>
      <c r="GP691" s="335"/>
      <c r="GQ691" s="335"/>
      <c r="GR691" s="335"/>
      <c r="GS691" s="335"/>
      <c r="GT691" s="335"/>
      <c r="GU691" s="335"/>
      <c r="GV691" s="335"/>
      <c r="GW691" s="335"/>
      <c r="GX691" s="335"/>
      <c r="GY691" s="335"/>
      <c r="GZ691" s="335"/>
    </row>
    <row r="692" spans="1:208" ht="15">
      <c r="A692" s="379"/>
      <c r="B692" s="335"/>
      <c r="C692" s="335"/>
      <c r="D692" s="335"/>
      <c r="E692" s="335"/>
      <c r="F692" s="335"/>
      <c r="G692" s="335"/>
      <c r="H692" s="335"/>
      <c r="I692" s="335"/>
      <c r="J692" s="335"/>
      <c r="K692" s="335"/>
      <c r="L692" s="335"/>
      <c r="M692" s="376"/>
      <c r="N692" s="335"/>
      <c r="O692" s="380"/>
      <c r="P692" s="335"/>
      <c r="Q692" s="335"/>
      <c r="R692" s="335"/>
      <c r="S692" s="335"/>
      <c r="T692" s="335"/>
      <c r="U692" s="335"/>
      <c r="V692" s="335"/>
      <c r="W692" s="335"/>
      <c r="X692" s="335"/>
      <c r="Y692" s="335"/>
      <c r="Z692" s="335"/>
      <c r="AA692" s="335"/>
      <c r="AB692" s="335"/>
      <c r="AC692" s="335"/>
      <c r="AD692" s="335"/>
      <c r="AE692" s="335"/>
      <c r="AF692" s="335"/>
      <c r="AG692" s="335"/>
      <c r="AH692" s="335"/>
      <c r="AI692" s="335"/>
      <c r="AJ692" s="335"/>
      <c r="AK692" s="335"/>
      <c r="AL692" s="335"/>
      <c r="AM692" s="335"/>
      <c r="AN692" s="335"/>
      <c r="AO692" s="335"/>
      <c r="AP692" s="335"/>
      <c r="AQ692" s="335"/>
      <c r="AR692" s="335"/>
      <c r="AS692" s="335"/>
      <c r="AT692" s="335"/>
      <c r="AU692" s="335"/>
      <c r="AV692" s="335"/>
      <c r="AW692" s="335"/>
      <c r="AX692" s="335"/>
      <c r="AY692" s="335"/>
      <c r="AZ692" s="335"/>
      <c r="BA692" s="335"/>
      <c r="BB692" s="335"/>
      <c r="BC692" s="335"/>
      <c r="BD692" s="335"/>
      <c r="BE692" s="335"/>
      <c r="BF692" s="335"/>
      <c r="BG692" s="335"/>
      <c r="BH692" s="335"/>
      <c r="BI692" s="335"/>
      <c r="BJ692" s="335"/>
      <c r="BK692" s="335"/>
      <c r="BL692" s="335"/>
      <c r="BM692" s="335"/>
      <c r="BN692" s="335"/>
      <c r="BO692" s="335"/>
      <c r="BP692" s="335"/>
      <c r="BQ692" s="335"/>
      <c r="BR692" s="335"/>
      <c r="BS692" s="335"/>
      <c r="BT692" s="335"/>
      <c r="BU692" s="335"/>
      <c r="BV692" s="335"/>
      <c r="BW692" s="335"/>
      <c r="BX692" s="335"/>
      <c r="BY692" s="335"/>
      <c r="BZ692" s="335"/>
      <c r="CA692" s="335"/>
      <c r="CB692" s="335"/>
      <c r="CC692" s="335"/>
      <c r="CD692" s="335"/>
      <c r="CE692" s="335"/>
      <c r="CF692" s="335"/>
      <c r="CG692" s="335"/>
      <c r="CH692" s="335"/>
      <c r="CI692" s="335"/>
      <c r="CJ692" s="335"/>
      <c r="CK692" s="335"/>
      <c r="CL692" s="335"/>
      <c r="CM692" s="335"/>
      <c r="CN692" s="335"/>
      <c r="CO692" s="335"/>
      <c r="CP692" s="335"/>
      <c r="CQ692" s="335"/>
      <c r="CR692" s="335"/>
      <c r="CS692" s="335"/>
      <c r="CT692" s="335"/>
      <c r="CU692" s="335"/>
      <c r="CV692" s="335"/>
      <c r="CW692" s="335"/>
      <c r="CX692" s="335"/>
      <c r="CY692" s="335"/>
      <c r="CZ692" s="335"/>
      <c r="DA692" s="335"/>
      <c r="DB692" s="335"/>
      <c r="DC692" s="335"/>
      <c r="DD692" s="335"/>
      <c r="DE692" s="335"/>
      <c r="DF692" s="335"/>
      <c r="DG692" s="335"/>
      <c r="DH692" s="335"/>
      <c r="DI692" s="335"/>
      <c r="DJ692" s="335"/>
      <c r="DK692" s="335"/>
      <c r="DL692" s="335"/>
      <c r="DM692" s="335"/>
      <c r="DN692" s="335"/>
      <c r="DO692" s="335"/>
      <c r="DP692" s="335"/>
      <c r="DQ692" s="335"/>
      <c r="DR692" s="335"/>
      <c r="DS692" s="335"/>
      <c r="DT692" s="335"/>
      <c r="DU692" s="335"/>
      <c r="DV692" s="335"/>
      <c r="DW692" s="335"/>
      <c r="DX692" s="335"/>
      <c r="DY692" s="335"/>
      <c r="DZ692" s="335"/>
      <c r="EA692" s="335"/>
      <c r="EB692" s="335"/>
      <c r="EC692" s="335"/>
      <c r="ED692" s="335"/>
      <c r="EE692" s="335"/>
      <c r="EF692" s="335"/>
      <c r="EG692" s="335"/>
      <c r="EH692" s="335"/>
      <c r="EI692" s="335"/>
      <c r="EJ692" s="335"/>
      <c r="EK692" s="335"/>
      <c r="EL692" s="335"/>
      <c r="EM692" s="335"/>
      <c r="EN692" s="335"/>
      <c r="EO692" s="335"/>
      <c r="EP692" s="335"/>
      <c r="EQ692" s="335"/>
      <c r="ER692" s="335"/>
      <c r="ES692" s="335"/>
      <c r="ET692" s="335"/>
      <c r="EU692" s="335"/>
      <c r="EV692" s="335"/>
      <c r="EW692" s="335"/>
      <c r="EX692" s="335"/>
      <c r="EY692" s="335"/>
      <c r="EZ692" s="335"/>
      <c r="FA692" s="335"/>
      <c r="FB692" s="335"/>
      <c r="FC692" s="335"/>
      <c r="FD692" s="335"/>
      <c r="FE692" s="335"/>
      <c r="FF692" s="335"/>
      <c r="FG692" s="335"/>
      <c r="FH692" s="335"/>
      <c r="FI692" s="335"/>
      <c r="FJ692" s="335"/>
      <c r="FK692" s="335"/>
      <c r="FL692" s="335"/>
      <c r="FM692" s="335"/>
      <c r="FN692" s="335"/>
      <c r="FO692" s="335"/>
      <c r="FP692" s="335"/>
      <c r="FQ692" s="335"/>
      <c r="FR692" s="335"/>
      <c r="FS692" s="335"/>
      <c r="FT692" s="335"/>
      <c r="FU692" s="335"/>
      <c r="FV692" s="335"/>
      <c r="FW692" s="335"/>
      <c r="FX692" s="335"/>
      <c r="FY692" s="335"/>
      <c r="FZ692" s="335"/>
      <c r="GA692" s="335"/>
      <c r="GB692" s="335"/>
      <c r="GC692" s="335"/>
      <c r="GD692" s="335"/>
      <c r="GE692" s="335"/>
      <c r="GF692" s="335"/>
      <c r="GG692" s="335"/>
      <c r="GH692" s="335"/>
      <c r="GI692" s="335"/>
      <c r="GJ692" s="335"/>
      <c r="GK692" s="335"/>
      <c r="GL692" s="335"/>
      <c r="GM692" s="335"/>
      <c r="GN692" s="335"/>
      <c r="GO692" s="335"/>
      <c r="GP692" s="335"/>
      <c r="GQ692" s="335"/>
      <c r="GR692" s="335"/>
      <c r="GS692" s="335"/>
      <c r="GT692" s="335"/>
      <c r="GU692" s="335"/>
      <c r="GV692" s="335"/>
      <c r="GW692" s="335"/>
      <c r="GX692" s="335"/>
      <c r="GY692" s="335"/>
      <c r="GZ692" s="335"/>
    </row>
    <row r="693" spans="1:208" ht="15">
      <c r="A693" s="379"/>
      <c r="B693" s="335"/>
      <c r="C693" s="335"/>
      <c r="D693" s="335"/>
      <c r="E693" s="335"/>
      <c r="F693" s="335"/>
      <c r="G693" s="335"/>
      <c r="H693" s="335"/>
      <c r="I693" s="335"/>
      <c r="J693" s="335"/>
      <c r="K693" s="335"/>
      <c r="L693" s="335"/>
      <c r="M693" s="376"/>
      <c r="N693" s="335"/>
      <c r="O693" s="380"/>
      <c r="P693" s="335"/>
      <c r="Q693" s="335"/>
      <c r="R693" s="335"/>
      <c r="S693" s="335"/>
      <c r="T693" s="335"/>
      <c r="U693" s="335"/>
      <c r="V693" s="335"/>
      <c r="W693" s="335"/>
      <c r="X693" s="335"/>
      <c r="Y693" s="335"/>
      <c r="Z693" s="335"/>
      <c r="AA693" s="335"/>
      <c r="AB693" s="335"/>
      <c r="AC693" s="335"/>
      <c r="AD693" s="335"/>
      <c r="AE693" s="335"/>
      <c r="AF693" s="335"/>
      <c r="AG693" s="335"/>
      <c r="AH693" s="335"/>
      <c r="AI693" s="335"/>
      <c r="AJ693" s="335"/>
      <c r="AK693" s="335"/>
      <c r="AL693" s="335"/>
      <c r="AM693" s="335"/>
      <c r="AN693" s="335"/>
      <c r="AO693" s="335"/>
      <c r="AP693" s="335"/>
      <c r="AQ693" s="335"/>
      <c r="AR693" s="335"/>
      <c r="AS693" s="335"/>
      <c r="AT693" s="335"/>
      <c r="AU693" s="335"/>
      <c r="AV693" s="335"/>
      <c r="AW693" s="335"/>
      <c r="AX693" s="335"/>
      <c r="AY693" s="335"/>
      <c r="AZ693" s="335"/>
      <c r="BA693" s="335"/>
      <c r="BB693" s="335"/>
      <c r="BC693" s="335"/>
      <c r="BD693" s="335"/>
      <c r="BE693" s="335"/>
      <c r="BF693" s="335"/>
      <c r="BG693" s="335"/>
      <c r="BH693" s="335"/>
      <c r="BI693" s="335"/>
      <c r="BJ693" s="335"/>
      <c r="BK693" s="335"/>
      <c r="BL693" s="335"/>
      <c r="BM693" s="335"/>
      <c r="BN693" s="335"/>
      <c r="BO693" s="335"/>
      <c r="BP693" s="335"/>
      <c r="BQ693" s="335"/>
      <c r="BR693" s="335"/>
      <c r="BS693" s="335"/>
      <c r="BT693" s="335"/>
      <c r="BU693" s="335"/>
      <c r="BV693" s="335"/>
      <c r="BW693" s="335"/>
      <c r="BX693" s="335"/>
      <c r="BY693" s="335"/>
      <c r="BZ693" s="335"/>
      <c r="CA693" s="335"/>
      <c r="CB693" s="335"/>
      <c r="CC693" s="335"/>
      <c r="CD693" s="335"/>
      <c r="CE693" s="335"/>
      <c r="CF693" s="335"/>
      <c r="CG693" s="335"/>
      <c r="CH693" s="335"/>
      <c r="CI693" s="335"/>
      <c r="CJ693" s="335"/>
      <c r="CK693" s="335"/>
      <c r="CL693" s="335"/>
      <c r="CM693" s="335"/>
      <c r="CN693" s="335"/>
      <c r="CO693" s="335"/>
      <c r="CP693" s="335"/>
      <c r="CQ693" s="335"/>
      <c r="CR693" s="335"/>
      <c r="CS693" s="335"/>
      <c r="CT693" s="335"/>
      <c r="CU693" s="335"/>
      <c r="CV693" s="335"/>
      <c r="CW693" s="335"/>
      <c r="CX693" s="335"/>
      <c r="CY693" s="335"/>
      <c r="CZ693" s="335"/>
      <c r="DA693" s="335"/>
      <c r="DB693" s="335"/>
      <c r="DC693" s="335"/>
      <c r="DD693" s="335"/>
      <c r="DE693" s="335"/>
      <c r="DF693" s="335"/>
      <c r="DG693" s="335"/>
      <c r="DH693" s="335"/>
      <c r="DI693" s="335"/>
      <c r="DJ693" s="335"/>
      <c r="DK693" s="335"/>
      <c r="DL693" s="335"/>
      <c r="DM693" s="335"/>
      <c r="DN693" s="335"/>
      <c r="DO693" s="335"/>
      <c r="DP693" s="335"/>
      <c r="DQ693" s="335"/>
      <c r="DR693" s="335"/>
      <c r="DS693" s="335"/>
      <c r="DT693" s="335"/>
      <c r="DU693" s="335"/>
      <c r="DV693" s="335"/>
      <c r="DW693" s="335"/>
      <c r="DX693" s="335"/>
      <c r="DY693" s="335"/>
      <c r="DZ693" s="335"/>
      <c r="EA693" s="335"/>
      <c r="EB693" s="335"/>
      <c r="EC693" s="335"/>
      <c r="ED693" s="335"/>
      <c r="EE693" s="335"/>
      <c r="EF693" s="335"/>
      <c r="EG693" s="335"/>
      <c r="EH693" s="335"/>
      <c r="EI693" s="335"/>
      <c r="EJ693" s="335"/>
      <c r="EK693" s="335"/>
      <c r="EL693" s="335"/>
      <c r="EM693" s="335"/>
      <c r="EN693" s="335"/>
      <c r="EO693" s="335"/>
      <c r="EP693" s="335"/>
      <c r="EQ693" s="335"/>
      <c r="ER693" s="335"/>
      <c r="ES693" s="335"/>
      <c r="ET693" s="335"/>
      <c r="EU693" s="335"/>
      <c r="EV693" s="335"/>
      <c r="EW693" s="335"/>
      <c r="EX693" s="335"/>
      <c r="EY693" s="335"/>
      <c r="EZ693" s="335"/>
      <c r="FA693" s="335"/>
      <c r="FB693" s="335"/>
      <c r="FC693" s="335"/>
      <c r="FD693" s="335"/>
      <c r="FE693" s="335"/>
      <c r="FF693" s="335"/>
      <c r="FG693" s="335"/>
      <c r="FH693" s="335"/>
      <c r="FI693" s="335"/>
      <c r="FJ693" s="335"/>
      <c r="FK693" s="335"/>
      <c r="FL693" s="335"/>
      <c r="FM693" s="335"/>
      <c r="FN693" s="335"/>
      <c r="FO693" s="335"/>
      <c r="FP693" s="335"/>
      <c r="FQ693" s="335"/>
      <c r="FR693" s="335"/>
      <c r="FS693" s="335"/>
      <c r="FT693" s="335"/>
      <c r="FU693" s="335"/>
      <c r="FV693" s="335"/>
      <c r="FW693" s="335"/>
      <c r="FX693" s="335"/>
      <c r="FY693" s="335"/>
      <c r="FZ693" s="335"/>
      <c r="GA693" s="335"/>
      <c r="GB693" s="335"/>
      <c r="GC693" s="335"/>
      <c r="GD693" s="335"/>
      <c r="GE693" s="335"/>
      <c r="GF693" s="335"/>
      <c r="GG693" s="335"/>
      <c r="GH693" s="335"/>
      <c r="GI693" s="335"/>
      <c r="GJ693" s="335"/>
      <c r="GK693" s="335"/>
      <c r="GL693" s="335"/>
      <c r="GM693" s="335"/>
      <c r="GN693" s="335"/>
      <c r="GO693" s="335"/>
      <c r="GP693" s="335"/>
      <c r="GQ693" s="335"/>
      <c r="GR693" s="335"/>
      <c r="GS693" s="335"/>
      <c r="GT693" s="335"/>
      <c r="GU693" s="335"/>
      <c r="GV693" s="335"/>
      <c r="GW693" s="335"/>
      <c r="GX693" s="335"/>
      <c r="GY693" s="335"/>
      <c r="GZ693" s="335"/>
    </row>
    <row r="694" spans="1:208" ht="15">
      <c r="A694" s="379"/>
      <c r="B694" s="335"/>
      <c r="C694" s="335"/>
      <c r="D694" s="335"/>
      <c r="E694" s="335"/>
      <c r="F694" s="335"/>
      <c r="G694" s="335"/>
      <c r="H694" s="335"/>
      <c r="I694" s="335"/>
      <c r="J694" s="335"/>
      <c r="K694" s="335"/>
      <c r="L694" s="335"/>
      <c r="M694" s="376"/>
      <c r="N694" s="335"/>
      <c r="O694" s="380"/>
      <c r="P694" s="335"/>
      <c r="Q694" s="335"/>
      <c r="R694" s="335"/>
      <c r="S694" s="335"/>
      <c r="T694" s="335"/>
      <c r="U694" s="335"/>
      <c r="V694" s="335"/>
      <c r="W694" s="335"/>
      <c r="X694" s="335"/>
      <c r="Y694" s="335"/>
      <c r="Z694" s="335"/>
      <c r="AA694" s="335"/>
      <c r="AB694" s="335"/>
      <c r="AC694" s="335"/>
      <c r="AD694" s="335"/>
      <c r="AE694" s="335"/>
      <c r="AF694" s="335"/>
      <c r="AG694" s="335"/>
      <c r="AH694" s="335"/>
      <c r="AI694" s="335"/>
      <c r="AJ694" s="335"/>
      <c r="AK694" s="335"/>
      <c r="AL694" s="335"/>
      <c r="AM694" s="335"/>
      <c r="AN694" s="335"/>
      <c r="AO694" s="335"/>
      <c r="AP694" s="335"/>
      <c r="AQ694" s="335"/>
      <c r="AR694" s="335"/>
      <c r="AS694" s="335"/>
      <c r="AT694" s="335"/>
      <c r="AU694" s="335"/>
      <c r="AV694" s="335"/>
      <c r="AW694" s="335"/>
      <c r="AX694" s="335"/>
      <c r="AY694" s="335"/>
      <c r="AZ694" s="335"/>
      <c r="BA694" s="335"/>
      <c r="BB694" s="335"/>
      <c r="BC694" s="335"/>
      <c r="BD694" s="335"/>
      <c r="BE694" s="335"/>
      <c r="BF694" s="335"/>
      <c r="BG694" s="335"/>
      <c r="BH694" s="335"/>
      <c r="BI694" s="335"/>
      <c r="BJ694" s="335"/>
      <c r="BK694" s="335"/>
      <c r="BL694" s="335"/>
      <c r="BM694" s="335"/>
      <c r="BN694" s="335"/>
      <c r="BO694" s="335"/>
      <c r="BP694" s="335"/>
      <c r="BQ694" s="335"/>
      <c r="BR694" s="335"/>
      <c r="BS694" s="335"/>
      <c r="BT694" s="335"/>
      <c r="BU694" s="335"/>
      <c r="BV694" s="335"/>
      <c r="BW694" s="335"/>
      <c r="BX694" s="335"/>
      <c r="BY694" s="335"/>
      <c r="BZ694" s="335"/>
      <c r="CA694" s="335"/>
      <c r="CB694" s="335"/>
      <c r="CC694" s="335"/>
      <c r="CD694" s="335"/>
      <c r="CE694" s="335"/>
      <c r="CF694" s="335"/>
      <c r="CG694" s="335"/>
      <c r="CH694" s="335"/>
      <c r="CI694" s="335"/>
      <c r="CJ694" s="335"/>
      <c r="CK694" s="335"/>
      <c r="CL694" s="335"/>
      <c r="CM694" s="335"/>
      <c r="CN694" s="335"/>
      <c r="CO694" s="335"/>
      <c r="CP694" s="335"/>
      <c r="CQ694" s="335"/>
      <c r="CR694" s="335"/>
      <c r="CS694" s="335"/>
      <c r="CT694" s="335"/>
      <c r="CU694" s="335"/>
      <c r="CV694" s="335"/>
      <c r="CW694" s="335"/>
      <c r="CX694" s="335"/>
      <c r="CY694" s="335"/>
      <c r="CZ694" s="335"/>
      <c r="DA694" s="335"/>
      <c r="DB694" s="335"/>
      <c r="DC694" s="335"/>
      <c r="DD694" s="335"/>
      <c r="DE694" s="335"/>
      <c r="DF694" s="335"/>
      <c r="DG694" s="335"/>
      <c r="DH694" s="335"/>
      <c r="DI694" s="335"/>
      <c r="DJ694" s="335"/>
      <c r="DK694" s="335"/>
      <c r="DL694" s="335"/>
      <c r="DM694" s="335"/>
      <c r="DN694" s="335"/>
      <c r="DO694" s="335"/>
      <c r="DP694" s="335"/>
      <c r="DQ694" s="335"/>
      <c r="DR694" s="335"/>
      <c r="DS694" s="335"/>
      <c r="DT694" s="335"/>
      <c r="DU694" s="335"/>
      <c r="DV694" s="335"/>
      <c r="DW694" s="335"/>
      <c r="DX694" s="335"/>
      <c r="DY694" s="335"/>
      <c r="DZ694" s="335"/>
      <c r="EA694" s="335"/>
      <c r="EB694" s="335"/>
      <c r="EC694" s="335"/>
      <c r="ED694" s="335"/>
      <c r="EE694" s="335"/>
      <c r="EF694" s="335"/>
      <c r="EG694" s="335"/>
      <c r="EH694" s="335"/>
      <c r="EI694" s="335"/>
      <c r="EJ694" s="335"/>
      <c r="EK694" s="335"/>
      <c r="EL694" s="335"/>
      <c r="EM694" s="335"/>
      <c r="EN694" s="335"/>
      <c r="EO694" s="335"/>
      <c r="EP694" s="335"/>
      <c r="EQ694" s="335"/>
      <c r="ER694" s="335"/>
      <c r="ES694" s="335"/>
      <c r="ET694" s="335"/>
      <c r="EU694" s="335"/>
      <c r="EV694" s="335"/>
      <c r="EW694" s="335"/>
      <c r="EX694" s="335"/>
      <c r="EY694" s="335"/>
      <c r="EZ694" s="335"/>
      <c r="FA694" s="335"/>
      <c r="FB694" s="335"/>
      <c r="FC694" s="335"/>
      <c r="FD694" s="335"/>
      <c r="FE694" s="335"/>
      <c r="FF694" s="335"/>
      <c r="FG694" s="335"/>
      <c r="FH694" s="335"/>
      <c r="FI694" s="335"/>
      <c r="FJ694" s="335"/>
      <c r="FK694" s="335"/>
      <c r="FL694" s="335"/>
      <c r="FM694" s="335"/>
      <c r="FN694" s="335"/>
      <c r="FO694" s="335"/>
      <c r="FP694" s="335"/>
      <c r="FQ694" s="335"/>
      <c r="FR694" s="335"/>
      <c r="FS694" s="335"/>
      <c r="FT694" s="335"/>
      <c r="FU694" s="335"/>
      <c r="FV694" s="335"/>
      <c r="FW694" s="335"/>
      <c r="FX694" s="335"/>
      <c r="FY694" s="335"/>
      <c r="FZ694" s="335"/>
      <c r="GA694" s="335"/>
      <c r="GB694" s="335"/>
      <c r="GC694" s="335"/>
      <c r="GD694" s="335"/>
      <c r="GE694" s="335"/>
      <c r="GF694" s="335"/>
      <c r="GG694" s="335"/>
      <c r="GH694" s="335"/>
      <c r="GI694" s="335"/>
      <c r="GJ694" s="335"/>
      <c r="GK694" s="335"/>
      <c r="GL694" s="335"/>
      <c r="GM694" s="335"/>
      <c r="GN694" s="335"/>
      <c r="GO694" s="335"/>
      <c r="GP694" s="335"/>
      <c r="GQ694" s="335"/>
      <c r="GR694" s="335"/>
      <c r="GS694" s="335"/>
      <c r="GT694" s="335"/>
      <c r="GU694" s="335"/>
      <c r="GV694" s="335"/>
      <c r="GW694" s="335"/>
      <c r="GX694" s="335"/>
      <c r="GY694" s="335"/>
      <c r="GZ694" s="335"/>
    </row>
    <row r="695" spans="1:208" ht="15">
      <c r="A695" s="379"/>
      <c r="B695" s="335"/>
      <c r="C695" s="335"/>
      <c r="D695" s="335"/>
      <c r="E695" s="335"/>
      <c r="F695" s="335"/>
      <c r="G695" s="335"/>
      <c r="H695" s="335"/>
      <c r="I695" s="335"/>
      <c r="J695" s="335"/>
      <c r="K695" s="335"/>
      <c r="L695" s="335"/>
      <c r="M695" s="376"/>
      <c r="N695" s="335"/>
      <c r="O695" s="380"/>
      <c r="P695" s="335"/>
      <c r="Q695" s="335"/>
      <c r="R695" s="335"/>
      <c r="S695" s="335"/>
      <c r="T695" s="335"/>
      <c r="U695" s="335"/>
      <c r="V695" s="335"/>
      <c r="W695" s="335"/>
      <c r="X695" s="335"/>
      <c r="Y695" s="335"/>
      <c r="Z695" s="335"/>
      <c r="AA695" s="335"/>
      <c r="AB695" s="335"/>
      <c r="AC695" s="335"/>
      <c r="AD695" s="335"/>
      <c r="AE695" s="335"/>
      <c r="AF695" s="335"/>
      <c r="AG695" s="335"/>
      <c r="AH695" s="335"/>
      <c r="AI695" s="335"/>
      <c r="AJ695" s="335"/>
      <c r="AK695" s="335"/>
      <c r="AL695" s="335"/>
      <c r="AM695" s="335"/>
      <c r="AN695" s="335"/>
      <c r="AO695" s="335"/>
      <c r="AP695" s="335"/>
      <c r="AQ695" s="335"/>
      <c r="AR695" s="335"/>
      <c r="AS695" s="335"/>
      <c r="AT695" s="335"/>
      <c r="AU695" s="335"/>
      <c r="AV695" s="335"/>
      <c r="AW695" s="335"/>
      <c r="AX695" s="335"/>
      <c r="AY695" s="335"/>
      <c r="AZ695" s="335"/>
      <c r="BA695" s="335"/>
      <c r="BB695" s="335"/>
      <c r="BC695" s="335"/>
      <c r="BD695" s="335"/>
      <c r="BE695" s="335"/>
      <c r="BF695" s="335"/>
      <c r="BG695" s="335"/>
      <c r="BH695" s="335"/>
      <c r="BI695" s="335"/>
      <c r="BJ695" s="335"/>
      <c r="BK695" s="335"/>
      <c r="BL695" s="335"/>
      <c r="BM695" s="335"/>
      <c r="BN695" s="335"/>
      <c r="BO695" s="335"/>
      <c r="BP695" s="335"/>
      <c r="BQ695" s="335"/>
      <c r="BR695" s="335"/>
      <c r="BS695" s="335"/>
      <c r="BT695" s="335"/>
      <c r="BU695" s="335"/>
      <c r="BV695" s="335"/>
      <c r="BW695" s="335"/>
      <c r="BX695" s="335"/>
      <c r="BY695" s="335"/>
      <c r="BZ695" s="335"/>
      <c r="CA695" s="335"/>
      <c r="CB695" s="335"/>
      <c r="CC695" s="335"/>
      <c r="CD695" s="335"/>
      <c r="CE695" s="335"/>
      <c r="CF695" s="335"/>
      <c r="CG695" s="335"/>
      <c r="CH695" s="335"/>
      <c r="CI695" s="335"/>
      <c r="CJ695" s="335"/>
      <c r="CK695" s="335"/>
      <c r="CL695" s="335"/>
      <c r="CM695" s="335"/>
      <c r="CN695" s="335"/>
      <c r="CO695" s="335"/>
      <c r="CP695" s="335"/>
      <c r="CQ695" s="335"/>
      <c r="CR695" s="335"/>
      <c r="CS695" s="335"/>
      <c r="CT695" s="335"/>
      <c r="CU695" s="335"/>
      <c r="CV695" s="335"/>
      <c r="CW695" s="335"/>
      <c r="CX695" s="335"/>
      <c r="CY695" s="335"/>
      <c r="CZ695" s="335"/>
      <c r="DA695" s="335"/>
      <c r="DB695" s="335"/>
      <c r="DC695" s="335"/>
      <c r="DD695" s="335"/>
      <c r="DE695" s="335"/>
      <c r="DF695" s="335"/>
      <c r="DG695" s="335"/>
      <c r="DH695" s="335"/>
      <c r="DI695" s="335"/>
      <c r="DJ695" s="335"/>
      <c r="DK695" s="335"/>
      <c r="DL695" s="335"/>
      <c r="DM695" s="335"/>
      <c r="DN695" s="335"/>
      <c r="DO695" s="335"/>
      <c r="DP695" s="335"/>
      <c r="DQ695" s="335"/>
      <c r="DR695" s="335"/>
      <c r="DS695" s="335"/>
      <c r="DT695" s="335"/>
      <c r="DU695" s="335"/>
      <c r="DV695" s="335"/>
      <c r="DW695" s="335"/>
      <c r="DX695" s="335"/>
      <c r="DY695" s="335"/>
      <c r="DZ695" s="335"/>
      <c r="EA695" s="335"/>
      <c r="EB695" s="335"/>
      <c r="EC695" s="335"/>
      <c r="ED695" s="335"/>
      <c r="EE695" s="335"/>
      <c r="EF695" s="335"/>
      <c r="EG695" s="335"/>
      <c r="EH695" s="335"/>
      <c r="EI695" s="335"/>
      <c r="EJ695" s="335"/>
      <c r="EK695" s="335"/>
      <c r="EL695" s="335"/>
      <c r="EM695" s="335"/>
      <c r="EN695" s="335"/>
      <c r="EO695" s="335"/>
      <c r="EP695" s="335"/>
      <c r="EQ695" s="335"/>
      <c r="ER695" s="335"/>
      <c r="ES695" s="335"/>
      <c r="ET695" s="335"/>
      <c r="EU695" s="335"/>
      <c r="EV695" s="335"/>
      <c r="EW695" s="335"/>
      <c r="EX695" s="335"/>
      <c r="EY695" s="335"/>
      <c r="EZ695" s="335"/>
      <c r="FA695" s="335"/>
      <c r="FB695" s="335"/>
      <c r="FC695" s="335"/>
      <c r="FD695" s="335"/>
      <c r="FE695" s="335"/>
      <c r="FF695" s="335"/>
      <c r="FG695" s="335"/>
      <c r="FH695" s="335"/>
      <c r="FI695" s="335"/>
      <c r="FJ695" s="335"/>
      <c r="FK695" s="335"/>
      <c r="FL695" s="335"/>
      <c r="FM695" s="335"/>
      <c r="FN695" s="335"/>
      <c r="FO695" s="335"/>
      <c r="FP695" s="335"/>
      <c r="FQ695" s="335"/>
      <c r="FR695" s="335"/>
      <c r="FS695" s="335"/>
      <c r="FT695" s="335"/>
      <c r="FU695" s="335"/>
      <c r="FV695" s="335"/>
      <c r="FW695" s="335"/>
      <c r="FX695" s="335"/>
      <c r="FY695" s="335"/>
      <c r="FZ695" s="335"/>
      <c r="GA695" s="335"/>
      <c r="GB695" s="335"/>
      <c r="GC695" s="335"/>
      <c r="GD695" s="335"/>
      <c r="GE695" s="335"/>
      <c r="GF695" s="335"/>
      <c r="GG695" s="335"/>
      <c r="GH695" s="335"/>
      <c r="GI695" s="335"/>
      <c r="GJ695" s="335"/>
      <c r="GK695" s="335"/>
      <c r="GL695" s="335"/>
      <c r="GM695" s="335"/>
      <c r="GN695" s="335"/>
      <c r="GO695" s="335"/>
      <c r="GP695" s="335"/>
      <c r="GQ695" s="335"/>
      <c r="GR695" s="335"/>
      <c r="GS695" s="335"/>
      <c r="GT695" s="335"/>
      <c r="GU695" s="335"/>
      <c r="GV695" s="335"/>
      <c r="GW695" s="335"/>
      <c r="GX695" s="335"/>
      <c r="GY695" s="335"/>
      <c r="GZ695" s="335"/>
    </row>
    <row r="696" spans="1:208" ht="15">
      <c r="A696" s="379"/>
      <c r="B696" s="335"/>
      <c r="C696" s="335"/>
      <c r="D696" s="335"/>
      <c r="E696" s="335"/>
      <c r="F696" s="335"/>
      <c r="G696" s="335"/>
      <c r="H696" s="335"/>
      <c r="I696" s="335"/>
      <c r="J696" s="335"/>
      <c r="K696" s="335"/>
      <c r="L696" s="335"/>
      <c r="M696" s="376"/>
      <c r="N696" s="335"/>
      <c r="O696" s="380"/>
      <c r="P696" s="335"/>
      <c r="Q696" s="335"/>
      <c r="R696" s="335"/>
      <c r="S696" s="335"/>
      <c r="T696" s="335"/>
      <c r="U696" s="335"/>
      <c r="V696" s="335"/>
      <c r="W696" s="335"/>
      <c r="X696" s="335"/>
      <c r="Y696" s="335"/>
      <c r="Z696" s="335"/>
      <c r="AA696" s="335"/>
      <c r="AB696" s="335"/>
      <c r="AC696" s="335"/>
      <c r="AD696" s="335"/>
      <c r="AE696" s="335"/>
      <c r="AF696" s="335"/>
      <c r="AG696" s="335"/>
      <c r="AH696" s="335"/>
      <c r="AI696" s="335"/>
      <c r="AJ696" s="335"/>
      <c r="AK696" s="335"/>
      <c r="AL696" s="335"/>
      <c r="AM696" s="335"/>
      <c r="AN696" s="335"/>
      <c r="AO696" s="335"/>
      <c r="AP696" s="335"/>
      <c r="AQ696" s="335"/>
      <c r="AR696" s="335"/>
      <c r="AS696" s="335"/>
      <c r="AT696" s="335"/>
      <c r="AU696" s="335"/>
      <c r="AV696" s="335"/>
      <c r="AW696" s="335"/>
      <c r="AX696" s="335"/>
      <c r="AY696" s="335"/>
      <c r="AZ696" s="335"/>
      <c r="BA696" s="335"/>
      <c r="BB696" s="335"/>
      <c r="BC696" s="335"/>
      <c r="BD696" s="335"/>
      <c r="BE696" s="335"/>
      <c r="BF696" s="335"/>
      <c r="BG696" s="335"/>
      <c r="BH696" s="335"/>
      <c r="BI696" s="335"/>
      <c r="BJ696" s="335"/>
      <c r="BK696" s="335"/>
      <c r="BL696" s="335"/>
      <c r="BM696" s="335"/>
      <c r="BN696" s="335"/>
      <c r="BO696" s="335"/>
      <c r="BP696" s="335"/>
      <c r="BQ696" s="335"/>
      <c r="BR696" s="335"/>
      <c r="BS696" s="335"/>
      <c r="BT696" s="335"/>
      <c r="BU696" s="335"/>
      <c r="BV696" s="335"/>
      <c r="BW696" s="335"/>
      <c r="BX696" s="335"/>
      <c r="BY696" s="335"/>
      <c r="BZ696" s="335"/>
      <c r="CA696" s="335"/>
      <c r="CB696" s="335"/>
      <c r="CC696" s="335"/>
      <c r="CD696" s="335"/>
      <c r="CE696" s="335"/>
      <c r="CF696" s="335"/>
      <c r="CG696" s="335"/>
      <c r="CH696" s="335"/>
      <c r="CI696" s="335"/>
      <c r="CJ696" s="335"/>
      <c r="CK696" s="335"/>
      <c r="CL696" s="335"/>
      <c r="CM696" s="335"/>
      <c r="CN696" s="335"/>
      <c r="CO696" s="335"/>
      <c r="CP696" s="335"/>
      <c r="CQ696" s="335"/>
      <c r="CR696" s="335"/>
      <c r="CS696" s="335"/>
      <c r="CT696" s="335"/>
      <c r="CU696" s="335"/>
      <c r="CV696" s="335"/>
      <c r="CW696" s="335"/>
      <c r="CX696" s="335"/>
      <c r="CY696" s="335"/>
      <c r="CZ696" s="335"/>
      <c r="DA696" s="335"/>
      <c r="DB696" s="335"/>
      <c r="DC696" s="335"/>
      <c r="DD696" s="335"/>
      <c r="DE696" s="335"/>
      <c r="DF696" s="335"/>
      <c r="DG696" s="335"/>
      <c r="DH696" s="335"/>
      <c r="DI696" s="335"/>
      <c r="DJ696" s="335"/>
      <c r="DK696" s="335"/>
      <c r="DL696" s="335"/>
      <c r="DM696" s="335"/>
      <c r="DN696" s="335"/>
      <c r="DO696" s="335"/>
      <c r="DP696" s="335"/>
      <c r="DQ696" s="335"/>
      <c r="DR696" s="335"/>
      <c r="DS696" s="335"/>
      <c r="DT696" s="335"/>
      <c r="DU696" s="335"/>
      <c r="DV696" s="335"/>
      <c r="DW696" s="335"/>
      <c r="DX696" s="335"/>
      <c r="DY696" s="335"/>
      <c r="DZ696" s="335"/>
      <c r="EA696" s="335"/>
      <c r="EB696" s="335"/>
      <c r="EC696" s="335"/>
      <c r="ED696" s="335"/>
      <c r="EE696" s="335"/>
      <c r="EF696" s="335"/>
      <c r="EG696" s="335"/>
      <c r="EH696" s="335"/>
      <c r="EI696" s="335"/>
      <c r="EJ696" s="335"/>
      <c r="EK696" s="335"/>
      <c r="EL696" s="335"/>
      <c r="EM696" s="335"/>
      <c r="EN696" s="335"/>
      <c r="EO696" s="335"/>
      <c r="EP696" s="335"/>
      <c r="EQ696" s="335"/>
      <c r="ER696" s="335"/>
      <c r="ES696" s="335"/>
      <c r="ET696" s="335"/>
      <c r="EU696" s="335"/>
      <c r="EV696" s="335"/>
      <c r="EW696" s="335"/>
      <c r="EX696" s="335"/>
      <c r="EY696" s="335"/>
      <c r="EZ696" s="335"/>
      <c r="FA696" s="335"/>
      <c r="FB696" s="335"/>
      <c r="FC696" s="335"/>
      <c r="FD696" s="335"/>
      <c r="FE696" s="335"/>
      <c r="FF696" s="335"/>
      <c r="FG696" s="335"/>
      <c r="FH696" s="335"/>
      <c r="FI696" s="335"/>
      <c r="FJ696" s="335"/>
      <c r="FK696" s="335"/>
      <c r="FL696" s="335"/>
      <c r="FM696" s="335"/>
      <c r="FN696" s="335"/>
      <c r="FO696" s="335"/>
      <c r="FP696" s="335"/>
      <c r="FQ696" s="335"/>
      <c r="FR696" s="335"/>
      <c r="FS696" s="335"/>
      <c r="FT696" s="335"/>
      <c r="FU696" s="335"/>
      <c r="FV696" s="335"/>
      <c r="FW696" s="335"/>
      <c r="FX696" s="335"/>
      <c r="FY696" s="335"/>
      <c r="FZ696" s="335"/>
      <c r="GA696" s="335"/>
      <c r="GB696" s="335"/>
      <c r="GC696" s="335"/>
      <c r="GD696" s="335"/>
      <c r="GE696" s="335"/>
      <c r="GF696" s="335"/>
      <c r="GG696" s="335"/>
      <c r="GH696" s="335"/>
      <c r="GI696" s="335"/>
      <c r="GJ696" s="335"/>
      <c r="GK696" s="335"/>
      <c r="GL696" s="335"/>
      <c r="GM696" s="335"/>
      <c r="GN696" s="335"/>
      <c r="GO696" s="335"/>
      <c r="GP696" s="335"/>
      <c r="GQ696" s="335"/>
      <c r="GR696" s="335"/>
      <c r="GS696" s="335"/>
      <c r="GT696" s="335"/>
      <c r="GU696" s="335"/>
      <c r="GV696" s="335"/>
      <c r="GW696" s="335"/>
      <c r="GX696" s="335"/>
      <c r="GY696" s="335"/>
      <c r="GZ696" s="335"/>
    </row>
    <row r="697" spans="1:208" ht="15">
      <c r="A697" s="379"/>
      <c r="B697" s="335"/>
      <c r="C697" s="335"/>
      <c r="D697" s="335"/>
      <c r="E697" s="335"/>
      <c r="F697" s="335"/>
      <c r="G697" s="335"/>
      <c r="H697" s="335"/>
      <c r="I697" s="335"/>
      <c r="J697" s="335"/>
      <c r="K697" s="335"/>
      <c r="L697" s="335"/>
      <c r="M697" s="376"/>
      <c r="N697" s="335"/>
      <c r="O697" s="380"/>
      <c r="P697" s="335"/>
      <c r="Q697" s="335"/>
      <c r="R697" s="335"/>
      <c r="S697" s="335"/>
      <c r="T697" s="335"/>
      <c r="U697" s="335"/>
      <c r="V697" s="335"/>
      <c r="W697" s="335"/>
      <c r="X697" s="335"/>
      <c r="Y697" s="335"/>
      <c r="Z697" s="335"/>
      <c r="AA697" s="335"/>
      <c r="AB697" s="335"/>
      <c r="AC697" s="335"/>
      <c r="AD697" s="335"/>
      <c r="AE697" s="335"/>
      <c r="AF697" s="335"/>
      <c r="AG697" s="335"/>
      <c r="AH697" s="335"/>
      <c r="AI697" s="335"/>
      <c r="AJ697" s="335"/>
      <c r="AK697" s="335"/>
      <c r="AL697" s="335"/>
      <c r="AM697" s="335"/>
      <c r="AN697" s="335"/>
      <c r="AO697" s="335"/>
      <c r="AP697" s="335"/>
      <c r="AQ697" s="335"/>
      <c r="AR697" s="335"/>
      <c r="AS697" s="335"/>
      <c r="AT697" s="335"/>
      <c r="AU697" s="335"/>
      <c r="AV697" s="335"/>
      <c r="AW697" s="335"/>
      <c r="AX697" s="335"/>
      <c r="AY697" s="335"/>
      <c r="AZ697" s="335"/>
      <c r="BA697" s="335"/>
      <c r="BB697" s="335"/>
      <c r="BC697" s="335"/>
      <c r="BD697" s="335"/>
      <c r="BE697" s="335"/>
      <c r="BF697" s="335"/>
      <c r="BG697" s="335"/>
      <c r="BH697" s="335"/>
      <c r="BI697" s="335"/>
      <c r="BJ697" s="335"/>
      <c r="BK697" s="335"/>
      <c r="BL697" s="335"/>
      <c r="BM697" s="335"/>
      <c r="BN697" s="335"/>
      <c r="BO697" s="335"/>
      <c r="BP697" s="335"/>
      <c r="BQ697" s="335"/>
      <c r="BR697" s="335"/>
      <c r="BS697" s="335"/>
      <c r="BT697" s="335"/>
      <c r="BU697" s="335"/>
      <c r="BV697" s="335"/>
      <c r="BW697" s="335"/>
      <c r="BX697" s="335"/>
      <c r="BY697" s="335"/>
      <c r="BZ697" s="335"/>
      <c r="CA697" s="335"/>
      <c r="CB697" s="335"/>
      <c r="CC697" s="335"/>
      <c r="CD697" s="335"/>
      <c r="CE697" s="335"/>
      <c r="CF697" s="335"/>
      <c r="CG697" s="335"/>
      <c r="CH697" s="335"/>
      <c r="CI697" s="335"/>
      <c r="CJ697" s="335"/>
      <c r="CK697" s="335"/>
      <c r="CL697" s="335"/>
      <c r="CM697" s="335"/>
      <c r="CN697" s="335"/>
      <c r="CO697" s="335"/>
      <c r="CP697" s="335"/>
      <c r="CQ697" s="335"/>
      <c r="CR697" s="335"/>
      <c r="CS697" s="335"/>
      <c r="CT697" s="335"/>
      <c r="CU697" s="335"/>
      <c r="CV697" s="335"/>
      <c r="CW697" s="335"/>
      <c r="CX697" s="335"/>
      <c r="CY697" s="335"/>
      <c r="CZ697" s="335"/>
      <c r="DA697" s="335"/>
      <c r="DB697" s="335"/>
      <c r="DC697" s="335"/>
      <c r="DD697" s="335"/>
      <c r="DE697" s="335"/>
      <c r="DF697" s="335"/>
      <c r="DG697" s="335"/>
      <c r="DH697" s="335"/>
      <c r="DI697" s="335"/>
      <c r="DJ697" s="335"/>
      <c r="DK697" s="335"/>
      <c r="DL697" s="335"/>
      <c r="DM697" s="335"/>
      <c r="DN697" s="335"/>
      <c r="DO697" s="335"/>
      <c r="DP697" s="335"/>
      <c r="DQ697" s="335"/>
      <c r="DR697" s="335"/>
      <c r="DS697" s="335"/>
      <c r="DT697" s="335"/>
      <c r="DU697" s="335"/>
      <c r="DV697" s="335"/>
      <c r="DW697" s="335"/>
      <c r="DX697" s="335"/>
      <c r="DY697" s="335"/>
      <c r="DZ697" s="335"/>
      <c r="EA697" s="335"/>
      <c r="EB697" s="335"/>
      <c r="EC697" s="335"/>
      <c r="ED697" s="335"/>
      <c r="EE697" s="335"/>
      <c r="EF697" s="335"/>
      <c r="EG697" s="335"/>
      <c r="EH697" s="335"/>
      <c r="EI697" s="335"/>
      <c r="EJ697" s="335"/>
      <c r="EK697" s="335"/>
      <c r="EL697" s="335"/>
      <c r="EM697" s="335"/>
      <c r="EN697" s="335"/>
      <c r="EO697" s="335"/>
      <c r="EP697" s="335"/>
      <c r="EQ697" s="335"/>
      <c r="ER697" s="335"/>
      <c r="ES697" s="335"/>
      <c r="ET697" s="335"/>
      <c r="EU697" s="335"/>
      <c r="EV697" s="335"/>
      <c r="EW697" s="335"/>
      <c r="EX697" s="335"/>
      <c r="EY697" s="335"/>
      <c r="EZ697" s="335"/>
      <c r="FA697" s="335"/>
      <c r="FB697" s="335"/>
      <c r="FC697" s="335"/>
      <c r="FD697" s="335"/>
      <c r="FE697" s="335"/>
      <c r="FF697" s="335"/>
      <c r="FG697" s="335"/>
      <c r="FH697" s="335"/>
      <c r="FI697" s="335"/>
      <c r="FJ697" s="335"/>
      <c r="FK697" s="335"/>
      <c r="FL697" s="335"/>
      <c r="FM697" s="335"/>
      <c r="FN697" s="335"/>
      <c r="FO697" s="335"/>
      <c r="FP697" s="335"/>
      <c r="FQ697" s="335"/>
      <c r="FR697" s="335"/>
      <c r="FS697" s="335"/>
      <c r="FT697" s="335"/>
      <c r="FU697" s="335"/>
      <c r="FV697" s="335"/>
      <c r="FW697" s="335"/>
      <c r="FX697" s="335"/>
      <c r="FY697" s="335"/>
      <c r="FZ697" s="335"/>
      <c r="GA697" s="335"/>
      <c r="GB697" s="335"/>
      <c r="GC697" s="335"/>
      <c r="GD697" s="335"/>
      <c r="GE697" s="335"/>
      <c r="GF697" s="335"/>
      <c r="GG697" s="335"/>
      <c r="GH697" s="335"/>
      <c r="GI697" s="335"/>
      <c r="GJ697" s="335"/>
      <c r="GK697" s="335"/>
      <c r="GL697" s="335"/>
      <c r="GM697" s="335"/>
      <c r="GN697" s="335"/>
      <c r="GO697" s="335"/>
      <c r="GP697" s="335"/>
      <c r="GQ697" s="335"/>
      <c r="GR697" s="335"/>
      <c r="GS697" s="335"/>
      <c r="GT697" s="335"/>
      <c r="GU697" s="335"/>
      <c r="GV697" s="335"/>
      <c r="GW697" s="335"/>
      <c r="GX697" s="335"/>
      <c r="GY697" s="335"/>
      <c r="GZ697" s="335"/>
    </row>
    <row r="698" spans="1:208" ht="15">
      <c r="A698" s="379"/>
      <c r="B698" s="335"/>
      <c r="C698" s="335"/>
      <c r="D698" s="335"/>
      <c r="E698" s="335"/>
      <c r="F698" s="335"/>
      <c r="G698" s="335"/>
      <c r="H698" s="335"/>
      <c r="I698" s="335"/>
      <c r="J698" s="335"/>
      <c r="K698" s="335"/>
      <c r="L698" s="335"/>
      <c r="M698" s="376"/>
      <c r="N698" s="335"/>
      <c r="O698" s="380"/>
      <c r="P698" s="335"/>
      <c r="Q698" s="335"/>
      <c r="R698" s="335"/>
      <c r="S698" s="335"/>
      <c r="T698" s="335"/>
      <c r="U698" s="335"/>
      <c r="V698" s="335"/>
      <c r="W698" s="335"/>
      <c r="X698" s="335"/>
      <c r="Y698" s="335"/>
      <c r="Z698" s="335"/>
      <c r="AA698" s="335"/>
      <c r="AB698" s="335"/>
      <c r="AC698" s="335"/>
      <c r="AD698" s="335"/>
      <c r="AE698" s="335"/>
      <c r="AF698" s="335"/>
      <c r="AG698" s="335"/>
      <c r="AH698" s="335"/>
      <c r="AI698" s="335"/>
      <c r="AJ698" s="335"/>
      <c r="AK698" s="335"/>
      <c r="AL698" s="335"/>
      <c r="AM698" s="335"/>
      <c r="AN698" s="335"/>
      <c r="AO698" s="335"/>
      <c r="AP698" s="335"/>
      <c r="AQ698" s="335"/>
      <c r="AR698" s="335"/>
      <c r="AS698" s="335"/>
      <c r="AT698" s="335"/>
      <c r="AU698" s="335"/>
      <c r="AV698" s="335"/>
      <c r="AW698" s="335"/>
      <c r="AX698" s="335"/>
      <c r="AY698" s="335"/>
      <c r="AZ698" s="335"/>
      <c r="BA698" s="335"/>
      <c r="BB698" s="335"/>
      <c r="BC698" s="335"/>
      <c r="BD698" s="335"/>
      <c r="BE698" s="335"/>
      <c r="BF698" s="335"/>
      <c r="BG698" s="335"/>
      <c r="BH698" s="335"/>
      <c r="BI698" s="335"/>
      <c r="BJ698" s="335"/>
      <c r="BK698" s="335"/>
      <c r="BL698" s="335"/>
      <c r="BM698" s="335"/>
      <c r="BN698" s="335"/>
      <c r="BO698" s="335"/>
      <c r="BP698" s="335"/>
      <c r="BQ698" s="335"/>
      <c r="BR698" s="335"/>
      <c r="BS698" s="335"/>
      <c r="BT698" s="335"/>
      <c r="BU698" s="335"/>
      <c r="BV698" s="335"/>
      <c r="BW698" s="335"/>
      <c r="BX698" s="335"/>
      <c r="BY698" s="335"/>
      <c r="BZ698" s="335"/>
      <c r="CA698" s="335"/>
      <c r="CB698" s="335"/>
      <c r="CC698" s="335"/>
      <c r="CD698" s="335"/>
      <c r="CE698" s="335"/>
      <c r="CF698" s="335"/>
      <c r="CG698" s="335"/>
      <c r="CH698" s="335"/>
      <c r="CI698" s="335"/>
      <c r="CJ698" s="335"/>
      <c r="CK698" s="335"/>
      <c r="CL698" s="335"/>
      <c r="CM698" s="335"/>
      <c r="CN698" s="335"/>
      <c r="CO698" s="335"/>
      <c r="CP698" s="335"/>
      <c r="CQ698" s="335"/>
      <c r="CR698" s="335"/>
      <c r="CS698" s="335"/>
      <c r="CT698" s="335"/>
      <c r="CU698" s="335"/>
      <c r="CV698" s="335"/>
      <c r="CW698" s="335"/>
      <c r="CX698" s="335"/>
      <c r="CY698" s="335"/>
      <c r="CZ698" s="335"/>
      <c r="DA698" s="335"/>
      <c r="DB698" s="335"/>
      <c r="DC698" s="335"/>
      <c r="DD698" s="335"/>
      <c r="DE698" s="335"/>
      <c r="DF698" s="335"/>
      <c r="DG698" s="335"/>
      <c r="DH698" s="335"/>
      <c r="DI698" s="335"/>
      <c r="DJ698" s="335"/>
      <c r="DK698" s="335"/>
      <c r="DL698" s="335"/>
      <c r="DM698" s="335"/>
      <c r="DN698" s="335"/>
      <c r="DO698" s="335"/>
      <c r="DP698" s="335"/>
      <c r="DQ698" s="335"/>
      <c r="DR698" s="335"/>
      <c r="DS698" s="335"/>
      <c r="DT698" s="335"/>
      <c r="DU698" s="335"/>
      <c r="DV698" s="335"/>
      <c r="DW698" s="335"/>
      <c r="DX698" s="335"/>
      <c r="DY698" s="335"/>
      <c r="DZ698" s="335"/>
      <c r="EA698" s="335"/>
      <c r="EB698" s="335"/>
      <c r="EC698" s="335"/>
      <c r="ED698" s="335"/>
      <c r="EE698" s="335"/>
      <c r="EF698" s="335"/>
      <c r="EG698" s="335"/>
      <c r="EH698" s="335"/>
      <c r="EI698" s="335"/>
      <c r="EJ698" s="335"/>
      <c r="EK698" s="335"/>
      <c r="EL698" s="335"/>
      <c r="EM698" s="335"/>
      <c r="EN698" s="335"/>
      <c r="EO698" s="335"/>
      <c r="EP698" s="335"/>
      <c r="EQ698" s="335"/>
      <c r="ER698" s="335"/>
      <c r="ES698" s="335"/>
      <c r="ET698" s="335"/>
      <c r="EU698" s="335"/>
      <c r="EV698" s="335"/>
      <c r="EW698" s="335"/>
      <c r="EX698" s="335"/>
      <c r="EY698" s="335"/>
      <c r="EZ698" s="335"/>
      <c r="FA698" s="335"/>
      <c r="FB698" s="335"/>
      <c r="FC698" s="335"/>
      <c r="FD698" s="335"/>
      <c r="FE698" s="335"/>
      <c r="FF698" s="335"/>
      <c r="FG698" s="335"/>
      <c r="FH698" s="335"/>
      <c r="FI698" s="335"/>
      <c r="FJ698" s="335"/>
      <c r="FK698" s="335"/>
      <c r="FL698" s="335"/>
      <c r="FM698" s="335"/>
      <c r="FN698" s="335"/>
      <c r="FO698" s="335"/>
      <c r="FP698" s="335"/>
      <c r="FQ698" s="335"/>
      <c r="FR698" s="335"/>
      <c r="FS698" s="335"/>
      <c r="FT698" s="335"/>
      <c r="FU698" s="335"/>
      <c r="FV698" s="335"/>
      <c r="FW698" s="335"/>
      <c r="FX698" s="335"/>
      <c r="FY698" s="335"/>
      <c r="FZ698" s="335"/>
      <c r="GA698" s="335"/>
      <c r="GB698" s="335"/>
      <c r="GC698" s="335"/>
      <c r="GD698" s="335"/>
      <c r="GE698" s="335"/>
      <c r="GF698" s="335"/>
      <c r="GG698" s="335"/>
      <c r="GH698" s="335"/>
      <c r="GI698" s="335"/>
      <c r="GJ698" s="335"/>
      <c r="GK698" s="335"/>
      <c r="GL698" s="335"/>
      <c r="GM698" s="335"/>
      <c r="GN698" s="335"/>
      <c r="GO698" s="335"/>
      <c r="GP698" s="335"/>
      <c r="GQ698" s="335"/>
      <c r="GR698" s="335"/>
      <c r="GS698" s="335"/>
      <c r="GT698" s="335"/>
      <c r="GU698" s="335"/>
      <c r="GV698" s="335"/>
      <c r="GW698" s="335"/>
      <c r="GX698" s="335"/>
      <c r="GY698" s="335"/>
      <c r="GZ698" s="335"/>
    </row>
    <row r="699" spans="1:208" ht="15">
      <c r="A699" s="379"/>
      <c r="B699" s="335"/>
      <c r="C699" s="335"/>
      <c r="D699" s="335"/>
      <c r="E699" s="335"/>
      <c r="F699" s="335"/>
      <c r="G699" s="335"/>
      <c r="H699" s="335"/>
      <c r="I699" s="335"/>
      <c r="J699" s="335"/>
      <c r="K699" s="335"/>
      <c r="L699" s="335"/>
      <c r="M699" s="376"/>
      <c r="N699" s="335"/>
      <c r="O699" s="380"/>
      <c r="P699" s="335"/>
      <c r="Q699" s="335"/>
      <c r="R699" s="335"/>
      <c r="S699" s="335"/>
      <c r="T699" s="335"/>
      <c r="U699" s="335"/>
      <c r="V699" s="335"/>
      <c r="W699" s="335"/>
      <c r="X699" s="335"/>
      <c r="Y699" s="335"/>
      <c r="Z699" s="335"/>
      <c r="AA699" s="335"/>
      <c r="AB699" s="335"/>
      <c r="AC699" s="335"/>
      <c r="AD699" s="335"/>
      <c r="AE699" s="335"/>
      <c r="AF699" s="335"/>
      <c r="AG699" s="335"/>
      <c r="AH699" s="335"/>
      <c r="AI699" s="335"/>
      <c r="AJ699" s="335"/>
      <c r="AK699" s="335"/>
      <c r="AL699" s="335"/>
      <c r="AM699" s="335"/>
      <c r="AN699" s="335"/>
      <c r="AO699" s="335"/>
      <c r="AP699" s="335"/>
      <c r="AQ699" s="335"/>
      <c r="AR699" s="335"/>
      <c r="AS699" s="335"/>
      <c r="AT699" s="335"/>
      <c r="AU699" s="335"/>
      <c r="AV699" s="335"/>
      <c r="AW699" s="335"/>
      <c r="AX699" s="335"/>
      <c r="AY699" s="335"/>
      <c r="AZ699" s="335"/>
      <c r="BA699" s="335"/>
      <c r="BB699" s="335"/>
      <c r="BC699" s="335"/>
      <c r="BD699" s="335"/>
      <c r="BE699" s="335"/>
      <c r="BF699" s="335"/>
      <c r="BG699" s="335"/>
      <c r="BH699" s="335"/>
      <c r="BI699" s="335"/>
      <c r="BJ699" s="335"/>
      <c r="BK699" s="335"/>
      <c r="BL699" s="335"/>
      <c r="BM699" s="335"/>
      <c r="BN699" s="335"/>
      <c r="BO699" s="335"/>
      <c r="BP699" s="335"/>
      <c r="BQ699" s="335"/>
      <c r="BR699" s="335"/>
      <c r="BS699" s="335"/>
      <c r="BT699" s="335"/>
      <c r="BU699" s="335"/>
      <c r="BV699" s="335"/>
      <c r="BW699" s="335"/>
      <c r="BX699" s="335"/>
      <c r="BY699" s="335"/>
      <c r="BZ699" s="335"/>
      <c r="CA699" s="335"/>
      <c r="CB699" s="335"/>
      <c r="CC699" s="335"/>
      <c r="CD699" s="335"/>
      <c r="CE699" s="335"/>
      <c r="CF699" s="335"/>
      <c r="CG699" s="335"/>
      <c r="CH699" s="335"/>
      <c r="CI699" s="335"/>
      <c r="CJ699" s="335"/>
      <c r="CK699" s="335"/>
      <c r="CL699" s="335"/>
      <c r="CM699" s="335"/>
      <c r="CN699" s="335"/>
      <c r="CO699" s="335"/>
      <c r="CP699" s="335"/>
      <c r="CQ699" s="335"/>
      <c r="CR699" s="335"/>
      <c r="CS699" s="335"/>
      <c r="CT699" s="335"/>
      <c r="CU699" s="335"/>
      <c r="CV699" s="335"/>
      <c r="CW699" s="335"/>
      <c r="CX699" s="335"/>
      <c r="CY699" s="335"/>
      <c r="CZ699" s="335"/>
      <c r="DA699" s="335"/>
      <c r="DB699" s="335"/>
      <c r="DC699" s="335"/>
      <c r="DD699" s="335"/>
      <c r="DE699" s="335"/>
      <c r="DF699" s="335"/>
      <c r="DG699" s="335"/>
      <c r="DH699" s="335"/>
      <c r="DI699" s="335"/>
      <c r="DJ699" s="335"/>
      <c r="DK699" s="335"/>
      <c r="DL699" s="335"/>
      <c r="DM699" s="335"/>
      <c r="DN699" s="335"/>
      <c r="DO699" s="335"/>
      <c r="DP699" s="335"/>
      <c r="DQ699" s="335"/>
      <c r="DR699" s="335"/>
      <c r="DS699" s="335"/>
      <c r="DT699" s="335"/>
      <c r="DU699" s="335"/>
      <c r="DV699" s="335"/>
      <c r="DW699" s="335"/>
      <c r="DX699" s="335"/>
      <c r="DY699" s="335"/>
      <c r="DZ699" s="335"/>
      <c r="EA699" s="335"/>
      <c r="EB699" s="335"/>
      <c r="EC699" s="335"/>
      <c r="ED699" s="335"/>
      <c r="EE699" s="335"/>
      <c r="EF699" s="335"/>
      <c r="EG699" s="335"/>
      <c r="EH699" s="335"/>
      <c r="EI699" s="335"/>
      <c r="EJ699" s="335"/>
      <c r="EK699" s="335"/>
      <c r="EL699" s="335"/>
      <c r="EM699" s="335"/>
      <c r="EN699" s="335"/>
      <c r="EO699" s="335"/>
      <c r="EP699" s="335"/>
      <c r="EQ699" s="335"/>
      <c r="ER699" s="335"/>
      <c r="ES699" s="335"/>
      <c r="ET699" s="335"/>
      <c r="EU699" s="335"/>
      <c r="EV699" s="335"/>
      <c r="EW699" s="335"/>
      <c r="EX699" s="335"/>
      <c r="EY699" s="335"/>
      <c r="EZ699" s="335"/>
      <c r="FA699" s="335"/>
      <c r="FB699" s="335"/>
      <c r="FC699" s="335"/>
      <c r="FD699" s="335"/>
      <c r="FE699" s="335"/>
      <c r="FF699" s="335"/>
      <c r="FG699" s="335"/>
      <c r="FH699" s="335"/>
      <c r="FI699" s="335"/>
      <c r="FJ699" s="335"/>
      <c r="FK699" s="335"/>
      <c r="FL699" s="335"/>
      <c r="FM699" s="335"/>
      <c r="FN699" s="335"/>
      <c r="FO699" s="335"/>
      <c r="FP699" s="335"/>
      <c r="FQ699" s="335"/>
      <c r="FR699" s="335"/>
      <c r="FS699" s="335"/>
      <c r="FT699" s="335"/>
      <c r="FU699" s="335"/>
      <c r="FV699" s="335"/>
      <c r="FW699" s="335"/>
      <c r="FX699" s="335"/>
      <c r="FY699" s="335"/>
      <c r="FZ699" s="335"/>
      <c r="GA699" s="335"/>
      <c r="GB699" s="335"/>
      <c r="GC699" s="335"/>
      <c r="GD699" s="335"/>
      <c r="GE699" s="335"/>
      <c r="GF699" s="335"/>
      <c r="GG699" s="335"/>
      <c r="GH699" s="335"/>
      <c r="GI699" s="335"/>
      <c r="GJ699" s="335"/>
      <c r="GK699" s="335"/>
      <c r="GL699" s="335"/>
      <c r="GM699" s="335"/>
      <c r="GN699" s="335"/>
      <c r="GO699" s="335"/>
      <c r="GP699" s="335"/>
      <c r="GQ699" s="335"/>
      <c r="GR699" s="335"/>
      <c r="GS699" s="335"/>
      <c r="GT699" s="335"/>
      <c r="GU699" s="335"/>
      <c r="GV699" s="335"/>
      <c r="GW699" s="335"/>
      <c r="GX699" s="335"/>
      <c r="GY699" s="335"/>
      <c r="GZ699" s="335"/>
    </row>
    <row r="700" spans="1:208" ht="15">
      <c r="A700" s="379"/>
      <c r="B700" s="335"/>
      <c r="C700" s="335"/>
      <c r="D700" s="335"/>
      <c r="E700" s="335"/>
      <c r="F700" s="335"/>
      <c r="G700" s="335"/>
      <c r="H700" s="335"/>
      <c r="I700" s="335"/>
      <c r="J700" s="335"/>
      <c r="K700" s="335"/>
      <c r="L700" s="335"/>
      <c r="M700" s="376"/>
      <c r="N700" s="335"/>
      <c r="O700" s="380"/>
      <c r="P700" s="335"/>
      <c r="Q700" s="335"/>
      <c r="R700" s="335"/>
      <c r="S700" s="335"/>
      <c r="T700" s="335"/>
      <c r="U700" s="335"/>
      <c r="V700" s="335"/>
      <c r="W700" s="335"/>
      <c r="X700" s="335"/>
      <c r="Y700" s="335"/>
      <c r="Z700" s="335"/>
      <c r="AA700" s="335"/>
      <c r="AB700" s="335"/>
      <c r="AC700" s="335"/>
      <c r="AD700" s="335"/>
      <c r="AE700" s="335"/>
      <c r="AF700" s="335"/>
      <c r="AG700" s="335"/>
      <c r="AH700" s="335"/>
      <c r="AI700" s="335"/>
      <c r="AJ700" s="335"/>
      <c r="AK700" s="335"/>
      <c r="AL700" s="335"/>
      <c r="AM700" s="335"/>
      <c r="AN700" s="335"/>
      <c r="AO700" s="335"/>
      <c r="AP700" s="335"/>
      <c r="AQ700" s="335"/>
      <c r="AR700" s="335"/>
      <c r="AS700" s="335"/>
      <c r="AT700" s="335"/>
      <c r="AU700" s="335"/>
      <c r="AV700" s="335"/>
      <c r="AW700" s="335"/>
      <c r="AX700" s="335"/>
      <c r="AY700" s="335"/>
      <c r="AZ700" s="335"/>
      <c r="BA700" s="335"/>
      <c r="BB700" s="335"/>
      <c r="BC700" s="335"/>
      <c r="BD700" s="335"/>
      <c r="BE700" s="335"/>
      <c r="BF700" s="335"/>
      <c r="BG700" s="335"/>
      <c r="BH700" s="335"/>
      <c r="BI700" s="335"/>
      <c r="BJ700" s="335"/>
      <c r="BK700" s="335"/>
      <c r="BL700" s="335"/>
      <c r="BM700" s="335"/>
      <c r="BN700" s="335"/>
      <c r="BO700" s="335"/>
      <c r="BP700" s="335"/>
      <c r="BQ700" s="335"/>
      <c r="BR700" s="335"/>
      <c r="BS700" s="335"/>
      <c r="BT700" s="335"/>
      <c r="BU700" s="335"/>
      <c r="BV700" s="335"/>
      <c r="BW700" s="335"/>
      <c r="BX700" s="335"/>
      <c r="BY700" s="335"/>
      <c r="BZ700" s="335"/>
      <c r="CA700" s="335"/>
      <c r="CB700" s="335"/>
      <c r="CC700" s="335"/>
      <c r="CD700" s="335"/>
      <c r="CE700" s="335"/>
      <c r="CF700" s="335"/>
      <c r="CG700" s="335"/>
      <c r="CH700" s="335"/>
      <c r="CI700" s="335"/>
      <c r="CJ700" s="335"/>
      <c r="CK700" s="335"/>
      <c r="CL700" s="335"/>
      <c r="CM700" s="335"/>
      <c r="CN700" s="335"/>
      <c r="CO700" s="335"/>
      <c r="CP700" s="335"/>
      <c r="CQ700" s="335"/>
      <c r="CR700" s="335"/>
      <c r="CS700" s="335"/>
      <c r="CT700" s="335"/>
      <c r="CU700" s="335"/>
      <c r="CV700" s="335"/>
      <c r="CW700" s="335"/>
      <c r="CX700" s="335"/>
      <c r="CY700" s="335"/>
      <c r="CZ700" s="335"/>
      <c r="DA700" s="335"/>
      <c r="DB700" s="335"/>
      <c r="DC700" s="335"/>
      <c r="DD700" s="335"/>
      <c r="DE700" s="335"/>
      <c r="DF700" s="335"/>
      <c r="DG700" s="335"/>
      <c r="DH700" s="335"/>
      <c r="DI700" s="335"/>
      <c r="DJ700" s="335"/>
      <c r="DK700" s="335"/>
      <c r="DL700" s="335"/>
      <c r="DM700" s="335"/>
      <c r="DN700" s="335"/>
      <c r="DO700" s="335"/>
      <c r="DP700" s="335"/>
      <c r="DQ700" s="335"/>
      <c r="DR700" s="335"/>
      <c r="DS700" s="335"/>
      <c r="DT700" s="335"/>
      <c r="DU700" s="335"/>
      <c r="DV700" s="335"/>
      <c r="DW700" s="335"/>
      <c r="DX700" s="335"/>
      <c r="DY700" s="335"/>
      <c r="DZ700" s="335"/>
      <c r="EA700" s="335"/>
      <c r="EB700" s="335"/>
      <c r="EC700" s="335"/>
      <c r="ED700" s="335"/>
      <c r="EE700" s="335"/>
      <c r="EF700" s="335"/>
      <c r="EG700" s="335"/>
      <c r="EH700" s="335"/>
      <c r="EI700" s="335"/>
      <c r="EJ700" s="335"/>
      <c r="EK700" s="335"/>
      <c r="EL700" s="335"/>
      <c r="EM700" s="335"/>
      <c r="EN700" s="335"/>
      <c r="EO700" s="335"/>
      <c r="EP700" s="335"/>
      <c r="EQ700" s="335"/>
      <c r="ER700" s="335"/>
      <c r="ES700" s="335"/>
      <c r="ET700" s="335"/>
      <c r="EU700" s="335"/>
      <c r="EV700" s="335"/>
      <c r="EW700" s="335"/>
      <c r="EX700" s="335"/>
      <c r="EY700" s="335"/>
      <c r="EZ700" s="335"/>
      <c r="FA700" s="335"/>
      <c r="FB700" s="335"/>
      <c r="FC700" s="335"/>
      <c r="FD700" s="335"/>
      <c r="FE700" s="335"/>
      <c r="FF700" s="335"/>
      <c r="FG700" s="335"/>
      <c r="FH700" s="335"/>
      <c r="FI700" s="335"/>
      <c r="FJ700" s="335"/>
      <c r="FK700" s="335"/>
      <c r="FL700" s="335"/>
      <c r="FM700" s="335"/>
      <c r="FN700" s="335"/>
      <c r="FO700" s="335"/>
      <c r="FP700" s="335"/>
      <c r="FQ700" s="335"/>
      <c r="FR700" s="335"/>
      <c r="FS700" s="335"/>
      <c r="FT700" s="335"/>
      <c r="FU700" s="335"/>
      <c r="FV700" s="335"/>
      <c r="FW700" s="335"/>
      <c r="FX700" s="335"/>
      <c r="FY700" s="335"/>
      <c r="FZ700" s="335"/>
      <c r="GA700" s="335"/>
      <c r="GB700" s="335"/>
      <c r="GC700" s="335"/>
      <c r="GD700" s="335"/>
      <c r="GE700" s="335"/>
      <c r="GF700" s="335"/>
      <c r="GG700" s="335"/>
      <c r="GH700" s="335"/>
      <c r="GI700" s="335"/>
      <c r="GJ700" s="335"/>
      <c r="GK700" s="335"/>
      <c r="GL700" s="335"/>
      <c r="GM700" s="335"/>
      <c r="GN700" s="335"/>
      <c r="GO700" s="335"/>
      <c r="GP700" s="335"/>
      <c r="GQ700" s="335"/>
      <c r="GR700" s="335"/>
      <c r="GS700" s="335"/>
      <c r="GT700" s="335"/>
      <c r="GU700" s="335"/>
      <c r="GV700" s="335"/>
      <c r="GW700" s="335"/>
      <c r="GX700" s="335"/>
      <c r="GY700" s="335"/>
      <c r="GZ700" s="335"/>
    </row>
    <row r="701" spans="1:208" ht="15">
      <c r="A701" s="379"/>
      <c r="B701" s="335"/>
      <c r="C701" s="335"/>
      <c r="D701" s="335"/>
      <c r="E701" s="335"/>
      <c r="F701" s="335"/>
      <c r="G701" s="335"/>
      <c r="H701" s="335"/>
      <c r="I701" s="335"/>
      <c r="J701" s="335"/>
      <c r="K701" s="335"/>
      <c r="L701" s="335"/>
      <c r="M701" s="376"/>
      <c r="N701" s="335"/>
      <c r="O701" s="380"/>
      <c r="P701" s="335"/>
      <c r="Q701" s="335"/>
      <c r="R701" s="335"/>
      <c r="S701" s="335"/>
      <c r="T701" s="335"/>
      <c r="U701" s="335"/>
      <c r="V701" s="335"/>
      <c r="W701" s="335"/>
      <c r="X701" s="335"/>
      <c r="Y701" s="335"/>
      <c r="Z701" s="335"/>
      <c r="AA701" s="335"/>
      <c r="AB701" s="335"/>
      <c r="AC701" s="335"/>
      <c r="AD701" s="335"/>
      <c r="AE701" s="335"/>
      <c r="AF701" s="335"/>
      <c r="AG701" s="335"/>
      <c r="AH701" s="335"/>
      <c r="AI701" s="335"/>
      <c r="AJ701" s="335"/>
      <c r="AK701" s="335"/>
      <c r="AL701" s="335"/>
      <c r="AM701" s="335"/>
      <c r="AN701" s="335"/>
      <c r="AO701" s="335"/>
      <c r="AP701" s="335"/>
      <c r="AQ701" s="335"/>
      <c r="AR701" s="335"/>
      <c r="AS701" s="335"/>
      <c r="AT701" s="335"/>
      <c r="AU701" s="335"/>
      <c r="AV701" s="335"/>
      <c r="AW701" s="335"/>
      <c r="AX701" s="335"/>
      <c r="AY701" s="335"/>
      <c r="AZ701" s="335"/>
      <c r="BA701" s="335"/>
      <c r="BB701" s="335"/>
      <c r="BC701" s="335"/>
      <c r="BD701" s="335"/>
      <c r="BE701" s="335"/>
      <c r="BF701" s="335"/>
      <c r="BG701" s="335"/>
      <c r="BH701" s="335"/>
      <c r="BI701" s="335"/>
      <c r="BJ701" s="335"/>
      <c r="BK701" s="335"/>
      <c r="BL701" s="335"/>
      <c r="BM701" s="335"/>
      <c r="BN701" s="335"/>
      <c r="BO701" s="335"/>
      <c r="BP701" s="335"/>
      <c r="BQ701" s="335"/>
      <c r="BR701" s="335"/>
      <c r="BS701" s="335"/>
      <c r="BT701" s="335"/>
      <c r="BU701" s="335"/>
      <c r="BV701" s="335"/>
      <c r="BW701" s="335"/>
      <c r="BX701" s="335"/>
      <c r="BY701" s="335"/>
      <c r="BZ701" s="335"/>
      <c r="CA701" s="335"/>
      <c r="CB701" s="335"/>
      <c r="CC701" s="335"/>
      <c r="CD701" s="335"/>
      <c r="CE701" s="335"/>
      <c r="CF701" s="335"/>
      <c r="CG701" s="335"/>
      <c r="CH701" s="335"/>
      <c r="CI701" s="335"/>
      <c r="CJ701" s="335"/>
      <c r="CK701" s="335"/>
      <c r="CL701" s="335"/>
      <c r="CM701" s="335"/>
      <c r="CN701" s="335"/>
      <c r="CO701" s="335"/>
      <c r="CP701" s="335"/>
      <c r="CQ701" s="335"/>
      <c r="CR701" s="335"/>
      <c r="CS701" s="335"/>
      <c r="CT701" s="335"/>
      <c r="CU701" s="335"/>
      <c r="CV701" s="335"/>
      <c r="CW701" s="335"/>
      <c r="CX701" s="335"/>
      <c r="CY701" s="335"/>
      <c r="CZ701" s="335"/>
      <c r="DA701" s="335"/>
      <c r="DB701" s="335"/>
      <c r="DC701" s="335"/>
      <c r="DD701" s="335"/>
      <c r="DE701" s="335"/>
      <c r="DF701" s="335"/>
      <c r="DG701" s="335"/>
      <c r="DH701" s="335"/>
      <c r="DI701" s="335"/>
      <c r="DJ701" s="335"/>
      <c r="DK701" s="335"/>
      <c r="DL701" s="335"/>
      <c r="DM701" s="335"/>
      <c r="DN701" s="335"/>
      <c r="DO701" s="335"/>
      <c r="DP701" s="335"/>
      <c r="DQ701" s="335"/>
      <c r="DR701" s="335"/>
      <c r="DS701" s="335"/>
      <c r="DT701" s="335"/>
      <c r="DU701" s="335"/>
      <c r="DV701" s="335"/>
      <c r="DW701" s="335"/>
      <c r="DX701" s="335"/>
      <c r="DY701" s="335"/>
      <c r="DZ701" s="335"/>
      <c r="EA701" s="335"/>
      <c r="EB701" s="335"/>
      <c r="EC701" s="335"/>
      <c r="ED701" s="335"/>
      <c r="EE701" s="335"/>
      <c r="EF701" s="335"/>
      <c r="EG701" s="335"/>
      <c r="EH701" s="335"/>
      <c r="EI701" s="335"/>
      <c r="EJ701" s="335"/>
      <c r="EK701" s="335"/>
      <c r="EL701" s="335"/>
      <c r="EM701" s="335"/>
      <c r="EN701" s="335"/>
      <c r="EO701" s="335"/>
      <c r="EP701" s="335"/>
      <c r="EQ701" s="335"/>
      <c r="ER701" s="335"/>
      <c r="ES701" s="335"/>
      <c r="ET701" s="335"/>
      <c r="EU701" s="335"/>
      <c r="EV701" s="335"/>
      <c r="EW701" s="335"/>
      <c r="EX701" s="335"/>
      <c r="EY701" s="335"/>
      <c r="EZ701" s="335"/>
      <c r="FA701" s="335"/>
      <c r="FB701" s="335"/>
      <c r="FC701" s="335"/>
      <c r="FD701" s="335"/>
      <c r="FE701" s="335"/>
      <c r="FF701" s="335"/>
      <c r="FG701" s="335"/>
      <c r="FH701" s="335"/>
      <c r="FI701" s="335"/>
      <c r="FJ701" s="335"/>
      <c r="FK701" s="335"/>
      <c r="FL701" s="335"/>
      <c r="FM701" s="335"/>
      <c r="FN701" s="335"/>
      <c r="FO701" s="335"/>
      <c r="FP701" s="335"/>
      <c r="FQ701" s="335"/>
      <c r="FR701" s="335"/>
      <c r="FS701" s="335"/>
      <c r="FT701" s="335"/>
      <c r="FU701" s="335"/>
      <c r="FV701" s="335"/>
      <c r="FW701" s="335"/>
      <c r="FX701" s="335"/>
      <c r="FY701" s="335"/>
      <c r="FZ701" s="335"/>
      <c r="GA701" s="335"/>
      <c r="GB701" s="335"/>
      <c r="GC701" s="335"/>
      <c r="GD701" s="335"/>
      <c r="GE701" s="335"/>
      <c r="GF701" s="335"/>
      <c r="GG701" s="335"/>
      <c r="GH701" s="335"/>
      <c r="GI701" s="335"/>
      <c r="GJ701" s="335"/>
      <c r="GK701" s="335"/>
      <c r="GL701" s="335"/>
      <c r="GM701" s="335"/>
      <c r="GN701" s="335"/>
      <c r="GO701" s="335"/>
      <c r="GP701" s="335"/>
      <c r="GQ701" s="335"/>
      <c r="GR701" s="335"/>
      <c r="GS701" s="335"/>
      <c r="GT701" s="335"/>
      <c r="GU701" s="335"/>
      <c r="GV701" s="335"/>
      <c r="GW701" s="335"/>
      <c r="GX701" s="335"/>
      <c r="GY701" s="335"/>
      <c r="GZ701" s="335"/>
    </row>
    <row r="702" spans="1:208" ht="15">
      <c r="A702" s="379"/>
      <c r="B702" s="335"/>
      <c r="C702" s="335"/>
      <c r="D702" s="335"/>
      <c r="E702" s="335"/>
      <c r="F702" s="335"/>
      <c r="G702" s="335"/>
      <c r="H702" s="335"/>
      <c r="I702" s="335"/>
      <c r="J702" s="335"/>
      <c r="K702" s="335"/>
      <c r="L702" s="335"/>
      <c r="M702" s="376"/>
      <c r="N702" s="335"/>
      <c r="O702" s="380"/>
      <c r="P702" s="335"/>
      <c r="Q702" s="335"/>
      <c r="R702" s="335"/>
      <c r="S702" s="335"/>
      <c r="T702" s="335"/>
      <c r="U702" s="335"/>
      <c r="V702" s="335"/>
      <c r="W702" s="335"/>
      <c r="X702" s="335"/>
      <c r="Y702" s="335"/>
      <c r="Z702" s="335"/>
      <c r="AA702" s="335"/>
      <c r="AB702" s="335"/>
      <c r="AC702" s="335"/>
      <c r="AD702" s="335"/>
      <c r="AE702" s="335"/>
      <c r="AF702" s="335"/>
      <c r="AG702" s="335"/>
      <c r="AH702" s="335"/>
      <c r="AI702" s="335"/>
      <c r="AJ702" s="335"/>
      <c r="AK702" s="335"/>
      <c r="AL702" s="335"/>
      <c r="AM702" s="335"/>
      <c r="AN702" s="335"/>
      <c r="AO702" s="335"/>
      <c r="AP702" s="335"/>
      <c r="AQ702" s="335"/>
      <c r="AR702" s="335"/>
      <c r="AS702" s="335"/>
      <c r="AT702" s="335"/>
      <c r="AU702" s="335"/>
      <c r="AV702" s="335"/>
      <c r="AW702" s="335"/>
      <c r="AX702" s="335"/>
      <c r="AY702" s="335"/>
      <c r="AZ702" s="335"/>
      <c r="BA702" s="335"/>
      <c r="BB702" s="335"/>
      <c r="BC702" s="335"/>
      <c r="BD702" s="335"/>
      <c r="BE702" s="335"/>
      <c r="BF702" s="335"/>
      <c r="BG702" s="335"/>
      <c r="BH702" s="335"/>
      <c r="BI702" s="335"/>
      <c r="BJ702" s="335"/>
      <c r="BK702" s="335"/>
      <c r="BL702" s="335"/>
      <c r="BM702" s="335"/>
      <c r="BN702" s="335"/>
      <c r="BO702" s="335"/>
      <c r="BP702" s="335"/>
      <c r="BQ702" s="335"/>
      <c r="BR702" s="335"/>
      <c r="BS702" s="335"/>
      <c r="BT702" s="335"/>
      <c r="BU702" s="335"/>
      <c r="BV702" s="335"/>
      <c r="BW702" s="335"/>
      <c r="BX702" s="335"/>
      <c r="BY702" s="335"/>
      <c r="BZ702" s="335"/>
      <c r="CA702" s="335"/>
      <c r="CB702" s="335"/>
      <c r="CC702" s="335"/>
      <c r="CD702" s="335"/>
      <c r="CE702" s="335"/>
      <c r="CF702" s="335"/>
      <c r="CG702" s="335"/>
      <c r="CH702" s="335"/>
      <c r="CI702" s="335"/>
      <c r="CJ702" s="335"/>
      <c r="CK702" s="335"/>
      <c r="CL702" s="335"/>
      <c r="CM702" s="335"/>
      <c r="CN702" s="335"/>
      <c r="CO702" s="335"/>
      <c r="CP702" s="335"/>
      <c r="CQ702" s="335"/>
      <c r="CR702" s="335"/>
      <c r="CS702" s="335"/>
      <c r="CT702" s="335"/>
      <c r="CU702" s="335"/>
      <c r="CV702" s="335"/>
      <c r="CW702" s="335"/>
      <c r="CX702" s="335"/>
      <c r="CY702" s="335"/>
      <c r="CZ702" s="335"/>
      <c r="DA702" s="335"/>
      <c r="DB702" s="335"/>
      <c r="DC702" s="335"/>
      <c r="DD702" s="335"/>
      <c r="DE702" s="335"/>
      <c r="DF702" s="335"/>
      <c r="DG702" s="335"/>
      <c r="DH702" s="335"/>
      <c r="DI702" s="335"/>
      <c r="DJ702" s="335"/>
      <c r="DK702" s="335"/>
      <c r="DL702" s="335"/>
      <c r="DM702" s="335"/>
      <c r="DN702" s="335"/>
      <c r="DO702" s="335"/>
      <c r="DP702" s="335"/>
      <c r="DQ702" s="335"/>
      <c r="DR702" s="335"/>
      <c r="DS702" s="335"/>
      <c r="DT702" s="335"/>
      <c r="DU702" s="335"/>
      <c r="DV702" s="335"/>
      <c r="DW702" s="335"/>
      <c r="DX702" s="335"/>
      <c r="DY702" s="335"/>
      <c r="DZ702" s="335"/>
      <c r="EA702" s="335"/>
      <c r="EB702" s="335"/>
      <c r="EC702" s="335"/>
      <c r="ED702" s="335"/>
      <c r="EE702" s="335"/>
      <c r="EF702" s="335"/>
      <c r="EG702" s="335"/>
      <c r="EH702" s="335"/>
      <c r="EI702" s="335"/>
      <c r="EJ702" s="335"/>
      <c r="EK702" s="335"/>
      <c r="EL702" s="335"/>
      <c r="EM702" s="335"/>
      <c r="EN702" s="335"/>
      <c r="EO702" s="335"/>
      <c r="EP702" s="335"/>
      <c r="EQ702" s="335"/>
      <c r="ER702" s="335"/>
      <c r="ES702" s="335"/>
      <c r="ET702" s="335"/>
      <c r="EU702" s="335"/>
      <c r="EV702" s="335"/>
      <c r="EW702" s="335"/>
      <c r="EX702" s="335"/>
      <c r="EY702" s="335"/>
      <c r="EZ702" s="335"/>
      <c r="FA702" s="335"/>
      <c r="FB702" s="335"/>
      <c r="FC702" s="335"/>
      <c r="FD702" s="335"/>
      <c r="FE702" s="335"/>
      <c r="FF702" s="335"/>
      <c r="FG702" s="335"/>
      <c r="FH702" s="335"/>
      <c r="FI702" s="335"/>
      <c r="FJ702" s="335"/>
      <c r="FK702" s="335"/>
      <c r="FL702" s="335"/>
      <c r="FM702" s="335"/>
      <c r="FN702" s="335"/>
      <c r="FO702" s="335"/>
      <c r="FP702" s="335"/>
      <c r="FQ702" s="335"/>
      <c r="FR702" s="335"/>
      <c r="FS702" s="335"/>
      <c r="FT702" s="335"/>
      <c r="FU702" s="335"/>
      <c r="FV702" s="335"/>
      <c r="FW702" s="335"/>
      <c r="FX702" s="335"/>
      <c r="FY702" s="335"/>
      <c r="FZ702" s="335"/>
      <c r="GA702" s="335"/>
      <c r="GB702" s="335"/>
      <c r="GC702" s="335"/>
      <c r="GD702" s="335"/>
      <c r="GE702" s="335"/>
      <c r="GF702" s="335"/>
      <c r="GG702" s="335"/>
      <c r="GH702" s="335"/>
      <c r="GI702" s="335"/>
      <c r="GJ702" s="335"/>
      <c r="GK702" s="335"/>
      <c r="GL702" s="335"/>
      <c r="GM702" s="335"/>
      <c r="GN702" s="335"/>
      <c r="GO702" s="335"/>
      <c r="GP702" s="335"/>
      <c r="GQ702" s="335"/>
      <c r="GR702" s="335"/>
      <c r="GS702" s="335"/>
      <c r="GT702" s="335"/>
      <c r="GU702" s="335"/>
      <c r="GV702" s="335"/>
      <c r="GW702" s="335"/>
      <c r="GX702" s="335"/>
      <c r="GY702" s="335"/>
      <c r="GZ702" s="335"/>
    </row>
    <row r="703" spans="1:208" ht="15">
      <c r="A703" s="379"/>
      <c r="B703" s="335"/>
      <c r="C703" s="335"/>
      <c r="D703" s="335"/>
      <c r="E703" s="335"/>
      <c r="F703" s="335"/>
      <c r="G703" s="335"/>
      <c r="H703" s="335"/>
      <c r="I703" s="335"/>
      <c r="J703" s="335"/>
      <c r="K703" s="335"/>
      <c r="L703" s="335"/>
      <c r="M703" s="376"/>
      <c r="N703" s="335"/>
      <c r="O703" s="380"/>
      <c r="P703" s="335"/>
      <c r="Q703" s="335"/>
      <c r="R703" s="335"/>
      <c r="S703" s="335"/>
      <c r="T703" s="335"/>
      <c r="U703" s="335"/>
      <c r="V703" s="335"/>
      <c r="W703" s="335"/>
      <c r="X703" s="335"/>
      <c r="Y703" s="335"/>
      <c r="Z703" s="335"/>
      <c r="AA703" s="335"/>
      <c r="AB703" s="335"/>
      <c r="AC703" s="335"/>
      <c r="AD703" s="335"/>
      <c r="AE703" s="335"/>
      <c r="AF703" s="335"/>
      <c r="AG703" s="335"/>
      <c r="AH703" s="335"/>
      <c r="AI703" s="335"/>
      <c r="AJ703" s="335"/>
      <c r="AK703" s="335"/>
      <c r="AL703" s="335"/>
      <c r="AM703" s="335"/>
      <c r="AN703" s="335"/>
      <c r="AO703" s="335"/>
      <c r="AP703" s="335"/>
      <c r="AQ703" s="335"/>
      <c r="AR703" s="335"/>
      <c r="AS703" s="335"/>
      <c r="AT703" s="335"/>
      <c r="AU703" s="335"/>
      <c r="AV703" s="335"/>
      <c r="AW703" s="335"/>
      <c r="AX703" s="335"/>
      <c r="AY703" s="335"/>
      <c r="AZ703" s="335"/>
      <c r="BA703" s="335"/>
      <c r="BB703" s="335"/>
      <c r="BC703" s="335"/>
      <c r="BD703" s="335"/>
      <c r="BE703" s="335"/>
      <c r="BF703" s="335"/>
      <c r="BG703" s="335"/>
      <c r="BH703" s="335"/>
      <c r="BI703" s="335"/>
      <c r="BJ703" s="335"/>
      <c r="BK703" s="335"/>
      <c r="BL703" s="335"/>
      <c r="BM703" s="335"/>
      <c r="BN703" s="335"/>
      <c r="BO703" s="335"/>
      <c r="BP703" s="335"/>
      <c r="BQ703" s="335"/>
      <c r="BR703" s="335"/>
      <c r="BS703" s="335"/>
      <c r="BT703" s="335"/>
      <c r="BU703" s="335"/>
      <c r="BV703" s="335"/>
      <c r="BW703" s="335"/>
      <c r="BX703" s="335"/>
      <c r="BY703" s="335"/>
      <c r="BZ703" s="335"/>
      <c r="CA703" s="335"/>
      <c r="CB703" s="335"/>
      <c r="CC703" s="335"/>
      <c r="CD703" s="335"/>
      <c r="CE703" s="335"/>
      <c r="CF703" s="335"/>
      <c r="CG703" s="335"/>
      <c r="CH703" s="335"/>
      <c r="CI703" s="335"/>
      <c r="CJ703" s="335"/>
      <c r="CK703" s="335"/>
      <c r="CL703" s="335"/>
      <c r="CM703" s="335"/>
      <c r="CN703" s="335"/>
      <c r="CO703" s="335"/>
      <c r="CP703" s="335"/>
      <c r="CQ703" s="335"/>
      <c r="CR703" s="335"/>
      <c r="CS703" s="335"/>
      <c r="CT703" s="335"/>
      <c r="CU703" s="335"/>
      <c r="CV703" s="335"/>
      <c r="CW703" s="335"/>
      <c r="CX703" s="335"/>
      <c r="CY703" s="335"/>
      <c r="CZ703" s="335"/>
      <c r="DA703" s="335"/>
      <c r="DB703" s="335"/>
      <c r="DC703" s="335"/>
      <c r="DD703" s="335"/>
      <c r="DE703" s="335"/>
      <c r="DF703" s="335"/>
      <c r="DG703" s="335"/>
      <c r="DH703" s="335"/>
      <c r="DI703" s="335"/>
      <c r="DJ703" s="335"/>
      <c r="DK703" s="335"/>
      <c r="DL703" s="335"/>
      <c r="DM703" s="335"/>
      <c r="DN703" s="335"/>
      <c r="DO703" s="335"/>
      <c r="DP703" s="335"/>
      <c r="DQ703" s="335"/>
      <c r="DR703" s="335"/>
      <c r="DS703" s="335"/>
      <c r="DT703" s="335"/>
      <c r="DU703" s="335"/>
      <c r="DV703" s="335"/>
      <c r="DW703" s="335"/>
      <c r="DX703" s="335"/>
      <c r="DY703" s="335"/>
      <c r="DZ703" s="335"/>
      <c r="EA703" s="335"/>
      <c r="EB703" s="335"/>
      <c r="EC703" s="335"/>
      <c r="ED703" s="335"/>
      <c r="EE703" s="335"/>
      <c r="EF703" s="335"/>
      <c r="EG703" s="335"/>
      <c r="EH703" s="335"/>
      <c r="EI703" s="335"/>
      <c r="EJ703" s="335"/>
      <c r="EK703" s="335"/>
      <c r="EL703" s="335"/>
      <c r="EM703" s="335"/>
      <c r="EN703" s="335"/>
      <c r="EO703" s="335"/>
      <c r="EP703" s="335"/>
      <c r="EQ703" s="335"/>
      <c r="ER703" s="335"/>
      <c r="ES703" s="335"/>
      <c r="ET703" s="335"/>
      <c r="EU703" s="335"/>
      <c r="EV703" s="335"/>
      <c r="EW703" s="335"/>
      <c r="EX703" s="335"/>
      <c r="EY703" s="335"/>
      <c r="EZ703" s="335"/>
      <c r="FA703" s="335"/>
      <c r="FB703" s="335"/>
      <c r="FC703" s="335"/>
      <c r="FD703" s="335"/>
      <c r="FE703" s="335"/>
      <c r="FF703" s="335"/>
      <c r="FG703" s="335"/>
      <c r="FH703" s="335"/>
      <c r="FI703" s="335"/>
      <c r="FJ703" s="335"/>
      <c r="FK703" s="335"/>
      <c r="FL703" s="335"/>
      <c r="FM703" s="335"/>
      <c r="FN703" s="335"/>
      <c r="FO703" s="335"/>
      <c r="FP703" s="335"/>
      <c r="FQ703" s="335"/>
      <c r="FR703" s="335"/>
      <c r="FS703" s="335"/>
      <c r="FT703" s="335"/>
      <c r="FU703" s="335"/>
      <c r="FV703" s="335"/>
      <c r="FW703" s="335"/>
      <c r="FX703" s="335"/>
      <c r="FY703" s="335"/>
      <c r="FZ703" s="335"/>
      <c r="GA703" s="335"/>
      <c r="GB703" s="335"/>
      <c r="GC703" s="335"/>
      <c r="GD703" s="335"/>
      <c r="GE703" s="335"/>
      <c r="GF703" s="335"/>
      <c r="GG703" s="335"/>
      <c r="GH703" s="335"/>
      <c r="GI703" s="335"/>
      <c r="GJ703" s="335"/>
      <c r="GK703" s="335"/>
      <c r="GL703" s="335"/>
      <c r="GM703" s="335"/>
      <c r="GN703" s="335"/>
      <c r="GO703" s="335"/>
      <c r="GP703" s="335"/>
      <c r="GQ703" s="335"/>
      <c r="GR703" s="335"/>
      <c r="GS703" s="335"/>
      <c r="GT703" s="335"/>
      <c r="GU703" s="335"/>
      <c r="GV703" s="335"/>
      <c r="GW703" s="335"/>
      <c r="GX703" s="335"/>
      <c r="GY703" s="335"/>
      <c r="GZ703" s="335"/>
    </row>
    <row r="704" spans="1:208" ht="15">
      <c r="A704" s="379"/>
      <c r="B704" s="335"/>
      <c r="C704" s="335"/>
      <c r="D704" s="335"/>
      <c r="E704" s="335"/>
      <c r="F704" s="335"/>
      <c r="G704" s="335"/>
      <c r="H704" s="335"/>
      <c r="I704" s="335"/>
      <c r="J704" s="335"/>
      <c r="K704" s="335"/>
      <c r="L704" s="335"/>
      <c r="M704" s="376"/>
      <c r="N704" s="335"/>
      <c r="O704" s="380"/>
      <c r="P704" s="335"/>
      <c r="Q704" s="335"/>
      <c r="R704" s="335"/>
      <c r="S704" s="335"/>
      <c r="T704" s="335"/>
      <c r="U704" s="335"/>
      <c r="V704" s="335"/>
      <c r="W704" s="335"/>
      <c r="X704" s="335"/>
      <c r="Y704" s="335"/>
      <c r="Z704" s="335"/>
      <c r="AA704" s="335"/>
      <c r="AB704" s="335"/>
      <c r="AC704" s="335"/>
      <c r="AD704" s="335"/>
      <c r="AE704" s="335"/>
      <c r="AF704" s="335"/>
      <c r="AG704" s="335"/>
      <c r="AH704" s="335"/>
      <c r="AI704" s="335"/>
      <c r="AJ704" s="335"/>
      <c r="AK704" s="335"/>
      <c r="AL704" s="335"/>
      <c r="AM704" s="335"/>
      <c r="AN704" s="335"/>
      <c r="AO704" s="335"/>
      <c r="AP704" s="335"/>
      <c r="AQ704" s="335"/>
      <c r="AR704" s="335"/>
      <c r="AS704" s="335"/>
      <c r="AT704" s="335"/>
      <c r="AU704" s="335"/>
      <c r="AV704" s="335"/>
      <c r="AW704" s="335"/>
      <c r="AX704" s="335"/>
      <c r="AY704" s="335"/>
      <c r="AZ704" s="335"/>
      <c r="BA704" s="335"/>
      <c r="BB704" s="335"/>
      <c r="BC704" s="335"/>
      <c r="BD704" s="335"/>
      <c r="BE704" s="335"/>
      <c r="BF704" s="335"/>
      <c r="BG704" s="335"/>
      <c r="BH704" s="335"/>
      <c r="BI704" s="335"/>
      <c r="BJ704" s="335"/>
      <c r="BK704" s="335"/>
      <c r="BL704" s="335"/>
      <c r="BM704" s="335"/>
      <c r="BN704" s="335"/>
      <c r="BO704" s="335"/>
      <c r="BP704" s="335"/>
      <c r="BQ704" s="335"/>
      <c r="BR704" s="335"/>
      <c r="BS704" s="335"/>
      <c r="BT704" s="335"/>
      <c r="BU704" s="335"/>
      <c r="BV704" s="335"/>
      <c r="BW704" s="335"/>
      <c r="BX704" s="335"/>
      <c r="BY704" s="335"/>
      <c r="BZ704" s="335"/>
      <c r="CA704" s="335"/>
      <c r="CB704" s="335"/>
      <c r="CC704" s="335"/>
      <c r="CD704" s="335"/>
      <c r="CE704" s="335"/>
      <c r="CF704" s="335"/>
      <c r="CG704" s="335"/>
      <c r="CH704" s="335"/>
      <c r="CI704" s="335"/>
      <c r="CJ704" s="335"/>
      <c r="CK704" s="335"/>
      <c r="CL704" s="335"/>
      <c r="CM704" s="335"/>
      <c r="CN704" s="335"/>
      <c r="CO704" s="335"/>
      <c r="CP704" s="335"/>
      <c r="CQ704" s="335"/>
      <c r="CR704" s="335"/>
      <c r="CS704" s="335"/>
      <c r="CT704" s="335"/>
      <c r="CU704" s="335"/>
      <c r="CV704" s="335"/>
      <c r="CW704" s="335"/>
      <c r="CX704" s="335"/>
      <c r="CY704" s="335"/>
      <c r="CZ704" s="335"/>
      <c r="DA704" s="335"/>
      <c r="DB704" s="335"/>
      <c r="DC704" s="335"/>
      <c r="DD704" s="335"/>
      <c r="DE704" s="335"/>
      <c r="DF704" s="335"/>
      <c r="DG704" s="335"/>
      <c r="DH704" s="335"/>
      <c r="DI704" s="335"/>
      <c r="DJ704" s="335"/>
      <c r="DK704" s="335"/>
      <c r="DL704" s="335"/>
      <c r="DM704" s="335"/>
      <c r="DN704" s="335"/>
      <c r="DO704" s="335"/>
      <c r="DP704" s="335"/>
      <c r="DQ704" s="335"/>
      <c r="DR704" s="335"/>
      <c r="DS704" s="335"/>
      <c r="DT704" s="335"/>
      <c r="DU704" s="335"/>
      <c r="DV704" s="335"/>
      <c r="DW704" s="335"/>
      <c r="DX704" s="335"/>
      <c r="DY704" s="335"/>
      <c r="DZ704" s="335"/>
      <c r="EA704" s="335"/>
      <c r="EB704" s="335"/>
      <c r="EC704" s="335"/>
      <c r="ED704" s="335"/>
      <c r="EE704" s="335"/>
      <c r="EF704" s="335"/>
      <c r="EG704" s="335"/>
      <c r="EH704" s="335"/>
      <c r="EI704" s="335"/>
      <c r="EJ704" s="335"/>
      <c r="EK704" s="335"/>
      <c r="EL704" s="335"/>
      <c r="EM704" s="335"/>
      <c r="EN704" s="335"/>
      <c r="EO704" s="335"/>
      <c r="EP704" s="335"/>
      <c r="EQ704" s="335"/>
      <c r="ER704" s="335"/>
      <c r="ES704" s="335"/>
      <c r="ET704" s="335"/>
      <c r="EU704" s="335"/>
      <c r="EV704" s="335"/>
      <c r="EW704" s="335"/>
      <c r="EX704" s="335"/>
      <c r="EY704" s="335"/>
      <c r="EZ704" s="335"/>
      <c r="FA704" s="335"/>
      <c r="FB704" s="335"/>
      <c r="FC704" s="335"/>
      <c r="FD704" s="335"/>
      <c r="FE704" s="335"/>
      <c r="FF704" s="335"/>
      <c r="FG704" s="335"/>
      <c r="FH704" s="335"/>
      <c r="FI704" s="335"/>
      <c r="FJ704" s="335"/>
      <c r="FK704" s="335"/>
      <c r="FL704" s="335"/>
      <c r="FM704" s="335"/>
      <c r="FN704" s="335"/>
      <c r="FO704" s="335"/>
      <c r="FP704" s="335"/>
      <c r="FQ704" s="335"/>
      <c r="FR704" s="335"/>
      <c r="FS704" s="335"/>
      <c r="FT704" s="335"/>
      <c r="FU704" s="335"/>
      <c r="FV704" s="335"/>
      <c r="FW704" s="335"/>
      <c r="FX704" s="335"/>
      <c r="FY704" s="335"/>
      <c r="FZ704" s="335"/>
      <c r="GA704" s="335"/>
      <c r="GB704" s="335"/>
      <c r="GC704" s="335"/>
      <c r="GD704" s="335"/>
      <c r="GE704" s="335"/>
      <c r="GF704" s="335"/>
      <c r="GG704" s="335"/>
      <c r="GH704" s="335"/>
      <c r="GI704" s="335"/>
      <c r="GJ704" s="335"/>
      <c r="GK704" s="335"/>
      <c r="GL704" s="335"/>
      <c r="GM704" s="335"/>
      <c r="GN704" s="335"/>
      <c r="GO704" s="335"/>
      <c r="GP704" s="335"/>
      <c r="GQ704" s="335"/>
      <c r="GR704" s="335"/>
      <c r="GS704" s="335"/>
      <c r="GT704" s="335"/>
      <c r="GU704" s="335"/>
      <c r="GV704" s="335"/>
      <c r="GW704" s="335"/>
      <c r="GX704" s="335"/>
      <c r="GY704" s="335"/>
      <c r="GZ704" s="335"/>
    </row>
    <row r="705" spans="1:208" ht="15">
      <c r="A705" s="379"/>
      <c r="B705" s="335"/>
      <c r="C705" s="335"/>
      <c r="D705" s="335"/>
      <c r="E705" s="335"/>
      <c r="F705" s="335"/>
      <c r="G705" s="335"/>
      <c r="H705" s="335"/>
      <c r="I705" s="335"/>
      <c r="J705" s="335"/>
      <c r="K705" s="335"/>
      <c r="L705" s="335"/>
      <c r="M705" s="376"/>
      <c r="N705" s="335"/>
      <c r="O705" s="380"/>
      <c r="P705" s="335"/>
      <c r="Q705" s="335"/>
      <c r="R705" s="335"/>
      <c r="S705" s="335"/>
      <c r="T705" s="335"/>
      <c r="U705" s="335"/>
      <c r="V705" s="335"/>
      <c r="W705" s="335"/>
      <c r="X705" s="335"/>
      <c r="Y705" s="335"/>
      <c r="Z705" s="335"/>
      <c r="AA705" s="335"/>
      <c r="AB705" s="335"/>
      <c r="AC705" s="335"/>
      <c r="AD705" s="335"/>
      <c r="AE705" s="335"/>
      <c r="AF705" s="335"/>
      <c r="AG705" s="335"/>
      <c r="AH705" s="335"/>
      <c r="AI705" s="335"/>
      <c r="AJ705" s="335"/>
      <c r="AK705" s="335"/>
      <c r="AL705" s="335"/>
      <c r="AM705" s="335"/>
      <c r="AN705" s="335"/>
      <c r="AO705" s="335"/>
      <c r="AP705" s="335"/>
      <c r="AQ705" s="335"/>
      <c r="AR705" s="335"/>
      <c r="AS705" s="335"/>
      <c r="AT705" s="335"/>
      <c r="AU705" s="335"/>
      <c r="AV705" s="335"/>
      <c r="AW705" s="335"/>
      <c r="AX705" s="335"/>
      <c r="AY705" s="335"/>
      <c r="AZ705" s="335"/>
      <c r="BA705" s="335"/>
      <c r="BB705" s="335"/>
      <c r="BC705" s="335"/>
      <c r="BD705" s="335"/>
      <c r="BE705" s="335"/>
      <c r="BF705" s="335"/>
      <c r="BG705" s="335"/>
      <c r="BH705" s="335"/>
      <c r="BI705" s="335"/>
      <c r="BJ705" s="335"/>
      <c r="BK705" s="335"/>
      <c r="BL705" s="335"/>
      <c r="BM705" s="335"/>
      <c r="BN705" s="335"/>
      <c r="BO705" s="335"/>
      <c r="BP705" s="335"/>
      <c r="BQ705" s="335"/>
      <c r="BR705" s="335"/>
      <c r="BS705" s="335"/>
      <c r="BT705" s="335"/>
      <c r="BU705" s="335"/>
      <c r="BV705" s="335"/>
      <c r="BW705" s="335"/>
      <c r="BX705" s="335"/>
      <c r="BY705" s="335"/>
      <c r="BZ705" s="335"/>
      <c r="CA705" s="335"/>
      <c r="CB705" s="335"/>
      <c r="CC705" s="335"/>
      <c r="CD705" s="335"/>
      <c r="CE705" s="335"/>
      <c r="CF705" s="335"/>
      <c r="CG705" s="335"/>
      <c r="CH705" s="335"/>
      <c r="CI705" s="335"/>
      <c r="CJ705" s="335"/>
      <c r="CK705" s="335"/>
      <c r="CL705" s="335"/>
      <c r="CM705" s="335"/>
      <c r="CN705" s="335"/>
      <c r="CO705" s="335"/>
      <c r="CP705" s="335"/>
      <c r="CQ705" s="335"/>
      <c r="CR705" s="335"/>
      <c r="CS705" s="335"/>
      <c r="CT705" s="335"/>
      <c r="CU705" s="335"/>
      <c r="CV705" s="335"/>
      <c r="CW705" s="335"/>
      <c r="CX705" s="335"/>
      <c r="CY705" s="335"/>
      <c r="CZ705" s="335"/>
      <c r="DA705" s="335"/>
      <c r="DB705" s="335"/>
      <c r="DC705" s="335"/>
      <c r="DD705" s="335"/>
      <c r="DE705" s="335"/>
      <c r="DF705" s="335"/>
      <c r="DG705" s="335"/>
      <c r="DH705" s="335"/>
      <c r="DI705" s="335"/>
      <c r="DJ705" s="335"/>
      <c r="DK705" s="335"/>
      <c r="DL705" s="335"/>
      <c r="DM705" s="335"/>
      <c r="DN705" s="335"/>
      <c r="DO705" s="335"/>
      <c r="DP705" s="335"/>
      <c r="DQ705" s="335"/>
      <c r="DR705" s="335"/>
      <c r="DS705" s="335"/>
      <c r="DT705" s="335"/>
      <c r="DU705" s="335"/>
      <c r="DV705" s="335"/>
      <c r="DW705" s="335"/>
      <c r="DX705" s="335"/>
      <c r="DY705" s="335"/>
      <c r="DZ705" s="335"/>
      <c r="EA705" s="335"/>
      <c r="EB705" s="335"/>
      <c r="EC705" s="335"/>
      <c r="ED705" s="335"/>
      <c r="EE705" s="335"/>
      <c r="EF705" s="335"/>
      <c r="EG705" s="335"/>
      <c r="EH705" s="335"/>
      <c r="EI705" s="335"/>
      <c r="EJ705" s="335"/>
      <c r="EK705" s="335"/>
      <c r="EL705" s="335"/>
      <c r="EM705" s="335"/>
      <c r="EN705" s="335"/>
      <c r="EO705" s="335"/>
      <c r="EP705" s="335"/>
      <c r="EQ705" s="335"/>
      <c r="ER705" s="335"/>
      <c r="ES705" s="335"/>
      <c r="ET705" s="335"/>
      <c r="EU705" s="335"/>
      <c r="EV705" s="335"/>
      <c r="EW705" s="335"/>
      <c r="EX705" s="335"/>
      <c r="EY705" s="335"/>
      <c r="EZ705" s="335"/>
      <c r="FA705" s="335"/>
      <c r="FB705" s="335"/>
      <c r="FC705" s="335"/>
      <c r="FD705" s="335"/>
      <c r="FE705" s="335"/>
      <c r="FF705" s="335"/>
      <c r="FG705" s="335"/>
      <c r="FH705" s="335"/>
      <c r="FI705" s="335"/>
      <c r="FJ705" s="335"/>
      <c r="FK705" s="335"/>
      <c r="FL705" s="335"/>
      <c r="FM705" s="335"/>
      <c r="FN705" s="335"/>
      <c r="FO705" s="335"/>
      <c r="FP705" s="335"/>
      <c r="FQ705" s="335"/>
      <c r="FR705" s="335"/>
      <c r="FS705" s="335"/>
      <c r="FT705" s="335"/>
      <c r="FU705" s="335"/>
      <c r="FV705" s="335"/>
      <c r="FW705" s="335"/>
      <c r="FX705" s="335"/>
      <c r="FY705" s="335"/>
      <c r="FZ705" s="335"/>
      <c r="GA705" s="335"/>
      <c r="GB705" s="335"/>
      <c r="GC705" s="335"/>
      <c r="GD705" s="335"/>
      <c r="GE705" s="335"/>
      <c r="GF705" s="335"/>
      <c r="GG705" s="335"/>
      <c r="GH705" s="335"/>
      <c r="GI705" s="335"/>
      <c r="GJ705" s="335"/>
      <c r="GK705" s="335"/>
      <c r="GL705" s="335"/>
      <c r="GM705" s="335"/>
      <c r="GN705" s="335"/>
      <c r="GO705" s="335"/>
      <c r="GP705" s="335"/>
      <c r="GQ705" s="335"/>
      <c r="GR705" s="335"/>
      <c r="GS705" s="335"/>
      <c r="GT705" s="335"/>
      <c r="GU705" s="335"/>
      <c r="GV705" s="335"/>
      <c r="GW705" s="335"/>
      <c r="GX705" s="335"/>
      <c r="GY705" s="335"/>
      <c r="GZ705" s="335"/>
    </row>
    <row r="706" spans="1:208" ht="15">
      <c r="A706" s="379"/>
      <c r="B706" s="335"/>
      <c r="C706" s="335"/>
      <c r="D706" s="335"/>
      <c r="E706" s="335"/>
      <c r="F706" s="335"/>
      <c r="G706" s="335"/>
      <c r="H706" s="335"/>
      <c r="I706" s="335"/>
      <c r="J706" s="335"/>
      <c r="K706" s="335"/>
      <c r="L706" s="335"/>
      <c r="M706" s="376"/>
      <c r="N706" s="335"/>
      <c r="O706" s="380"/>
      <c r="P706" s="335"/>
      <c r="Q706" s="335"/>
      <c r="R706" s="335"/>
      <c r="S706" s="335"/>
      <c r="T706" s="335"/>
      <c r="U706" s="335"/>
      <c r="V706" s="335"/>
      <c r="W706" s="335"/>
      <c r="X706" s="335"/>
      <c r="Y706" s="335"/>
      <c r="Z706" s="335"/>
      <c r="AA706" s="335"/>
      <c r="AB706" s="335"/>
      <c r="AC706" s="335"/>
      <c r="AD706" s="335"/>
      <c r="AE706" s="335"/>
      <c r="AF706" s="335"/>
      <c r="AG706" s="335"/>
      <c r="AH706" s="335"/>
      <c r="AI706" s="335"/>
      <c r="AJ706" s="335"/>
      <c r="AK706" s="335"/>
      <c r="AL706" s="335"/>
      <c r="AM706" s="335"/>
      <c r="AN706" s="335"/>
      <c r="AO706" s="335"/>
      <c r="AP706" s="335"/>
      <c r="AQ706" s="335"/>
      <c r="AR706" s="335"/>
      <c r="AS706" s="335"/>
      <c r="AT706" s="335"/>
      <c r="AU706" s="335"/>
      <c r="AV706" s="335"/>
      <c r="AW706" s="335"/>
      <c r="AX706" s="335"/>
      <c r="AY706" s="335"/>
      <c r="AZ706" s="335"/>
      <c r="BA706" s="335"/>
      <c r="BB706" s="335"/>
      <c r="BC706" s="335"/>
      <c r="BD706" s="335"/>
      <c r="BE706" s="335"/>
      <c r="BF706" s="335"/>
      <c r="BG706" s="335"/>
      <c r="BH706" s="335"/>
      <c r="BI706" s="335"/>
      <c r="BJ706" s="335"/>
      <c r="BK706" s="335"/>
      <c r="BL706" s="335"/>
      <c r="BM706" s="335"/>
      <c r="BN706" s="335"/>
      <c r="BO706" s="335"/>
      <c r="BP706" s="335"/>
      <c r="BQ706" s="335"/>
      <c r="BR706" s="335"/>
      <c r="BS706" s="335"/>
      <c r="BT706" s="335"/>
      <c r="BU706" s="335"/>
      <c r="BV706" s="335"/>
      <c r="BW706" s="335"/>
      <c r="BX706" s="335"/>
      <c r="BY706" s="335"/>
      <c r="BZ706" s="335"/>
      <c r="CA706" s="335"/>
      <c r="CB706" s="335"/>
      <c r="CC706" s="335"/>
      <c r="CD706" s="335"/>
      <c r="CE706" s="335"/>
      <c r="CF706" s="335"/>
      <c r="CG706" s="335"/>
      <c r="CH706" s="335"/>
      <c r="CI706" s="335"/>
      <c r="CJ706" s="335"/>
      <c r="CK706" s="335"/>
      <c r="CL706" s="335"/>
      <c r="CM706" s="335"/>
      <c r="CN706" s="335"/>
      <c r="CO706" s="335"/>
      <c r="CP706" s="335"/>
      <c r="CQ706" s="335"/>
      <c r="CR706" s="335"/>
      <c r="CS706" s="335"/>
      <c r="CT706" s="335"/>
      <c r="CU706" s="335"/>
      <c r="CV706" s="335"/>
      <c r="CW706" s="335"/>
      <c r="CX706" s="335"/>
      <c r="CY706" s="335"/>
      <c r="CZ706" s="335"/>
      <c r="DA706" s="335"/>
      <c r="DB706" s="335"/>
      <c r="DC706" s="335"/>
      <c r="DD706" s="335"/>
      <c r="DE706" s="335"/>
      <c r="DF706" s="335"/>
      <c r="DG706" s="335"/>
      <c r="DH706" s="335"/>
      <c r="DI706" s="335"/>
      <c r="DJ706" s="335"/>
      <c r="DK706" s="335"/>
      <c r="DL706" s="335"/>
      <c r="DM706" s="335"/>
      <c r="DN706" s="335"/>
      <c r="DO706" s="335"/>
      <c r="DP706" s="335"/>
      <c r="DQ706" s="335"/>
      <c r="DR706" s="335"/>
      <c r="DS706" s="335"/>
      <c r="DT706" s="335"/>
      <c r="DU706" s="335"/>
      <c r="DV706" s="335"/>
      <c r="DW706" s="335"/>
      <c r="DX706" s="335"/>
      <c r="DY706" s="335"/>
      <c r="DZ706" s="335"/>
      <c r="EA706" s="335"/>
      <c r="EB706" s="335"/>
      <c r="EC706" s="335"/>
      <c r="ED706" s="335"/>
      <c r="EE706" s="335"/>
      <c r="EF706" s="335"/>
      <c r="EG706" s="335"/>
      <c r="EH706" s="335"/>
      <c r="EI706" s="335"/>
      <c r="EJ706" s="335"/>
      <c r="EK706" s="335"/>
      <c r="EL706" s="335"/>
      <c r="EM706" s="335"/>
      <c r="EN706" s="335"/>
      <c r="EO706" s="335"/>
      <c r="EP706" s="335"/>
      <c r="EQ706" s="335"/>
      <c r="ER706" s="335"/>
      <c r="ES706" s="335"/>
      <c r="ET706" s="335"/>
      <c r="EU706" s="335"/>
      <c r="EV706" s="335"/>
      <c r="EW706" s="335"/>
      <c r="EX706" s="335"/>
      <c r="EY706" s="335"/>
      <c r="EZ706" s="335"/>
      <c r="FA706" s="335"/>
      <c r="FB706" s="335"/>
      <c r="FC706" s="335"/>
      <c r="FD706" s="335"/>
      <c r="FE706" s="335"/>
      <c r="FF706" s="335"/>
      <c r="FG706" s="335"/>
      <c r="FH706" s="335"/>
      <c r="FI706" s="335"/>
      <c r="FJ706" s="335"/>
      <c r="FK706" s="335"/>
      <c r="FL706" s="335"/>
      <c r="FM706" s="335"/>
      <c r="FN706" s="335"/>
      <c r="FO706" s="335"/>
      <c r="FP706" s="335"/>
      <c r="FQ706" s="335"/>
      <c r="FR706" s="335"/>
      <c r="FS706" s="335"/>
      <c r="FT706" s="335"/>
      <c r="FU706" s="335"/>
      <c r="FV706" s="335"/>
      <c r="FW706" s="335"/>
      <c r="FX706" s="335"/>
      <c r="FY706" s="335"/>
      <c r="FZ706" s="335"/>
      <c r="GA706" s="335"/>
      <c r="GB706" s="335"/>
      <c r="GC706" s="335"/>
      <c r="GD706" s="335"/>
      <c r="GE706" s="335"/>
      <c r="GF706" s="335"/>
      <c r="GG706" s="335"/>
      <c r="GH706" s="335"/>
      <c r="GI706" s="335"/>
      <c r="GJ706" s="335"/>
      <c r="GK706" s="335"/>
      <c r="GL706" s="335"/>
      <c r="GM706" s="335"/>
      <c r="GN706" s="335"/>
      <c r="GO706" s="335"/>
      <c r="GP706" s="335"/>
      <c r="GQ706" s="335"/>
      <c r="GR706" s="335"/>
      <c r="GS706" s="335"/>
      <c r="GT706" s="335"/>
      <c r="GU706" s="335"/>
      <c r="GV706" s="335"/>
      <c r="GW706" s="335"/>
      <c r="GX706" s="335"/>
      <c r="GY706" s="335"/>
      <c r="GZ706" s="335"/>
    </row>
    <row r="707" spans="1:208" ht="15">
      <c r="A707" s="379"/>
      <c r="B707" s="335"/>
      <c r="C707" s="335"/>
      <c r="D707" s="335"/>
      <c r="E707" s="335"/>
      <c r="F707" s="335"/>
      <c r="G707" s="335"/>
      <c r="H707" s="335"/>
      <c r="I707" s="335"/>
      <c r="J707" s="335"/>
      <c r="K707" s="335"/>
      <c r="L707" s="335"/>
      <c r="M707" s="376"/>
      <c r="N707" s="335"/>
      <c r="O707" s="380"/>
      <c r="P707" s="335"/>
      <c r="Q707" s="335"/>
      <c r="R707" s="335"/>
      <c r="S707" s="335"/>
      <c r="T707" s="335"/>
      <c r="U707" s="335"/>
      <c r="V707" s="335"/>
      <c r="W707" s="335"/>
      <c r="X707" s="335"/>
      <c r="Y707" s="335"/>
      <c r="Z707" s="335"/>
      <c r="AA707" s="335"/>
      <c r="AB707" s="335"/>
      <c r="AC707" s="335"/>
      <c r="AD707" s="335"/>
      <c r="AE707" s="335"/>
      <c r="AF707" s="335"/>
      <c r="AG707" s="335"/>
      <c r="AH707" s="335"/>
      <c r="AI707" s="335"/>
      <c r="AJ707" s="335"/>
      <c r="AK707" s="335"/>
      <c r="AL707" s="335"/>
      <c r="AM707" s="335"/>
      <c r="AN707" s="335"/>
      <c r="AO707" s="335"/>
      <c r="AP707" s="335"/>
      <c r="AQ707" s="335"/>
      <c r="AR707" s="335"/>
      <c r="AS707" s="335"/>
      <c r="AT707" s="335"/>
      <c r="AU707" s="335"/>
      <c r="AV707" s="335"/>
      <c r="AW707" s="335"/>
      <c r="AX707" s="335"/>
      <c r="AY707" s="335"/>
      <c r="AZ707" s="335"/>
      <c r="BA707" s="335"/>
      <c r="BB707" s="335"/>
      <c r="BC707" s="335"/>
      <c r="BD707" s="335"/>
      <c r="BE707" s="335"/>
      <c r="BF707" s="335"/>
      <c r="BG707" s="335"/>
      <c r="BH707" s="335"/>
      <c r="BI707" s="335"/>
      <c r="BJ707" s="335"/>
      <c r="BK707" s="335"/>
      <c r="BL707" s="335"/>
      <c r="BM707" s="335"/>
      <c r="BN707" s="335"/>
      <c r="BO707" s="335"/>
      <c r="BP707" s="335"/>
      <c r="BQ707" s="335"/>
      <c r="BR707" s="335"/>
      <c r="BS707" s="335"/>
      <c r="BT707" s="335"/>
      <c r="BU707" s="335"/>
      <c r="BV707" s="335"/>
      <c r="BW707" s="335"/>
      <c r="BX707" s="335"/>
      <c r="BY707" s="335"/>
      <c r="BZ707" s="335"/>
      <c r="CA707" s="335"/>
      <c r="CB707" s="335"/>
      <c r="CC707" s="335"/>
      <c r="CD707" s="335"/>
      <c r="CE707" s="335"/>
      <c r="CF707" s="335"/>
      <c r="CG707" s="335"/>
      <c r="CH707" s="335"/>
      <c r="CI707" s="335"/>
      <c r="CJ707" s="335"/>
      <c r="CK707" s="335"/>
      <c r="CL707" s="335"/>
      <c r="CM707" s="335"/>
      <c r="CN707" s="335"/>
      <c r="CO707" s="335"/>
      <c r="CP707" s="335"/>
      <c r="CQ707" s="335"/>
      <c r="CR707" s="335"/>
      <c r="CS707" s="335"/>
      <c r="CT707" s="335"/>
      <c r="CU707" s="335"/>
      <c r="CV707" s="335"/>
      <c r="CW707" s="335"/>
      <c r="CX707" s="335"/>
      <c r="CY707" s="335"/>
      <c r="CZ707" s="335"/>
      <c r="DA707" s="335"/>
      <c r="DB707" s="335"/>
      <c r="DC707" s="335"/>
      <c r="DD707" s="335"/>
      <c r="DE707" s="335"/>
      <c r="DF707" s="335"/>
      <c r="DG707" s="335"/>
      <c r="DH707" s="335"/>
      <c r="DI707" s="335"/>
      <c r="DJ707" s="335"/>
      <c r="DK707" s="335"/>
      <c r="DL707" s="335"/>
      <c r="DM707" s="335"/>
      <c r="DN707" s="335"/>
      <c r="DO707" s="335"/>
      <c r="DP707" s="335"/>
      <c r="DQ707" s="335"/>
      <c r="DR707" s="335"/>
      <c r="DS707" s="335"/>
      <c r="DT707" s="335"/>
      <c r="DU707" s="335"/>
      <c r="DV707" s="335"/>
      <c r="DW707" s="335"/>
      <c r="DX707" s="335"/>
      <c r="DY707" s="335"/>
      <c r="DZ707" s="335"/>
      <c r="EA707" s="335"/>
      <c r="EB707" s="335"/>
      <c r="EC707" s="335"/>
      <c r="ED707" s="335"/>
      <c r="EE707" s="335"/>
      <c r="EF707" s="335"/>
      <c r="EG707" s="335"/>
      <c r="EH707" s="335"/>
      <c r="EI707" s="335"/>
      <c r="EJ707" s="335"/>
      <c r="EK707" s="335"/>
      <c r="EL707" s="335"/>
      <c r="EM707" s="335"/>
      <c r="EN707" s="335"/>
      <c r="EO707" s="335"/>
      <c r="EP707" s="335"/>
      <c r="EQ707" s="335"/>
      <c r="ER707" s="335"/>
      <c r="ES707" s="335"/>
      <c r="ET707" s="335"/>
      <c r="EU707" s="335"/>
      <c r="EV707" s="335"/>
      <c r="EW707" s="335"/>
      <c r="EX707" s="335"/>
      <c r="EY707" s="335"/>
      <c r="EZ707" s="335"/>
      <c r="FA707" s="335"/>
      <c r="FB707" s="335"/>
      <c r="FC707" s="335"/>
      <c r="FD707" s="335"/>
      <c r="FE707" s="335"/>
      <c r="FF707" s="335"/>
      <c r="FG707" s="335"/>
      <c r="FH707" s="335"/>
      <c r="FI707" s="335"/>
      <c r="FJ707" s="335"/>
      <c r="FK707" s="335"/>
      <c r="FL707" s="335"/>
      <c r="FM707" s="335"/>
      <c r="FN707" s="335"/>
      <c r="FO707" s="335"/>
      <c r="FP707" s="335"/>
      <c r="FQ707" s="335"/>
      <c r="FR707" s="335"/>
      <c r="FS707" s="335"/>
      <c r="FT707" s="335"/>
      <c r="FU707" s="335"/>
      <c r="FV707" s="335"/>
      <c r="FW707" s="335"/>
      <c r="FX707" s="335"/>
      <c r="FY707" s="335"/>
      <c r="FZ707" s="335"/>
      <c r="GA707" s="335"/>
      <c r="GB707" s="335"/>
      <c r="GC707" s="335"/>
      <c r="GD707" s="335"/>
      <c r="GE707" s="335"/>
      <c r="GF707" s="335"/>
      <c r="GG707" s="335"/>
      <c r="GH707" s="335"/>
      <c r="GI707" s="335"/>
      <c r="GJ707" s="335"/>
      <c r="GK707" s="335"/>
      <c r="GL707" s="335"/>
      <c r="GM707" s="335"/>
      <c r="GN707" s="335"/>
      <c r="GO707" s="335"/>
      <c r="GP707" s="335"/>
      <c r="GQ707" s="335"/>
      <c r="GR707" s="335"/>
      <c r="GS707" s="335"/>
      <c r="GT707" s="335"/>
      <c r="GU707" s="335"/>
      <c r="GV707" s="335"/>
      <c r="GW707" s="335"/>
      <c r="GX707" s="335"/>
      <c r="GY707" s="335"/>
      <c r="GZ707" s="335"/>
    </row>
    <row r="708" spans="1:208" ht="15">
      <c r="A708" s="379"/>
      <c r="B708" s="335"/>
      <c r="C708" s="335"/>
      <c r="D708" s="335"/>
      <c r="E708" s="335"/>
      <c r="F708" s="335"/>
      <c r="G708" s="335"/>
      <c r="H708" s="335"/>
      <c r="I708" s="335"/>
      <c r="J708" s="335"/>
      <c r="K708" s="335"/>
      <c r="L708" s="335"/>
      <c r="M708" s="376"/>
      <c r="N708" s="335"/>
      <c r="O708" s="380"/>
      <c r="P708" s="335"/>
      <c r="Q708" s="335"/>
      <c r="R708" s="335"/>
      <c r="S708" s="335"/>
      <c r="T708" s="335"/>
      <c r="U708" s="335"/>
      <c r="V708" s="335"/>
      <c r="W708" s="335"/>
      <c r="X708" s="335"/>
      <c r="Y708" s="335"/>
      <c r="Z708" s="335"/>
      <c r="AA708" s="335"/>
      <c r="AB708" s="335"/>
      <c r="AC708" s="335"/>
      <c r="AD708" s="335"/>
      <c r="AE708" s="335"/>
      <c r="AF708" s="335"/>
      <c r="AG708" s="335"/>
      <c r="AH708" s="335"/>
      <c r="AI708" s="335"/>
      <c r="AJ708" s="335"/>
      <c r="AK708" s="335"/>
      <c r="AL708" s="335"/>
      <c r="AM708" s="335"/>
      <c r="AN708" s="335"/>
      <c r="AO708" s="335"/>
      <c r="AP708" s="335"/>
      <c r="AQ708" s="335"/>
      <c r="AR708" s="335"/>
      <c r="AS708" s="335"/>
      <c r="AT708" s="335"/>
      <c r="AU708" s="335"/>
      <c r="AV708" s="335"/>
      <c r="AW708" s="335"/>
      <c r="AX708" s="335"/>
      <c r="AY708" s="335"/>
      <c r="AZ708" s="335"/>
      <c r="BA708" s="335"/>
      <c r="BB708" s="335"/>
      <c r="BC708" s="335"/>
      <c r="BD708" s="335"/>
      <c r="BE708" s="335"/>
      <c r="BF708" s="335"/>
      <c r="BG708" s="335"/>
      <c r="BH708" s="335"/>
      <c r="BI708" s="335"/>
      <c r="BJ708" s="335"/>
      <c r="BK708" s="335"/>
      <c r="BL708" s="335"/>
      <c r="BM708" s="335"/>
      <c r="BN708" s="335"/>
      <c r="BO708" s="335"/>
      <c r="BP708" s="335"/>
      <c r="BQ708" s="335"/>
      <c r="BR708" s="335"/>
      <c r="BS708" s="335"/>
      <c r="BT708" s="335"/>
      <c r="BU708" s="335"/>
      <c r="BV708" s="335"/>
      <c r="BW708" s="335"/>
      <c r="BX708" s="335"/>
      <c r="BY708" s="335"/>
      <c r="BZ708" s="335"/>
      <c r="CA708" s="335"/>
      <c r="CB708" s="335"/>
      <c r="CC708" s="335"/>
      <c r="CD708" s="335"/>
      <c r="CE708" s="335"/>
      <c r="CF708" s="335"/>
      <c r="CG708" s="335"/>
      <c r="CH708" s="335"/>
      <c r="CI708" s="335"/>
      <c r="CJ708" s="335"/>
      <c r="CK708" s="335"/>
      <c r="CL708" s="335"/>
      <c r="CM708" s="335"/>
      <c r="CN708" s="335"/>
      <c r="CO708" s="335"/>
      <c r="CP708" s="335"/>
      <c r="CQ708" s="335"/>
      <c r="CR708" s="335"/>
      <c r="CS708" s="335"/>
      <c r="CT708" s="335"/>
      <c r="CU708" s="335"/>
      <c r="CV708" s="335"/>
      <c r="CW708" s="335"/>
      <c r="CX708" s="335"/>
      <c r="CY708" s="335"/>
      <c r="CZ708" s="335"/>
      <c r="DA708" s="335"/>
      <c r="DB708" s="335"/>
      <c r="DC708" s="335"/>
      <c r="DD708" s="335"/>
      <c r="DE708" s="335"/>
      <c r="DF708" s="335"/>
      <c r="DG708" s="335"/>
      <c r="DH708" s="335"/>
      <c r="DI708" s="335"/>
      <c r="DJ708" s="335"/>
      <c r="DK708" s="335"/>
      <c r="DL708" s="335"/>
      <c r="DM708" s="335"/>
      <c r="DN708" s="335"/>
      <c r="DO708" s="335"/>
      <c r="DP708" s="335"/>
      <c r="DQ708" s="335"/>
      <c r="DR708" s="335"/>
      <c r="DS708" s="335"/>
      <c r="DT708" s="335"/>
      <c r="DU708" s="335"/>
      <c r="DV708" s="335"/>
      <c r="DW708" s="335"/>
      <c r="DX708" s="335"/>
      <c r="DY708" s="335"/>
      <c r="DZ708" s="335"/>
      <c r="EA708" s="335"/>
      <c r="EB708" s="335"/>
      <c r="EC708" s="335"/>
      <c r="ED708" s="335"/>
      <c r="EE708" s="335"/>
      <c r="EF708" s="335"/>
      <c r="EG708" s="335"/>
      <c r="EH708" s="335"/>
      <c r="EI708" s="335"/>
      <c r="EJ708" s="335"/>
      <c r="EK708" s="335"/>
      <c r="EL708" s="335"/>
      <c r="EM708" s="335"/>
      <c r="EN708" s="335"/>
      <c r="EO708" s="335"/>
      <c r="EP708" s="335"/>
      <c r="EQ708" s="335"/>
      <c r="ER708" s="335"/>
      <c r="ES708" s="335"/>
      <c r="ET708" s="335"/>
      <c r="EU708" s="335"/>
      <c r="EV708" s="335"/>
      <c r="EW708" s="335"/>
      <c r="EX708" s="335"/>
      <c r="EY708" s="335"/>
      <c r="EZ708" s="335"/>
      <c r="FA708" s="335"/>
      <c r="FB708" s="335"/>
      <c r="FC708" s="335"/>
      <c r="FD708" s="335"/>
      <c r="FE708" s="335"/>
      <c r="FF708" s="335"/>
      <c r="FG708" s="335"/>
      <c r="FH708" s="335"/>
      <c r="FI708" s="335"/>
      <c r="FJ708" s="335"/>
      <c r="FK708" s="335"/>
      <c r="FL708" s="335"/>
      <c r="FM708" s="335"/>
      <c r="FN708" s="335"/>
      <c r="FO708" s="335"/>
      <c r="FP708" s="335"/>
      <c r="FQ708" s="335"/>
      <c r="FR708" s="335"/>
      <c r="FS708" s="335"/>
      <c r="FT708" s="335"/>
      <c r="FU708" s="335"/>
      <c r="FV708" s="335"/>
      <c r="FW708" s="335"/>
      <c r="FX708" s="335"/>
      <c r="FY708" s="335"/>
      <c r="FZ708" s="335"/>
      <c r="GA708" s="335"/>
      <c r="GB708" s="335"/>
      <c r="GC708" s="335"/>
      <c r="GD708" s="335"/>
      <c r="GE708" s="335"/>
      <c r="GF708" s="335"/>
      <c r="GG708" s="335"/>
      <c r="GH708" s="335"/>
      <c r="GI708" s="335"/>
      <c r="GJ708" s="335"/>
      <c r="GK708" s="335"/>
      <c r="GL708" s="335"/>
      <c r="GM708" s="335"/>
      <c r="GN708" s="335"/>
      <c r="GO708" s="335"/>
      <c r="GP708" s="335"/>
      <c r="GQ708" s="335"/>
      <c r="GR708" s="335"/>
      <c r="GS708" s="335"/>
      <c r="GT708" s="335"/>
      <c r="GU708" s="335"/>
      <c r="GV708" s="335"/>
      <c r="GW708" s="335"/>
      <c r="GX708" s="335"/>
      <c r="GY708" s="335"/>
      <c r="GZ708" s="335"/>
    </row>
    <row r="709" spans="1:208" ht="15">
      <c r="A709" s="379"/>
      <c r="B709" s="335"/>
      <c r="C709" s="335"/>
      <c r="D709" s="335"/>
      <c r="E709" s="335"/>
      <c r="F709" s="335"/>
      <c r="G709" s="335"/>
      <c r="H709" s="335"/>
      <c r="I709" s="335"/>
      <c r="J709" s="335"/>
      <c r="K709" s="335"/>
      <c r="L709" s="335"/>
      <c r="M709" s="376"/>
      <c r="N709" s="335"/>
      <c r="O709" s="380"/>
      <c r="P709" s="335"/>
      <c r="Q709" s="335"/>
      <c r="R709" s="335"/>
      <c r="S709" s="335"/>
      <c r="T709" s="335"/>
      <c r="U709" s="335"/>
      <c r="V709" s="335"/>
      <c r="W709" s="335"/>
      <c r="X709" s="335"/>
      <c r="Y709" s="335"/>
      <c r="Z709" s="335"/>
      <c r="AA709" s="335"/>
      <c r="AB709" s="335"/>
      <c r="AC709" s="335"/>
      <c r="AD709" s="335"/>
      <c r="AE709" s="335"/>
      <c r="AF709" s="335"/>
      <c r="AG709" s="335"/>
      <c r="AH709" s="335"/>
      <c r="AI709" s="335"/>
      <c r="AJ709" s="335"/>
      <c r="AK709" s="335"/>
      <c r="AL709" s="335"/>
      <c r="AM709" s="335"/>
      <c r="AN709" s="335"/>
      <c r="AO709" s="335"/>
      <c r="AP709" s="335"/>
      <c r="AQ709" s="335"/>
      <c r="AR709" s="335"/>
      <c r="AS709" s="335"/>
      <c r="AT709" s="335"/>
      <c r="AU709" s="335"/>
      <c r="AV709" s="335"/>
      <c r="AW709" s="335"/>
      <c r="AX709" s="335"/>
      <c r="AY709" s="335"/>
      <c r="AZ709" s="335"/>
      <c r="BA709" s="335"/>
      <c r="BB709" s="335"/>
      <c r="BC709" s="335"/>
      <c r="BD709" s="335"/>
      <c r="BE709" s="335"/>
      <c r="BF709" s="335"/>
      <c r="BG709" s="335"/>
      <c r="BH709" s="335"/>
      <c r="BI709" s="335"/>
      <c r="BJ709" s="335"/>
      <c r="BK709" s="335"/>
      <c r="BL709" s="335"/>
      <c r="BM709" s="335"/>
      <c r="BN709" s="335"/>
      <c r="BO709" s="335"/>
      <c r="BP709" s="335"/>
      <c r="BQ709" s="335"/>
      <c r="BR709" s="335"/>
      <c r="BS709" s="335"/>
      <c r="BT709" s="335"/>
      <c r="BU709" s="335"/>
      <c r="BV709" s="335"/>
      <c r="BW709" s="335"/>
      <c r="BX709" s="335"/>
      <c r="BY709" s="335"/>
      <c r="BZ709" s="335"/>
      <c r="CA709" s="335"/>
      <c r="CB709" s="335"/>
      <c r="CC709" s="335"/>
      <c r="CD709" s="335"/>
      <c r="CE709" s="335"/>
      <c r="CF709" s="335"/>
      <c r="CG709" s="335"/>
      <c r="CH709" s="335"/>
      <c r="CI709" s="335"/>
      <c r="CJ709" s="335"/>
      <c r="CK709" s="335"/>
      <c r="CL709" s="335"/>
      <c r="CM709" s="335"/>
      <c r="CN709" s="335"/>
      <c r="CO709" s="335"/>
      <c r="CP709" s="335"/>
      <c r="CQ709" s="335"/>
      <c r="CR709" s="335"/>
      <c r="CS709" s="335"/>
      <c r="CT709" s="335"/>
      <c r="CU709" s="335"/>
      <c r="CV709" s="335"/>
      <c r="CW709" s="335"/>
      <c r="CX709" s="335"/>
      <c r="CY709" s="335"/>
      <c r="CZ709" s="335"/>
      <c r="DA709" s="335"/>
      <c r="DB709" s="335"/>
      <c r="DC709" s="335"/>
      <c r="DD709" s="335"/>
      <c r="DE709" s="335"/>
      <c r="DF709" s="335"/>
      <c r="DG709" s="335"/>
      <c r="DH709" s="335"/>
      <c r="DI709" s="335"/>
      <c r="DJ709" s="335"/>
      <c r="DK709" s="335"/>
      <c r="DL709" s="335"/>
      <c r="DM709" s="335"/>
      <c r="DN709" s="335"/>
      <c r="DO709" s="335"/>
      <c r="DP709" s="335"/>
      <c r="DQ709" s="335"/>
      <c r="DR709" s="335"/>
      <c r="DS709" s="335"/>
      <c r="DT709" s="335"/>
      <c r="DU709" s="335"/>
      <c r="DV709" s="335"/>
      <c r="DW709" s="335"/>
      <c r="DX709" s="335"/>
      <c r="DY709" s="335"/>
      <c r="DZ709" s="335"/>
      <c r="EA709" s="335"/>
      <c r="EB709" s="335"/>
      <c r="EC709" s="335"/>
      <c r="ED709" s="335"/>
      <c r="EE709" s="335"/>
      <c r="EF709" s="335"/>
      <c r="EG709" s="335"/>
      <c r="EH709" s="335"/>
      <c r="EI709" s="335"/>
      <c r="EJ709" s="335"/>
      <c r="EK709" s="335"/>
      <c r="EL709" s="335"/>
      <c r="EM709" s="335"/>
      <c r="EN709" s="335"/>
      <c r="EO709" s="335"/>
      <c r="EP709" s="335"/>
      <c r="EQ709" s="335"/>
      <c r="ER709" s="335"/>
      <c r="ES709" s="335"/>
      <c r="ET709" s="335"/>
      <c r="EU709" s="335"/>
      <c r="EV709" s="335"/>
      <c r="EW709" s="335"/>
      <c r="EX709" s="335"/>
      <c r="EY709" s="335"/>
      <c r="EZ709" s="335"/>
      <c r="FA709" s="335"/>
      <c r="FB709" s="335"/>
      <c r="FC709" s="335"/>
      <c r="FD709" s="335"/>
      <c r="FE709" s="335"/>
      <c r="FF709" s="335"/>
      <c r="FG709" s="335"/>
      <c r="FH709" s="335"/>
      <c r="FI709" s="335"/>
      <c r="FJ709" s="335"/>
      <c r="FK709" s="335"/>
      <c r="FL709" s="335"/>
      <c r="FM709" s="335"/>
      <c r="FN709" s="335"/>
      <c r="FO709" s="335"/>
      <c r="FP709" s="335"/>
      <c r="FQ709" s="335"/>
      <c r="FR709" s="335"/>
      <c r="FS709" s="335"/>
      <c r="FT709" s="335"/>
      <c r="FU709" s="335"/>
      <c r="FV709" s="335"/>
      <c r="FW709" s="335"/>
      <c r="FX709" s="335"/>
      <c r="FY709" s="335"/>
      <c r="FZ709" s="335"/>
      <c r="GA709" s="335"/>
      <c r="GB709" s="335"/>
      <c r="GC709" s="335"/>
      <c r="GD709" s="335"/>
      <c r="GE709" s="335"/>
      <c r="GF709" s="335"/>
      <c r="GG709" s="335"/>
      <c r="GH709" s="335"/>
      <c r="GI709" s="335"/>
      <c r="GJ709" s="335"/>
      <c r="GK709" s="335"/>
      <c r="GL709" s="335"/>
      <c r="GM709" s="335"/>
      <c r="GN709" s="335"/>
      <c r="GO709" s="335"/>
      <c r="GP709" s="335"/>
      <c r="GQ709" s="335"/>
      <c r="GR709" s="335"/>
      <c r="GS709" s="335"/>
      <c r="GT709" s="335"/>
      <c r="GU709" s="335"/>
      <c r="GV709" s="335"/>
      <c r="GW709" s="335"/>
      <c r="GX709" s="335"/>
      <c r="GY709" s="335"/>
      <c r="GZ709" s="335"/>
    </row>
    <row r="710" spans="1:208" ht="15">
      <c r="A710" s="379"/>
      <c r="B710" s="335"/>
      <c r="C710" s="335"/>
      <c r="D710" s="335"/>
      <c r="E710" s="335"/>
      <c r="F710" s="335"/>
      <c r="G710" s="335"/>
      <c r="H710" s="335"/>
      <c r="I710" s="335"/>
      <c r="J710" s="335"/>
      <c r="K710" s="335"/>
      <c r="L710" s="335"/>
      <c r="M710" s="376"/>
      <c r="N710" s="335"/>
      <c r="O710" s="380"/>
      <c r="P710" s="335"/>
      <c r="Q710" s="335"/>
      <c r="R710" s="335"/>
      <c r="S710" s="335"/>
      <c r="T710" s="335"/>
      <c r="U710" s="335"/>
      <c r="V710" s="335"/>
      <c r="W710" s="335"/>
      <c r="X710" s="335"/>
      <c r="Y710" s="335"/>
      <c r="Z710" s="335"/>
      <c r="AA710" s="335"/>
      <c r="AB710" s="335"/>
      <c r="AC710" s="335"/>
      <c r="AD710" s="335"/>
      <c r="AE710" s="335"/>
      <c r="AF710" s="335"/>
      <c r="AG710" s="335"/>
      <c r="AH710" s="335"/>
      <c r="AI710" s="335"/>
      <c r="AJ710" s="335"/>
      <c r="AK710" s="335"/>
      <c r="AL710" s="335"/>
      <c r="AM710" s="335"/>
      <c r="AN710" s="335"/>
      <c r="AO710" s="335"/>
      <c r="AP710" s="335"/>
      <c r="AQ710" s="335"/>
      <c r="AR710" s="335"/>
      <c r="AS710" s="335"/>
      <c r="AT710" s="335"/>
      <c r="AU710" s="335"/>
      <c r="AV710" s="335"/>
      <c r="AW710" s="335"/>
      <c r="AX710" s="335"/>
      <c r="AY710" s="335"/>
      <c r="AZ710" s="335"/>
      <c r="BA710" s="335"/>
      <c r="BB710" s="335"/>
      <c r="BC710" s="335"/>
      <c r="BD710" s="335"/>
      <c r="BE710" s="335"/>
      <c r="BF710" s="335"/>
      <c r="BG710" s="335"/>
      <c r="BH710" s="335"/>
      <c r="BI710" s="335"/>
      <c r="BJ710" s="335"/>
      <c r="BK710" s="335"/>
      <c r="BL710" s="335"/>
      <c r="BM710" s="335"/>
      <c r="BN710" s="335"/>
      <c r="BO710" s="335"/>
      <c r="BP710" s="335"/>
      <c r="BQ710" s="335"/>
      <c r="BR710" s="335"/>
      <c r="BS710" s="335"/>
      <c r="BT710" s="335"/>
      <c r="BU710" s="335"/>
      <c r="BV710" s="335"/>
      <c r="BW710" s="335"/>
      <c r="BX710" s="335"/>
      <c r="BY710" s="335"/>
      <c r="BZ710" s="335"/>
      <c r="CA710" s="335"/>
      <c r="CB710" s="335"/>
      <c r="CC710" s="335"/>
      <c r="CD710" s="335"/>
      <c r="CE710" s="335"/>
      <c r="CF710" s="335"/>
      <c r="CG710" s="335"/>
      <c r="CH710" s="335"/>
      <c r="CI710" s="335"/>
      <c r="CJ710" s="335"/>
      <c r="CK710" s="335"/>
      <c r="CL710" s="335"/>
      <c r="CM710" s="335"/>
      <c r="CN710" s="335"/>
      <c r="CO710" s="335"/>
      <c r="CP710" s="335"/>
      <c r="CQ710" s="335"/>
      <c r="CR710" s="335"/>
      <c r="CS710" s="335"/>
      <c r="CT710" s="335"/>
      <c r="CU710" s="335"/>
      <c r="CV710" s="335"/>
      <c r="CW710" s="335"/>
      <c r="CX710" s="335"/>
      <c r="CY710" s="335"/>
      <c r="CZ710" s="335"/>
      <c r="DA710" s="335"/>
      <c r="DB710" s="335"/>
      <c r="DC710" s="335"/>
      <c r="DD710" s="335"/>
      <c r="DE710" s="335"/>
      <c r="DF710" s="335"/>
      <c r="DG710" s="335"/>
      <c r="DH710" s="335"/>
      <c r="DI710" s="335"/>
      <c r="DJ710" s="335"/>
      <c r="DK710" s="335"/>
      <c r="DL710" s="335"/>
      <c r="DM710" s="335"/>
      <c r="DN710" s="335"/>
      <c r="DO710" s="335"/>
      <c r="DP710" s="335"/>
      <c r="DQ710" s="335"/>
      <c r="DR710" s="335"/>
      <c r="DS710" s="335"/>
      <c r="DT710" s="335"/>
      <c r="DU710" s="335"/>
      <c r="DV710" s="335"/>
      <c r="DW710" s="335"/>
      <c r="DX710" s="335"/>
      <c r="DY710" s="335"/>
      <c r="DZ710" s="335"/>
      <c r="EA710" s="335"/>
      <c r="EB710" s="335"/>
      <c r="EC710" s="335"/>
      <c r="ED710" s="335"/>
      <c r="EE710" s="335"/>
      <c r="EF710" s="335"/>
      <c r="EG710" s="335"/>
      <c r="EH710" s="335"/>
      <c r="EI710" s="335"/>
      <c r="EJ710" s="335"/>
      <c r="EK710" s="335"/>
      <c r="EL710" s="335"/>
      <c r="EM710" s="335"/>
      <c r="EN710" s="335"/>
      <c r="EO710" s="335"/>
      <c r="EP710" s="335"/>
      <c r="EQ710" s="335"/>
      <c r="ER710" s="335"/>
      <c r="ES710" s="335"/>
      <c r="ET710" s="335"/>
      <c r="EU710" s="335"/>
      <c r="EV710" s="335"/>
      <c r="EW710" s="335"/>
      <c r="EX710" s="335"/>
      <c r="EY710" s="335"/>
      <c r="EZ710" s="335"/>
      <c r="FA710" s="335"/>
      <c r="FB710" s="335"/>
      <c r="FC710" s="335"/>
      <c r="FD710" s="335"/>
      <c r="FE710" s="335"/>
      <c r="FF710" s="335"/>
      <c r="FG710" s="335"/>
      <c r="FH710" s="335"/>
      <c r="FI710" s="335"/>
      <c r="FJ710" s="335"/>
      <c r="FK710" s="335"/>
      <c r="FL710" s="335"/>
      <c r="FM710" s="335"/>
      <c r="FN710" s="335"/>
      <c r="FO710" s="335"/>
      <c r="FP710" s="335"/>
      <c r="FQ710" s="335"/>
      <c r="FR710" s="335"/>
      <c r="FS710" s="335"/>
      <c r="FT710" s="335"/>
      <c r="FU710" s="335"/>
      <c r="FV710" s="335"/>
      <c r="FW710" s="335"/>
      <c r="FX710" s="335"/>
      <c r="FY710" s="335"/>
      <c r="FZ710" s="335"/>
      <c r="GA710" s="335"/>
      <c r="GB710" s="335"/>
      <c r="GC710" s="335"/>
      <c r="GD710" s="335"/>
      <c r="GE710" s="335"/>
      <c r="GF710" s="335"/>
      <c r="GG710" s="335"/>
      <c r="GH710" s="335"/>
      <c r="GI710" s="335"/>
      <c r="GJ710" s="335"/>
      <c r="GK710" s="335"/>
      <c r="GL710" s="335"/>
      <c r="GM710" s="335"/>
      <c r="GN710" s="335"/>
      <c r="GO710" s="335"/>
      <c r="GP710" s="335"/>
      <c r="GQ710" s="335"/>
      <c r="GR710" s="335"/>
      <c r="GS710" s="335"/>
      <c r="GT710" s="335"/>
      <c r="GU710" s="335"/>
      <c r="GV710" s="335"/>
      <c r="GW710" s="335"/>
      <c r="GX710" s="335"/>
      <c r="GY710" s="335"/>
      <c r="GZ710" s="335"/>
    </row>
    <row r="711" spans="1:208" ht="15">
      <c r="A711" s="379"/>
      <c r="B711" s="335"/>
      <c r="C711" s="335"/>
      <c r="D711" s="335"/>
      <c r="E711" s="335"/>
      <c r="F711" s="335"/>
      <c r="G711" s="335"/>
      <c r="H711" s="335"/>
      <c r="I711" s="335"/>
      <c r="J711" s="335"/>
      <c r="K711" s="335"/>
      <c r="L711" s="335"/>
      <c r="M711" s="376"/>
      <c r="N711" s="335"/>
      <c r="O711" s="380"/>
      <c r="P711" s="335"/>
      <c r="Q711" s="335"/>
      <c r="R711" s="335"/>
      <c r="S711" s="335"/>
      <c r="T711" s="335"/>
      <c r="U711" s="335"/>
      <c r="V711" s="335"/>
      <c r="W711" s="335"/>
      <c r="X711" s="335"/>
      <c r="Y711" s="335"/>
      <c r="Z711" s="335"/>
      <c r="AA711" s="335"/>
      <c r="AB711" s="335"/>
      <c r="AC711" s="335"/>
      <c r="AD711" s="335"/>
      <c r="AE711" s="335"/>
      <c r="AF711" s="335"/>
      <c r="AG711" s="335"/>
      <c r="AH711" s="335"/>
      <c r="AI711" s="335"/>
      <c r="AJ711" s="335"/>
      <c r="AK711" s="335"/>
      <c r="AL711" s="335"/>
      <c r="AM711" s="335"/>
      <c r="AN711" s="335"/>
      <c r="AO711" s="335"/>
      <c r="AP711" s="335"/>
      <c r="AQ711" s="335"/>
      <c r="AR711" s="335"/>
      <c r="AS711" s="335"/>
      <c r="AT711" s="335"/>
      <c r="AU711" s="335"/>
      <c r="AV711" s="335"/>
      <c r="AW711" s="335"/>
      <c r="AX711" s="335"/>
      <c r="AY711" s="335"/>
      <c r="AZ711" s="335"/>
      <c r="BA711" s="335"/>
      <c r="BB711" s="335"/>
      <c r="BC711" s="335"/>
      <c r="BD711" s="335"/>
      <c r="BE711" s="335"/>
      <c r="BF711" s="335"/>
      <c r="BG711" s="335"/>
      <c r="BH711" s="335"/>
      <c r="BI711" s="335"/>
      <c r="BJ711" s="335"/>
      <c r="BK711" s="335"/>
      <c r="BL711" s="335"/>
      <c r="BM711" s="335"/>
      <c r="BN711" s="335"/>
      <c r="BO711" s="335"/>
      <c r="BP711" s="335"/>
      <c r="BQ711" s="335"/>
      <c r="BR711" s="335"/>
      <c r="BS711" s="335"/>
      <c r="BT711" s="335"/>
      <c r="BU711" s="335"/>
      <c r="BV711" s="335"/>
      <c r="BW711" s="335"/>
      <c r="BX711" s="335"/>
      <c r="BY711" s="335"/>
      <c r="BZ711" s="335"/>
      <c r="CA711" s="335"/>
      <c r="CB711" s="335"/>
      <c r="CC711" s="335"/>
      <c r="CD711" s="335"/>
      <c r="CE711" s="335"/>
      <c r="CF711" s="335"/>
      <c r="CG711" s="335"/>
      <c r="CH711" s="335"/>
      <c r="CI711" s="335"/>
      <c r="CJ711" s="335"/>
      <c r="CK711" s="335"/>
      <c r="CL711" s="335"/>
      <c r="CM711" s="335"/>
      <c r="CN711" s="335"/>
      <c r="CO711" s="335"/>
      <c r="CP711" s="335"/>
      <c r="CQ711" s="335"/>
      <c r="CR711" s="335"/>
      <c r="CS711" s="335"/>
      <c r="CT711" s="335"/>
      <c r="CU711" s="335"/>
      <c r="CV711" s="335"/>
      <c r="CW711" s="335"/>
      <c r="CX711" s="335"/>
      <c r="CY711" s="335"/>
      <c r="CZ711" s="335"/>
      <c r="DA711" s="335"/>
      <c r="DB711" s="335"/>
      <c r="DC711" s="335"/>
      <c r="DD711" s="335"/>
      <c r="DE711" s="335"/>
      <c r="DF711" s="335"/>
      <c r="DG711" s="335"/>
      <c r="DH711" s="335"/>
      <c r="DI711" s="335"/>
      <c r="DJ711" s="335"/>
      <c r="DK711" s="335"/>
      <c r="DL711" s="335"/>
      <c r="DM711" s="335"/>
      <c r="DN711" s="335"/>
      <c r="DO711" s="335"/>
      <c r="DP711" s="335"/>
      <c r="DQ711" s="335"/>
      <c r="DR711" s="335"/>
      <c r="DS711" s="335"/>
      <c r="DT711" s="335"/>
      <c r="DU711" s="335"/>
      <c r="DV711" s="335"/>
      <c r="DW711" s="335"/>
      <c r="DX711" s="335"/>
      <c r="DY711" s="335"/>
      <c r="DZ711" s="335"/>
      <c r="EA711" s="335"/>
      <c r="EB711" s="335"/>
      <c r="EC711" s="335"/>
      <c r="ED711" s="335"/>
      <c r="EE711" s="335"/>
      <c r="EF711" s="335"/>
      <c r="EG711" s="335"/>
      <c r="EH711" s="335"/>
      <c r="EI711" s="335"/>
      <c r="EJ711" s="335"/>
      <c r="EK711" s="335"/>
      <c r="EL711" s="335"/>
      <c r="EM711" s="335"/>
      <c r="EN711" s="335"/>
      <c r="EO711" s="335"/>
      <c r="EP711" s="335"/>
      <c r="EQ711" s="335"/>
      <c r="ER711" s="335"/>
      <c r="ES711" s="335"/>
      <c r="ET711" s="335"/>
      <c r="EU711" s="335"/>
      <c r="EV711" s="335"/>
      <c r="EW711" s="335"/>
      <c r="EX711" s="335"/>
      <c r="EY711" s="335"/>
      <c r="EZ711" s="335"/>
      <c r="FA711" s="335"/>
      <c r="FB711" s="335"/>
      <c r="FC711" s="335"/>
      <c r="FD711" s="335"/>
      <c r="FE711" s="335"/>
      <c r="FF711" s="335"/>
      <c r="FG711" s="335"/>
      <c r="FH711" s="335"/>
      <c r="FI711" s="335"/>
      <c r="FJ711" s="335"/>
      <c r="FK711" s="335"/>
      <c r="FL711" s="335"/>
      <c r="FM711" s="335"/>
      <c r="FN711" s="335"/>
      <c r="FO711" s="335"/>
      <c r="FP711" s="335"/>
      <c r="FQ711" s="335"/>
      <c r="FR711" s="335"/>
      <c r="FS711" s="335"/>
      <c r="FT711" s="335"/>
      <c r="FU711" s="335"/>
      <c r="FV711" s="335"/>
      <c r="FW711" s="335"/>
      <c r="FX711" s="335"/>
      <c r="FY711" s="335"/>
      <c r="FZ711" s="335"/>
      <c r="GA711" s="335"/>
      <c r="GB711" s="335"/>
      <c r="GC711" s="335"/>
      <c r="GD711" s="335"/>
      <c r="GE711" s="335"/>
      <c r="GF711" s="335"/>
      <c r="GG711" s="335"/>
      <c r="GH711" s="335"/>
      <c r="GI711" s="335"/>
      <c r="GJ711" s="335"/>
      <c r="GK711" s="335"/>
      <c r="GL711" s="335"/>
      <c r="GM711" s="335"/>
      <c r="GN711" s="335"/>
      <c r="GO711" s="335"/>
      <c r="GP711" s="335"/>
      <c r="GQ711" s="335"/>
      <c r="GR711" s="335"/>
      <c r="GS711" s="335"/>
      <c r="GT711" s="335"/>
      <c r="GU711" s="335"/>
      <c r="GV711" s="335"/>
      <c r="GW711" s="335"/>
      <c r="GX711" s="335"/>
      <c r="GY711" s="335"/>
      <c r="GZ711" s="335"/>
    </row>
    <row r="712" spans="1:208" ht="15">
      <c r="A712" s="379"/>
      <c r="B712" s="335"/>
      <c r="C712" s="335"/>
      <c r="D712" s="335"/>
      <c r="E712" s="335"/>
      <c r="F712" s="335"/>
      <c r="G712" s="335"/>
      <c r="H712" s="335"/>
      <c r="I712" s="335"/>
      <c r="J712" s="335"/>
      <c r="K712" s="335"/>
      <c r="L712" s="335"/>
      <c r="M712" s="376"/>
      <c r="N712" s="335"/>
      <c r="O712" s="380"/>
      <c r="P712" s="335"/>
      <c r="Q712" s="335"/>
      <c r="R712" s="335"/>
      <c r="S712" s="335"/>
      <c r="T712" s="335"/>
      <c r="U712" s="335"/>
      <c r="V712" s="335"/>
      <c r="W712" s="335"/>
      <c r="X712" s="335"/>
      <c r="Y712" s="335"/>
      <c r="Z712" s="335"/>
      <c r="AA712" s="335"/>
      <c r="AB712" s="335"/>
      <c r="AC712" s="335"/>
      <c r="AD712" s="335"/>
      <c r="AE712" s="335"/>
      <c r="AF712" s="335"/>
      <c r="AG712" s="335"/>
      <c r="AH712" s="335"/>
      <c r="AI712" s="335"/>
      <c r="AJ712" s="335"/>
      <c r="AK712" s="335"/>
      <c r="AL712" s="335"/>
      <c r="AM712" s="335"/>
      <c r="AN712" s="335"/>
      <c r="AO712" s="335"/>
      <c r="AP712" s="335"/>
      <c r="AQ712" s="335"/>
      <c r="AR712" s="335"/>
      <c r="AS712" s="335"/>
      <c r="AT712" s="335"/>
      <c r="AU712" s="335"/>
      <c r="AV712" s="335"/>
      <c r="AW712" s="335"/>
      <c r="AX712" s="335"/>
      <c r="AY712" s="335"/>
      <c r="AZ712" s="335"/>
      <c r="BA712" s="335"/>
      <c r="BB712" s="335"/>
      <c r="BC712" s="335"/>
      <c r="BD712" s="335"/>
      <c r="BE712" s="335"/>
      <c r="BF712" s="335"/>
      <c r="BG712" s="335"/>
      <c r="BH712" s="335"/>
      <c r="BI712" s="335"/>
      <c r="BJ712" s="335"/>
      <c r="BK712" s="335"/>
      <c r="BL712" s="335"/>
      <c r="BM712" s="335"/>
      <c r="BN712" s="335"/>
      <c r="BO712" s="335"/>
      <c r="BP712" s="335"/>
      <c r="BQ712" s="335"/>
      <c r="BR712" s="335"/>
      <c r="BS712" s="335"/>
      <c r="BT712" s="335"/>
      <c r="BU712" s="335"/>
      <c r="BV712" s="335"/>
      <c r="BW712" s="335"/>
      <c r="BX712" s="335"/>
      <c r="BY712" s="335"/>
      <c r="BZ712" s="335"/>
      <c r="CA712" s="335"/>
      <c r="CB712" s="335"/>
      <c r="CC712" s="335"/>
      <c r="CD712" s="335"/>
      <c r="CE712" s="335"/>
      <c r="CF712" s="335"/>
      <c r="CG712" s="335"/>
      <c r="CH712" s="335"/>
      <c r="CI712" s="335"/>
      <c r="CJ712" s="335"/>
      <c r="CK712" s="335"/>
      <c r="CL712" s="335"/>
      <c r="CM712" s="335"/>
      <c r="CN712" s="335"/>
      <c r="CO712" s="335"/>
      <c r="CP712" s="335"/>
      <c r="CQ712" s="335"/>
      <c r="CR712" s="335"/>
      <c r="CS712" s="335"/>
      <c r="CT712" s="335"/>
      <c r="CU712" s="335"/>
      <c r="CV712" s="335"/>
      <c r="CW712" s="335"/>
      <c r="CX712" s="335"/>
      <c r="CY712" s="335"/>
      <c r="CZ712" s="335"/>
      <c r="DA712" s="335"/>
      <c r="DB712" s="335"/>
      <c r="DC712" s="335"/>
      <c r="DD712" s="335"/>
      <c r="DE712" s="335"/>
      <c r="DF712" s="335"/>
      <c r="DG712" s="335"/>
      <c r="DH712" s="335"/>
      <c r="DI712" s="335"/>
      <c r="DJ712" s="335"/>
      <c r="DK712" s="335"/>
      <c r="DL712" s="335"/>
      <c r="DM712" s="335"/>
      <c r="DN712" s="335"/>
      <c r="DO712" s="335"/>
      <c r="DP712" s="335"/>
      <c r="DQ712" s="335"/>
      <c r="DR712" s="335"/>
      <c r="DS712" s="335"/>
      <c r="DT712" s="335"/>
      <c r="DU712" s="335"/>
      <c r="DV712" s="335"/>
      <c r="DW712" s="335"/>
      <c r="DX712" s="335"/>
      <c r="DY712" s="335"/>
      <c r="DZ712" s="335"/>
      <c r="EA712" s="335"/>
      <c r="EB712" s="335"/>
      <c r="EC712" s="335"/>
      <c r="ED712" s="335"/>
      <c r="EE712" s="335"/>
      <c r="EF712" s="335"/>
      <c r="EG712" s="335"/>
      <c r="EH712" s="335"/>
      <c r="EI712" s="335"/>
      <c r="EJ712" s="335"/>
      <c r="EK712" s="335"/>
      <c r="EL712" s="335"/>
      <c r="EM712" s="335"/>
      <c r="EN712" s="335"/>
      <c r="EO712" s="335"/>
      <c r="EP712" s="335"/>
      <c r="EQ712" s="335"/>
      <c r="ER712" s="335"/>
      <c r="ES712" s="335"/>
      <c r="ET712" s="335"/>
      <c r="EU712" s="335"/>
      <c r="EV712" s="335"/>
      <c r="EW712" s="335"/>
      <c r="EX712" s="335"/>
      <c r="EY712" s="335"/>
      <c r="EZ712" s="335"/>
      <c r="FA712" s="335"/>
      <c r="FB712" s="335"/>
      <c r="FC712" s="335"/>
      <c r="FD712" s="335"/>
      <c r="FE712" s="335"/>
      <c r="FF712" s="335"/>
      <c r="FG712" s="335"/>
      <c r="FH712" s="335"/>
      <c r="FI712" s="335"/>
      <c r="FJ712" s="335"/>
      <c r="FK712" s="335"/>
      <c r="FL712" s="335"/>
      <c r="FM712" s="335"/>
      <c r="FN712" s="335"/>
      <c r="FO712" s="335"/>
      <c r="FP712" s="335"/>
      <c r="FQ712" s="335"/>
      <c r="FR712" s="335"/>
      <c r="FS712" s="335"/>
      <c r="FT712" s="335"/>
      <c r="FU712" s="335"/>
      <c r="FV712" s="335"/>
      <c r="FW712" s="335"/>
      <c r="FX712" s="335"/>
      <c r="FY712" s="335"/>
      <c r="FZ712" s="335"/>
      <c r="GA712" s="335"/>
      <c r="GB712" s="335"/>
      <c r="GC712" s="335"/>
      <c r="GD712" s="335"/>
      <c r="GE712" s="335"/>
      <c r="GF712" s="335"/>
      <c r="GG712" s="335"/>
      <c r="GH712" s="335"/>
      <c r="GI712" s="335"/>
      <c r="GJ712" s="335"/>
      <c r="GK712" s="335"/>
      <c r="GL712" s="335"/>
      <c r="GM712" s="335"/>
      <c r="GN712" s="335"/>
      <c r="GO712" s="335"/>
      <c r="GP712" s="335"/>
      <c r="GQ712" s="335"/>
      <c r="GR712" s="335"/>
      <c r="GS712" s="335"/>
      <c r="GT712" s="335"/>
      <c r="GU712" s="335"/>
      <c r="GV712" s="335"/>
      <c r="GW712" s="335"/>
      <c r="GX712" s="335"/>
      <c r="GY712" s="335"/>
      <c r="GZ712" s="335"/>
    </row>
    <row r="713" spans="1:208" ht="15">
      <c r="A713" s="379"/>
      <c r="B713" s="335"/>
      <c r="C713" s="335"/>
      <c r="D713" s="335"/>
      <c r="E713" s="335"/>
      <c r="F713" s="335"/>
      <c r="G713" s="335"/>
      <c r="H713" s="335"/>
      <c r="I713" s="335"/>
      <c r="J713" s="335"/>
      <c r="K713" s="335"/>
      <c r="L713" s="335"/>
      <c r="M713" s="376"/>
      <c r="N713" s="335"/>
      <c r="O713" s="380"/>
      <c r="P713" s="335"/>
      <c r="Q713" s="335"/>
      <c r="R713" s="335"/>
      <c r="S713" s="335"/>
      <c r="T713" s="335"/>
      <c r="U713" s="335"/>
      <c r="V713" s="335"/>
      <c r="W713" s="335"/>
      <c r="X713" s="335"/>
      <c r="Y713" s="335"/>
      <c r="Z713" s="335"/>
      <c r="AA713" s="335"/>
      <c r="AB713" s="335"/>
      <c r="AC713" s="335"/>
      <c r="AD713" s="335"/>
      <c r="AE713" s="335"/>
      <c r="AF713" s="335"/>
      <c r="AG713" s="335"/>
      <c r="AH713" s="335"/>
      <c r="AI713" s="335"/>
      <c r="AJ713" s="335"/>
      <c r="AK713" s="335"/>
      <c r="AL713" s="335"/>
      <c r="AM713" s="335"/>
      <c r="AN713" s="335"/>
      <c r="AO713" s="335"/>
      <c r="AP713" s="335"/>
      <c r="AQ713" s="335"/>
      <c r="AR713" s="335"/>
      <c r="AS713" s="335"/>
      <c r="AT713" s="335"/>
      <c r="AU713" s="335"/>
      <c r="AV713" s="335"/>
      <c r="AW713" s="335"/>
      <c r="AX713" s="335"/>
      <c r="AY713" s="335"/>
      <c r="AZ713" s="335"/>
      <c r="BA713" s="335"/>
      <c r="BB713" s="335"/>
      <c r="BC713" s="335"/>
      <c r="BD713" s="335"/>
      <c r="BE713" s="335"/>
      <c r="BF713" s="335"/>
      <c r="BG713" s="335"/>
      <c r="BH713" s="335"/>
      <c r="BI713" s="335"/>
      <c r="BJ713" s="335"/>
      <c r="BK713" s="335"/>
      <c r="BL713" s="335"/>
      <c r="BM713" s="335"/>
      <c r="BN713" s="335"/>
      <c r="BO713" s="335"/>
      <c r="BP713" s="335"/>
      <c r="BQ713" s="335"/>
      <c r="BR713" s="335"/>
      <c r="BS713" s="335"/>
      <c r="BT713" s="335"/>
      <c r="BU713" s="335"/>
      <c r="BV713" s="335"/>
      <c r="BW713" s="335"/>
      <c r="BX713" s="335"/>
      <c r="BY713" s="335"/>
      <c r="BZ713" s="335"/>
      <c r="CA713" s="335"/>
      <c r="CB713" s="335"/>
      <c r="CC713" s="335"/>
      <c r="CD713" s="335"/>
      <c r="CE713" s="335"/>
      <c r="CF713" s="335"/>
      <c r="CG713" s="335"/>
      <c r="CH713" s="335"/>
      <c r="CI713" s="335"/>
      <c r="CJ713" s="335"/>
      <c r="CK713" s="335"/>
      <c r="CL713" s="335"/>
      <c r="CM713" s="335"/>
      <c r="CN713" s="335"/>
      <c r="CO713" s="335"/>
      <c r="CP713" s="335"/>
      <c r="CQ713" s="335"/>
      <c r="CR713" s="335"/>
      <c r="CS713" s="335"/>
      <c r="CT713" s="335"/>
      <c r="CU713" s="335"/>
      <c r="CV713" s="335"/>
      <c r="CW713" s="335"/>
      <c r="CX713" s="335"/>
      <c r="CY713" s="335"/>
      <c r="CZ713" s="335"/>
      <c r="DA713" s="335"/>
      <c r="DB713" s="335"/>
      <c r="DC713" s="335"/>
      <c r="DD713" s="335"/>
      <c r="DE713" s="335"/>
      <c r="DF713" s="335"/>
      <c r="DG713" s="335"/>
      <c r="DH713" s="335"/>
      <c r="DI713" s="335"/>
      <c r="DJ713" s="335"/>
      <c r="DK713" s="335"/>
      <c r="DL713" s="335"/>
      <c r="DM713" s="335"/>
      <c r="DN713" s="335"/>
      <c r="DO713" s="335"/>
      <c r="DP713" s="335"/>
      <c r="DQ713" s="335"/>
      <c r="DR713" s="335"/>
      <c r="DS713" s="335"/>
      <c r="DT713" s="335"/>
      <c r="DU713" s="335"/>
      <c r="DV713" s="335"/>
      <c r="DW713" s="335"/>
      <c r="DX713" s="335"/>
      <c r="DY713" s="335"/>
      <c r="DZ713" s="335"/>
      <c r="EA713" s="335"/>
      <c r="EB713" s="335"/>
      <c r="EC713" s="335"/>
      <c r="ED713" s="335"/>
      <c r="EE713" s="335"/>
      <c r="EF713" s="335"/>
      <c r="EG713" s="335"/>
      <c r="EH713" s="335"/>
      <c r="EI713" s="335"/>
      <c r="EJ713" s="335"/>
      <c r="EK713" s="335"/>
      <c r="EL713" s="335"/>
      <c r="EM713" s="335"/>
      <c r="EN713" s="335"/>
      <c r="EO713" s="335"/>
      <c r="EP713" s="335"/>
      <c r="EQ713" s="335"/>
      <c r="ER713" s="335"/>
      <c r="ES713" s="335"/>
      <c r="ET713" s="335"/>
      <c r="EU713" s="335"/>
      <c r="EV713" s="335"/>
      <c r="EW713" s="335"/>
      <c r="EX713" s="335"/>
      <c r="EY713" s="335"/>
      <c r="EZ713" s="335"/>
      <c r="FA713" s="335"/>
      <c r="FB713" s="335"/>
      <c r="FC713" s="335"/>
      <c r="FD713" s="335"/>
      <c r="FE713" s="335"/>
      <c r="FF713" s="335"/>
      <c r="FG713" s="335"/>
      <c r="FH713" s="335"/>
      <c r="FI713" s="335"/>
      <c r="FJ713" s="335"/>
      <c r="FK713" s="335"/>
      <c r="FL713" s="335"/>
      <c r="FM713" s="335"/>
      <c r="FN713" s="335"/>
      <c r="FO713" s="335"/>
      <c r="FP713" s="335"/>
      <c r="FQ713" s="335"/>
      <c r="FR713" s="335"/>
      <c r="FS713" s="335"/>
      <c r="FT713" s="335"/>
      <c r="FU713" s="335"/>
      <c r="FV713" s="335"/>
      <c r="FW713" s="335"/>
      <c r="FX713" s="335"/>
      <c r="FY713" s="335"/>
      <c r="FZ713" s="335"/>
      <c r="GA713" s="335"/>
      <c r="GB713" s="335"/>
      <c r="GC713" s="335"/>
      <c r="GD713" s="335"/>
      <c r="GE713" s="335"/>
      <c r="GF713" s="335"/>
      <c r="GG713" s="335"/>
      <c r="GH713" s="335"/>
      <c r="GI713" s="335"/>
      <c r="GJ713" s="335"/>
      <c r="GK713" s="335"/>
      <c r="GL713" s="335"/>
      <c r="GM713" s="335"/>
      <c r="GN713" s="335"/>
      <c r="GO713" s="335"/>
      <c r="GP713" s="335"/>
      <c r="GQ713" s="335"/>
      <c r="GR713" s="335"/>
      <c r="GS713" s="335"/>
      <c r="GT713" s="335"/>
      <c r="GU713" s="335"/>
      <c r="GV713" s="335"/>
      <c r="GW713" s="335"/>
      <c r="GX713" s="335"/>
      <c r="GY713" s="335"/>
      <c r="GZ713" s="335"/>
    </row>
    <row r="714" spans="1:208" ht="15">
      <c r="A714" s="379"/>
      <c r="B714" s="335"/>
      <c r="C714" s="335"/>
      <c r="D714" s="335"/>
      <c r="E714" s="335"/>
      <c r="F714" s="335"/>
      <c r="G714" s="335"/>
      <c r="H714" s="335"/>
      <c r="I714" s="335"/>
      <c r="J714" s="335"/>
      <c r="K714" s="335"/>
      <c r="L714" s="335"/>
      <c r="M714" s="376"/>
      <c r="N714" s="335"/>
      <c r="O714" s="380"/>
      <c r="P714" s="335"/>
      <c r="Q714" s="335"/>
      <c r="R714" s="335"/>
      <c r="S714" s="335"/>
      <c r="T714" s="335"/>
      <c r="U714" s="335"/>
      <c r="V714" s="335"/>
      <c r="W714" s="335"/>
      <c r="X714" s="335"/>
      <c r="Y714" s="335"/>
      <c r="Z714" s="335"/>
      <c r="AA714" s="335"/>
      <c r="AB714" s="335"/>
      <c r="AC714" s="335"/>
      <c r="AD714" s="335"/>
      <c r="AE714" s="335"/>
      <c r="AF714" s="335"/>
      <c r="AG714" s="335"/>
      <c r="AH714" s="335"/>
      <c r="AI714" s="335"/>
      <c r="AJ714" s="335"/>
      <c r="AK714" s="335"/>
      <c r="AL714" s="335"/>
      <c r="AM714" s="335"/>
      <c r="AN714" s="335"/>
      <c r="AO714" s="335"/>
      <c r="AP714" s="335"/>
      <c r="AQ714" s="335"/>
      <c r="AR714" s="335"/>
      <c r="AS714" s="335"/>
      <c r="AT714" s="335"/>
      <c r="AU714" s="335"/>
      <c r="AV714" s="335"/>
      <c r="AW714" s="335"/>
      <c r="AX714" s="335"/>
      <c r="AY714" s="335"/>
      <c r="AZ714" s="335"/>
      <c r="BA714" s="335"/>
      <c r="BB714" s="335"/>
      <c r="BC714" s="335"/>
      <c r="BD714" s="335"/>
      <c r="BE714" s="335"/>
      <c r="BF714" s="335"/>
      <c r="BG714" s="335"/>
      <c r="BH714" s="335"/>
      <c r="BI714" s="335"/>
      <c r="BJ714" s="335"/>
      <c r="BK714" s="335"/>
      <c r="BL714" s="335"/>
      <c r="BM714" s="335"/>
      <c r="BN714" s="335"/>
      <c r="BO714" s="335"/>
      <c r="BP714" s="335"/>
      <c r="BQ714" s="335"/>
      <c r="BR714" s="335"/>
      <c r="BS714" s="335"/>
      <c r="BT714" s="335"/>
      <c r="BU714" s="335"/>
      <c r="BV714" s="335"/>
      <c r="BW714" s="335"/>
      <c r="BX714" s="335"/>
      <c r="BY714" s="335"/>
      <c r="BZ714" s="335"/>
      <c r="CA714" s="335"/>
      <c r="CB714" s="335"/>
      <c r="CC714" s="335"/>
      <c r="CD714" s="335"/>
      <c r="CE714" s="335"/>
      <c r="CF714" s="335"/>
      <c r="CG714" s="335"/>
      <c r="CH714" s="335"/>
      <c r="CI714" s="335"/>
      <c r="CJ714" s="335"/>
      <c r="CK714" s="335"/>
      <c r="CL714" s="335"/>
      <c r="CM714" s="335"/>
      <c r="CN714" s="335"/>
      <c r="CO714" s="335"/>
      <c r="CP714" s="335"/>
      <c r="CQ714" s="335"/>
      <c r="CR714" s="335"/>
      <c r="CS714" s="335"/>
      <c r="CT714" s="335"/>
      <c r="CU714" s="335"/>
      <c r="CV714" s="335"/>
      <c r="CW714" s="335"/>
      <c r="CX714" s="335"/>
      <c r="CY714" s="335"/>
      <c r="CZ714" s="335"/>
      <c r="DA714" s="335"/>
      <c r="DB714" s="335"/>
      <c r="DC714" s="335"/>
      <c r="DD714" s="335"/>
      <c r="DE714" s="335"/>
      <c r="DF714" s="335"/>
      <c r="DG714" s="335"/>
      <c r="DH714" s="335"/>
      <c r="DI714" s="335"/>
      <c r="DJ714" s="335"/>
      <c r="DK714" s="335"/>
      <c r="DL714" s="335"/>
      <c r="DM714" s="335"/>
      <c r="DN714" s="335"/>
      <c r="DO714" s="335"/>
      <c r="DP714" s="335"/>
      <c r="DQ714" s="335"/>
      <c r="DR714" s="335"/>
      <c r="DS714" s="335"/>
      <c r="DT714" s="335"/>
      <c r="DU714" s="335"/>
      <c r="DV714" s="335"/>
      <c r="DW714" s="335"/>
      <c r="DX714" s="335"/>
      <c r="DY714" s="335"/>
      <c r="DZ714" s="335"/>
      <c r="EA714" s="335"/>
      <c r="EB714" s="335"/>
      <c r="EC714" s="335"/>
      <c r="ED714" s="335"/>
      <c r="EE714" s="335"/>
      <c r="EF714" s="335"/>
      <c r="EG714" s="335"/>
      <c r="EH714" s="335"/>
      <c r="EI714" s="335"/>
      <c r="EJ714" s="335"/>
      <c r="EK714" s="335"/>
      <c r="EL714" s="335"/>
      <c r="EM714" s="335"/>
      <c r="EN714" s="335"/>
      <c r="EO714" s="335"/>
      <c r="EP714" s="335"/>
      <c r="EQ714" s="335"/>
      <c r="ER714" s="335"/>
      <c r="ES714" s="335"/>
      <c r="ET714" s="335"/>
      <c r="EU714" s="335"/>
      <c r="EV714" s="335"/>
      <c r="EW714" s="335"/>
      <c r="EX714" s="335"/>
      <c r="EY714" s="335"/>
      <c r="EZ714" s="335"/>
      <c r="FA714" s="335"/>
      <c r="FB714" s="335"/>
      <c r="FC714" s="335"/>
      <c r="FD714" s="335"/>
      <c r="FE714" s="335"/>
      <c r="FF714" s="335"/>
      <c r="FG714" s="335"/>
      <c r="FH714" s="335"/>
      <c r="FI714" s="335"/>
      <c r="FJ714" s="335"/>
      <c r="FK714" s="335"/>
      <c r="FL714" s="335"/>
      <c r="FM714" s="335"/>
      <c r="FN714" s="335"/>
      <c r="FO714" s="335"/>
      <c r="FP714" s="335"/>
      <c r="FQ714" s="335"/>
      <c r="FR714" s="335"/>
      <c r="FS714" s="335"/>
      <c r="FT714" s="335"/>
      <c r="FU714" s="335"/>
      <c r="FV714" s="335"/>
      <c r="FW714" s="335"/>
      <c r="FX714" s="335"/>
      <c r="FY714" s="335"/>
      <c r="FZ714" s="335"/>
      <c r="GA714" s="335"/>
      <c r="GB714" s="335"/>
      <c r="GC714" s="335"/>
      <c r="GD714" s="335"/>
      <c r="GE714" s="335"/>
      <c r="GF714" s="335"/>
      <c r="GG714" s="335"/>
      <c r="GH714" s="335"/>
      <c r="GI714" s="335"/>
      <c r="GJ714" s="335"/>
      <c r="GK714" s="335"/>
      <c r="GL714" s="335"/>
      <c r="GM714" s="335"/>
      <c r="GN714" s="335"/>
      <c r="GO714" s="335"/>
      <c r="GP714" s="335"/>
      <c r="GQ714" s="335"/>
      <c r="GR714" s="335"/>
      <c r="GS714" s="335"/>
      <c r="GT714" s="335"/>
      <c r="GU714" s="335"/>
      <c r="GV714" s="335"/>
      <c r="GW714" s="335"/>
      <c r="GX714" s="335"/>
      <c r="GY714" s="335"/>
      <c r="GZ714" s="335"/>
    </row>
    <row r="715" spans="1:208" ht="15">
      <c r="A715" s="379"/>
      <c r="B715" s="335"/>
      <c r="C715" s="335"/>
      <c r="D715" s="335"/>
      <c r="E715" s="335"/>
      <c r="F715" s="335"/>
      <c r="G715" s="335"/>
      <c r="H715" s="335"/>
      <c r="I715" s="335"/>
      <c r="J715" s="335"/>
      <c r="K715" s="335"/>
      <c r="L715" s="335"/>
      <c r="M715" s="376"/>
      <c r="N715" s="335"/>
      <c r="O715" s="380"/>
      <c r="P715" s="335"/>
      <c r="Q715" s="335"/>
      <c r="R715" s="335"/>
      <c r="S715" s="335"/>
      <c r="T715" s="335"/>
      <c r="U715" s="335"/>
      <c r="V715" s="335"/>
      <c r="W715" s="335"/>
      <c r="X715" s="335"/>
      <c r="Y715" s="335"/>
      <c r="Z715" s="335"/>
      <c r="AA715" s="335"/>
      <c r="AB715" s="335"/>
      <c r="AC715" s="335"/>
      <c r="AD715" s="335"/>
      <c r="AE715" s="335"/>
      <c r="AF715" s="335"/>
      <c r="AG715" s="335"/>
      <c r="AH715" s="335"/>
      <c r="AI715" s="335"/>
      <c r="AJ715" s="335"/>
      <c r="AK715" s="335"/>
      <c r="AL715" s="335"/>
      <c r="AM715" s="335"/>
      <c r="AN715" s="335"/>
      <c r="AO715" s="335"/>
      <c r="AP715" s="335"/>
      <c r="AQ715" s="335"/>
      <c r="AR715" s="335"/>
      <c r="AS715" s="335"/>
      <c r="AT715" s="335"/>
      <c r="AU715" s="335"/>
      <c r="AV715" s="335"/>
      <c r="AW715" s="335"/>
      <c r="AX715" s="335"/>
      <c r="AY715" s="335"/>
      <c r="AZ715" s="335"/>
      <c r="BA715" s="335"/>
      <c r="BB715" s="335"/>
      <c r="BC715" s="335"/>
      <c r="BD715" s="335"/>
      <c r="BE715" s="335"/>
      <c r="BF715" s="335"/>
      <c r="BG715" s="335"/>
      <c r="BH715" s="335"/>
      <c r="BI715" s="335"/>
      <c r="BJ715" s="335"/>
      <c r="BK715" s="335"/>
      <c r="BL715" s="335"/>
      <c r="BM715" s="335"/>
      <c r="BN715" s="335"/>
      <c r="BO715" s="335"/>
      <c r="BP715" s="335"/>
      <c r="BQ715" s="335"/>
      <c r="BR715" s="335"/>
      <c r="BS715" s="335"/>
      <c r="BT715" s="335"/>
      <c r="BU715" s="335"/>
      <c r="BV715" s="335"/>
      <c r="BW715" s="335"/>
      <c r="BX715" s="335"/>
      <c r="BY715" s="335"/>
      <c r="BZ715" s="335"/>
      <c r="CA715" s="335"/>
      <c r="CB715" s="335"/>
      <c r="CC715" s="335"/>
      <c r="CD715" s="335"/>
      <c r="CE715" s="335"/>
      <c r="CF715" s="335"/>
      <c r="CG715" s="335"/>
      <c r="CH715" s="335"/>
      <c r="CI715" s="335"/>
      <c r="CJ715" s="335"/>
      <c r="CK715" s="335"/>
      <c r="CL715" s="335"/>
      <c r="CM715" s="335"/>
      <c r="CN715" s="335"/>
      <c r="CO715" s="335"/>
      <c r="CP715" s="335"/>
      <c r="CQ715" s="335"/>
      <c r="CR715" s="335"/>
      <c r="CS715" s="335"/>
      <c r="CT715" s="335"/>
      <c r="CU715" s="335"/>
      <c r="CV715" s="335"/>
      <c r="CW715" s="335"/>
      <c r="CX715" s="335"/>
      <c r="CY715" s="335"/>
      <c r="CZ715" s="335"/>
      <c r="DA715" s="335"/>
      <c r="DB715" s="335"/>
      <c r="DC715" s="335"/>
      <c r="DD715" s="335"/>
      <c r="DE715" s="335"/>
      <c r="DF715" s="335"/>
      <c r="DG715" s="335"/>
      <c r="DH715" s="335"/>
      <c r="DI715" s="335"/>
      <c r="DJ715" s="335"/>
      <c r="DK715" s="335"/>
      <c r="DL715" s="335"/>
      <c r="DM715" s="335"/>
      <c r="DN715" s="335"/>
      <c r="DO715" s="335"/>
      <c r="DP715" s="335"/>
      <c r="DQ715" s="335"/>
      <c r="DR715" s="335"/>
      <c r="DS715" s="335"/>
      <c r="DT715" s="335"/>
      <c r="DU715" s="335"/>
      <c r="DV715" s="335"/>
      <c r="DW715" s="335"/>
      <c r="DX715" s="335"/>
      <c r="DY715" s="335"/>
      <c r="DZ715" s="335"/>
      <c r="EA715" s="335"/>
      <c r="EB715" s="335"/>
      <c r="EC715" s="335"/>
      <c r="ED715" s="335"/>
      <c r="EE715" s="335"/>
      <c r="EF715" s="335"/>
      <c r="EG715" s="335"/>
      <c r="EH715" s="335"/>
      <c r="EI715" s="335"/>
      <c r="EJ715" s="335"/>
      <c r="EK715" s="335"/>
      <c r="EL715" s="335"/>
      <c r="EM715" s="335"/>
      <c r="EN715" s="335"/>
      <c r="EO715" s="335"/>
      <c r="EP715" s="335"/>
      <c r="EQ715" s="335"/>
      <c r="ER715" s="335"/>
      <c r="ES715" s="335"/>
      <c r="ET715" s="335"/>
      <c r="EU715" s="335"/>
      <c r="EV715" s="335"/>
      <c r="EW715" s="335"/>
      <c r="EX715" s="335"/>
      <c r="EY715" s="335"/>
      <c r="EZ715" s="335"/>
      <c r="FA715" s="335"/>
      <c r="FB715" s="335"/>
      <c r="FC715" s="335"/>
      <c r="FD715" s="335"/>
      <c r="FE715" s="335"/>
      <c r="FF715" s="335"/>
      <c r="FG715" s="335"/>
      <c r="FH715" s="335"/>
      <c r="FI715" s="335"/>
      <c r="FJ715" s="335"/>
      <c r="FK715" s="335"/>
      <c r="FL715" s="335"/>
      <c r="FM715" s="335"/>
      <c r="FN715" s="335"/>
      <c r="FO715" s="335"/>
      <c r="FP715" s="335"/>
      <c r="FQ715" s="335"/>
      <c r="FR715" s="335"/>
      <c r="FS715" s="335"/>
      <c r="FT715" s="335"/>
      <c r="FU715" s="335"/>
      <c r="FV715" s="335"/>
      <c r="FW715" s="335"/>
      <c r="FX715" s="335"/>
      <c r="FY715" s="335"/>
      <c r="FZ715" s="335"/>
      <c r="GA715" s="335"/>
      <c r="GB715" s="335"/>
      <c r="GC715" s="335"/>
      <c r="GD715" s="335"/>
      <c r="GE715" s="335"/>
      <c r="GF715" s="335"/>
      <c r="GG715" s="335"/>
      <c r="GH715" s="335"/>
      <c r="GI715" s="335"/>
      <c r="GJ715" s="335"/>
      <c r="GK715" s="335"/>
      <c r="GL715" s="335"/>
      <c r="GM715" s="335"/>
      <c r="GN715" s="335"/>
      <c r="GO715" s="335"/>
      <c r="GP715" s="335"/>
      <c r="GQ715" s="335"/>
      <c r="GR715" s="335"/>
      <c r="GS715" s="335"/>
      <c r="GT715" s="335"/>
      <c r="GU715" s="335"/>
      <c r="GV715" s="335"/>
      <c r="GW715" s="335"/>
      <c r="GX715" s="335"/>
      <c r="GY715" s="335"/>
      <c r="GZ715" s="335"/>
    </row>
    <row r="716" spans="1:208" ht="15">
      <c r="A716" s="379"/>
      <c r="B716" s="335"/>
      <c r="C716" s="335"/>
      <c r="D716" s="335"/>
      <c r="E716" s="335"/>
      <c r="F716" s="335"/>
      <c r="G716" s="335"/>
      <c r="H716" s="335"/>
      <c r="I716" s="335"/>
      <c r="J716" s="335"/>
      <c r="K716" s="335"/>
      <c r="L716" s="335"/>
      <c r="M716" s="376"/>
      <c r="N716" s="335"/>
      <c r="O716" s="380"/>
      <c r="P716" s="335"/>
      <c r="Q716" s="335"/>
      <c r="R716" s="335"/>
      <c r="S716" s="335"/>
      <c r="T716" s="335"/>
      <c r="U716" s="335"/>
      <c r="V716" s="335"/>
      <c r="W716" s="335"/>
      <c r="X716" s="335"/>
      <c r="Y716" s="335"/>
      <c r="Z716" s="335"/>
      <c r="AA716" s="335"/>
      <c r="AB716" s="335"/>
      <c r="AC716" s="335"/>
      <c r="AD716" s="335"/>
      <c r="AE716" s="335"/>
      <c r="AF716" s="335"/>
      <c r="AG716" s="335"/>
      <c r="AH716" s="335"/>
      <c r="AI716" s="335"/>
      <c r="AJ716" s="335"/>
      <c r="AK716" s="335"/>
      <c r="AL716" s="335"/>
      <c r="AM716" s="335"/>
      <c r="AN716" s="335"/>
      <c r="AO716" s="335"/>
      <c r="AP716" s="335"/>
      <c r="AQ716" s="335"/>
      <c r="AR716" s="335"/>
      <c r="AS716" s="335"/>
      <c r="AT716" s="335"/>
      <c r="AU716" s="335"/>
      <c r="AV716" s="335"/>
      <c r="AW716" s="335"/>
      <c r="AX716" s="335"/>
      <c r="AY716" s="335"/>
      <c r="AZ716" s="335"/>
      <c r="BA716" s="335"/>
      <c r="BB716" s="335"/>
      <c r="BC716" s="335"/>
      <c r="BD716" s="335"/>
      <c r="BE716" s="335"/>
      <c r="BF716" s="335"/>
      <c r="BG716" s="335"/>
      <c r="BH716" s="335"/>
      <c r="BI716" s="335"/>
      <c r="BJ716" s="335"/>
      <c r="BK716" s="335"/>
      <c r="BL716" s="335"/>
      <c r="BM716" s="335"/>
      <c r="BN716" s="335"/>
      <c r="BO716" s="335"/>
      <c r="BP716" s="335"/>
      <c r="BQ716" s="335"/>
      <c r="BR716" s="335"/>
      <c r="BS716" s="335"/>
      <c r="BT716" s="335"/>
      <c r="BU716" s="335"/>
      <c r="BV716" s="335"/>
      <c r="BW716" s="335"/>
      <c r="BX716" s="335"/>
      <c r="BY716" s="335"/>
      <c r="BZ716" s="335"/>
      <c r="CA716" s="335"/>
      <c r="CB716" s="335"/>
      <c r="CC716" s="335"/>
      <c r="CD716" s="335"/>
      <c r="CE716" s="335"/>
      <c r="CF716" s="335"/>
      <c r="CG716" s="335"/>
      <c r="CH716" s="335"/>
      <c r="CI716" s="335"/>
      <c r="CJ716" s="335"/>
      <c r="CK716" s="335"/>
      <c r="CL716" s="335"/>
      <c r="CM716" s="335"/>
      <c r="CN716" s="335"/>
      <c r="CO716" s="335"/>
      <c r="CP716" s="335"/>
      <c r="CQ716" s="335"/>
      <c r="CR716" s="335"/>
      <c r="CS716" s="335"/>
      <c r="CT716" s="335"/>
      <c r="CU716" s="335"/>
      <c r="CV716" s="335"/>
      <c r="CW716" s="335"/>
      <c r="CX716" s="335"/>
      <c r="CY716" s="335"/>
      <c r="CZ716" s="335"/>
      <c r="DA716" s="335"/>
      <c r="DB716" s="335"/>
      <c r="DC716" s="335"/>
      <c r="DD716" s="335"/>
      <c r="DE716" s="335"/>
      <c r="DF716" s="335"/>
      <c r="DG716" s="335"/>
      <c r="DH716" s="335"/>
      <c r="DI716" s="335"/>
      <c r="DJ716" s="335"/>
      <c r="DK716" s="335"/>
      <c r="DL716" s="335"/>
      <c r="DM716" s="335"/>
      <c r="DN716" s="335"/>
      <c r="DO716" s="335"/>
      <c r="DP716" s="335"/>
      <c r="DQ716" s="335"/>
      <c r="DR716" s="335"/>
      <c r="DS716" s="335"/>
      <c r="DT716" s="335"/>
      <c r="DU716" s="335"/>
      <c r="DV716" s="335"/>
      <c r="DW716" s="335"/>
      <c r="DX716" s="335"/>
      <c r="DY716" s="335"/>
      <c r="DZ716" s="335"/>
      <c r="EA716" s="335"/>
      <c r="EB716" s="335"/>
      <c r="EC716" s="335"/>
      <c r="ED716" s="335"/>
      <c r="EE716" s="335"/>
      <c r="EF716" s="335"/>
      <c r="EG716" s="335"/>
      <c r="EH716" s="335"/>
      <c r="EI716" s="335"/>
      <c r="EJ716" s="335"/>
      <c r="EK716" s="335"/>
      <c r="EL716" s="335"/>
      <c r="EM716" s="335"/>
      <c r="EN716" s="335"/>
      <c r="EO716" s="335"/>
      <c r="EP716" s="335"/>
      <c r="EQ716" s="335"/>
      <c r="ER716" s="335"/>
      <c r="ES716" s="335"/>
      <c r="ET716" s="335"/>
      <c r="EU716" s="335"/>
      <c r="EV716" s="335"/>
      <c r="EW716" s="335"/>
      <c r="EX716" s="335"/>
      <c r="EY716" s="335"/>
      <c r="EZ716" s="335"/>
      <c r="FA716" s="335"/>
      <c r="FB716" s="335"/>
      <c r="FC716" s="335"/>
      <c r="FD716" s="335"/>
      <c r="FE716" s="335"/>
      <c r="FF716" s="335"/>
      <c r="FG716" s="335"/>
      <c r="FH716" s="335"/>
      <c r="FI716" s="335"/>
      <c r="FJ716" s="335"/>
      <c r="FK716" s="335"/>
      <c r="FL716" s="335"/>
      <c r="FM716" s="335"/>
      <c r="FN716" s="335"/>
      <c r="FO716" s="335"/>
      <c r="FP716" s="335"/>
      <c r="FQ716" s="335"/>
      <c r="FR716" s="335"/>
      <c r="FS716" s="335"/>
      <c r="FT716" s="335"/>
      <c r="FU716" s="335"/>
      <c r="FV716" s="335"/>
      <c r="FW716" s="335"/>
      <c r="FX716" s="335"/>
      <c r="FY716" s="335"/>
      <c r="FZ716" s="335"/>
      <c r="GA716" s="335"/>
      <c r="GB716" s="335"/>
      <c r="GC716" s="335"/>
      <c r="GD716" s="335"/>
      <c r="GE716" s="335"/>
      <c r="GF716" s="335"/>
      <c r="GG716" s="335"/>
      <c r="GH716" s="335"/>
      <c r="GI716" s="335"/>
      <c r="GJ716" s="335"/>
      <c r="GK716" s="335"/>
      <c r="GL716" s="335"/>
      <c r="GM716" s="335"/>
      <c r="GN716" s="335"/>
      <c r="GO716" s="335"/>
      <c r="GP716" s="335"/>
      <c r="GQ716" s="335"/>
      <c r="GR716" s="335"/>
      <c r="GS716" s="335"/>
      <c r="GT716" s="335"/>
      <c r="GU716" s="335"/>
      <c r="GV716" s="335"/>
      <c r="GW716" s="335"/>
      <c r="GX716" s="335"/>
      <c r="GY716" s="335"/>
      <c r="GZ716" s="335"/>
    </row>
    <row r="717" spans="1:208" ht="15">
      <c r="A717" s="379"/>
      <c r="B717" s="335"/>
      <c r="C717" s="335"/>
      <c r="D717" s="335"/>
      <c r="E717" s="335"/>
      <c r="F717" s="335"/>
      <c r="G717" s="335"/>
      <c r="H717" s="335"/>
      <c r="I717" s="335"/>
      <c r="J717" s="335"/>
      <c r="K717" s="335"/>
      <c r="L717" s="335"/>
      <c r="M717" s="376"/>
      <c r="N717" s="335"/>
      <c r="O717" s="380"/>
      <c r="P717" s="335"/>
      <c r="Q717" s="335"/>
      <c r="R717" s="335"/>
      <c r="S717" s="335"/>
      <c r="T717" s="335"/>
      <c r="U717" s="335"/>
      <c r="V717" s="335"/>
      <c r="W717" s="335"/>
      <c r="X717" s="335"/>
      <c r="Y717" s="335"/>
      <c r="Z717" s="335"/>
      <c r="AA717" s="335"/>
      <c r="AB717" s="335"/>
      <c r="AC717" s="335"/>
      <c r="AD717" s="335"/>
      <c r="AE717" s="335"/>
      <c r="AF717" s="335"/>
      <c r="AG717" s="335"/>
      <c r="AH717" s="335"/>
      <c r="AI717" s="335"/>
      <c r="AJ717" s="335"/>
      <c r="AK717" s="335"/>
      <c r="AL717" s="335"/>
      <c r="AM717" s="335"/>
      <c r="AN717" s="335"/>
      <c r="AO717" s="335"/>
      <c r="AP717" s="335"/>
      <c r="AQ717" s="335"/>
      <c r="AR717" s="335"/>
      <c r="AS717" s="335"/>
      <c r="AT717" s="335"/>
      <c r="AU717" s="335"/>
      <c r="AV717" s="335"/>
      <c r="AW717" s="335"/>
      <c r="AX717" s="335"/>
      <c r="AY717" s="335"/>
      <c r="AZ717" s="335"/>
      <c r="BA717" s="335"/>
      <c r="BB717" s="335"/>
      <c r="BC717" s="335"/>
      <c r="BD717" s="335"/>
      <c r="BE717" s="335"/>
      <c r="BF717" s="335"/>
      <c r="BG717" s="335"/>
      <c r="BH717" s="335"/>
      <c r="BI717" s="335"/>
      <c r="BJ717" s="335"/>
      <c r="BK717" s="335"/>
      <c r="BL717" s="335"/>
      <c r="BM717" s="335"/>
      <c r="BN717" s="335"/>
      <c r="BO717" s="335"/>
      <c r="BP717" s="335"/>
      <c r="BQ717" s="335"/>
      <c r="BR717" s="335"/>
      <c r="BS717" s="335"/>
      <c r="BT717" s="335"/>
      <c r="BU717" s="335"/>
      <c r="BV717" s="335"/>
      <c r="BW717" s="335"/>
      <c r="BX717" s="335"/>
      <c r="BY717" s="335"/>
      <c r="BZ717" s="335"/>
      <c r="CA717" s="335"/>
      <c r="CB717" s="335"/>
      <c r="CC717" s="335"/>
      <c r="CD717" s="335"/>
      <c r="CE717" s="335"/>
      <c r="CF717" s="335"/>
      <c r="CG717" s="335"/>
      <c r="CH717" s="335"/>
      <c r="CI717" s="335"/>
      <c r="CJ717" s="335"/>
      <c r="CK717" s="335"/>
      <c r="CL717" s="335"/>
      <c r="CM717" s="335"/>
      <c r="CN717" s="335"/>
      <c r="CO717" s="335"/>
      <c r="CP717" s="335"/>
      <c r="CQ717" s="335"/>
      <c r="CR717" s="335"/>
      <c r="CS717" s="335"/>
      <c r="CT717" s="335"/>
      <c r="CU717" s="335"/>
      <c r="CV717" s="335"/>
      <c r="CW717" s="335"/>
      <c r="CX717" s="335"/>
      <c r="CY717" s="335"/>
      <c r="CZ717" s="335"/>
      <c r="DA717" s="335"/>
      <c r="DB717" s="335"/>
      <c r="DC717" s="335"/>
      <c r="DD717" s="335"/>
      <c r="DE717" s="335"/>
      <c r="DF717" s="335"/>
      <c r="DG717" s="335"/>
      <c r="DH717" s="335"/>
      <c r="DI717" s="335"/>
      <c r="DJ717" s="335"/>
      <c r="DK717" s="335"/>
      <c r="DL717" s="335"/>
      <c r="DM717" s="335"/>
      <c r="DN717" s="335"/>
      <c r="DO717" s="335"/>
      <c r="DP717" s="335"/>
      <c r="DQ717" s="335"/>
      <c r="DR717" s="335"/>
      <c r="DS717" s="335"/>
      <c r="DT717" s="335"/>
      <c r="DU717" s="335"/>
      <c r="DV717" s="335"/>
      <c r="DW717" s="335"/>
      <c r="DX717" s="335"/>
      <c r="DY717" s="335"/>
      <c r="DZ717" s="335"/>
      <c r="EA717" s="335"/>
      <c r="EB717" s="335"/>
      <c r="EC717" s="335"/>
      <c r="ED717" s="335"/>
      <c r="EE717" s="335"/>
      <c r="EF717" s="335"/>
      <c r="EG717" s="335"/>
      <c r="EH717" s="335"/>
      <c r="EI717" s="335"/>
      <c r="EJ717" s="335"/>
      <c r="EK717" s="335"/>
      <c r="EL717" s="335"/>
      <c r="EM717" s="335"/>
      <c r="EN717" s="335"/>
      <c r="EO717" s="335"/>
      <c r="EP717" s="335"/>
      <c r="EQ717" s="335"/>
      <c r="ER717" s="335"/>
      <c r="ES717" s="335"/>
      <c r="ET717" s="335"/>
      <c r="EU717" s="335"/>
      <c r="EV717" s="335"/>
      <c r="EW717" s="335"/>
      <c r="EX717" s="335"/>
      <c r="EY717" s="335"/>
      <c r="EZ717" s="335"/>
      <c r="FA717" s="335"/>
      <c r="FB717" s="335"/>
      <c r="FC717" s="335"/>
      <c r="FD717" s="335"/>
      <c r="FE717" s="335"/>
      <c r="FF717" s="335"/>
      <c r="FG717" s="335"/>
      <c r="FH717" s="335"/>
      <c r="FI717" s="335"/>
      <c r="FJ717" s="335"/>
      <c r="FK717" s="335"/>
      <c r="FL717" s="335"/>
      <c r="FM717" s="335"/>
      <c r="FN717" s="335"/>
      <c r="FO717" s="335"/>
      <c r="FP717" s="335"/>
      <c r="FQ717" s="335"/>
      <c r="FR717" s="335"/>
      <c r="FS717" s="335"/>
      <c r="FT717" s="335"/>
      <c r="FU717" s="335"/>
      <c r="FV717" s="335"/>
      <c r="FW717" s="335"/>
      <c r="FX717" s="335"/>
      <c r="FY717" s="335"/>
      <c r="FZ717" s="335"/>
      <c r="GA717" s="335"/>
      <c r="GB717" s="335"/>
      <c r="GC717" s="335"/>
      <c r="GD717" s="335"/>
      <c r="GE717" s="335"/>
      <c r="GF717" s="335"/>
      <c r="GG717" s="335"/>
      <c r="GH717" s="335"/>
      <c r="GI717" s="335"/>
      <c r="GJ717" s="335"/>
      <c r="GK717" s="335"/>
      <c r="GL717" s="335"/>
      <c r="GM717" s="335"/>
      <c r="GN717" s="335"/>
      <c r="GO717" s="335"/>
      <c r="GP717" s="335"/>
      <c r="GQ717" s="335"/>
      <c r="GR717" s="335"/>
      <c r="GS717" s="335"/>
      <c r="GT717" s="335"/>
      <c r="GU717" s="335"/>
      <c r="GV717" s="335"/>
      <c r="GW717" s="335"/>
      <c r="GX717" s="335"/>
      <c r="GY717" s="335"/>
      <c r="GZ717" s="335"/>
    </row>
    <row r="718" spans="1:208" ht="15">
      <c r="A718" s="379"/>
      <c r="B718" s="335"/>
      <c r="C718" s="335"/>
      <c r="D718" s="335"/>
      <c r="E718" s="335"/>
      <c r="F718" s="335"/>
      <c r="G718" s="335"/>
      <c r="H718" s="335"/>
      <c r="I718" s="335"/>
      <c r="J718" s="335"/>
      <c r="K718" s="335"/>
      <c r="L718" s="335"/>
      <c r="M718" s="376"/>
      <c r="N718" s="335"/>
      <c r="O718" s="380"/>
      <c r="P718" s="335"/>
      <c r="Q718" s="335"/>
      <c r="R718" s="335"/>
      <c r="S718" s="335"/>
      <c r="T718" s="335"/>
      <c r="U718" s="335"/>
      <c r="V718" s="335"/>
      <c r="W718" s="335"/>
      <c r="X718" s="335"/>
      <c r="Y718" s="335"/>
      <c r="Z718" s="335"/>
      <c r="AA718" s="335"/>
      <c r="AB718" s="335"/>
      <c r="AC718" s="335"/>
      <c r="AD718" s="335"/>
      <c r="AE718" s="335"/>
      <c r="AF718" s="335"/>
      <c r="AG718" s="335"/>
      <c r="AH718" s="335"/>
      <c r="AI718" s="335"/>
      <c r="AJ718" s="335"/>
      <c r="AK718" s="335"/>
      <c r="AL718" s="335"/>
      <c r="AM718" s="335"/>
      <c r="AN718" s="335"/>
      <c r="AO718" s="335"/>
      <c r="AP718" s="335"/>
      <c r="AQ718" s="335"/>
      <c r="AR718" s="335"/>
      <c r="AS718" s="335"/>
      <c r="AT718" s="335"/>
      <c r="AU718" s="335"/>
      <c r="AV718" s="335"/>
      <c r="AW718" s="335"/>
      <c r="AX718" s="335"/>
      <c r="AY718" s="335"/>
      <c r="AZ718" s="335"/>
      <c r="BA718" s="335"/>
      <c r="BB718" s="335"/>
      <c r="BC718" s="335"/>
      <c r="BD718" s="335"/>
      <c r="BE718" s="335"/>
      <c r="BF718" s="335"/>
      <c r="BG718" s="335"/>
      <c r="BH718" s="335"/>
      <c r="BI718" s="335"/>
      <c r="BJ718" s="335"/>
      <c r="BK718" s="335"/>
      <c r="BL718" s="335"/>
      <c r="BM718" s="335"/>
      <c r="BN718" s="335"/>
      <c r="BO718" s="335"/>
      <c r="BP718" s="335"/>
      <c r="BQ718" s="335"/>
      <c r="BR718" s="335"/>
      <c r="BS718" s="335"/>
      <c r="BT718" s="335"/>
      <c r="BU718" s="335"/>
      <c r="BV718" s="335"/>
      <c r="BW718" s="335"/>
      <c r="BX718" s="335"/>
      <c r="BY718" s="335"/>
      <c r="BZ718" s="335"/>
      <c r="CA718" s="335"/>
      <c r="CB718" s="335"/>
      <c r="CC718" s="335"/>
      <c r="CD718" s="335"/>
      <c r="CE718" s="335"/>
      <c r="CF718" s="335"/>
      <c r="CG718" s="335"/>
      <c r="CH718" s="335"/>
      <c r="CI718" s="335"/>
      <c r="CJ718" s="335"/>
      <c r="CK718" s="335"/>
      <c r="CL718" s="335"/>
      <c r="CM718" s="335"/>
      <c r="CN718" s="335"/>
      <c r="CO718" s="335"/>
      <c r="CP718" s="335"/>
      <c r="CQ718" s="335"/>
      <c r="CR718" s="335"/>
      <c r="CS718" s="335"/>
      <c r="CT718" s="335"/>
      <c r="CU718" s="335"/>
      <c r="CV718" s="335"/>
      <c r="CW718" s="335"/>
      <c r="CX718" s="335"/>
      <c r="CY718" s="335"/>
      <c r="CZ718" s="335"/>
      <c r="DA718" s="335"/>
      <c r="DB718" s="335"/>
      <c r="DC718" s="335"/>
      <c r="DD718" s="335"/>
      <c r="DE718" s="335"/>
      <c r="DF718" s="335"/>
      <c r="DG718" s="335"/>
      <c r="DH718" s="335"/>
      <c r="DI718" s="335"/>
      <c r="DJ718" s="335"/>
      <c r="DK718" s="335"/>
      <c r="DL718" s="335"/>
      <c r="DM718" s="335"/>
      <c r="DN718" s="335"/>
      <c r="DO718" s="335"/>
      <c r="DP718" s="335"/>
      <c r="DQ718" s="335"/>
      <c r="DR718" s="335"/>
      <c r="DS718" s="335"/>
      <c r="DT718" s="335"/>
      <c r="DU718" s="335"/>
      <c r="DV718" s="335"/>
      <c r="DW718" s="335"/>
      <c r="DX718" s="335"/>
      <c r="DY718" s="335"/>
      <c r="DZ718" s="335"/>
      <c r="EA718" s="335"/>
      <c r="EB718" s="335"/>
      <c r="EC718" s="335"/>
      <c r="ED718" s="335"/>
      <c r="EE718" s="335"/>
      <c r="EF718" s="335"/>
      <c r="EG718" s="335"/>
      <c r="EH718" s="335"/>
      <c r="EI718" s="335"/>
      <c r="EJ718" s="335"/>
      <c r="EK718" s="335"/>
      <c r="EL718" s="335"/>
      <c r="EM718" s="335"/>
      <c r="EN718" s="335"/>
      <c r="EO718" s="335"/>
      <c r="EP718" s="335"/>
      <c r="EQ718" s="335"/>
      <c r="ER718" s="335"/>
      <c r="ES718" s="335"/>
      <c r="ET718" s="335"/>
      <c r="EU718" s="335"/>
      <c r="EV718" s="335"/>
      <c r="EW718" s="335"/>
      <c r="EX718" s="335"/>
      <c r="EY718" s="335"/>
      <c r="EZ718" s="335"/>
      <c r="FA718" s="335"/>
      <c r="FB718" s="335"/>
      <c r="FC718" s="335"/>
      <c r="FD718" s="335"/>
      <c r="FE718" s="335"/>
      <c r="FF718" s="335"/>
      <c r="FG718" s="335"/>
      <c r="FH718" s="335"/>
      <c r="FI718" s="335"/>
      <c r="FJ718" s="335"/>
      <c r="FK718" s="335"/>
      <c r="FL718" s="335"/>
      <c r="FM718" s="335"/>
      <c r="FN718" s="335"/>
      <c r="FO718" s="335"/>
      <c r="FP718" s="335"/>
      <c r="FQ718" s="335"/>
      <c r="FR718" s="335"/>
      <c r="FS718" s="335"/>
      <c r="FT718" s="335"/>
      <c r="FU718" s="335"/>
      <c r="FV718" s="335"/>
      <c r="FW718" s="335"/>
      <c r="FX718" s="335"/>
      <c r="FY718" s="335"/>
      <c r="FZ718" s="335"/>
      <c r="GA718" s="335"/>
      <c r="GB718" s="335"/>
      <c r="GC718" s="335"/>
      <c r="GD718" s="335"/>
      <c r="GE718" s="335"/>
      <c r="GF718" s="335"/>
      <c r="GG718" s="335"/>
      <c r="GH718" s="335"/>
      <c r="GI718" s="335"/>
      <c r="GJ718" s="335"/>
      <c r="GK718" s="335"/>
      <c r="GL718" s="335"/>
      <c r="GM718" s="335"/>
      <c r="GN718" s="335"/>
      <c r="GO718" s="335"/>
      <c r="GP718" s="335"/>
      <c r="GQ718" s="335"/>
      <c r="GR718" s="335"/>
      <c r="GS718" s="335"/>
      <c r="GT718" s="335"/>
      <c r="GU718" s="335"/>
      <c r="GV718" s="335"/>
      <c r="GW718" s="335"/>
      <c r="GX718" s="335"/>
      <c r="GY718" s="335"/>
      <c r="GZ718" s="335"/>
    </row>
    <row r="719" spans="1:208" ht="15">
      <c r="A719" s="379"/>
      <c r="B719" s="335"/>
      <c r="C719" s="335"/>
      <c r="D719" s="335"/>
      <c r="E719" s="335"/>
      <c r="F719" s="335"/>
      <c r="G719" s="335"/>
      <c r="H719" s="335"/>
      <c r="I719" s="335"/>
      <c r="J719" s="335"/>
      <c r="K719" s="335"/>
      <c r="L719" s="335"/>
      <c r="M719" s="376"/>
      <c r="N719" s="335"/>
      <c r="O719" s="380"/>
      <c r="P719" s="335"/>
      <c r="Q719" s="335"/>
      <c r="R719" s="335"/>
      <c r="S719" s="335"/>
      <c r="T719" s="335"/>
      <c r="U719" s="335"/>
      <c r="V719" s="335"/>
      <c r="W719" s="335"/>
      <c r="X719" s="335"/>
      <c r="Y719" s="335"/>
      <c r="Z719" s="335"/>
      <c r="AA719" s="335"/>
      <c r="AB719" s="335"/>
      <c r="AC719" s="335"/>
      <c r="AD719" s="335"/>
      <c r="AE719" s="335"/>
      <c r="AF719" s="335"/>
      <c r="AG719" s="335"/>
      <c r="AH719" s="335"/>
      <c r="AI719" s="335"/>
      <c r="AJ719" s="335"/>
      <c r="AK719" s="335"/>
      <c r="AL719" s="335"/>
      <c r="AM719" s="335"/>
      <c r="AN719" s="335"/>
      <c r="AO719" s="335"/>
      <c r="AP719" s="335"/>
      <c r="AQ719" s="335"/>
      <c r="AR719" s="335"/>
      <c r="AS719" s="335"/>
      <c r="AT719" s="335"/>
      <c r="AU719" s="335"/>
      <c r="AV719" s="335"/>
      <c r="AW719" s="335"/>
      <c r="AX719" s="335"/>
      <c r="AY719" s="335"/>
      <c r="AZ719" s="335"/>
      <c r="BA719" s="335"/>
      <c r="BB719" s="335"/>
      <c r="BC719" s="335"/>
      <c r="BD719" s="335"/>
      <c r="BE719" s="335"/>
      <c r="BF719" s="335"/>
      <c r="BG719" s="335"/>
      <c r="BH719" s="335"/>
      <c r="BI719" s="335"/>
      <c r="BJ719" s="335"/>
      <c r="BK719" s="335"/>
      <c r="BL719" s="335"/>
      <c r="BM719" s="335"/>
      <c r="BN719" s="335"/>
      <c r="BO719" s="335"/>
      <c r="BP719" s="335"/>
      <c r="BQ719" s="335"/>
      <c r="BR719" s="335"/>
      <c r="BS719" s="335"/>
      <c r="BT719" s="335"/>
      <c r="BU719" s="335"/>
      <c r="BV719" s="335"/>
      <c r="BW719" s="335"/>
      <c r="BX719" s="335"/>
      <c r="BY719" s="335"/>
      <c r="BZ719" s="335"/>
      <c r="CA719" s="335"/>
      <c r="CB719" s="335"/>
      <c r="CC719" s="335"/>
      <c r="CD719" s="335"/>
      <c r="CE719" s="335"/>
      <c r="CF719" s="335"/>
      <c r="CG719" s="335"/>
      <c r="CH719" s="335"/>
      <c r="CI719" s="335"/>
      <c r="CJ719" s="335"/>
      <c r="CK719" s="335"/>
      <c r="CL719" s="335"/>
      <c r="CM719" s="335"/>
      <c r="CN719" s="335"/>
      <c r="CO719" s="335"/>
      <c r="CP719" s="335"/>
      <c r="CQ719" s="335"/>
      <c r="CR719" s="335"/>
      <c r="CS719" s="335"/>
      <c r="CT719" s="335"/>
      <c r="CU719" s="335"/>
      <c r="CV719" s="335"/>
      <c r="CW719" s="335"/>
      <c r="CX719" s="335"/>
      <c r="CY719" s="335"/>
      <c r="CZ719" s="335"/>
      <c r="DA719" s="335"/>
      <c r="DB719" s="335"/>
      <c r="DC719" s="335"/>
      <c r="DD719" s="335"/>
      <c r="DE719" s="335"/>
      <c r="DF719" s="335"/>
      <c r="DG719" s="335"/>
      <c r="DH719" s="335"/>
      <c r="DI719" s="335"/>
      <c r="DJ719" s="335"/>
      <c r="DK719" s="335"/>
      <c r="DL719" s="335"/>
      <c r="DM719" s="335"/>
      <c r="DN719" s="335"/>
      <c r="DO719" s="335"/>
      <c r="DP719" s="335"/>
      <c r="DQ719" s="335"/>
      <c r="DR719" s="335"/>
      <c r="DS719" s="335"/>
      <c r="DT719" s="335"/>
      <c r="DU719" s="335"/>
      <c r="DV719" s="335"/>
      <c r="DW719" s="335"/>
      <c r="DX719" s="335"/>
      <c r="DY719" s="335"/>
      <c r="DZ719" s="335"/>
      <c r="EA719" s="335"/>
      <c r="EB719" s="335"/>
      <c r="EC719" s="335"/>
      <c r="ED719" s="335"/>
      <c r="EE719" s="335"/>
      <c r="EF719" s="335"/>
      <c r="EG719" s="335"/>
      <c r="EH719" s="335"/>
      <c r="EI719" s="335"/>
      <c r="EJ719" s="335"/>
      <c r="EK719" s="335"/>
      <c r="EL719" s="335"/>
      <c r="EM719" s="335"/>
      <c r="EN719" s="335"/>
      <c r="EO719" s="335"/>
      <c r="EP719" s="335"/>
      <c r="EQ719" s="335"/>
      <c r="ER719" s="335"/>
      <c r="ES719" s="335"/>
      <c r="ET719" s="335"/>
      <c r="EU719" s="335"/>
      <c r="EV719" s="335"/>
      <c r="EW719" s="335"/>
      <c r="EX719" s="335"/>
      <c r="EY719" s="335"/>
      <c r="EZ719" s="335"/>
      <c r="FA719" s="335"/>
      <c r="FB719" s="335"/>
      <c r="FC719" s="335"/>
      <c r="FD719" s="335"/>
      <c r="FE719" s="335"/>
      <c r="FF719" s="335"/>
      <c r="FG719" s="335"/>
      <c r="FH719" s="335"/>
      <c r="FI719" s="335"/>
      <c r="FJ719" s="335"/>
      <c r="FK719" s="335"/>
      <c r="FL719" s="335"/>
      <c r="FM719" s="335"/>
      <c r="FN719" s="335"/>
      <c r="FO719" s="335"/>
      <c r="FP719" s="335"/>
      <c r="FQ719" s="335"/>
      <c r="FR719" s="335"/>
      <c r="FS719" s="335"/>
      <c r="FT719" s="335"/>
      <c r="FU719" s="335"/>
      <c r="FV719" s="335"/>
      <c r="FW719" s="335"/>
      <c r="FX719" s="335"/>
      <c r="FY719" s="335"/>
      <c r="FZ719" s="335"/>
      <c r="GA719" s="335"/>
      <c r="GB719" s="335"/>
      <c r="GC719" s="335"/>
      <c r="GD719" s="335"/>
      <c r="GE719" s="335"/>
      <c r="GF719" s="335"/>
      <c r="GG719" s="335"/>
      <c r="GH719" s="335"/>
      <c r="GI719" s="335"/>
      <c r="GJ719" s="335"/>
      <c r="GK719" s="335"/>
      <c r="GL719" s="335"/>
      <c r="GM719" s="335"/>
      <c r="GN719" s="335"/>
      <c r="GO719" s="335"/>
      <c r="GP719" s="335"/>
      <c r="GQ719" s="335"/>
      <c r="GR719" s="335"/>
      <c r="GS719" s="335"/>
      <c r="GT719" s="335"/>
      <c r="GU719" s="335"/>
      <c r="GV719" s="335"/>
      <c r="GW719" s="335"/>
      <c r="GX719" s="335"/>
      <c r="GY719" s="335"/>
      <c r="GZ719" s="335"/>
    </row>
    <row r="720" spans="1:208" ht="15">
      <c r="A720" s="379"/>
      <c r="B720" s="335"/>
      <c r="C720" s="335"/>
      <c r="D720" s="335"/>
      <c r="E720" s="335"/>
      <c r="F720" s="335"/>
      <c r="G720" s="335"/>
      <c r="H720" s="335"/>
      <c r="I720" s="335"/>
      <c r="J720" s="335"/>
      <c r="K720" s="335"/>
      <c r="L720" s="335"/>
      <c r="M720" s="376"/>
      <c r="N720" s="335"/>
      <c r="O720" s="380"/>
      <c r="P720" s="335"/>
      <c r="Q720" s="335"/>
      <c r="R720" s="335"/>
      <c r="S720" s="335"/>
      <c r="T720" s="335"/>
      <c r="U720" s="335"/>
      <c r="V720" s="335"/>
      <c r="W720" s="335"/>
      <c r="X720" s="335"/>
      <c r="Y720" s="335"/>
      <c r="Z720" s="335"/>
      <c r="AA720" s="335"/>
      <c r="AB720" s="335"/>
      <c r="AC720" s="335"/>
      <c r="AD720" s="335"/>
      <c r="AE720" s="335"/>
      <c r="AF720" s="335"/>
      <c r="AG720" s="335"/>
      <c r="AH720" s="335"/>
      <c r="AI720" s="335"/>
      <c r="AJ720" s="335"/>
      <c r="AK720" s="335"/>
      <c r="AL720" s="335"/>
      <c r="AM720" s="335"/>
      <c r="AN720" s="335"/>
      <c r="AO720" s="335"/>
      <c r="AP720" s="335"/>
      <c r="AQ720" s="335"/>
      <c r="AR720" s="335"/>
      <c r="AS720" s="335"/>
      <c r="AT720" s="335"/>
      <c r="AU720" s="335"/>
      <c r="AV720" s="335"/>
      <c r="AW720" s="335"/>
      <c r="AX720" s="335"/>
      <c r="AY720" s="335"/>
      <c r="AZ720" s="335"/>
      <c r="BA720" s="335"/>
      <c r="BB720" s="335"/>
      <c r="BC720" s="335"/>
      <c r="BD720" s="335"/>
      <c r="BE720" s="335"/>
      <c r="BF720" s="335"/>
      <c r="BG720" s="335"/>
      <c r="BH720" s="335"/>
      <c r="BI720" s="335"/>
      <c r="BJ720" s="335"/>
      <c r="BK720" s="335"/>
      <c r="BL720" s="335"/>
      <c r="BM720" s="335"/>
      <c r="BN720" s="335"/>
      <c r="BO720" s="335"/>
      <c r="BP720" s="335"/>
      <c r="BQ720" s="335"/>
      <c r="BR720" s="335"/>
      <c r="BS720" s="335"/>
      <c r="BT720" s="335"/>
      <c r="BU720" s="335"/>
      <c r="BV720" s="335"/>
      <c r="BW720" s="335"/>
      <c r="BX720" s="335"/>
      <c r="BY720" s="335"/>
      <c r="BZ720" s="335"/>
      <c r="CA720" s="335"/>
      <c r="CB720" s="335"/>
      <c r="CC720" s="335"/>
      <c r="CD720" s="335"/>
      <c r="CE720" s="335"/>
      <c r="CF720" s="335"/>
      <c r="CG720" s="335"/>
      <c r="CH720" s="335"/>
      <c r="CI720" s="335"/>
      <c r="CJ720" s="335"/>
      <c r="CK720" s="335"/>
      <c r="CL720" s="335"/>
      <c r="CM720" s="335"/>
      <c r="CN720" s="335"/>
      <c r="CO720" s="335"/>
      <c r="CP720" s="335"/>
      <c r="CQ720" s="335"/>
      <c r="CR720" s="335"/>
      <c r="CS720" s="335"/>
      <c r="CT720" s="335"/>
      <c r="CU720" s="335"/>
      <c r="CV720" s="335"/>
      <c r="CW720" s="335"/>
      <c r="CX720" s="335"/>
      <c r="CY720" s="335"/>
      <c r="CZ720" s="335"/>
      <c r="DA720" s="335"/>
      <c r="DB720" s="335"/>
      <c r="DC720" s="335"/>
      <c r="DD720" s="335"/>
      <c r="DE720" s="335"/>
      <c r="DF720" s="335"/>
      <c r="DG720" s="335"/>
      <c r="DH720" s="335"/>
      <c r="DI720" s="335"/>
      <c r="DJ720" s="335"/>
      <c r="DK720" s="335"/>
      <c r="DL720" s="335"/>
      <c r="DM720" s="335"/>
      <c r="DN720" s="335"/>
      <c r="DO720" s="335"/>
      <c r="DP720" s="335"/>
      <c r="DQ720" s="335"/>
      <c r="DR720" s="335"/>
      <c r="DS720" s="335"/>
      <c r="DT720" s="335"/>
      <c r="DU720" s="335"/>
      <c r="DV720" s="335"/>
      <c r="DW720" s="335"/>
      <c r="DX720" s="335"/>
      <c r="DY720" s="335"/>
      <c r="DZ720" s="335"/>
      <c r="EA720" s="335"/>
      <c r="EB720" s="335"/>
      <c r="EC720" s="335"/>
      <c r="ED720" s="335"/>
      <c r="EE720" s="335"/>
      <c r="EF720" s="335"/>
      <c r="EG720" s="335"/>
      <c r="EH720" s="335"/>
      <c r="EI720" s="335"/>
      <c r="EJ720" s="335"/>
      <c r="EK720" s="335"/>
      <c r="EL720" s="335"/>
      <c r="EM720" s="335"/>
      <c r="EN720" s="335"/>
      <c r="EO720" s="335"/>
      <c r="EP720" s="335"/>
      <c r="EQ720" s="335"/>
      <c r="ER720" s="335"/>
      <c r="ES720" s="335"/>
      <c r="ET720" s="335"/>
      <c r="EU720" s="335"/>
      <c r="EV720" s="335"/>
      <c r="EW720" s="335"/>
      <c r="EX720" s="335"/>
      <c r="EY720" s="335"/>
      <c r="EZ720" s="335"/>
      <c r="FA720" s="335"/>
      <c r="FB720" s="335"/>
      <c r="FC720" s="335"/>
      <c r="FD720" s="335"/>
      <c r="FE720" s="335"/>
      <c r="FF720" s="335"/>
      <c r="FG720" s="335"/>
      <c r="FH720" s="335"/>
      <c r="FI720" s="335"/>
      <c r="FJ720" s="335"/>
      <c r="FK720" s="335"/>
      <c r="FL720" s="335"/>
      <c r="FM720" s="335"/>
      <c r="FN720" s="335"/>
      <c r="FO720" s="335"/>
      <c r="FP720" s="335"/>
      <c r="FQ720" s="335"/>
      <c r="FR720" s="335"/>
      <c r="FS720" s="335"/>
      <c r="FT720" s="335"/>
      <c r="FU720" s="335"/>
      <c r="FV720" s="335"/>
      <c r="FW720" s="335"/>
      <c r="FX720" s="335"/>
      <c r="FY720" s="335"/>
      <c r="FZ720" s="335"/>
      <c r="GA720" s="335"/>
      <c r="GB720" s="335"/>
      <c r="GC720" s="335"/>
      <c r="GD720" s="335"/>
      <c r="GE720" s="335"/>
      <c r="GF720" s="335"/>
      <c r="GG720" s="335"/>
      <c r="GH720" s="335"/>
      <c r="GI720" s="335"/>
      <c r="GJ720" s="335"/>
      <c r="GK720" s="335"/>
      <c r="GL720" s="335"/>
      <c r="GM720" s="335"/>
      <c r="GN720" s="335"/>
      <c r="GO720" s="335"/>
      <c r="GP720" s="335"/>
      <c r="GQ720" s="335"/>
      <c r="GR720" s="335"/>
      <c r="GS720" s="335"/>
      <c r="GT720" s="335"/>
      <c r="GU720" s="335"/>
      <c r="GV720" s="335"/>
      <c r="GW720" s="335"/>
      <c r="GX720" s="335"/>
      <c r="GY720" s="335"/>
      <c r="GZ720" s="335"/>
    </row>
    <row r="721" spans="1:208" ht="15">
      <c r="A721" s="379"/>
      <c r="B721" s="335"/>
      <c r="C721" s="335"/>
      <c r="D721" s="335"/>
      <c r="E721" s="335"/>
      <c r="F721" s="335"/>
      <c r="G721" s="335"/>
      <c r="H721" s="335"/>
      <c r="I721" s="335"/>
      <c r="J721" s="335"/>
      <c r="K721" s="335"/>
      <c r="L721" s="335"/>
      <c r="M721" s="376"/>
      <c r="N721" s="335"/>
      <c r="O721" s="380"/>
      <c r="P721" s="335"/>
      <c r="Q721" s="335"/>
      <c r="R721" s="335"/>
      <c r="S721" s="335"/>
      <c r="T721" s="335"/>
      <c r="U721" s="335"/>
      <c r="V721" s="335"/>
      <c r="W721" s="335"/>
      <c r="X721" s="335"/>
      <c r="Y721" s="335"/>
      <c r="Z721" s="335"/>
      <c r="AA721" s="335"/>
      <c r="AB721" s="335"/>
      <c r="AC721" s="335"/>
      <c r="AD721" s="335"/>
      <c r="AE721" s="335"/>
      <c r="AF721" s="335"/>
      <c r="AG721" s="335"/>
      <c r="AH721" s="335"/>
      <c r="AI721" s="335"/>
      <c r="AJ721" s="335"/>
      <c r="AK721" s="335"/>
      <c r="AL721" s="335"/>
      <c r="AM721" s="335"/>
      <c r="AN721" s="335"/>
      <c r="AO721" s="335"/>
      <c r="AP721" s="335"/>
      <c r="AQ721" s="335"/>
      <c r="AR721" s="335"/>
      <c r="AS721" s="335"/>
      <c r="AT721" s="335"/>
      <c r="AU721" s="335"/>
      <c r="AV721" s="335"/>
      <c r="AW721" s="335"/>
      <c r="AX721" s="335"/>
      <c r="AY721" s="335"/>
      <c r="AZ721" s="335"/>
      <c r="BA721" s="335"/>
      <c r="BB721" s="335"/>
      <c r="BC721" s="335"/>
      <c r="BD721" s="335"/>
      <c r="BE721" s="335"/>
      <c r="BF721" s="335"/>
      <c r="BG721" s="335"/>
      <c r="BH721" s="335"/>
      <c r="BI721" s="335"/>
      <c r="BJ721" s="335"/>
      <c r="BK721" s="335"/>
      <c r="BL721" s="335"/>
      <c r="BM721" s="335"/>
      <c r="BN721" s="335"/>
      <c r="BO721" s="335"/>
      <c r="BP721" s="335"/>
      <c r="BQ721" s="335"/>
      <c r="BR721" s="335"/>
      <c r="BS721" s="335"/>
      <c r="BT721" s="335"/>
      <c r="BU721" s="335"/>
      <c r="BV721" s="335"/>
      <c r="BW721" s="335"/>
      <c r="BX721" s="335"/>
      <c r="BY721" s="335"/>
      <c r="BZ721" s="335"/>
      <c r="CA721" s="335"/>
      <c r="CB721" s="335"/>
      <c r="CC721" s="335"/>
      <c r="CD721" s="335"/>
      <c r="CE721" s="335"/>
      <c r="CF721" s="335"/>
      <c r="CG721" s="335"/>
      <c r="CH721" s="335"/>
      <c r="CI721" s="335"/>
      <c r="CJ721" s="335"/>
      <c r="CK721" s="335"/>
      <c r="CL721" s="335"/>
      <c r="CM721" s="335"/>
      <c r="CN721" s="335"/>
      <c r="CO721" s="335"/>
      <c r="CP721" s="335"/>
      <c r="CQ721" s="335"/>
      <c r="CR721" s="335"/>
      <c r="CS721" s="335"/>
      <c r="CT721" s="335"/>
      <c r="CU721" s="335"/>
      <c r="CV721" s="335"/>
      <c r="CW721" s="335"/>
      <c r="CX721" s="335"/>
      <c r="CY721" s="335"/>
      <c r="CZ721" s="335"/>
      <c r="DA721" s="335"/>
      <c r="DB721" s="335"/>
      <c r="DC721" s="335"/>
      <c r="DD721" s="335"/>
      <c r="DE721" s="335"/>
      <c r="DF721" s="335"/>
      <c r="DG721" s="335"/>
      <c r="DH721" s="335"/>
      <c r="DI721" s="335"/>
      <c r="DJ721" s="335"/>
      <c r="DK721" s="335"/>
      <c r="DL721" s="335"/>
      <c r="DM721" s="335"/>
      <c r="DN721" s="335"/>
      <c r="DO721" s="335"/>
      <c r="DP721" s="335"/>
      <c r="DQ721" s="335"/>
      <c r="DR721" s="335"/>
      <c r="DS721" s="335"/>
      <c r="DT721" s="335"/>
      <c r="DU721" s="335"/>
      <c r="DV721" s="335"/>
      <c r="DW721" s="335"/>
      <c r="DX721" s="335"/>
      <c r="DY721" s="335"/>
      <c r="DZ721" s="335"/>
      <c r="EA721" s="335"/>
      <c r="EB721" s="335"/>
      <c r="EC721" s="335"/>
      <c r="ED721" s="335"/>
      <c r="EE721" s="335"/>
      <c r="EF721" s="335"/>
      <c r="EG721" s="335"/>
      <c r="EH721" s="335"/>
      <c r="EI721" s="335"/>
      <c r="EJ721" s="335"/>
      <c r="EK721" s="335"/>
      <c r="EL721" s="335"/>
      <c r="EM721" s="335"/>
      <c r="EN721" s="335"/>
      <c r="EO721" s="335"/>
      <c r="EP721" s="335"/>
      <c r="EQ721" s="335"/>
      <c r="ER721" s="335"/>
      <c r="ES721" s="335"/>
      <c r="ET721" s="335"/>
      <c r="EU721" s="335"/>
      <c r="EV721" s="335"/>
      <c r="EW721" s="335"/>
      <c r="EX721" s="335"/>
      <c r="EY721" s="335"/>
      <c r="EZ721" s="335"/>
      <c r="FA721" s="335"/>
      <c r="FB721" s="335"/>
      <c r="FC721" s="335"/>
      <c r="FD721" s="335"/>
      <c r="FE721" s="335"/>
      <c r="FF721" s="335"/>
      <c r="FG721" s="335"/>
      <c r="FH721" s="335"/>
      <c r="FI721" s="335"/>
      <c r="FJ721" s="335"/>
      <c r="FK721" s="335"/>
      <c r="FL721" s="335"/>
      <c r="FM721" s="335"/>
      <c r="FN721" s="335"/>
      <c r="FO721" s="335"/>
      <c r="FP721" s="335"/>
      <c r="FQ721" s="335"/>
      <c r="FR721" s="335"/>
      <c r="FS721" s="335"/>
      <c r="FT721" s="335"/>
      <c r="FU721" s="335"/>
      <c r="FV721" s="335"/>
      <c r="FW721" s="335"/>
      <c r="FX721" s="335"/>
      <c r="FY721" s="335"/>
      <c r="FZ721" s="335"/>
      <c r="GA721" s="335"/>
      <c r="GB721" s="335"/>
      <c r="GC721" s="335"/>
      <c r="GD721" s="335"/>
      <c r="GE721" s="335"/>
      <c r="GF721" s="335"/>
      <c r="GG721" s="335"/>
      <c r="GH721" s="335"/>
      <c r="GI721" s="335"/>
      <c r="GJ721" s="335"/>
      <c r="GK721" s="335"/>
      <c r="GL721" s="335"/>
      <c r="GM721" s="335"/>
      <c r="GN721" s="335"/>
      <c r="GO721" s="335"/>
      <c r="GP721" s="335"/>
      <c r="GQ721" s="335"/>
      <c r="GR721" s="335"/>
      <c r="GS721" s="335"/>
      <c r="GT721" s="335"/>
      <c r="GU721" s="335"/>
      <c r="GV721" s="335"/>
      <c r="GW721" s="335"/>
      <c r="GX721" s="335"/>
      <c r="GY721" s="335"/>
      <c r="GZ721" s="335"/>
    </row>
    <row r="722" spans="1:208" ht="15">
      <c r="A722" s="379"/>
      <c r="B722" s="335"/>
      <c r="C722" s="335"/>
      <c r="D722" s="335"/>
      <c r="E722" s="335"/>
      <c r="F722" s="335"/>
      <c r="G722" s="335"/>
      <c r="H722" s="335"/>
      <c r="I722" s="335"/>
      <c r="J722" s="335"/>
      <c r="K722" s="335"/>
      <c r="L722" s="335"/>
      <c r="M722" s="376"/>
      <c r="N722" s="335"/>
      <c r="O722" s="380"/>
      <c r="P722" s="335"/>
      <c r="Q722" s="335"/>
      <c r="R722" s="335"/>
      <c r="S722" s="335"/>
      <c r="T722" s="335"/>
      <c r="U722" s="335"/>
      <c r="V722" s="335"/>
      <c r="W722" s="335"/>
      <c r="X722" s="335"/>
      <c r="Y722" s="335"/>
      <c r="Z722" s="335"/>
      <c r="AA722" s="335"/>
      <c r="AB722" s="335"/>
      <c r="AC722" s="335"/>
      <c r="AD722" s="335"/>
      <c r="AE722" s="335"/>
      <c r="AF722" s="335"/>
      <c r="AG722" s="335"/>
      <c r="AH722" s="335"/>
      <c r="AI722" s="335"/>
      <c r="AJ722" s="335"/>
      <c r="AK722" s="335"/>
      <c r="AL722" s="335"/>
      <c r="AM722" s="335"/>
      <c r="AN722" s="335"/>
      <c r="AO722" s="335"/>
      <c r="AP722" s="335"/>
      <c r="AQ722" s="335"/>
      <c r="AR722" s="335"/>
      <c r="AS722" s="335"/>
      <c r="AT722" s="335"/>
      <c r="AU722" s="335"/>
      <c r="AV722" s="335"/>
      <c r="AW722" s="335"/>
      <c r="AX722" s="335"/>
      <c r="AY722" s="335"/>
      <c r="AZ722" s="335"/>
      <c r="BA722" s="335"/>
      <c r="BB722" s="335"/>
      <c r="BC722" s="335"/>
      <c r="BD722" s="335"/>
      <c r="BE722" s="335"/>
      <c r="BF722" s="335"/>
      <c r="BG722" s="335"/>
      <c r="BH722" s="335"/>
      <c r="BI722" s="335"/>
      <c r="BJ722" s="335"/>
      <c r="BK722" s="335"/>
      <c r="BL722" s="335"/>
      <c r="BM722" s="335"/>
      <c r="BN722" s="335"/>
      <c r="BO722" s="335"/>
      <c r="BP722" s="335"/>
      <c r="BQ722" s="335"/>
      <c r="BR722" s="335"/>
      <c r="BS722" s="335"/>
      <c r="BT722" s="335"/>
      <c r="BU722" s="335"/>
      <c r="BV722" s="335"/>
      <c r="BW722" s="335"/>
      <c r="BX722" s="335"/>
      <c r="BY722" s="335"/>
      <c r="BZ722" s="335"/>
      <c r="CA722" s="335"/>
      <c r="CB722" s="335"/>
      <c r="CC722" s="335"/>
      <c r="CD722" s="335"/>
      <c r="CE722" s="335"/>
      <c r="CF722" s="335"/>
      <c r="CG722" s="335"/>
      <c r="CH722" s="335"/>
      <c r="CI722" s="335"/>
      <c r="CJ722" s="335"/>
      <c r="CK722" s="335"/>
      <c r="CL722" s="335"/>
      <c r="CM722" s="335"/>
      <c r="CN722" s="335"/>
      <c r="CO722" s="335"/>
      <c r="CP722" s="335"/>
      <c r="CQ722" s="335"/>
      <c r="CR722" s="335"/>
      <c r="CS722" s="335"/>
      <c r="CT722" s="335"/>
      <c r="CU722" s="335"/>
      <c r="CV722" s="335"/>
      <c r="CW722" s="335"/>
      <c r="CX722" s="335"/>
      <c r="CY722" s="335"/>
      <c r="CZ722" s="335"/>
      <c r="DA722" s="335"/>
      <c r="DB722" s="335"/>
      <c r="DC722" s="335"/>
      <c r="DD722" s="335"/>
      <c r="DE722" s="335"/>
      <c r="DF722" s="335"/>
      <c r="DG722" s="335"/>
      <c r="DH722" s="335"/>
      <c r="DI722" s="335"/>
      <c r="DJ722" s="335"/>
      <c r="DK722" s="335"/>
      <c r="DL722" s="335"/>
      <c r="DM722" s="335"/>
      <c r="DN722" s="335"/>
      <c r="DO722" s="335"/>
      <c r="DP722" s="335"/>
      <c r="DQ722" s="335"/>
      <c r="DR722" s="335"/>
      <c r="DS722" s="335"/>
      <c r="DT722" s="335"/>
      <c r="DU722" s="335"/>
      <c r="DV722" s="335"/>
      <c r="DW722" s="335"/>
      <c r="DX722" s="335"/>
      <c r="DY722" s="335"/>
      <c r="DZ722" s="335"/>
      <c r="EA722" s="335"/>
      <c r="EB722" s="335"/>
      <c r="EC722" s="335"/>
      <c r="ED722" s="335"/>
      <c r="EE722" s="335"/>
      <c r="EF722" s="335"/>
      <c r="EG722" s="335"/>
      <c r="EH722" s="335"/>
      <c r="EI722" s="335"/>
      <c r="EJ722" s="335"/>
      <c r="EK722" s="335"/>
      <c r="EL722" s="335"/>
      <c r="EM722" s="335"/>
      <c r="EN722" s="335"/>
      <c r="EO722" s="335"/>
      <c r="EP722" s="335"/>
      <c r="EQ722" s="335"/>
      <c r="ER722" s="335"/>
      <c r="ES722" s="335"/>
      <c r="ET722" s="335"/>
      <c r="EU722" s="335"/>
      <c r="EV722" s="335"/>
      <c r="EW722" s="335"/>
      <c r="EX722" s="335"/>
      <c r="EY722" s="335"/>
      <c r="EZ722" s="335"/>
      <c r="FA722" s="335"/>
      <c r="FB722" s="335"/>
      <c r="FC722" s="335"/>
      <c r="FD722" s="335"/>
      <c r="FE722" s="335"/>
      <c r="FF722" s="335"/>
      <c r="FG722" s="335"/>
      <c r="FH722" s="335"/>
      <c r="FI722" s="335"/>
      <c r="FJ722" s="335"/>
      <c r="FK722" s="335"/>
      <c r="FL722" s="335"/>
      <c r="FM722" s="335"/>
      <c r="FN722" s="335"/>
      <c r="FO722" s="335"/>
      <c r="FP722" s="335"/>
      <c r="FQ722" s="335"/>
      <c r="FR722" s="335"/>
      <c r="FS722" s="335"/>
      <c r="FT722" s="335"/>
      <c r="FU722" s="335"/>
      <c r="FV722" s="335"/>
      <c r="FW722" s="335"/>
      <c r="FX722" s="335"/>
      <c r="FY722" s="335"/>
      <c r="FZ722" s="335"/>
      <c r="GA722" s="335"/>
      <c r="GB722" s="335"/>
      <c r="GC722" s="335"/>
      <c r="GD722" s="335"/>
      <c r="GE722" s="335"/>
      <c r="GF722" s="335"/>
      <c r="GG722" s="335"/>
      <c r="GH722" s="335"/>
      <c r="GI722" s="335"/>
      <c r="GJ722" s="335"/>
      <c r="GK722" s="335"/>
      <c r="GL722" s="335"/>
      <c r="GM722" s="335"/>
      <c r="GN722" s="335"/>
      <c r="GO722" s="335"/>
      <c r="GP722" s="335"/>
      <c r="GQ722" s="335"/>
      <c r="GR722" s="335"/>
      <c r="GS722" s="335"/>
      <c r="GT722" s="335"/>
      <c r="GU722" s="335"/>
      <c r="GV722" s="335"/>
      <c r="GW722" s="335"/>
      <c r="GX722" s="335"/>
      <c r="GY722" s="335"/>
      <c r="GZ722" s="335"/>
    </row>
    <row r="723" spans="1:208" ht="15">
      <c r="A723" s="379"/>
      <c r="B723" s="335"/>
      <c r="C723" s="335"/>
      <c r="D723" s="335"/>
      <c r="E723" s="335"/>
      <c r="F723" s="335"/>
      <c r="G723" s="335"/>
      <c r="H723" s="335"/>
      <c r="I723" s="335"/>
      <c r="J723" s="335"/>
      <c r="K723" s="335"/>
      <c r="L723" s="335"/>
      <c r="M723" s="376"/>
      <c r="N723" s="335"/>
      <c r="O723" s="380"/>
      <c r="P723" s="335"/>
      <c r="Q723" s="335"/>
      <c r="R723" s="335"/>
      <c r="S723" s="335"/>
      <c r="T723" s="335"/>
      <c r="U723" s="335"/>
      <c r="V723" s="335"/>
      <c r="W723" s="335"/>
      <c r="X723" s="335"/>
      <c r="Y723" s="335"/>
      <c r="Z723" s="335"/>
      <c r="AA723" s="335"/>
      <c r="AB723" s="335"/>
      <c r="AC723" s="335"/>
      <c r="AD723" s="335"/>
      <c r="AE723" s="335"/>
      <c r="AF723" s="335"/>
      <c r="AG723" s="335"/>
      <c r="AH723" s="335"/>
      <c r="AI723" s="335"/>
      <c r="AJ723" s="335"/>
      <c r="AK723" s="335"/>
      <c r="AL723" s="335"/>
      <c r="AM723" s="335"/>
      <c r="AN723" s="335"/>
      <c r="AO723" s="335"/>
      <c r="AP723" s="335"/>
      <c r="AQ723" s="335"/>
      <c r="AR723" s="335"/>
      <c r="AS723" s="335"/>
      <c r="AT723" s="335"/>
      <c r="AU723" s="335"/>
      <c r="AV723" s="335"/>
      <c r="AW723" s="335"/>
      <c r="AX723" s="335"/>
      <c r="AY723" s="335"/>
      <c r="AZ723" s="335"/>
      <c r="BA723" s="335"/>
      <c r="BB723" s="335"/>
      <c r="BC723" s="335"/>
      <c r="BD723" s="335"/>
      <c r="BE723" s="335"/>
      <c r="BF723" s="335"/>
      <c r="BG723" s="335"/>
      <c r="BH723" s="335"/>
      <c r="BI723" s="335"/>
      <c r="BJ723" s="335"/>
      <c r="BK723" s="335"/>
      <c r="BL723" s="335"/>
      <c r="BM723" s="335"/>
      <c r="BN723" s="335"/>
      <c r="BO723" s="335"/>
      <c r="BP723" s="335"/>
      <c r="BQ723" s="335"/>
      <c r="BR723" s="335"/>
      <c r="BS723" s="335"/>
      <c r="BT723" s="335"/>
      <c r="BU723" s="335"/>
      <c r="BV723" s="335"/>
      <c r="BW723" s="335"/>
      <c r="BX723" s="335"/>
      <c r="BY723" s="335"/>
      <c r="BZ723" s="335"/>
      <c r="CA723" s="335"/>
      <c r="CB723" s="335"/>
      <c r="CC723" s="335"/>
      <c r="CD723" s="335"/>
      <c r="CE723" s="335"/>
      <c r="CF723" s="335"/>
      <c r="CG723" s="335"/>
      <c r="CH723" s="335"/>
      <c r="CI723" s="335"/>
      <c r="CJ723" s="335"/>
      <c r="CK723" s="335"/>
      <c r="CL723" s="335"/>
      <c r="CM723" s="335"/>
      <c r="CN723" s="335"/>
      <c r="CO723" s="335"/>
      <c r="CP723" s="335"/>
      <c r="CQ723" s="335"/>
      <c r="CR723" s="335"/>
      <c r="CS723" s="335"/>
      <c r="CT723" s="335"/>
      <c r="CU723" s="335"/>
      <c r="CV723" s="335"/>
      <c r="CW723" s="335"/>
      <c r="CX723" s="335"/>
      <c r="CY723" s="335"/>
      <c r="CZ723" s="335"/>
      <c r="DA723" s="335"/>
      <c r="DB723" s="335"/>
      <c r="DC723" s="335"/>
      <c r="DD723" s="335"/>
      <c r="DE723" s="335"/>
      <c r="DF723" s="335"/>
      <c r="DG723" s="335"/>
      <c r="DH723" s="335"/>
      <c r="DI723" s="335"/>
      <c r="DJ723" s="335"/>
      <c r="DK723" s="335"/>
      <c r="DL723" s="335"/>
      <c r="DM723" s="335"/>
      <c r="DN723" s="335"/>
      <c r="DO723" s="335"/>
      <c r="DP723" s="335"/>
      <c r="DQ723" s="335"/>
      <c r="DR723" s="335"/>
      <c r="DS723" s="335"/>
      <c r="DT723" s="335"/>
      <c r="DU723" s="335"/>
      <c r="DV723" s="335"/>
      <c r="DW723" s="335"/>
      <c r="DX723" s="335"/>
      <c r="DY723" s="335"/>
      <c r="DZ723" s="335"/>
      <c r="EA723" s="335"/>
      <c r="EB723" s="335"/>
      <c r="EC723" s="335"/>
      <c r="ED723" s="335"/>
      <c r="EE723" s="335"/>
      <c r="EF723" s="335"/>
      <c r="EG723" s="335"/>
      <c r="EH723" s="335"/>
      <c r="EI723" s="335"/>
      <c r="EJ723" s="335"/>
      <c r="EK723" s="335"/>
      <c r="EL723" s="335"/>
      <c r="EM723" s="335"/>
      <c r="EN723" s="335"/>
      <c r="EO723" s="335"/>
      <c r="EP723" s="335"/>
      <c r="EQ723" s="335"/>
      <c r="ER723" s="335"/>
      <c r="ES723" s="335"/>
      <c r="ET723" s="335"/>
      <c r="EU723" s="335"/>
      <c r="EV723" s="335"/>
      <c r="EW723" s="335"/>
      <c r="EX723" s="335"/>
      <c r="EY723" s="335"/>
      <c r="EZ723" s="335"/>
      <c r="FA723" s="335"/>
      <c r="FB723" s="335"/>
      <c r="FC723" s="335"/>
      <c r="FD723" s="335"/>
      <c r="FE723" s="335"/>
      <c r="FF723" s="335"/>
      <c r="FG723" s="335"/>
      <c r="FH723" s="335"/>
      <c r="FI723" s="335"/>
      <c r="FJ723" s="335"/>
      <c r="FK723" s="335"/>
      <c r="FL723" s="335"/>
      <c r="FM723" s="335"/>
      <c r="FN723" s="335"/>
      <c r="FO723" s="335"/>
      <c r="FP723" s="335"/>
      <c r="FQ723" s="335"/>
      <c r="FR723" s="335"/>
      <c r="FS723" s="335"/>
      <c r="FT723" s="335"/>
      <c r="FU723" s="335"/>
      <c r="FV723" s="335"/>
      <c r="FW723" s="335"/>
      <c r="FX723" s="335"/>
      <c r="FY723" s="335"/>
      <c r="FZ723" s="335"/>
      <c r="GA723" s="335"/>
      <c r="GB723" s="335"/>
      <c r="GC723" s="335"/>
      <c r="GD723" s="335"/>
      <c r="GE723" s="335"/>
      <c r="GF723" s="335"/>
      <c r="GG723" s="335"/>
      <c r="GH723" s="335"/>
      <c r="GI723" s="335"/>
      <c r="GJ723" s="335"/>
      <c r="GK723" s="335"/>
      <c r="GL723" s="335"/>
      <c r="GM723" s="335"/>
      <c r="GN723" s="335"/>
      <c r="GO723" s="335"/>
      <c r="GP723" s="335"/>
      <c r="GQ723" s="335"/>
      <c r="GR723" s="335"/>
      <c r="GS723" s="335"/>
      <c r="GT723" s="335"/>
      <c r="GU723" s="335"/>
      <c r="GV723" s="335"/>
      <c r="GW723" s="335"/>
      <c r="GX723" s="335"/>
      <c r="GY723" s="335"/>
      <c r="GZ723" s="335"/>
    </row>
    <row r="724" spans="1:208" ht="15">
      <c r="A724" s="379"/>
      <c r="B724" s="335"/>
      <c r="C724" s="335"/>
      <c r="D724" s="335"/>
      <c r="E724" s="335"/>
      <c r="F724" s="335"/>
      <c r="G724" s="335"/>
      <c r="H724" s="335"/>
      <c r="I724" s="335"/>
      <c r="J724" s="335"/>
      <c r="K724" s="335"/>
      <c r="L724" s="335"/>
      <c r="M724" s="376"/>
      <c r="N724" s="335"/>
      <c r="O724" s="380"/>
      <c r="P724" s="335"/>
      <c r="Q724" s="335"/>
      <c r="R724" s="335"/>
      <c r="S724" s="335"/>
      <c r="T724" s="335"/>
      <c r="U724" s="335"/>
      <c r="V724" s="335"/>
      <c r="W724" s="335"/>
      <c r="X724" s="335"/>
      <c r="Y724" s="335"/>
      <c r="Z724" s="335"/>
      <c r="AA724" s="335"/>
      <c r="AB724" s="335"/>
      <c r="AC724" s="335"/>
      <c r="AD724" s="335"/>
      <c r="AE724" s="335"/>
      <c r="AF724" s="335"/>
      <c r="AG724" s="335"/>
      <c r="AH724" s="335"/>
      <c r="AI724" s="335"/>
      <c r="AJ724" s="335"/>
      <c r="AK724" s="335"/>
      <c r="AL724" s="335"/>
      <c r="AM724" s="335"/>
      <c r="AN724" s="335"/>
      <c r="AO724" s="335"/>
      <c r="AP724" s="335"/>
      <c r="AQ724" s="335"/>
      <c r="AR724" s="335"/>
      <c r="AS724" s="335"/>
      <c r="AT724" s="335"/>
      <c r="AU724" s="335"/>
      <c r="AV724" s="335"/>
      <c r="AW724" s="335"/>
      <c r="AX724" s="335"/>
      <c r="AY724" s="335"/>
      <c r="AZ724" s="335"/>
      <c r="BA724" s="335"/>
      <c r="BB724" s="335"/>
      <c r="BC724" s="335"/>
      <c r="BD724" s="335"/>
      <c r="BE724" s="335"/>
      <c r="BF724" s="335"/>
      <c r="BG724" s="335"/>
      <c r="BH724" s="335"/>
      <c r="BI724" s="335"/>
      <c r="BJ724" s="335"/>
      <c r="BK724" s="335"/>
      <c r="BL724" s="335"/>
      <c r="BM724" s="335"/>
      <c r="BN724" s="335"/>
      <c r="BO724" s="335"/>
      <c r="BP724" s="335"/>
      <c r="BQ724" s="335"/>
      <c r="BR724" s="335"/>
      <c r="BS724" s="335"/>
      <c r="BT724" s="335"/>
      <c r="BU724" s="335"/>
      <c r="BV724" s="335"/>
      <c r="BW724" s="335"/>
      <c r="BX724" s="335"/>
      <c r="BY724" s="335"/>
      <c r="BZ724" s="335"/>
      <c r="CA724" s="335"/>
      <c r="CB724" s="335"/>
      <c r="CC724" s="335"/>
      <c r="CD724" s="335"/>
      <c r="CE724" s="335"/>
      <c r="CF724" s="335"/>
      <c r="CG724" s="335"/>
      <c r="CH724" s="335"/>
      <c r="CI724" s="335"/>
      <c r="CJ724" s="335"/>
      <c r="CK724" s="335"/>
      <c r="CL724" s="335"/>
      <c r="CM724" s="335"/>
      <c r="CN724" s="335"/>
      <c r="CO724" s="335"/>
      <c r="CP724" s="335"/>
      <c r="CQ724" s="335"/>
      <c r="CR724" s="335"/>
      <c r="CS724" s="335"/>
      <c r="CT724" s="335"/>
      <c r="CU724" s="335"/>
      <c r="CV724" s="335"/>
      <c r="CW724" s="335"/>
      <c r="CX724" s="335"/>
      <c r="CY724" s="335"/>
      <c r="CZ724" s="335"/>
      <c r="DA724" s="335"/>
      <c r="DB724" s="335"/>
      <c r="DC724" s="335"/>
      <c r="DD724" s="335"/>
      <c r="DE724" s="335"/>
      <c r="DF724" s="335"/>
      <c r="DG724" s="335"/>
      <c r="DH724" s="335"/>
      <c r="DI724" s="335"/>
      <c r="DJ724" s="335"/>
      <c r="DK724" s="335"/>
      <c r="DL724" s="335"/>
      <c r="DM724" s="335"/>
      <c r="DN724" s="335"/>
      <c r="DO724" s="335"/>
      <c r="DP724" s="335"/>
      <c r="DQ724" s="335"/>
      <c r="DR724" s="335"/>
      <c r="DS724" s="335"/>
      <c r="DT724" s="335"/>
      <c r="DU724" s="335"/>
      <c r="DV724" s="335"/>
      <c r="DW724" s="335"/>
      <c r="DX724" s="335"/>
      <c r="DY724" s="335"/>
      <c r="DZ724" s="335"/>
      <c r="EA724" s="335"/>
      <c r="EB724" s="335"/>
      <c r="EC724" s="335"/>
      <c r="ED724" s="335"/>
      <c r="EE724" s="335"/>
      <c r="EF724" s="335"/>
      <c r="EG724" s="335"/>
      <c r="EH724" s="335"/>
      <c r="EI724" s="335"/>
      <c r="EJ724" s="335"/>
      <c r="EK724" s="335"/>
      <c r="EL724" s="335"/>
      <c r="EM724" s="335"/>
      <c r="EN724" s="335"/>
      <c r="EO724" s="335"/>
      <c r="EP724" s="335"/>
      <c r="EQ724" s="335"/>
      <c r="ER724" s="335"/>
      <c r="ES724" s="335"/>
      <c r="ET724" s="335"/>
      <c r="EU724" s="335"/>
      <c r="EV724" s="335"/>
      <c r="EW724" s="335"/>
      <c r="EX724" s="335"/>
      <c r="EY724" s="335"/>
      <c r="EZ724" s="335"/>
      <c r="FA724" s="335"/>
      <c r="FB724" s="335"/>
      <c r="FC724" s="335"/>
      <c r="FD724" s="335"/>
      <c r="FE724" s="335"/>
      <c r="FF724" s="335"/>
      <c r="FG724" s="335"/>
      <c r="FH724" s="335"/>
      <c r="FI724" s="335"/>
      <c r="FJ724" s="335"/>
      <c r="FK724" s="335"/>
      <c r="FL724" s="335"/>
      <c r="FM724" s="335"/>
      <c r="FN724" s="335"/>
      <c r="FO724" s="335"/>
      <c r="FP724" s="335"/>
      <c r="FQ724" s="335"/>
      <c r="FR724" s="335"/>
      <c r="FS724" s="335"/>
      <c r="FT724" s="335"/>
      <c r="FU724" s="335"/>
      <c r="FV724" s="335"/>
      <c r="FW724" s="335"/>
      <c r="FX724" s="335"/>
      <c r="FY724" s="335"/>
      <c r="FZ724" s="335"/>
      <c r="GA724" s="335"/>
      <c r="GB724" s="335"/>
      <c r="GC724" s="335"/>
      <c r="GD724" s="335"/>
      <c r="GE724" s="335"/>
      <c r="GF724" s="335"/>
      <c r="GG724" s="335"/>
      <c r="GH724" s="335"/>
      <c r="GI724" s="335"/>
      <c r="GJ724" s="335"/>
      <c r="GK724" s="335"/>
      <c r="GL724" s="335"/>
      <c r="GM724" s="335"/>
      <c r="GN724" s="335"/>
      <c r="GO724" s="335"/>
      <c r="GP724" s="335"/>
      <c r="GQ724" s="335"/>
      <c r="GR724" s="335"/>
      <c r="GS724" s="335"/>
      <c r="GT724" s="335"/>
      <c r="GU724" s="335"/>
      <c r="GV724" s="335"/>
      <c r="GW724" s="335"/>
      <c r="GX724" s="335"/>
      <c r="GY724" s="335"/>
      <c r="GZ724" s="335"/>
    </row>
    <row r="725" spans="1:208" ht="15">
      <c r="A725" s="379"/>
      <c r="B725" s="335"/>
      <c r="C725" s="335"/>
      <c r="D725" s="335"/>
      <c r="E725" s="335"/>
      <c r="F725" s="335"/>
      <c r="G725" s="335"/>
      <c r="H725" s="335"/>
      <c r="I725" s="335"/>
      <c r="J725" s="335"/>
      <c r="K725" s="335"/>
      <c r="L725" s="335"/>
      <c r="M725" s="376"/>
      <c r="N725" s="335"/>
      <c r="O725" s="380"/>
      <c r="P725" s="335"/>
      <c r="Q725" s="335"/>
      <c r="R725" s="335"/>
      <c r="S725" s="335"/>
      <c r="T725" s="335"/>
      <c r="U725" s="335"/>
      <c r="V725" s="335"/>
      <c r="W725" s="335"/>
      <c r="X725" s="335"/>
      <c r="Y725" s="335"/>
      <c r="Z725" s="335"/>
      <c r="AA725" s="335"/>
      <c r="AB725" s="335"/>
      <c r="AC725" s="335"/>
      <c r="AD725" s="335"/>
      <c r="AE725" s="335"/>
      <c r="AF725" s="335"/>
      <c r="AG725" s="335"/>
      <c r="AH725" s="335"/>
      <c r="AI725" s="335"/>
      <c r="AJ725" s="335"/>
      <c r="AK725" s="335"/>
      <c r="AL725" s="335"/>
      <c r="AM725" s="335"/>
      <c r="AN725" s="335"/>
      <c r="AO725" s="335"/>
      <c r="AP725" s="335"/>
      <c r="AQ725" s="335"/>
      <c r="AR725" s="335"/>
      <c r="AS725" s="335"/>
      <c r="AT725" s="335"/>
      <c r="AU725" s="335"/>
      <c r="AV725" s="335"/>
      <c r="AW725" s="335"/>
      <c r="AX725" s="335"/>
      <c r="AY725" s="335"/>
      <c r="AZ725" s="335"/>
      <c r="BA725" s="335"/>
      <c r="BB725" s="335"/>
      <c r="BC725" s="335"/>
      <c r="BD725" s="335"/>
      <c r="BE725" s="335"/>
      <c r="BF725" s="335"/>
      <c r="BG725" s="335"/>
      <c r="BH725" s="335"/>
      <c r="BI725" s="335"/>
      <c r="BJ725" s="335"/>
      <c r="BK725" s="335"/>
      <c r="BL725" s="335"/>
      <c r="BM725" s="335"/>
      <c r="BN725" s="335"/>
      <c r="BO725" s="335"/>
      <c r="BP725" s="335"/>
      <c r="BQ725" s="335"/>
      <c r="BR725" s="335"/>
      <c r="BS725" s="335"/>
      <c r="BT725" s="335"/>
      <c r="BU725" s="335"/>
      <c r="BV725" s="335"/>
      <c r="BW725" s="335"/>
      <c r="BX725" s="335"/>
      <c r="BY725" s="335"/>
      <c r="BZ725" s="335"/>
      <c r="CA725" s="335"/>
      <c r="CB725" s="335"/>
      <c r="CC725" s="335"/>
      <c r="CD725" s="335"/>
      <c r="CE725" s="335"/>
      <c r="CF725" s="335"/>
      <c r="CG725" s="335"/>
      <c r="CH725" s="335"/>
      <c r="CI725" s="335"/>
      <c r="CJ725" s="335"/>
      <c r="CK725" s="335"/>
      <c r="CL725" s="335"/>
      <c r="CM725" s="335"/>
      <c r="CN725" s="335"/>
      <c r="CO725" s="335"/>
      <c r="CP725" s="335"/>
      <c r="CQ725" s="335"/>
      <c r="CR725" s="335"/>
      <c r="CS725" s="335"/>
      <c r="CT725" s="335"/>
      <c r="CU725" s="335"/>
      <c r="CV725" s="335"/>
      <c r="CW725" s="335"/>
      <c r="CX725" s="335"/>
      <c r="CY725" s="335"/>
      <c r="CZ725" s="335"/>
      <c r="DA725" s="335"/>
      <c r="DB725" s="335"/>
      <c r="DC725" s="335"/>
      <c r="DD725" s="335"/>
      <c r="DE725" s="335"/>
      <c r="DF725" s="335"/>
      <c r="DG725" s="335"/>
      <c r="DH725" s="335"/>
      <c r="DI725" s="335"/>
      <c r="DJ725" s="335"/>
      <c r="DK725" s="335"/>
      <c r="DL725" s="335"/>
      <c r="DM725" s="335"/>
      <c r="DN725" s="335"/>
      <c r="DO725" s="335"/>
      <c r="DP725" s="335"/>
      <c r="DQ725" s="335"/>
      <c r="DR725" s="335"/>
      <c r="DS725" s="335"/>
      <c r="DT725" s="335"/>
      <c r="DU725" s="335"/>
      <c r="DV725" s="335"/>
      <c r="DW725" s="335"/>
      <c r="DX725" s="335"/>
      <c r="DY725" s="335"/>
      <c r="DZ725" s="335"/>
      <c r="EA725" s="335"/>
      <c r="EB725" s="335"/>
      <c r="EC725" s="335"/>
      <c r="ED725" s="335"/>
      <c r="EE725" s="335"/>
      <c r="EF725" s="335"/>
      <c r="EG725" s="335"/>
      <c r="EH725" s="335"/>
      <c r="EI725" s="335"/>
      <c r="EJ725" s="335"/>
      <c r="EK725" s="335"/>
      <c r="EL725" s="335"/>
      <c r="EM725" s="335"/>
      <c r="EN725" s="335"/>
      <c r="EO725" s="335"/>
      <c r="EP725" s="335"/>
      <c r="EQ725" s="335"/>
      <c r="ER725" s="335"/>
      <c r="ES725" s="335"/>
      <c r="ET725" s="335"/>
      <c r="EU725" s="335"/>
      <c r="EV725" s="335"/>
      <c r="EW725" s="335"/>
      <c r="EX725" s="335"/>
      <c r="EY725" s="335"/>
      <c r="EZ725" s="335"/>
      <c r="FA725" s="335"/>
      <c r="FB725" s="335"/>
      <c r="FC725" s="335"/>
      <c r="FD725" s="335"/>
      <c r="FE725" s="335"/>
      <c r="FF725" s="335"/>
      <c r="FG725" s="335"/>
      <c r="FH725" s="335"/>
      <c r="FI725" s="335"/>
      <c r="FJ725" s="335"/>
      <c r="FK725" s="335"/>
      <c r="FL725" s="335"/>
      <c r="FM725" s="335"/>
      <c r="FN725" s="335"/>
      <c r="FO725" s="335"/>
      <c r="FP725" s="335"/>
      <c r="FQ725" s="335"/>
      <c r="FR725" s="335"/>
      <c r="FS725" s="335"/>
      <c r="FT725" s="335"/>
      <c r="FU725" s="335"/>
      <c r="FV725" s="335"/>
      <c r="FW725" s="335"/>
      <c r="FX725" s="335"/>
      <c r="FY725" s="335"/>
      <c r="FZ725" s="335"/>
      <c r="GA725" s="335"/>
      <c r="GB725" s="335"/>
      <c r="GC725" s="335"/>
      <c r="GD725" s="335"/>
      <c r="GE725" s="335"/>
      <c r="GF725" s="335"/>
      <c r="GG725" s="335"/>
      <c r="GH725" s="335"/>
      <c r="GI725" s="335"/>
      <c r="GJ725" s="335"/>
      <c r="GK725" s="335"/>
      <c r="GL725" s="335"/>
      <c r="GM725" s="335"/>
      <c r="GN725" s="335"/>
      <c r="GO725" s="335"/>
      <c r="GP725" s="335"/>
      <c r="GQ725" s="335"/>
      <c r="GR725" s="335"/>
      <c r="GS725" s="335"/>
      <c r="GT725" s="335"/>
      <c r="GU725" s="335"/>
      <c r="GV725" s="335"/>
      <c r="GW725" s="335"/>
      <c r="GX725" s="335"/>
      <c r="GY725" s="335"/>
      <c r="GZ725" s="335"/>
    </row>
    <row r="726" spans="1:208" ht="15">
      <c r="A726" s="379"/>
      <c r="B726" s="335"/>
      <c r="C726" s="335"/>
      <c r="D726" s="335"/>
      <c r="E726" s="335"/>
      <c r="F726" s="335"/>
      <c r="G726" s="335"/>
      <c r="H726" s="335"/>
      <c r="I726" s="335"/>
      <c r="J726" s="335"/>
      <c r="K726" s="335"/>
      <c r="L726" s="335"/>
      <c r="M726" s="376"/>
      <c r="N726" s="335"/>
      <c r="O726" s="380"/>
      <c r="P726" s="335"/>
      <c r="Q726" s="335"/>
      <c r="R726" s="335"/>
      <c r="S726" s="335"/>
      <c r="T726" s="335"/>
      <c r="U726" s="335"/>
      <c r="V726" s="335"/>
      <c r="W726" s="335"/>
      <c r="X726" s="335"/>
      <c r="Y726" s="335"/>
      <c r="Z726" s="335"/>
      <c r="AA726" s="335"/>
      <c r="AB726" s="335"/>
      <c r="AC726" s="335"/>
      <c r="AD726" s="335"/>
      <c r="AE726" s="335"/>
      <c r="AF726" s="335"/>
      <c r="AG726" s="335"/>
      <c r="AH726" s="335"/>
      <c r="AI726" s="335"/>
      <c r="AJ726" s="335"/>
      <c r="AK726" s="335"/>
      <c r="AL726" s="335"/>
      <c r="AM726" s="335"/>
      <c r="AN726" s="335"/>
      <c r="AO726" s="335"/>
      <c r="AP726" s="335"/>
      <c r="AQ726" s="335"/>
      <c r="AR726" s="335"/>
      <c r="AS726" s="335"/>
      <c r="AT726" s="335"/>
      <c r="AU726" s="335"/>
      <c r="AV726" s="335"/>
      <c r="AW726" s="335"/>
      <c r="AX726" s="335"/>
      <c r="AY726" s="335"/>
      <c r="AZ726" s="335"/>
      <c r="BA726" s="335"/>
      <c r="BB726" s="335"/>
      <c r="BC726" s="335"/>
      <c r="BD726" s="335"/>
      <c r="BE726" s="335"/>
      <c r="BF726" s="335"/>
      <c r="BG726" s="335"/>
      <c r="BH726" s="335"/>
      <c r="BI726" s="335"/>
      <c r="BJ726" s="335"/>
      <c r="BK726" s="335"/>
      <c r="BL726" s="335"/>
      <c r="BM726" s="335"/>
      <c r="BN726" s="335"/>
      <c r="BO726" s="335"/>
      <c r="BP726" s="335"/>
      <c r="BQ726" s="335"/>
      <c r="BR726" s="335"/>
      <c r="BS726" s="335"/>
      <c r="BT726" s="335"/>
      <c r="BU726" s="335"/>
      <c r="BV726" s="335"/>
      <c r="BW726" s="335"/>
      <c r="BX726" s="335"/>
      <c r="BY726" s="335"/>
      <c r="BZ726" s="335"/>
      <c r="CA726" s="335"/>
      <c r="CB726" s="335"/>
      <c r="CC726" s="335"/>
      <c r="CD726" s="335"/>
      <c r="CE726" s="335"/>
      <c r="CF726" s="335"/>
      <c r="CG726" s="335"/>
      <c r="CH726" s="335"/>
      <c r="CI726" s="335"/>
      <c r="CJ726" s="335"/>
      <c r="CK726" s="335"/>
      <c r="CL726" s="335"/>
      <c r="CM726" s="335"/>
      <c r="CN726" s="335"/>
      <c r="CO726" s="335"/>
      <c r="CP726" s="335"/>
      <c r="CQ726" s="335"/>
      <c r="CR726" s="335"/>
      <c r="CS726" s="335"/>
      <c r="CT726" s="335"/>
      <c r="CU726" s="335"/>
      <c r="CV726" s="335"/>
      <c r="CW726" s="335"/>
      <c r="CX726" s="335"/>
      <c r="CY726" s="335"/>
      <c r="CZ726" s="335"/>
      <c r="DA726" s="335"/>
      <c r="DB726" s="335"/>
      <c r="DC726" s="335"/>
      <c r="DD726" s="335"/>
      <c r="DE726" s="335"/>
      <c r="DF726" s="335"/>
      <c r="DG726" s="335"/>
      <c r="DH726" s="335"/>
      <c r="DI726" s="335"/>
      <c r="DJ726" s="335"/>
      <c r="DK726" s="335"/>
      <c r="DL726" s="335"/>
      <c r="DM726" s="335"/>
      <c r="DN726" s="335"/>
      <c r="DO726" s="335"/>
      <c r="DP726" s="335"/>
      <c r="DQ726" s="335"/>
      <c r="DR726" s="335"/>
      <c r="DS726" s="335"/>
      <c r="DT726" s="335"/>
      <c r="DU726" s="335"/>
      <c r="DV726" s="335"/>
      <c r="DW726" s="335"/>
      <c r="DX726" s="335"/>
      <c r="DY726" s="335"/>
      <c r="DZ726" s="335"/>
      <c r="EA726" s="335"/>
      <c r="EB726" s="335"/>
      <c r="EC726" s="335"/>
      <c r="ED726" s="335"/>
      <c r="EE726" s="335"/>
      <c r="EF726" s="335"/>
      <c r="EG726" s="335"/>
      <c r="EH726" s="335"/>
      <c r="EI726" s="335"/>
      <c r="EJ726" s="335"/>
      <c r="EK726" s="335"/>
      <c r="EL726" s="335"/>
      <c r="EM726" s="335"/>
      <c r="EN726" s="335"/>
      <c r="EO726" s="335"/>
      <c r="EP726" s="335"/>
      <c r="EQ726" s="335"/>
      <c r="ER726" s="335"/>
      <c r="ES726" s="335"/>
      <c r="ET726" s="335"/>
      <c r="EU726" s="335"/>
      <c r="EV726" s="335"/>
      <c r="EW726" s="335"/>
      <c r="EX726" s="335"/>
      <c r="EY726" s="335"/>
      <c r="EZ726" s="335"/>
      <c r="FA726" s="335"/>
      <c r="FB726" s="335"/>
      <c r="FC726" s="335"/>
      <c r="FD726" s="335"/>
      <c r="FE726" s="335"/>
      <c r="FF726" s="335"/>
      <c r="FG726" s="335"/>
      <c r="FH726" s="335"/>
      <c r="FI726" s="335"/>
      <c r="FJ726" s="335"/>
      <c r="FK726" s="335"/>
      <c r="FL726" s="335"/>
      <c r="FM726" s="335"/>
      <c r="FN726" s="335"/>
      <c r="FO726" s="335"/>
      <c r="FP726" s="335"/>
      <c r="FQ726" s="335"/>
      <c r="FR726" s="335"/>
      <c r="FS726" s="335"/>
      <c r="FT726" s="335"/>
      <c r="FU726" s="335"/>
      <c r="FV726" s="335"/>
      <c r="FW726" s="335"/>
      <c r="FX726" s="335"/>
      <c r="FY726" s="335"/>
      <c r="FZ726" s="335"/>
      <c r="GA726" s="335"/>
      <c r="GB726" s="335"/>
      <c r="GC726" s="335"/>
      <c r="GD726" s="335"/>
      <c r="GE726" s="335"/>
      <c r="GF726" s="335"/>
      <c r="GG726" s="335"/>
      <c r="GH726" s="335"/>
      <c r="GI726" s="335"/>
      <c r="GJ726" s="335"/>
      <c r="GK726" s="335"/>
      <c r="GL726" s="335"/>
      <c r="GM726" s="335"/>
      <c r="GN726" s="335"/>
      <c r="GO726" s="335"/>
      <c r="GP726" s="335"/>
      <c r="GQ726" s="335"/>
      <c r="GR726" s="335"/>
      <c r="GS726" s="335"/>
      <c r="GT726" s="335"/>
      <c r="GU726" s="335"/>
      <c r="GV726" s="335"/>
      <c r="GW726" s="335"/>
      <c r="GX726" s="335"/>
      <c r="GY726" s="335"/>
      <c r="GZ726" s="335"/>
    </row>
    <row r="727" spans="1:208" ht="15">
      <c r="A727" s="379"/>
      <c r="B727" s="335"/>
      <c r="C727" s="335"/>
      <c r="D727" s="335"/>
      <c r="E727" s="335"/>
      <c r="F727" s="335"/>
      <c r="G727" s="335"/>
      <c r="H727" s="335"/>
      <c r="I727" s="335"/>
      <c r="J727" s="335"/>
      <c r="K727" s="335"/>
      <c r="L727" s="335"/>
      <c r="M727" s="376"/>
      <c r="N727" s="335"/>
      <c r="O727" s="380"/>
      <c r="P727" s="335"/>
      <c r="Q727" s="335"/>
      <c r="R727" s="335"/>
      <c r="S727" s="335"/>
      <c r="T727" s="335"/>
      <c r="U727" s="335"/>
      <c r="V727" s="335"/>
      <c r="W727" s="335"/>
      <c r="X727" s="335"/>
      <c r="Y727" s="335"/>
      <c r="Z727" s="335"/>
      <c r="AA727" s="335"/>
      <c r="AB727" s="335"/>
      <c r="AC727" s="335"/>
      <c r="AD727" s="335"/>
      <c r="AE727" s="335"/>
      <c r="AF727" s="335"/>
      <c r="AG727" s="335"/>
      <c r="AH727" s="335"/>
      <c r="AI727" s="335"/>
      <c r="AJ727" s="335"/>
      <c r="AK727" s="335"/>
      <c r="AL727" s="335"/>
      <c r="AM727" s="335"/>
      <c r="AN727" s="335"/>
      <c r="AO727" s="335"/>
      <c r="AP727" s="335"/>
      <c r="AQ727" s="335"/>
      <c r="AR727" s="335"/>
      <c r="AS727" s="335"/>
      <c r="AT727" s="335"/>
      <c r="AU727" s="335"/>
      <c r="AV727" s="335"/>
      <c r="AW727" s="335"/>
      <c r="AX727" s="335"/>
      <c r="AY727" s="335"/>
      <c r="AZ727" s="335"/>
      <c r="BA727" s="335"/>
      <c r="BB727" s="335"/>
      <c r="BC727" s="335"/>
      <c r="BD727" s="335"/>
      <c r="BE727" s="335"/>
      <c r="BF727" s="335"/>
      <c r="BG727" s="335"/>
      <c r="BH727" s="335"/>
      <c r="BI727" s="335"/>
      <c r="BJ727" s="335"/>
      <c r="BK727" s="335"/>
      <c r="BL727" s="335"/>
      <c r="BM727" s="335"/>
      <c r="BN727" s="335"/>
      <c r="BO727" s="335"/>
      <c r="BP727" s="335"/>
      <c r="BQ727" s="335"/>
      <c r="BR727" s="335"/>
      <c r="BS727" s="335"/>
      <c r="BT727" s="335"/>
      <c r="BU727" s="335"/>
      <c r="BV727" s="335"/>
      <c r="BW727" s="335"/>
      <c r="BX727" s="335"/>
      <c r="BY727" s="335"/>
      <c r="BZ727" s="335"/>
      <c r="CA727" s="335"/>
      <c r="CB727" s="335"/>
      <c r="CC727" s="335"/>
      <c r="CD727" s="335"/>
      <c r="CE727" s="335"/>
      <c r="CF727" s="335"/>
      <c r="CG727" s="335"/>
      <c r="CH727" s="335"/>
      <c r="CI727" s="335"/>
      <c r="CJ727" s="335"/>
      <c r="CK727" s="335"/>
      <c r="CL727" s="335"/>
      <c r="CM727" s="335"/>
      <c r="CN727" s="335"/>
      <c r="CO727" s="335"/>
      <c r="CP727" s="335"/>
      <c r="CQ727" s="335"/>
      <c r="CR727" s="335"/>
      <c r="CS727" s="335"/>
      <c r="CT727" s="335"/>
      <c r="CU727" s="335"/>
      <c r="CV727" s="335"/>
      <c r="CW727" s="335"/>
      <c r="CX727" s="335"/>
      <c r="CY727" s="335"/>
      <c r="CZ727" s="335"/>
      <c r="DA727" s="335"/>
      <c r="DB727" s="335"/>
      <c r="DC727" s="335"/>
      <c r="DD727" s="335"/>
      <c r="DE727" s="335"/>
      <c r="DF727" s="335"/>
      <c r="DG727" s="335"/>
      <c r="DH727" s="335"/>
      <c r="DI727" s="335"/>
      <c r="DJ727" s="335"/>
      <c r="DK727" s="335"/>
      <c r="DL727" s="335"/>
      <c r="DM727" s="335"/>
      <c r="DN727" s="335"/>
      <c r="DO727" s="335"/>
      <c r="DP727" s="335"/>
      <c r="DQ727" s="335"/>
      <c r="DR727" s="335"/>
      <c r="DS727" s="335"/>
      <c r="DT727" s="335"/>
      <c r="DU727" s="335"/>
      <c r="DV727" s="335"/>
      <c r="DW727" s="335"/>
      <c r="DX727" s="335"/>
      <c r="DY727" s="335"/>
      <c r="DZ727" s="335"/>
      <c r="EA727" s="335"/>
      <c r="EB727" s="335"/>
      <c r="EC727" s="335"/>
      <c r="ED727" s="335"/>
      <c r="EE727" s="335"/>
      <c r="EF727" s="335"/>
      <c r="EG727" s="335"/>
      <c r="EH727" s="335"/>
      <c r="EI727" s="335"/>
      <c r="EJ727" s="335"/>
      <c r="EK727" s="335"/>
      <c r="EL727" s="335"/>
      <c r="EM727" s="335"/>
      <c r="EN727" s="335"/>
      <c r="EO727" s="335"/>
      <c r="EP727" s="335"/>
      <c r="EQ727" s="335"/>
      <c r="ER727" s="335"/>
      <c r="ES727" s="335"/>
      <c r="ET727" s="335"/>
      <c r="EU727" s="335"/>
      <c r="EV727" s="335"/>
      <c r="EW727" s="335"/>
      <c r="EX727" s="335"/>
      <c r="EY727" s="335"/>
      <c r="EZ727" s="335"/>
      <c r="FA727" s="335"/>
      <c r="FB727" s="335"/>
      <c r="FC727" s="335"/>
      <c r="FD727" s="335"/>
      <c r="FE727" s="335"/>
      <c r="FF727" s="335"/>
      <c r="FG727" s="335"/>
      <c r="FH727" s="335"/>
      <c r="FI727" s="335"/>
      <c r="FJ727" s="335"/>
      <c r="FK727" s="335"/>
      <c r="FL727" s="335"/>
      <c r="FM727" s="335"/>
      <c r="FN727" s="335"/>
      <c r="FO727" s="335"/>
      <c r="FP727" s="335"/>
      <c r="FQ727" s="335"/>
      <c r="FR727" s="335"/>
      <c r="FS727" s="335"/>
      <c r="FT727" s="335"/>
      <c r="FU727" s="335"/>
      <c r="FV727" s="335"/>
      <c r="FW727" s="335"/>
      <c r="FX727" s="335"/>
      <c r="FY727" s="335"/>
      <c r="FZ727" s="335"/>
      <c r="GA727" s="335"/>
      <c r="GB727" s="335"/>
      <c r="GC727" s="335"/>
      <c r="GD727" s="335"/>
      <c r="GE727" s="335"/>
      <c r="GF727" s="335"/>
      <c r="GG727" s="335"/>
      <c r="GH727" s="335"/>
      <c r="GI727" s="335"/>
      <c r="GJ727" s="335"/>
      <c r="GK727" s="335"/>
      <c r="GL727" s="335"/>
      <c r="GM727" s="335"/>
      <c r="GN727" s="335"/>
      <c r="GO727" s="335"/>
      <c r="GP727" s="335"/>
      <c r="GQ727" s="335"/>
      <c r="GR727" s="335"/>
      <c r="GS727" s="335"/>
      <c r="GT727" s="335"/>
      <c r="GU727" s="335"/>
      <c r="GV727" s="335"/>
      <c r="GW727" s="335"/>
      <c r="GX727" s="335"/>
      <c r="GY727" s="335"/>
      <c r="GZ727" s="335"/>
    </row>
    <row r="728" spans="1:208" ht="15">
      <c r="A728" s="379"/>
      <c r="B728" s="335"/>
      <c r="C728" s="335"/>
      <c r="D728" s="335"/>
      <c r="E728" s="335"/>
      <c r="F728" s="335"/>
      <c r="G728" s="335"/>
      <c r="H728" s="335"/>
      <c r="I728" s="335"/>
      <c r="J728" s="335"/>
      <c r="K728" s="335"/>
      <c r="L728" s="335"/>
      <c r="M728" s="376"/>
      <c r="N728" s="335"/>
      <c r="O728" s="380"/>
      <c r="P728" s="335"/>
      <c r="Q728" s="335"/>
      <c r="R728" s="335"/>
      <c r="S728" s="335"/>
      <c r="T728" s="335"/>
      <c r="U728" s="335"/>
      <c r="V728" s="335"/>
      <c r="W728" s="335"/>
      <c r="X728" s="335"/>
      <c r="Y728" s="335"/>
      <c r="Z728" s="335"/>
      <c r="AA728" s="335"/>
      <c r="AB728" s="335"/>
      <c r="AC728" s="335"/>
      <c r="AD728" s="335"/>
      <c r="AE728" s="335"/>
      <c r="AF728" s="335"/>
      <c r="AG728" s="335"/>
      <c r="AH728" s="335"/>
      <c r="AI728" s="335"/>
      <c r="AJ728" s="335"/>
      <c r="AK728" s="335"/>
      <c r="AL728" s="335"/>
      <c r="AM728" s="335"/>
      <c r="AN728" s="335"/>
      <c r="AO728" s="335"/>
      <c r="AP728" s="335"/>
      <c r="AQ728" s="335"/>
      <c r="AR728" s="335"/>
      <c r="AS728" s="335"/>
      <c r="AT728" s="335"/>
      <c r="AU728" s="335"/>
      <c r="AV728" s="335"/>
      <c r="AW728" s="335"/>
      <c r="AX728" s="335"/>
      <c r="AY728" s="335"/>
      <c r="AZ728" s="335"/>
      <c r="BA728" s="335"/>
      <c r="BB728" s="335"/>
      <c r="BC728" s="335"/>
      <c r="BD728" s="335"/>
      <c r="BE728" s="335"/>
      <c r="BF728" s="335"/>
      <c r="BG728" s="335"/>
      <c r="BH728" s="335"/>
      <c r="BI728" s="335"/>
      <c r="BJ728" s="335"/>
      <c r="BK728" s="335"/>
      <c r="BL728" s="335"/>
      <c r="BM728" s="335"/>
      <c r="BN728" s="335"/>
      <c r="BO728" s="335"/>
      <c r="BP728" s="335"/>
      <c r="BQ728" s="335"/>
      <c r="BR728" s="335"/>
      <c r="BS728" s="335"/>
      <c r="BT728" s="335"/>
      <c r="BU728" s="335"/>
      <c r="BV728" s="335"/>
      <c r="BW728" s="335"/>
      <c r="BX728" s="335"/>
      <c r="BY728" s="335"/>
      <c r="BZ728" s="335"/>
      <c r="CA728" s="335"/>
      <c r="CB728" s="335"/>
      <c r="CC728" s="335"/>
      <c r="CD728" s="335"/>
      <c r="CE728" s="335"/>
      <c r="CF728" s="335"/>
      <c r="CG728" s="335"/>
      <c r="CH728" s="335"/>
      <c r="CI728" s="335"/>
      <c r="CJ728" s="335"/>
      <c r="CK728" s="335"/>
      <c r="CL728" s="335"/>
      <c r="CM728" s="335"/>
      <c r="CN728" s="335"/>
      <c r="CO728" s="335"/>
      <c r="CP728" s="335"/>
      <c r="CQ728" s="335"/>
      <c r="CR728" s="335"/>
      <c r="CS728" s="335"/>
      <c r="CT728" s="335"/>
      <c r="CU728" s="335"/>
      <c r="CV728" s="335"/>
      <c r="CW728" s="335"/>
      <c r="CX728" s="335"/>
      <c r="CY728" s="335"/>
      <c r="CZ728" s="335"/>
      <c r="DA728" s="335"/>
      <c r="DB728" s="335"/>
      <c r="DC728" s="335"/>
      <c r="DD728" s="335"/>
      <c r="DE728" s="335"/>
      <c r="DF728" s="335"/>
      <c r="DG728" s="335"/>
      <c r="DH728" s="335"/>
      <c r="DI728" s="335"/>
      <c r="DJ728" s="335"/>
      <c r="DK728" s="335"/>
      <c r="DL728" s="335"/>
      <c r="DM728" s="335"/>
      <c r="DN728" s="335"/>
      <c r="DO728" s="335"/>
      <c r="DP728" s="335"/>
      <c r="DQ728" s="335"/>
      <c r="DR728" s="335"/>
      <c r="DS728" s="335"/>
      <c r="DT728" s="335"/>
      <c r="DU728" s="335"/>
      <c r="DV728" s="335"/>
      <c r="DW728" s="335"/>
      <c r="DX728" s="335"/>
      <c r="DY728" s="335"/>
      <c r="DZ728" s="335"/>
      <c r="EA728" s="335"/>
      <c r="EB728" s="335"/>
      <c r="EC728" s="335"/>
      <c r="ED728" s="335"/>
      <c r="EE728" s="335"/>
      <c r="EF728" s="335"/>
      <c r="EG728" s="335"/>
      <c r="EH728" s="335"/>
      <c r="EI728" s="335"/>
      <c r="EJ728" s="335"/>
      <c r="EK728" s="335"/>
      <c r="EL728" s="335"/>
      <c r="EM728" s="335"/>
      <c r="EN728" s="335"/>
      <c r="EO728" s="335"/>
      <c r="EP728" s="335"/>
      <c r="EQ728" s="335"/>
      <c r="ER728" s="335"/>
      <c r="ES728" s="335"/>
      <c r="ET728" s="335"/>
      <c r="EU728" s="335"/>
      <c r="EV728" s="335"/>
      <c r="EW728" s="335"/>
      <c r="EX728" s="335"/>
      <c r="EY728" s="335"/>
      <c r="EZ728" s="335"/>
      <c r="FA728" s="335"/>
      <c r="FB728" s="335"/>
      <c r="FC728" s="335"/>
      <c r="FD728" s="335"/>
      <c r="FE728" s="335"/>
      <c r="FF728" s="335"/>
      <c r="FG728" s="335"/>
      <c r="FH728" s="335"/>
      <c r="FI728" s="335"/>
      <c r="FJ728" s="335"/>
      <c r="FK728" s="335"/>
      <c r="FL728" s="335"/>
      <c r="FM728" s="335"/>
      <c r="FN728" s="335"/>
      <c r="FO728" s="335"/>
      <c r="FP728" s="335"/>
      <c r="FQ728" s="335"/>
      <c r="FR728" s="335"/>
      <c r="FS728" s="335"/>
      <c r="FT728" s="335"/>
      <c r="FU728" s="335"/>
      <c r="FV728" s="335"/>
      <c r="FW728" s="335"/>
      <c r="FX728" s="335"/>
      <c r="FY728" s="335"/>
      <c r="FZ728" s="335"/>
      <c r="GA728" s="335"/>
      <c r="GB728" s="335"/>
      <c r="GC728" s="335"/>
      <c r="GD728" s="335"/>
      <c r="GE728" s="335"/>
      <c r="GF728" s="335"/>
      <c r="GG728" s="335"/>
      <c r="GH728" s="335"/>
      <c r="GI728" s="335"/>
      <c r="GJ728" s="335"/>
      <c r="GK728" s="335"/>
      <c r="GL728" s="335"/>
      <c r="GM728" s="335"/>
      <c r="GN728" s="335"/>
      <c r="GO728" s="335"/>
      <c r="GP728" s="335"/>
      <c r="GQ728" s="335"/>
      <c r="GR728" s="335"/>
      <c r="GS728" s="335"/>
      <c r="GT728" s="335"/>
      <c r="GU728" s="335"/>
      <c r="GV728" s="335"/>
      <c r="GW728" s="335"/>
      <c r="GX728" s="335"/>
      <c r="GY728" s="335"/>
      <c r="GZ728" s="335"/>
    </row>
    <row r="729" spans="1:208" ht="15">
      <c r="A729" s="379"/>
      <c r="B729" s="335"/>
      <c r="C729" s="335"/>
      <c r="D729" s="335"/>
      <c r="E729" s="335"/>
      <c r="F729" s="335"/>
      <c r="G729" s="335"/>
      <c r="H729" s="335"/>
      <c r="I729" s="335"/>
      <c r="J729" s="335"/>
      <c r="K729" s="335"/>
      <c r="L729" s="335"/>
      <c r="M729" s="376"/>
      <c r="N729" s="335"/>
      <c r="O729" s="380"/>
      <c r="P729" s="335"/>
      <c r="Q729" s="335"/>
      <c r="R729" s="335"/>
      <c r="S729" s="335"/>
      <c r="T729" s="335"/>
      <c r="U729" s="335"/>
      <c r="V729" s="335"/>
      <c r="W729" s="335"/>
      <c r="X729" s="335"/>
      <c r="Y729" s="335"/>
      <c r="Z729" s="335"/>
      <c r="AA729" s="335"/>
      <c r="AB729" s="335"/>
      <c r="AC729" s="335"/>
      <c r="AD729" s="335"/>
      <c r="AE729" s="335"/>
      <c r="AF729" s="335"/>
      <c r="AG729" s="335"/>
      <c r="AH729" s="335"/>
      <c r="AI729" s="335"/>
      <c r="AJ729" s="335"/>
      <c r="AK729" s="335"/>
      <c r="AL729" s="335"/>
      <c r="AM729" s="335"/>
      <c r="AN729" s="335"/>
      <c r="AO729" s="335"/>
      <c r="AP729" s="335"/>
      <c r="AQ729" s="335"/>
      <c r="AR729" s="335"/>
      <c r="AS729" s="335"/>
      <c r="AT729" s="335"/>
      <c r="AU729" s="335"/>
      <c r="AV729" s="335"/>
      <c r="AW729" s="335"/>
      <c r="AX729" s="335"/>
      <c r="AY729" s="335"/>
      <c r="AZ729" s="335"/>
      <c r="BA729" s="335"/>
      <c r="BB729" s="335"/>
      <c r="BC729" s="335"/>
      <c r="BD729" s="335"/>
      <c r="BE729" s="335"/>
      <c r="BF729" s="335"/>
      <c r="BG729" s="335"/>
      <c r="BH729" s="335"/>
      <c r="BI729" s="335"/>
      <c r="BJ729" s="335"/>
      <c r="BK729" s="335"/>
      <c r="BL729" s="335"/>
      <c r="BM729" s="335"/>
      <c r="BN729" s="335"/>
      <c r="BO729" s="335"/>
      <c r="BP729" s="335"/>
      <c r="BQ729" s="335"/>
      <c r="BR729" s="335"/>
      <c r="BS729" s="335"/>
      <c r="BT729" s="335"/>
      <c r="BU729" s="335"/>
      <c r="BV729" s="335"/>
      <c r="BW729" s="335"/>
      <c r="BX729" s="335"/>
      <c r="BY729" s="335"/>
      <c r="BZ729" s="335"/>
      <c r="CA729" s="335"/>
      <c r="CB729" s="335"/>
      <c r="CC729" s="335"/>
      <c r="CD729" s="335"/>
      <c r="CE729" s="335"/>
      <c r="CF729" s="335"/>
      <c r="CG729" s="335"/>
      <c r="CH729" s="335"/>
      <c r="CI729" s="335"/>
      <c r="CJ729" s="335"/>
      <c r="CK729" s="335"/>
      <c r="CL729" s="335"/>
      <c r="CM729" s="335"/>
      <c r="CN729" s="335"/>
      <c r="CO729" s="335"/>
      <c r="CP729" s="335"/>
      <c r="CQ729" s="335"/>
      <c r="CR729" s="335"/>
      <c r="CS729" s="335"/>
      <c r="CT729" s="335"/>
      <c r="CU729" s="335"/>
      <c r="CV729" s="335"/>
      <c r="CW729" s="335"/>
      <c r="CX729" s="335"/>
      <c r="CY729" s="335"/>
      <c r="CZ729" s="335"/>
      <c r="DA729" s="335"/>
      <c r="DB729" s="335"/>
      <c r="DC729" s="335"/>
      <c r="DD729" s="335"/>
      <c r="DE729" s="335"/>
      <c r="DF729" s="335"/>
      <c r="DG729" s="335"/>
      <c r="DH729" s="335"/>
      <c r="DI729" s="335"/>
      <c r="DJ729" s="335"/>
      <c r="DK729" s="335"/>
      <c r="DL729" s="335"/>
      <c r="DM729" s="335"/>
      <c r="DN729" s="335"/>
      <c r="DO729" s="335"/>
      <c r="DP729" s="335"/>
      <c r="DQ729" s="335"/>
      <c r="DR729" s="335"/>
      <c r="DS729" s="335"/>
      <c r="DT729" s="335"/>
      <c r="DU729" s="335"/>
      <c r="DV729" s="335"/>
      <c r="DW729" s="335"/>
      <c r="DX729" s="335"/>
      <c r="DY729" s="335"/>
      <c r="DZ729" s="335"/>
      <c r="EA729" s="335"/>
      <c r="EB729" s="335"/>
      <c r="EC729" s="335"/>
      <c r="ED729" s="335"/>
      <c r="EE729" s="335"/>
      <c r="EF729" s="335"/>
      <c r="EG729" s="335"/>
      <c r="EH729" s="335"/>
      <c r="EI729" s="335"/>
      <c r="EJ729" s="335"/>
      <c r="EK729" s="335"/>
      <c r="EL729" s="335"/>
      <c r="EM729" s="335"/>
      <c r="EN729" s="335"/>
      <c r="EO729" s="335"/>
      <c r="EP729" s="335"/>
      <c r="EQ729" s="335"/>
      <c r="ER729" s="335"/>
      <c r="ES729" s="335"/>
      <c r="ET729" s="335"/>
      <c r="EU729" s="335"/>
      <c r="EV729" s="335"/>
      <c r="EW729" s="335"/>
      <c r="EX729" s="335"/>
      <c r="EY729" s="335"/>
      <c r="EZ729" s="335"/>
      <c r="FA729" s="335"/>
      <c r="FB729" s="335"/>
      <c r="FC729" s="335"/>
      <c r="FD729" s="335"/>
      <c r="FE729" s="335"/>
      <c r="FF729" s="335"/>
      <c r="FG729" s="335"/>
      <c r="FH729" s="335"/>
      <c r="FI729" s="335"/>
      <c r="FJ729" s="335"/>
      <c r="FK729" s="335"/>
      <c r="FL729" s="335"/>
      <c r="FM729" s="335"/>
      <c r="FN729" s="335"/>
      <c r="FO729" s="335"/>
      <c r="FP729" s="335"/>
      <c r="FQ729" s="335"/>
      <c r="FR729" s="335"/>
      <c r="FS729" s="335"/>
      <c r="FT729" s="335"/>
      <c r="FU729" s="335"/>
      <c r="FV729" s="335"/>
      <c r="FW729" s="335"/>
      <c r="FX729" s="335"/>
      <c r="FY729" s="335"/>
      <c r="FZ729" s="335"/>
      <c r="GA729" s="335"/>
      <c r="GB729" s="335"/>
      <c r="GC729" s="335"/>
      <c r="GD729" s="335"/>
      <c r="GE729" s="335"/>
      <c r="GF729" s="335"/>
      <c r="GG729" s="335"/>
      <c r="GH729" s="335"/>
      <c r="GI729" s="335"/>
      <c r="GJ729" s="335"/>
      <c r="GK729" s="335"/>
      <c r="GL729" s="335"/>
      <c r="GM729" s="335"/>
      <c r="GN729" s="335"/>
      <c r="GO729" s="335"/>
      <c r="GP729" s="335"/>
      <c r="GQ729" s="335"/>
      <c r="GR729" s="335"/>
      <c r="GS729" s="335"/>
      <c r="GT729" s="335"/>
      <c r="GU729" s="335"/>
      <c r="GV729" s="335"/>
      <c r="GW729" s="335"/>
      <c r="GX729" s="335"/>
      <c r="GY729" s="335"/>
      <c r="GZ729" s="335"/>
    </row>
    <row r="730" spans="1:208" ht="15">
      <c r="A730" s="379"/>
      <c r="B730" s="335"/>
      <c r="C730" s="335"/>
      <c r="D730" s="335"/>
      <c r="E730" s="335"/>
      <c r="F730" s="335"/>
      <c r="G730" s="335"/>
      <c r="H730" s="335"/>
      <c r="I730" s="335"/>
      <c r="J730" s="335"/>
      <c r="K730" s="335"/>
      <c r="L730" s="335"/>
      <c r="M730" s="376"/>
      <c r="N730" s="335"/>
      <c r="O730" s="380"/>
      <c r="P730" s="335"/>
      <c r="Q730" s="335"/>
      <c r="R730" s="335"/>
      <c r="S730" s="335"/>
      <c r="T730" s="335"/>
      <c r="U730" s="335"/>
      <c r="V730" s="335"/>
      <c r="W730" s="335"/>
      <c r="X730" s="335"/>
      <c r="Y730" s="335"/>
      <c r="Z730" s="335"/>
      <c r="AA730" s="335"/>
      <c r="AB730" s="335"/>
      <c r="AC730" s="335"/>
      <c r="AD730" s="335"/>
      <c r="AE730" s="335"/>
      <c r="AF730" s="335"/>
      <c r="AG730" s="335"/>
      <c r="AH730" s="335"/>
      <c r="AI730" s="335"/>
      <c r="AJ730" s="335"/>
      <c r="AK730" s="335"/>
      <c r="AL730" s="335"/>
      <c r="AM730" s="335"/>
      <c r="AN730" s="335"/>
      <c r="AO730" s="335"/>
      <c r="AP730" s="335"/>
      <c r="AQ730" s="335"/>
      <c r="AR730" s="335"/>
      <c r="AS730" s="335"/>
      <c r="AT730" s="335"/>
      <c r="AU730" s="335"/>
      <c r="AV730" s="335"/>
      <c r="AW730" s="335"/>
      <c r="AX730" s="335"/>
      <c r="AY730" s="335"/>
      <c r="AZ730" s="335"/>
      <c r="BA730" s="335"/>
      <c r="BB730" s="335"/>
      <c r="BC730" s="335"/>
      <c r="BD730" s="335"/>
      <c r="BE730" s="335"/>
      <c r="BF730" s="335"/>
      <c r="BG730" s="335"/>
      <c r="BH730" s="335"/>
      <c r="BI730" s="335"/>
      <c r="BJ730" s="335"/>
      <c r="BK730" s="335"/>
      <c r="BL730" s="335"/>
      <c r="BM730" s="335"/>
      <c r="BN730" s="335"/>
      <c r="BO730" s="335"/>
      <c r="BP730" s="335"/>
      <c r="BQ730" s="335"/>
      <c r="BR730" s="335"/>
      <c r="BS730" s="335"/>
      <c r="BT730" s="335"/>
      <c r="BU730" s="335"/>
      <c r="BV730" s="335"/>
      <c r="BW730" s="335"/>
      <c r="BX730" s="335"/>
      <c r="BY730" s="335"/>
      <c r="BZ730" s="335"/>
      <c r="CA730" s="335"/>
      <c r="CB730" s="335"/>
      <c r="CC730" s="335"/>
      <c r="CD730" s="335"/>
      <c r="CE730" s="335"/>
      <c r="CF730" s="335"/>
      <c r="CG730" s="335"/>
      <c r="CH730" s="335"/>
      <c r="CI730" s="335"/>
      <c r="CJ730" s="335"/>
      <c r="CK730" s="335"/>
      <c r="CL730" s="335"/>
      <c r="CM730" s="335"/>
      <c r="CN730" s="335"/>
      <c r="CO730" s="335"/>
      <c r="CP730" s="335"/>
      <c r="CQ730" s="335"/>
      <c r="CR730" s="335"/>
      <c r="CS730" s="335"/>
      <c r="CT730" s="335"/>
      <c r="CU730" s="335"/>
      <c r="CV730" s="335"/>
      <c r="CW730" s="335"/>
      <c r="CX730" s="335"/>
      <c r="CY730" s="335"/>
      <c r="CZ730" s="335"/>
      <c r="DA730" s="335"/>
      <c r="DB730" s="335"/>
      <c r="DC730" s="335"/>
      <c r="DD730" s="335"/>
      <c r="DE730" s="335"/>
      <c r="DF730" s="335"/>
      <c r="DG730" s="335"/>
      <c r="DH730" s="335"/>
      <c r="DI730" s="335"/>
      <c r="DJ730" s="335"/>
      <c r="DK730" s="335"/>
      <c r="DL730" s="335"/>
      <c r="DM730" s="335"/>
      <c r="DN730" s="335"/>
      <c r="DO730" s="335"/>
      <c r="DP730" s="335"/>
      <c r="DQ730" s="335"/>
      <c r="DR730" s="335"/>
      <c r="DS730" s="335"/>
      <c r="DT730" s="335"/>
      <c r="DU730" s="335"/>
      <c r="DV730" s="335"/>
      <c r="DW730" s="335"/>
      <c r="DX730" s="335"/>
      <c r="DY730" s="335"/>
      <c r="DZ730" s="335"/>
      <c r="EA730" s="335"/>
      <c r="EB730" s="335"/>
      <c r="EC730" s="335"/>
      <c r="ED730" s="335"/>
      <c r="EE730" s="335"/>
      <c r="EF730" s="335"/>
      <c r="EG730" s="335"/>
      <c r="EH730" s="335"/>
      <c r="EI730" s="335"/>
      <c r="EJ730" s="335"/>
      <c r="EK730" s="335"/>
      <c r="EL730" s="335"/>
      <c r="EM730" s="335"/>
      <c r="EN730" s="335"/>
      <c r="EO730" s="335"/>
      <c r="EP730" s="335"/>
      <c r="EQ730" s="335"/>
      <c r="ER730" s="335"/>
      <c r="ES730" s="335"/>
      <c r="ET730" s="335"/>
      <c r="EU730" s="335"/>
      <c r="EV730" s="335"/>
      <c r="EW730" s="335"/>
      <c r="EX730" s="335"/>
      <c r="EY730" s="335"/>
      <c r="EZ730" s="335"/>
      <c r="FA730" s="335"/>
      <c r="FB730" s="335"/>
      <c r="FC730" s="335"/>
      <c r="FD730" s="335"/>
      <c r="FE730" s="335"/>
      <c r="FF730" s="335"/>
      <c r="FG730" s="335"/>
      <c r="FH730" s="335"/>
      <c r="FI730" s="335"/>
      <c r="FJ730" s="335"/>
      <c r="FK730" s="335"/>
      <c r="FL730" s="335"/>
      <c r="FM730" s="335"/>
      <c r="FN730" s="335"/>
      <c r="FO730" s="335"/>
      <c r="FP730" s="335"/>
      <c r="FQ730" s="335"/>
      <c r="FR730" s="335"/>
      <c r="FS730" s="335"/>
      <c r="FT730" s="335"/>
      <c r="FU730" s="335"/>
      <c r="FV730" s="335"/>
      <c r="FW730" s="335"/>
      <c r="FX730" s="335"/>
      <c r="FY730" s="335"/>
      <c r="FZ730" s="335"/>
      <c r="GA730" s="335"/>
      <c r="GB730" s="335"/>
      <c r="GC730" s="335"/>
      <c r="GD730" s="335"/>
      <c r="GE730" s="335"/>
      <c r="GF730" s="335"/>
      <c r="GG730" s="335"/>
      <c r="GH730" s="335"/>
      <c r="GI730" s="335"/>
      <c r="GJ730" s="335"/>
      <c r="GK730" s="335"/>
      <c r="GL730" s="335"/>
      <c r="GM730" s="335"/>
      <c r="GN730" s="335"/>
      <c r="GO730" s="335"/>
      <c r="GP730" s="335"/>
      <c r="GQ730" s="335"/>
      <c r="GR730" s="335"/>
      <c r="GS730" s="335"/>
      <c r="GT730" s="335"/>
      <c r="GU730" s="335"/>
      <c r="GV730" s="335"/>
      <c r="GW730" s="335"/>
      <c r="GX730" s="335"/>
      <c r="GY730" s="335"/>
      <c r="GZ730" s="335"/>
    </row>
    <row r="731" spans="1:208" ht="15">
      <c r="A731" s="379"/>
      <c r="B731" s="335"/>
      <c r="C731" s="335"/>
      <c r="D731" s="335"/>
      <c r="E731" s="335"/>
      <c r="F731" s="335"/>
      <c r="G731" s="335"/>
      <c r="H731" s="335"/>
      <c r="I731" s="335"/>
      <c r="J731" s="335"/>
      <c r="K731" s="335"/>
      <c r="L731" s="335"/>
      <c r="M731" s="376"/>
      <c r="N731" s="335"/>
      <c r="O731" s="380"/>
      <c r="P731" s="335"/>
      <c r="Q731" s="335"/>
      <c r="R731" s="335"/>
      <c r="S731" s="335"/>
      <c r="T731" s="335"/>
      <c r="U731" s="335"/>
      <c r="V731" s="335"/>
      <c r="W731" s="335"/>
      <c r="X731" s="335"/>
      <c r="Y731" s="335"/>
      <c r="Z731" s="335"/>
      <c r="AA731" s="335"/>
      <c r="AB731" s="335"/>
      <c r="AC731" s="335"/>
      <c r="AD731" s="335"/>
      <c r="AE731" s="335"/>
      <c r="AF731" s="335"/>
      <c r="AG731" s="335"/>
      <c r="AH731" s="335"/>
      <c r="AI731" s="335"/>
      <c r="AJ731" s="335"/>
      <c r="AK731" s="335"/>
      <c r="AL731" s="335"/>
      <c r="AM731" s="335"/>
      <c r="AN731" s="335"/>
      <c r="AO731" s="335"/>
      <c r="AP731" s="335"/>
      <c r="AQ731" s="335"/>
      <c r="AR731" s="335"/>
      <c r="AS731" s="335"/>
      <c r="AT731" s="335"/>
      <c r="AU731" s="335"/>
      <c r="AV731" s="335"/>
      <c r="AW731" s="335"/>
      <c r="AX731" s="335"/>
      <c r="AY731" s="335"/>
      <c r="AZ731" s="335"/>
      <c r="BA731" s="335"/>
      <c r="BB731" s="335"/>
      <c r="BC731" s="335"/>
      <c r="BD731" s="335"/>
      <c r="BE731" s="335"/>
      <c r="BF731" s="335"/>
      <c r="BG731" s="335"/>
      <c r="BH731" s="335"/>
      <c r="BI731" s="335"/>
      <c r="BJ731" s="335"/>
      <c r="BK731" s="335"/>
      <c r="BL731" s="335"/>
      <c r="BM731" s="335"/>
      <c r="BN731" s="335"/>
      <c r="BO731" s="335"/>
      <c r="BP731" s="335"/>
      <c r="BQ731" s="335"/>
      <c r="BR731" s="335"/>
      <c r="BS731" s="335"/>
      <c r="BT731" s="335"/>
      <c r="BU731" s="335"/>
      <c r="BV731" s="335"/>
      <c r="BW731" s="335"/>
      <c r="BX731" s="335"/>
      <c r="BY731" s="335"/>
      <c r="BZ731" s="335"/>
      <c r="CA731" s="335"/>
      <c r="CB731" s="335"/>
      <c r="CC731" s="335"/>
      <c r="CD731" s="335"/>
      <c r="CE731" s="335"/>
      <c r="CF731" s="335"/>
      <c r="CG731" s="335"/>
      <c r="CH731" s="335"/>
      <c r="CI731" s="335"/>
      <c r="CJ731" s="335"/>
      <c r="CK731" s="335"/>
      <c r="CL731" s="335"/>
      <c r="CM731" s="335"/>
      <c r="CN731" s="335"/>
      <c r="CO731" s="335"/>
      <c r="CP731" s="335"/>
      <c r="CQ731" s="335"/>
      <c r="CR731" s="335"/>
      <c r="CS731" s="335"/>
      <c r="CT731" s="335"/>
      <c r="CU731" s="335"/>
      <c r="CV731" s="335"/>
      <c r="CW731" s="335"/>
      <c r="CX731" s="335"/>
      <c r="CY731" s="335"/>
      <c r="CZ731" s="335"/>
      <c r="DA731" s="335"/>
      <c r="DB731" s="335"/>
      <c r="DC731" s="335"/>
      <c r="DD731" s="335"/>
      <c r="DE731" s="335"/>
      <c r="DF731" s="335"/>
      <c r="DG731" s="335"/>
      <c r="DH731" s="335"/>
      <c r="DI731" s="335"/>
      <c r="DJ731" s="335"/>
      <c r="DK731" s="335"/>
      <c r="DL731" s="335"/>
      <c r="DM731" s="335"/>
      <c r="DN731" s="335"/>
      <c r="DO731" s="335"/>
      <c r="DP731" s="335"/>
      <c r="DQ731" s="335"/>
      <c r="DR731" s="335"/>
      <c r="DS731" s="335"/>
      <c r="DT731" s="335"/>
      <c r="DU731" s="335"/>
      <c r="DV731" s="335"/>
      <c r="DW731" s="335"/>
      <c r="DX731" s="335"/>
      <c r="DY731" s="335"/>
      <c r="DZ731" s="335"/>
      <c r="EA731" s="335"/>
      <c r="EB731" s="335"/>
      <c r="EC731" s="335"/>
      <c r="ED731" s="335"/>
      <c r="EE731" s="335"/>
      <c r="EF731" s="335"/>
      <c r="EG731" s="335"/>
      <c r="EH731" s="335"/>
      <c r="EI731" s="335"/>
      <c r="EJ731" s="335"/>
      <c r="EK731" s="335"/>
      <c r="EL731" s="335"/>
      <c r="EM731" s="335"/>
      <c r="EN731" s="335"/>
      <c r="EO731" s="335"/>
      <c r="EP731" s="335"/>
      <c r="EQ731" s="335"/>
      <c r="ER731" s="335"/>
      <c r="ES731" s="335"/>
      <c r="ET731" s="335"/>
      <c r="EU731" s="335"/>
      <c r="EV731" s="335"/>
      <c r="EW731" s="335"/>
      <c r="EX731" s="335"/>
      <c r="EY731" s="335"/>
      <c r="EZ731" s="335"/>
      <c r="FA731" s="335"/>
      <c r="FB731" s="335"/>
      <c r="FC731" s="335"/>
      <c r="FD731" s="335"/>
      <c r="FE731" s="335"/>
      <c r="FF731" s="335"/>
      <c r="FG731" s="335"/>
      <c r="FH731" s="335"/>
      <c r="FI731" s="335"/>
      <c r="FJ731" s="335"/>
      <c r="FK731" s="335"/>
      <c r="FL731" s="335"/>
      <c r="FM731" s="335"/>
      <c r="FN731" s="335"/>
      <c r="FO731" s="335"/>
      <c r="FP731" s="335"/>
      <c r="FQ731" s="335"/>
      <c r="FR731" s="335"/>
      <c r="FS731" s="335"/>
      <c r="FT731" s="335"/>
      <c r="FU731" s="335"/>
      <c r="FV731" s="335"/>
      <c r="FW731" s="335"/>
      <c r="FX731" s="335"/>
      <c r="FY731" s="335"/>
      <c r="FZ731" s="335"/>
      <c r="GA731" s="335"/>
      <c r="GB731" s="335"/>
      <c r="GC731" s="335"/>
      <c r="GD731" s="335"/>
      <c r="GE731" s="335"/>
      <c r="GF731" s="335"/>
      <c r="GG731" s="335"/>
      <c r="GH731" s="335"/>
      <c r="GI731" s="335"/>
      <c r="GJ731" s="335"/>
      <c r="GK731" s="335"/>
      <c r="GL731" s="335"/>
      <c r="GM731" s="335"/>
      <c r="GN731" s="335"/>
      <c r="GO731" s="335"/>
      <c r="GP731" s="335"/>
      <c r="GQ731" s="335"/>
      <c r="GR731" s="335"/>
      <c r="GS731" s="335"/>
      <c r="GT731" s="335"/>
      <c r="GU731" s="335"/>
      <c r="GV731" s="335"/>
      <c r="GW731" s="335"/>
      <c r="GX731" s="335"/>
      <c r="GY731" s="335"/>
      <c r="GZ731" s="335"/>
    </row>
    <row r="732" spans="1:208" ht="15">
      <c r="A732" s="379"/>
      <c r="B732" s="335"/>
      <c r="C732" s="335"/>
      <c r="D732" s="335"/>
      <c r="E732" s="335"/>
      <c r="F732" s="335"/>
      <c r="G732" s="335"/>
      <c r="H732" s="335"/>
      <c r="I732" s="335"/>
      <c r="J732" s="335"/>
      <c r="K732" s="335"/>
      <c r="L732" s="335"/>
      <c r="M732" s="376"/>
      <c r="N732" s="335"/>
      <c r="O732" s="380"/>
      <c r="P732" s="335"/>
      <c r="Q732" s="335"/>
      <c r="R732" s="335"/>
      <c r="S732" s="335"/>
      <c r="T732" s="335"/>
      <c r="U732" s="335"/>
      <c r="V732" s="335"/>
      <c r="W732" s="335"/>
      <c r="X732" s="335"/>
      <c r="Y732" s="335"/>
      <c r="Z732" s="335"/>
      <c r="AA732" s="335"/>
      <c r="AB732" s="335"/>
      <c r="AC732" s="335"/>
      <c r="AD732" s="335"/>
      <c r="AE732" s="335"/>
      <c r="AF732" s="335"/>
      <c r="AG732" s="335"/>
      <c r="AH732" s="335"/>
      <c r="AI732" s="335"/>
      <c r="AJ732" s="335"/>
      <c r="AK732" s="335"/>
      <c r="AL732" s="335"/>
      <c r="AM732" s="335"/>
      <c r="AN732" s="335"/>
      <c r="AO732" s="335"/>
      <c r="AP732" s="335"/>
      <c r="AQ732" s="335"/>
      <c r="AR732" s="335"/>
      <c r="AS732" s="335"/>
      <c r="AT732" s="335"/>
      <c r="AU732" s="335"/>
      <c r="AV732" s="335"/>
      <c r="AW732" s="335"/>
      <c r="AX732" s="335"/>
      <c r="AY732" s="335"/>
      <c r="AZ732" s="335"/>
      <c r="BA732" s="335"/>
      <c r="BB732" s="335"/>
      <c r="BC732" s="335"/>
      <c r="BD732" s="335"/>
      <c r="BE732" s="335"/>
      <c r="BF732" s="335"/>
      <c r="BG732" s="335"/>
      <c r="BH732" s="335"/>
      <c r="BI732" s="335"/>
      <c r="BJ732" s="335"/>
      <c r="BK732" s="335"/>
      <c r="BL732" s="335"/>
      <c r="BM732" s="335"/>
      <c r="BN732" s="335"/>
      <c r="BO732" s="335"/>
      <c r="BP732" s="335"/>
      <c r="BQ732" s="335"/>
      <c r="BR732" s="335"/>
      <c r="BS732" s="335"/>
      <c r="BT732" s="335"/>
      <c r="BU732" s="335"/>
      <c r="BV732" s="335"/>
      <c r="BW732" s="335"/>
      <c r="BX732" s="335"/>
      <c r="BY732" s="335"/>
      <c r="BZ732" s="335"/>
      <c r="CA732" s="335"/>
      <c r="CB732" s="335"/>
      <c r="CC732" s="335"/>
      <c r="CD732" s="335"/>
      <c r="CE732" s="335"/>
      <c r="CF732" s="335"/>
      <c r="CG732" s="335"/>
      <c r="CH732" s="335"/>
      <c r="CI732" s="335"/>
      <c r="CJ732" s="335"/>
      <c r="CK732" s="335"/>
      <c r="CL732" s="335"/>
      <c r="CM732" s="335"/>
      <c r="CN732" s="335"/>
      <c r="CO732" s="335"/>
      <c r="CP732" s="335"/>
      <c r="CQ732" s="335"/>
      <c r="CR732" s="335"/>
      <c r="CS732" s="335"/>
      <c r="CT732" s="335"/>
      <c r="CU732" s="335"/>
      <c r="CV732" s="335"/>
      <c r="CW732" s="335"/>
      <c r="CX732" s="335"/>
      <c r="CY732" s="335"/>
      <c r="CZ732" s="335"/>
      <c r="DA732" s="335"/>
      <c r="DB732" s="335"/>
      <c r="DC732" s="335"/>
      <c r="DD732" s="335"/>
      <c r="DE732" s="335"/>
      <c r="DF732" s="335"/>
      <c r="DG732" s="335"/>
      <c r="DH732" s="335"/>
      <c r="DI732" s="335"/>
      <c r="DJ732" s="335"/>
      <c r="DK732" s="335"/>
      <c r="DL732" s="335"/>
      <c r="DM732" s="335"/>
      <c r="DN732" s="335"/>
      <c r="DO732" s="335"/>
      <c r="DP732" s="335"/>
      <c r="DQ732" s="335"/>
      <c r="DR732" s="335"/>
      <c r="DS732" s="335"/>
      <c r="DT732" s="335"/>
      <c r="DU732" s="335"/>
      <c r="DV732" s="335"/>
      <c r="DW732" s="335"/>
      <c r="DX732" s="335"/>
      <c r="DY732" s="335"/>
      <c r="DZ732" s="335"/>
      <c r="EA732" s="335"/>
      <c r="EB732" s="335"/>
      <c r="EC732" s="335"/>
      <c r="ED732" s="335"/>
      <c r="EE732" s="335"/>
      <c r="EF732" s="335"/>
      <c r="EG732" s="335"/>
      <c r="EH732" s="335"/>
      <c r="EI732" s="335"/>
      <c r="EJ732" s="335"/>
      <c r="EK732" s="335"/>
      <c r="EL732" s="335"/>
      <c r="EM732" s="335"/>
      <c r="EN732" s="335"/>
      <c r="EO732" s="335"/>
      <c r="EP732" s="335"/>
      <c r="EQ732" s="335"/>
      <c r="ER732" s="335"/>
      <c r="ES732" s="335"/>
      <c r="ET732" s="335"/>
      <c r="EU732" s="335"/>
      <c r="EV732" s="335"/>
      <c r="EW732" s="335"/>
      <c r="EX732" s="335"/>
      <c r="EY732" s="335"/>
      <c r="EZ732" s="335"/>
      <c r="FA732" s="335"/>
      <c r="FB732" s="335"/>
      <c r="FC732" s="335"/>
      <c r="FD732" s="335"/>
      <c r="FE732" s="335"/>
      <c r="FF732" s="335"/>
      <c r="FG732" s="335"/>
      <c r="FH732" s="335"/>
      <c r="FI732" s="335"/>
      <c r="FJ732" s="335"/>
      <c r="FK732" s="335"/>
      <c r="FL732" s="335"/>
      <c r="FM732" s="335"/>
      <c r="FN732" s="335"/>
      <c r="FO732" s="335"/>
      <c r="FP732" s="335"/>
      <c r="FQ732" s="335"/>
      <c r="FR732" s="335"/>
      <c r="FS732" s="335"/>
      <c r="FT732" s="335"/>
      <c r="FU732" s="335"/>
      <c r="FV732" s="335"/>
      <c r="FW732" s="335"/>
      <c r="FX732" s="335"/>
      <c r="FY732" s="335"/>
      <c r="FZ732" s="335"/>
      <c r="GA732" s="335"/>
      <c r="GB732" s="335"/>
      <c r="GC732" s="335"/>
      <c r="GD732" s="335"/>
      <c r="GE732" s="335"/>
      <c r="GF732" s="335"/>
      <c r="GG732" s="335"/>
      <c r="GH732" s="335"/>
      <c r="GI732" s="335"/>
      <c r="GJ732" s="335"/>
      <c r="GK732" s="335"/>
      <c r="GL732" s="335"/>
      <c r="GM732" s="335"/>
      <c r="GN732" s="335"/>
      <c r="GO732" s="335"/>
      <c r="GP732" s="335"/>
      <c r="GQ732" s="335"/>
      <c r="GR732" s="335"/>
      <c r="GS732" s="335"/>
      <c r="GT732" s="335"/>
      <c r="GU732" s="335"/>
      <c r="GV732" s="335"/>
      <c r="GW732" s="335"/>
      <c r="GX732" s="335"/>
      <c r="GY732" s="335"/>
      <c r="GZ732" s="335"/>
    </row>
    <row r="733" spans="1:208" ht="15">
      <c r="A733" s="379"/>
      <c r="B733" s="335"/>
      <c r="C733" s="335"/>
      <c r="D733" s="335"/>
      <c r="E733" s="335"/>
      <c r="F733" s="335"/>
      <c r="G733" s="335"/>
      <c r="H733" s="335"/>
      <c r="I733" s="335"/>
      <c r="J733" s="335"/>
      <c r="K733" s="335"/>
      <c r="L733" s="335"/>
      <c r="M733" s="376"/>
      <c r="N733" s="335"/>
      <c r="O733" s="380"/>
      <c r="P733" s="335"/>
      <c r="Q733" s="335"/>
      <c r="R733" s="335"/>
      <c r="S733" s="335"/>
      <c r="T733" s="335"/>
      <c r="U733" s="335"/>
      <c r="V733" s="335"/>
      <c r="W733" s="335"/>
      <c r="X733" s="335"/>
      <c r="Y733" s="335"/>
      <c r="Z733" s="335"/>
      <c r="AA733" s="335"/>
      <c r="AB733" s="335"/>
      <c r="AC733" s="335"/>
      <c r="AD733" s="335"/>
      <c r="AE733" s="335"/>
      <c r="AF733" s="335"/>
      <c r="AG733" s="335"/>
      <c r="AH733" s="335"/>
      <c r="AI733" s="335"/>
      <c r="AJ733" s="335"/>
      <c r="AK733" s="335"/>
      <c r="AL733" s="335"/>
      <c r="AM733" s="335"/>
      <c r="AN733" s="335"/>
      <c r="AO733" s="335"/>
      <c r="AP733" s="335"/>
      <c r="AQ733" s="335"/>
      <c r="AR733" s="335"/>
      <c r="AS733" s="335"/>
      <c r="AT733" s="335"/>
      <c r="AU733" s="335"/>
      <c r="AV733" s="335"/>
      <c r="AW733" s="335"/>
      <c r="AX733" s="335"/>
      <c r="AY733" s="335"/>
      <c r="AZ733" s="335"/>
      <c r="BA733" s="335"/>
      <c r="BB733" s="335"/>
      <c r="BC733" s="335"/>
      <c r="BD733" s="335"/>
      <c r="BE733" s="335"/>
      <c r="BF733" s="335"/>
      <c r="BG733" s="335"/>
      <c r="BH733" s="335"/>
      <c r="BI733" s="335"/>
      <c r="BJ733" s="335"/>
      <c r="BK733" s="335"/>
      <c r="BL733" s="335"/>
      <c r="BM733" s="335"/>
      <c r="BN733" s="335"/>
      <c r="BO733" s="335"/>
      <c r="BP733" s="335"/>
      <c r="BQ733" s="335"/>
      <c r="BR733" s="335"/>
      <c r="BS733" s="335"/>
      <c r="BT733" s="335"/>
      <c r="BU733" s="335"/>
      <c r="BV733" s="335"/>
      <c r="BW733" s="335"/>
      <c r="BX733" s="335"/>
      <c r="BY733" s="335"/>
      <c r="BZ733" s="335"/>
      <c r="CA733" s="335"/>
      <c r="CB733" s="335"/>
      <c r="CC733" s="335"/>
      <c r="CD733" s="335"/>
      <c r="CE733" s="335"/>
      <c r="CF733" s="335"/>
      <c r="CG733" s="335"/>
      <c r="CH733" s="335"/>
      <c r="CI733" s="335"/>
      <c r="CJ733" s="335"/>
      <c r="CK733" s="335"/>
      <c r="CL733" s="335"/>
      <c r="CM733" s="335"/>
      <c r="CN733" s="335"/>
      <c r="CO733" s="335"/>
      <c r="CP733" s="335"/>
      <c r="CQ733" s="335"/>
      <c r="CR733" s="335"/>
      <c r="CS733" s="335"/>
      <c r="CT733" s="335"/>
      <c r="CU733" s="335"/>
      <c r="CV733" s="335"/>
      <c r="CW733" s="335"/>
      <c r="CX733" s="335"/>
      <c r="CY733" s="335"/>
      <c r="CZ733" s="335"/>
      <c r="DA733" s="335"/>
      <c r="DB733" s="335"/>
      <c r="DC733" s="335"/>
      <c r="DD733" s="335"/>
      <c r="DE733" s="335"/>
      <c r="DF733" s="335"/>
      <c r="DG733" s="335"/>
      <c r="DH733" s="335"/>
      <c r="DI733" s="335"/>
      <c r="DJ733" s="335"/>
      <c r="DK733" s="335"/>
      <c r="DL733" s="335"/>
      <c r="DM733" s="335"/>
      <c r="DN733" s="335"/>
      <c r="DO733" s="335"/>
      <c r="DP733" s="335"/>
      <c r="DQ733" s="335"/>
      <c r="DR733" s="335"/>
      <c r="DS733" s="335"/>
      <c r="DT733" s="335"/>
      <c r="DU733" s="335"/>
      <c r="DV733" s="335"/>
      <c r="DW733" s="335"/>
      <c r="DX733" s="335"/>
      <c r="DY733" s="335"/>
      <c r="DZ733" s="335"/>
      <c r="EA733" s="335"/>
      <c r="EB733" s="335"/>
      <c r="EC733" s="335"/>
      <c r="ED733" s="335"/>
      <c r="EE733" s="335"/>
      <c r="EF733" s="335"/>
      <c r="EG733" s="335"/>
      <c r="EH733" s="335"/>
      <c r="EI733" s="335"/>
      <c r="EJ733" s="335"/>
      <c r="EK733" s="335"/>
      <c r="EL733" s="335"/>
      <c r="EM733" s="335"/>
      <c r="EN733" s="335"/>
      <c r="EO733" s="335"/>
      <c r="EP733" s="335"/>
      <c r="EQ733" s="335"/>
      <c r="ER733" s="335"/>
      <c r="ES733" s="335"/>
      <c r="ET733" s="335"/>
      <c r="EU733" s="335"/>
      <c r="EV733" s="335"/>
      <c r="EW733" s="335"/>
      <c r="EX733" s="335"/>
      <c r="EY733" s="335"/>
      <c r="EZ733" s="335"/>
      <c r="FA733" s="335"/>
      <c r="FB733" s="335"/>
      <c r="FC733" s="335"/>
      <c r="FD733" s="335"/>
      <c r="FE733" s="335"/>
      <c r="FF733" s="335"/>
      <c r="FG733" s="335"/>
      <c r="FH733" s="335"/>
      <c r="FI733" s="335"/>
      <c r="FJ733" s="335"/>
      <c r="FK733" s="335"/>
      <c r="FL733" s="335"/>
      <c r="FM733" s="335"/>
      <c r="FN733" s="335"/>
      <c r="FO733" s="335"/>
      <c r="FP733" s="335"/>
      <c r="FQ733" s="335"/>
      <c r="FR733" s="335"/>
      <c r="FS733" s="335"/>
      <c r="FT733" s="335"/>
      <c r="FU733" s="335"/>
      <c r="FV733" s="335"/>
      <c r="FW733" s="335"/>
      <c r="FX733" s="335"/>
      <c r="FY733" s="335"/>
      <c r="FZ733" s="335"/>
      <c r="GA733" s="335"/>
      <c r="GB733" s="335"/>
      <c r="GC733" s="335"/>
      <c r="GD733" s="335"/>
      <c r="GE733" s="335"/>
      <c r="GF733" s="335"/>
      <c r="GG733" s="335"/>
      <c r="GH733" s="335"/>
      <c r="GI733" s="335"/>
      <c r="GJ733" s="335"/>
      <c r="GK733" s="335"/>
      <c r="GL733" s="335"/>
      <c r="GM733" s="335"/>
      <c r="GN733" s="335"/>
      <c r="GO733" s="335"/>
      <c r="GP733" s="335"/>
      <c r="GQ733" s="335"/>
      <c r="GR733" s="335"/>
      <c r="GS733" s="335"/>
      <c r="GT733" s="335"/>
      <c r="GU733" s="335"/>
      <c r="GV733" s="335"/>
      <c r="GW733" s="335"/>
      <c r="GX733" s="335"/>
      <c r="GY733" s="335"/>
      <c r="GZ733" s="335"/>
    </row>
    <row r="734" spans="1:208" ht="15">
      <c r="A734" s="379"/>
      <c r="B734" s="335"/>
      <c r="C734" s="335"/>
      <c r="D734" s="335"/>
      <c r="E734" s="335"/>
      <c r="F734" s="335"/>
      <c r="G734" s="335"/>
      <c r="H734" s="335"/>
      <c r="I734" s="335"/>
      <c r="J734" s="335"/>
      <c r="K734" s="335"/>
      <c r="L734" s="335"/>
      <c r="M734" s="376"/>
      <c r="N734" s="335"/>
      <c r="O734" s="380"/>
      <c r="P734" s="335"/>
      <c r="Q734" s="335"/>
      <c r="R734" s="335"/>
      <c r="S734" s="335"/>
      <c r="T734" s="335"/>
      <c r="U734" s="335"/>
      <c r="V734" s="335"/>
      <c r="W734" s="335"/>
      <c r="X734" s="335"/>
      <c r="Y734" s="335"/>
      <c r="Z734" s="335"/>
      <c r="AA734" s="335"/>
      <c r="AB734" s="335"/>
      <c r="AC734" s="335"/>
      <c r="AD734" s="335"/>
      <c r="AE734" s="335"/>
      <c r="AF734" s="335"/>
      <c r="AG734" s="335"/>
      <c r="AH734" s="335"/>
      <c r="AI734" s="335"/>
      <c r="AJ734" s="335"/>
      <c r="AK734" s="335"/>
      <c r="AL734" s="335"/>
      <c r="AM734" s="335"/>
      <c r="AN734" s="335"/>
      <c r="AO734" s="335"/>
      <c r="AP734" s="335"/>
      <c r="AQ734" s="335"/>
      <c r="AR734" s="335"/>
      <c r="AS734" s="335"/>
      <c r="AT734" s="335"/>
      <c r="AU734" s="335"/>
      <c r="AV734" s="335"/>
      <c r="AW734" s="335"/>
      <c r="AX734" s="335"/>
      <c r="AY734" s="335"/>
      <c r="AZ734" s="335"/>
      <c r="BA734" s="335"/>
      <c r="BB734" s="335"/>
      <c r="BC734" s="335"/>
      <c r="BD734" s="335"/>
      <c r="BE734" s="335"/>
      <c r="BF734" s="335"/>
      <c r="BG734" s="335"/>
      <c r="BH734" s="335"/>
      <c r="BI734" s="335"/>
      <c r="BJ734" s="335"/>
      <c r="BK734" s="335"/>
      <c r="BL734" s="335"/>
      <c r="BM734" s="335"/>
      <c r="BN734" s="335"/>
      <c r="BO734" s="335"/>
      <c r="BP734" s="335"/>
      <c r="BQ734" s="335"/>
      <c r="BR734" s="335"/>
      <c r="BS734" s="335"/>
      <c r="BT734" s="335"/>
      <c r="BU734" s="335"/>
      <c r="BV734" s="335"/>
      <c r="BW734" s="335"/>
      <c r="BX734" s="335"/>
      <c r="BY734" s="335"/>
      <c r="BZ734" s="335"/>
      <c r="CA734" s="335"/>
      <c r="CB734" s="335"/>
      <c r="CC734" s="335"/>
      <c r="CD734" s="335"/>
      <c r="CE734" s="335"/>
      <c r="CF734" s="335"/>
      <c r="CG734" s="335"/>
      <c r="CH734" s="335"/>
      <c r="CI734" s="335"/>
      <c r="CJ734" s="335"/>
      <c r="CK734" s="335"/>
      <c r="CL734" s="335"/>
      <c r="CM734" s="335"/>
      <c r="CN734" s="335"/>
      <c r="CO734" s="335"/>
      <c r="CP734" s="335"/>
      <c r="CQ734" s="335"/>
      <c r="CR734" s="335"/>
      <c r="CS734" s="335"/>
      <c r="CT734" s="335"/>
      <c r="CU734" s="335"/>
      <c r="CV734" s="335"/>
      <c r="CW734" s="335"/>
      <c r="CX734" s="335"/>
      <c r="CY734" s="335"/>
      <c r="CZ734" s="335"/>
      <c r="DA734" s="335"/>
      <c r="DB734" s="335"/>
      <c r="DC734" s="335"/>
      <c r="DD734" s="335"/>
      <c r="DE734" s="335"/>
      <c r="DF734" s="335"/>
      <c r="DG734" s="335"/>
      <c r="DH734" s="335"/>
      <c r="DI734" s="335"/>
      <c r="DJ734" s="335"/>
      <c r="DK734" s="335"/>
      <c r="DL734" s="335"/>
      <c r="DM734" s="335"/>
      <c r="DN734" s="335"/>
      <c r="DO734" s="335"/>
      <c r="DP734" s="335"/>
      <c r="DQ734" s="335"/>
      <c r="DR734" s="335"/>
      <c r="DS734" s="335"/>
      <c r="DT734" s="335"/>
      <c r="DU734" s="335"/>
      <c r="DV734" s="335"/>
      <c r="DW734" s="335"/>
      <c r="DX734" s="335"/>
      <c r="DY734" s="335"/>
      <c r="DZ734" s="335"/>
      <c r="EA734" s="335"/>
      <c r="EB734" s="335"/>
      <c r="EC734" s="335"/>
      <c r="ED734" s="335"/>
      <c r="EE734" s="335"/>
      <c r="EF734" s="335"/>
      <c r="EG734" s="335"/>
      <c r="EH734" s="335"/>
      <c r="EI734" s="335"/>
      <c r="EJ734" s="335"/>
      <c r="EK734" s="335"/>
      <c r="EL734" s="335"/>
      <c r="EM734" s="335"/>
      <c r="EN734" s="335"/>
      <c r="EO734" s="335"/>
      <c r="EP734" s="335"/>
      <c r="EQ734" s="335"/>
      <c r="ER734" s="335"/>
      <c r="ES734" s="335"/>
      <c r="ET734" s="335"/>
      <c r="EU734" s="335"/>
      <c r="EV734" s="335"/>
      <c r="EW734" s="335"/>
      <c r="EX734" s="335"/>
      <c r="EY734" s="335"/>
      <c r="EZ734" s="335"/>
      <c r="FA734" s="335"/>
      <c r="FB734" s="335"/>
      <c r="FC734" s="335"/>
      <c r="FD734" s="335"/>
      <c r="FE734" s="335"/>
      <c r="FF734" s="335"/>
      <c r="FG734" s="335"/>
      <c r="FH734" s="335"/>
      <c r="FI734" s="335"/>
      <c r="FJ734" s="335"/>
      <c r="FK734" s="335"/>
      <c r="FL734" s="335"/>
      <c r="FM734" s="335"/>
      <c r="FN734" s="335"/>
      <c r="FO734" s="335"/>
      <c r="FP734" s="335"/>
      <c r="FQ734" s="335"/>
      <c r="FR734" s="335"/>
      <c r="FS734" s="335"/>
      <c r="FT734" s="335"/>
      <c r="FU734" s="335"/>
      <c r="FV734" s="335"/>
      <c r="FW734" s="335"/>
      <c r="FX734" s="335"/>
      <c r="FY734" s="335"/>
      <c r="FZ734" s="335"/>
      <c r="GA734" s="335"/>
      <c r="GB734" s="335"/>
      <c r="GC734" s="335"/>
      <c r="GD734" s="335"/>
      <c r="GE734" s="335"/>
      <c r="GF734" s="335"/>
      <c r="GG734" s="335"/>
      <c r="GH734" s="335"/>
      <c r="GI734" s="335"/>
      <c r="GJ734" s="335"/>
      <c r="GK734" s="335"/>
      <c r="GL734" s="335"/>
      <c r="GM734" s="335"/>
      <c r="GN734" s="335"/>
      <c r="GO734" s="335"/>
      <c r="GP734" s="335"/>
      <c r="GQ734" s="335"/>
      <c r="GR734" s="335"/>
      <c r="GS734" s="335"/>
      <c r="GT734" s="335"/>
      <c r="GU734" s="335"/>
      <c r="GV734" s="335"/>
      <c r="GW734" s="335"/>
      <c r="GX734" s="335"/>
      <c r="GY734" s="335"/>
      <c r="GZ734" s="335"/>
    </row>
    <row r="735" spans="1:208" ht="15">
      <c r="A735" s="379"/>
      <c r="B735" s="335"/>
      <c r="C735" s="335"/>
      <c r="D735" s="335"/>
      <c r="E735" s="335"/>
      <c r="F735" s="335"/>
      <c r="G735" s="335"/>
      <c r="H735" s="335"/>
      <c r="I735" s="335"/>
      <c r="J735" s="335"/>
      <c r="K735" s="335"/>
      <c r="L735" s="335"/>
      <c r="M735" s="376"/>
      <c r="N735" s="335"/>
      <c r="O735" s="380"/>
      <c r="P735" s="335"/>
      <c r="Q735" s="335"/>
      <c r="R735" s="335"/>
      <c r="S735" s="335"/>
      <c r="T735" s="335"/>
      <c r="U735" s="335"/>
      <c r="V735" s="335"/>
      <c r="W735" s="335"/>
      <c r="X735" s="335"/>
      <c r="Y735" s="335"/>
      <c r="Z735" s="335"/>
      <c r="AA735" s="335"/>
      <c r="AB735" s="335"/>
      <c r="AC735" s="335"/>
      <c r="AD735" s="335"/>
      <c r="AE735" s="335"/>
      <c r="AF735" s="335"/>
      <c r="AG735" s="335"/>
      <c r="AH735" s="335"/>
      <c r="AI735" s="335"/>
      <c r="AJ735" s="335"/>
      <c r="AK735" s="335"/>
      <c r="AL735" s="335"/>
      <c r="AM735" s="335"/>
      <c r="AN735" s="335"/>
      <c r="AO735" s="335"/>
      <c r="AP735" s="335"/>
      <c r="AQ735" s="335"/>
      <c r="AR735" s="335"/>
      <c r="AS735" s="335"/>
      <c r="AT735" s="335"/>
      <c r="AU735" s="335"/>
      <c r="AV735" s="335"/>
      <c r="AW735" s="335"/>
      <c r="AX735" s="335"/>
      <c r="AY735" s="335"/>
      <c r="AZ735" s="335"/>
      <c r="BA735" s="335"/>
      <c r="BB735" s="335"/>
      <c r="BC735" s="335"/>
      <c r="BD735" s="335"/>
      <c r="BE735" s="335"/>
      <c r="BF735" s="335"/>
      <c r="BG735" s="335"/>
      <c r="BH735" s="335"/>
      <c r="BI735" s="335"/>
      <c r="BJ735" s="335"/>
      <c r="BK735" s="335"/>
      <c r="BL735" s="335"/>
      <c r="BM735" s="335"/>
      <c r="BN735" s="335"/>
      <c r="BO735" s="335"/>
      <c r="BP735" s="335"/>
      <c r="BQ735" s="335"/>
      <c r="BR735" s="335"/>
      <c r="BS735" s="335"/>
      <c r="BT735" s="335"/>
      <c r="BU735" s="335"/>
      <c r="BV735" s="335"/>
      <c r="BW735" s="335"/>
      <c r="BX735" s="335"/>
      <c r="BY735" s="335"/>
      <c r="BZ735" s="335"/>
      <c r="CA735" s="335"/>
      <c r="CB735" s="335"/>
      <c r="CC735" s="335"/>
      <c r="CD735" s="335"/>
      <c r="CE735" s="335"/>
      <c r="CF735" s="335"/>
      <c r="CG735" s="335"/>
      <c r="CH735" s="335"/>
      <c r="CI735" s="335"/>
      <c r="CJ735" s="335"/>
      <c r="CK735" s="335"/>
      <c r="CL735" s="335"/>
      <c r="CM735" s="335"/>
      <c r="CN735" s="335"/>
      <c r="CO735" s="335"/>
      <c r="CP735" s="335"/>
      <c r="CQ735" s="335"/>
      <c r="CR735" s="335"/>
      <c r="CS735" s="335"/>
      <c r="CT735" s="335"/>
      <c r="CU735" s="335"/>
      <c r="CV735" s="335"/>
      <c r="CW735" s="335"/>
      <c r="CX735" s="335"/>
      <c r="CY735" s="335"/>
      <c r="CZ735" s="335"/>
      <c r="DA735" s="335"/>
      <c r="DB735" s="335"/>
      <c r="DC735" s="335"/>
      <c r="DD735" s="335"/>
      <c r="DE735" s="335"/>
      <c r="DF735" s="335"/>
      <c r="DG735" s="335"/>
      <c r="DH735" s="335"/>
      <c r="DI735" s="335"/>
      <c r="DJ735" s="335"/>
      <c r="DK735" s="335"/>
      <c r="DL735" s="335"/>
      <c r="DM735" s="335"/>
      <c r="DN735" s="335"/>
      <c r="DO735" s="335"/>
      <c r="DP735" s="335"/>
      <c r="DQ735" s="335"/>
      <c r="DR735" s="335"/>
      <c r="DS735" s="335"/>
      <c r="DT735" s="335"/>
      <c r="DU735" s="335"/>
      <c r="DV735" s="335"/>
      <c r="DW735" s="335"/>
      <c r="DX735" s="335"/>
      <c r="DY735" s="335"/>
      <c r="DZ735" s="335"/>
      <c r="EA735" s="335"/>
      <c r="EB735" s="335"/>
      <c r="EC735" s="335"/>
      <c r="ED735" s="335"/>
      <c r="EE735" s="335"/>
      <c r="EF735" s="335"/>
      <c r="EG735" s="335"/>
      <c r="EH735" s="335"/>
      <c r="EI735" s="335"/>
      <c r="EJ735" s="335"/>
      <c r="EK735" s="335"/>
      <c r="EL735" s="335"/>
      <c r="EM735" s="335"/>
      <c r="EN735" s="335"/>
      <c r="EO735" s="335"/>
      <c r="EP735" s="335"/>
      <c r="EQ735" s="335"/>
      <c r="ER735" s="335"/>
      <c r="ES735" s="335"/>
      <c r="ET735" s="335"/>
      <c r="EU735" s="335"/>
      <c r="EV735" s="335"/>
      <c r="EW735" s="335"/>
      <c r="EX735" s="335"/>
      <c r="EY735" s="335"/>
      <c r="EZ735" s="335"/>
      <c r="FA735" s="335"/>
      <c r="FB735" s="335"/>
      <c r="FC735" s="335"/>
      <c r="FD735" s="335"/>
      <c r="FE735" s="335"/>
      <c r="FF735" s="335"/>
      <c r="FG735" s="335"/>
      <c r="FH735" s="335"/>
      <c r="FI735" s="335"/>
      <c r="FJ735" s="335"/>
      <c r="FK735" s="335"/>
      <c r="FL735" s="335"/>
      <c r="FM735" s="335"/>
      <c r="FN735" s="335"/>
      <c r="FO735" s="335"/>
      <c r="FP735" s="335"/>
      <c r="FQ735" s="335"/>
      <c r="FR735" s="335"/>
      <c r="FS735" s="335"/>
      <c r="FT735" s="335"/>
      <c r="FU735" s="335"/>
      <c r="FV735" s="335"/>
      <c r="FW735" s="335"/>
      <c r="FX735" s="335"/>
      <c r="FY735" s="335"/>
      <c r="FZ735" s="335"/>
      <c r="GA735" s="335"/>
      <c r="GB735" s="335"/>
      <c r="GC735" s="335"/>
      <c r="GD735" s="335"/>
      <c r="GE735" s="335"/>
      <c r="GF735" s="335"/>
      <c r="GG735" s="335"/>
      <c r="GH735" s="335"/>
      <c r="GI735" s="335"/>
      <c r="GJ735" s="335"/>
      <c r="GK735" s="335"/>
      <c r="GL735" s="335"/>
      <c r="GM735" s="335"/>
      <c r="GN735" s="335"/>
      <c r="GO735" s="335"/>
      <c r="GP735" s="335"/>
      <c r="GQ735" s="335"/>
      <c r="GR735" s="335"/>
      <c r="GS735" s="335"/>
      <c r="GT735" s="335"/>
      <c r="GU735" s="335"/>
      <c r="GV735" s="335"/>
      <c r="GW735" s="335"/>
      <c r="GX735" s="335"/>
      <c r="GY735" s="335"/>
      <c r="GZ735" s="335"/>
    </row>
    <row r="736" spans="1:208" ht="15">
      <c r="A736" s="379"/>
      <c r="B736" s="335"/>
      <c r="C736" s="335"/>
      <c r="D736" s="335"/>
      <c r="E736" s="335"/>
      <c r="F736" s="335"/>
      <c r="G736" s="335"/>
      <c r="H736" s="335"/>
      <c r="I736" s="335"/>
      <c r="J736" s="335"/>
      <c r="K736" s="335"/>
      <c r="L736" s="335"/>
      <c r="M736" s="376"/>
      <c r="N736" s="335"/>
      <c r="O736" s="380"/>
      <c r="P736" s="335"/>
      <c r="Q736" s="335"/>
      <c r="R736" s="335"/>
      <c r="S736" s="335"/>
      <c r="T736" s="335"/>
      <c r="U736" s="335"/>
      <c r="V736" s="335"/>
      <c r="W736" s="335"/>
      <c r="X736" s="335"/>
      <c r="Y736" s="335"/>
      <c r="Z736" s="335"/>
      <c r="AA736" s="335"/>
      <c r="AB736" s="335"/>
      <c r="AC736" s="335"/>
      <c r="AD736" s="335"/>
      <c r="AE736" s="335"/>
      <c r="AF736" s="335"/>
      <c r="AG736" s="335"/>
      <c r="AH736" s="335"/>
      <c r="AI736" s="335"/>
      <c r="AJ736" s="335"/>
      <c r="AK736" s="335"/>
      <c r="AL736" s="335"/>
      <c r="AM736" s="335"/>
      <c r="AN736" s="335"/>
      <c r="AO736" s="335"/>
      <c r="AP736" s="335"/>
      <c r="AQ736" s="335"/>
      <c r="AR736" s="335"/>
      <c r="AS736" s="335"/>
      <c r="AT736" s="335"/>
      <c r="AU736" s="335"/>
      <c r="AV736" s="335"/>
      <c r="AW736" s="335"/>
      <c r="AX736" s="335"/>
      <c r="AY736" s="335"/>
      <c r="AZ736" s="335"/>
      <c r="BA736" s="335"/>
      <c r="BB736" s="335"/>
      <c r="BC736" s="335"/>
      <c r="BD736" s="335"/>
      <c r="BE736" s="335"/>
      <c r="BF736" s="335"/>
      <c r="BG736" s="335"/>
      <c r="BH736" s="335"/>
      <c r="BI736" s="335"/>
      <c r="BJ736" s="335"/>
      <c r="BK736" s="335"/>
      <c r="BL736" s="335"/>
      <c r="BM736" s="335"/>
      <c r="BN736" s="335"/>
      <c r="BO736" s="335"/>
      <c r="BP736" s="335"/>
      <c r="BQ736" s="335"/>
      <c r="BR736" s="335"/>
      <c r="BS736" s="335"/>
      <c r="BT736" s="335"/>
      <c r="BU736" s="335"/>
      <c r="BV736" s="335"/>
      <c r="BW736" s="335"/>
      <c r="BX736" s="335"/>
      <c r="BY736" s="335"/>
      <c r="BZ736" s="335"/>
      <c r="CA736" s="335"/>
      <c r="CB736" s="335"/>
      <c r="CC736" s="335"/>
      <c r="CD736" s="335"/>
      <c r="CE736" s="335"/>
      <c r="CF736" s="335"/>
      <c r="CG736" s="335"/>
      <c r="CH736" s="335"/>
      <c r="CI736" s="335"/>
      <c r="CJ736" s="335"/>
      <c r="CK736" s="335"/>
      <c r="CL736" s="335"/>
      <c r="CM736" s="335"/>
      <c r="CN736" s="335"/>
      <c r="CO736" s="335"/>
      <c r="CP736" s="335"/>
      <c r="CQ736" s="335"/>
      <c r="CR736" s="335"/>
      <c r="CS736" s="335"/>
      <c r="CT736" s="335"/>
      <c r="CU736" s="335"/>
      <c r="CV736" s="335"/>
      <c r="CW736" s="335"/>
      <c r="CX736" s="335"/>
      <c r="CY736" s="335"/>
      <c r="CZ736" s="335"/>
      <c r="DA736" s="335"/>
      <c r="DB736" s="335"/>
      <c r="DC736" s="335"/>
      <c r="DD736" s="335"/>
      <c r="DE736" s="335"/>
      <c r="DF736" s="335"/>
      <c r="DG736" s="335"/>
      <c r="DH736" s="335"/>
      <c r="DI736" s="335"/>
      <c r="DJ736" s="335"/>
      <c r="DK736" s="335"/>
      <c r="DL736" s="335"/>
      <c r="DM736" s="335"/>
      <c r="DN736" s="335"/>
      <c r="DO736" s="335"/>
      <c r="DP736" s="335"/>
      <c r="DQ736" s="335"/>
      <c r="DR736" s="335"/>
      <c r="DS736" s="335"/>
      <c r="DT736" s="335"/>
      <c r="DU736" s="335"/>
      <c r="DV736" s="335"/>
      <c r="DW736" s="335"/>
      <c r="DX736" s="335"/>
      <c r="DY736" s="335"/>
      <c r="DZ736" s="335"/>
      <c r="EA736" s="335"/>
      <c r="EB736" s="335"/>
      <c r="EC736" s="335"/>
      <c r="ED736" s="335"/>
      <c r="EE736" s="335"/>
      <c r="EF736" s="335"/>
      <c r="EG736" s="335"/>
      <c r="EH736" s="335"/>
      <c r="EI736" s="335"/>
      <c r="EJ736" s="335"/>
      <c r="EK736" s="335"/>
      <c r="EL736" s="335"/>
      <c r="EM736" s="335"/>
      <c r="EN736" s="335"/>
      <c r="EO736" s="335"/>
      <c r="EP736" s="335"/>
      <c r="EQ736" s="335"/>
      <c r="ER736" s="335"/>
      <c r="ES736" s="335"/>
      <c r="ET736" s="335"/>
      <c r="EU736" s="335"/>
      <c r="EV736" s="335"/>
      <c r="EW736" s="335"/>
      <c r="EX736" s="335"/>
      <c r="EY736" s="335"/>
      <c r="EZ736" s="335"/>
      <c r="FA736" s="335"/>
      <c r="FB736" s="335"/>
      <c r="FC736" s="335"/>
      <c r="FD736" s="335"/>
      <c r="FE736" s="335"/>
      <c r="FF736" s="335"/>
      <c r="FG736" s="335"/>
      <c r="FH736" s="335"/>
      <c r="FI736" s="335"/>
      <c r="FJ736" s="335"/>
      <c r="FK736" s="335"/>
      <c r="FL736" s="335"/>
      <c r="FM736" s="335"/>
      <c r="FN736" s="335"/>
      <c r="FO736" s="335"/>
      <c r="FP736" s="335"/>
      <c r="FQ736" s="335"/>
      <c r="FR736" s="335"/>
      <c r="FS736" s="335"/>
      <c r="FT736" s="335"/>
      <c r="FU736" s="335"/>
      <c r="FV736" s="335"/>
      <c r="FW736" s="335"/>
      <c r="FX736" s="335"/>
      <c r="FY736" s="335"/>
      <c r="FZ736" s="335"/>
      <c r="GA736" s="335"/>
      <c r="GB736" s="335"/>
      <c r="GC736" s="335"/>
      <c r="GD736" s="335"/>
      <c r="GE736" s="335"/>
      <c r="GF736" s="335"/>
      <c r="GG736" s="335"/>
      <c r="GH736" s="335"/>
      <c r="GI736" s="335"/>
      <c r="GJ736" s="335"/>
      <c r="GK736" s="335"/>
      <c r="GL736" s="335"/>
      <c r="GM736" s="335"/>
      <c r="GN736" s="335"/>
      <c r="GO736" s="335"/>
      <c r="GP736" s="335"/>
      <c r="GQ736" s="335"/>
      <c r="GR736" s="335"/>
      <c r="GS736" s="335"/>
      <c r="GT736" s="335"/>
      <c r="GU736" s="335"/>
      <c r="GV736" s="335"/>
      <c r="GW736" s="335"/>
      <c r="GX736" s="335"/>
      <c r="GY736" s="335"/>
      <c r="GZ736" s="335"/>
    </row>
    <row r="737" spans="1:208" ht="15">
      <c r="A737" s="379"/>
      <c r="B737" s="335"/>
      <c r="C737" s="335"/>
      <c r="D737" s="335"/>
      <c r="E737" s="335"/>
      <c r="F737" s="335"/>
      <c r="G737" s="335"/>
      <c r="H737" s="335"/>
      <c r="I737" s="335"/>
      <c r="J737" s="335"/>
      <c r="K737" s="335"/>
      <c r="L737" s="335"/>
      <c r="M737" s="376"/>
      <c r="N737" s="335"/>
      <c r="O737" s="380"/>
      <c r="P737" s="335"/>
      <c r="Q737" s="335"/>
      <c r="R737" s="335"/>
      <c r="S737" s="335"/>
      <c r="T737" s="335"/>
      <c r="U737" s="335"/>
      <c r="V737" s="335"/>
      <c r="W737" s="335"/>
      <c r="X737" s="335"/>
      <c r="Y737" s="335"/>
      <c r="Z737" s="335"/>
      <c r="AA737" s="335"/>
      <c r="AB737" s="335"/>
      <c r="AC737" s="335"/>
      <c r="AD737" s="335"/>
      <c r="AE737" s="335"/>
      <c r="AF737" s="335"/>
      <c r="AG737" s="335"/>
      <c r="AH737" s="335"/>
      <c r="AI737" s="335"/>
      <c r="AJ737" s="335"/>
      <c r="AK737" s="335"/>
      <c r="AL737" s="335"/>
      <c r="AM737" s="335"/>
      <c r="AN737" s="335"/>
      <c r="AO737" s="335"/>
      <c r="AP737" s="335"/>
      <c r="AQ737" s="335"/>
      <c r="AR737" s="335"/>
      <c r="AS737" s="335"/>
      <c r="AT737" s="335"/>
      <c r="AU737" s="335"/>
      <c r="AV737" s="335"/>
      <c r="AW737" s="335"/>
      <c r="AX737" s="335"/>
      <c r="AY737" s="335"/>
      <c r="AZ737" s="335"/>
      <c r="BA737" s="335"/>
      <c r="BB737" s="335"/>
      <c r="BC737" s="335"/>
      <c r="BD737" s="335"/>
      <c r="BE737" s="335"/>
      <c r="BF737" s="335"/>
      <c r="BG737" s="335"/>
      <c r="BH737" s="335"/>
      <c r="BI737" s="335"/>
      <c r="BJ737" s="335"/>
      <c r="BK737" s="335"/>
      <c r="BL737" s="335"/>
      <c r="BM737" s="335"/>
      <c r="BN737" s="335"/>
      <c r="BO737" s="335"/>
      <c r="BP737" s="335"/>
      <c r="BQ737" s="335"/>
      <c r="BR737" s="335"/>
      <c r="BS737" s="335"/>
      <c r="BT737" s="335"/>
      <c r="BU737" s="335"/>
      <c r="BV737" s="335"/>
      <c r="BW737" s="335"/>
      <c r="BX737" s="335"/>
      <c r="BY737" s="335"/>
      <c r="BZ737" s="335"/>
      <c r="CA737" s="335"/>
      <c r="CB737" s="335"/>
      <c r="CC737" s="335"/>
      <c r="CD737" s="335"/>
      <c r="CE737" s="335"/>
      <c r="CF737" s="335"/>
      <c r="CG737" s="335"/>
      <c r="CH737" s="335"/>
      <c r="CI737" s="335"/>
      <c r="CJ737" s="335"/>
      <c r="CK737" s="335"/>
      <c r="CL737" s="335"/>
      <c r="CM737" s="335"/>
      <c r="CN737" s="335"/>
      <c r="CO737" s="335"/>
      <c r="CP737" s="335"/>
      <c r="CQ737" s="335"/>
      <c r="CR737" s="335"/>
      <c r="CS737" s="335"/>
      <c r="CT737" s="335"/>
      <c r="CU737" s="335"/>
      <c r="CV737" s="335"/>
      <c r="CW737" s="335"/>
      <c r="CX737" s="335"/>
      <c r="CY737" s="335"/>
      <c r="CZ737" s="335"/>
      <c r="DA737" s="335"/>
      <c r="DB737" s="335"/>
      <c r="DC737" s="335"/>
      <c r="DD737" s="335"/>
      <c r="DE737" s="335"/>
      <c r="DF737" s="335"/>
      <c r="DG737" s="335"/>
      <c r="DH737" s="335"/>
      <c r="DI737" s="335"/>
      <c r="DJ737" s="335"/>
      <c r="DK737" s="335"/>
      <c r="DL737" s="335"/>
      <c r="DM737" s="335"/>
      <c r="DN737" s="335"/>
      <c r="DO737" s="335"/>
      <c r="DP737" s="335"/>
      <c r="DQ737" s="335"/>
      <c r="DR737" s="335"/>
      <c r="DS737" s="335"/>
      <c r="DT737" s="335"/>
      <c r="DU737" s="335"/>
      <c r="DV737" s="335"/>
      <c r="DW737" s="335"/>
      <c r="DX737" s="335"/>
      <c r="DY737" s="335"/>
      <c r="DZ737" s="335"/>
      <c r="EA737" s="335"/>
      <c r="EB737" s="335"/>
      <c r="EC737" s="335"/>
      <c r="ED737" s="335"/>
      <c r="EE737" s="335"/>
      <c r="EF737" s="335"/>
      <c r="EG737" s="335"/>
      <c r="EH737" s="335"/>
      <c r="EI737" s="335"/>
      <c r="EJ737" s="335"/>
      <c r="EK737" s="335"/>
      <c r="EL737" s="335"/>
      <c r="EM737" s="335"/>
      <c r="EN737" s="335"/>
      <c r="EO737" s="335"/>
      <c r="EP737" s="335"/>
      <c r="EQ737" s="335"/>
      <c r="ER737" s="335"/>
      <c r="ES737" s="335"/>
      <c r="ET737" s="335"/>
      <c r="EU737" s="335"/>
      <c r="EV737" s="335"/>
      <c r="EW737" s="335"/>
      <c r="EX737" s="335"/>
      <c r="EY737" s="335"/>
      <c r="EZ737" s="335"/>
      <c r="FA737" s="335"/>
      <c r="FB737" s="335"/>
      <c r="FC737" s="335"/>
      <c r="FD737" s="335"/>
      <c r="FE737" s="335"/>
      <c r="FF737" s="335"/>
      <c r="FG737" s="335"/>
      <c r="FH737" s="335"/>
      <c r="FI737" s="335"/>
      <c r="FJ737" s="335"/>
      <c r="FK737" s="335"/>
      <c r="FL737" s="335"/>
      <c r="FM737" s="335"/>
      <c r="FN737" s="335"/>
      <c r="FO737" s="335"/>
      <c r="FP737" s="335"/>
      <c r="FQ737" s="335"/>
      <c r="FR737" s="335"/>
      <c r="FS737" s="335"/>
      <c r="FT737" s="335"/>
      <c r="FU737" s="335"/>
      <c r="FV737" s="335"/>
      <c r="FW737" s="335"/>
      <c r="FX737" s="335"/>
      <c r="FY737" s="335"/>
      <c r="FZ737" s="335"/>
      <c r="GA737" s="335"/>
      <c r="GB737" s="335"/>
      <c r="GC737" s="335"/>
      <c r="GD737" s="335"/>
      <c r="GE737" s="335"/>
      <c r="GF737" s="335"/>
      <c r="GG737" s="335"/>
      <c r="GH737" s="335"/>
      <c r="GI737" s="335"/>
      <c r="GJ737" s="335"/>
      <c r="GK737" s="335"/>
      <c r="GL737" s="335"/>
      <c r="GM737" s="335"/>
      <c r="GN737" s="335"/>
      <c r="GO737" s="335"/>
      <c r="GP737" s="335"/>
      <c r="GQ737" s="335"/>
      <c r="GR737" s="335"/>
      <c r="GS737" s="335"/>
      <c r="GT737" s="335"/>
      <c r="GU737" s="335"/>
      <c r="GV737" s="335"/>
      <c r="GW737" s="335"/>
      <c r="GX737" s="335"/>
      <c r="GY737" s="335"/>
      <c r="GZ737" s="335"/>
    </row>
    <row r="738" spans="1:208" ht="15">
      <c r="A738" s="379"/>
      <c r="B738" s="335"/>
      <c r="C738" s="335"/>
      <c r="D738" s="335"/>
      <c r="E738" s="335"/>
      <c r="F738" s="335"/>
      <c r="G738" s="335"/>
      <c r="H738" s="335"/>
      <c r="I738" s="335"/>
      <c r="J738" s="335"/>
      <c r="K738" s="335"/>
      <c r="L738" s="335"/>
      <c r="M738" s="376"/>
      <c r="N738" s="335"/>
      <c r="O738" s="380"/>
      <c r="P738" s="335"/>
      <c r="Q738" s="335"/>
      <c r="R738" s="335"/>
      <c r="S738" s="335"/>
      <c r="T738" s="335"/>
      <c r="U738" s="335"/>
      <c r="V738" s="335"/>
      <c r="W738" s="335"/>
      <c r="X738" s="335"/>
      <c r="Y738" s="335"/>
      <c r="Z738" s="335"/>
      <c r="AA738" s="335"/>
      <c r="AB738" s="335"/>
      <c r="AC738" s="335"/>
      <c r="AD738" s="335"/>
      <c r="AE738" s="335"/>
      <c r="AF738" s="335"/>
      <c r="AG738" s="335"/>
      <c r="AH738" s="335"/>
      <c r="AI738" s="335"/>
      <c r="AJ738" s="335"/>
      <c r="AK738" s="335"/>
      <c r="AL738" s="335"/>
      <c r="AM738" s="335"/>
      <c r="AN738" s="335"/>
      <c r="AO738" s="335"/>
      <c r="AP738" s="335"/>
      <c r="AQ738" s="335"/>
      <c r="AR738" s="335"/>
      <c r="AS738" s="335"/>
      <c r="AT738" s="335"/>
      <c r="AU738" s="335"/>
      <c r="AV738" s="335"/>
      <c r="AW738" s="335"/>
      <c r="AX738" s="335"/>
      <c r="AY738" s="335"/>
      <c r="AZ738" s="335"/>
      <c r="BA738" s="335"/>
      <c r="BB738" s="335"/>
      <c r="BC738" s="335"/>
      <c r="BD738" s="335"/>
      <c r="BE738" s="335"/>
      <c r="BF738" s="335"/>
      <c r="BG738" s="335"/>
      <c r="BH738" s="335"/>
      <c r="BI738" s="335"/>
      <c r="BJ738" s="335"/>
      <c r="BK738" s="335"/>
      <c r="BL738" s="335"/>
      <c r="BM738" s="335"/>
      <c r="BN738" s="335"/>
      <c r="BO738" s="335"/>
      <c r="BP738" s="335"/>
      <c r="BQ738" s="335"/>
      <c r="BR738" s="335"/>
      <c r="BS738" s="335"/>
      <c r="BT738" s="335"/>
      <c r="BU738" s="335"/>
      <c r="BV738" s="335"/>
      <c r="BW738" s="335"/>
      <c r="BX738" s="335"/>
      <c r="BY738" s="335"/>
      <c r="BZ738" s="335"/>
      <c r="CA738" s="335"/>
      <c r="CB738" s="335"/>
      <c r="CC738" s="335"/>
      <c r="CD738" s="335"/>
      <c r="CE738" s="335"/>
      <c r="CF738" s="335"/>
      <c r="CG738" s="335"/>
      <c r="CH738" s="335"/>
      <c r="CI738" s="335"/>
      <c r="CJ738" s="335"/>
      <c r="CK738" s="335"/>
      <c r="CL738" s="335"/>
      <c r="CM738" s="335"/>
      <c r="CN738" s="335"/>
      <c r="CO738" s="335"/>
      <c r="CP738" s="335"/>
      <c r="CQ738" s="335"/>
      <c r="CR738" s="335"/>
      <c r="CS738" s="335"/>
      <c r="CT738" s="335"/>
      <c r="CU738" s="335"/>
      <c r="CV738" s="335"/>
      <c r="CW738" s="335"/>
      <c r="CX738" s="335"/>
      <c r="CY738" s="335"/>
      <c r="CZ738" s="335"/>
      <c r="DA738" s="335"/>
      <c r="DB738" s="335"/>
      <c r="DC738" s="335"/>
      <c r="DD738" s="335"/>
      <c r="DE738" s="335"/>
      <c r="DF738" s="335"/>
      <c r="DG738" s="335"/>
      <c r="DH738" s="335"/>
      <c r="DI738" s="335"/>
      <c r="DJ738" s="335"/>
      <c r="DK738" s="335"/>
      <c r="DL738" s="335"/>
      <c r="DM738" s="335"/>
      <c r="DN738" s="335"/>
      <c r="DO738" s="335"/>
      <c r="DP738" s="335"/>
      <c r="DQ738" s="335"/>
      <c r="DR738" s="335"/>
      <c r="DS738" s="335"/>
      <c r="DT738" s="335"/>
      <c r="DU738" s="335"/>
      <c r="DV738" s="335"/>
      <c r="DW738" s="335"/>
      <c r="DX738" s="335"/>
      <c r="DY738" s="335"/>
      <c r="DZ738" s="335"/>
      <c r="EA738" s="335"/>
      <c r="EB738" s="335"/>
      <c r="EC738" s="335"/>
      <c r="ED738" s="335"/>
      <c r="EE738" s="335"/>
      <c r="EF738" s="335"/>
      <c r="EG738" s="335"/>
      <c r="EH738" s="335"/>
      <c r="EI738" s="335"/>
      <c r="EJ738" s="335"/>
      <c r="EK738" s="335"/>
      <c r="EL738" s="335"/>
      <c r="EM738" s="335"/>
      <c r="EN738" s="335"/>
      <c r="EO738" s="335"/>
      <c r="EP738" s="335"/>
      <c r="EQ738" s="335"/>
      <c r="ER738" s="335"/>
      <c r="ES738" s="335"/>
      <c r="ET738" s="335"/>
      <c r="EU738" s="335"/>
      <c r="EV738" s="335"/>
      <c r="EW738" s="335"/>
      <c r="EX738" s="335"/>
      <c r="EY738" s="335"/>
      <c r="EZ738" s="335"/>
      <c r="FA738" s="335"/>
      <c r="FB738" s="335"/>
      <c r="FC738" s="335"/>
      <c r="FD738" s="335"/>
      <c r="FE738" s="335"/>
      <c r="FF738" s="335"/>
      <c r="FG738" s="335"/>
      <c r="FH738" s="335"/>
      <c r="FI738" s="335"/>
      <c r="FJ738" s="335"/>
      <c r="FK738" s="335"/>
      <c r="FL738" s="335"/>
      <c r="FM738" s="335"/>
      <c r="FN738" s="335"/>
      <c r="FO738" s="335"/>
      <c r="FP738" s="335"/>
      <c r="FQ738" s="335"/>
      <c r="FR738" s="335"/>
      <c r="FS738" s="335"/>
      <c r="FT738" s="335"/>
      <c r="FU738" s="335"/>
      <c r="FV738" s="335"/>
      <c r="FW738" s="335"/>
      <c r="FX738" s="335"/>
      <c r="FY738" s="335"/>
      <c r="FZ738" s="335"/>
      <c r="GA738" s="335"/>
      <c r="GB738" s="335"/>
      <c r="GC738" s="335"/>
      <c r="GD738" s="335"/>
      <c r="GE738" s="335"/>
      <c r="GF738" s="335"/>
      <c r="GG738" s="335"/>
      <c r="GH738" s="335"/>
      <c r="GI738" s="335"/>
      <c r="GJ738" s="335"/>
      <c r="GK738" s="335"/>
      <c r="GL738" s="335"/>
      <c r="GM738" s="335"/>
      <c r="GN738" s="335"/>
      <c r="GO738" s="335"/>
      <c r="GP738" s="335"/>
      <c r="GQ738" s="335"/>
      <c r="GR738" s="335"/>
      <c r="GS738" s="335"/>
      <c r="GT738" s="335"/>
      <c r="GU738" s="335"/>
      <c r="GV738" s="335"/>
      <c r="GW738" s="335"/>
      <c r="GX738" s="335"/>
      <c r="GY738" s="335"/>
      <c r="GZ738" s="335"/>
    </row>
    <row r="739" spans="1:208" ht="15">
      <c r="A739" s="379"/>
      <c r="B739" s="335"/>
      <c r="C739" s="335"/>
      <c r="D739" s="335"/>
      <c r="E739" s="335"/>
      <c r="F739" s="335"/>
      <c r="G739" s="335"/>
      <c r="H739" s="335"/>
      <c r="I739" s="335"/>
      <c r="J739" s="335"/>
      <c r="K739" s="335"/>
      <c r="L739" s="335"/>
      <c r="M739" s="376"/>
      <c r="N739" s="335"/>
      <c r="O739" s="380"/>
      <c r="P739" s="335"/>
      <c r="Q739" s="335"/>
      <c r="R739" s="335"/>
      <c r="S739" s="335"/>
      <c r="T739" s="335"/>
      <c r="U739" s="335"/>
      <c r="V739" s="335"/>
      <c r="W739" s="335"/>
      <c r="X739" s="335"/>
      <c r="Y739" s="335"/>
      <c r="Z739" s="335"/>
      <c r="AA739" s="335"/>
      <c r="AB739" s="335"/>
      <c r="AC739" s="335"/>
      <c r="AD739" s="335"/>
      <c r="AE739" s="335"/>
      <c r="AF739" s="335"/>
      <c r="AG739" s="335"/>
      <c r="AH739" s="335"/>
      <c r="AI739" s="335"/>
      <c r="AJ739" s="335"/>
      <c r="AK739" s="335"/>
      <c r="AL739" s="335"/>
      <c r="AM739" s="335"/>
      <c r="AN739" s="335"/>
      <c r="AO739" s="335"/>
      <c r="AP739" s="335"/>
      <c r="AQ739" s="335"/>
      <c r="AR739" s="335"/>
      <c r="AS739" s="335"/>
      <c r="AT739" s="335"/>
      <c r="AU739" s="335"/>
      <c r="AV739" s="335"/>
      <c r="AW739" s="335"/>
      <c r="AX739" s="335"/>
      <c r="AY739" s="335"/>
      <c r="AZ739" s="335"/>
      <c r="BA739" s="335"/>
      <c r="BB739" s="335"/>
      <c r="BC739" s="335"/>
      <c r="BD739" s="335"/>
      <c r="BE739" s="335"/>
      <c r="BF739" s="335"/>
      <c r="BG739" s="335"/>
      <c r="BH739" s="335"/>
      <c r="BI739" s="335"/>
      <c r="BJ739" s="335"/>
      <c r="BK739" s="335"/>
      <c r="BL739" s="335"/>
      <c r="BM739" s="335"/>
      <c r="BN739" s="335"/>
      <c r="BO739" s="335"/>
      <c r="BP739" s="335"/>
      <c r="BQ739" s="335"/>
      <c r="BR739" s="335"/>
      <c r="BS739" s="335"/>
      <c r="BT739" s="335"/>
      <c r="BU739" s="335"/>
      <c r="BV739" s="335"/>
      <c r="BW739" s="335"/>
      <c r="BX739" s="335"/>
      <c r="BY739" s="335"/>
      <c r="BZ739" s="335"/>
      <c r="CA739" s="335"/>
      <c r="CB739" s="335"/>
      <c r="CC739" s="335"/>
      <c r="CD739" s="335"/>
      <c r="CE739" s="335"/>
      <c r="CF739" s="335"/>
      <c r="CG739" s="335"/>
      <c r="CH739" s="335"/>
      <c r="CI739" s="335"/>
      <c r="CJ739" s="335"/>
      <c r="CK739" s="335"/>
      <c r="CL739" s="335"/>
      <c r="CM739" s="335"/>
      <c r="CN739" s="335"/>
      <c r="CO739" s="335"/>
      <c r="CP739" s="335"/>
      <c r="CQ739" s="335"/>
      <c r="CR739" s="335"/>
      <c r="CS739" s="335"/>
      <c r="CT739" s="335"/>
      <c r="CU739" s="335"/>
      <c r="CV739" s="335"/>
      <c r="CW739" s="335"/>
      <c r="CX739" s="335"/>
      <c r="CY739" s="335"/>
      <c r="CZ739" s="335"/>
      <c r="DA739" s="335"/>
      <c r="DB739" s="335"/>
      <c r="DC739" s="335"/>
      <c r="DD739" s="335"/>
      <c r="DE739" s="335"/>
      <c r="DF739" s="335"/>
      <c r="DG739" s="335"/>
      <c r="DH739" s="335"/>
      <c r="DI739" s="335"/>
      <c r="DJ739" s="335"/>
      <c r="DK739" s="335"/>
      <c r="DL739" s="335"/>
      <c r="DM739" s="335"/>
      <c r="DN739" s="335"/>
      <c r="DO739" s="335"/>
      <c r="DP739" s="335"/>
      <c r="DQ739" s="335"/>
      <c r="DR739" s="335"/>
      <c r="DS739" s="335"/>
      <c r="DT739" s="335"/>
      <c r="DU739" s="335"/>
      <c r="DV739" s="335"/>
      <c r="DW739" s="335"/>
      <c r="DX739" s="335"/>
      <c r="DY739" s="335"/>
      <c r="DZ739" s="335"/>
      <c r="EA739" s="335"/>
      <c r="EB739" s="335"/>
      <c r="EC739" s="335"/>
      <c r="ED739" s="335"/>
      <c r="EE739" s="335"/>
      <c r="EF739" s="335"/>
      <c r="EG739" s="335"/>
      <c r="EH739" s="335"/>
      <c r="EI739" s="335"/>
      <c r="EJ739" s="335"/>
      <c r="EK739" s="335"/>
      <c r="EL739" s="335"/>
      <c r="EM739" s="335"/>
      <c r="EN739" s="335"/>
      <c r="EO739" s="335"/>
      <c r="EP739" s="335"/>
      <c r="EQ739" s="335"/>
      <c r="ER739" s="335"/>
      <c r="ES739" s="335"/>
      <c r="ET739" s="335"/>
      <c r="EU739" s="335"/>
      <c r="EV739" s="335"/>
      <c r="EW739" s="335"/>
      <c r="EX739" s="335"/>
      <c r="EY739" s="335"/>
      <c r="EZ739" s="335"/>
      <c r="FA739" s="335"/>
      <c r="FB739" s="335"/>
      <c r="FC739" s="335"/>
      <c r="FD739" s="335"/>
      <c r="FE739" s="335"/>
      <c r="FF739" s="335"/>
      <c r="FG739" s="335"/>
      <c r="FH739" s="335"/>
      <c r="FI739" s="335"/>
      <c r="FJ739" s="335"/>
      <c r="FK739" s="335"/>
      <c r="FL739" s="335"/>
      <c r="FM739" s="335"/>
      <c r="FN739" s="335"/>
      <c r="FO739" s="335"/>
      <c r="FP739" s="335"/>
      <c r="FQ739" s="335"/>
      <c r="FR739" s="335"/>
      <c r="FS739" s="335"/>
      <c r="FT739" s="335"/>
      <c r="FU739" s="335"/>
      <c r="FV739" s="335"/>
      <c r="FW739" s="335"/>
      <c r="FX739" s="335"/>
      <c r="FY739" s="335"/>
      <c r="FZ739" s="335"/>
      <c r="GA739" s="335"/>
      <c r="GB739" s="335"/>
      <c r="GC739" s="335"/>
      <c r="GD739" s="335"/>
      <c r="GE739" s="335"/>
      <c r="GF739" s="335"/>
      <c r="GG739" s="335"/>
      <c r="GH739" s="335"/>
      <c r="GI739" s="335"/>
      <c r="GJ739" s="335"/>
      <c r="GK739" s="335"/>
      <c r="GL739" s="335"/>
      <c r="GM739" s="335"/>
      <c r="GN739" s="335"/>
      <c r="GO739" s="335"/>
      <c r="GP739" s="335"/>
      <c r="GQ739" s="335"/>
      <c r="GR739" s="335"/>
      <c r="GS739" s="335"/>
      <c r="GT739" s="335"/>
      <c r="GU739" s="335"/>
      <c r="GV739" s="335"/>
      <c r="GW739" s="335"/>
      <c r="GX739" s="335"/>
      <c r="GY739" s="335"/>
      <c r="GZ739" s="335"/>
    </row>
    <row r="740" spans="1:208" ht="15">
      <c r="A740" s="379"/>
      <c r="B740" s="335"/>
      <c r="C740" s="335"/>
      <c r="D740" s="335"/>
      <c r="E740" s="335"/>
      <c r="F740" s="335"/>
      <c r="G740" s="335"/>
      <c r="H740" s="335"/>
      <c r="I740" s="335"/>
      <c r="J740" s="335"/>
      <c r="K740" s="335"/>
      <c r="L740" s="335"/>
      <c r="M740" s="376"/>
      <c r="N740" s="335"/>
      <c r="O740" s="380"/>
      <c r="P740" s="335"/>
      <c r="Q740" s="335"/>
      <c r="R740" s="335"/>
      <c r="S740" s="335"/>
      <c r="T740" s="335"/>
      <c r="U740" s="335"/>
      <c r="V740" s="335"/>
      <c r="W740" s="335"/>
      <c r="X740" s="335"/>
      <c r="Y740" s="335"/>
      <c r="Z740" s="335"/>
      <c r="AA740" s="335"/>
      <c r="AB740" s="335"/>
      <c r="AC740" s="335"/>
      <c r="AD740" s="335"/>
      <c r="AE740" s="335"/>
      <c r="AF740" s="335"/>
      <c r="AG740" s="335"/>
      <c r="AH740" s="335"/>
      <c r="AI740" s="335"/>
      <c r="AJ740" s="335"/>
      <c r="AK740" s="335"/>
      <c r="AL740" s="335"/>
      <c r="AM740" s="335"/>
      <c r="AN740" s="335"/>
      <c r="AO740" s="335"/>
      <c r="AP740" s="335"/>
      <c r="AQ740" s="335"/>
      <c r="AR740" s="335"/>
      <c r="AS740" s="335"/>
      <c r="AT740" s="335"/>
      <c r="AU740" s="335"/>
      <c r="AV740" s="335"/>
      <c r="AW740" s="335"/>
      <c r="AX740" s="335"/>
      <c r="AY740" s="335"/>
      <c r="AZ740" s="335"/>
      <c r="BA740" s="335"/>
      <c r="BB740" s="335"/>
      <c r="BC740" s="335"/>
      <c r="BD740" s="335"/>
      <c r="BE740" s="335"/>
      <c r="BF740" s="335"/>
      <c r="BG740" s="335"/>
      <c r="BH740" s="335"/>
      <c r="BI740" s="335"/>
      <c r="BJ740" s="335"/>
      <c r="BK740" s="335"/>
      <c r="BL740" s="335"/>
      <c r="BM740" s="335"/>
      <c r="BN740" s="335"/>
      <c r="BO740" s="335"/>
      <c r="BP740" s="335"/>
      <c r="BQ740" s="335"/>
      <c r="BR740" s="335"/>
      <c r="BS740" s="335"/>
      <c r="BT740" s="335"/>
      <c r="BU740" s="335"/>
      <c r="BV740" s="335"/>
      <c r="BW740" s="335"/>
      <c r="BX740" s="335"/>
      <c r="BY740" s="335"/>
      <c r="BZ740" s="335"/>
      <c r="CA740" s="335"/>
      <c r="CB740" s="335"/>
      <c r="CC740" s="335"/>
      <c r="CD740" s="335"/>
      <c r="CE740" s="335"/>
      <c r="CF740" s="335"/>
      <c r="CG740" s="335"/>
      <c r="CH740" s="335"/>
      <c r="CI740" s="335"/>
      <c r="CJ740" s="335"/>
      <c r="CK740" s="335"/>
      <c r="CL740" s="335"/>
      <c r="CM740" s="335"/>
      <c r="CN740" s="335"/>
      <c r="CO740" s="335"/>
      <c r="CP740" s="335"/>
      <c r="CQ740" s="335"/>
      <c r="CR740" s="335"/>
      <c r="CS740" s="335"/>
      <c r="CT740" s="335"/>
      <c r="CU740" s="335"/>
      <c r="CV740" s="335"/>
      <c r="CW740" s="335"/>
      <c r="CX740" s="335"/>
      <c r="CY740" s="335"/>
      <c r="CZ740" s="335"/>
      <c r="DA740" s="335"/>
      <c r="DB740" s="335"/>
      <c r="DC740" s="335"/>
      <c r="DD740" s="335"/>
      <c r="DE740" s="335"/>
      <c r="DF740" s="335"/>
      <c r="DG740" s="335"/>
      <c r="DH740" s="335"/>
      <c r="DI740" s="335"/>
      <c r="DJ740" s="335"/>
      <c r="DK740" s="335"/>
      <c r="DL740" s="335"/>
      <c r="DM740" s="335"/>
      <c r="DN740" s="335"/>
      <c r="DO740" s="335"/>
      <c r="DP740" s="335"/>
      <c r="DQ740" s="335"/>
      <c r="DR740" s="335"/>
      <c r="DS740" s="335"/>
      <c r="DT740" s="335"/>
      <c r="DU740" s="335"/>
      <c r="DV740" s="335"/>
      <c r="DW740" s="335"/>
      <c r="DX740" s="335"/>
      <c r="DY740" s="335"/>
      <c r="DZ740" s="335"/>
      <c r="EA740" s="335"/>
      <c r="EB740" s="335"/>
      <c r="EC740" s="335"/>
      <c r="ED740" s="335"/>
      <c r="EE740" s="335"/>
      <c r="EF740" s="335"/>
      <c r="EG740" s="335"/>
      <c r="EH740" s="335"/>
      <c r="EI740" s="335"/>
      <c r="EJ740" s="335"/>
      <c r="EK740" s="335"/>
      <c r="EL740" s="335"/>
      <c r="EM740" s="335"/>
      <c r="EN740" s="335"/>
      <c r="EO740" s="335"/>
      <c r="EP740" s="335"/>
      <c r="EQ740" s="335"/>
      <c r="ER740" s="335"/>
      <c r="ES740" s="335"/>
      <c r="ET740" s="335"/>
      <c r="EU740" s="335"/>
      <c r="EV740" s="335"/>
      <c r="EW740" s="335"/>
      <c r="EX740" s="335"/>
      <c r="EY740" s="335"/>
      <c r="EZ740" s="335"/>
      <c r="FA740" s="335"/>
      <c r="FB740" s="335"/>
      <c r="FC740" s="335"/>
      <c r="FD740" s="335"/>
      <c r="FE740" s="335"/>
      <c r="FF740" s="335"/>
      <c r="FG740" s="335"/>
      <c r="FH740" s="335"/>
      <c r="FI740" s="335"/>
      <c r="FJ740" s="335"/>
      <c r="FK740" s="335"/>
      <c r="FL740" s="335"/>
      <c r="FM740" s="335"/>
      <c r="FN740" s="335"/>
      <c r="FO740" s="335"/>
      <c r="FP740" s="335"/>
      <c r="FQ740" s="335"/>
      <c r="FR740" s="335"/>
      <c r="FS740" s="335"/>
      <c r="FT740" s="335"/>
      <c r="FU740" s="335"/>
      <c r="FV740" s="335"/>
      <c r="FW740" s="335"/>
      <c r="FX740" s="335"/>
      <c r="FY740" s="335"/>
      <c r="FZ740" s="335"/>
      <c r="GA740" s="335"/>
      <c r="GB740" s="335"/>
      <c r="GC740" s="335"/>
      <c r="GD740" s="335"/>
      <c r="GE740" s="335"/>
      <c r="GF740" s="335"/>
      <c r="GG740" s="335"/>
      <c r="GH740" s="335"/>
      <c r="GI740" s="335"/>
      <c r="GJ740" s="335"/>
      <c r="GK740" s="335"/>
      <c r="GL740" s="335"/>
      <c r="GM740" s="335"/>
      <c r="GN740" s="335"/>
      <c r="GO740" s="335"/>
      <c r="GP740" s="335"/>
      <c r="GQ740" s="335"/>
      <c r="GR740" s="335"/>
      <c r="GS740" s="335"/>
      <c r="GT740" s="335"/>
      <c r="GU740" s="335"/>
      <c r="GV740" s="335"/>
      <c r="GW740" s="335"/>
      <c r="GX740" s="335"/>
      <c r="GY740" s="335"/>
      <c r="GZ740" s="335"/>
    </row>
    <row r="741" spans="1:208" ht="15">
      <c r="A741" s="379"/>
      <c r="B741" s="335"/>
      <c r="C741" s="335"/>
      <c r="D741" s="335"/>
      <c r="E741" s="335"/>
      <c r="F741" s="335"/>
      <c r="G741" s="335"/>
      <c r="H741" s="335"/>
      <c r="I741" s="335"/>
      <c r="J741" s="335"/>
      <c r="K741" s="335"/>
      <c r="L741" s="335"/>
      <c r="M741" s="376"/>
      <c r="N741" s="335"/>
      <c r="O741" s="380"/>
      <c r="P741" s="335"/>
      <c r="Q741" s="335"/>
      <c r="R741" s="335"/>
      <c r="S741" s="335"/>
      <c r="T741" s="335"/>
      <c r="U741" s="335"/>
      <c r="V741" s="335"/>
      <c r="W741" s="335"/>
      <c r="X741" s="335"/>
      <c r="Y741" s="335"/>
      <c r="Z741" s="335"/>
      <c r="AA741" s="335"/>
      <c r="AB741" s="335"/>
      <c r="AC741" s="335"/>
      <c r="AD741" s="335"/>
      <c r="AE741" s="335"/>
      <c r="AF741" s="335"/>
      <c r="AG741" s="335"/>
      <c r="AH741" s="335"/>
      <c r="AI741" s="335"/>
      <c r="AJ741" s="335"/>
      <c r="AK741" s="335"/>
      <c r="AL741" s="335"/>
      <c r="AM741" s="335"/>
      <c r="AN741" s="335"/>
      <c r="AO741" s="335"/>
      <c r="AP741" s="335"/>
      <c r="AQ741" s="335"/>
      <c r="AR741" s="335"/>
      <c r="AS741" s="335"/>
      <c r="AT741" s="335"/>
      <c r="AU741" s="335"/>
      <c r="AV741" s="335"/>
      <c r="AW741" s="335"/>
      <c r="AX741" s="335"/>
      <c r="AY741" s="335"/>
      <c r="AZ741" s="335"/>
      <c r="BA741" s="335"/>
      <c r="BB741" s="335"/>
      <c r="BC741" s="335"/>
      <c r="BD741" s="335"/>
      <c r="BE741" s="335"/>
      <c r="BF741" s="335"/>
      <c r="BG741" s="335"/>
      <c r="BH741" s="335"/>
      <c r="BI741" s="335"/>
      <c r="BJ741" s="335"/>
      <c r="BK741" s="335"/>
      <c r="BL741" s="335"/>
      <c r="BM741" s="335"/>
      <c r="BN741" s="335"/>
      <c r="BO741" s="335"/>
      <c r="BP741" s="335"/>
      <c r="BQ741" s="335"/>
      <c r="BR741" s="335"/>
      <c r="BS741" s="335"/>
      <c r="BT741" s="335"/>
      <c r="BU741" s="335"/>
      <c r="BV741" s="335"/>
      <c r="BW741" s="335"/>
      <c r="BX741" s="335"/>
      <c r="BY741" s="335"/>
      <c r="BZ741" s="335"/>
      <c r="CA741" s="335"/>
      <c r="CB741" s="335"/>
      <c r="CC741" s="335"/>
      <c r="CD741" s="335"/>
      <c r="CE741" s="335"/>
      <c r="CF741" s="335"/>
      <c r="CG741" s="335"/>
      <c r="CH741" s="335"/>
      <c r="CI741" s="335"/>
      <c r="CJ741" s="335"/>
      <c r="CK741" s="335"/>
      <c r="CL741" s="335"/>
      <c r="CM741" s="335"/>
      <c r="CN741" s="335"/>
      <c r="CO741" s="335"/>
      <c r="CP741" s="335"/>
      <c r="CQ741" s="335"/>
      <c r="CR741" s="335"/>
      <c r="CS741" s="335"/>
      <c r="CT741" s="335"/>
      <c r="CU741" s="335"/>
      <c r="CV741" s="335"/>
      <c r="CW741" s="335"/>
      <c r="CX741" s="335"/>
      <c r="CY741" s="335"/>
      <c r="CZ741" s="335"/>
      <c r="DA741" s="335"/>
      <c r="DB741" s="335"/>
      <c r="DC741" s="335"/>
      <c r="DD741" s="335"/>
      <c r="DE741" s="335"/>
      <c r="DF741" s="335"/>
      <c r="DG741" s="335"/>
      <c r="DH741" s="335"/>
      <c r="DI741" s="335"/>
      <c r="DJ741" s="335"/>
      <c r="DK741" s="335"/>
      <c r="DL741" s="335"/>
      <c r="DM741" s="335"/>
      <c r="DN741" s="335"/>
      <c r="DO741" s="335"/>
      <c r="DP741" s="335"/>
      <c r="DQ741" s="335"/>
      <c r="DR741" s="335"/>
      <c r="DS741" s="335"/>
      <c r="DT741" s="335"/>
      <c r="DU741" s="335"/>
      <c r="DV741" s="335"/>
      <c r="DW741" s="335"/>
      <c r="DX741" s="335"/>
      <c r="DY741" s="335"/>
      <c r="DZ741" s="335"/>
      <c r="EA741" s="335"/>
      <c r="EB741" s="335"/>
      <c r="EC741" s="335"/>
      <c r="ED741" s="335"/>
      <c r="EE741" s="335"/>
      <c r="EF741" s="335"/>
      <c r="EG741" s="335"/>
      <c r="EH741" s="335"/>
      <c r="EI741" s="335"/>
      <c r="EJ741" s="335"/>
      <c r="EK741" s="335"/>
      <c r="EL741" s="335"/>
      <c r="EM741" s="335"/>
      <c r="EN741" s="335"/>
      <c r="EO741" s="335"/>
      <c r="EP741" s="335"/>
      <c r="EQ741" s="335"/>
      <c r="ER741" s="335"/>
      <c r="ES741" s="335"/>
      <c r="ET741" s="335"/>
      <c r="EU741" s="335"/>
      <c r="EV741" s="335"/>
      <c r="EW741" s="335"/>
      <c r="EX741" s="335"/>
      <c r="EY741" s="335"/>
      <c r="EZ741" s="335"/>
      <c r="FA741" s="335"/>
      <c r="FB741" s="335"/>
      <c r="FC741" s="335"/>
      <c r="FD741" s="335"/>
      <c r="FE741" s="335"/>
      <c r="FF741" s="335"/>
      <c r="FG741" s="335"/>
      <c r="FH741" s="335"/>
      <c r="FI741" s="335"/>
      <c r="FJ741" s="335"/>
      <c r="FK741" s="335"/>
      <c r="FL741" s="335"/>
      <c r="FM741" s="335"/>
      <c r="FN741" s="335"/>
      <c r="FO741" s="335"/>
      <c r="FP741" s="335"/>
      <c r="FQ741" s="335"/>
      <c r="FR741" s="335"/>
      <c r="FS741" s="335"/>
      <c r="FT741" s="335"/>
      <c r="FU741" s="335"/>
      <c r="FV741" s="335"/>
      <c r="FW741" s="335"/>
      <c r="FX741" s="335"/>
      <c r="FY741" s="335"/>
      <c r="FZ741" s="335"/>
      <c r="GA741" s="335"/>
      <c r="GB741" s="335"/>
      <c r="GC741" s="335"/>
      <c r="GD741" s="335"/>
      <c r="GE741" s="335"/>
      <c r="GF741" s="335"/>
      <c r="GG741" s="335"/>
      <c r="GH741" s="335"/>
      <c r="GI741" s="335"/>
      <c r="GJ741" s="335"/>
      <c r="GK741" s="335"/>
      <c r="GL741" s="335"/>
      <c r="GM741" s="335"/>
      <c r="GN741" s="335"/>
      <c r="GO741" s="335"/>
      <c r="GP741" s="335"/>
      <c r="GQ741" s="335"/>
      <c r="GR741" s="335"/>
      <c r="GS741" s="335"/>
      <c r="GT741" s="335"/>
      <c r="GU741" s="335"/>
      <c r="GV741" s="335"/>
      <c r="GW741" s="335"/>
      <c r="GX741" s="335"/>
      <c r="GY741" s="335"/>
      <c r="GZ741" s="335"/>
    </row>
    <row r="742" spans="1:208" ht="15">
      <c r="A742" s="379"/>
      <c r="B742" s="335"/>
      <c r="C742" s="335"/>
      <c r="D742" s="335"/>
      <c r="E742" s="335"/>
      <c r="F742" s="335"/>
      <c r="G742" s="335"/>
      <c r="H742" s="335"/>
      <c r="I742" s="335"/>
      <c r="J742" s="335"/>
      <c r="K742" s="335"/>
      <c r="L742" s="335"/>
      <c r="M742" s="376"/>
      <c r="N742" s="335"/>
      <c r="O742" s="380"/>
      <c r="P742" s="335"/>
      <c r="Q742" s="335"/>
      <c r="R742" s="335"/>
      <c r="S742" s="335"/>
      <c r="T742" s="335"/>
      <c r="U742" s="335"/>
      <c r="V742" s="335"/>
      <c r="W742" s="335"/>
      <c r="X742" s="335"/>
      <c r="Y742" s="335"/>
      <c r="Z742" s="335"/>
      <c r="AA742" s="335"/>
      <c r="AB742" s="335"/>
      <c r="AC742" s="335"/>
      <c r="AD742" s="335"/>
      <c r="AE742" s="335"/>
      <c r="AF742" s="335"/>
      <c r="AG742" s="335"/>
      <c r="AH742" s="335"/>
      <c r="AI742" s="335"/>
      <c r="AJ742" s="335"/>
      <c r="AK742" s="335"/>
      <c r="AL742" s="335"/>
      <c r="AM742" s="335"/>
      <c r="AN742" s="335"/>
      <c r="AO742" s="335"/>
      <c r="AP742" s="335"/>
      <c r="AQ742" s="335"/>
      <c r="AR742" s="335"/>
      <c r="AS742" s="335"/>
      <c r="AT742" s="335"/>
      <c r="AU742" s="335"/>
      <c r="AV742" s="335"/>
      <c r="AW742" s="335"/>
      <c r="AX742" s="335"/>
      <c r="AY742" s="335"/>
      <c r="AZ742" s="335"/>
      <c r="BA742" s="335"/>
      <c r="BB742" s="335"/>
      <c r="BC742" s="335"/>
      <c r="BD742" s="335"/>
      <c r="BE742" s="335"/>
      <c r="BF742" s="335"/>
      <c r="BG742" s="335"/>
      <c r="BH742" s="335"/>
      <c r="BI742" s="335"/>
      <c r="BJ742" s="335"/>
      <c r="BK742" s="335"/>
      <c r="BL742" s="335"/>
      <c r="BM742" s="335"/>
      <c r="BN742" s="335"/>
      <c r="BO742" s="335"/>
      <c r="BP742" s="335"/>
      <c r="BQ742" s="335"/>
      <c r="BR742" s="335"/>
      <c r="BS742" s="335"/>
      <c r="BT742" s="335"/>
      <c r="BU742" s="335"/>
      <c r="BV742" s="335"/>
      <c r="BW742" s="335"/>
      <c r="BX742" s="335"/>
      <c r="BY742" s="335"/>
      <c r="BZ742" s="335"/>
      <c r="CA742" s="335"/>
      <c r="CB742" s="335"/>
      <c r="CC742" s="335"/>
      <c r="CD742" s="335"/>
      <c r="CE742" s="335"/>
      <c r="CF742" s="335"/>
      <c r="CG742" s="335"/>
      <c r="CH742" s="335"/>
      <c r="CI742" s="335"/>
      <c r="CJ742" s="335"/>
      <c r="CK742" s="335"/>
      <c r="CL742" s="335"/>
      <c r="CM742" s="335"/>
      <c r="CN742" s="335"/>
      <c r="CO742" s="335"/>
      <c r="CP742" s="335"/>
      <c r="CQ742" s="335"/>
      <c r="CR742" s="335"/>
      <c r="CS742" s="335"/>
      <c r="CT742" s="335"/>
      <c r="CU742" s="335"/>
      <c r="CV742" s="335"/>
      <c r="CW742" s="335"/>
      <c r="CX742" s="335"/>
      <c r="CY742" s="335"/>
      <c r="CZ742" s="335"/>
      <c r="DA742" s="335"/>
      <c r="DB742" s="335"/>
      <c r="DC742" s="335"/>
      <c r="DD742" s="335"/>
      <c r="DE742" s="335"/>
      <c r="DF742" s="335"/>
      <c r="DG742" s="335"/>
      <c r="DH742" s="335"/>
      <c r="DI742" s="335"/>
      <c r="DJ742" s="335"/>
      <c r="DK742" s="335"/>
      <c r="DL742" s="335"/>
      <c r="DM742" s="335"/>
      <c r="DN742" s="335"/>
      <c r="DO742" s="335"/>
      <c r="DP742" s="335"/>
      <c r="DQ742" s="335"/>
      <c r="DR742" s="335"/>
      <c r="DS742" s="335"/>
      <c r="DT742" s="335"/>
      <c r="DU742" s="335"/>
      <c r="DV742" s="335"/>
      <c r="DW742" s="335"/>
      <c r="DX742" s="335"/>
      <c r="DY742" s="335"/>
      <c r="DZ742" s="335"/>
      <c r="EA742" s="335"/>
      <c r="EB742" s="335"/>
      <c r="EC742" s="335"/>
      <c r="ED742" s="335"/>
      <c r="EE742" s="335"/>
      <c r="EF742" s="335"/>
      <c r="EG742" s="335"/>
      <c r="EH742" s="335"/>
      <c r="EI742" s="335"/>
      <c r="EJ742" s="335"/>
      <c r="EK742" s="335"/>
      <c r="EL742" s="335"/>
      <c r="EM742" s="335"/>
      <c r="EN742" s="335"/>
      <c r="EO742" s="335"/>
      <c r="EP742" s="335"/>
      <c r="EQ742" s="335"/>
      <c r="ER742" s="335"/>
      <c r="ES742" s="335"/>
      <c r="ET742" s="335"/>
      <c r="EU742" s="335"/>
      <c r="EV742" s="335"/>
      <c r="EW742" s="335"/>
      <c r="EX742" s="335"/>
      <c r="EY742" s="335"/>
      <c r="EZ742" s="335"/>
      <c r="FA742" s="335"/>
      <c r="FB742" s="335"/>
      <c r="FC742" s="335"/>
      <c r="FD742" s="335"/>
      <c r="FE742" s="335"/>
      <c r="FF742" s="335"/>
      <c r="FG742" s="335"/>
      <c r="FH742" s="335"/>
      <c r="FI742" s="335"/>
      <c r="FJ742" s="335"/>
      <c r="FK742" s="335"/>
      <c r="FL742" s="335"/>
      <c r="FM742" s="335"/>
      <c r="FN742" s="335"/>
      <c r="FO742" s="335"/>
      <c r="FP742" s="335"/>
      <c r="FQ742" s="335"/>
      <c r="FR742" s="335"/>
      <c r="FS742" s="335"/>
      <c r="FT742" s="335"/>
      <c r="FU742" s="335"/>
      <c r="FV742" s="335"/>
      <c r="FW742" s="335"/>
      <c r="FX742" s="335"/>
      <c r="FY742" s="335"/>
      <c r="FZ742" s="335"/>
      <c r="GA742" s="335"/>
      <c r="GB742" s="335"/>
      <c r="GC742" s="335"/>
      <c r="GD742" s="335"/>
      <c r="GE742" s="335"/>
      <c r="GF742" s="335"/>
      <c r="GG742" s="335"/>
      <c r="GH742" s="335"/>
      <c r="GI742" s="335"/>
      <c r="GJ742" s="335"/>
      <c r="GK742" s="335"/>
      <c r="GL742" s="335"/>
      <c r="GM742" s="335"/>
      <c r="GN742" s="335"/>
      <c r="GO742" s="335"/>
      <c r="GP742" s="335"/>
      <c r="GQ742" s="335"/>
      <c r="GR742" s="335"/>
      <c r="GS742" s="335"/>
      <c r="GT742" s="335"/>
      <c r="GU742" s="335"/>
      <c r="GV742" s="335"/>
      <c r="GW742" s="335"/>
      <c r="GX742" s="335"/>
      <c r="GY742" s="335"/>
      <c r="GZ742" s="335"/>
    </row>
    <row r="743" spans="1:208" ht="15">
      <c r="A743" s="379"/>
      <c r="B743" s="335"/>
      <c r="C743" s="335"/>
      <c r="D743" s="335"/>
      <c r="E743" s="335"/>
      <c r="F743" s="335"/>
      <c r="G743" s="335"/>
      <c r="H743" s="335"/>
      <c r="I743" s="335"/>
      <c r="J743" s="335"/>
      <c r="K743" s="335"/>
      <c r="L743" s="335"/>
      <c r="M743" s="376"/>
      <c r="N743" s="335"/>
      <c r="O743" s="380"/>
      <c r="P743" s="335"/>
      <c r="Q743" s="335"/>
      <c r="R743" s="335"/>
      <c r="S743" s="335"/>
      <c r="T743" s="335"/>
      <c r="U743" s="335"/>
      <c r="V743" s="335"/>
      <c r="W743" s="335"/>
      <c r="X743" s="335"/>
      <c r="Y743" s="335"/>
      <c r="Z743" s="335"/>
      <c r="AA743" s="335"/>
      <c r="AB743" s="335"/>
      <c r="AC743" s="335"/>
      <c r="AD743" s="335"/>
      <c r="AE743" s="335"/>
      <c r="AF743" s="335"/>
      <c r="AG743" s="335"/>
      <c r="AH743" s="335"/>
      <c r="AI743" s="335"/>
      <c r="AJ743" s="335"/>
      <c r="AK743" s="335"/>
      <c r="AL743" s="335"/>
      <c r="AM743" s="335"/>
      <c r="AN743" s="335"/>
      <c r="AO743" s="335"/>
      <c r="AP743" s="335"/>
      <c r="AQ743" s="335"/>
      <c r="AR743" s="335"/>
      <c r="AS743" s="335"/>
      <c r="AT743" s="335"/>
      <c r="AU743" s="335"/>
      <c r="AV743" s="335"/>
      <c r="AW743" s="335"/>
      <c r="AX743" s="335"/>
      <c r="AY743" s="335"/>
      <c r="AZ743" s="335"/>
      <c r="BA743" s="335"/>
      <c r="BB743" s="335"/>
      <c r="BC743" s="335"/>
      <c r="BD743" s="335"/>
      <c r="BE743" s="335"/>
      <c r="BF743" s="335"/>
      <c r="BG743" s="335"/>
      <c r="BH743" s="335"/>
      <c r="BI743" s="335"/>
      <c r="BJ743" s="335"/>
      <c r="BK743" s="335"/>
      <c r="BL743" s="335"/>
      <c r="BM743" s="335"/>
      <c r="BN743" s="335"/>
      <c r="BO743" s="335"/>
      <c r="BP743" s="335"/>
      <c r="BQ743" s="335"/>
      <c r="BR743" s="335"/>
      <c r="BS743" s="335"/>
      <c r="BT743" s="335"/>
      <c r="BU743" s="335"/>
      <c r="BV743" s="335"/>
      <c r="BW743" s="335"/>
      <c r="BX743" s="335"/>
      <c r="BY743" s="335"/>
      <c r="BZ743" s="335"/>
      <c r="CA743" s="335"/>
      <c r="CB743" s="335"/>
      <c r="CC743" s="335"/>
      <c r="CD743" s="335"/>
      <c r="CE743" s="335"/>
      <c r="CF743" s="335"/>
      <c r="CG743" s="335"/>
      <c r="CH743" s="335"/>
      <c r="CI743" s="335"/>
      <c r="CJ743" s="335"/>
      <c r="CK743" s="335"/>
      <c r="CL743" s="335"/>
      <c r="CM743" s="335"/>
      <c r="CN743" s="335"/>
      <c r="CO743" s="335"/>
      <c r="CP743" s="335"/>
      <c r="CQ743" s="335"/>
      <c r="CR743" s="335"/>
      <c r="CS743" s="335"/>
      <c r="CT743" s="335"/>
      <c r="CU743" s="335"/>
      <c r="CV743" s="335"/>
      <c r="CW743" s="335"/>
      <c r="CX743" s="335"/>
      <c r="CY743" s="335"/>
      <c r="CZ743" s="335"/>
      <c r="DA743" s="335"/>
      <c r="DB743" s="335"/>
      <c r="DC743" s="335"/>
      <c r="DD743" s="335"/>
      <c r="DE743" s="335"/>
      <c r="DF743" s="335"/>
      <c r="DG743" s="335"/>
      <c r="DH743" s="335"/>
      <c r="DI743" s="335"/>
      <c r="DJ743" s="335"/>
      <c r="DK743" s="335"/>
      <c r="DL743" s="335"/>
      <c r="DM743" s="335"/>
      <c r="DN743" s="335"/>
      <c r="DO743" s="335"/>
      <c r="DP743" s="335"/>
      <c r="DQ743" s="335"/>
      <c r="DR743" s="335"/>
      <c r="DS743" s="335"/>
      <c r="DT743" s="335"/>
      <c r="DU743" s="335"/>
      <c r="DV743" s="335"/>
      <c r="DW743" s="335"/>
      <c r="DX743" s="335"/>
      <c r="DY743" s="335"/>
      <c r="DZ743" s="335"/>
      <c r="EA743" s="335"/>
      <c r="EB743" s="335"/>
      <c r="EC743" s="335"/>
      <c r="ED743" s="335"/>
      <c r="EE743" s="335"/>
      <c r="EF743" s="335"/>
      <c r="EG743" s="335"/>
      <c r="EH743" s="335"/>
      <c r="EI743" s="335"/>
      <c r="EJ743" s="335"/>
      <c r="EK743" s="335"/>
      <c r="EL743" s="335"/>
      <c r="EM743" s="335"/>
      <c r="EN743" s="335"/>
      <c r="EO743" s="335"/>
      <c r="EP743" s="335"/>
      <c r="EQ743" s="335"/>
      <c r="ER743" s="335"/>
      <c r="ES743" s="335"/>
      <c r="ET743" s="335"/>
      <c r="EU743" s="335"/>
      <c r="EV743" s="335"/>
      <c r="EW743" s="335"/>
      <c r="EX743" s="335"/>
      <c r="EY743" s="335"/>
      <c r="EZ743" s="335"/>
      <c r="FA743" s="335"/>
      <c r="FB743" s="335"/>
      <c r="FC743" s="335"/>
      <c r="FD743" s="335"/>
      <c r="FE743" s="335"/>
      <c r="FF743" s="335"/>
      <c r="FG743" s="335"/>
      <c r="FH743" s="335"/>
      <c r="FI743" s="335"/>
      <c r="FJ743" s="335"/>
      <c r="FK743" s="335"/>
      <c r="FL743" s="335"/>
      <c r="FM743" s="335"/>
      <c r="FN743" s="335"/>
      <c r="FO743" s="335"/>
      <c r="FP743" s="335"/>
      <c r="FQ743" s="335"/>
      <c r="FR743" s="335"/>
      <c r="FS743" s="335"/>
      <c r="FT743" s="335"/>
      <c r="FU743" s="335"/>
      <c r="FV743" s="335"/>
      <c r="FW743" s="335"/>
      <c r="FX743" s="335"/>
      <c r="FY743" s="335"/>
      <c r="FZ743" s="335"/>
      <c r="GA743" s="335"/>
      <c r="GB743" s="335"/>
      <c r="GC743" s="335"/>
      <c r="GD743" s="335"/>
      <c r="GE743" s="335"/>
      <c r="GF743" s="335"/>
      <c r="GG743" s="335"/>
      <c r="GH743" s="335"/>
      <c r="GI743" s="335"/>
      <c r="GJ743" s="335"/>
      <c r="GK743" s="335"/>
      <c r="GL743" s="335"/>
      <c r="GM743" s="335"/>
      <c r="GN743" s="335"/>
      <c r="GO743" s="335"/>
      <c r="GP743" s="335"/>
      <c r="GQ743" s="335"/>
      <c r="GR743" s="335"/>
      <c r="GS743" s="335"/>
      <c r="GT743" s="335"/>
      <c r="GU743" s="335"/>
      <c r="GV743" s="335"/>
      <c r="GW743" s="335"/>
      <c r="GX743" s="335"/>
      <c r="GY743" s="335"/>
      <c r="GZ743" s="335"/>
    </row>
    <row r="744" spans="1:208" ht="15">
      <c r="A744" s="379"/>
      <c r="B744" s="335"/>
      <c r="C744" s="335"/>
      <c r="D744" s="335"/>
      <c r="E744" s="335"/>
      <c r="F744" s="335"/>
      <c r="G744" s="335"/>
      <c r="H744" s="335"/>
      <c r="I744" s="335"/>
      <c r="J744" s="335"/>
      <c r="K744" s="335"/>
      <c r="L744" s="335"/>
      <c r="M744" s="376"/>
      <c r="N744" s="335"/>
      <c r="O744" s="380"/>
      <c r="P744" s="335"/>
      <c r="Q744" s="335"/>
      <c r="R744" s="335"/>
      <c r="S744" s="335"/>
      <c r="T744" s="335"/>
      <c r="U744" s="335"/>
      <c r="V744" s="335"/>
      <c r="W744" s="335"/>
      <c r="X744" s="335"/>
      <c r="Y744" s="335"/>
      <c r="Z744" s="335"/>
      <c r="AA744" s="335"/>
      <c r="AB744" s="335"/>
      <c r="AC744" s="335"/>
      <c r="AD744" s="335"/>
      <c r="AE744" s="335"/>
      <c r="AF744" s="335"/>
      <c r="AG744" s="335"/>
      <c r="AH744" s="335"/>
      <c r="AI744" s="335"/>
      <c r="AJ744" s="335"/>
      <c r="AK744" s="335"/>
      <c r="AL744" s="335"/>
      <c r="AM744" s="335"/>
      <c r="AN744" s="335"/>
      <c r="AO744" s="335"/>
      <c r="AP744" s="335"/>
      <c r="AQ744" s="335"/>
      <c r="AR744" s="335"/>
      <c r="AS744" s="335"/>
      <c r="AT744" s="335"/>
      <c r="AU744" s="335"/>
      <c r="AV744" s="335"/>
      <c r="AW744" s="335"/>
      <c r="AX744" s="335"/>
      <c r="AY744" s="335"/>
      <c r="AZ744" s="335"/>
      <c r="BA744" s="335"/>
      <c r="BB744" s="335"/>
      <c r="BC744" s="335"/>
      <c r="BD744" s="335"/>
      <c r="BE744" s="335"/>
      <c r="BF744" s="335"/>
      <c r="BG744" s="335"/>
      <c r="BH744" s="335"/>
      <c r="BI744" s="335"/>
      <c r="BJ744" s="335"/>
      <c r="BK744" s="335"/>
      <c r="BL744" s="335"/>
      <c r="BM744" s="335"/>
      <c r="BN744" s="335"/>
      <c r="BO744" s="335"/>
      <c r="BP744" s="335"/>
      <c r="BQ744" s="335"/>
      <c r="BR744" s="335"/>
      <c r="BS744" s="335"/>
      <c r="BT744" s="335"/>
      <c r="BU744" s="335"/>
      <c r="BV744" s="335"/>
      <c r="BW744" s="335"/>
      <c r="BX744" s="335"/>
      <c r="BY744" s="335"/>
      <c r="BZ744" s="335"/>
      <c r="CA744" s="335"/>
      <c r="CB744" s="335"/>
      <c r="CC744" s="335"/>
      <c r="CD744" s="335"/>
      <c r="CE744" s="335"/>
      <c r="CF744" s="335"/>
      <c r="CG744" s="335"/>
      <c r="CH744" s="335"/>
      <c r="CI744" s="335"/>
      <c r="CJ744" s="335"/>
      <c r="CK744" s="335"/>
      <c r="CL744" s="335"/>
      <c r="CM744" s="335"/>
      <c r="CN744" s="335"/>
      <c r="CO744" s="335"/>
      <c r="CP744" s="335"/>
      <c r="CQ744" s="335"/>
      <c r="CR744" s="335"/>
      <c r="CS744" s="335"/>
      <c r="CT744" s="335"/>
      <c r="CU744" s="335"/>
      <c r="CV744" s="335"/>
      <c r="CW744" s="335"/>
      <c r="CX744" s="335"/>
      <c r="CY744" s="335"/>
      <c r="CZ744" s="335"/>
      <c r="DA744" s="335"/>
      <c r="DB744" s="335"/>
      <c r="DC744" s="335"/>
      <c r="DD744" s="335"/>
      <c r="DE744" s="335"/>
      <c r="DF744" s="335"/>
      <c r="DG744" s="335"/>
      <c r="DH744" s="335"/>
      <c r="DI744" s="335"/>
      <c r="DJ744" s="335"/>
      <c r="DK744" s="335"/>
      <c r="DL744" s="335"/>
      <c r="DM744" s="335"/>
      <c r="DN744" s="335"/>
      <c r="DO744" s="335"/>
      <c r="DP744" s="335"/>
      <c r="DQ744" s="335"/>
      <c r="DR744" s="335"/>
      <c r="DS744" s="335"/>
      <c r="DT744" s="335"/>
      <c r="DU744" s="335"/>
      <c r="DV744" s="335"/>
      <c r="DW744" s="335"/>
      <c r="DX744" s="335"/>
      <c r="DY744" s="335"/>
      <c r="DZ744" s="335"/>
      <c r="EA744" s="335"/>
      <c r="EB744" s="335"/>
      <c r="EC744" s="335"/>
      <c r="ED744" s="335"/>
      <c r="EE744" s="335"/>
      <c r="EF744" s="335"/>
      <c r="EG744" s="335"/>
      <c r="EH744" s="335"/>
      <c r="EI744" s="335"/>
      <c r="EJ744" s="335"/>
      <c r="EK744" s="335"/>
      <c r="EL744" s="335"/>
      <c r="EM744" s="335"/>
      <c r="EN744" s="335"/>
      <c r="EO744" s="335"/>
      <c r="EP744" s="335"/>
      <c r="EQ744" s="335"/>
      <c r="ER744" s="335"/>
      <c r="ES744" s="335"/>
      <c r="ET744" s="335"/>
      <c r="EU744" s="335"/>
      <c r="EV744" s="335"/>
      <c r="EW744" s="335"/>
      <c r="EX744" s="335"/>
      <c r="EY744" s="335"/>
      <c r="EZ744" s="335"/>
      <c r="FA744" s="335"/>
      <c r="FB744" s="335"/>
      <c r="FC744" s="335"/>
      <c r="FD744" s="335"/>
      <c r="FE744" s="335"/>
      <c r="FF744" s="335"/>
      <c r="FG744" s="335"/>
      <c r="FH744" s="335"/>
      <c r="FI744" s="335"/>
      <c r="FJ744" s="335"/>
      <c r="FK744" s="335"/>
      <c r="FL744" s="335"/>
      <c r="FM744" s="335"/>
      <c r="FN744" s="335"/>
      <c r="FO744" s="335"/>
      <c r="FP744" s="335"/>
      <c r="FQ744" s="335"/>
      <c r="FR744" s="335"/>
      <c r="FS744" s="335"/>
      <c r="FT744" s="335"/>
      <c r="FU744" s="335"/>
      <c r="FV744" s="335"/>
      <c r="FW744" s="335"/>
      <c r="FX744" s="335"/>
      <c r="FY744" s="335"/>
      <c r="FZ744" s="335"/>
      <c r="GA744" s="335"/>
      <c r="GB744" s="335"/>
      <c r="GC744" s="335"/>
      <c r="GD744" s="335"/>
      <c r="GE744" s="335"/>
      <c r="GF744" s="335"/>
      <c r="GG744" s="335"/>
      <c r="GH744" s="335"/>
      <c r="GI744" s="335"/>
      <c r="GJ744" s="335"/>
      <c r="GK744" s="335"/>
      <c r="GL744" s="335"/>
      <c r="GM744" s="335"/>
      <c r="GN744" s="335"/>
      <c r="GO744" s="335"/>
      <c r="GP744" s="335"/>
      <c r="GQ744" s="335"/>
      <c r="GR744" s="335"/>
      <c r="GS744" s="335"/>
      <c r="GT744" s="335"/>
      <c r="GU744" s="335"/>
      <c r="GV744" s="335"/>
      <c r="GW744" s="335"/>
      <c r="GX744" s="335"/>
      <c r="GY744" s="335"/>
      <c r="GZ744" s="335"/>
    </row>
    <row r="745" spans="1:208" ht="15">
      <c r="A745" s="379"/>
      <c r="B745" s="335"/>
      <c r="C745" s="335"/>
      <c r="D745" s="335"/>
      <c r="E745" s="335"/>
      <c r="F745" s="335"/>
      <c r="G745" s="335"/>
      <c r="H745" s="335"/>
      <c r="I745" s="335"/>
      <c r="J745" s="335"/>
      <c r="K745" s="335"/>
      <c r="L745" s="335"/>
      <c r="M745" s="376"/>
      <c r="N745" s="335"/>
      <c r="O745" s="380"/>
      <c r="P745" s="335"/>
      <c r="Q745" s="335"/>
      <c r="R745" s="335"/>
      <c r="S745" s="335"/>
      <c r="T745" s="335"/>
      <c r="U745" s="335"/>
      <c r="V745" s="335"/>
      <c r="W745" s="335"/>
      <c r="X745" s="335"/>
      <c r="Y745" s="335"/>
      <c r="Z745" s="335"/>
      <c r="AA745" s="335"/>
      <c r="AB745" s="335"/>
      <c r="AC745" s="335"/>
      <c r="AD745" s="335"/>
      <c r="AE745" s="335"/>
      <c r="AF745" s="335"/>
      <c r="AG745" s="335"/>
      <c r="AH745" s="335"/>
      <c r="AI745" s="335"/>
      <c r="AJ745" s="335"/>
      <c r="AK745" s="335"/>
      <c r="AL745" s="335"/>
      <c r="AM745" s="335"/>
      <c r="AN745" s="335"/>
      <c r="AO745" s="335"/>
      <c r="AP745" s="335"/>
      <c r="AQ745" s="335"/>
      <c r="AR745" s="335"/>
      <c r="AS745" s="335"/>
      <c r="AT745" s="335"/>
      <c r="AU745" s="335"/>
      <c r="AV745" s="335"/>
      <c r="AW745" s="335"/>
      <c r="AX745" s="335"/>
      <c r="AY745" s="335"/>
      <c r="AZ745" s="335"/>
      <c r="BA745" s="335"/>
      <c r="BB745" s="335"/>
      <c r="BC745" s="335"/>
      <c r="BD745" s="335"/>
      <c r="BE745" s="335"/>
      <c r="BF745" s="335"/>
      <c r="BG745" s="335"/>
      <c r="BH745" s="335"/>
      <c r="BI745" s="335"/>
      <c r="BJ745" s="335"/>
      <c r="BK745" s="335"/>
      <c r="BL745" s="335"/>
      <c r="BM745" s="335"/>
      <c r="BN745" s="335"/>
      <c r="BO745" s="335"/>
      <c r="BP745" s="335"/>
      <c r="BQ745" s="335"/>
      <c r="BR745" s="335"/>
      <c r="BS745" s="335"/>
      <c r="BT745" s="335"/>
      <c r="BU745" s="335"/>
      <c r="BV745" s="335"/>
      <c r="BW745" s="335"/>
      <c r="BX745" s="335"/>
      <c r="BY745" s="335"/>
      <c r="BZ745" s="335"/>
      <c r="CA745" s="335"/>
      <c r="CB745" s="335"/>
      <c r="CC745" s="335"/>
      <c r="CD745" s="335"/>
      <c r="CE745" s="335"/>
      <c r="CF745" s="335"/>
      <c r="CG745" s="335"/>
      <c r="CH745" s="335"/>
      <c r="CI745" s="335"/>
      <c r="CJ745" s="335"/>
      <c r="CK745" s="335"/>
      <c r="CL745" s="335"/>
      <c r="CM745" s="335"/>
      <c r="CN745" s="335"/>
      <c r="CO745" s="335"/>
      <c r="CP745" s="335"/>
      <c r="CQ745" s="335"/>
      <c r="CR745" s="335"/>
      <c r="CS745" s="335"/>
      <c r="CT745" s="335"/>
      <c r="CU745" s="335"/>
      <c r="CV745" s="335"/>
      <c r="CW745" s="335"/>
      <c r="CX745" s="335"/>
      <c r="CY745" s="335"/>
      <c r="CZ745" s="335"/>
      <c r="DA745" s="335"/>
      <c r="DB745" s="335"/>
      <c r="DC745" s="335"/>
      <c r="DD745" s="335"/>
      <c r="DE745" s="335"/>
      <c r="DF745" s="335"/>
      <c r="DG745" s="335"/>
      <c r="DH745" s="335"/>
      <c r="DI745" s="335"/>
      <c r="DJ745" s="335"/>
      <c r="DK745" s="335"/>
      <c r="DL745" s="335"/>
      <c r="DM745" s="335"/>
      <c r="DN745" s="335"/>
      <c r="DO745" s="335"/>
      <c r="DP745" s="335"/>
      <c r="DQ745" s="335"/>
      <c r="DR745" s="335"/>
      <c r="DS745" s="335"/>
      <c r="DT745" s="335"/>
      <c r="DU745" s="335"/>
      <c r="DV745" s="335"/>
      <c r="DW745" s="335"/>
      <c r="DX745" s="335"/>
      <c r="DY745" s="335"/>
      <c r="DZ745" s="335"/>
      <c r="EA745" s="335"/>
      <c r="EB745" s="335"/>
      <c r="EC745" s="335"/>
      <c r="ED745" s="335"/>
      <c r="EE745" s="335"/>
      <c r="EF745" s="335"/>
      <c r="EG745" s="335"/>
      <c r="EH745" s="335"/>
      <c r="EI745" s="335"/>
      <c r="EJ745" s="335"/>
      <c r="EK745" s="335"/>
      <c r="EL745" s="335"/>
      <c r="EM745" s="335"/>
      <c r="EN745" s="335"/>
      <c r="EO745" s="335"/>
      <c r="EP745" s="335"/>
      <c r="EQ745" s="335"/>
      <c r="ER745" s="335"/>
      <c r="ES745" s="335"/>
      <c r="ET745" s="335"/>
      <c r="EU745" s="335"/>
      <c r="EV745" s="335"/>
      <c r="EW745" s="335"/>
      <c r="EX745" s="335"/>
      <c r="EY745" s="335"/>
      <c r="EZ745" s="335"/>
      <c r="FA745" s="335"/>
      <c r="FB745" s="335"/>
      <c r="FC745" s="335"/>
      <c r="FD745" s="335"/>
      <c r="FE745" s="335"/>
      <c r="FF745" s="335"/>
      <c r="FG745" s="335"/>
      <c r="FH745" s="335"/>
      <c r="FI745" s="335"/>
      <c r="FJ745" s="335"/>
      <c r="FK745" s="335"/>
      <c r="FL745" s="335"/>
      <c r="FM745" s="335"/>
      <c r="FN745" s="335"/>
      <c r="FO745" s="335"/>
      <c r="FP745" s="335"/>
      <c r="FQ745" s="335"/>
      <c r="FR745" s="335"/>
      <c r="FS745" s="335"/>
      <c r="FT745" s="335"/>
      <c r="FU745" s="335"/>
      <c r="FV745" s="335"/>
      <c r="FW745" s="335"/>
      <c r="FX745" s="335"/>
      <c r="FY745" s="335"/>
      <c r="FZ745" s="335"/>
      <c r="GA745" s="335"/>
      <c r="GB745" s="335"/>
      <c r="GC745" s="335"/>
      <c r="GD745" s="335"/>
      <c r="GE745" s="335"/>
      <c r="GF745" s="335"/>
      <c r="GG745" s="335"/>
      <c r="GH745" s="335"/>
      <c r="GI745" s="335"/>
      <c r="GJ745" s="335"/>
      <c r="GK745" s="335"/>
      <c r="GL745" s="335"/>
      <c r="GM745" s="335"/>
      <c r="GN745" s="335"/>
      <c r="GO745" s="335"/>
      <c r="GP745" s="335"/>
      <c r="GQ745" s="335"/>
      <c r="GR745" s="335"/>
      <c r="GS745" s="335"/>
      <c r="GT745" s="335"/>
      <c r="GU745" s="335"/>
      <c r="GV745" s="335"/>
      <c r="GW745" s="335"/>
      <c r="GX745" s="335"/>
      <c r="GY745" s="335"/>
      <c r="GZ745" s="335"/>
    </row>
    <row r="746" spans="1:208" ht="15">
      <c r="A746" s="379"/>
      <c r="B746" s="335"/>
      <c r="C746" s="335"/>
      <c r="D746" s="335"/>
      <c r="E746" s="335"/>
      <c r="F746" s="335"/>
      <c r="G746" s="335"/>
      <c r="H746" s="335"/>
      <c r="I746" s="335"/>
      <c r="J746" s="335"/>
      <c r="K746" s="335"/>
      <c r="L746" s="335"/>
      <c r="M746" s="376"/>
      <c r="N746" s="335"/>
      <c r="O746" s="380"/>
      <c r="P746" s="335"/>
      <c r="Q746" s="335"/>
      <c r="R746" s="335"/>
      <c r="S746" s="335"/>
      <c r="T746" s="335"/>
      <c r="U746" s="335"/>
      <c r="V746" s="335"/>
      <c r="W746" s="335"/>
      <c r="X746" s="335"/>
      <c r="Y746" s="335"/>
      <c r="Z746" s="335"/>
      <c r="AA746" s="335"/>
      <c r="AB746" s="335"/>
      <c r="AC746" s="335"/>
      <c r="AD746" s="335"/>
      <c r="AE746" s="335"/>
      <c r="AF746" s="335"/>
      <c r="AG746" s="335"/>
      <c r="AH746" s="335"/>
      <c r="AI746" s="335"/>
      <c r="AJ746" s="335"/>
      <c r="AK746" s="335"/>
      <c r="AL746" s="335"/>
      <c r="AM746" s="335"/>
      <c r="AN746" s="335"/>
      <c r="AO746" s="335"/>
      <c r="AP746" s="335"/>
      <c r="AQ746" s="335"/>
      <c r="AR746" s="335"/>
      <c r="AS746" s="335"/>
      <c r="AT746" s="335"/>
      <c r="AU746" s="335"/>
      <c r="AV746" s="335"/>
      <c r="AW746" s="335"/>
      <c r="AX746" s="335"/>
      <c r="AY746" s="335"/>
      <c r="AZ746" s="335"/>
      <c r="BA746" s="335"/>
      <c r="BB746" s="335"/>
      <c r="BC746" s="335"/>
      <c r="BD746" s="335"/>
      <c r="BE746" s="335"/>
      <c r="BF746" s="335"/>
      <c r="BG746" s="335"/>
      <c r="BH746" s="335"/>
      <c r="BI746" s="335"/>
      <c r="BJ746" s="335"/>
      <c r="BK746" s="335"/>
      <c r="BL746" s="335"/>
      <c r="BM746" s="335"/>
      <c r="BN746" s="335"/>
      <c r="BO746" s="335"/>
      <c r="BP746" s="335"/>
      <c r="BQ746" s="335"/>
      <c r="BR746" s="335"/>
      <c r="BS746" s="335"/>
      <c r="BT746" s="335"/>
      <c r="BU746" s="335"/>
      <c r="BV746" s="335"/>
      <c r="BW746" s="335"/>
      <c r="BX746" s="335"/>
      <c r="BY746" s="335"/>
      <c r="BZ746" s="335"/>
      <c r="CA746" s="335"/>
      <c r="CB746" s="335"/>
      <c r="CC746" s="335"/>
      <c r="CD746" s="335"/>
      <c r="CE746" s="335"/>
      <c r="CF746" s="335"/>
      <c r="CG746" s="335"/>
      <c r="CH746" s="335"/>
      <c r="CI746" s="335"/>
      <c r="CJ746" s="335"/>
      <c r="CK746" s="335"/>
      <c r="CL746" s="335"/>
      <c r="CM746" s="335"/>
      <c r="CN746" s="335"/>
      <c r="CO746" s="335"/>
      <c r="CP746" s="335"/>
      <c r="CQ746" s="335"/>
      <c r="CR746" s="335"/>
      <c r="CS746" s="335"/>
      <c r="CT746" s="335"/>
      <c r="CU746" s="335"/>
      <c r="CV746" s="335"/>
      <c r="CW746" s="335"/>
      <c r="CX746" s="335"/>
      <c r="CY746" s="335"/>
      <c r="CZ746" s="335"/>
      <c r="DA746" s="335"/>
      <c r="DB746" s="335"/>
      <c r="DC746" s="335"/>
      <c r="DD746" s="335"/>
      <c r="DE746" s="335"/>
      <c r="DF746" s="335"/>
      <c r="DG746" s="335"/>
      <c r="DH746" s="335"/>
      <c r="DI746" s="335"/>
      <c r="DJ746" s="335"/>
      <c r="DK746" s="335"/>
      <c r="DL746" s="335"/>
      <c r="DM746" s="335"/>
      <c r="DN746" s="335"/>
      <c r="DO746" s="335"/>
      <c r="DP746" s="335"/>
      <c r="DQ746" s="335"/>
      <c r="DR746" s="335"/>
      <c r="DS746" s="335"/>
      <c r="DT746" s="335"/>
      <c r="DU746" s="335"/>
      <c r="DV746" s="335"/>
      <c r="DW746" s="335"/>
      <c r="DX746" s="335"/>
      <c r="DY746" s="335"/>
      <c r="DZ746" s="335"/>
      <c r="EA746" s="335"/>
      <c r="EB746" s="335"/>
      <c r="EC746" s="335"/>
      <c r="ED746" s="335"/>
      <c r="EE746" s="335"/>
      <c r="EF746" s="335"/>
      <c r="EG746" s="335"/>
      <c r="EH746" s="335"/>
      <c r="EI746" s="335"/>
      <c r="EJ746" s="335"/>
      <c r="EK746" s="335"/>
      <c r="EL746" s="335"/>
      <c r="EM746" s="335"/>
      <c r="EN746" s="335"/>
      <c r="EO746" s="335"/>
      <c r="EP746" s="335"/>
      <c r="EQ746" s="335"/>
      <c r="ER746" s="335"/>
      <c r="ES746" s="335"/>
      <c r="ET746" s="335"/>
      <c r="EU746" s="335"/>
      <c r="EV746" s="335"/>
      <c r="EW746" s="335"/>
      <c r="EX746" s="335"/>
      <c r="EY746" s="335"/>
      <c r="EZ746" s="335"/>
      <c r="FA746" s="335"/>
      <c r="FB746" s="335"/>
      <c r="FC746" s="335"/>
      <c r="FD746" s="335"/>
      <c r="FE746" s="335"/>
      <c r="FF746" s="335"/>
      <c r="FG746" s="335"/>
      <c r="FH746" s="335"/>
      <c r="FI746" s="335"/>
      <c r="FJ746" s="335"/>
      <c r="FK746" s="335"/>
      <c r="FL746" s="335"/>
      <c r="FM746" s="335"/>
      <c r="FN746" s="335"/>
      <c r="FO746" s="335"/>
      <c r="FP746" s="335"/>
      <c r="FQ746" s="335"/>
      <c r="FR746" s="335"/>
      <c r="FS746" s="335"/>
      <c r="FT746" s="335"/>
      <c r="FU746" s="335"/>
      <c r="FV746" s="335"/>
      <c r="FW746" s="335"/>
      <c r="FX746" s="335"/>
      <c r="FY746" s="335"/>
      <c r="FZ746" s="335"/>
      <c r="GA746" s="335"/>
      <c r="GB746" s="335"/>
      <c r="GC746" s="335"/>
      <c r="GD746" s="335"/>
      <c r="GE746" s="335"/>
      <c r="GF746" s="335"/>
      <c r="GG746" s="335"/>
      <c r="GH746" s="335"/>
      <c r="GI746" s="335"/>
      <c r="GJ746" s="335"/>
      <c r="GK746" s="335"/>
      <c r="GL746" s="335"/>
      <c r="GM746" s="335"/>
      <c r="GN746" s="335"/>
      <c r="GO746" s="335"/>
      <c r="GP746" s="335"/>
      <c r="GQ746" s="335"/>
      <c r="GR746" s="335"/>
      <c r="GS746" s="335"/>
      <c r="GT746" s="335"/>
      <c r="GU746" s="335"/>
      <c r="GV746" s="335"/>
      <c r="GW746" s="335"/>
      <c r="GX746" s="335"/>
      <c r="GY746" s="335"/>
      <c r="GZ746" s="335"/>
    </row>
    <row r="747" spans="1:208" ht="15">
      <c r="A747" s="379"/>
      <c r="B747" s="335"/>
      <c r="C747" s="335"/>
      <c r="D747" s="335"/>
      <c r="E747" s="335"/>
      <c r="F747" s="335"/>
      <c r="G747" s="335"/>
      <c r="H747" s="335"/>
      <c r="I747" s="335"/>
      <c r="J747" s="335"/>
      <c r="K747" s="335"/>
      <c r="L747" s="335"/>
      <c r="M747" s="376"/>
      <c r="N747" s="335"/>
      <c r="O747" s="380"/>
      <c r="P747" s="335"/>
      <c r="Q747" s="335"/>
      <c r="R747" s="335"/>
      <c r="S747" s="335"/>
      <c r="T747" s="335"/>
      <c r="U747" s="335"/>
      <c r="V747" s="335"/>
      <c r="W747" s="335"/>
      <c r="X747" s="335"/>
      <c r="Y747" s="335"/>
      <c r="Z747" s="335"/>
      <c r="AA747" s="335"/>
      <c r="AB747" s="335"/>
      <c r="AC747" s="335"/>
      <c r="AD747" s="335"/>
      <c r="AE747" s="335"/>
      <c r="AF747" s="335"/>
      <c r="AG747" s="335"/>
      <c r="AH747" s="335"/>
      <c r="AI747" s="335"/>
      <c r="AJ747" s="335"/>
      <c r="AK747" s="335"/>
      <c r="AL747" s="335"/>
      <c r="AM747" s="335"/>
      <c r="AN747" s="335"/>
      <c r="AO747" s="335"/>
      <c r="AP747" s="335"/>
      <c r="AQ747" s="335"/>
      <c r="AR747" s="335"/>
      <c r="AS747" s="335"/>
      <c r="AT747" s="335"/>
      <c r="AU747" s="335"/>
      <c r="AV747" s="335"/>
      <c r="AW747" s="335"/>
      <c r="AX747" s="335"/>
      <c r="AY747" s="335"/>
      <c r="AZ747" s="335"/>
      <c r="BA747" s="335"/>
      <c r="BB747" s="335"/>
      <c r="BC747" s="335"/>
      <c r="BD747" s="335"/>
      <c r="BE747" s="335"/>
      <c r="BF747" s="335"/>
      <c r="BG747" s="335"/>
      <c r="BH747" s="335"/>
      <c r="BI747" s="335"/>
      <c r="BJ747" s="335"/>
      <c r="BK747" s="335"/>
      <c r="BL747" s="335"/>
      <c r="BM747" s="335"/>
      <c r="BN747" s="335"/>
      <c r="BO747" s="335"/>
      <c r="BP747" s="335"/>
      <c r="BQ747" s="335"/>
      <c r="BR747" s="335"/>
      <c r="BS747" s="335"/>
      <c r="BT747" s="335"/>
      <c r="BU747" s="335"/>
      <c r="BV747" s="335"/>
      <c r="BW747" s="335"/>
      <c r="BX747" s="335"/>
      <c r="BY747" s="335"/>
      <c r="BZ747" s="335"/>
      <c r="CA747" s="335"/>
      <c r="CB747" s="335"/>
      <c r="CC747" s="335"/>
      <c r="CD747" s="335"/>
      <c r="CE747" s="335"/>
      <c r="CF747" s="335"/>
      <c r="CG747" s="335"/>
      <c r="CH747" s="335"/>
      <c r="CI747" s="335"/>
      <c r="CJ747" s="335"/>
      <c r="CK747" s="335"/>
      <c r="CL747" s="335"/>
      <c r="CM747" s="335"/>
      <c r="CN747" s="335"/>
      <c r="CO747" s="335"/>
      <c r="CP747" s="335"/>
      <c r="CQ747" s="335"/>
      <c r="CR747" s="335"/>
      <c r="CS747" s="335"/>
      <c r="CT747" s="335"/>
      <c r="CU747" s="335"/>
      <c r="CV747" s="335"/>
      <c r="CW747" s="335"/>
      <c r="CX747" s="335"/>
      <c r="CY747" s="335"/>
      <c r="CZ747" s="335"/>
      <c r="DA747" s="335"/>
      <c r="DB747" s="335"/>
      <c r="DC747" s="335"/>
      <c r="DD747" s="335"/>
      <c r="DE747" s="335"/>
      <c r="DF747" s="335"/>
      <c r="DG747" s="335"/>
      <c r="DH747" s="335"/>
      <c r="DI747" s="335"/>
      <c r="DJ747" s="335"/>
      <c r="DK747" s="335"/>
      <c r="DL747" s="335"/>
      <c r="DM747" s="335"/>
      <c r="DN747" s="335"/>
      <c r="DO747" s="335"/>
      <c r="DP747" s="335"/>
      <c r="DQ747" s="335"/>
      <c r="DR747" s="335"/>
      <c r="DS747" s="335"/>
      <c r="DT747" s="335"/>
      <c r="DU747" s="335"/>
      <c r="DV747" s="335"/>
      <c r="DW747" s="335"/>
      <c r="DX747" s="335"/>
      <c r="DY747" s="335"/>
      <c r="DZ747" s="335"/>
      <c r="EA747" s="335"/>
      <c r="EB747" s="335"/>
      <c r="EC747" s="335"/>
      <c r="ED747" s="335"/>
      <c r="EE747" s="335"/>
      <c r="EF747" s="335"/>
      <c r="EG747" s="335"/>
      <c r="EH747" s="335"/>
      <c r="EI747" s="335"/>
      <c r="EJ747" s="335"/>
      <c r="EK747" s="335"/>
      <c r="EL747" s="335"/>
      <c r="EM747" s="335"/>
      <c r="EN747" s="335"/>
      <c r="EO747" s="335"/>
      <c r="EP747" s="335"/>
      <c r="EQ747" s="335"/>
      <c r="ER747" s="335"/>
      <c r="ES747" s="335"/>
      <c r="ET747" s="335"/>
      <c r="EU747" s="335"/>
      <c r="EV747" s="335"/>
      <c r="EW747" s="335"/>
      <c r="EX747" s="335"/>
      <c r="EY747" s="335"/>
      <c r="EZ747" s="335"/>
      <c r="FA747" s="335"/>
      <c r="FB747" s="335"/>
      <c r="FC747" s="335"/>
      <c r="FD747" s="335"/>
      <c r="FE747" s="335"/>
      <c r="FF747" s="335"/>
      <c r="FG747" s="335"/>
      <c r="FH747" s="335"/>
      <c r="FI747" s="335"/>
      <c r="FJ747" s="335"/>
      <c r="FK747" s="335"/>
      <c r="FL747" s="335"/>
      <c r="FM747" s="335"/>
      <c r="FN747" s="335"/>
      <c r="FO747" s="335"/>
      <c r="FP747" s="335"/>
      <c r="FQ747" s="335"/>
      <c r="FR747" s="335"/>
      <c r="FS747" s="335"/>
      <c r="FT747" s="335"/>
      <c r="FU747" s="335"/>
      <c r="FV747" s="335"/>
      <c r="FW747" s="335"/>
      <c r="FX747" s="335"/>
      <c r="FY747" s="335"/>
      <c r="FZ747" s="335"/>
      <c r="GA747" s="335"/>
      <c r="GB747" s="335"/>
      <c r="GC747" s="335"/>
      <c r="GD747" s="335"/>
      <c r="GE747" s="335"/>
      <c r="GF747" s="335"/>
      <c r="GG747" s="335"/>
      <c r="GH747" s="335"/>
      <c r="GI747" s="335"/>
      <c r="GJ747" s="335"/>
      <c r="GK747" s="335"/>
      <c r="GL747" s="335"/>
      <c r="GM747" s="335"/>
      <c r="GN747" s="335"/>
      <c r="GO747" s="335"/>
      <c r="GP747" s="335"/>
      <c r="GQ747" s="335"/>
      <c r="GR747" s="335"/>
      <c r="GS747" s="335"/>
      <c r="GT747" s="335"/>
      <c r="GU747" s="335"/>
      <c r="GV747" s="335"/>
      <c r="GW747" s="335"/>
      <c r="GX747" s="335"/>
      <c r="GY747" s="335"/>
      <c r="GZ747" s="335"/>
    </row>
    <row r="748" spans="1:208" ht="15">
      <c r="A748" s="379"/>
      <c r="B748" s="335"/>
      <c r="C748" s="335"/>
      <c r="D748" s="335"/>
      <c r="E748" s="335"/>
      <c r="F748" s="335"/>
      <c r="G748" s="335"/>
      <c r="H748" s="335"/>
      <c r="I748" s="335"/>
      <c r="J748" s="335"/>
      <c r="K748" s="335"/>
      <c r="L748" s="335"/>
      <c r="M748" s="376"/>
      <c r="N748" s="335"/>
      <c r="O748" s="380"/>
      <c r="P748" s="335"/>
      <c r="Q748" s="335"/>
      <c r="R748" s="335"/>
      <c r="S748" s="335"/>
      <c r="T748" s="335"/>
      <c r="U748" s="335"/>
      <c r="V748" s="335"/>
      <c r="W748" s="335"/>
      <c r="X748" s="335"/>
      <c r="Y748" s="335"/>
      <c r="Z748" s="335"/>
      <c r="AA748" s="335"/>
      <c r="AB748" s="335"/>
      <c r="AC748" s="335"/>
      <c r="AD748" s="335"/>
      <c r="AE748" s="335"/>
      <c r="AF748" s="335"/>
      <c r="AG748" s="335"/>
      <c r="AH748" s="335"/>
      <c r="AI748" s="335"/>
      <c r="AJ748" s="335"/>
      <c r="AK748" s="335"/>
      <c r="AL748" s="335"/>
      <c r="AM748" s="335"/>
      <c r="AN748" s="335"/>
      <c r="AO748" s="335"/>
      <c r="AP748" s="335"/>
      <c r="AQ748" s="335"/>
      <c r="AR748" s="335"/>
      <c r="AS748" s="335"/>
      <c r="AT748" s="335"/>
      <c r="AU748" s="335"/>
      <c r="AV748" s="335"/>
      <c r="AW748" s="335"/>
      <c r="AX748" s="335"/>
      <c r="AY748" s="335"/>
      <c r="AZ748" s="335"/>
      <c r="BA748" s="335"/>
      <c r="BB748" s="335"/>
      <c r="BC748" s="335"/>
      <c r="BD748" s="335"/>
      <c r="BE748" s="335"/>
      <c r="BF748" s="335"/>
      <c r="BG748" s="335"/>
      <c r="BH748" s="335"/>
      <c r="BI748" s="335"/>
      <c r="BJ748" s="335"/>
      <c r="BK748" s="335"/>
      <c r="BL748" s="335"/>
      <c r="BM748" s="335"/>
      <c r="BN748" s="335"/>
      <c r="BO748" s="335"/>
      <c r="BP748" s="335"/>
      <c r="BQ748" s="335"/>
      <c r="BR748" s="335"/>
      <c r="BS748" s="335"/>
      <c r="BT748" s="335"/>
      <c r="BU748" s="335"/>
      <c r="BV748" s="335"/>
      <c r="BW748" s="335"/>
      <c r="BX748" s="335"/>
      <c r="BY748" s="335"/>
      <c r="BZ748" s="335"/>
      <c r="CA748" s="335"/>
      <c r="CB748" s="335"/>
      <c r="CC748" s="335"/>
      <c r="CD748" s="335"/>
      <c r="CE748" s="335"/>
      <c r="CF748" s="335"/>
      <c r="CG748" s="335"/>
      <c r="CH748" s="335"/>
      <c r="CI748" s="335"/>
      <c r="CJ748" s="335"/>
      <c r="CK748" s="335"/>
      <c r="CL748" s="335"/>
      <c r="CM748" s="335"/>
      <c r="CN748" s="335"/>
      <c r="CO748" s="335"/>
      <c r="CP748" s="335"/>
      <c r="CQ748" s="335"/>
      <c r="CR748" s="335"/>
      <c r="CS748" s="335"/>
      <c r="CT748" s="335"/>
      <c r="CU748" s="335"/>
      <c r="CV748" s="335"/>
      <c r="CW748" s="335"/>
      <c r="CX748" s="335"/>
      <c r="CY748" s="335"/>
      <c r="CZ748" s="335"/>
      <c r="DA748" s="335"/>
      <c r="DB748" s="335"/>
      <c r="DC748" s="335"/>
      <c r="DD748" s="335"/>
      <c r="DE748" s="335"/>
      <c r="DF748" s="335"/>
      <c r="DG748" s="335"/>
      <c r="DH748" s="335"/>
      <c r="DI748" s="335"/>
      <c r="DJ748" s="335"/>
      <c r="DK748" s="335"/>
      <c r="DL748" s="335"/>
      <c r="DM748" s="335"/>
      <c r="DN748" s="335"/>
      <c r="DO748" s="335"/>
      <c r="DP748" s="335"/>
      <c r="DQ748" s="335"/>
      <c r="DR748" s="335"/>
      <c r="DS748" s="335"/>
      <c r="DT748" s="335"/>
      <c r="DU748" s="335"/>
      <c r="DV748" s="335"/>
      <c r="DW748" s="335"/>
      <c r="DX748" s="335"/>
      <c r="DY748" s="335"/>
      <c r="DZ748" s="335"/>
      <c r="EA748" s="335"/>
      <c r="EB748" s="335"/>
      <c r="EC748" s="335"/>
      <c r="ED748" s="335"/>
      <c r="EE748" s="335"/>
      <c r="EF748" s="335"/>
      <c r="EG748" s="335"/>
      <c r="EH748" s="335"/>
      <c r="EI748" s="335"/>
      <c r="EJ748" s="335"/>
      <c r="EK748" s="335"/>
      <c r="EL748" s="335"/>
      <c r="EM748" s="335"/>
      <c r="EN748" s="335"/>
      <c r="EO748" s="335"/>
      <c r="EP748" s="335"/>
      <c r="EQ748" s="335"/>
      <c r="ER748" s="335"/>
      <c r="ES748" s="335"/>
      <c r="ET748" s="335"/>
      <c r="EU748" s="335"/>
      <c r="EV748" s="335"/>
      <c r="EW748" s="335"/>
      <c r="EX748" s="335"/>
      <c r="EY748" s="335"/>
      <c r="EZ748" s="335"/>
      <c r="FA748" s="335"/>
      <c r="FB748" s="335"/>
      <c r="FC748" s="335"/>
      <c r="FD748" s="335"/>
      <c r="FE748" s="335"/>
      <c r="FF748" s="335"/>
      <c r="FG748" s="335"/>
      <c r="FH748" s="335"/>
      <c r="FI748" s="335"/>
      <c r="FJ748" s="335"/>
      <c r="FK748" s="335"/>
      <c r="FL748" s="335"/>
      <c r="FM748" s="335"/>
      <c r="FN748" s="335"/>
      <c r="FO748" s="335"/>
      <c r="FP748" s="335"/>
      <c r="FQ748" s="335"/>
      <c r="FR748" s="335"/>
      <c r="FS748" s="335"/>
      <c r="FT748" s="335"/>
      <c r="FU748" s="335"/>
      <c r="FV748" s="335"/>
      <c r="FW748" s="335"/>
      <c r="FX748" s="335"/>
      <c r="FY748" s="335"/>
      <c r="FZ748" s="335"/>
      <c r="GA748" s="335"/>
      <c r="GB748" s="335"/>
      <c r="GC748" s="335"/>
      <c r="GD748" s="335"/>
      <c r="GE748" s="335"/>
      <c r="GF748" s="335"/>
      <c r="GG748" s="335"/>
      <c r="GH748" s="335"/>
      <c r="GI748" s="335"/>
      <c r="GJ748" s="335"/>
      <c r="GK748" s="335"/>
      <c r="GL748" s="335"/>
      <c r="GM748" s="335"/>
      <c r="GN748" s="335"/>
      <c r="GO748" s="335"/>
      <c r="GP748" s="335"/>
      <c r="GQ748" s="335"/>
      <c r="GR748" s="335"/>
      <c r="GS748" s="335"/>
      <c r="GT748" s="335"/>
      <c r="GU748" s="335"/>
      <c r="GV748" s="335"/>
      <c r="GW748" s="335"/>
      <c r="GX748" s="335"/>
      <c r="GY748" s="335"/>
      <c r="GZ748" s="335"/>
    </row>
    <row r="749" spans="1:208" ht="15">
      <c r="A749" s="379"/>
      <c r="B749" s="335"/>
      <c r="C749" s="335"/>
      <c r="D749" s="335"/>
      <c r="E749" s="335"/>
      <c r="F749" s="335"/>
      <c r="G749" s="335"/>
      <c r="H749" s="335"/>
      <c r="I749" s="335"/>
      <c r="J749" s="335"/>
      <c r="K749" s="335"/>
      <c r="L749" s="335"/>
      <c r="M749" s="376"/>
      <c r="N749" s="335"/>
      <c r="O749" s="380"/>
      <c r="P749" s="335"/>
      <c r="Q749" s="335"/>
      <c r="R749" s="335"/>
      <c r="S749" s="335"/>
      <c r="T749" s="335"/>
      <c r="U749" s="335"/>
      <c r="V749" s="335"/>
      <c r="W749" s="335"/>
      <c r="X749" s="335"/>
      <c r="Y749" s="335"/>
      <c r="Z749" s="335"/>
      <c r="AA749" s="335"/>
      <c r="AB749" s="335"/>
      <c r="AC749" s="335"/>
      <c r="AD749" s="335"/>
      <c r="AE749" s="335"/>
      <c r="AF749" s="335"/>
      <c r="AG749" s="335"/>
      <c r="AH749" s="335"/>
      <c r="AI749" s="335"/>
      <c r="AJ749" s="335"/>
      <c r="AK749" s="335"/>
      <c r="AL749" s="335"/>
      <c r="AM749" s="335"/>
      <c r="AN749" s="335"/>
      <c r="AO749" s="335"/>
      <c r="AP749" s="335"/>
      <c r="AQ749" s="335"/>
      <c r="AR749" s="335"/>
      <c r="AS749" s="335"/>
      <c r="AT749" s="335"/>
      <c r="AU749" s="335"/>
      <c r="AV749" s="335"/>
      <c r="AW749" s="335"/>
      <c r="AX749" s="335"/>
      <c r="AY749" s="335"/>
      <c r="AZ749" s="335"/>
      <c r="BA749" s="335"/>
      <c r="BB749" s="335"/>
      <c r="BC749" s="335"/>
      <c r="BD749" s="335"/>
      <c r="BE749" s="335"/>
      <c r="BF749" s="335"/>
      <c r="BG749" s="335"/>
      <c r="BH749" s="335"/>
      <c r="BI749" s="335"/>
      <c r="BJ749" s="335"/>
      <c r="BK749" s="335"/>
      <c r="BL749" s="335"/>
      <c r="BM749" s="335"/>
      <c r="BN749" s="335"/>
      <c r="BO749" s="335"/>
      <c r="BP749" s="335"/>
      <c r="BQ749" s="335"/>
      <c r="BR749" s="335"/>
      <c r="BS749" s="335"/>
      <c r="BT749" s="335"/>
      <c r="BU749" s="335"/>
      <c r="BV749" s="335"/>
      <c r="BW749" s="335"/>
      <c r="BX749" s="335"/>
      <c r="BY749" s="335"/>
      <c r="BZ749" s="335"/>
      <c r="CA749" s="335"/>
      <c r="CB749" s="335"/>
      <c r="CC749" s="335"/>
      <c r="CD749" s="335"/>
      <c r="CE749" s="335"/>
      <c r="CF749" s="335"/>
      <c r="CG749" s="335"/>
      <c r="CH749" s="335"/>
      <c r="CI749" s="335"/>
      <c r="CJ749" s="335"/>
      <c r="CK749" s="335"/>
      <c r="CL749" s="335"/>
      <c r="CM749" s="335"/>
      <c r="CN749" s="335"/>
      <c r="CO749" s="335"/>
      <c r="CP749" s="335"/>
      <c r="CQ749" s="335"/>
      <c r="CR749" s="335"/>
      <c r="CS749" s="335"/>
      <c r="CT749" s="335"/>
      <c r="CU749" s="335"/>
      <c r="CV749" s="335"/>
      <c r="CW749" s="335"/>
      <c r="CX749" s="335"/>
      <c r="CY749" s="335"/>
      <c r="CZ749" s="335"/>
      <c r="DA749" s="335"/>
      <c r="DB749" s="335"/>
      <c r="DC749" s="335"/>
      <c r="DD749" s="335"/>
      <c r="DE749" s="335"/>
      <c r="DF749" s="335"/>
      <c r="DG749" s="335"/>
      <c r="DH749" s="335"/>
      <c r="DI749" s="335"/>
      <c r="DJ749" s="335"/>
      <c r="DK749" s="335"/>
      <c r="DL749" s="335"/>
      <c r="DM749" s="335"/>
      <c r="DN749" s="335"/>
      <c r="DO749" s="335"/>
      <c r="DP749" s="335"/>
      <c r="DQ749" s="335"/>
      <c r="DR749" s="335"/>
      <c r="DS749" s="335"/>
      <c r="DT749" s="335"/>
      <c r="DU749" s="335"/>
      <c r="DV749" s="335"/>
      <c r="DW749" s="335"/>
      <c r="DX749" s="335"/>
      <c r="DY749" s="335"/>
      <c r="DZ749" s="335"/>
      <c r="EA749" s="335"/>
      <c r="EB749" s="335"/>
      <c r="EC749" s="335"/>
      <c r="ED749" s="335"/>
      <c r="EE749" s="335"/>
      <c r="EF749" s="335"/>
      <c r="EG749" s="335"/>
      <c r="EH749" s="335"/>
      <c r="EI749" s="335"/>
      <c r="EJ749" s="335"/>
      <c r="EK749" s="335"/>
      <c r="EL749" s="335"/>
      <c r="EM749" s="335"/>
      <c r="EN749" s="335"/>
      <c r="EO749" s="335"/>
      <c r="EP749" s="335"/>
      <c r="EQ749" s="335"/>
      <c r="ER749" s="335"/>
      <c r="ES749" s="335"/>
      <c r="ET749" s="335"/>
      <c r="EU749" s="335"/>
      <c r="EV749" s="335"/>
      <c r="EW749" s="335"/>
      <c r="EX749" s="335"/>
      <c r="EY749" s="335"/>
      <c r="EZ749" s="335"/>
      <c r="FA749" s="335"/>
      <c r="FB749" s="335"/>
      <c r="FC749" s="335"/>
      <c r="FD749" s="335"/>
      <c r="FE749" s="335"/>
      <c r="FF749" s="335"/>
      <c r="FG749" s="335"/>
      <c r="FH749" s="335"/>
      <c r="FI749" s="335"/>
      <c r="FJ749" s="335"/>
      <c r="FK749" s="335"/>
      <c r="FL749" s="335"/>
      <c r="FM749" s="335"/>
      <c r="FN749" s="335"/>
      <c r="FO749" s="335"/>
      <c r="FP749" s="335"/>
      <c r="FQ749" s="335"/>
      <c r="FR749" s="335"/>
      <c r="FS749" s="335"/>
      <c r="FT749" s="335"/>
      <c r="FU749" s="335"/>
      <c r="FV749" s="335"/>
      <c r="FW749" s="335"/>
      <c r="FX749" s="335"/>
      <c r="FY749" s="335"/>
      <c r="FZ749" s="335"/>
      <c r="GA749" s="335"/>
      <c r="GB749" s="335"/>
      <c r="GC749" s="335"/>
      <c r="GD749" s="335"/>
      <c r="GE749" s="335"/>
      <c r="GF749" s="335"/>
      <c r="GG749" s="335"/>
      <c r="GH749" s="335"/>
      <c r="GI749" s="335"/>
      <c r="GJ749" s="335"/>
      <c r="GK749" s="335"/>
      <c r="GL749" s="335"/>
      <c r="GM749" s="335"/>
      <c r="GN749" s="335"/>
      <c r="GO749" s="335"/>
      <c r="GP749" s="335"/>
      <c r="GQ749" s="335"/>
      <c r="GR749" s="335"/>
      <c r="GS749" s="335"/>
      <c r="GT749" s="335"/>
      <c r="GU749" s="335"/>
      <c r="GV749" s="335"/>
      <c r="GW749" s="335"/>
      <c r="GX749" s="335"/>
      <c r="GY749" s="335"/>
      <c r="GZ749" s="335"/>
    </row>
    <row r="750" spans="1:208" ht="15">
      <c r="A750" s="379"/>
      <c r="B750" s="335"/>
      <c r="C750" s="335"/>
      <c r="D750" s="335"/>
      <c r="E750" s="335"/>
      <c r="F750" s="335"/>
      <c r="G750" s="335"/>
      <c r="H750" s="335"/>
      <c r="I750" s="335"/>
      <c r="J750" s="335"/>
      <c r="K750" s="335"/>
      <c r="L750" s="335"/>
      <c r="M750" s="376"/>
      <c r="N750" s="335"/>
      <c r="O750" s="380"/>
      <c r="P750" s="335"/>
      <c r="Q750" s="335"/>
      <c r="R750" s="335"/>
      <c r="S750" s="335"/>
      <c r="T750" s="335"/>
      <c r="U750" s="335"/>
      <c r="V750" s="335"/>
      <c r="W750" s="335"/>
      <c r="X750" s="335"/>
      <c r="Y750" s="335"/>
      <c r="Z750" s="335"/>
      <c r="AA750" s="335"/>
      <c r="AB750" s="335"/>
      <c r="AC750" s="335"/>
      <c r="AD750" s="335"/>
      <c r="AE750" s="335"/>
      <c r="AF750" s="335"/>
      <c r="AG750" s="335"/>
      <c r="AH750" s="335"/>
      <c r="AI750" s="335"/>
      <c r="AJ750" s="335"/>
      <c r="AK750" s="335"/>
      <c r="AL750" s="335"/>
      <c r="AM750" s="335"/>
      <c r="AN750" s="335"/>
      <c r="AO750" s="335"/>
      <c r="AP750" s="335"/>
      <c r="AQ750" s="335"/>
      <c r="AR750" s="335"/>
      <c r="AS750" s="335"/>
      <c r="AT750" s="335"/>
      <c r="AU750" s="335"/>
      <c r="AV750" s="335"/>
      <c r="AW750" s="335"/>
      <c r="AX750" s="335"/>
      <c r="AY750" s="335"/>
      <c r="AZ750" s="335"/>
      <c r="BA750" s="335"/>
      <c r="BB750" s="335"/>
      <c r="BC750" s="335"/>
      <c r="BD750" s="335"/>
      <c r="BE750" s="335"/>
      <c r="BF750" s="335"/>
      <c r="BG750" s="335"/>
      <c r="BH750" s="335"/>
      <c r="BI750" s="335"/>
      <c r="BJ750" s="335"/>
      <c r="BK750" s="335"/>
      <c r="BL750" s="335"/>
      <c r="BM750" s="335"/>
      <c r="BN750" s="335"/>
      <c r="BO750" s="335"/>
      <c r="BP750" s="335"/>
      <c r="BQ750" s="335"/>
      <c r="BR750" s="335"/>
      <c r="BS750" s="335"/>
      <c r="BT750" s="335"/>
      <c r="BU750" s="335"/>
      <c r="BV750" s="335"/>
      <c r="BW750" s="335"/>
      <c r="BX750" s="335"/>
      <c r="BY750" s="335"/>
      <c r="BZ750" s="335"/>
      <c r="CA750" s="335"/>
      <c r="CB750" s="335"/>
      <c r="CC750" s="335"/>
      <c r="CD750" s="335"/>
      <c r="CE750" s="335"/>
      <c r="CF750" s="335"/>
      <c r="CG750" s="335"/>
      <c r="CH750" s="335"/>
      <c r="CI750" s="335"/>
      <c r="CJ750" s="335"/>
      <c r="CK750" s="335"/>
      <c r="CL750" s="335"/>
      <c r="CM750" s="335"/>
      <c r="CN750" s="335"/>
      <c r="CO750" s="335"/>
      <c r="CP750" s="335"/>
      <c r="CQ750" s="335"/>
      <c r="CR750" s="335"/>
      <c r="CS750" s="335"/>
      <c r="CT750" s="335"/>
      <c r="CU750" s="335"/>
      <c r="CV750" s="335"/>
      <c r="CW750" s="335"/>
      <c r="CX750" s="335"/>
      <c r="CY750" s="335"/>
      <c r="CZ750" s="335"/>
      <c r="DA750" s="335"/>
      <c r="DB750" s="335"/>
      <c r="DC750" s="335"/>
      <c r="DD750" s="335"/>
      <c r="DE750" s="335"/>
      <c r="DF750" s="335"/>
      <c r="DG750" s="335"/>
      <c r="DH750" s="335"/>
      <c r="DI750" s="335"/>
      <c r="DJ750" s="335"/>
      <c r="DK750" s="335"/>
      <c r="DL750" s="335"/>
      <c r="DM750" s="335"/>
      <c r="DN750" s="335"/>
      <c r="DO750" s="335"/>
      <c r="DP750" s="335"/>
      <c r="DQ750" s="335"/>
      <c r="DR750" s="335"/>
      <c r="DS750" s="335"/>
      <c r="DT750" s="335"/>
      <c r="DU750" s="335"/>
      <c r="DV750" s="335"/>
      <c r="DW750" s="335"/>
      <c r="DX750" s="335"/>
      <c r="DY750" s="335"/>
      <c r="DZ750" s="335"/>
      <c r="EA750" s="335"/>
      <c r="EB750" s="335"/>
      <c r="EC750" s="335"/>
      <c r="ED750" s="335"/>
      <c r="EE750" s="335"/>
      <c r="EF750" s="335"/>
      <c r="EG750" s="335"/>
      <c r="EH750" s="335"/>
      <c r="EI750" s="335"/>
      <c r="EJ750" s="335"/>
      <c r="EK750" s="335"/>
      <c r="EL750" s="335"/>
      <c r="EM750" s="335"/>
      <c r="EN750" s="335"/>
      <c r="EO750" s="335"/>
      <c r="EP750" s="335"/>
      <c r="EQ750" s="335"/>
      <c r="ER750" s="335"/>
      <c r="ES750" s="335"/>
      <c r="ET750" s="335"/>
      <c r="EU750" s="335"/>
      <c r="EV750" s="335"/>
      <c r="EW750" s="335"/>
      <c r="EX750" s="335"/>
      <c r="EY750" s="335"/>
      <c r="EZ750" s="335"/>
      <c r="FA750" s="335"/>
      <c r="FB750" s="335"/>
      <c r="FC750" s="335"/>
      <c r="FD750" s="335"/>
      <c r="FE750" s="335"/>
      <c r="FF750" s="335"/>
      <c r="FG750" s="335"/>
      <c r="FH750" s="335"/>
      <c r="FI750" s="335"/>
      <c r="FJ750" s="335"/>
      <c r="FK750" s="335"/>
      <c r="FL750" s="335"/>
      <c r="FM750" s="335"/>
      <c r="FN750" s="335"/>
      <c r="FO750" s="335"/>
      <c r="FP750" s="335"/>
      <c r="FQ750" s="335"/>
      <c r="FR750" s="335"/>
      <c r="FS750" s="335"/>
      <c r="FT750" s="335"/>
      <c r="FU750" s="335"/>
      <c r="FV750" s="335"/>
      <c r="FW750" s="335"/>
      <c r="FX750" s="335"/>
      <c r="FY750" s="335"/>
      <c r="FZ750" s="335"/>
      <c r="GA750" s="335"/>
      <c r="GB750" s="335"/>
      <c r="GC750" s="335"/>
      <c r="GD750" s="335"/>
      <c r="GE750" s="335"/>
      <c r="GF750" s="335"/>
      <c r="GG750" s="335"/>
      <c r="GH750" s="335"/>
      <c r="GI750" s="335"/>
      <c r="GJ750" s="335"/>
      <c r="GK750" s="335"/>
      <c r="GL750" s="335"/>
      <c r="GM750" s="335"/>
      <c r="GN750" s="335"/>
      <c r="GO750" s="335"/>
      <c r="GP750" s="335"/>
      <c r="GQ750" s="335"/>
      <c r="GR750" s="335"/>
      <c r="GS750" s="335"/>
      <c r="GT750" s="335"/>
      <c r="GU750" s="335"/>
      <c r="GV750" s="335"/>
      <c r="GW750" s="335"/>
      <c r="GX750" s="335"/>
      <c r="GY750" s="335"/>
      <c r="GZ750" s="335"/>
    </row>
    <row r="751" spans="1:208" ht="15">
      <c r="A751" s="379"/>
      <c r="B751" s="335"/>
      <c r="C751" s="335"/>
      <c r="D751" s="335"/>
      <c r="E751" s="335"/>
      <c r="F751" s="335"/>
      <c r="G751" s="335"/>
      <c r="H751" s="335"/>
      <c r="I751" s="335"/>
      <c r="J751" s="335"/>
      <c r="K751" s="335"/>
      <c r="L751" s="335"/>
      <c r="M751" s="376"/>
      <c r="N751" s="335"/>
      <c r="O751" s="380"/>
      <c r="P751" s="335"/>
      <c r="Q751" s="335"/>
      <c r="R751" s="335"/>
      <c r="S751" s="335"/>
      <c r="T751" s="335"/>
      <c r="U751" s="335"/>
      <c r="V751" s="335"/>
      <c r="W751" s="335"/>
      <c r="X751" s="335"/>
      <c r="Y751" s="335"/>
      <c r="Z751" s="335"/>
      <c r="AA751" s="335"/>
      <c r="AB751" s="335"/>
      <c r="AC751" s="335"/>
      <c r="AD751" s="335"/>
      <c r="AE751" s="335"/>
      <c r="AF751" s="335"/>
      <c r="AG751" s="335"/>
      <c r="AH751" s="335"/>
      <c r="AI751" s="335"/>
      <c r="AJ751" s="335"/>
      <c r="AK751" s="335"/>
      <c r="AL751" s="335"/>
      <c r="AM751" s="335"/>
      <c r="AN751" s="335"/>
      <c r="AO751" s="335"/>
      <c r="AP751" s="335"/>
      <c r="AQ751" s="335"/>
      <c r="AR751" s="335"/>
      <c r="AS751" s="335"/>
      <c r="AT751" s="335"/>
      <c r="AU751" s="335"/>
      <c r="AV751" s="335"/>
      <c r="AW751" s="335"/>
      <c r="AX751" s="335"/>
      <c r="AY751" s="335"/>
      <c r="AZ751" s="335"/>
      <c r="BA751" s="335"/>
      <c r="BB751" s="335"/>
      <c r="BC751" s="335"/>
      <c r="BD751" s="335"/>
      <c r="BE751" s="335"/>
      <c r="BF751" s="335"/>
      <c r="BG751" s="335"/>
      <c r="BH751" s="335"/>
      <c r="BI751" s="335"/>
      <c r="BJ751" s="335"/>
      <c r="BK751" s="335"/>
      <c r="BL751" s="335"/>
      <c r="BM751" s="335"/>
      <c r="BN751" s="335"/>
      <c r="BO751" s="335"/>
      <c r="BP751" s="335"/>
      <c r="BQ751" s="335"/>
      <c r="BR751" s="335"/>
      <c r="BS751" s="335"/>
      <c r="BT751" s="335"/>
      <c r="BU751" s="335"/>
      <c r="BV751" s="335"/>
      <c r="BW751" s="335"/>
      <c r="BX751" s="335"/>
      <c r="BY751" s="335"/>
      <c r="BZ751" s="335"/>
      <c r="CA751" s="335"/>
      <c r="CB751" s="335"/>
      <c r="CC751" s="335"/>
      <c r="CD751" s="335"/>
      <c r="CE751" s="335"/>
      <c r="CF751" s="335"/>
      <c r="CG751" s="335"/>
      <c r="CH751" s="335"/>
      <c r="CI751" s="335"/>
      <c r="CJ751" s="335"/>
      <c r="CK751" s="335"/>
      <c r="CL751" s="335"/>
      <c r="CM751" s="335"/>
      <c r="CN751" s="335"/>
      <c r="CO751" s="335"/>
      <c r="CP751" s="335"/>
      <c r="CQ751" s="335"/>
      <c r="CR751" s="335"/>
      <c r="CS751" s="335"/>
      <c r="CT751" s="335"/>
      <c r="CU751" s="335"/>
      <c r="CV751" s="335"/>
      <c r="CW751" s="335"/>
      <c r="CX751" s="335"/>
      <c r="CY751" s="335"/>
      <c r="CZ751" s="335"/>
      <c r="DA751" s="335"/>
      <c r="DB751" s="335"/>
      <c r="DC751" s="335"/>
      <c r="DD751" s="335"/>
      <c r="DE751" s="335"/>
      <c r="DF751" s="335"/>
      <c r="DG751" s="335"/>
      <c r="DH751" s="335"/>
      <c r="DI751" s="335"/>
      <c r="DJ751" s="335"/>
      <c r="DK751" s="335"/>
      <c r="DL751" s="335"/>
      <c r="DM751" s="335"/>
      <c r="DN751" s="335"/>
      <c r="DO751" s="335"/>
      <c r="DP751" s="335"/>
      <c r="DQ751" s="335"/>
      <c r="DR751" s="335"/>
      <c r="DS751" s="335"/>
      <c r="DT751" s="335"/>
      <c r="DU751" s="335"/>
      <c r="DV751" s="335"/>
      <c r="DW751" s="335"/>
      <c r="DX751" s="335"/>
      <c r="DY751" s="335"/>
      <c r="DZ751" s="335"/>
      <c r="EA751" s="335"/>
      <c r="EB751" s="335"/>
      <c r="EC751" s="335"/>
      <c r="ED751" s="335"/>
      <c r="EE751" s="335"/>
      <c r="EF751" s="335"/>
      <c r="EG751" s="335"/>
      <c r="EH751" s="335"/>
      <c r="EI751" s="335"/>
      <c r="EJ751" s="335"/>
      <c r="EK751" s="335"/>
      <c r="EL751" s="335"/>
      <c r="EM751" s="335"/>
      <c r="EN751" s="335"/>
      <c r="EO751" s="335"/>
      <c r="EP751" s="335"/>
      <c r="EQ751" s="335"/>
      <c r="ER751" s="335"/>
      <c r="ES751" s="335"/>
      <c r="ET751" s="335"/>
      <c r="EU751" s="335"/>
      <c r="EV751" s="335"/>
      <c r="EW751" s="335"/>
      <c r="EX751" s="335"/>
      <c r="EY751" s="335"/>
      <c r="EZ751" s="335"/>
      <c r="FA751" s="335"/>
      <c r="FB751" s="335"/>
      <c r="FC751" s="335"/>
      <c r="FD751" s="335"/>
      <c r="FE751" s="335"/>
      <c r="FF751" s="335"/>
      <c r="FG751" s="335"/>
      <c r="FH751" s="335"/>
      <c r="FI751" s="335"/>
      <c r="FJ751" s="335"/>
      <c r="FK751" s="335"/>
      <c r="FL751" s="335"/>
      <c r="FM751" s="335"/>
      <c r="FN751" s="335"/>
      <c r="FO751" s="335"/>
      <c r="FP751" s="335"/>
      <c r="FQ751" s="335"/>
      <c r="FR751" s="335"/>
      <c r="FS751" s="335"/>
      <c r="FT751" s="335"/>
      <c r="FU751" s="335"/>
      <c r="FV751" s="335"/>
      <c r="FW751" s="335"/>
      <c r="FX751" s="335"/>
      <c r="FY751" s="335"/>
      <c r="FZ751" s="335"/>
      <c r="GA751" s="335"/>
      <c r="GB751" s="335"/>
      <c r="GC751" s="335"/>
      <c r="GD751" s="335"/>
      <c r="GE751" s="335"/>
      <c r="GF751" s="335"/>
      <c r="GG751" s="335"/>
      <c r="GH751" s="335"/>
      <c r="GI751" s="335"/>
      <c r="GJ751" s="335"/>
      <c r="GK751" s="335"/>
      <c r="GL751" s="335"/>
      <c r="GM751" s="335"/>
      <c r="GN751" s="335"/>
      <c r="GO751" s="335"/>
      <c r="GP751" s="335"/>
      <c r="GQ751" s="335"/>
      <c r="GR751" s="335"/>
      <c r="GS751" s="335"/>
      <c r="GT751" s="335"/>
      <c r="GU751" s="335"/>
      <c r="GV751" s="335"/>
      <c r="GW751" s="335"/>
      <c r="GX751" s="335"/>
      <c r="GY751" s="335"/>
      <c r="GZ751" s="335"/>
    </row>
    <row r="752" spans="1:208" ht="15">
      <c r="A752" s="379"/>
      <c r="B752" s="335"/>
      <c r="C752" s="335"/>
      <c r="D752" s="335"/>
      <c r="E752" s="335"/>
      <c r="F752" s="335"/>
      <c r="G752" s="335"/>
      <c r="H752" s="335"/>
      <c r="I752" s="335"/>
      <c r="J752" s="335"/>
      <c r="K752" s="335"/>
      <c r="L752" s="335"/>
      <c r="M752" s="376"/>
      <c r="N752" s="335"/>
      <c r="O752" s="380"/>
      <c r="P752" s="335"/>
      <c r="Q752" s="335"/>
      <c r="R752" s="335"/>
      <c r="S752" s="335"/>
      <c r="T752" s="335"/>
      <c r="U752" s="335"/>
      <c r="V752" s="335"/>
      <c r="W752" s="335"/>
      <c r="X752" s="335"/>
      <c r="Y752" s="335"/>
      <c r="Z752" s="335"/>
      <c r="AA752" s="335"/>
      <c r="AB752" s="335"/>
      <c r="AC752" s="335"/>
      <c r="AD752" s="335"/>
      <c r="AE752" s="335"/>
      <c r="AF752" s="335"/>
      <c r="AG752" s="335"/>
      <c r="AH752" s="335"/>
      <c r="AI752" s="335"/>
      <c r="AJ752" s="335"/>
      <c r="AK752" s="335"/>
      <c r="AL752" s="335"/>
      <c r="AM752" s="335"/>
      <c r="AN752" s="335"/>
      <c r="AO752" s="335"/>
      <c r="AP752" s="335"/>
      <c r="AQ752" s="335"/>
      <c r="AR752" s="335"/>
      <c r="AS752" s="335"/>
      <c r="AT752" s="335"/>
      <c r="AU752" s="335"/>
      <c r="AV752" s="335"/>
      <c r="AW752" s="335"/>
      <c r="AX752" s="335"/>
      <c r="AY752" s="335"/>
      <c r="AZ752" s="335"/>
      <c r="BA752" s="335"/>
      <c r="BB752" s="335"/>
      <c r="BC752" s="335"/>
      <c r="BD752" s="335"/>
      <c r="BE752" s="335"/>
      <c r="BF752" s="335"/>
      <c r="BG752" s="335"/>
      <c r="BH752" s="335"/>
      <c r="BI752" s="335"/>
      <c r="BJ752" s="335"/>
      <c r="BK752" s="335"/>
      <c r="BL752" s="335"/>
      <c r="BM752" s="335"/>
      <c r="BN752" s="335"/>
      <c r="BO752" s="335"/>
      <c r="BP752" s="335"/>
      <c r="BQ752" s="335"/>
      <c r="BR752" s="335"/>
      <c r="BS752" s="335"/>
      <c r="BT752" s="335"/>
      <c r="BU752" s="335"/>
      <c r="BV752" s="335"/>
      <c r="BW752" s="335"/>
      <c r="BX752" s="335"/>
      <c r="BY752" s="335"/>
      <c r="BZ752" s="335"/>
      <c r="CA752" s="335"/>
      <c r="CB752" s="335"/>
      <c r="CC752" s="335"/>
      <c r="CD752" s="335"/>
      <c r="CE752" s="335"/>
      <c r="CF752" s="335"/>
      <c r="CG752" s="335"/>
      <c r="CH752" s="335"/>
      <c r="CI752" s="335"/>
      <c r="CJ752" s="335"/>
      <c r="CK752" s="335"/>
      <c r="CL752" s="335"/>
      <c r="CM752" s="335"/>
      <c r="CN752" s="335"/>
      <c r="CO752" s="335"/>
      <c r="CP752" s="335"/>
      <c r="CQ752" s="335"/>
      <c r="CR752" s="335"/>
      <c r="CS752" s="335"/>
      <c r="CT752" s="335"/>
      <c r="CU752" s="335"/>
      <c r="CV752" s="335"/>
      <c r="CW752" s="335"/>
      <c r="CX752" s="335"/>
      <c r="CY752" s="335"/>
      <c r="CZ752" s="335"/>
      <c r="DA752" s="335"/>
      <c r="DB752" s="335"/>
      <c r="DC752" s="335"/>
      <c r="DD752" s="335"/>
      <c r="DE752" s="335"/>
      <c r="DF752" s="335"/>
      <c r="DG752" s="335"/>
      <c r="DH752" s="335"/>
      <c r="DI752" s="335"/>
      <c r="DJ752" s="335"/>
      <c r="DK752" s="335"/>
      <c r="DL752" s="335"/>
      <c r="DM752" s="335"/>
      <c r="DN752" s="335"/>
      <c r="DO752" s="335"/>
      <c r="DP752" s="335"/>
      <c r="DQ752" s="335"/>
      <c r="DR752" s="335"/>
      <c r="DS752" s="335"/>
      <c r="DT752" s="335"/>
      <c r="DU752" s="335"/>
      <c r="DV752" s="335"/>
      <c r="DW752" s="335"/>
      <c r="DX752" s="335"/>
      <c r="DY752" s="335"/>
      <c r="DZ752" s="335"/>
      <c r="EA752" s="335"/>
      <c r="EB752" s="335"/>
      <c r="EC752" s="335"/>
      <c r="ED752" s="335"/>
      <c r="EE752" s="335"/>
      <c r="EF752" s="335"/>
      <c r="EG752" s="335"/>
      <c r="EH752" s="335"/>
      <c r="EI752" s="335"/>
      <c r="EJ752" s="335"/>
      <c r="EK752" s="335"/>
      <c r="EL752" s="335"/>
      <c r="EM752" s="335"/>
      <c r="EN752" s="335"/>
      <c r="EO752" s="335"/>
      <c r="EP752" s="335"/>
      <c r="EQ752" s="335"/>
      <c r="ER752" s="335"/>
      <c r="ES752" s="335"/>
      <c r="ET752" s="335"/>
      <c r="EU752" s="335"/>
      <c r="EV752" s="335"/>
      <c r="EW752" s="335"/>
      <c r="EX752" s="335"/>
      <c r="EY752" s="335"/>
      <c r="EZ752" s="335"/>
      <c r="FA752" s="335"/>
      <c r="FB752" s="335"/>
      <c r="FC752" s="335"/>
      <c r="FD752" s="335"/>
      <c r="FE752" s="335"/>
      <c r="FF752" s="335"/>
      <c r="FG752" s="335"/>
      <c r="FH752" s="335"/>
      <c r="FI752" s="335"/>
      <c r="FJ752" s="335"/>
      <c r="FK752" s="335"/>
      <c r="FL752" s="335"/>
      <c r="FM752" s="335"/>
      <c r="FN752" s="335"/>
      <c r="FO752" s="335"/>
      <c r="FP752" s="335"/>
      <c r="FQ752" s="335"/>
      <c r="FR752" s="335"/>
      <c r="FS752" s="335"/>
      <c r="FT752" s="335"/>
      <c r="FU752" s="335"/>
      <c r="FV752" s="335"/>
      <c r="FW752" s="335"/>
      <c r="FX752" s="335"/>
      <c r="FY752" s="335"/>
      <c r="FZ752" s="335"/>
      <c r="GA752" s="335"/>
      <c r="GB752" s="335"/>
      <c r="GC752" s="335"/>
      <c r="GD752" s="335"/>
      <c r="GE752" s="335"/>
      <c r="GF752" s="335"/>
      <c r="GG752" s="335"/>
      <c r="GH752" s="335"/>
      <c r="GI752" s="335"/>
      <c r="GJ752" s="335"/>
      <c r="GK752" s="335"/>
      <c r="GL752" s="335"/>
      <c r="GM752" s="335"/>
      <c r="GN752" s="335"/>
      <c r="GO752" s="335"/>
      <c r="GP752" s="335"/>
      <c r="GQ752" s="335"/>
      <c r="GR752" s="335"/>
      <c r="GS752" s="335"/>
      <c r="GT752" s="335"/>
      <c r="GU752" s="335"/>
      <c r="GV752" s="335"/>
      <c r="GW752" s="335"/>
      <c r="GX752" s="335"/>
      <c r="GY752" s="335"/>
      <c r="GZ752" s="335"/>
    </row>
    <row r="753" spans="1:208" ht="15">
      <c r="A753" s="379"/>
      <c r="B753" s="335"/>
      <c r="C753" s="335"/>
      <c r="D753" s="335"/>
      <c r="E753" s="335"/>
      <c r="F753" s="335"/>
      <c r="G753" s="335"/>
      <c r="H753" s="335"/>
      <c r="I753" s="335"/>
      <c r="J753" s="335"/>
      <c r="K753" s="335"/>
      <c r="L753" s="335"/>
      <c r="M753" s="376"/>
      <c r="N753" s="335"/>
      <c r="O753" s="380"/>
      <c r="P753" s="335"/>
      <c r="Q753" s="335"/>
      <c r="R753" s="335"/>
      <c r="S753" s="335"/>
      <c r="T753" s="335"/>
      <c r="U753" s="335"/>
      <c r="V753" s="335"/>
      <c r="W753" s="335"/>
      <c r="X753" s="335"/>
      <c r="Y753" s="335"/>
      <c r="Z753" s="335"/>
      <c r="AA753" s="335"/>
      <c r="AB753" s="335"/>
      <c r="AC753" s="335"/>
      <c r="AD753" s="335"/>
      <c r="AE753" s="335"/>
      <c r="AF753" s="335"/>
      <c r="AG753" s="335"/>
      <c r="AH753" s="335"/>
      <c r="AI753" s="335"/>
      <c r="AJ753" s="335"/>
      <c r="AK753" s="335"/>
      <c r="AL753" s="335"/>
      <c r="AM753" s="335"/>
      <c r="AN753" s="335"/>
      <c r="AO753" s="335"/>
      <c r="AP753" s="335"/>
      <c r="AQ753" s="335"/>
      <c r="AR753" s="335"/>
      <c r="AS753" s="335"/>
      <c r="AT753" s="335"/>
      <c r="AU753" s="335"/>
      <c r="AV753" s="335"/>
      <c r="AW753" s="335"/>
      <c r="AX753" s="335"/>
      <c r="AY753" s="335"/>
      <c r="AZ753" s="335"/>
      <c r="BA753" s="335"/>
      <c r="BB753" s="335"/>
      <c r="BC753" s="335"/>
      <c r="BD753" s="335"/>
      <c r="BE753" s="335"/>
      <c r="BF753" s="335"/>
      <c r="BG753" s="335"/>
      <c r="BH753" s="335"/>
      <c r="BI753" s="335"/>
      <c r="BJ753" s="335"/>
      <c r="BK753" s="335"/>
      <c r="BL753" s="335"/>
      <c r="BM753" s="335"/>
      <c r="BN753" s="335"/>
      <c r="BO753" s="335"/>
      <c r="BP753" s="335"/>
      <c r="BQ753" s="335"/>
      <c r="BR753" s="335"/>
      <c r="BS753" s="335"/>
      <c r="BT753" s="335"/>
      <c r="BU753" s="335"/>
      <c r="BV753" s="335"/>
      <c r="BW753" s="335"/>
      <c r="BX753" s="335"/>
      <c r="BY753" s="335"/>
      <c r="BZ753" s="335"/>
      <c r="CA753" s="335"/>
      <c r="CB753" s="335"/>
      <c r="CC753" s="335"/>
      <c r="CD753" s="335"/>
      <c r="CE753" s="335"/>
      <c r="CF753" s="335"/>
      <c r="CG753" s="335"/>
      <c r="CH753" s="335"/>
      <c r="CI753" s="335"/>
      <c r="CJ753" s="335"/>
      <c r="CK753" s="335"/>
      <c r="CL753" s="335"/>
      <c r="CM753" s="335"/>
      <c r="CN753" s="335"/>
      <c r="CO753" s="335"/>
      <c r="CP753" s="335"/>
      <c r="CQ753" s="335"/>
      <c r="CR753" s="335"/>
      <c r="CS753" s="335"/>
      <c r="CT753" s="335"/>
      <c r="CU753" s="335"/>
      <c r="CV753" s="335"/>
      <c r="CW753" s="335"/>
      <c r="CX753" s="335"/>
      <c r="CY753" s="335"/>
      <c r="CZ753" s="335"/>
      <c r="DA753" s="335"/>
      <c r="DB753" s="335"/>
      <c r="DC753" s="335"/>
      <c r="DD753" s="335"/>
      <c r="DE753" s="335"/>
      <c r="DF753" s="335"/>
      <c r="DG753" s="335"/>
      <c r="DH753" s="335"/>
      <c r="DI753" s="335"/>
      <c r="DJ753" s="335"/>
      <c r="DK753" s="335"/>
      <c r="DL753" s="335"/>
      <c r="DM753" s="335"/>
      <c r="DN753" s="335"/>
      <c r="DO753" s="335"/>
      <c r="DP753" s="335"/>
      <c r="DQ753" s="335"/>
      <c r="DR753" s="335"/>
      <c r="DS753" s="335"/>
      <c r="DT753" s="335"/>
      <c r="DU753" s="335"/>
      <c r="DV753" s="335"/>
      <c r="DW753" s="335"/>
      <c r="DX753" s="335"/>
      <c r="DY753" s="335"/>
      <c r="DZ753" s="335"/>
      <c r="EA753" s="335"/>
      <c r="EB753" s="335"/>
      <c r="EC753" s="335"/>
      <c r="ED753" s="335"/>
      <c r="EE753" s="335"/>
      <c r="EF753" s="335"/>
      <c r="EG753" s="335"/>
      <c r="EH753" s="335"/>
      <c r="EI753" s="335"/>
      <c r="EJ753" s="335"/>
      <c r="EK753" s="335"/>
      <c r="EL753" s="335"/>
      <c r="EM753" s="335"/>
      <c r="EN753" s="335"/>
      <c r="EO753" s="335"/>
      <c r="EP753" s="335"/>
      <c r="EQ753" s="335"/>
      <c r="ER753" s="335"/>
      <c r="ES753" s="335"/>
      <c r="ET753" s="335"/>
      <c r="EU753" s="335"/>
      <c r="EV753" s="335"/>
      <c r="EW753" s="335"/>
      <c r="EX753" s="335"/>
      <c r="EY753" s="335"/>
      <c r="EZ753" s="335"/>
      <c r="FA753" s="335"/>
      <c r="FB753" s="335"/>
      <c r="FC753" s="335"/>
      <c r="FD753" s="335"/>
      <c r="FE753" s="335"/>
      <c r="FF753" s="335"/>
      <c r="FG753" s="335"/>
      <c r="FH753" s="335"/>
      <c r="FI753" s="335"/>
      <c r="FJ753" s="335"/>
      <c r="FK753" s="335"/>
      <c r="FL753" s="335"/>
      <c r="FM753" s="335"/>
      <c r="FN753" s="335"/>
      <c r="FO753" s="335"/>
      <c r="FP753" s="335"/>
      <c r="FQ753" s="335"/>
      <c r="FR753" s="335"/>
      <c r="FS753" s="335"/>
      <c r="FT753" s="335"/>
      <c r="FU753" s="335"/>
      <c r="FV753" s="335"/>
      <c r="FW753" s="335"/>
      <c r="FX753" s="335"/>
      <c r="FY753" s="335"/>
      <c r="FZ753" s="335"/>
      <c r="GA753" s="335"/>
      <c r="GB753" s="335"/>
      <c r="GC753" s="335"/>
      <c r="GD753" s="335"/>
      <c r="GE753" s="335"/>
      <c r="GF753" s="335"/>
      <c r="GG753" s="335"/>
      <c r="GH753" s="335"/>
      <c r="GI753" s="335"/>
      <c r="GJ753" s="335"/>
      <c r="GK753" s="335"/>
      <c r="GL753" s="335"/>
      <c r="GM753" s="335"/>
      <c r="GN753" s="335"/>
      <c r="GO753" s="335"/>
      <c r="GP753" s="335"/>
      <c r="GQ753" s="335"/>
      <c r="GR753" s="335"/>
      <c r="GS753" s="335"/>
      <c r="GT753" s="335"/>
      <c r="GU753" s="335"/>
      <c r="GV753" s="335"/>
      <c r="GW753" s="335"/>
      <c r="GX753" s="335"/>
      <c r="GY753" s="335"/>
      <c r="GZ753" s="335"/>
    </row>
    <row r="754" spans="1:208" ht="15">
      <c r="A754" s="379"/>
      <c r="B754" s="335"/>
      <c r="C754" s="335"/>
      <c r="D754" s="335"/>
      <c r="E754" s="335"/>
      <c r="F754" s="335"/>
      <c r="G754" s="335"/>
      <c r="H754" s="335"/>
      <c r="I754" s="335"/>
      <c r="J754" s="335"/>
      <c r="K754" s="335"/>
      <c r="L754" s="335"/>
      <c r="M754" s="376"/>
      <c r="N754" s="335"/>
      <c r="O754" s="380"/>
      <c r="P754" s="335"/>
      <c r="Q754" s="335"/>
      <c r="R754" s="335"/>
      <c r="S754" s="335"/>
      <c r="T754" s="335"/>
      <c r="U754" s="335"/>
      <c r="V754" s="335"/>
      <c r="W754" s="335"/>
      <c r="X754" s="335"/>
      <c r="Y754" s="335"/>
      <c r="Z754" s="335"/>
      <c r="AA754" s="335"/>
      <c r="AB754" s="335"/>
      <c r="AC754" s="335"/>
      <c r="AD754" s="335"/>
      <c r="AE754" s="335"/>
      <c r="AF754" s="335"/>
      <c r="AG754" s="335"/>
      <c r="AH754" s="335"/>
      <c r="AI754" s="335"/>
      <c r="AJ754" s="335"/>
      <c r="AK754" s="335"/>
      <c r="AL754" s="335"/>
      <c r="AM754" s="335"/>
      <c r="AN754" s="335"/>
      <c r="AO754" s="335"/>
      <c r="AP754" s="335"/>
      <c r="AQ754" s="335"/>
      <c r="AR754" s="335"/>
      <c r="AS754" s="335"/>
      <c r="AT754" s="335"/>
      <c r="AU754" s="335"/>
      <c r="AV754" s="335"/>
      <c r="AW754" s="335"/>
      <c r="AX754" s="335"/>
      <c r="AY754" s="335"/>
      <c r="AZ754" s="335"/>
      <c r="BA754" s="335"/>
      <c r="BB754" s="335"/>
      <c r="BC754" s="335"/>
      <c r="BD754" s="335"/>
      <c r="BE754" s="335"/>
      <c r="BF754" s="335"/>
      <c r="BG754" s="335"/>
      <c r="BH754" s="335"/>
      <c r="BI754" s="335"/>
      <c r="BJ754" s="335"/>
      <c r="BK754" s="335"/>
      <c r="BL754" s="335"/>
      <c r="BM754" s="335"/>
      <c r="BN754" s="335"/>
      <c r="BO754" s="335"/>
      <c r="BP754" s="335"/>
      <c r="BQ754" s="335"/>
      <c r="BR754" s="335"/>
      <c r="BS754" s="335"/>
      <c r="BT754" s="335"/>
      <c r="BU754" s="335"/>
      <c r="BV754" s="335"/>
      <c r="BW754" s="335"/>
      <c r="BX754" s="335"/>
      <c r="BY754" s="335"/>
      <c r="BZ754" s="335"/>
      <c r="CA754" s="335"/>
      <c r="CB754" s="335"/>
      <c r="CC754" s="335"/>
      <c r="CD754" s="335"/>
      <c r="CE754" s="335"/>
      <c r="CF754" s="335"/>
      <c r="CG754" s="335"/>
      <c r="CH754" s="335"/>
      <c r="CI754" s="335"/>
      <c r="CJ754" s="335"/>
      <c r="CK754" s="335"/>
      <c r="CL754" s="335"/>
      <c r="CM754" s="335"/>
      <c r="CN754" s="335"/>
      <c r="CO754" s="335"/>
      <c r="CP754" s="335"/>
      <c r="CQ754" s="335"/>
      <c r="CR754" s="335"/>
      <c r="CS754" s="335"/>
      <c r="CT754" s="335"/>
      <c r="CU754" s="335"/>
      <c r="CV754" s="335"/>
      <c r="CW754" s="335"/>
      <c r="CX754" s="335"/>
      <c r="CY754" s="335"/>
      <c r="CZ754" s="335"/>
      <c r="DA754" s="335"/>
      <c r="DB754" s="335"/>
      <c r="DC754" s="335"/>
      <c r="DD754" s="335"/>
      <c r="DE754" s="335"/>
      <c r="DF754" s="335"/>
      <c r="DG754" s="335"/>
      <c r="DH754" s="335"/>
      <c r="DI754" s="335"/>
      <c r="DJ754" s="335"/>
      <c r="DK754" s="335"/>
      <c r="DL754" s="335"/>
      <c r="DM754" s="335"/>
      <c r="DN754" s="335"/>
      <c r="DO754" s="335"/>
      <c r="DP754" s="335"/>
      <c r="DQ754" s="335"/>
      <c r="DR754" s="335"/>
      <c r="DS754" s="335"/>
      <c r="DT754" s="335"/>
      <c r="DU754" s="335"/>
      <c r="DV754" s="335"/>
      <c r="DW754" s="335"/>
      <c r="DX754" s="335"/>
      <c r="DY754" s="335"/>
      <c r="DZ754" s="335"/>
      <c r="EA754" s="335"/>
      <c r="EB754" s="335"/>
      <c r="EC754" s="335"/>
      <c r="ED754" s="335"/>
      <c r="EE754" s="335"/>
      <c r="EF754" s="335"/>
      <c r="EG754" s="335"/>
      <c r="EH754" s="335"/>
      <c r="EI754" s="335"/>
      <c r="EJ754" s="335"/>
      <c r="EK754" s="335"/>
      <c r="EL754" s="335"/>
      <c r="EM754" s="335"/>
      <c r="EN754" s="335"/>
      <c r="EO754" s="335"/>
      <c r="EP754" s="335"/>
      <c r="EQ754" s="335"/>
      <c r="ER754" s="335"/>
      <c r="ES754" s="335"/>
      <c r="ET754" s="335"/>
      <c r="EU754" s="335"/>
      <c r="EV754" s="335"/>
      <c r="EW754" s="335"/>
      <c r="EX754" s="335"/>
      <c r="EY754" s="335"/>
      <c r="EZ754" s="335"/>
      <c r="FA754" s="335"/>
      <c r="FB754" s="335"/>
      <c r="FC754" s="335"/>
      <c r="FD754" s="335"/>
      <c r="FE754" s="335"/>
      <c r="FF754" s="335"/>
      <c r="FG754" s="335"/>
      <c r="FH754" s="335"/>
      <c r="FI754" s="335"/>
      <c r="FJ754" s="335"/>
      <c r="FK754" s="335"/>
      <c r="FL754" s="335"/>
      <c r="FM754" s="335"/>
      <c r="FN754" s="335"/>
      <c r="FO754" s="335"/>
      <c r="FP754" s="335"/>
      <c r="FQ754" s="335"/>
      <c r="FR754" s="335"/>
      <c r="FS754" s="335"/>
      <c r="FT754" s="335"/>
      <c r="FU754" s="335"/>
      <c r="FV754" s="335"/>
      <c r="FW754" s="335"/>
      <c r="FX754" s="335"/>
      <c r="FY754" s="335"/>
      <c r="FZ754" s="335"/>
      <c r="GA754" s="335"/>
      <c r="GB754" s="335"/>
      <c r="GC754" s="335"/>
      <c r="GD754" s="335"/>
      <c r="GE754" s="335"/>
      <c r="GF754" s="335"/>
      <c r="GG754" s="335"/>
      <c r="GH754" s="335"/>
      <c r="GI754" s="335"/>
      <c r="GJ754" s="335"/>
      <c r="GK754" s="335"/>
      <c r="GL754" s="335"/>
      <c r="GM754" s="335"/>
      <c r="GN754" s="335"/>
      <c r="GO754" s="335"/>
      <c r="GP754" s="335"/>
      <c r="GQ754" s="335"/>
      <c r="GR754" s="335"/>
      <c r="GS754" s="335"/>
      <c r="GT754" s="335"/>
      <c r="GU754" s="335"/>
      <c r="GV754" s="335"/>
      <c r="GW754" s="335"/>
      <c r="GX754" s="335"/>
      <c r="GY754" s="335"/>
      <c r="GZ754" s="335"/>
    </row>
    <row r="755" spans="1:208" ht="15">
      <c r="A755" s="379"/>
      <c r="B755" s="335"/>
      <c r="C755" s="335"/>
      <c r="D755" s="335"/>
      <c r="E755" s="335"/>
      <c r="F755" s="335"/>
      <c r="G755" s="335"/>
      <c r="H755" s="335"/>
      <c r="I755" s="335"/>
      <c r="J755" s="335"/>
      <c r="K755" s="335"/>
      <c r="L755" s="335"/>
      <c r="M755" s="376"/>
      <c r="N755" s="335"/>
      <c r="O755" s="380"/>
      <c r="P755" s="335"/>
      <c r="Q755" s="335"/>
      <c r="R755" s="335"/>
      <c r="S755" s="335"/>
      <c r="T755" s="335"/>
      <c r="U755" s="335"/>
      <c r="V755" s="335"/>
      <c r="W755" s="335"/>
      <c r="X755" s="335"/>
      <c r="Y755" s="335"/>
      <c r="Z755" s="335"/>
      <c r="AA755" s="335"/>
      <c r="AB755" s="335"/>
      <c r="AC755" s="335"/>
      <c r="AD755" s="335"/>
      <c r="AE755" s="335"/>
      <c r="AF755" s="335"/>
      <c r="AG755" s="335"/>
      <c r="AH755" s="335"/>
      <c r="AI755" s="335"/>
      <c r="AJ755" s="335"/>
      <c r="AK755" s="335"/>
      <c r="AL755" s="335"/>
      <c r="AM755" s="335"/>
      <c r="AN755" s="335"/>
      <c r="AO755" s="335"/>
      <c r="AP755" s="335"/>
      <c r="AQ755" s="335"/>
      <c r="AR755" s="335"/>
      <c r="AS755" s="335"/>
      <c r="AT755" s="335"/>
      <c r="AU755" s="335"/>
      <c r="AV755" s="335"/>
      <c r="AW755" s="335"/>
      <c r="AX755" s="335"/>
      <c r="AY755" s="335"/>
      <c r="AZ755" s="335"/>
      <c r="BA755" s="335"/>
      <c r="BB755" s="335"/>
      <c r="BC755" s="335"/>
      <c r="BD755" s="335"/>
      <c r="BE755" s="335"/>
      <c r="BF755" s="335"/>
      <c r="BG755" s="335"/>
      <c r="BH755" s="335"/>
      <c r="BI755" s="335"/>
      <c r="BJ755" s="335"/>
      <c r="BK755" s="335"/>
      <c r="BL755" s="335"/>
      <c r="BM755" s="335"/>
      <c r="BN755" s="335"/>
      <c r="BO755" s="335"/>
      <c r="BP755" s="335"/>
      <c r="BQ755" s="335"/>
      <c r="BR755" s="335"/>
      <c r="BS755" s="335"/>
      <c r="BT755" s="335"/>
      <c r="BU755" s="335"/>
      <c r="BV755" s="335"/>
      <c r="BW755" s="335"/>
      <c r="BX755" s="335"/>
      <c r="BY755" s="335"/>
      <c r="BZ755" s="335"/>
      <c r="CA755" s="335"/>
      <c r="CB755" s="335"/>
      <c r="CC755" s="335"/>
      <c r="CD755" s="335"/>
      <c r="CE755" s="335"/>
      <c r="CF755" s="335"/>
      <c r="CG755" s="335"/>
      <c r="CH755" s="335"/>
      <c r="CI755" s="335"/>
      <c r="CJ755" s="335"/>
      <c r="CK755" s="335"/>
      <c r="CL755" s="335"/>
      <c r="CM755" s="335"/>
      <c r="CN755" s="335"/>
      <c r="CO755" s="335"/>
      <c r="CP755" s="335"/>
      <c r="CQ755" s="335"/>
      <c r="CR755" s="335"/>
      <c r="CS755" s="335"/>
      <c r="CT755" s="335"/>
      <c r="CU755" s="335"/>
      <c r="CV755" s="335"/>
      <c r="CW755" s="335"/>
      <c r="CX755" s="335"/>
      <c r="CY755" s="335"/>
      <c r="CZ755" s="335"/>
      <c r="DA755" s="335"/>
      <c r="DB755" s="335"/>
      <c r="DC755" s="335"/>
      <c r="DD755" s="335"/>
      <c r="DE755" s="335"/>
      <c r="DF755" s="335"/>
      <c r="DG755" s="335"/>
      <c r="DH755" s="335"/>
      <c r="DI755" s="335"/>
      <c r="DJ755" s="335"/>
      <c r="DK755" s="335"/>
      <c r="DL755" s="335"/>
      <c r="DM755" s="335"/>
      <c r="DN755" s="335"/>
      <c r="DO755" s="335"/>
      <c r="DP755" s="335"/>
      <c r="DQ755" s="335"/>
      <c r="DR755" s="335"/>
      <c r="DS755" s="335"/>
      <c r="DT755" s="335"/>
      <c r="DU755" s="335"/>
      <c r="DV755" s="335"/>
      <c r="DW755" s="335"/>
      <c r="DX755" s="335"/>
      <c r="DY755" s="335"/>
      <c r="DZ755" s="335"/>
      <c r="EA755" s="335"/>
      <c r="EB755" s="335"/>
      <c r="EC755" s="335"/>
      <c r="ED755" s="335"/>
      <c r="EE755" s="335"/>
      <c r="EF755" s="335"/>
      <c r="EG755" s="335"/>
      <c r="EH755" s="335"/>
      <c r="EI755" s="335"/>
      <c r="EJ755" s="335"/>
      <c r="EK755" s="335"/>
      <c r="EL755" s="335"/>
      <c r="EM755" s="335"/>
      <c r="EN755" s="335"/>
      <c r="EO755" s="335"/>
      <c r="EP755" s="335"/>
      <c r="EQ755" s="335"/>
      <c r="ER755" s="335"/>
      <c r="ES755" s="335"/>
      <c r="ET755" s="335"/>
      <c r="EU755" s="335"/>
      <c r="EV755" s="335"/>
      <c r="EW755" s="335"/>
      <c r="EX755" s="335"/>
      <c r="EY755" s="335"/>
      <c r="EZ755" s="335"/>
      <c r="FA755" s="335"/>
      <c r="FB755" s="335"/>
      <c r="FC755" s="335"/>
      <c r="FD755" s="335"/>
      <c r="FE755" s="335"/>
      <c r="FF755" s="335"/>
      <c r="FG755" s="335"/>
      <c r="FH755" s="335"/>
      <c r="FI755" s="335"/>
      <c r="FJ755" s="335"/>
      <c r="FK755" s="335"/>
      <c r="FL755" s="335"/>
      <c r="FM755" s="335"/>
      <c r="FN755" s="335"/>
      <c r="FO755" s="335"/>
      <c r="FP755" s="335"/>
      <c r="FQ755" s="335"/>
      <c r="FR755" s="335"/>
      <c r="FS755" s="335"/>
      <c r="FT755" s="335"/>
      <c r="FU755" s="335"/>
      <c r="FV755" s="335"/>
      <c r="FW755" s="335"/>
      <c r="FX755" s="335"/>
      <c r="FY755" s="335"/>
      <c r="FZ755" s="335"/>
      <c r="GA755" s="335"/>
      <c r="GB755" s="335"/>
      <c r="GC755" s="335"/>
      <c r="GD755" s="335"/>
      <c r="GE755" s="335"/>
      <c r="GF755" s="335"/>
      <c r="GG755" s="335"/>
      <c r="GH755" s="335"/>
      <c r="GI755" s="335"/>
      <c r="GJ755" s="335"/>
      <c r="GK755" s="335"/>
      <c r="GL755" s="335"/>
      <c r="GM755" s="335"/>
      <c r="GN755" s="335"/>
      <c r="GO755" s="335"/>
      <c r="GP755" s="335"/>
      <c r="GQ755" s="335"/>
      <c r="GR755" s="335"/>
      <c r="GS755" s="335"/>
      <c r="GT755" s="335"/>
      <c r="GU755" s="335"/>
      <c r="GV755" s="335"/>
      <c r="GW755" s="335"/>
      <c r="GX755" s="335"/>
      <c r="GY755" s="335"/>
      <c r="GZ755" s="335"/>
    </row>
    <row r="756" spans="1:208" ht="15">
      <c r="A756" s="379"/>
      <c r="B756" s="335"/>
      <c r="C756" s="335"/>
      <c r="D756" s="335"/>
      <c r="E756" s="335"/>
      <c r="F756" s="335"/>
      <c r="G756" s="335"/>
      <c r="H756" s="335"/>
      <c r="I756" s="335"/>
      <c r="J756" s="335"/>
      <c r="K756" s="335"/>
      <c r="L756" s="335"/>
      <c r="M756" s="376"/>
      <c r="N756" s="335"/>
      <c r="O756" s="380"/>
      <c r="P756" s="335"/>
      <c r="Q756" s="335"/>
      <c r="R756" s="335"/>
      <c r="S756" s="335"/>
      <c r="T756" s="335"/>
      <c r="U756" s="335"/>
      <c r="V756" s="335"/>
      <c r="W756" s="335"/>
      <c r="X756" s="335"/>
      <c r="Y756" s="335"/>
      <c r="Z756" s="335"/>
      <c r="AA756" s="335"/>
      <c r="AB756" s="335"/>
      <c r="AC756" s="335"/>
      <c r="AD756" s="335"/>
      <c r="AE756" s="335"/>
      <c r="AF756" s="335"/>
      <c r="AG756" s="335"/>
      <c r="AH756" s="335"/>
      <c r="AI756" s="335"/>
      <c r="AJ756" s="335"/>
      <c r="AK756" s="335"/>
      <c r="AL756" s="335"/>
      <c r="AM756" s="335"/>
      <c r="AN756" s="335"/>
      <c r="AO756" s="335"/>
      <c r="AP756" s="335"/>
      <c r="AQ756" s="335"/>
      <c r="AR756" s="335"/>
      <c r="AS756" s="335"/>
      <c r="AT756" s="335"/>
      <c r="AU756" s="335"/>
      <c r="AV756" s="335"/>
      <c r="AW756" s="335"/>
      <c r="AX756" s="335"/>
      <c r="AY756" s="335"/>
      <c r="AZ756" s="335"/>
      <c r="BA756" s="335"/>
      <c r="BB756" s="335"/>
      <c r="BC756" s="335"/>
      <c r="BD756" s="335"/>
      <c r="BE756" s="335"/>
      <c r="BF756" s="335"/>
      <c r="BG756" s="335"/>
      <c r="BH756" s="335"/>
      <c r="BI756" s="335"/>
      <c r="BJ756" s="335"/>
      <c r="BK756" s="335"/>
      <c r="BL756" s="335"/>
      <c r="BM756" s="335"/>
      <c r="BN756" s="335"/>
      <c r="BO756" s="335"/>
      <c r="BP756" s="335"/>
      <c r="BQ756" s="335"/>
      <c r="BR756" s="335"/>
      <c r="BS756" s="335"/>
      <c r="BT756" s="335"/>
      <c r="BU756" s="335"/>
      <c r="BV756" s="335"/>
      <c r="BW756" s="335"/>
      <c r="BX756" s="335"/>
      <c r="BY756" s="335"/>
      <c r="BZ756" s="335"/>
      <c r="CA756" s="335"/>
      <c r="CB756" s="335"/>
      <c r="CC756" s="335"/>
      <c r="CD756" s="335"/>
      <c r="CE756" s="335"/>
      <c r="CF756" s="335"/>
      <c r="CG756" s="335"/>
      <c r="CH756" s="335"/>
      <c r="CI756" s="335"/>
      <c r="CJ756" s="335"/>
      <c r="CK756" s="335"/>
      <c r="CL756" s="335"/>
      <c r="CM756" s="335"/>
      <c r="CN756" s="335"/>
      <c r="CO756" s="335"/>
      <c r="CP756" s="335"/>
      <c r="CQ756" s="335"/>
      <c r="CR756" s="335"/>
      <c r="CS756" s="335"/>
      <c r="CT756" s="335"/>
      <c r="CU756" s="335"/>
      <c r="CV756" s="335"/>
      <c r="CW756" s="335"/>
      <c r="CX756" s="335"/>
      <c r="CY756" s="335"/>
      <c r="CZ756" s="335"/>
      <c r="DA756" s="335"/>
      <c r="DB756" s="335"/>
      <c r="DC756" s="335"/>
      <c r="DD756" s="335"/>
      <c r="DE756" s="335"/>
      <c r="DF756" s="335"/>
      <c r="DG756" s="335"/>
      <c r="DH756" s="335"/>
      <c r="DI756" s="335"/>
      <c r="DJ756" s="335"/>
      <c r="DK756" s="335"/>
      <c r="DL756" s="335"/>
      <c r="DM756" s="335"/>
      <c r="DN756" s="335"/>
      <c r="DO756" s="335"/>
      <c r="DP756" s="335"/>
      <c r="DQ756" s="335"/>
      <c r="DR756" s="335"/>
      <c r="DS756" s="335"/>
      <c r="DT756" s="335"/>
      <c r="DU756" s="335"/>
      <c r="DV756" s="335"/>
      <c r="DW756" s="335"/>
      <c r="DX756" s="335"/>
      <c r="DY756" s="335"/>
      <c r="DZ756" s="335"/>
      <c r="EA756" s="335"/>
      <c r="EB756" s="335"/>
      <c r="EC756" s="335"/>
      <c r="ED756" s="335"/>
      <c r="EE756" s="335"/>
      <c r="EF756" s="335"/>
      <c r="EG756" s="335"/>
      <c r="EH756" s="335"/>
      <c r="EI756" s="335"/>
      <c r="EJ756" s="335"/>
      <c r="EK756" s="335"/>
      <c r="EL756" s="335"/>
      <c r="EM756" s="335"/>
      <c r="EN756" s="335"/>
      <c r="EO756" s="335"/>
      <c r="EP756" s="335"/>
      <c r="EQ756" s="335"/>
      <c r="ER756" s="335"/>
      <c r="ES756" s="335"/>
      <c r="ET756" s="335"/>
      <c r="EU756" s="335"/>
      <c r="EV756" s="335"/>
      <c r="EW756" s="335"/>
      <c r="EX756" s="335"/>
      <c r="EY756" s="335"/>
      <c r="EZ756" s="335"/>
      <c r="FA756" s="335"/>
      <c r="FB756" s="335"/>
      <c r="FC756" s="335"/>
      <c r="FD756" s="335"/>
      <c r="FE756" s="335"/>
      <c r="FF756" s="335"/>
      <c r="FG756" s="335"/>
      <c r="FH756" s="335"/>
      <c r="FI756" s="335"/>
      <c r="FJ756" s="335"/>
      <c r="FK756" s="335"/>
      <c r="FL756" s="335"/>
      <c r="FM756" s="335"/>
      <c r="FN756" s="335"/>
      <c r="FO756" s="335"/>
      <c r="FP756" s="335"/>
      <c r="FQ756" s="335"/>
      <c r="FR756" s="335"/>
      <c r="FS756" s="335"/>
      <c r="FT756" s="335"/>
      <c r="FU756" s="335"/>
      <c r="FV756" s="335"/>
      <c r="FW756" s="335"/>
      <c r="FX756" s="335"/>
      <c r="FY756" s="335"/>
      <c r="FZ756" s="335"/>
      <c r="GA756" s="335"/>
      <c r="GB756" s="335"/>
      <c r="GC756" s="335"/>
      <c r="GD756" s="335"/>
      <c r="GE756" s="335"/>
      <c r="GF756" s="335"/>
      <c r="GG756" s="335"/>
      <c r="GH756" s="335"/>
      <c r="GI756" s="335"/>
      <c r="GJ756" s="335"/>
      <c r="GK756" s="335"/>
      <c r="GL756" s="335"/>
      <c r="GM756" s="335"/>
      <c r="GN756" s="335"/>
      <c r="GO756" s="335"/>
      <c r="GP756" s="335"/>
      <c r="GQ756" s="335"/>
      <c r="GR756" s="335"/>
      <c r="GS756" s="335"/>
      <c r="GT756" s="335"/>
      <c r="GU756" s="335"/>
      <c r="GV756" s="335"/>
      <c r="GW756" s="335"/>
      <c r="GX756" s="335"/>
      <c r="GY756" s="335"/>
      <c r="GZ756" s="335"/>
    </row>
    <row r="757" spans="1:208" ht="15">
      <c r="A757" s="379"/>
      <c r="B757" s="335"/>
      <c r="C757" s="335"/>
      <c r="D757" s="335"/>
      <c r="E757" s="335"/>
      <c r="F757" s="335"/>
      <c r="G757" s="335"/>
      <c r="H757" s="335"/>
      <c r="I757" s="335"/>
      <c r="J757" s="335"/>
      <c r="K757" s="335"/>
      <c r="L757" s="335"/>
      <c r="M757" s="376"/>
      <c r="N757" s="335"/>
      <c r="O757" s="380"/>
      <c r="P757" s="335"/>
      <c r="Q757" s="335"/>
      <c r="R757" s="335"/>
      <c r="S757" s="335"/>
      <c r="T757" s="335"/>
      <c r="U757" s="335"/>
      <c r="V757" s="335"/>
      <c r="W757" s="335"/>
      <c r="X757" s="335"/>
      <c r="Y757" s="335"/>
      <c r="Z757" s="335"/>
      <c r="AA757" s="335"/>
      <c r="AB757" s="335"/>
      <c r="AC757" s="335"/>
      <c r="AD757" s="335"/>
      <c r="AE757" s="335"/>
      <c r="AF757" s="335"/>
      <c r="AG757" s="335"/>
      <c r="AH757" s="335"/>
      <c r="AI757" s="335"/>
      <c r="AJ757" s="335"/>
      <c r="AK757" s="335"/>
      <c r="AL757" s="335"/>
      <c r="AM757" s="335"/>
      <c r="AN757" s="335"/>
      <c r="AO757" s="335"/>
      <c r="AP757" s="335"/>
      <c r="AQ757" s="335"/>
      <c r="AR757" s="335"/>
      <c r="AS757" s="335"/>
      <c r="AT757" s="335"/>
      <c r="AU757" s="335"/>
      <c r="AV757" s="335"/>
      <c r="AW757" s="335"/>
      <c r="AX757" s="335"/>
      <c r="AY757" s="335"/>
      <c r="AZ757" s="335"/>
      <c r="BA757" s="335"/>
      <c r="BB757" s="335"/>
      <c r="BC757" s="335"/>
      <c r="BD757" s="335"/>
      <c r="BE757" s="335"/>
      <c r="BF757" s="335"/>
      <c r="BG757" s="335"/>
      <c r="BH757" s="335"/>
      <c r="BI757" s="335"/>
      <c r="BJ757" s="335"/>
      <c r="BK757" s="335"/>
      <c r="BL757" s="335"/>
      <c r="BM757" s="335"/>
      <c r="BN757" s="335"/>
      <c r="BO757" s="335"/>
      <c r="BP757" s="335"/>
      <c r="BQ757" s="335"/>
      <c r="BR757" s="335"/>
      <c r="BS757" s="335"/>
      <c r="BT757" s="335"/>
      <c r="BU757" s="335"/>
      <c r="BV757" s="335"/>
      <c r="BW757" s="335"/>
      <c r="BX757" s="335"/>
      <c r="BY757" s="335"/>
      <c r="BZ757" s="335"/>
      <c r="CA757" s="335"/>
      <c r="CB757" s="335"/>
      <c r="CC757" s="335"/>
      <c r="CD757" s="335"/>
      <c r="CE757" s="335"/>
      <c r="CF757" s="335"/>
      <c r="CG757" s="335"/>
      <c r="CH757" s="335"/>
      <c r="CI757" s="335"/>
      <c r="CJ757" s="335"/>
      <c r="CK757" s="335"/>
      <c r="CL757" s="335"/>
      <c r="CM757" s="335"/>
      <c r="CN757" s="335"/>
      <c r="CO757" s="335"/>
      <c r="CP757" s="335"/>
      <c r="CQ757" s="335"/>
      <c r="CR757" s="335"/>
      <c r="CS757" s="335"/>
      <c r="CT757" s="335"/>
      <c r="CU757" s="335"/>
      <c r="CV757" s="335"/>
      <c r="CW757" s="335"/>
      <c r="CX757" s="335"/>
      <c r="CY757" s="335"/>
      <c r="CZ757" s="335"/>
      <c r="DA757" s="335"/>
      <c r="DB757" s="335"/>
      <c r="DC757" s="335"/>
      <c r="DD757" s="335"/>
      <c r="DE757" s="335"/>
      <c r="DF757" s="335"/>
      <c r="DG757" s="335"/>
      <c r="DH757" s="335"/>
      <c r="DI757" s="335"/>
      <c r="DJ757" s="335"/>
      <c r="DK757" s="335"/>
      <c r="DL757" s="335"/>
      <c r="DM757" s="335"/>
      <c r="DN757" s="335"/>
      <c r="DO757" s="335"/>
      <c r="DP757" s="335"/>
      <c r="DQ757" s="335"/>
      <c r="DR757" s="335"/>
      <c r="DS757" s="335"/>
      <c r="DT757" s="335"/>
      <c r="DU757" s="335"/>
      <c r="DV757" s="335"/>
      <c r="DW757" s="335"/>
      <c r="DX757" s="335"/>
      <c r="DY757" s="335"/>
      <c r="DZ757" s="335"/>
      <c r="EA757" s="335"/>
      <c r="EB757" s="335"/>
      <c r="EC757" s="335"/>
      <c r="ED757" s="335"/>
      <c r="EE757" s="335"/>
      <c r="EF757" s="335"/>
      <c r="EG757" s="335"/>
      <c r="EH757" s="335"/>
      <c r="EI757" s="335"/>
      <c r="EJ757" s="335"/>
      <c r="EK757" s="335"/>
      <c r="EL757" s="335"/>
      <c r="EM757" s="335"/>
      <c r="EN757" s="335"/>
      <c r="EO757" s="335"/>
      <c r="EP757" s="335"/>
      <c r="EQ757" s="335"/>
      <c r="ER757" s="335"/>
      <c r="ES757" s="335"/>
      <c r="ET757" s="335"/>
      <c r="EU757" s="335"/>
      <c r="EV757" s="335"/>
      <c r="EW757" s="335"/>
      <c r="EX757" s="335"/>
      <c r="EY757" s="335"/>
      <c r="EZ757" s="335"/>
      <c r="FA757" s="335"/>
      <c r="FB757" s="335"/>
      <c r="FC757" s="335"/>
      <c r="FD757" s="335"/>
      <c r="FE757" s="335"/>
      <c r="FF757" s="335"/>
      <c r="FG757" s="335"/>
      <c r="FH757" s="335"/>
      <c r="FI757" s="335"/>
      <c r="FJ757" s="335"/>
      <c r="FK757" s="335"/>
      <c r="FL757" s="335"/>
      <c r="FM757" s="335"/>
      <c r="FN757" s="335"/>
      <c r="FO757" s="335"/>
      <c r="FP757" s="335"/>
      <c r="FQ757" s="335"/>
      <c r="FR757" s="335"/>
      <c r="FS757" s="335"/>
      <c r="FT757" s="335"/>
      <c r="FU757" s="335"/>
      <c r="FV757" s="335"/>
      <c r="FW757" s="335"/>
      <c r="FX757" s="335"/>
      <c r="FY757" s="335"/>
      <c r="FZ757" s="335"/>
      <c r="GA757" s="335"/>
      <c r="GB757" s="335"/>
      <c r="GC757" s="335"/>
      <c r="GD757" s="335"/>
      <c r="GE757" s="335"/>
      <c r="GF757" s="335"/>
      <c r="GG757" s="335"/>
      <c r="GH757" s="335"/>
      <c r="GI757" s="335"/>
      <c r="GJ757" s="335"/>
      <c r="GK757" s="335"/>
      <c r="GL757" s="335"/>
      <c r="GM757" s="335"/>
      <c r="GN757" s="335"/>
      <c r="GO757" s="335"/>
      <c r="GP757" s="335"/>
      <c r="GQ757" s="335"/>
      <c r="GR757" s="335"/>
      <c r="GS757" s="335"/>
      <c r="GT757" s="335"/>
      <c r="GU757" s="335"/>
      <c r="GV757" s="335"/>
      <c r="GW757" s="335"/>
      <c r="GX757" s="335"/>
      <c r="GY757" s="335"/>
      <c r="GZ757" s="335"/>
    </row>
    <row r="758" spans="1:208" ht="15">
      <c r="A758" s="379"/>
      <c r="B758" s="335"/>
      <c r="C758" s="335"/>
      <c r="D758" s="335"/>
      <c r="E758" s="335"/>
      <c r="F758" s="335"/>
      <c r="G758" s="335"/>
      <c r="H758" s="335"/>
      <c r="I758" s="335"/>
      <c r="J758" s="335"/>
      <c r="K758" s="335"/>
      <c r="L758" s="335"/>
      <c r="M758" s="376"/>
      <c r="N758" s="335"/>
      <c r="O758" s="380"/>
      <c r="P758" s="335"/>
      <c r="Q758" s="335"/>
      <c r="R758" s="335"/>
      <c r="S758" s="335"/>
      <c r="T758" s="335"/>
      <c r="U758" s="335"/>
      <c r="V758" s="335"/>
      <c r="W758" s="335"/>
      <c r="X758" s="335"/>
      <c r="Y758" s="335"/>
      <c r="Z758" s="335"/>
      <c r="AA758" s="335"/>
      <c r="AB758" s="335"/>
      <c r="AC758" s="335"/>
      <c r="AD758" s="335"/>
      <c r="AE758" s="335"/>
      <c r="AF758" s="335"/>
      <c r="AG758" s="335"/>
      <c r="AH758" s="335"/>
      <c r="AI758" s="335"/>
      <c r="AJ758" s="335"/>
      <c r="AK758" s="335"/>
      <c r="AL758" s="335"/>
      <c r="AM758" s="335"/>
      <c r="AN758" s="335"/>
      <c r="AO758" s="335"/>
      <c r="AP758" s="335"/>
      <c r="AQ758" s="335"/>
      <c r="AR758" s="335"/>
      <c r="AS758" s="335"/>
      <c r="AT758" s="335"/>
      <c r="AU758" s="335"/>
      <c r="AV758" s="335"/>
      <c r="AW758" s="335"/>
      <c r="AX758" s="335"/>
      <c r="AY758" s="335"/>
      <c r="AZ758" s="335"/>
      <c r="BA758" s="335"/>
      <c r="BB758" s="335"/>
      <c r="BC758" s="335"/>
      <c r="BD758" s="335"/>
      <c r="BE758" s="335"/>
      <c r="BF758" s="335"/>
      <c r="BG758" s="335"/>
      <c r="BH758" s="335"/>
      <c r="BI758" s="335"/>
      <c r="BJ758" s="335"/>
      <c r="BK758" s="335"/>
      <c r="BL758" s="335"/>
      <c r="BM758" s="335"/>
      <c r="BN758" s="335"/>
      <c r="BO758" s="335"/>
      <c r="BP758" s="335"/>
      <c r="BQ758" s="335"/>
      <c r="BR758" s="335"/>
      <c r="BS758" s="335"/>
      <c r="BT758" s="335"/>
      <c r="BU758" s="335"/>
      <c r="BV758" s="335"/>
      <c r="BW758" s="335"/>
      <c r="BX758" s="335"/>
      <c r="BY758" s="335"/>
      <c r="BZ758" s="335"/>
      <c r="CA758" s="335"/>
      <c r="CB758" s="335"/>
      <c r="CC758" s="335"/>
      <c r="CD758" s="335"/>
      <c r="CE758" s="335"/>
      <c r="CF758" s="335"/>
      <c r="CG758" s="335"/>
      <c r="CH758" s="335"/>
      <c r="CI758" s="335"/>
      <c r="CJ758" s="335"/>
      <c r="CK758" s="335"/>
      <c r="CL758" s="335"/>
      <c r="CM758" s="335"/>
      <c r="CN758" s="335"/>
      <c r="CO758" s="335"/>
      <c r="CP758" s="335"/>
      <c r="CQ758" s="335"/>
      <c r="CR758" s="335"/>
      <c r="CS758" s="335"/>
      <c r="CT758" s="335"/>
      <c r="CU758" s="335"/>
      <c r="CV758" s="335"/>
      <c r="CW758" s="335"/>
      <c r="CX758" s="335"/>
      <c r="CY758" s="335"/>
      <c r="CZ758" s="335"/>
      <c r="DA758" s="335"/>
      <c r="DB758" s="335"/>
      <c r="DC758" s="335"/>
      <c r="DD758" s="335"/>
      <c r="DE758" s="335"/>
      <c r="DF758" s="335"/>
      <c r="DG758" s="335"/>
      <c r="DH758" s="335"/>
      <c r="DI758" s="335"/>
      <c r="DJ758" s="335"/>
      <c r="DK758" s="335"/>
      <c r="DL758" s="335"/>
      <c r="DM758" s="335"/>
      <c r="DN758" s="335"/>
      <c r="DO758" s="335"/>
      <c r="DP758" s="335"/>
      <c r="DQ758" s="335"/>
      <c r="DR758" s="335"/>
      <c r="DS758" s="335"/>
      <c r="DT758" s="335"/>
      <c r="DU758" s="335"/>
      <c r="DV758" s="335"/>
      <c r="DW758" s="335"/>
      <c r="DX758" s="335"/>
      <c r="DY758" s="335"/>
      <c r="DZ758" s="335"/>
      <c r="EA758" s="335"/>
      <c r="EB758" s="335"/>
      <c r="EC758" s="335"/>
      <c r="ED758" s="335"/>
      <c r="EE758" s="335"/>
      <c r="EF758" s="335"/>
      <c r="EG758" s="335"/>
      <c r="EH758" s="335"/>
      <c r="EI758" s="335"/>
      <c r="EJ758" s="335"/>
      <c r="EK758" s="335"/>
      <c r="EL758" s="335"/>
      <c r="EM758" s="335"/>
      <c r="EN758" s="335"/>
      <c r="EO758" s="335"/>
      <c r="EP758" s="335"/>
      <c r="EQ758" s="335"/>
      <c r="ER758" s="335"/>
      <c r="ES758" s="335"/>
      <c r="ET758" s="335"/>
      <c r="EU758" s="335"/>
      <c r="EV758" s="335"/>
      <c r="EW758" s="335"/>
      <c r="EX758" s="335"/>
      <c r="EY758" s="335"/>
      <c r="EZ758" s="335"/>
      <c r="FA758" s="335"/>
      <c r="FB758" s="335"/>
      <c r="FC758" s="335"/>
      <c r="FD758" s="335"/>
      <c r="FE758" s="335"/>
      <c r="FF758" s="335"/>
      <c r="FG758" s="335"/>
      <c r="FH758" s="335"/>
      <c r="FI758" s="335"/>
      <c r="FJ758" s="335"/>
      <c r="FK758" s="335"/>
      <c r="FL758" s="335"/>
      <c r="FM758" s="335"/>
      <c r="FN758" s="335"/>
      <c r="FO758" s="335"/>
      <c r="FP758" s="335"/>
      <c r="FQ758" s="335"/>
      <c r="FR758" s="335"/>
      <c r="FS758" s="335"/>
      <c r="FT758" s="335"/>
      <c r="FU758" s="335"/>
      <c r="FV758" s="335"/>
      <c r="FW758" s="335"/>
      <c r="FX758" s="335"/>
      <c r="FY758" s="335"/>
      <c r="FZ758" s="335"/>
      <c r="GA758" s="335"/>
      <c r="GB758" s="335"/>
      <c r="GC758" s="335"/>
      <c r="GD758" s="335"/>
      <c r="GE758" s="335"/>
      <c r="GF758" s="335"/>
      <c r="GG758" s="335"/>
      <c r="GH758" s="335"/>
      <c r="GI758" s="335"/>
      <c r="GJ758" s="335"/>
      <c r="GK758" s="335"/>
      <c r="GL758" s="335"/>
      <c r="GM758" s="335"/>
      <c r="GN758" s="335"/>
      <c r="GO758" s="335"/>
      <c r="GP758" s="335"/>
      <c r="GQ758" s="335"/>
      <c r="GR758" s="335"/>
      <c r="GS758" s="335"/>
      <c r="GT758" s="335"/>
      <c r="GU758" s="335"/>
      <c r="GV758" s="335"/>
      <c r="GW758" s="335"/>
      <c r="GX758" s="335"/>
      <c r="GY758" s="335"/>
      <c r="GZ758" s="335"/>
    </row>
    <row r="759" spans="1:208" ht="15">
      <c r="A759" s="379"/>
      <c r="B759" s="335"/>
      <c r="C759" s="335"/>
      <c r="D759" s="335"/>
      <c r="E759" s="335"/>
      <c r="F759" s="335"/>
      <c r="G759" s="335"/>
      <c r="H759" s="335"/>
      <c r="I759" s="335"/>
      <c r="J759" s="335"/>
      <c r="K759" s="335"/>
      <c r="L759" s="335"/>
      <c r="M759" s="376"/>
      <c r="N759" s="335"/>
      <c r="O759" s="380"/>
      <c r="P759" s="335"/>
      <c r="Q759" s="335"/>
      <c r="R759" s="335"/>
      <c r="S759" s="335"/>
      <c r="T759" s="335"/>
      <c r="U759" s="335"/>
      <c r="V759" s="335"/>
      <c r="W759" s="335"/>
      <c r="X759" s="335"/>
      <c r="Y759" s="335"/>
      <c r="Z759" s="335"/>
      <c r="AA759" s="335"/>
      <c r="AB759" s="335"/>
      <c r="AC759" s="335"/>
      <c r="AD759" s="335"/>
      <c r="AE759" s="335"/>
      <c r="AF759" s="335"/>
      <c r="AG759" s="335"/>
      <c r="AH759" s="335"/>
      <c r="AI759" s="335"/>
      <c r="AJ759" s="335"/>
      <c r="AK759" s="335"/>
      <c r="AL759" s="335"/>
      <c r="AM759" s="335"/>
      <c r="AN759" s="335"/>
      <c r="AO759" s="335"/>
      <c r="AP759" s="335"/>
      <c r="AQ759" s="335"/>
      <c r="AR759" s="335"/>
      <c r="AS759" s="335"/>
      <c r="AT759" s="335"/>
      <c r="AU759" s="335"/>
      <c r="AV759" s="335"/>
      <c r="AW759" s="335"/>
      <c r="AX759" s="335"/>
      <c r="AY759" s="335"/>
      <c r="AZ759" s="335"/>
      <c r="BA759" s="335"/>
      <c r="BB759" s="335"/>
      <c r="BC759" s="335"/>
      <c r="BD759" s="335"/>
      <c r="BE759" s="335"/>
      <c r="BF759" s="335"/>
      <c r="BG759" s="335"/>
      <c r="BH759" s="335"/>
      <c r="BI759" s="335"/>
      <c r="BJ759" s="335"/>
      <c r="BK759" s="335"/>
      <c r="BL759" s="335"/>
      <c r="BM759" s="335"/>
      <c r="BN759" s="335"/>
      <c r="BO759" s="335"/>
      <c r="BP759" s="335"/>
      <c r="BQ759" s="335"/>
      <c r="BR759" s="335"/>
      <c r="BS759" s="335"/>
      <c r="BT759" s="335"/>
      <c r="BU759" s="335"/>
      <c r="BV759" s="335"/>
      <c r="BW759" s="335"/>
      <c r="BX759" s="335"/>
      <c r="BY759" s="335"/>
      <c r="BZ759" s="335"/>
      <c r="CA759" s="335"/>
      <c r="CB759" s="335"/>
      <c r="CC759" s="335"/>
      <c r="CD759" s="335"/>
      <c r="CE759" s="335"/>
      <c r="CF759" s="335"/>
      <c r="CG759" s="335"/>
      <c r="CH759" s="335"/>
      <c r="CI759" s="335"/>
      <c r="CJ759" s="335"/>
      <c r="CK759" s="335"/>
      <c r="CL759" s="335"/>
      <c r="CM759" s="335"/>
      <c r="CN759" s="335"/>
      <c r="CO759" s="335"/>
      <c r="CP759" s="335"/>
      <c r="CQ759" s="335"/>
      <c r="CR759" s="335"/>
      <c r="CS759" s="335"/>
      <c r="CT759" s="335"/>
      <c r="CU759" s="335"/>
      <c r="CV759" s="335"/>
      <c r="CW759" s="335"/>
      <c r="CX759" s="335"/>
      <c r="CY759" s="335"/>
      <c r="CZ759" s="335"/>
      <c r="DA759" s="335"/>
      <c r="DB759" s="335"/>
      <c r="DC759" s="335"/>
      <c r="DD759" s="335"/>
      <c r="DE759" s="335"/>
      <c r="DF759" s="335"/>
      <c r="DG759" s="335"/>
      <c r="DH759" s="335"/>
      <c r="DI759" s="335"/>
      <c r="DJ759" s="335"/>
      <c r="DK759" s="335"/>
      <c r="DL759" s="335"/>
      <c r="DM759" s="335"/>
      <c r="DN759" s="335"/>
      <c r="DO759" s="335"/>
      <c r="DP759" s="335"/>
      <c r="DQ759" s="335"/>
      <c r="DR759" s="335"/>
      <c r="DS759" s="335"/>
      <c r="DT759" s="335"/>
      <c r="DU759" s="335"/>
      <c r="DV759" s="335"/>
      <c r="DW759" s="335"/>
      <c r="DX759" s="335"/>
      <c r="DY759" s="335"/>
      <c r="DZ759" s="335"/>
      <c r="EA759" s="335"/>
      <c r="EB759" s="335"/>
      <c r="EC759" s="335"/>
      <c r="ED759" s="335"/>
      <c r="EE759" s="335"/>
      <c r="EF759" s="335"/>
      <c r="EG759" s="335"/>
      <c r="EH759" s="335"/>
      <c r="EI759" s="335"/>
      <c r="EJ759" s="335"/>
      <c r="EK759" s="335"/>
      <c r="EL759" s="335"/>
      <c r="EM759" s="335"/>
      <c r="EN759" s="335"/>
      <c r="EO759" s="335"/>
      <c r="EP759" s="335"/>
      <c r="EQ759" s="335"/>
      <c r="ER759" s="335"/>
      <c r="ES759" s="335"/>
      <c r="ET759" s="335"/>
      <c r="EU759" s="335"/>
      <c r="EV759" s="335"/>
      <c r="EW759" s="335"/>
      <c r="EX759" s="335"/>
      <c r="EY759" s="335"/>
      <c r="EZ759" s="335"/>
      <c r="FA759" s="335"/>
      <c r="FB759" s="335"/>
      <c r="FC759" s="335"/>
      <c r="FD759" s="335"/>
      <c r="FE759" s="335"/>
      <c r="FF759" s="335"/>
      <c r="FG759" s="335"/>
      <c r="FH759" s="335"/>
      <c r="FI759" s="335"/>
      <c r="FJ759" s="335"/>
      <c r="FK759" s="335"/>
      <c r="FL759" s="335"/>
      <c r="FM759" s="335"/>
      <c r="FN759" s="335"/>
      <c r="FO759" s="335"/>
      <c r="FP759" s="335"/>
      <c r="FQ759" s="335"/>
      <c r="FR759" s="335"/>
      <c r="FS759" s="335"/>
      <c r="FT759" s="335"/>
      <c r="FU759" s="335"/>
      <c r="FV759" s="335"/>
      <c r="FW759" s="335"/>
      <c r="FX759" s="335"/>
      <c r="FY759" s="335"/>
      <c r="FZ759" s="335"/>
      <c r="GA759" s="335"/>
      <c r="GB759" s="335"/>
      <c r="GC759" s="335"/>
      <c r="GD759" s="335"/>
      <c r="GE759" s="335"/>
      <c r="GF759" s="335"/>
      <c r="GG759" s="335"/>
      <c r="GH759" s="335"/>
      <c r="GI759" s="335"/>
      <c r="GJ759" s="335"/>
      <c r="GK759" s="335"/>
      <c r="GL759" s="335"/>
      <c r="GM759" s="335"/>
      <c r="GN759" s="335"/>
      <c r="GO759" s="335"/>
      <c r="GP759" s="335"/>
      <c r="GQ759" s="335"/>
      <c r="GR759" s="335"/>
      <c r="GS759" s="335"/>
      <c r="GT759" s="335"/>
      <c r="GU759" s="335"/>
      <c r="GV759" s="335"/>
      <c r="GW759" s="335"/>
      <c r="GX759" s="335"/>
      <c r="GY759" s="335"/>
      <c r="GZ759" s="335"/>
    </row>
    <row r="760" spans="1:208" ht="15">
      <c r="A760" s="379"/>
      <c r="B760" s="335"/>
      <c r="C760" s="335"/>
      <c r="D760" s="335"/>
      <c r="E760" s="335"/>
      <c r="F760" s="335"/>
      <c r="G760" s="335"/>
      <c r="H760" s="335"/>
      <c r="I760" s="335"/>
      <c r="J760" s="335"/>
      <c r="K760" s="335"/>
      <c r="L760" s="335"/>
      <c r="M760" s="376"/>
      <c r="N760" s="335"/>
      <c r="O760" s="380"/>
      <c r="P760" s="335"/>
      <c r="Q760" s="335"/>
      <c r="R760" s="335"/>
      <c r="S760" s="335"/>
      <c r="T760" s="335"/>
      <c r="U760" s="335"/>
      <c r="V760" s="335"/>
      <c r="W760" s="335"/>
      <c r="X760" s="335"/>
      <c r="Y760" s="335"/>
      <c r="Z760" s="335"/>
      <c r="AA760" s="335"/>
      <c r="AB760" s="335"/>
      <c r="AC760" s="335"/>
      <c r="AD760" s="335"/>
      <c r="AE760" s="335"/>
      <c r="AF760" s="335"/>
      <c r="AG760" s="335"/>
      <c r="AH760" s="335"/>
      <c r="AI760" s="335"/>
      <c r="AJ760" s="335"/>
      <c r="AK760" s="335"/>
      <c r="AL760" s="335"/>
      <c r="AM760" s="335"/>
      <c r="AN760" s="335"/>
      <c r="AO760" s="335"/>
      <c r="AP760" s="335"/>
      <c r="AQ760" s="335"/>
      <c r="AR760" s="335"/>
      <c r="AS760" s="335"/>
      <c r="AT760" s="335"/>
      <c r="AU760" s="335"/>
      <c r="AV760" s="335"/>
      <c r="AW760" s="335"/>
      <c r="AX760" s="335"/>
      <c r="AY760" s="335"/>
      <c r="AZ760" s="335"/>
      <c r="BA760" s="335"/>
      <c r="BB760" s="335"/>
      <c r="BC760" s="335"/>
      <c r="BD760" s="335"/>
      <c r="BE760" s="335"/>
      <c r="BF760" s="335"/>
      <c r="BG760" s="335"/>
      <c r="BH760" s="335"/>
      <c r="BI760" s="335"/>
      <c r="BJ760" s="335"/>
      <c r="BK760" s="335"/>
      <c r="BL760" s="335"/>
      <c r="BM760" s="335"/>
      <c r="BN760" s="335"/>
      <c r="BO760" s="335"/>
      <c r="BP760" s="335"/>
      <c r="BQ760" s="335"/>
      <c r="BR760" s="335"/>
      <c r="BS760" s="335"/>
      <c r="BT760" s="335"/>
      <c r="BU760" s="335"/>
      <c r="BV760" s="335"/>
      <c r="BW760" s="335"/>
      <c r="BX760" s="335"/>
      <c r="BY760" s="335"/>
      <c r="BZ760" s="335"/>
      <c r="CA760" s="335"/>
      <c r="CB760" s="335"/>
      <c r="CC760" s="335"/>
      <c r="CD760" s="335"/>
      <c r="CE760" s="335"/>
      <c r="CF760" s="335"/>
      <c r="CG760" s="335"/>
      <c r="CH760" s="335"/>
      <c r="CI760" s="335"/>
      <c r="CJ760" s="335"/>
      <c r="CK760" s="335"/>
      <c r="CL760" s="335"/>
      <c r="CM760" s="335"/>
      <c r="CN760" s="335"/>
      <c r="CO760" s="335"/>
      <c r="CP760" s="335"/>
      <c r="CQ760" s="335"/>
      <c r="CR760" s="335"/>
      <c r="CS760" s="335"/>
      <c r="CT760" s="335"/>
      <c r="CU760" s="335"/>
      <c r="CV760" s="335"/>
      <c r="CW760" s="335"/>
      <c r="CX760" s="335"/>
      <c r="CY760" s="335"/>
      <c r="CZ760" s="335"/>
      <c r="DA760" s="335"/>
      <c r="DB760" s="335"/>
      <c r="DC760" s="335"/>
      <c r="DD760" s="335"/>
      <c r="DE760" s="335"/>
      <c r="DF760" s="335"/>
      <c r="DG760" s="335"/>
      <c r="DH760" s="335"/>
      <c r="DI760" s="335"/>
      <c r="DJ760" s="335"/>
      <c r="DK760" s="335"/>
      <c r="DL760" s="335"/>
      <c r="DM760" s="335"/>
      <c r="DN760" s="335"/>
      <c r="DO760" s="335"/>
      <c r="DP760" s="335"/>
      <c r="DQ760" s="335"/>
      <c r="DR760" s="335"/>
      <c r="DS760" s="335"/>
      <c r="DT760" s="335"/>
      <c r="DU760" s="335"/>
      <c r="DV760" s="335"/>
      <c r="DW760" s="335"/>
      <c r="DX760" s="335"/>
      <c r="DY760" s="335"/>
      <c r="DZ760" s="335"/>
      <c r="EA760" s="335"/>
      <c r="EB760" s="335"/>
      <c r="EC760" s="335"/>
      <c r="ED760" s="335"/>
      <c r="EE760" s="335"/>
      <c r="EF760" s="335"/>
      <c r="EG760" s="335"/>
      <c r="EH760" s="335"/>
      <c r="EI760" s="335"/>
      <c r="EJ760" s="335"/>
      <c r="EK760" s="335"/>
      <c r="EL760" s="335"/>
      <c r="EM760" s="335"/>
      <c r="EN760" s="335"/>
      <c r="EO760" s="335"/>
      <c r="EP760" s="335"/>
      <c r="EQ760" s="335"/>
      <c r="ER760" s="335"/>
      <c r="ES760" s="335"/>
      <c r="ET760" s="335"/>
      <c r="EU760" s="335"/>
      <c r="EV760" s="335"/>
      <c r="EW760" s="335"/>
      <c r="EX760" s="335"/>
      <c r="EY760" s="335"/>
      <c r="EZ760" s="335"/>
      <c r="FA760" s="335"/>
      <c r="FB760" s="335"/>
      <c r="FC760" s="335"/>
      <c r="FD760" s="335"/>
      <c r="FE760" s="335"/>
      <c r="FF760" s="335"/>
      <c r="FG760" s="335"/>
      <c r="FH760" s="335"/>
      <c r="FI760" s="335"/>
      <c r="FJ760" s="335"/>
      <c r="FK760" s="335"/>
      <c r="FL760" s="335"/>
      <c r="FM760" s="335"/>
      <c r="FN760" s="335"/>
      <c r="FO760" s="335"/>
      <c r="FP760" s="335"/>
      <c r="FQ760" s="335"/>
      <c r="FR760" s="335"/>
      <c r="FS760" s="335"/>
      <c r="FT760" s="335"/>
      <c r="FU760" s="335"/>
      <c r="FV760" s="335"/>
      <c r="FW760" s="335"/>
      <c r="FX760" s="335"/>
      <c r="FY760" s="335"/>
      <c r="FZ760" s="335"/>
      <c r="GA760" s="335"/>
      <c r="GB760" s="335"/>
      <c r="GC760" s="335"/>
      <c r="GD760" s="335"/>
      <c r="GE760" s="335"/>
      <c r="GF760" s="335"/>
      <c r="GG760" s="335"/>
      <c r="GH760" s="335"/>
      <c r="GI760" s="335"/>
      <c r="GJ760" s="335"/>
      <c r="GK760" s="335"/>
      <c r="GL760" s="335"/>
      <c r="GM760" s="335"/>
      <c r="GN760" s="335"/>
      <c r="GO760" s="335"/>
      <c r="GP760" s="335"/>
      <c r="GQ760" s="335"/>
      <c r="GR760" s="335"/>
      <c r="GS760" s="335"/>
      <c r="GT760" s="335"/>
      <c r="GU760" s="335"/>
      <c r="GV760" s="335"/>
      <c r="GW760" s="335"/>
      <c r="GX760" s="335"/>
      <c r="GY760" s="335"/>
      <c r="GZ760" s="335"/>
    </row>
    <row r="761" spans="1:208" ht="15">
      <c r="A761" s="379"/>
      <c r="B761" s="335"/>
      <c r="C761" s="335"/>
      <c r="D761" s="335"/>
      <c r="E761" s="335"/>
      <c r="F761" s="335"/>
      <c r="G761" s="335"/>
      <c r="H761" s="335"/>
      <c r="I761" s="335"/>
      <c r="J761" s="335"/>
      <c r="K761" s="335"/>
      <c r="L761" s="335"/>
      <c r="M761" s="376"/>
      <c r="N761" s="335"/>
      <c r="O761" s="380"/>
      <c r="P761" s="335"/>
      <c r="Q761" s="335"/>
      <c r="R761" s="335"/>
      <c r="S761" s="335"/>
      <c r="T761" s="335"/>
      <c r="U761" s="335"/>
      <c r="V761" s="335"/>
      <c r="W761" s="335"/>
      <c r="X761" s="335"/>
      <c r="Y761" s="335"/>
      <c r="Z761" s="335"/>
      <c r="AA761" s="335"/>
      <c r="AB761" s="335"/>
      <c r="AC761" s="335"/>
      <c r="AD761" s="335"/>
      <c r="AE761" s="335"/>
      <c r="AF761" s="335"/>
      <c r="AG761" s="335"/>
      <c r="AH761" s="335"/>
      <c r="AI761" s="335"/>
      <c r="AJ761" s="335"/>
      <c r="AK761" s="335"/>
      <c r="AL761" s="335"/>
      <c r="AM761" s="335"/>
      <c r="AN761" s="335"/>
      <c r="AO761" s="335"/>
      <c r="AP761" s="335"/>
      <c r="AQ761" s="335"/>
      <c r="AR761" s="335"/>
      <c r="AS761" s="335"/>
      <c r="AT761" s="335"/>
      <c r="AU761" s="335"/>
      <c r="AV761" s="335"/>
      <c r="AW761" s="335"/>
      <c r="AX761" s="335"/>
      <c r="AY761" s="335"/>
      <c r="AZ761" s="335"/>
      <c r="BA761" s="335"/>
      <c r="BB761" s="335"/>
      <c r="BC761" s="335"/>
      <c r="BD761" s="335"/>
      <c r="BE761" s="335"/>
      <c r="BF761" s="335"/>
      <c r="BG761" s="335"/>
      <c r="BH761" s="335"/>
      <c r="BI761" s="335"/>
      <c r="BJ761" s="335"/>
      <c r="BK761" s="335"/>
      <c r="BL761" s="335"/>
      <c r="BM761" s="335"/>
      <c r="BN761" s="335"/>
      <c r="BO761" s="335"/>
      <c r="BP761" s="335"/>
      <c r="BQ761" s="335"/>
      <c r="BR761" s="335"/>
      <c r="BS761" s="335"/>
      <c r="BT761" s="335"/>
      <c r="BU761" s="335"/>
      <c r="BV761" s="335"/>
      <c r="BW761" s="335"/>
      <c r="BX761" s="335"/>
      <c r="BY761" s="335"/>
      <c r="BZ761" s="335"/>
      <c r="CA761" s="335"/>
      <c r="CB761" s="335"/>
      <c r="CC761" s="335"/>
      <c r="CD761" s="335"/>
      <c r="CE761" s="335"/>
      <c r="CF761" s="335"/>
      <c r="CG761" s="335"/>
      <c r="CH761" s="335"/>
      <c r="CI761" s="335"/>
      <c r="CJ761" s="335"/>
      <c r="CK761" s="335"/>
      <c r="CL761" s="335"/>
      <c r="CM761" s="335"/>
      <c r="CN761" s="335"/>
      <c r="CO761" s="335"/>
      <c r="CP761" s="335"/>
      <c r="CQ761" s="335"/>
      <c r="CR761" s="335"/>
      <c r="CS761" s="335"/>
      <c r="CT761" s="335"/>
      <c r="CU761" s="335"/>
      <c r="CV761" s="335"/>
      <c r="CW761" s="335"/>
      <c r="CX761" s="335"/>
      <c r="CY761" s="335"/>
      <c r="CZ761" s="335"/>
      <c r="DA761" s="335"/>
      <c r="DB761" s="335"/>
      <c r="DC761" s="335"/>
      <c r="DD761" s="335"/>
      <c r="DE761" s="335"/>
      <c r="DF761" s="335"/>
      <c r="DG761" s="335"/>
      <c r="DH761" s="335"/>
      <c r="DI761" s="335"/>
      <c r="DJ761" s="335"/>
      <c r="DK761" s="335"/>
      <c r="DL761" s="335"/>
      <c r="DM761" s="335"/>
      <c r="DN761" s="335"/>
      <c r="DO761" s="335"/>
      <c r="DP761" s="335"/>
      <c r="DQ761" s="335"/>
      <c r="DR761" s="335"/>
      <c r="DS761" s="335"/>
      <c r="DT761" s="335"/>
      <c r="DU761" s="335"/>
      <c r="DV761" s="335"/>
      <c r="DW761" s="335"/>
      <c r="DX761" s="335"/>
      <c r="DY761" s="335"/>
      <c r="DZ761" s="335"/>
      <c r="EA761" s="335"/>
      <c r="EB761" s="335"/>
      <c r="EC761" s="335"/>
      <c r="ED761" s="335"/>
      <c r="EE761" s="335"/>
      <c r="EF761" s="335"/>
      <c r="EG761" s="335"/>
      <c r="EH761" s="335"/>
      <c r="EI761" s="335"/>
      <c r="EJ761" s="335"/>
      <c r="EK761" s="335"/>
      <c r="EL761" s="335"/>
      <c r="EM761" s="335"/>
      <c r="EN761" s="335"/>
      <c r="EO761" s="335"/>
      <c r="EP761" s="335"/>
      <c r="EQ761" s="335"/>
      <c r="ER761" s="335"/>
      <c r="ES761" s="335"/>
      <c r="ET761" s="335"/>
      <c r="EU761" s="335"/>
      <c r="EV761" s="335"/>
      <c r="EW761" s="335"/>
      <c r="EX761" s="335"/>
      <c r="EY761" s="335"/>
      <c r="EZ761" s="335"/>
      <c r="FA761" s="335"/>
      <c r="FB761" s="335"/>
      <c r="FC761" s="335"/>
      <c r="FD761" s="335"/>
      <c r="FE761" s="335"/>
      <c r="FF761" s="335"/>
      <c r="FG761" s="335"/>
      <c r="FH761" s="335"/>
      <c r="FI761" s="335"/>
      <c r="FJ761" s="335"/>
      <c r="FK761" s="335"/>
      <c r="FL761" s="335"/>
      <c r="FM761" s="335"/>
      <c r="FN761" s="335"/>
      <c r="FO761" s="335"/>
      <c r="FP761" s="335"/>
      <c r="FQ761" s="335"/>
      <c r="FR761" s="335"/>
      <c r="FS761" s="335"/>
      <c r="FT761" s="335"/>
      <c r="FU761" s="335"/>
      <c r="FV761" s="335"/>
      <c r="FW761" s="335"/>
      <c r="FX761" s="335"/>
      <c r="FY761" s="335"/>
      <c r="FZ761" s="335"/>
      <c r="GA761" s="335"/>
      <c r="GB761" s="335"/>
      <c r="GC761" s="335"/>
      <c r="GD761" s="335"/>
      <c r="GE761" s="335"/>
      <c r="GF761" s="335"/>
      <c r="GG761" s="335"/>
      <c r="GH761" s="335"/>
      <c r="GI761" s="335"/>
      <c r="GJ761" s="335"/>
      <c r="GK761" s="335"/>
      <c r="GL761" s="335"/>
      <c r="GM761" s="335"/>
      <c r="GN761" s="335"/>
      <c r="GO761" s="335"/>
      <c r="GP761" s="335"/>
      <c r="GQ761" s="335"/>
      <c r="GR761" s="335"/>
      <c r="GS761" s="335"/>
      <c r="GT761" s="335"/>
      <c r="GU761" s="335"/>
      <c r="GV761" s="335"/>
      <c r="GW761" s="335"/>
      <c r="GX761" s="335"/>
      <c r="GY761" s="335"/>
      <c r="GZ761" s="335"/>
    </row>
    <row r="762" spans="1:208" ht="15">
      <c r="A762" s="379"/>
      <c r="B762" s="335"/>
      <c r="C762" s="335"/>
      <c r="D762" s="335"/>
      <c r="E762" s="335"/>
      <c r="F762" s="335"/>
      <c r="G762" s="335"/>
      <c r="H762" s="335"/>
      <c r="I762" s="335"/>
      <c r="J762" s="335"/>
      <c r="K762" s="335"/>
      <c r="L762" s="335"/>
      <c r="M762" s="376"/>
      <c r="N762" s="335"/>
      <c r="O762" s="380"/>
      <c r="P762" s="335"/>
      <c r="Q762" s="335"/>
      <c r="R762" s="335"/>
      <c r="S762" s="335"/>
      <c r="T762" s="335"/>
      <c r="U762" s="335"/>
      <c r="V762" s="335"/>
      <c r="W762" s="335"/>
      <c r="X762" s="335"/>
      <c r="Y762" s="335"/>
      <c r="Z762" s="335"/>
      <c r="AA762" s="335"/>
      <c r="AB762" s="335"/>
      <c r="AC762" s="335"/>
      <c r="AD762" s="335"/>
      <c r="AE762" s="335"/>
      <c r="AF762" s="335"/>
      <c r="AG762" s="335"/>
      <c r="AH762" s="335"/>
      <c r="AI762" s="335"/>
      <c r="AJ762" s="335"/>
      <c r="AK762" s="335"/>
      <c r="AL762" s="335"/>
      <c r="AM762" s="335"/>
      <c r="AN762" s="335"/>
      <c r="AO762" s="335"/>
      <c r="AP762" s="335"/>
      <c r="AQ762" s="335"/>
      <c r="AR762" s="335"/>
      <c r="AS762" s="335"/>
      <c r="AT762" s="335"/>
      <c r="AU762" s="335"/>
      <c r="AV762" s="335"/>
      <c r="AW762" s="335"/>
      <c r="AX762" s="335"/>
      <c r="AY762" s="335"/>
      <c r="AZ762" s="335"/>
      <c r="BA762" s="335"/>
      <c r="BB762" s="335"/>
      <c r="BC762" s="335"/>
      <c r="BD762" s="335"/>
      <c r="BE762" s="335"/>
      <c r="BF762" s="335"/>
      <c r="BG762" s="335"/>
      <c r="BH762" s="335"/>
      <c r="BI762" s="335"/>
      <c r="BJ762" s="335"/>
      <c r="BK762" s="335"/>
      <c r="BL762" s="335"/>
      <c r="BM762" s="335"/>
      <c r="BN762" s="335"/>
      <c r="BO762" s="335"/>
      <c r="BP762" s="335"/>
      <c r="BQ762" s="335"/>
      <c r="BR762" s="335"/>
      <c r="BS762" s="335"/>
      <c r="BT762" s="335"/>
      <c r="BU762" s="335"/>
      <c r="BV762" s="335"/>
      <c r="BW762" s="335"/>
      <c r="BX762" s="335"/>
      <c r="BY762" s="335"/>
      <c r="BZ762" s="335"/>
      <c r="CA762" s="335"/>
      <c r="CB762" s="335"/>
      <c r="CC762" s="335"/>
      <c r="CD762" s="335"/>
      <c r="CE762" s="335"/>
      <c r="CF762" s="335"/>
      <c r="CG762" s="335"/>
      <c r="CH762" s="335"/>
      <c r="CI762" s="335"/>
      <c r="CJ762" s="335"/>
      <c r="CK762" s="335"/>
      <c r="CL762" s="335"/>
      <c r="CM762" s="335"/>
      <c r="CN762" s="335"/>
      <c r="CO762" s="335"/>
      <c r="CP762" s="335"/>
      <c r="CQ762" s="335"/>
      <c r="CR762" s="335"/>
      <c r="CS762" s="335"/>
      <c r="CT762" s="335"/>
      <c r="CU762" s="335"/>
      <c r="CV762" s="335"/>
      <c r="CW762" s="335"/>
      <c r="CX762" s="335"/>
      <c r="CY762" s="335"/>
      <c r="CZ762" s="335"/>
      <c r="DA762" s="335"/>
      <c r="DB762" s="335"/>
      <c r="DC762" s="335"/>
      <c r="DD762" s="335"/>
      <c r="DE762" s="335"/>
      <c r="DF762" s="335"/>
      <c r="DG762" s="335"/>
      <c r="DH762" s="335"/>
      <c r="DI762" s="335"/>
      <c r="DJ762" s="335"/>
      <c r="DK762" s="335"/>
      <c r="DL762" s="335"/>
      <c r="DM762" s="335"/>
      <c r="DN762" s="335"/>
      <c r="DO762" s="335"/>
      <c r="DP762" s="335"/>
      <c r="DQ762" s="335"/>
      <c r="DR762" s="335"/>
      <c r="DS762" s="335"/>
      <c r="DT762" s="335"/>
      <c r="DU762" s="335"/>
      <c r="DV762" s="335"/>
      <c r="DW762" s="335"/>
      <c r="DX762" s="335"/>
      <c r="DY762" s="335"/>
      <c r="DZ762" s="335"/>
      <c r="EA762" s="335"/>
      <c r="EB762" s="335"/>
      <c r="EC762" s="335"/>
      <c r="ED762" s="335"/>
      <c r="EE762" s="335"/>
      <c r="EF762" s="335"/>
      <c r="EG762" s="335"/>
      <c r="EH762" s="335"/>
      <c r="EI762" s="335"/>
      <c r="EJ762" s="335"/>
      <c r="EK762" s="335"/>
      <c r="EL762" s="335"/>
      <c r="EM762" s="335"/>
      <c r="EN762" s="335"/>
      <c r="EO762" s="335"/>
      <c r="EP762" s="335"/>
      <c r="EQ762" s="335"/>
      <c r="ER762" s="335"/>
      <c r="ES762" s="335"/>
      <c r="ET762" s="335"/>
      <c r="EU762" s="335"/>
      <c r="EV762" s="335"/>
      <c r="EW762" s="335"/>
      <c r="EX762" s="335"/>
      <c r="EY762" s="335"/>
      <c r="EZ762" s="335"/>
      <c r="FA762" s="335"/>
      <c r="FB762" s="335"/>
      <c r="FC762" s="335"/>
      <c r="FD762" s="335"/>
      <c r="FE762" s="335"/>
      <c r="FF762" s="335"/>
      <c r="FG762" s="335"/>
      <c r="FH762" s="335"/>
      <c r="FI762" s="335"/>
      <c r="FJ762" s="335"/>
      <c r="FK762" s="335"/>
      <c r="FL762" s="335"/>
      <c r="FM762" s="335"/>
      <c r="FN762" s="335"/>
      <c r="FO762" s="335"/>
      <c r="FP762" s="335"/>
      <c r="FQ762" s="335"/>
      <c r="FR762" s="335"/>
      <c r="FS762" s="335"/>
      <c r="FT762" s="335"/>
      <c r="FU762" s="335"/>
      <c r="FV762" s="335"/>
      <c r="FW762" s="335"/>
      <c r="FX762" s="335"/>
      <c r="FY762" s="335"/>
      <c r="FZ762" s="335"/>
      <c r="GA762" s="335"/>
      <c r="GB762" s="335"/>
      <c r="GC762" s="335"/>
      <c r="GD762" s="335"/>
      <c r="GE762" s="335"/>
      <c r="GF762" s="335"/>
      <c r="GG762" s="335"/>
      <c r="GH762" s="335"/>
      <c r="GI762" s="335"/>
      <c r="GJ762" s="335"/>
      <c r="GK762" s="335"/>
      <c r="GL762" s="335"/>
      <c r="GM762" s="335"/>
      <c r="GN762" s="335"/>
      <c r="GO762" s="335"/>
      <c r="GP762" s="335"/>
      <c r="GQ762" s="335"/>
      <c r="GR762" s="335"/>
      <c r="GS762" s="335"/>
      <c r="GT762" s="335"/>
      <c r="GU762" s="335"/>
      <c r="GV762" s="335"/>
      <c r="GW762" s="335"/>
      <c r="GX762" s="335"/>
      <c r="GY762" s="335"/>
      <c r="GZ762" s="335"/>
    </row>
    <row r="763" spans="1:208" ht="15">
      <c r="A763" s="379"/>
      <c r="B763" s="335"/>
      <c r="C763" s="335"/>
      <c r="D763" s="335"/>
      <c r="E763" s="335"/>
      <c r="F763" s="335"/>
      <c r="G763" s="335"/>
      <c r="H763" s="335"/>
      <c r="I763" s="335"/>
      <c r="J763" s="335"/>
      <c r="K763" s="335"/>
      <c r="L763" s="335"/>
      <c r="M763" s="376"/>
      <c r="N763" s="335"/>
      <c r="O763" s="380"/>
      <c r="P763" s="335"/>
      <c r="Q763" s="335"/>
      <c r="R763" s="335"/>
      <c r="S763" s="335"/>
      <c r="T763" s="335"/>
      <c r="U763" s="335"/>
      <c r="V763" s="335"/>
      <c r="W763" s="335"/>
      <c r="X763" s="335"/>
      <c r="Y763" s="335"/>
      <c r="Z763" s="335"/>
      <c r="AA763" s="335"/>
      <c r="AB763" s="335"/>
      <c r="AC763" s="335"/>
      <c r="AD763" s="335"/>
      <c r="AE763" s="335"/>
      <c r="AF763" s="335"/>
      <c r="AG763" s="335"/>
      <c r="AH763" s="335"/>
      <c r="AI763" s="335"/>
      <c r="AJ763" s="335"/>
      <c r="AK763" s="335"/>
      <c r="AL763" s="335"/>
      <c r="AM763" s="335"/>
      <c r="AN763" s="335"/>
      <c r="AO763" s="335"/>
      <c r="AP763" s="335"/>
      <c r="AQ763" s="335"/>
      <c r="AR763" s="335"/>
      <c r="AS763" s="335"/>
      <c r="AT763" s="335"/>
      <c r="AU763" s="335"/>
      <c r="AV763" s="335"/>
      <c r="AW763" s="335"/>
      <c r="AX763" s="335"/>
      <c r="AY763" s="335"/>
      <c r="AZ763" s="335"/>
      <c r="BA763" s="335"/>
      <c r="BB763" s="335"/>
      <c r="BC763" s="335"/>
      <c r="BD763" s="335"/>
      <c r="BE763" s="335"/>
      <c r="BF763" s="335"/>
      <c r="BG763" s="335"/>
      <c r="BH763" s="335"/>
      <c r="BI763" s="335"/>
      <c r="BJ763" s="335"/>
      <c r="BK763" s="335"/>
      <c r="BL763" s="335"/>
      <c r="BM763" s="335"/>
      <c r="BN763" s="335"/>
      <c r="BO763" s="335"/>
      <c r="BP763" s="335"/>
      <c r="BQ763" s="335"/>
      <c r="BR763" s="335"/>
      <c r="BS763" s="335"/>
      <c r="BT763" s="335"/>
      <c r="BU763" s="335"/>
      <c r="BV763" s="335"/>
      <c r="BW763" s="335"/>
      <c r="BX763" s="335"/>
      <c r="BY763" s="335"/>
      <c r="BZ763" s="335"/>
      <c r="CA763" s="335"/>
      <c r="CB763" s="335"/>
      <c r="CC763" s="335"/>
      <c r="CD763" s="335"/>
      <c r="CE763" s="335"/>
      <c r="CF763" s="335"/>
      <c r="CG763" s="335"/>
      <c r="CH763" s="335"/>
      <c r="CI763" s="335"/>
      <c r="CJ763" s="335"/>
      <c r="CK763" s="335"/>
      <c r="CL763" s="335"/>
      <c r="CM763" s="335"/>
      <c r="CN763" s="335"/>
      <c r="CO763" s="335"/>
      <c r="CP763" s="335"/>
      <c r="CQ763" s="335"/>
      <c r="CR763" s="335"/>
      <c r="CS763" s="335"/>
      <c r="CT763" s="335"/>
      <c r="CU763" s="335"/>
      <c r="CV763" s="335"/>
      <c r="CW763" s="335"/>
      <c r="CX763" s="335"/>
      <c r="CY763" s="335"/>
      <c r="CZ763" s="335"/>
      <c r="DA763" s="335"/>
      <c r="DB763" s="335"/>
      <c r="DC763" s="335"/>
      <c r="DD763" s="335"/>
      <c r="DE763" s="335"/>
      <c r="DF763" s="335"/>
      <c r="DG763" s="335"/>
      <c r="DH763" s="335"/>
      <c r="DI763" s="335"/>
      <c r="DJ763" s="335"/>
      <c r="DK763" s="335"/>
      <c r="DL763" s="335"/>
      <c r="DM763" s="335"/>
      <c r="DN763" s="335"/>
      <c r="DO763" s="335"/>
      <c r="DP763" s="335"/>
      <c r="DQ763" s="335"/>
      <c r="DR763" s="335"/>
      <c r="DS763" s="335"/>
      <c r="DT763" s="335"/>
      <c r="DU763" s="335"/>
      <c r="DV763" s="335"/>
      <c r="DW763" s="335"/>
      <c r="DX763" s="335"/>
      <c r="DY763" s="335"/>
      <c r="DZ763" s="335"/>
      <c r="EA763" s="335"/>
      <c r="EB763" s="335"/>
      <c r="EC763" s="335"/>
      <c r="ED763" s="335"/>
      <c r="EE763" s="335"/>
      <c r="EF763" s="335"/>
      <c r="EG763" s="335"/>
      <c r="EH763" s="335"/>
      <c r="EI763" s="335"/>
      <c r="EJ763" s="335"/>
      <c r="EK763" s="335"/>
      <c r="EL763" s="335"/>
      <c r="EM763" s="335"/>
      <c r="EN763" s="335"/>
      <c r="EO763" s="335"/>
      <c r="EP763" s="335"/>
      <c r="EQ763" s="335"/>
      <c r="ER763" s="335"/>
      <c r="ES763" s="335"/>
      <c r="ET763" s="335"/>
      <c r="EU763" s="335"/>
      <c r="EV763" s="335"/>
      <c r="EW763" s="335"/>
      <c r="EX763" s="335"/>
      <c r="EY763" s="335"/>
      <c r="EZ763" s="335"/>
      <c r="FA763" s="335"/>
      <c r="FB763" s="335"/>
      <c r="FC763" s="335"/>
      <c r="FD763" s="335"/>
      <c r="FE763" s="335"/>
      <c r="FF763" s="335"/>
      <c r="FG763" s="335"/>
      <c r="FH763" s="335"/>
      <c r="FI763" s="335"/>
      <c r="FJ763" s="335"/>
      <c r="FK763" s="335"/>
      <c r="FL763" s="335"/>
      <c r="FM763" s="335"/>
      <c r="FN763" s="335"/>
      <c r="FO763" s="335"/>
      <c r="FP763" s="335"/>
      <c r="FQ763" s="335"/>
      <c r="FR763" s="335"/>
      <c r="FS763" s="335"/>
      <c r="FT763" s="335"/>
      <c r="FU763" s="335"/>
      <c r="FV763" s="335"/>
      <c r="FW763" s="335"/>
      <c r="FX763" s="335"/>
      <c r="FY763" s="335"/>
      <c r="FZ763" s="335"/>
      <c r="GA763" s="335"/>
      <c r="GB763" s="335"/>
      <c r="GC763" s="335"/>
      <c r="GD763" s="335"/>
      <c r="GE763" s="335"/>
      <c r="GF763" s="335"/>
      <c r="GG763" s="335"/>
      <c r="GH763" s="335"/>
      <c r="GI763" s="335"/>
      <c r="GJ763" s="335"/>
      <c r="GK763" s="335"/>
      <c r="GL763" s="335"/>
      <c r="GM763" s="335"/>
      <c r="GN763" s="335"/>
      <c r="GO763" s="335"/>
      <c r="GP763" s="335"/>
      <c r="GQ763" s="335"/>
      <c r="GR763" s="335"/>
      <c r="GS763" s="335"/>
      <c r="GT763" s="335"/>
      <c r="GU763" s="335"/>
      <c r="GV763" s="335"/>
      <c r="GW763" s="335"/>
      <c r="GX763" s="335"/>
      <c r="GY763" s="335"/>
      <c r="GZ763" s="335"/>
    </row>
    <row r="764" spans="1:208" ht="15">
      <c r="A764" s="379"/>
      <c r="B764" s="335"/>
      <c r="C764" s="335"/>
      <c r="D764" s="335"/>
      <c r="E764" s="335"/>
      <c r="F764" s="335"/>
      <c r="G764" s="335"/>
      <c r="H764" s="335"/>
      <c r="I764" s="335"/>
      <c r="J764" s="335"/>
      <c r="K764" s="335"/>
      <c r="L764" s="335"/>
      <c r="M764" s="376"/>
      <c r="N764" s="335"/>
      <c r="O764" s="380"/>
      <c r="P764" s="335"/>
      <c r="Q764" s="335"/>
      <c r="R764" s="335"/>
      <c r="S764" s="335"/>
      <c r="T764" s="335"/>
      <c r="U764" s="335"/>
      <c r="V764" s="335"/>
      <c r="W764" s="335"/>
      <c r="X764" s="335"/>
      <c r="Y764" s="335"/>
      <c r="Z764" s="335"/>
      <c r="AA764" s="335"/>
      <c r="AB764" s="335"/>
      <c r="AC764" s="335"/>
      <c r="AD764" s="335"/>
      <c r="AE764" s="335"/>
      <c r="AF764" s="335"/>
      <c r="AG764" s="335"/>
      <c r="AH764" s="335"/>
      <c r="AI764" s="335"/>
      <c r="AJ764" s="335"/>
      <c r="AK764" s="335"/>
      <c r="AL764" s="335"/>
      <c r="AM764" s="335"/>
      <c r="AN764" s="335"/>
      <c r="AO764" s="335"/>
      <c r="AP764" s="335"/>
      <c r="AQ764" s="335"/>
      <c r="AR764" s="335"/>
      <c r="AS764" s="335"/>
      <c r="AT764" s="335"/>
      <c r="AU764" s="335"/>
      <c r="AV764" s="335"/>
      <c r="AW764" s="335"/>
      <c r="AX764" s="335"/>
      <c r="AY764" s="335"/>
      <c r="AZ764" s="335"/>
      <c r="BA764" s="335"/>
      <c r="BB764" s="335"/>
      <c r="BC764" s="335"/>
      <c r="BD764" s="335"/>
      <c r="BE764" s="335"/>
      <c r="BF764" s="335"/>
      <c r="BG764" s="335"/>
      <c r="BH764" s="335"/>
      <c r="BI764" s="335"/>
      <c r="BJ764" s="335"/>
      <c r="BK764" s="335"/>
      <c r="BL764" s="335"/>
      <c r="BM764" s="335"/>
      <c r="BN764" s="335"/>
      <c r="BO764" s="335"/>
      <c r="BP764" s="335"/>
      <c r="BQ764" s="335"/>
      <c r="BR764" s="335"/>
      <c r="BS764" s="335"/>
      <c r="BT764" s="335"/>
      <c r="BU764" s="335"/>
      <c r="BV764" s="335"/>
      <c r="BW764" s="335"/>
      <c r="BX764" s="335"/>
      <c r="BY764" s="335"/>
      <c r="BZ764" s="335"/>
      <c r="CA764" s="335"/>
      <c r="CB764" s="335"/>
      <c r="CC764" s="335"/>
      <c r="CD764" s="335"/>
      <c r="CE764" s="335"/>
      <c r="CF764" s="335"/>
      <c r="CG764" s="335"/>
      <c r="CH764" s="335"/>
      <c r="CI764" s="335"/>
      <c r="CJ764" s="335"/>
      <c r="CK764" s="335"/>
      <c r="CL764" s="335"/>
      <c r="CM764" s="335"/>
      <c r="CN764" s="335"/>
      <c r="CO764" s="335"/>
      <c r="CP764" s="335"/>
      <c r="CQ764" s="335"/>
      <c r="CR764" s="335"/>
      <c r="CS764" s="335"/>
      <c r="CT764" s="335"/>
      <c r="CU764" s="335"/>
      <c r="CV764" s="335"/>
      <c r="CW764" s="335"/>
      <c r="CX764" s="335"/>
      <c r="CY764" s="335"/>
      <c r="CZ764" s="335"/>
      <c r="DA764" s="335"/>
      <c r="DB764" s="335"/>
      <c r="DC764" s="335"/>
      <c r="DD764" s="335"/>
      <c r="DE764" s="335"/>
      <c r="DF764" s="335"/>
      <c r="DG764" s="335"/>
      <c r="DH764" s="335"/>
      <c r="DI764" s="335"/>
      <c r="DJ764" s="335"/>
      <c r="DK764" s="335"/>
      <c r="DL764" s="335"/>
      <c r="DM764" s="335"/>
      <c r="DN764" s="335"/>
      <c r="DO764" s="335"/>
      <c r="DP764" s="335"/>
      <c r="DQ764" s="335"/>
      <c r="DR764" s="335"/>
      <c r="DS764" s="335"/>
      <c r="DT764" s="335"/>
      <c r="DU764" s="335"/>
      <c r="DV764" s="335"/>
      <c r="DW764" s="335"/>
      <c r="DX764" s="335"/>
      <c r="DY764" s="335"/>
      <c r="DZ764" s="335"/>
      <c r="EA764" s="335"/>
      <c r="EB764" s="335"/>
      <c r="EC764" s="335"/>
      <c r="ED764" s="335"/>
      <c r="EE764" s="335"/>
      <c r="EF764" s="335"/>
      <c r="EG764" s="335"/>
      <c r="EH764" s="335"/>
      <c r="EI764" s="335"/>
      <c r="EJ764" s="335"/>
      <c r="EK764" s="335"/>
      <c r="EL764" s="335"/>
      <c r="EM764" s="335"/>
      <c r="EN764" s="335"/>
      <c r="EO764" s="335"/>
      <c r="EP764" s="335"/>
      <c r="EQ764" s="335"/>
      <c r="ER764" s="335"/>
      <c r="ES764" s="335"/>
      <c r="ET764" s="335"/>
      <c r="EU764" s="335"/>
      <c r="EV764" s="335"/>
      <c r="EW764" s="335"/>
      <c r="EX764" s="335"/>
      <c r="EY764" s="335"/>
      <c r="EZ764" s="335"/>
      <c r="FA764" s="335"/>
      <c r="FB764" s="335"/>
      <c r="FC764" s="335"/>
      <c r="FD764" s="335"/>
      <c r="FE764" s="335"/>
      <c r="FF764" s="335"/>
      <c r="FG764" s="335"/>
      <c r="FH764" s="335"/>
      <c r="FI764" s="335"/>
      <c r="FJ764" s="335"/>
      <c r="FK764" s="335"/>
      <c r="FL764" s="335"/>
      <c r="FM764" s="335"/>
      <c r="FN764" s="335"/>
      <c r="FO764" s="335"/>
      <c r="FP764" s="335"/>
      <c r="FQ764" s="335"/>
      <c r="FR764" s="335"/>
      <c r="FS764" s="335"/>
      <c r="FT764" s="335"/>
      <c r="FU764" s="335"/>
      <c r="FV764" s="335"/>
      <c r="FW764" s="335"/>
      <c r="FX764" s="335"/>
      <c r="FY764" s="335"/>
      <c r="FZ764" s="335"/>
      <c r="GA764" s="335"/>
      <c r="GB764" s="335"/>
      <c r="GC764" s="335"/>
      <c r="GD764" s="335"/>
      <c r="GE764" s="335"/>
      <c r="GF764" s="335"/>
      <c r="GG764" s="335"/>
      <c r="GH764" s="335"/>
      <c r="GI764" s="335"/>
      <c r="GJ764" s="335"/>
      <c r="GK764" s="335"/>
      <c r="GL764" s="335"/>
      <c r="GM764" s="335"/>
      <c r="GN764" s="335"/>
      <c r="GO764" s="335"/>
      <c r="GP764" s="335"/>
      <c r="GQ764" s="335"/>
      <c r="GR764" s="335"/>
      <c r="GS764" s="335"/>
      <c r="GT764" s="335"/>
      <c r="GU764" s="335"/>
      <c r="GV764" s="335"/>
      <c r="GW764" s="335"/>
      <c r="GX764" s="335"/>
      <c r="GY764" s="335"/>
      <c r="GZ764" s="335"/>
    </row>
    <row r="765" spans="1:208" ht="15">
      <c r="A765" s="379"/>
      <c r="B765" s="335"/>
      <c r="C765" s="335"/>
      <c r="D765" s="335"/>
      <c r="E765" s="335"/>
      <c r="F765" s="335"/>
      <c r="G765" s="335"/>
      <c r="H765" s="335"/>
      <c r="I765" s="335"/>
      <c r="J765" s="335"/>
      <c r="K765" s="335"/>
      <c r="L765" s="335"/>
      <c r="M765" s="376"/>
      <c r="N765" s="335"/>
      <c r="O765" s="380"/>
      <c r="P765" s="335"/>
      <c r="Q765" s="335"/>
      <c r="R765" s="335"/>
      <c r="S765" s="335"/>
      <c r="T765" s="335"/>
      <c r="U765" s="335"/>
      <c r="V765" s="335"/>
      <c r="W765" s="335"/>
      <c r="X765" s="335"/>
      <c r="Y765" s="335"/>
      <c r="Z765" s="335"/>
      <c r="AA765" s="335"/>
      <c r="AB765" s="335"/>
      <c r="AC765" s="335"/>
      <c r="AD765" s="335"/>
      <c r="AE765" s="335"/>
      <c r="AF765" s="335"/>
      <c r="AG765" s="335"/>
      <c r="AH765" s="335"/>
      <c r="AI765" s="335"/>
      <c r="AJ765" s="335"/>
      <c r="AK765" s="335"/>
      <c r="AL765" s="335"/>
      <c r="AM765" s="335"/>
      <c r="AN765" s="335"/>
      <c r="AO765" s="335"/>
      <c r="AP765" s="335"/>
      <c r="AQ765" s="335"/>
      <c r="AR765" s="335"/>
      <c r="AS765" s="335"/>
      <c r="AT765" s="335"/>
      <c r="AU765" s="335"/>
      <c r="AV765" s="335"/>
      <c r="AW765" s="335"/>
      <c r="AX765" s="335"/>
      <c r="AY765" s="335"/>
      <c r="AZ765" s="335"/>
      <c r="BA765" s="335"/>
      <c r="BB765" s="335"/>
      <c r="BC765" s="335"/>
      <c r="BD765" s="335"/>
      <c r="BE765" s="335"/>
      <c r="BF765" s="335"/>
      <c r="BG765" s="335"/>
      <c r="BH765" s="335"/>
      <c r="BI765" s="335"/>
      <c r="BJ765" s="335"/>
      <c r="BK765" s="335"/>
      <c r="BL765" s="335"/>
      <c r="BM765" s="335"/>
      <c r="BN765" s="335"/>
      <c r="BO765" s="335"/>
      <c r="BP765" s="335"/>
      <c r="BQ765" s="335"/>
      <c r="BR765" s="335"/>
      <c r="BS765" s="335"/>
      <c r="BT765" s="335"/>
      <c r="BU765" s="335"/>
      <c r="BV765" s="335"/>
      <c r="BW765" s="335"/>
      <c r="BX765" s="335"/>
      <c r="BY765" s="335"/>
      <c r="BZ765" s="335"/>
      <c r="CA765" s="335"/>
      <c r="CB765" s="335"/>
      <c r="CC765" s="335"/>
      <c r="CD765" s="335"/>
      <c r="CE765" s="335"/>
      <c r="CF765" s="335"/>
      <c r="CG765" s="335"/>
      <c r="CH765" s="335"/>
      <c r="CI765" s="335"/>
      <c r="CJ765" s="335"/>
      <c r="CK765" s="335"/>
      <c r="CL765" s="335"/>
      <c r="CM765" s="335"/>
      <c r="CN765" s="335"/>
      <c r="CO765" s="335"/>
      <c r="CP765" s="335"/>
      <c r="CQ765" s="335"/>
      <c r="CR765" s="335"/>
      <c r="CS765" s="335"/>
      <c r="CT765" s="335"/>
      <c r="CU765" s="335"/>
      <c r="CV765" s="335"/>
      <c r="CW765" s="335"/>
      <c r="CX765" s="335"/>
      <c r="CY765" s="335"/>
      <c r="CZ765" s="335"/>
      <c r="DA765" s="335"/>
      <c r="DB765" s="335"/>
      <c r="DC765" s="335"/>
      <c r="DD765" s="335"/>
      <c r="DE765" s="335"/>
      <c r="DF765" s="335"/>
      <c r="DG765" s="335"/>
      <c r="DH765" s="335"/>
      <c r="DI765" s="335"/>
      <c r="DJ765" s="335"/>
      <c r="DK765" s="335"/>
      <c r="DL765" s="335"/>
      <c r="DM765" s="335"/>
      <c r="DN765" s="335"/>
      <c r="DO765" s="335"/>
      <c r="DP765" s="335"/>
      <c r="DQ765" s="335"/>
      <c r="DR765" s="335"/>
      <c r="DS765" s="335"/>
      <c r="DT765" s="335"/>
      <c r="DU765" s="335"/>
      <c r="DV765" s="335"/>
      <c r="DW765" s="335"/>
      <c r="DX765" s="335"/>
      <c r="DY765" s="335"/>
      <c r="DZ765" s="335"/>
      <c r="EA765" s="335"/>
      <c r="EB765" s="335"/>
      <c r="EC765" s="335"/>
      <c r="ED765" s="335"/>
      <c r="EE765" s="335"/>
      <c r="EF765" s="335"/>
      <c r="EG765" s="335"/>
      <c r="EH765" s="335"/>
      <c r="EI765" s="335"/>
      <c r="EJ765" s="335"/>
      <c r="EK765" s="335"/>
      <c r="EL765" s="335"/>
      <c r="EM765" s="335"/>
      <c r="EN765" s="335"/>
      <c r="EO765" s="335"/>
      <c r="EP765" s="335"/>
      <c r="EQ765" s="335"/>
      <c r="ER765" s="335"/>
      <c r="ES765" s="335"/>
      <c r="ET765" s="335"/>
      <c r="EU765" s="335"/>
      <c r="EV765" s="335"/>
      <c r="EW765" s="335"/>
      <c r="EX765" s="335"/>
      <c r="EY765" s="335"/>
      <c r="EZ765" s="335"/>
      <c r="FA765" s="335"/>
      <c r="FB765" s="335"/>
      <c r="FC765" s="335"/>
      <c r="FD765" s="335"/>
      <c r="FE765" s="335"/>
      <c r="FF765" s="335"/>
      <c r="FG765" s="335"/>
      <c r="FH765" s="335"/>
      <c r="FI765" s="335"/>
      <c r="FJ765" s="335"/>
      <c r="FK765" s="335"/>
      <c r="FL765" s="335"/>
      <c r="FM765" s="335"/>
      <c r="FN765" s="335"/>
      <c r="FO765" s="335"/>
      <c r="FP765" s="335"/>
      <c r="FQ765" s="335"/>
      <c r="FR765" s="335"/>
      <c r="FS765" s="335"/>
      <c r="FT765" s="335"/>
      <c r="FU765" s="335"/>
      <c r="FV765" s="335"/>
      <c r="FW765" s="335"/>
      <c r="FX765" s="335"/>
      <c r="FY765" s="335"/>
      <c r="FZ765" s="335"/>
      <c r="GA765" s="335"/>
      <c r="GB765" s="335"/>
      <c r="GC765" s="335"/>
      <c r="GD765" s="335"/>
      <c r="GE765" s="335"/>
      <c r="GF765" s="335"/>
      <c r="GG765" s="335"/>
      <c r="GH765" s="335"/>
      <c r="GI765" s="335"/>
      <c r="GJ765" s="335"/>
      <c r="GK765" s="335"/>
      <c r="GL765" s="335"/>
      <c r="GM765" s="335"/>
      <c r="GN765" s="335"/>
      <c r="GO765" s="335"/>
      <c r="GP765" s="335"/>
      <c r="GQ765" s="335"/>
      <c r="GR765" s="335"/>
      <c r="GS765" s="335"/>
      <c r="GT765" s="335"/>
      <c r="GU765" s="335"/>
      <c r="GV765" s="335"/>
      <c r="GW765" s="335"/>
      <c r="GX765" s="335"/>
      <c r="GY765" s="335"/>
      <c r="GZ765" s="335"/>
    </row>
    <row r="766" spans="1:208" ht="15">
      <c r="A766" s="379"/>
      <c r="B766" s="335"/>
      <c r="C766" s="335"/>
      <c r="D766" s="335"/>
      <c r="E766" s="335"/>
      <c r="F766" s="335"/>
      <c r="G766" s="335"/>
      <c r="H766" s="335"/>
      <c r="I766" s="335"/>
      <c r="J766" s="335"/>
      <c r="K766" s="335"/>
      <c r="L766" s="335"/>
      <c r="M766" s="376"/>
      <c r="N766" s="335"/>
      <c r="O766" s="380"/>
      <c r="P766" s="335"/>
      <c r="Q766" s="335"/>
      <c r="R766" s="335"/>
      <c r="S766" s="335"/>
      <c r="T766" s="335"/>
      <c r="U766" s="335"/>
      <c r="V766" s="335"/>
      <c r="W766" s="335"/>
      <c r="X766" s="335"/>
      <c r="Y766" s="335"/>
      <c r="Z766" s="335"/>
      <c r="AA766" s="335"/>
      <c r="AB766" s="335"/>
      <c r="AC766" s="335"/>
      <c r="AD766" s="335"/>
      <c r="AE766" s="335"/>
      <c r="AF766" s="335"/>
      <c r="AG766" s="335"/>
      <c r="AH766" s="335"/>
      <c r="AI766" s="335"/>
      <c r="AJ766" s="335"/>
      <c r="AK766" s="335"/>
      <c r="AL766" s="335"/>
      <c r="AM766" s="335"/>
      <c r="AN766" s="335"/>
      <c r="AO766" s="335"/>
      <c r="AP766" s="335"/>
      <c r="AQ766" s="335"/>
      <c r="AR766" s="335"/>
      <c r="AS766" s="335"/>
      <c r="AT766" s="335"/>
      <c r="AU766" s="335"/>
      <c r="AV766" s="335"/>
      <c r="AW766" s="335"/>
      <c r="AX766" s="335"/>
      <c r="AY766" s="335"/>
      <c r="AZ766" s="335"/>
      <c r="BA766" s="335"/>
      <c r="BB766" s="335"/>
      <c r="BC766" s="335"/>
      <c r="BD766" s="335"/>
      <c r="BE766" s="335"/>
      <c r="BF766" s="335"/>
      <c r="BG766" s="335"/>
      <c r="BH766" s="335"/>
      <c r="BI766" s="335"/>
      <c r="BJ766" s="335"/>
      <c r="BK766" s="335"/>
      <c r="BL766" s="335"/>
      <c r="BM766" s="335"/>
      <c r="BN766" s="335"/>
      <c r="BO766" s="335"/>
      <c r="BP766" s="335"/>
      <c r="BQ766" s="335"/>
      <c r="BR766" s="335"/>
      <c r="BS766" s="335"/>
      <c r="BT766" s="335"/>
      <c r="BU766" s="335"/>
      <c r="BV766" s="335"/>
      <c r="BW766" s="335"/>
      <c r="BX766" s="335"/>
      <c r="BY766" s="335"/>
      <c r="BZ766" s="335"/>
      <c r="CA766" s="335"/>
      <c r="CB766" s="335"/>
      <c r="CC766" s="335"/>
      <c r="CD766" s="335"/>
      <c r="CE766" s="335"/>
      <c r="CF766" s="335"/>
      <c r="CG766" s="335"/>
      <c r="CH766" s="335"/>
      <c r="CI766" s="335"/>
      <c r="CJ766" s="335"/>
      <c r="CK766" s="335"/>
      <c r="CL766" s="335"/>
      <c r="CM766" s="335"/>
      <c r="CN766" s="335"/>
      <c r="CO766" s="335"/>
      <c r="CP766" s="335"/>
      <c r="CQ766" s="335"/>
      <c r="CR766" s="335"/>
      <c r="CS766" s="335"/>
      <c r="CT766" s="335"/>
      <c r="CU766" s="335"/>
      <c r="CV766" s="335"/>
      <c r="CW766" s="335"/>
      <c r="CX766" s="335"/>
      <c r="CY766" s="335"/>
      <c r="CZ766" s="335"/>
      <c r="DA766" s="335"/>
      <c r="DB766" s="335"/>
      <c r="DC766" s="335"/>
      <c r="DD766" s="335"/>
      <c r="DE766" s="335"/>
      <c r="DF766" s="335"/>
      <c r="DG766" s="335"/>
      <c r="DH766" s="335"/>
      <c r="DI766" s="335"/>
      <c r="DJ766" s="335"/>
      <c r="DK766" s="335"/>
      <c r="DL766" s="335"/>
      <c r="DM766" s="335"/>
      <c r="DN766" s="335"/>
      <c r="DO766" s="335"/>
      <c r="DP766" s="335"/>
      <c r="DQ766" s="335"/>
      <c r="DR766" s="335"/>
      <c r="DS766" s="335"/>
      <c r="DT766" s="335"/>
      <c r="DU766" s="335"/>
      <c r="DV766" s="335"/>
      <c r="DW766" s="335"/>
      <c r="DX766" s="335"/>
      <c r="DY766" s="335"/>
      <c r="DZ766" s="335"/>
      <c r="EA766" s="335"/>
      <c r="EB766" s="335"/>
      <c r="EC766" s="335"/>
      <c r="ED766" s="335"/>
      <c r="EE766" s="335"/>
      <c r="EF766" s="335"/>
      <c r="EG766" s="335"/>
      <c r="EH766" s="335"/>
      <c r="EI766" s="335"/>
      <c r="EJ766" s="335"/>
      <c r="EK766" s="335"/>
      <c r="EL766" s="335"/>
      <c r="EM766" s="335"/>
      <c r="EN766" s="335"/>
      <c r="EO766" s="335"/>
      <c r="EP766" s="335"/>
      <c r="EQ766" s="335"/>
      <c r="ER766" s="335"/>
      <c r="ES766" s="335"/>
      <c r="ET766" s="335"/>
      <c r="EU766" s="335"/>
      <c r="EV766" s="335"/>
      <c r="EW766" s="335"/>
      <c r="EX766" s="335"/>
      <c r="EY766" s="335"/>
      <c r="EZ766" s="335"/>
      <c r="FA766" s="335"/>
      <c r="FB766" s="335"/>
      <c r="FC766" s="335"/>
      <c r="FD766" s="335"/>
      <c r="FE766" s="335"/>
      <c r="FF766" s="335"/>
      <c r="FG766" s="335"/>
      <c r="FH766" s="335"/>
      <c r="FI766" s="335"/>
      <c r="FJ766" s="335"/>
      <c r="FK766" s="335"/>
      <c r="FL766" s="335"/>
      <c r="FM766" s="335"/>
      <c r="FN766" s="335"/>
      <c r="FO766" s="335"/>
      <c r="FP766" s="335"/>
      <c r="FQ766" s="335"/>
      <c r="FR766" s="335"/>
      <c r="FS766" s="335"/>
      <c r="FT766" s="335"/>
      <c r="FU766" s="335"/>
      <c r="FV766" s="335"/>
      <c r="FW766" s="335"/>
      <c r="FX766" s="335"/>
      <c r="FY766" s="335"/>
      <c r="FZ766" s="335"/>
      <c r="GA766" s="335"/>
      <c r="GB766" s="335"/>
      <c r="GC766" s="335"/>
      <c r="GD766" s="335"/>
      <c r="GE766" s="335"/>
      <c r="GF766" s="335"/>
      <c r="GG766" s="335"/>
      <c r="GH766" s="335"/>
      <c r="GI766" s="335"/>
      <c r="GJ766" s="335"/>
      <c r="GK766" s="335"/>
      <c r="GL766" s="335"/>
      <c r="GM766" s="335"/>
      <c r="GN766" s="335"/>
      <c r="GO766" s="335"/>
      <c r="GP766" s="335"/>
      <c r="GQ766" s="335"/>
      <c r="GR766" s="335"/>
      <c r="GS766" s="335"/>
      <c r="GT766" s="335"/>
      <c r="GU766" s="335"/>
      <c r="GV766" s="335"/>
      <c r="GW766" s="335"/>
      <c r="GX766" s="335"/>
      <c r="GY766" s="335"/>
      <c r="GZ766" s="335"/>
    </row>
    <row r="767" spans="1:208" ht="15">
      <c r="A767" s="379"/>
      <c r="B767" s="335"/>
      <c r="C767" s="335"/>
      <c r="D767" s="335"/>
      <c r="E767" s="335"/>
      <c r="F767" s="335"/>
      <c r="G767" s="335"/>
      <c r="H767" s="335"/>
      <c r="I767" s="335"/>
      <c r="J767" s="335"/>
      <c r="K767" s="335"/>
      <c r="L767" s="335"/>
      <c r="M767" s="376"/>
      <c r="N767" s="335"/>
      <c r="O767" s="380"/>
      <c r="P767" s="335"/>
      <c r="Q767" s="335"/>
      <c r="R767" s="335"/>
      <c r="S767" s="335"/>
      <c r="T767" s="335"/>
      <c r="U767" s="335"/>
      <c r="V767" s="335"/>
      <c r="W767" s="335"/>
      <c r="X767" s="335"/>
      <c r="Y767" s="335"/>
      <c r="Z767" s="335"/>
      <c r="AA767" s="335"/>
      <c r="AB767" s="335"/>
      <c r="AC767" s="335"/>
      <c r="AD767" s="335"/>
      <c r="AE767" s="335"/>
      <c r="AF767" s="335"/>
      <c r="AG767" s="335"/>
      <c r="AH767" s="335"/>
      <c r="AI767" s="335"/>
      <c r="AJ767" s="335"/>
      <c r="AK767" s="335"/>
      <c r="AL767" s="335"/>
      <c r="AM767" s="335"/>
      <c r="AN767" s="335"/>
      <c r="AO767" s="335"/>
      <c r="AP767" s="335"/>
      <c r="AQ767" s="335"/>
      <c r="AR767" s="335"/>
      <c r="AS767" s="335"/>
      <c r="AT767" s="335"/>
      <c r="AU767" s="335"/>
      <c r="AV767" s="335"/>
      <c r="AW767" s="335"/>
      <c r="AX767" s="335"/>
      <c r="AY767" s="335"/>
      <c r="AZ767" s="335"/>
      <c r="BA767" s="335"/>
      <c r="BB767" s="335"/>
      <c r="BC767" s="335"/>
      <c r="BD767" s="335"/>
      <c r="BE767" s="335"/>
      <c r="BF767" s="335"/>
      <c r="BG767" s="335"/>
      <c r="BH767" s="335"/>
      <c r="BI767" s="335"/>
      <c r="BJ767" s="335"/>
      <c r="BK767" s="335"/>
      <c r="BL767" s="335"/>
      <c r="BM767" s="335"/>
      <c r="BN767" s="335"/>
      <c r="BO767" s="335"/>
      <c r="BP767" s="335"/>
      <c r="BQ767" s="335"/>
      <c r="BR767" s="335"/>
      <c r="BS767" s="335"/>
      <c r="BT767" s="335"/>
      <c r="BU767" s="335"/>
      <c r="BV767" s="335"/>
      <c r="BW767" s="335"/>
      <c r="BX767" s="335"/>
      <c r="BY767" s="335"/>
      <c r="BZ767" s="335"/>
      <c r="CA767" s="335"/>
      <c r="CB767" s="335"/>
      <c r="CC767" s="335"/>
      <c r="CD767" s="335"/>
      <c r="CE767" s="335"/>
      <c r="CF767" s="335"/>
      <c r="CG767" s="335"/>
      <c r="CH767" s="335"/>
      <c r="CI767" s="335"/>
      <c r="CJ767" s="335"/>
      <c r="CK767" s="335"/>
      <c r="CL767" s="335"/>
      <c r="CM767" s="335"/>
      <c r="CN767" s="335"/>
      <c r="CO767" s="335"/>
      <c r="CP767" s="335"/>
      <c r="CQ767" s="335"/>
      <c r="CR767" s="335"/>
      <c r="CS767" s="335"/>
      <c r="CT767" s="335"/>
      <c r="CU767" s="335"/>
      <c r="CV767" s="335"/>
      <c r="CW767" s="335"/>
      <c r="CX767" s="335"/>
      <c r="CY767" s="335"/>
      <c r="CZ767" s="335"/>
      <c r="DA767" s="335"/>
      <c r="DB767" s="335"/>
      <c r="DC767" s="335"/>
      <c r="DD767" s="335"/>
      <c r="DE767" s="335"/>
      <c r="DF767" s="335"/>
      <c r="DG767" s="335"/>
      <c r="DH767" s="335"/>
      <c r="DI767" s="335"/>
      <c r="DJ767" s="335"/>
      <c r="DK767" s="335"/>
      <c r="DL767" s="335"/>
      <c r="DM767" s="335"/>
      <c r="DN767" s="335"/>
      <c r="DO767" s="335"/>
      <c r="DP767" s="335"/>
      <c r="DQ767" s="335"/>
      <c r="DR767" s="335"/>
      <c r="DS767" s="335"/>
      <c r="DT767" s="335"/>
      <c r="DU767" s="335"/>
      <c r="DV767" s="335"/>
      <c r="DW767" s="335"/>
      <c r="DX767" s="335"/>
      <c r="DY767" s="335"/>
      <c r="DZ767" s="335"/>
      <c r="EA767" s="335"/>
      <c r="EB767" s="335"/>
      <c r="EC767" s="335"/>
      <c r="ED767" s="335"/>
      <c r="EE767" s="335"/>
      <c r="EF767" s="335"/>
      <c r="EG767" s="335"/>
      <c r="EH767" s="335"/>
      <c r="EI767" s="335"/>
      <c r="EJ767" s="335"/>
      <c r="EK767" s="335"/>
      <c r="EL767" s="335"/>
      <c r="EM767" s="335"/>
      <c r="EN767" s="335"/>
      <c r="EO767" s="335"/>
      <c r="EP767" s="335"/>
      <c r="EQ767" s="335"/>
      <c r="ER767" s="335"/>
      <c r="ES767" s="335"/>
      <c r="ET767" s="335"/>
      <c r="EU767" s="335"/>
      <c r="EV767" s="335"/>
      <c r="EW767" s="335"/>
      <c r="EX767" s="335"/>
      <c r="EY767" s="335"/>
      <c r="EZ767" s="335"/>
      <c r="FA767" s="335"/>
      <c r="FB767" s="335"/>
      <c r="FC767" s="335"/>
      <c r="FD767" s="335"/>
      <c r="FE767" s="335"/>
      <c r="FF767" s="335"/>
      <c r="FG767" s="335"/>
      <c r="FH767" s="335"/>
      <c r="FI767" s="335"/>
      <c r="FJ767" s="335"/>
      <c r="FK767" s="335"/>
      <c r="FL767" s="335"/>
      <c r="FM767" s="335"/>
      <c r="FN767" s="335"/>
      <c r="FO767" s="335"/>
      <c r="FP767" s="335"/>
      <c r="FQ767" s="335"/>
      <c r="FR767" s="335"/>
      <c r="FS767" s="335"/>
      <c r="FT767" s="335"/>
      <c r="FU767" s="335"/>
      <c r="FV767" s="335"/>
      <c r="FW767" s="335"/>
      <c r="FX767" s="335"/>
      <c r="FY767" s="335"/>
      <c r="FZ767" s="335"/>
      <c r="GA767" s="335"/>
      <c r="GB767" s="335"/>
      <c r="GC767" s="335"/>
      <c r="GD767" s="335"/>
      <c r="GE767" s="335"/>
      <c r="GF767" s="335"/>
      <c r="GG767" s="335"/>
      <c r="GH767" s="335"/>
      <c r="GI767" s="335"/>
      <c r="GJ767" s="335"/>
      <c r="GK767" s="335"/>
      <c r="GL767" s="335"/>
      <c r="GM767" s="335"/>
      <c r="GN767" s="335"/>
      <c r="GO767" s="335"/>
      <c r="GP767" s="335"/>
      <c r="GQ767" s="335"/>
      <c r="GR767" s="335"/>
      <c r="GS767" s="335"/>
      <c r="GT767" s="335"/>
      <c r="GU767" s="335"/>
      <c r="GV767" s="335"/>
      <c r="GW767" s="335"/>
      <c r="GX767" s="335"/>
      <c r="GY767" s="335"/>
      <c r="GZ767" s="335"/>
    </row>
    <row r="768" spans="1:208" ht="15">
      <c r="A768" s="379"/>
      <c r="B768" s="335"/>
      <c r="C768" s="335"/>
      <c r="D768" s="335"/>
      <c r="E768" s="335"/>
      <c r="F768" s="335"/>
      <c r="G768" s="335"/>
      <c r="H768" s="335"/>
      <c r="I768" s="335"/>
      <c r="J768" s="335"/>
      <c r="K768" s="335"/>
      <c r="L768" s="335"/>
      <c r="M768" s="376"/>
      <c r="N768" s="335"/>
      <c r="O768" s="380"/>
      <c r="P768" s="335"/>
      <c r="Q768" s="335"/>
      <c r="R768" s="335"/>
      <c r="S768" s="335"/>
      <c r="T768" s="335"/>
      <c r="U768" s="335"/>
      <c r="V768" s="335"/>
      <c r="W768" s="335"/>
      <c r="X768" s="335"/>
      <c r="Y768" s="335"/>
      <c r="Z768" s="335"/>
      <c r="AA768" s="335"/>
      <c r="AB768" s="335"/>
      <c r="AC768" s="335"/>
      <c r="AD768" s="335"/>
      <c r="AE768" s="335"/>
      <c r="AF768" s="335"/>
      <c r="AG768" s="335"/>
      <c r="AH768" s="335"/>
      <c r="AI768" s="335"/>
      <c r="AJ768" s="335"/>
      <c r="AK768" s="335"/>
      <c r="AL768" s="335"/>
      <c r="AM768" s="335"/>
      <c r="AN768" s="335"/>
      <c r="AO768" s="335"/>
      <c r="AP768" s="335"/>
      <c r="AQ768" s="335"/>
      <c r="AR768" s="335"/>
      <c r="AS768" s="335"/>
      <c r="AT768" s="335"/>
      <c r="AU768" s="335"/>
      <c r="AV768" s="335"/>
      <c r="AW768" s="335"/>
      <c r="AX768" s="335"/>
      <c r="AY768" s="335"/>
      <c r="AZ768" s="335"/>
      <c r="BA768" s="335"/>
      <c r="BB768" s="335"/>
      <c r="BC768" s="335"/>
      <c r="BD768" s="335"/>
      <c r="BE768" s="335"/>
      <c r="BF768" s="335"/>
      <c r="BG768" s="335"/>
      <c r="BH768" s="335"/>
      <c r="BI768" s="335"/>
      <c r="BJ768" s="335"/>
      <c r="BK768" s="335"/>
      <c r="BL768" s="335"/>
      <c r="BM768" s="335"/>
      <c r="BN768" s="335"/>
      <c r="BO768" s="335"/>
      <c r="BP768" s="335"/>
      <c r="BQ768" s="335"/>
      <c r="BR768" s="335"/>
      <c r="BS768" s="335"/>
      <c r="BT768" s="335"/>
      <c r="BU768" s="335"/>
      <c r="BV768" s="335"/>
      <c r="BW768" s="335"/>
      <c r="BX768" s="335"/>
      <c r="BY768" s="335"/>
      <c r="BZ768" s="335"/>
      <c r="CA768" s="335"/>
      <c r="CB768" s="335"/>
      <c r="CC768" s="335"/>
      <c r="CD768" s="335"/>
      <c r="CE768" s="335"/>
      <c r="CF768" s="335"/>
      <c r="CG768" s="335"/>
      <c r="CH768" s="335"/>
      <c r="CI768" s="335"/>
      <c r="CJ768" s="335"/>
      <c r="CK768" s="335"/>
      <c r="CL768" s="335"/>
      <c r="CM768" s="335"/>
      <c r="CN768" s="335"/>
      <c r="CO768" s="335"/>
      <c r="CP768" s="335"/>
      <c r="CQ768" s="335"/>
      <c r="CR768" s="335"/>
      <c r="CS768" s="335"/>
      <c r="CT768" s="335"/>
      <c r="CU768" s="335"/>
      <c r="CV768" s="335"/>
      <c r="CW768" s="335"/>
      <c r="CX768" s="335"/>
      <c r="CY768" s="335"/>
      <c r="CZ768" s="335"/>
      <c r="DA768" s="335"/>
      <c r="DB768" s="335"/>
      <c r="DC768" s="335"/>
      <c r="DD768" s="335"/>
      <c r="DE768" s="335"/>
      <c r="DF768" s="335"/>
      <c r="DG768" s="335"/>
      <c r="DH768" s="335"/>
      <c r="DI768" s="335"/>
      <c r="DJ768" s="335"/>
      <c r="DK768" s="335"/>
      <c r="DL768" s="335"/>
      <c r="DM768" s="335"/>
      <c r="DN768" s="335"/>
      <c r="DO768" s="335"/>
      <c r="DP768" s="335"/>
      <c r="DQ768" s="335"/>
      <c r="DR768" s="335"/>
      <c r="DS768" s="335"/>
      <c r="DT768" s="335"/>
      <c r="DU768" s="335"/>
      <c r="DV768" s="335"/>
      <c r="DW768" s="335"/>
      <c r="DX768" s="335"/>
      <c r="DY768" s="335"/>
      <c r="DZ768" s="335"/>
      <c r="EA768" s="335"/>
      <c r="EB768" s="335"/>
      <c r="EC768" s="335"/>
      <c r="ED768" s="335"/>
      <c r="EE768" s="335"/>
      <c r="EF768" s="335"/>
      <c r="EG768" s="335"/>
      <c r="EH768" s="335"/>
      <c r="EI768" s="335"/>
      <c r="EJ768" s="335"/>
      <c r="EK768" s="335"/>
      <c r="EL768" s="335"/>
      <c r="EM768" s="335"/>
      <c r="EN768" s="335"/>
      <c r="EO768" s="335"/>
      <c r="EP768" s="335"/>
      <c r="EQ768" s="335"/>
      <c r="ER768" s="335"/>
      <c r="ES768" s="335"/>
      <c r="ET768" s="335"/>
      <c r="EU768" s="335"/>
      <c r="EV768" s="335"/>
      <c r="EW768" s="335"/>
      <c r="EX768" s="335"/>
      <c r="EY768" s="335"/>
      <c r="EZ768" s="335"/>
      <c r="FA768" s="335"/>
      <c r="FB768" s="335"/>
      <c r="FC768" s="335"/>
      <c r="FD768" s="335"/>
      <c r="FE768" s="335"/>
      <c r="FF768" s="335"/>
      <c r="FG768" s="335"/>
      <c r="FH768" s="335"/>
      <c r="FI768" s="335"/>
      <c r="FJ768" s="335"/>
      <c r="FK768" s="335"/>
      <c r="FL768" s="335"/>
      <c r="FM768" s="335"/>
      <c r="FN768" s="335"/>
      <c r="FO768" s="335"/>
      <c r="FP768" s="335"/>
      <c r="FQ768" s="335"/>
      <c r="FR768" s="335"/>
      <c r="FS768" s="335"/>
      <c r="FT768" s="335"/>
      <c r="FU768" s="335"/>
      <c r="FV768" s="335"/>
      <c r="FW768" s="335"/>
      <c r="FX768" s="335"/>
      <c r="FY768" s="335"/>
      <c r="FZ768" s="335"/>
      <c r="GA768" s="335"/>
      <c r="GB768" s="335"/>
      <c r="GC768" s="335"/>
      <c r="GD768" s="335"/>
      <c r="GE768" s="335"/>
      <c r="GF768" s="335"/>
      <c r="GG768" s="335"/>
      <c r="GH768" s="335"/>
      <c r="GI768" s="335"/>
      <c r="GJ768" s="335"/>
      <c r="GK768" s="335"/>
      <c r="GL768" s="335"/>
      <c r="GM768" s="335"/>
      <c r="GN768" s="335"/>
      <c r="GO768" s="335"/>
      <c r="GP768" s="335"/>
      <c r="GQ768" s="335"/>
      <c r="GR768" s="335"/>
      <c r="GS768" s="335"/>
      <c r="GT768" s="335"/>
      <c r="GU768" s="335"/>
      <c r="GV768" s="335"/>
      <c r="GW768" s="335"/>
      <c r="GX768" s="335"/>
      <c r="GY768" s="335"/>
      <c r="GZ768" s="335"/>
    </row>
    <row r="769" spans="1:208" ht="15">
      <c r="A769" s="379"/>
      <c r="B769" s="335"/>
      <c r="C769" s="335"/>
      <c r="D769" s="335"/>
      <c r="E769" s="335"/>
      <c r="F769" s="335"/>
      <c r="G769" s="335"/>
      <c r="H769" s="335"/>
      <c r="I769" s="335"/>
      <c r="J769" s="335"/>
      <c r="K769" s="335"/>
      <c r="L769" s="335"/>
      <c r="M769" s="376"/>
      <c r="N769" s="335"/>
      <c r="O769" s="380"/>
      <c r="P769" s="335"/>
      <c r="Q769" s="335"/>
      <c r="R769" s="335"/>
      <c r="S769" s="335"/>
      <c r="T769" s="335"/>
      <c r="U769" s="335"/>
      <c r="V769" s="335"/>
      <c r="W769" s="335"/>
      <c r="X769" s="335"/>
      <c r="Y769" s="335"/>
      <c r="Z769" s="335"/>
      <c r="AA769" s="335"/>
      <c r="AB769" s="335"/>
      <c r="AC769" s="335"/>
      <c r="AD769" s="335"/>
      <c r="AE769" s="335"/>
      <c r="AF769" s="335"/>
      <c r="AG769" s="335"/>
      <c r="AH769" s="335"/>
      <c r="AI769" s="335"/>
      <c r="AJ769" s="335"/>
      <c r="AK769" s="335"/>
      <c r="AL769" s="335"/>
      <c r="AM769" s="335"/>
      <c r="AN769" s="335"/>
      <c r="AO769" s="335"/>
      <c r="AP769" s="335"/>
      <c r="AQ769" s="335"/>
      <c r="AR769" s="335"/>
      <c r="AS769" s="335"/>
      <c r="AT769" s="335"/>
      <c r="AU769" s="335"/>
      <c r="AV769" s="335"/>
      <c r="AW769" s="335"/>
      <c r="AX769" s="335"/>
      <c r="AY769" s="335"/>
      <c r="AZ769" s="335"/>
      <c r="BA769" s="335"/>
      <c r="BB769" s="335"/>
      <c r="BC769" s="335"/>
      <c r="BD769" s="335"/>
      <c r="BE769" s="335"/>
      <c r="BF769" s="335"/>
      <c r="BG769" s="335"/>
      <c r="BH769" s="335"/>
      <c r="BI769" s="335"/>
      <c r="BJ769" s="335"/>
      <c r="BK769" s="335"/>
      <c r="BL769" s="335"/>
      <c r="BM769" s="335"/>
      <c r="BN769" s="335"/>
      <c r="BO769" s="335"/>
      <c r="BP769" s="335"/>
      <c r="BQ769" s="335"/>
      <c r="BR769" s="335"/>
      <c r="BS769" s="335"/>
      <c r="BT769" s="335"/>
      <c r="BU769" s="335"/>
      <c r="BV769" s="335"/>
      <c r="BW769" s="335"/>
      <c r="BX769" s="335"/>
      <c r="BY769" s="335"/>
      <c r="BZ769" s="335"/>
      <c r="CA769" s="335"/>
      <c r="CB769" s="335"/>
      <c r="CC769" s="335"/>
      <c r="CD769" s="335"/>
      <c r="CE769" s="335"/>
      <c r="CF769" s="335"/>
      <c r="CG769" s="335"/>
      <c r="CH769" s="335"/>
      <c r="CI769" s="335"/>
      <c r="CJ769" s="335"/>
      <c r="CK769" s="335"/>
      <c r="CL769" s="335"/>
      <c r="CM769" s="335"/>
      <c r="CN769" s="335"/>
      <c r="CO769" s="335"/>
      <c r="CP769" s="335"/>
      <c r="CQ769" s="335"/>
      <c r="CR769" s="335"/>
      <c r="CS769" s="335"/>
      <c r="CT769" s="335"/>
      <c r="CU769" s="335"/>
      <c r="CV769" s="335"/>
      <c r="CW769" s="335"/>
      <c r="CX769" s="335"/>
      <c r="CY769" s="335"/>
      <c r="CZ769" s="335"/>
      <c r="DA769" s="335"/>
      <c r="DB769" s="335"/>
      <c r="DC769" s="335"/>
      <c r="DD769" s="335"/>
      <c r="DE769" s="335"/>
      <c r="DF769" s="335"/>
      <c r="DG769" s="335"/>
      <c r="DH769" s="335"/>
      <c r="DI769" s="335"/>
      <c r="DJ769" s="335"/>
      <c r="DK769" s="335"/>
      <c r="DL769" s="335"/>
      <c r="DM769" s="335"/>
      <c r="DN769" s="335"/>
      <c r="DO769" s="335"/>
      <c r="DP769" s="335"/>
      <c r="DQ769" s="335"/>
      <c r="DR769" s="335"/>
      <c r="DS769" s="335"/>
      <c r="DT769" s="335"/>
      <c r="DU769" s="335"/>
      <c r="DV769" s="335"/>
      <c r="DW769" s="335"/>
      <c r="DX769" s="335"/>
      <c r="DY769" s="335"/>
      <c r="DZ769" s="335"/>
      <c r="EA769" s="335"/>
      <c r="EB769" s="335"/>
      <c r="EC769" s="335"/>
      <c r="ED769" s="335"/>
      <c r="EE769" s="335"/>
      <c r="EF769" s="335"/>
      <c r="EG769" s="335"/>
      <c r="EH769" s="335"/>
      <c r="EI769" s="335"/>
      <c r="EJ769" s="335"/>
      <c r="EK769" s="335"/>
      <c r="EL769" s="335"/>
      <c r="EM769" s="335"/>
      <c r="EN769" s="335"/>
      <c r="EO769" s="335"/>
      <c r="EP769" s="335"/>
      <c r="EQ769" s="335"/>
      <c r="ER769" s="335"/>
      <c r="ES769" s="335"/>
      <c r="ET769" s="335"/>
      <c r="EU769" s="335"/>
      <c r="EV769" s="335"/>
      <c r="EW769" s="335"/>
      <c r="EX769" s="335"/>
      <c r="EY769" s="335"/>
      <c r="EZ769" s="335"/>
      <c r="FA769" s="335"/>
      <c r="FB769" s="335"/>
      <c r="FC769" s="335"/>
      <c r="FD769" s="335"/>
      <c r="FE769" s="335"/>
      <c r="FF769" s="335"/>
      <c r="FG769" s="335"/>
      <c r="FH769" s="335"/>
      <c r="FI769" s="335"/>
      <c r="FJ769" s="335"/>
      <c r="FK769" s="335"/>
      <c r="FL769" s="335"/>
      <c r="FM769" s="335"/>
      <c r="FN769" s="335"/>
      <c r="FO769" s="335"/>
      <c r="FP769" s="335"/>
      <c r="FQ769" s="335"/>
      <c r="FR769" s="335"/>
      <c r="FS769" s="335"/>
      <c r="FT769" s="335"/>
      <c r="FU769" s="335"/>
      <c r="FV769" s="335"/>
      <c r="FW769" s="335"/>
      <c r="FX769" s="335"/>
      <c r="FY769" s="335"/>
      <c r="FZ769" s="335"/>
      <c r="GA769" s="335"/>
      <c r="GB769" s="335"/>
      <c r="GC769" s="335"/>
      <c r="GD769" s="335"/>
      <c r="GE769" s="335"/>
      <c r="GF769" s="335"/>
      <c r="GG769" s="335"/>
      <c r="GH769" s="335"/>
      <c r="GI769" s="335"/>
      <c r="GJ769" s="335"/>
      <c r="GK769" s="335"/>
      <c r="GL769" s="335"/>
      <c r="GM769" s="335"/>
      <c r="GN769" s="335"/>
      <c r="GO769" s="335"/>
      <c r="GP769" s="335"/>
      <c r="GQ769" s="335"/>
      <c r="GR769" s="335"/>
      <c r="GS769" s="335"/>
      <c r="GT769" s="335"/>
      <c r="GU769" s="335"/>
      <c r="GV769" s="335"/>
      <c r="GW769" s="335"/>
      <c r="GX769" s="335"/>
      <c r="GY769" s="335"/>
      <c r="GZ769" s="335"/>
    </row>
    <row r="770" spans="1:208" ht="15">
      <c r="A770" s="379"/>
      <c r="B770" s="335"/>
      <c r="C770" s="335"/>
      <c r="D770" s="335"/>
      <c r="E770" s="335"/>
      <c r="F770" s="335"/>
      <c r="G770" s="335"/>
      <c r="H770" s="335"/>
      <c r="I770" s="335"/>
      <c r="J770" s="335"/>
      <c r="K770" s="335"/>
      <c r="L770" s="335"/>
      <c r="M770" s="376"/>
      <c r="N770" s="335"/>
      <c r="O770" s="380"/>
      <c r="P770" s="335"/>
      <c r="Q770" s="335"/>
      <c r="R770" s="335"/>
      <c r="S770" s="335"/>
      <c r="T770" s="335"/>
      <c r="U770" s="335"/>
      <c r="V770" s="335"/>
      <c r="W770" s="335"/>
      <c r="X770" s="335"/>
      <c r="Y770" s="335"/>
      <c r="Z770" s="335"/>
      <c r="AA770" s="335"/>
      <c r="AB770" s="335"/>
      <c r="AC770" s="335"/>
      <c r="AD770" s="335"/>
      <c r="AE770" s="335"/>
      <c r="AF770" s="335"/>
      <c r="AG770" s="335"/>
      <c r="AH770" s="335"/>
      <c r="AI770" s="335"/>
      <c r="AJ770" s="335"/>
      <c r="AK770" s="335"/>
      <c r="AL770" s="335"/>
      <c r="AM770" s="335"/>
      <c r="AN770" s="335"/>
      <c r="AO770" s="335"/>
      <c r="AP770" s="335"/>
      <c r="AQ770" s="335"/>
      <c r="AR770" s="335"/>
      <c r="AS770" s="335"/>
      <c r="AT770" s="335"/>
      <c r="AU770" s="335"/>
      <c r="AV770" s="335"/>
      <c r="AW770" s="335"/>
      <c r="AX770" s="335"/>
      <c r="AY770" s="335"/>
      <c r="AZ770" s="335"/>
      <c r="BA770" s="335"/>
      <c r="BB770" s="335"/>
      <c r="BC770" s="335"/>
      <c r="BD770" s="335"/>
      <c r="BE770" s="335"/>
      <c r="BF770" s="335"/>
      <c r="BG770" s="335"/>
      <c r="BH770" s="335"/>
      <c r="BI770" s="335"/>
      <c r="BJ770" s="335"/>
      <c r="BK770" s="335"/>
      <c r="BL770" s="335"/>
      <c r="BM770" s="335"/>
      <c r="BN770" s="335"/>
      <c r="BO770" s="335"/>
      <c r="BP770" s="335"/>
      <c r="BQ770" s="335"/>
      <c r="BR770" s="335"/>
      <c r="BS770" s="335"/>
      <c r="BT770" s="335"/>
      <c r="BU770" s="335"/>
      <c r="BV770" s="335"/>
      <c r="BW770" s="335"/>
      <c r="BX770" s="335"/>
      <c r="BY770" s="335"/>
      <c r="BZ770" s="335"/>
      <c r="CA770" s="335"/>
      <c r="CB770" s="335"/>
      <c r="CC770" s="335"/>
      <c r="CD770" s="335"/>
      <c r="CE770" s="335"/>
      <c r="CF770" s="335"/>
      <c r="CG770" s="335"/>
      <c r="CH770" s="335"/>
      <c r="CI770" s="335"/>
      <c r="CJ770" s="335"/>
      <c r="CK770" s="335"/>
      <c r="CL770" s="335"/>
      <c r="CM770" s="335"/>
      <c r="CN770" s="335"/>
      <c r="CO770" s="335"/>
      <c r="CP770" s="335"/>
      <c r="CQ770" s="335"/>
      <c r="CR770" s="335"/>
      <c r="CS770" s="335"/>
      <c r="CT770" s="335"/>
      <c r="CU770" s="335"/>
      <c r="CV770" s="335"/>
      <c r="CW770" s="335"/>
      <c r="CX770" s="335"/>
      <c r="CY770" s="335"/>
      <c r="CZ770" s="335"/>
      <c r="DA770" s="335"/>
      <c r="DB770" s="335"/>
      <c r="DC770" s="335"/>
      <c r="DD770" s="335"/>
      <c r="DE770" s="335"/>
      <c r="DF770" s="335"/>
      <c r="DG770" s="335"/>
      <c r="DH770" s="335"/>
      <c r="DI770" s="335"/>
      <c r="DJ770" s="335"/>
      <c r="DK770" s="335"/>
      <c r="DL770" s="335"/>
      <c r="DM770" s="335"/>
      <c r="DN770" s="335"/>
      <c r="DO770" s="335"/>
      <c r="DP770" s="335"/>
      <c r="DQ770" s="335"/>
      <c r="DR770" s="335"/>
      <c r="DS770" s="335"/>
      <c r="DT770" s="335"/>
      <c r="DU770" s="335"/>
      <c r="DV770" s="335"/>
      <c r="DW770" s="335"/>
      <c r="DX770" s="335"/>
      <c r="DY770" s="335"/>
      <c r="DZ770" s="335"/>
      <c r="EA770" s="335"/>
      <c r="EB770" s="335"/>
      <c r="EC770" s="335"/>
      <c r="ED770" s="335"/>
      <c r="EE770" s="335"/>
      <c r="EF770" s="335"/>
      <c r="EG770" s="335"/>
      <c r="EH770" s="335"/>
      <c r="EI770" s="335"/>
      <c r="EJ770" s="335"/>
      <c r="EK770" s="335"/>
      <c r="EL770" s="335"/>
      <c r="EM770" s="335"/>
      <c r="EN770" s="335"/>
      <c r="EO770" s="335"/>
      <c r="EP770" s="335"/>
      <c r="EQ770" s="335"/>
      <c r="ER770" s="335"/>
      <c r="ES770" s="335"/>
      <c r="ET770" s="335"/>
      <c r="EU770" s="335"/>
      <c r="EV770" s="335"/>
      <c r="EW770" s="335"/>
      <c r="EX770" s="335"/>
      <c r="EY770" s="335"/>
      <c r="EZ770" s="335"/>
      <c r="FA770" s="335"/>
      <c r="FB770" s="335"/>
      <c r="FC770" s="335"/>
      <c r="FD770" s="335"/>
      <c r="FE770" s="335"/>
      <c r="FF770" s="335"/>
      <c r="FG770" s="335"/>
      <c r="FH770" s="335"/>
      <c r="FI770" s="335"/>
      <c r="FJ770" s="335"/>
      <c r="FK770" s="335"/>
      <c r="FL770" s="335"/>
      <c r="FM770" s="335"/>
      <c r="FN770" s="335"/>
      <c r="FO770" s="335"/>
      <c r="FP770" s="335"/>
      <c r="FQ770" s="335"/>
      <c r="FR770" s="335"/>
      <c r="FS770" s="335"/>
      <c r="FT770" s="335"/>
      <c r="FU770" s="335"/>
      <c r="FV770" s="335"/>
      <c r="FW770" s="335"/>
      <c r="FX770" s="335"/>
      <c r="FY770" s="335"/>
      <c r="FZ770" s="335"/>
      <c r="GA770" s="335"/>
      <c r="GB770" s="335"/>
      <c r="GC770" s="335"/>
      <c r="GD770" s="335"/>
      <c r="GE770" s="335"/>
      <c r="GF770" s="335"/>
      <c r="GG770" s="335"/>
      <c r="GH770" s="335"/>
      <c r="GI770" s="335"/>
      <c r="GJ770" s="335"/>
      <c r="GK770" s="335"/>
      <c r="GL770" s="335"/>
      <c r="GM770" s="335"/>
      <c r="GN770" s="335"/>
      <c r="GO770" s="335"/>
      <c r="GP770" s="335"/>
      <c r="GQ770" s="335"/>
      <c r="GR770" s="335"/>
      <c r="GS770" s="335"/>
      <c r="GT770" s="335"/>
      <c r="GU770" s="335"/>
      <c r="GV770" s="335"/>
      <c r="GW770" s="335"/>
      <c r="GX770" s="335"/>
      <c r="GY770" s="335"/>
      <c r="GZ770" s="335"/>
    </row>
    <row r="771" spans="1:208" ht="15">
      <c r="A771" s="379"/>
      <c r="B771" s="335"/>
      <c r="C771" s="335"/>
      <c r="D771" s="335"/>
      <c r="E771" s="335"/>
      <c r="F771" s="335"/>
      <c r="G771" s="335"/>
      <c r="H771" s="335"/>
      <c r="I771" s="335"/>
      <c r="J771" s="335"/>
      <c r="K771" s="335"/>
      <c r="L771" s="335"/>
      <c r="M771" s="376"/>
      <c r="N771" s="335"/>
      <c r="O771" s="380"/>
      <c r="P771" s="335"/>
      <c r="Q771" s="335"/>
      <c r="R771" s="335"/>
      <c r="S771" s="335"/>
      <c r="T771" s="335"/>
      <c r="U771" s="335"/>
      <c r="V771" s="335"/>
      <c r="W771" s="335"/>
      <c r="X771" s="335"/>
      <c r="Y771" s="335"/>
      <c r="Z771" s="335"/>
      <c r="AA771" s="335"/>
      <c r="AB771" s="335"/>
      <c r="AC771" s="335"/>
      <c r="AD771" s="335"/>
      <c r="AE771" s="335"/>
      <c r="AF771" s="335"/>
      <c r="AG771" s="335"/>
      <c r="AH771" s="335"/>
      <c r="AI771" s="335"/>
      <c r="AJ771" s="335"/>
      <c r="AK771" s="335"/>
      <c r="AL771" s="335"/>
      <c r="AM771" s="335"/>
      <c r="AN771" s="335"/>
      <c r="AO771" s="335"/>
      <c r="AP771" s="335"/>
      <c r="AQ771" s="335"/>
      <c r="AR771" s="335"/>
      <c r="AS771" s="335"/>
      <c r="AT771" s="335"/>
      <c r="AU771" s="335"/>
      <c r="AV771" s="335"/>
      <c r="AW771" s="335"/>
      <c r="AX771" s="335"/>
      <c r="AY771" s="335"/>
      <c r="AZ771" s="335"/>
      <c r="BA771" s="335"/>
      <c r="BB771" s="335"/>
      <c r="BC771" s="335"/>
      <c r="BD771" s="335"/>
      <c r="BE771" s="335"/>
      <c r="BF771" s="335"/>
      <c r="BG771" s="335"/>
      <c r="BH771" s="335"/>
      <c r="BI771" s="335"/>
      <c r="BJ771" s="335"/>
      <c r="BK771" s="335"/>
      <c r="BL771" s="335"/>
      <c r="BM771" s="335"/>
      <c r="BN771" s="335"/>
      <c r="BO771" s="335"/>
      <c r="BP771" s="335"/>
      <c r="BQ771" s="335"/>
      <c r="BR771" s="335"/>
      <c r="BS771" s="335"/>
      <c r="BT771" s="335"/>
      <c r="BU771" s="335"/>
      <c r="BV771" s="335"/>
      <c r="BW771" s="335"/>
      <c r="BX771" s="335"/>
      <c r="BY771" s="335"/>
      <c r="BZ771" s="335"/>
      <c r="CA771" s="335"/>
      <c r="CB771" s="335"/>
      <c r="CC771" s="335"/>
      <c r="CD771" s="335"/>
      <c r="CE771" s="335"/>
      <c r="CF771" s="335"/>
      <c r="CG771" s="335"/>
      <c r="CH771" s="335"/>
      <c r="CI771" s="335"/>
      <c r="CJ771" s="335"/>
      <c r="CK771" s="335"/>
      <c r="CL771" s="335"/>
      <c r="CM771" s="335"/>
      <c r="CN771" s="335"/>
      <c r="CO771" s="335"/>
      <c r="CP771" s="335"/>
      <c r="CQ771" s="335"/>
      <c r="CR771" s="335"/>
      <c r="CS771" s="335"/>
      <c r="CT771" s="335"/>
      <c r="CU771" s="335"/>
      <c r="CV771" s="335"/>
      <c r="CW771" s="335"/>
      <c r="CX771" s="335"/>
      <c r="CY771" s="335"/>
      <c r="CZ771" s="335"/>
      <c r="DA771" s="335"/>
      <c r="DB771" s="335"/>
      <c r="DC771" s="335"/>
      <c r="DD771" s="335"/>
      <c r="DE771" s="335"/>
      <c r="DF771" s="335"/>
      <c r="DG771" s="335"/>
      <c r="DH771" s="335"/>
      <c r="DI771" s="335"/>
      <c r="DJ771" s="335"/>
      <c r="DK771" s="335"/>
      <c r="DL771" s="335"/>
      <c r="DM771" s="335"/>
      <c r="DN771" s="335"/>
      <c r="DO771" s="335"/>
      <c r="DP771" s="335"/>
      <c r="DQ771" s="335"/>
      <c r="DR771" s="335"/>
      <c r="DS771" s="335"/>
      <c r="DT771" s="335"/>
      <c r="DU771" s="335"/>
      <c r="DV771" s="335"/>
      <c r="DW771" s="335"/>
      <c r="DX771" s="335"/>
      <c r="DY771" s="335"/>
      <c r="DZ771" s="335"/>
      <c r="EA771" s="335"/>
      <c r="EB771" s="335"/>
      <c r="EC771" s="335"/>
      <c r="ED771" s="335"/>
      <c r="EE771" s="335"/>
      <c r="EF771" s="335"/>
      <c r="EG771" s="335"/>
      <c r="EH771" s="335"/>
      <c r="EI771" s="335"/>
      <c r="EJ771" s="335"/>
      <c r="EK771" s="335"/>
      <c r="EL771" s="335"/>
      <c r="EM771" s="335"/>
      <c r="EN771" s="335"/>
      <c r="EO771" s="335"/>
      <c r="EP771" s="335"/>
      <c r="EQ771" s="335"/>
      <c r="ER771" s="335"/>
      <c r="ES771" s="335"/>
      <c r="ET771" s="335"/>
      <c r="EU771" s="335"/>
      <c r="EV771" s="335"/>
      <c r="EW771" s="335"/>
      <c r="EX771" s="335"/>
      <c r="EY771" s="335"/>
      <c r="EZ771" s="335"/>
      <c r="FA771" s="335"/>
      <c r="FB771" s="335"/>
      <c r="FC771" s="335"/>
      <c r="FD771" s="335"/>
      <c r="FE771" s="335"/>
      <c r="FF771" s="335"/>
      <c r="FG771" s="335"/>
      <c r="FH771" s="335"/>
      <c r="FI771" s="335"/>
      <c r="FJ771" s="335"/>
      <c r="FK771" s="335"/>
      <c r="FL771" s="335"/>
      <c r="FM771" s="335"/>
      <c r="FN771" s="335"/>
      <c r="FO771" s="335"/>
      <c r="FP771" s="335"/>
      <c r="FQ771" s="335"/>
      <c r="FR771" s="335"/>
      <c r="FS771" s="335"/>
      <c r="FT771" s="335"/>
      <c r="FU771" s="335"/>
      <c r="FV771" s="335"/>
      <c r="FW771" s="335"/>
      <c r="FX771" s="335"/>
      <c r="FY771" s="335"/>
      <c r="FZ771" s="335"/>
      <c r="GA771" s="335"/>
      <c r="GB771" s="335"/>
      <c r="GC771" s="335"/>
      <c r="GD771" s="335"/>
      <c r="GE771" s="335"/>
      <c r="GF771" s="335"/>
      <c r="GG771" s="335"/>
      <c r="GH771" s="335"/>
      <c r="GI771" s="335"/>
      <c r="GJ771" s="335"/>
      <c r="GK771" s="335"/>
      <c r="GL771" s="335"/>
      <c r="GM771" s="335"/>
      <c r="GN771" s="335"/>
      <c r="GO771" s="335"/>
      <c r="GP771" s="335"/>
      <c r="GQ771" s="335"/>
      <c r="GR771" s="335"/>
      <c r="GS771" s="335"/>
      <c r="GT771" s="335"/>
      <c r="GU771" s="335"/>
      <c r="GV771" s="335"/>
      <c r="GW771" s="335"/>
      <c r="GX771" s="335"/>
      <c r="GY771" s="335"/>
      <c r="GZ771" s="335"/>
    </row>
    <row r="772" spans="1:208" ht="15">
      <c r="A772" s="379"/>
      <c r="B772" s="335"/>
      <c r="C772" s="335"/>
      <c r="D772" s="335"/>
      <c r="E772" s="335"/>
      <c r="F772" s="335"/>
      <c r="G772" s="335"/>
      <c r="H772" s="335"/>
      <c r="I772" s="335"/>
      <c r="J772" s="335"/>
      <c r="K772" s="335"/>
      <c r="L772" s="335"/>
      <c r="M772" s="376"/>
      <c r="N772" s="335"/>
      <c r="O772" s="380"/>
      <c r="P772" s="335"/>
      <c r="Q772" s="335"/>
      <c r="R772" s="335"/>
      <c r="S772" s="335"/>
      <c r="T772" s="335"/>
      <c r="U772" s="335"/>
      <c r="V772" s="335"/>
      <c r="W772" s="335"/>
      <c r="X772" s="335"/>
      <c r="Y772" s="335"/>
      <c r="Z772" s="335"/>
      <c r="AA772" s="335"/>
      <c r="AB772" s="335"/>
      <c r="AC772" s="335"/>
      <c r="AD772" s="335"/>
      <c r="AE772" s="335"/>
      <c r="AF772" s="335"/>
      <c r="AG772" s="335"/>
      <c r="AH772" s="335"/>
      <c r="AI772" s="335"/>
      <c r="AJ772" s="335"/>
      <c r="AK772" s="335"/>
      <c r="AL772" s="335"/>
      <c r="AM772" s="335"/>
      <c r="AN772" s="335"/>
      <c r="AO772" s="335"/>
      <c r="AP772" s="335"/>
      <c r="AQ772" s="335"/>
      <c r="AR772" s="335"/>
      <c r="AS772" s="335"/>
      <c r="AT772" s="335"/>
      <c r="AU772" s="335"/>
      <c r="AV772" s="335"/>
      <c r="AW772" s="335"/>
      <c r="AX772" s="335"/>
      <c r="AY772" s="335"/>
      <c r="AZ772" s="335"/>
      <c r="BA772" s="335"/>
      <c r="BB772" s="335"/>
      <c r="BC772" s="335"/>
      <c r="BD772" s="335"/>
      <c r="BE772" s="335"/>
      <c r="BF772" s="335"/>
      <c r="BG772" s="335"/>
      <c r="BH772" s="335"/>
      <c r="BI772" s="335"/>
      <c r="BJ772" s="335"/>
      <c r="BK772" s="335"/>
      <c r="BL772" s="335"/>
      <c r="BM772" s="335"/>
      <c r="BN772" s="335"/>
      <c r="BO772" s="335"/>
      <c r="BP772" s="335"/>
      <c r="BQ772" s="335"/>
      <c r="BR772" s="335"/>
      <c r="BS772" s="335"/>
      <c r="BT772" s="335"/>
      <c r="BU772" s="335"/>
      <c r="BV772" s="335"/>
      <c r="BW772" s="335"/>
      <c r="BX772" s="335"/>
      <c r="BY772" s="335"/>
      <c r="BZ772" s="335"/>
      <c r="CA772" s="335"/>
      <c r="CB772" s="335"/>
      <c r="CC772" s="335"/>
      <c r="CD772" s="335"/>
      <c r="CE772" s="335"/>
      <c r="CF772" s="335"/>
      <c r="CG772" s="335"/>
      <c r="CH772" s="335"/>
      <c r="CI772" s="335"/>
      <c r="CJ772" s="335"/>
      <c r="CK772" s="335"/>
      <c r="CL772" s="335"/>
      <c r="CM772" s="335"/>
      <c r="CN772" s="335"/>
      <c r="CO772" s="335"/>
      <c r="CP772" s="335"/>
      <c r="CQ772" s="335"/>
      <c r="CR772" s="335"/>
      <c r="CS772" s="335"/>
      <c r="CT772" s="335"/>
      <c r="CU772" s="335"/>
      <c r="CV772" s="335"/>
      <c r="CW772" s="335"/>
      <c r="CX772" s="335"/>
      <c r="CY772" s="335"/>
      <c r="CZ772" s="335"/>
      <c r="DA772" s="335"/>
      <c r="DB772" s="335"/>
      <c r="DC772" s="335"/>
      <c r="DD772" s="335"/>
      <c r="DE772" s="335"/>
      <c r="DF772" s="335"/>
      <c r="DG772" s="335"/>
      <c r="DH772" s="335"/>
      <c r="DI772" s="335"/>
      <c r="DJ772" s="335"/>
      <c r="DK772" s="335"/>
      <c r="DL772" s="335"/>
      <c r="DM772" s="335"/>
      <c r="DN772" s="335"/>
      <c r="DO772" s="335"/>
      <c r="DP772" s="335"/>
      <c r="DQ772" s="335"/>
      <c r="DR772" s="335"/>
      <c r="DS772" s="335"/>
      <c r="DT772" s="335"/>
      <c r="DU772" s="335"/>
      <c r="DV772" s="335"/>
      <c r="DW772" s="335"/>
      <c r="DX772" s="335"/>
      <c r="DY772" s="335"/>
      <c r="DZ772" s="335"/>
      <c r="EA772" s="335"/>
      <c r="EB772" s="335"/>
      <c r="EC772" s="335"/>
      <c r="ED772" s="335"/>
      <c r="EE772" s="335"/>
      <c r="EF772" s="335"/>
      <c r="EG772" s="335"/>
      <c r="EH772" s="335"/>
      <c r="EI772" s="335"/>
      <c r="EJ772" s="335"/>
      <c r="EK772" s="335"/>
      <c r="EL772" s="335"/>
      <c r="EM772" s="335"/>
      <c r="EN772" s="335"/>
      <c r="EO772" s="335"/>
      <c r="EP772" s="335"/>
      <c r="EQ772" s="335"/>
      <c r="ER772" s="335"/>
      <c r="ES772" s="335"/>
      <c r="ET772" s="335"/>
      <c r="EU772" s="335"/>
      <c r="EV772" s="335"/>
      <c r="EW772" s="335"/>
      <c r="EX772" s="335"/>
      <c r="EY772" s="335"/>
      <c r="EZ772" s="335"/>
      <c r="FA772" s="335"/>
      <c r="FB772" s="335"/>
      <c r="FC772" s="335"/>
      <c r="FD772" s="335"/>
      <c r="FE772" s="335"/>
      <c r="FF772" s="335"/>
      <c r="FG772" s="335"/>
      <c r="FH772" s="335"/>
      <c r="FI772" s="335"/>
      <c r="FJ772" s="335"/>
      <c r="FK772" s="335"/>
      <c r="FL772" s="335"/>
      <c r="FM772" s="335"/>
      <c r="FN772" s="335"/>
      <c r="FO772" s="335"/>
      <c r="FP772" s="335"/>
      <c r="FQ772" s="335"/>
      <c r="FR772" s="335"/>
      <c r="FS772" s="335"/>
      <c r="FT772" s="335"/>
      <c r="FU772" s="335"/>
      <c r="FV772" s="335"/>
      <c r="FW772" s="335"/>
      <c r="FX772" s="335"/>
      <c r="FY772" s="335"/>
      <c r="FZ772" s="335"/>
      <c r="GA772" s="335"/>
      <c r="GB772" s="335"/>
      <c r="GC772" s="335"/>
      <c r="GD772" s="335"/>
      <c r="GE772" s="335"/>
      <c r="GF772" s="335"/>
      <c r="GG772" s="335"/>
      <c r="GH772" s="335"/>
      <c r="GI772" s="335"/>
      <c r="GJ772" s="335"/>
      <c r="GK772" s="335"/>
      <c r="GL772" s="335"/>
      <c r="GM772" s="335"/>
      <c r="GN772" s="335"/>
      <c r="GO772" s="335"/>
      <c r="GP772" s="335"/>
      <c r="GQ772" s="335"/>
      <c r="GR772" s="335"/>
      <c r="GS772" s="335"/>
      <c r="GT772" s="335"/>
      <c r="GU772" s="335"/>
      <c r="GV772" s="335"/>
      <c r="GW772" s="335"/>
      <c r="GX772" s="335"/>
      <c r="GY772" s="335"/>
      <c r="GZ772" s="335"/>
    </row>
    <row r="773" spans="1:208" ht="15">
      <c r="A773" s="379"/>
      <c r="B773" s="335"/>
      <c r="C773" s="335"/>
      <c r="D773" s="335"/>
      <c r="E773" s="335"/>
      <c r="F773" s="335"/>
      <c r="G773" s="335"/>
      <c r="H773" s="335"/>
      <c r="I773" s="335"/>
      <c r="J773" s="335"/>
      <c r="K773" s="335"/>
      <c r="L773" s="335"/>
      <c r="M773" s="376"/>
      <c r="N773" s="335"/>
      <c r="O773" s="380"/>
      <c r="P773" s="335"/>
      <c r="Q773" s="335"/>
      <c r="R773" s="335"/>
      <c r="S773" s="335"/>
      <c r="T773" s="335"/>
      <c r="U773" s="335"/>
      <c r="V773" s="335"/>
      <c r="W773" s="335"/>
      <c r="X773" s="335"/>
      <c r="Y773" s="335"/>
      <c r="Z773" s="335"/>
      <c r="AA773" s="335"/>
      <c r="AB773" s="335"/>
      <c r="AC773" s="335"/>
      <c r="AD773" s="335"/>
      <c r="AE773" s="335"/>
      <c r="AF773" s="335"/>
      <c r="AG773" s="335"/>
      <c r="AH773" s="335"/>
      <c r="AI773" s="335"/>
      <c r="AJ773" s="335"/>
      <c r="AK773" s="335"/>
      <c r="AL773" s="335"/>
      <c r="AM773" s="335"/>
      <c r="AN773" s="335"/>
      <c r="AO773" s="335"/>
      <c r="AP773" s="335"/>
      <c r="AQ773" s="335"/>
      <c r="AR773" s="335"/>
      <c r="AS773" s="335"/>
      <c r="AT773" s="335"/>
      <c r="AU773" s="335"/>
      <c r="AV773" s="335"/>
      <c r="AW773" s="335"/>
      <c r="AX773" s="335"/>
      <c r="AY773" s="335"/>
      <c r="AZ773" s="335"/>
      <c r="BA773" s="335"/>
      <c r="BB773" s="335"/>
      <c r="BC773" s="335"/>
      <c r="BD773" s="335"/>
      <c r="BE773" s="335"/>
      <c r="BF773" s="335"/>
      <c r="BG773" s="335"/>
      <c r="BH773" s="335"/>
      <c r="BI773" s="335"/>
      <c r="BJ773" s="335"/>
      <c r="BK773" s="335"/>
      <c r="BL773" s="335"/>
      <c r="BM773" s="335"/>
      <c r="BN773" s="335"/>
      <c r="BO773" s="335"/>
      <c r="BP773" s="335"/>
      <c r="BQ773" s="335"/>
      <c r="BR773" s="335"/>
      <c r="BS773" s="335"/>
      <c r="BT773" s="335"/>
      <c r="BU773" s="335"/>
      <c r="BV773" s="335"/>
      <c r="BW773" s="335"/>
      <c r="BX773" s="335"/>
      <c r="BY773" s="335"/>
      <c r="BZ773" s="335"/>
      <c r="CA773" s="335"/>
      <c r="CB773" s="335"/>
      <c r="CC773" s="335"/>
      <c r="CD773" s="335"/>
      <c r="CE773" s="335"/>
      <c r="CF773" s="335"/>
      <c r="CG773" s="335"/>
      <c r="CH773" s="335"/>
      <c r="CI773" s="335"/>
      <c r="CJ773" s="335"/>
      <c r="CK773" s="335"/>
      <c r="CL773" s="335"/>
      <c r="CM773" s="335"/>
      <c r="CN773" s="335"/>
      <c r="CO773" s="335"/>
      <c r="CP773" s="335"/>
      <c r="CQ773" s="335"/>
      <c r="CR773" s="335"/>
      <c r="CS773" s="335"/>
      <c r="CT773" s="335"/>
      <c r="CU773" s="335"/>
      <c r="CV773" s="335"/>
      <c r="CW773" s="335"/>
      <c r="CX773" s="335"/>
      <c r="CY773" s="335"/>
      <c r="CZ773" s="335"/>
      <c r="DA773" s="335"/>
      <c r="DB773" s="335"/>
      <c r="DC773" s="335"/>
      <c r="DD773" s="335"/>
      <c r="DE773" s="335"/>
      <c r="DF773" s="335"/>
      <c r="DG773" s="335"/>
      <c r="DH773" s="335"/>
      <c r="DI773" s="335"/>
      <c r="DJ773" s="335"/>
      <c r="DK773" s="335"/>
      <c r="DL773" s="335"/>
      <c r="DM773" s="335"/>
      <c r="DN773" s="335"/>
      <c r="DO773" s="335"/>
      <c r="DP773" s="335"/>
      <c r="DQ773" s="335"/>
      <c r="DR773" s="335"/>
      <c r="DS773" s="335"/>
      <c r="DT773" s="335"/>
      <c r="DU773" s="335"/>
      <c r="DV773" s="335"/>
      <c r="DW773" s="335"/>
      <c r="DX773" s="335"/>
      <c r="DY773" s="335"/>
      <c r="DZ773" s="335"/>
      <c r="EA773" s="335"/>
      <c r="EB773" s="335"/>
      <c r="EC773" s="335"/>
      <c r="ED773" s="335"/>
      <c r="EE773" s="335"/>
      <c r="EF773" s="335"/>
      <c r="EG773" s="335"/>
      <c r="EH773" s="335"/>
      <c r="EI773" s="335"/>
      <c r="EJ773" s="335"/>
      <c r="EK773" s="335"/>
      <c r="EL773" s="335"/>
      <c r="EM773" s="335"/>
      <c r="EN773" s="335"/>
      <c r="EO773" s="335"/>
      <c r="EP773" s="335"/>
      <c r="EQ773" s="335"/>
      <c r="ER773" s="335"/>
      <c r="ES773" s="335"/>
      <c r="ET773" s="335"/>
      <c r="EU773" s="335"/>
      <c r="EV773" s="335"/>
      <c r="EW773" s="335"/>
      <c r="EX773" s="335"/>
      <c r="EY773" s="335"/>
      <c r="EZ773" s="335"/>
      <c r="FA773" s="335"/>
      <c r="FB773" s="335"/>
      <c r="FC773" s="335"/>
      <c r="FD773" s="335"/>
      <c r="FE773" s="335"/>
      <c r="FF773" s="335"/>
      <c r="FG773" s="335"/>
      <c r="FH773" s="335"/>
      <c r="FI773" s="335"/>
      <c r="FJ773" s="335"/>
      <c r="FK773" s="335"/>
      <c r="FL773" s="335"/>
      <c r="FM773" s="335"/>
      <c r="FN773" s="335"/>
      <c r="FO773" s="335"/>
      <c r="FP773" s="335"/>
      <c r="FQ773" s="335"/>
      <c r="FR773" s="335"/>
      <c r="FS773" s="335"/>
      <c r="FT773" s="335"/>
      <c r="FU773" s="335"/>
      <c r="FV773" s="335"/>
      <c r="FW773" s="335"/>
      <c r="FX773" s="335"/>
      <c r="FY773" s="335"/>
      <c r="FZ773" s="335"/>
      <c r="GA773" s="335"/>
      <c r="GB773" s="335"/>
      <c r="GC773" s="335"/>
      <c r="GD773" s="335"/>
      <c r="GE773" s="335"/>
      <c r="GF773" s="335"/>
      <c r="GG773" s="335"/>
      <c r="GH773" s="335"/>
      <c r="GI773" s="335"/>
      <c r="GJ773" s="335"/>
      <c r="GK773" s="335"/>
      <c r="GL773" s="335"/>
      <c r="GM773" s="335"/>
      <c r="GN773" s="335"/>
      <c r="GO773" s="335"/>
      <c r="GP773" s="335"/>
      <c r="GQ773" s="335"/>
      <c r="GR773" s="335"/>
      <c r="GS773" s="335"/>
      <c r="GT773" s="335"/>
      <c r="GU773" s="335"/>
      <c r="GV773" s="335"/>
      <c r="GW773" s="335"/>
      <c r="GX773" s="335"/>
      <c r="GY773" s="335"/>
      <c r="GZ773" s="335"/>
    </row>
    <row r="774" spans="1:208" ht="15">
      <c r="A774" s="379"/>
      <c r="B774" s="335"/>
      <c r="C774" s="335"/>
      <c r="D774" s="335"/>
      <c r="E774" s="335"/>
      <c r="F774" s="335"/>
      <c r="G774" s="335"/>
      <c r="H774" s="335"/>
      <c r="I774" s="335"/>
      <c r="J774" s="335"/>
      <c r="K774" s="335"/>
      <c r="L774" s="335"/>
      <c r="M774" s="376"/>
      <c r="N774" s="335"/>
      <c r="O774" s="380"/>
      <c r="P774" s="335"/>
      <c r="Q774" s="335"/>
      <c r="R774" s="335"/>
      <c r="S774" s="335"/>
      <c r="T774" s="335"/>
      <c r="U774" s="335"/>
      <c r="V774" s="335"/>
      <c r="W774" s="335"/>
      <c r="X774" s="335"/>
      <c r="Y774" s="335"/>
      <c r="Z774" s="335"/>
      <c r="AA774" s="335"/>
      <c r="AB774" s="335"/>
      <c r="AC774" s="335"/>
      <c r="AD774" s="335"/>
      <c r="AE774" s="335"/>
      <c r="AF774" s="335"/>
      <c r="AG774" s="335"/>
      <c r="AH774" s="335"/>
      <c r="AI774" s="335"/>
      <c r="AJ774" s="335"/>
      <c r="AK774" s="335"/>
      <c r="AL774" s="335"/>
      <c r="AM774" s="335"/>
      <c r="AN774" s="335"/>
      <c r="AO774" s="335"/>
      <c r="AP774" s="335"/>
      <c r="AQ774" s="335"/>
      <c r="AR774" s="335"/>
      <c r="AS774" s="335"/>
      <c r="AT774" s="335"/>
      <c r="AU774" s="335"/>
      <c r="AV774" s="335"/>
      <c r="AW774" s="335"/>
      <c r="AX774" s="335"/>
      <c r="AY774" s="335"/>
      <c r="AZ774" s="335"/>
      <c r="BA774" s="335"/>
      <c r="BB774" s="335"/>
      <c r="BC774" s="335"/>
      <c r="BD774" s="335"/>
      <c r="BE774" s="335"/>
      <c r="BF774" s="335"/>
      <c r="BG774" s="335"/>
      <c r="BH774" s="335"/>
      <c r="BI774" s="335"/>
      <c r="BJ774" s="335"/>
      <c r="BK774" s="335"/>
      <c r="BL774" s="335"/>
      <c r="BM774" s="335"/>
      <c r="BN774" s="335"/>
      <c r="BO774" s="335"/>
      <c r="BP774" s="335"/>
      <c r="BQ774" s="335"/>
      <c r="BR774" s="335"/>
      <c r="BS774" s="335"/>
      <c r="BT774" s="335"/>
      <c r="BU774" s="335"/>
      <c r="BV774" s="335"/>
      <c r="BW774" s="335"/>
      <c r="BX774" s="335"/>
      <c r="BY774" s="335"/>
      <c r="BZ774" s="335"/>
      <c r="CA774" s="335"/>
      <c r="CB774" s="335"/>
      <c r="CC774" s="335"/>
      <c r="CD774" s="335"/>
      <c r="CE774" s="335"/>
      <c r="CF774" s="335"/>
      <c r="CG774" s="335"/>
      <c r="CH774" s="335"/>
      <c r="CI774" s="335"/>
      <c r="CJ774" s="335"/>
      <c r="CK774" s="335"/>
      <c r="CL774" s="335"/>
      <c r="CM774" s="335"/>
      <c r="CN774" s="335"/>
      <c r="CO774" s="335"/>
      <c r="CP774" s="335"/>
      <c r="CQ774" s="335"/>
      <c r="CR774" s="335"/>
      <c r="CS774" s="335"/>
      <c r="CT774" s="335"/>
      <c r="CU774" s="335"/>
      <c r="CV774" s="335"/>
      <c r="CW774" s="335"/>
      <c r="CX774" s="335"/>
      <c r="CY774" s="335"/>
      <c r="CZ774" s="335"/>
      <c r="DA774" s="335"/>
      <c r="DB774" s="335"/>
      <c r="DC774" s="335"/>
      <c r="DD774" s="335"/>
      <c r="DE774" s="335"/>
      <c r="DF774" s="335"/>
      <c r="DG774" s="335"/>
      <c r="DH774" s="335"/>
      <c r="DI774" s="335"/>
      <c r="DJ774" s="335"/>
      <c r="DK774" s="335"/>
      <c r="DL774" s="335"/>
      <c r="DM774" s="335"/>
      <c r="DN774" s="335"/>
      <c r="DO774" s="335"/>
      <c r="DP774" s="335"/>
      <c r="DQ774" s="335"/>
      <c r="DR774" s="335"/>
      <c r="DS774" s="335"/>
      <c r="DT774" s="335"/>
      <c r="DU774" s="335"/>
      <c r="DV774" s="335"/>
      <c r="DW774" s="335"/>
      <c r="DX774" s="335"/>
      <c r="DY774" s="335"/>
      <c r="DZ774" s="335"/>
      <c r="EA774" s="335"/>
      <c r="EB774" s="335"/>
      <c r="EC774" s="335"/>
      <c r="ED774" s="335"/>
      <c r="EE774" s="335"/>
      <c r="EF774" s="335"/>
      <c r="EG774" s="335"/>
      <c r="EH774" s="335"/>
      <c r="EI774" s="335"/>
      <c r="EJ774" s="335"/>
      <c r="EK774" s="335"/>
      <c r="EL774" s="335"/>
      <c r="EM774" s="335"/>
      <c r="EN774" s="335"/>
      <c r="EO774" s="335"/>
      <c r="EP774" s="335"/>
      <c r="EQ774" s="335"/>
      <c r="ER774" s="335"/>
      <c r="ES774" s="335"/>
      <c r="ET774" s="335"/>
      <c r="EU774" s="335"/>
      <c r="EV774" s="335"/>
      <c r="EW774" s="335"/>
      <c r="EX774" s="335"/>
      <c r="EY774" s="335"/>
      <c r="EZ774" s="335"/>
      <c r="FA774" s="335"/>
      <c r="FB774" s="335"/>
      <c r="FC774" s="335"/>
      <c r="FD774" s="335"/>
      <c r="FE774" s="335"/>
      <c r="FF774" s="335"/>
      <c r="FG774" s="335"/>
      <c r="FH774" s="335"/>
      <c r="FI774" s="335"/>
      <c r="FJ774" s="335"/>
      <c r="FK774" s="335"/>
      <c r="FL774" s="335"/>
      <c r="FM774" s="335"/>
      <c r="FN774" s="335"/>
      <c r="FO774" s="335"/>
      <c r="FP774" s="335"/>
      <c r="FQ774" s="335"/>
      <c r="FR774" s="335"/>
      <c r="FS774" s="335"/>
      <c r="FT774" s="335"/>
      <c r="FU774" s="335"/>
      <c r="FV774" s="335"/>
      <c r="FW774" s="335"/>
      <c r="FX774" s="335"/>
      <c r="FY774" s="335"/>
      <c r="FZ774" s="335"/>
      <c r="GA774" s="335"/>
      <c r="GB774" s="335"/>
      <c r="GC774" s="335"/>
      <c r="GD774" s="335"/>
      <c r="GE774" s="335"/>
      <c r="GF774" s="335"/>
      <c r="GG774" s="335"/>
      <c r="GH774" s="335"/>
      <c r="GI774" s="335"/>
      <c r="GJ774" s="335"/>
      <c r="GK774" s="335"/>
      <c r="GL774" s="335"/>
      <c r="GM774" s="335"/>
      <c r="GN774" s="335"/>
      <c r="GO774" s="335"/>
      <c r="GP774" s="335"/>
      <c r="GQ774" s="335"/>
      <c r="GR774" s="335"/>
      <c r="GS774" s="335"/>
      <c r="GT774" s="335"/>
      <c r="GU774" s="335"/>
      <c r="GV774" s="335"/>
      <c r="GW774" s="335"/>
      <c r="GX774" s="335"/>
      <c r="GY774" s="335"/>
      <c r="GZ774" s="335"/>
    </row>
    <row r="775" spans="1:208" ht="15">
      <c r="A775" s="379"/>
      <c r="B775" s="335"/>
      <c r="C775" s="335"/>
      <c r="D775" s="335"/>
      <c r="E775" s="335"/>
      <c r="F775" s="335"/>
      <c r="G775" s="335"/>
      <c r="H775" s="335"/>
      <c r="I775" s="335"/>
      <c r="J775" s="335"/>
      <c r="K775" s="335"/>
      <c r="L775" s="335"/>
      <c r="M775" s="376"/>
      <c r="N775" s="335"/>
      <c r="O775" s="380"/>
      <c r="P775" s="335"/>
      <c r="Q775" s="335"/>
      <c r="R775" s="335"/>
      <c r="S775" s="335"/>
      <c r="T775" s="335"/>
      <c r="U775" s="335"/>
      <c r="V775" s="335"/>
      <c r="W775" s="335"/>
      <c r="X775" s="335"/>
      <c r="Y775" s="335"/>
      <c r="Z775" s="335"/>
      <c r="AA775" s="335"/>
      <c r="AB775" s="335"/>
      <c r="AC775" s="335"/>
      <c r="AD775" s="335"/>
      <c r="AE775" s="335"/>
      <c r="AF775" s="335"/>
      <c r="AG775" s="335"/>
      <c r="AH775" s="335"/>
      <c r="AI775" s="335"/>
      <c r="AJ775" s="335"/>
      <c r="AK775" s="335"/>
      <c r="AL775" s="335"/>
      <c r="AM775" s="335"/>
      <c r="AN775" s="335"/>
      <c r="AO775" s="335"/>
      <c r="AP775" s="335"/>
      <c r="AQ775" s="335"/>
      <c r="AR775" s="335"/>
      <c r="AS775" s="335"/>
      <c r="AT775" s="335"/>
      <c r="AU775" s="335"/>
      <c r="AV775" s="335"/>
      <c r="AW775" s="335"/>
      <c r="AX775" s="335"/>
      <c r="AY775" s="335"/>
      <c r="AZ775" s="335"/>
      <c r="BA775" s="335"/>
      <c r="BB775" s="335"/>
      <c r="BC775" s="335"/>
      <c r="BD775" s="335"/>
      <c r="BE775" s="335"/>
      <c r="BF775" s="335"/>
      <c r="BG775" s="335"/>
      <c r="BH775" s="335"/>
      <c r="BI775" s="335"/>
      <c r="BJ775" s="335"/>
      <c r="BK775" s="335"/>
      <c r="BL775" s="335"/>
      <c r="BM775" s="335"/>
      <c r="BN775" s="335"/>
      <c r="BO775" s="335"/>
      <c r="BP775" s="335"/>
      <c r="BQ775" s="335"/>
      <c r="BR775" s="335"/>
      <c r="BS775" s="335"/>
      <c r="BT775" s="335"/>
      <c r="BU775" s="335"/>
      <c r="BV775" s="335"/>
      <c r="BW775" s="335"/>
      <c r="BX775" s="335"/>
      <c r="BY775" s="335"/>
      <c r="BZ775" s="335"/>
      <c r="CA775" s="335"/>
      <c r="CB775" s="335"/>
      <c r="CC775" s="335"/>
      <c r="CD775" s="335"/>
      <c r="CE775" s="335"/>
      <c r="CF775" s="335"/>
      <c r="CG775" s="335"/>
      <c r="CH775" s="335"/>
      <c r="CI775" s="335"/>
      <c r="CJ775" s="335"/>
      <c r="CK775" s="335"/>
      <c r="CL775" s="335"/>
      <c r="CM775" s="335"/>
      <c r="CN775" s="335"/>
      <c r="CO775" s="335"/>
      <c r="CP775" s="335"/>
      <c r="CQ775" s="335"/>
      <c r="CR775" s="335"/>
      <c r="CS775" s="335"/>
      <c r="CT775" s="335"/>
      <c r="CU775" s="335"/>
      <c r="CV775" s="335"/>
      <c r="CW775" s="335"/>
      <c r="CX775" s="335"/>
      <c r="CY775" s="335"/>
      <c r="CZ775" s="335"/>
      <c r="DA775" s="335"/>
      <c r="DB775" s="335"/>
      <c r="DC775" s="335"/>
      <c r="DD775" s="335"/>
      <c r="DE775" s="335"/>
      <c r="DF775" s="335"/>
      <c r="DG775" s="335"/>
      <c r="DH775" s="335"/>
      <c r="DI775" s="335"/>
      <c r="DJ775" s="335"/>
      <c r="DK775" s="335"/>
      <c r="DL775" s="335"/>
      <c r="DM775" s="335"/>
      <c r="DN775" s="335"/>
      <c r="DO775" s="335"/>
      <c r="DP775" s="335"/>
      <c r="DQ775" s="335"/>
      <c r="DR775" s="335"/>
      <c r="DS775" s="335"/>
      <c r="DT775" s="335"/>
      <c r="DU775" s="335"/>
      <c r="DV775" s="335"/>
      <c r="DW775" s="335"/>
      <c r="DX775" s="335"/>
      <c r="DY775" s="335"/>
      <c r="DZ775" s="335"/>
      <c r="EA775" s="335"/>
      <c r="EB775" s="335"/>
      <c r="EC775" s="335"/>
      <c r="ED775" s="335"/>
      <c r="EE775" s="335"/>
      <c r="EF775" s="335"/>
      <c r="EG775" s="335"/>
      <c r="EH775" s="335"/>
      <c r="EI775" s="335"/>
      <c r="EJ775" s="335"/>
      <c r="EK775" s="335"/>
      <c r="EL775" s="335"/>
      <c r="EM775" s="335"/>
      <c r="EN775" s="335"/>
      <c r="EO775" s="335"/>
      <c r="EP775" s="335"/>
      <c r="EQ775" s="335"/>
      <c r="ER775" s="335"/>
      <c r="ES775" s="335"/>
      <c r="ET775" s="335"/>
      <c r="EU775" s="335"/>
      <c r="EV775" s="335"/>
      <c r="EW775" s="335"/>
      <c r="EX775" s="335"/>
      <c r="EY775" s="335"/>
      <c r="EZ775" s="335"/>
      <c r="FA775" s="335"/>
      <c r="FB775" s="335"/>
      <c r="FC775" s="335"/>
      <c r="FD775" s="335"/>
      <c r="FE775" s="335"/>
      <c r="FF775" s="335"/>
      <c r="FG775" s="335"/>
      <c r="FH775" s="335"/>
      <c r="FI775" s="335"/>
      <c r="FJ775" s="335"/>
      <c r="FK775" s="335"/>
      <c r="FL775" s="335"/>
      <c r="FM775" s="335"/>
      <c r="FN775" s="335"/>
      <c r="FO775" s="335"/>
      <c r="FP775" s="335"/>
      <c r="FQ775" s="335"/>
      <c r="FR775" s="335"/>
      <c r="FS775" s="335"/>
      <c r="FT775" s="335"/>
      <c r="FU775" s="335"/>
      <c r="FV775" s="335"/>
      <c r="FW775" s="335"/>
      <c r="FX775" s="335"/>
      <c r="FY775" s="335"/>
      <c r="FZ775" s="335"/>
      <c r="GA775" s="335"/>
      <c r="GB775" s="335"/>
      <c r="GC775" s="335"/>
      <c r="GD775" s="335"/>
      <c r="GE775" s="335"/>
      <c r="GF775" s="335"/>
      <c r="GG775" s="335"/>
      <c r="GH775" s="335"/>
      <c r="GI775" s="335"/>
      <c r="GJ775" s="335"/>
      <c r="GK775" s="335"/>
      <c r="GL775" s="335"/>
      <c r="GM775" s="335"/>
      <c r="GN775" s="335"/>
      <c r="GO775" s="335"/>
      <c r="GP775" s="335"/>
      <c r="GQ775" s="335"/>
      <c r="GR775" s="335"/>
      <c r="GS775" s="335"/>
      <c r="GT775" s="335"/>
      <c r="GU775" s="335"/>
      <c r="GV775" s="335"/>
      <c r="GW775" s="335"/>
      <c r="GX775" s="335"/>
      <c r="GY775" s="335"/>
      <c r="GZ775" s="335"/>
    </row>
    <row r="776" spans="1:208" ht="15">
      <c r="A776" s="379"/>
      <c r="B776" s="335"/>
      <c r="C776" s="335"/>
      <c r="D776" s="335"/>
      <c r="E776" s="335"/>
      <c r="F776" s="335"/>
      <c r="G776" s="335"/>
      <c r="H776" s="335"/>
      <c r="I776" s="335"/>
      <c r="J776" s="335"/>
      <c r="K776" s="335"/>
      <c r="L776" s="335"/>
      <c r="M776" s="376"/>
      <c r="N776" s="335"/>
      <c r="O776" s="380"/>
      <c r="P776" s="335"/>
      <c r="Q776" s="335"/>
      <c r="R776" s="335"/>
      <c r="S776" s="335"/>
      <c r="T776" s="335"/>
      <c r="U776" s="335"/>
      <c r="V776" s="335"/>
      <c r="W776" s="335"/>
      <c r="X776" s="335"/>
      <c r="Y776" s="335"/>
      <c r="Z776" s="335"/>
      <c r="AA776" s="335"/>
      <c r="AB776" s="335"/>
      <c r="AC776" s="335"/>
      <c r="AD776" s="335"/>
      <c r="AE776" s="335"/>
      <c r="AF776" s="335"/>
      <c r="AG776" s="335"/>
      <c r="AH776" s="335"/>
      <c r="AI776" s="335"/>
      <c r="AJ776" s="335"/>
      <c r="AK776" s="335"/>
      <c r="AL776" s="335"/>
      <c r="AM776" s="335"/>
      <c r="AN776" s="335"/>
      <c r="AO776" s="335"/>
      <c r="AP776" s="335"/>
      <c r="AQ776" s="335"/>
      <c r="AR776" s="335"/>
      <c r="AS776" s="335"/>
      <c r="AT776" s="335"/>
      <c r="AU776" s="335"/>
      <c r="AV776" s="335"/>
      <c r="AW776" s="335"/>
      <c r="AX776" s="335"/>
      <c r="AY776" s="335"/>
      <c r="AZ776" s="335"/>
      <c r="BA776" s="335"/>
      <c r="BB776" s="335"/>
      <c r="BC776" s="335"/>
      <c r="BD776" s="335"/>
      <c r="BE776" s="335"/>
      <c r="BF776" s="335"/>
      <c r="BG776" s="335"/>
      <c r="BH776" s="335"/>
      <c r="BI776" s="335"/>
      <c r="BJ776" s="335"/>
      <c r="BK776" s="335"/>
      <c r="BL776" s="335"/>
      <c r="BM776" s="335"/>
      <c r="BN776" s="335"/>
      <c r="BO776" s="335"/>
      <c r="BP776" s="335"/>
      <c r="BQ776" s="335"/>
      <c r="BR776" s="335"/>
      <c r="BS776" s="335"/>
      <c r="BT776" s="335"/>
      <c r="BU776" s="335"/>
      <c r="BV776" s="335"/>
      <c r="BW776" s="335"/>
      <c r="BX776" s="335"/>
      <c r="BY776" s="335"/>
      <c r="BZ776" s="335"/>
      <c r="CA776" s="335"/>
      <c r="CB776" s="335"/>
      <c r="CC776" s="335"/>
      <c r="CD776" s="335"/>
      <c r="CE776" s="335"/>
      <c r="CF776" s="335"/>
      <c r="CG776" s="335"/>
      <c r="CH776" s="335"/>
      <c r="CI776" s="335"/>
      <c r="CJ776" s="335"/>
      <c r="CK776" s="335"/>
      <c r="CL776" s="335"/>
      <c r="CM776" s="335"/>
      <c r="CN776" s="335"/>
      <c r="CO776" s="335"/>
      <c r="CP776" s="335"/>
      <c r="CQ776" s="335"/>
      <c r="CR776" s="335"/>
      <c r="CS776" s="335"/>
      <c r="CT776" s="335"/>
      <c r="CU776" s="335"/>
      <c r="CV776" s="335"/>
      <c r="CW776" s="335"/>
      <c r="CX776" s="335"/>
      <c r="CY776" s="335"/>
      <c r="CZ776" s="335"/>
      <c r="DA776" s="335"/>
      <c r="DB776" s="335"/>
      <c r="DC776" s="335"/>
      <c r="DD776" s="335"/>
      <c r="DE776" s="335"/>
      <c r="DF776" s="335"/>
      <c r="DG776" s="335"/>
      <c r="DH776" s="335"/>
      <c r="DI776" s="335"/>
      <c r="DJ776" s="335"/>
      <c r="DK776" s="335"/>
      <c r="DL776" s="335"/>
      <c r="DM776" s="335"/>
      <c r="DN776" s="335"/>
      <c r="DO776" s="335"/>
      <c r="DP776" s="335"/>
      <c r="DQ776" s="335"/>
      <c r="DR776" s="335"/>
      <c r="DS776" s="335"/>
      <c r="DT776" s="335"/>
      <c r="DU776" s="335"/>
      <c r="DV776" s="335"/>
      <c r="DW776" s="335"/>
      <c r="DX776" s="335"/>
      <c r="DY776" s="335"/>
      <c r="DZ776" s="335"/>
      <c r="EA776" s="335"/>
      <c r="EB776" s="335"/>
      <c r="EC776" s="335"/>
      <c r="ED776" s="335"/>
      <c r="EE776" s="335"/>
      <c r="EF776" s="335"/>
      <c r="EG776" s="335"/>
      <c r="EH776" s="335"/>
      <c r="EI776" s="335"/>
      <c r="EJ776" s="335"/>
      <c r="EK776" s="335"/>
      <c r="EL776" s="335"/>
      <c r="EM776" s="335"/>
      <c r="EN776" s="335"/>
      <c r="EO776" s="335"/>
      <c r="EP776" s="335"/>
      <c r="EQ776" s="335"/>
      <c r="ER776" s="335"/>
      <c r="ES776" s="335"/>
      <c r="ET776" s="335"/>
      <c r="EU776" s="335"/>
      <c r="EV776" s="335"/>
      <c r="EW776" s="335"/>
      <c r="EX776" s="335"/>
      <c r="EY776" s="335"/>
      <c r="EZ776" s="335"/>
      <c r="FA776" s="335"/>
      <c r="FB776" s="335"/>
      <c r="FC776" s="335"/>
      <c r="FD776" s="335"/>
      <c r="FE776" s="335"/>
      <c r="FF776" s="335"/>
      <c r="FG776" s="335"/>
      <c r="FH776" s="335"/>
      <c r="FI776" s="335"/>
      <c r="FJ776" s="335"/>
      <c r="FK776" s="335"/>
      <c r="FL776" s="335"/>
      <c r="FM776" s="335"/>
      <c r="FN776" s="335"/>
      <c r="FO776" s="335"/>
      <c r="FP776" s="335"/>
      <c r="FQ776" s="335"/>
      <c r="FR776" s="335"/>
      <c r="FS776" s="335"/>
      <c r="FT776" s="335"/>
      <c r="FU776" s="335"/>
      <c r="FV776" s="335"/>
      <c r="FW776" s="335"/>
      <c r="FX776" s="335"/>
      <c r="FY776" s="335"/>
      <c r="FZ776" s="335"/>
      <c r="GA776" s="335"/>
      <c r="GB776" s="335"/>
      <c r="GC776" s="335"/>
      <c r="GD776" s="335"/>
      <c r="GE776" s="335"/>
      <c r="GF776" s="335"/>
      <c r="GG776" s="335"/>
      <c r="GH776" s="335"/>
      <c r="GI776" s="335"/>
      <c r="GJ776" s="335"/>
      <c r="GK776" s="335"/>
      <c r="GL776" s="335"/>
      <c r="GM776" s="335"/>
      <c r="GN776" s="335"/>
      <c r="GO776" s="335"/>
      <c r="GP776" s="335"/>
      <c r="GQ776" s="335"/>
      <c r="GR776" s="335"/>
      <c r="GS776" s="335"/>
      <c r="GT776" s="335"/>
      <c r="GU776" s="335"/>
      <c r="GV776" s="335"/>
      <c r="GW776" s="335"/>
      <c r="GX776" s="335"/>
      <c r="GY776" s="335"/>
      <c r="GZ776" s="335"/>
    </row>
    <row r="777" spans="1:208" ht="15">
      <c r="A777" s="379"/>
      <c r="B777" s="335"/>
      <c r="C777" s="335"/>
      <c r="D777" s="335"/>
      <c r="E777" s="335"/>
      <c r="F777" s="335"/>
      <c r="G777" s="335"/>
      <c r="H777" s="335"/>
      <c r="I777" s="335"/>
      <c r="J777" s="335"/>
      <c r="K777" s="335"/>
      <c r="L777" s="335"/>
      <c r="M777" s="376"/>
      <c r="N777" s="335"/>
      <c r="O777" s="380"/>
      <c r="P777" s="335"/>
      <c r="Q777" s="335"/>
      <c r="R777" s="335"/>
      <c r="S777" s="335"/>
      <c r="T777" s="335"/>
      <c r="U777" s="335"/>
      <c r="V777" s="335"/>
      <c r="W777" s="335"/>
      <c r="X777" s="335"/>
      <c r="Y777" s="335"/>
      <c r="Z777" s="335"/>
      <c r="AA777" s="335"/>
      <c r="AB777" s="335"/>
      <c r="AC777" s="335"/>
      <c r="AD777" s="335"/>
      <c r="AE777" s="335"/>
      <c r="AF777" s="335"/>
      <c r="AG777" s="335"/>
      <c r="AH777" s="335"/>
      <c r="AI777" s="335"/>
      <c r="AJ777" s="335"/>
      <c r="AK777" s="335"/>
      <c r="AL777" s="335"/>
      <c r="AM777" s="335"/>
      <c r="AN777" s="335"/>
      <c r="AO777" s="335"/>
      <c r="AP777" s="335"/>
      <c r="AQ777" s="335"/>
      <c r="AR777" s="335"/>
      <c r="AS777" s="335"/>
      <c r="AT777" s="335"/>
      <c r="AU777" s="335"/>
      <c r="AV777" s="335"/>
      <c r="AW777" s="335"/>
      <c r="AX777" s="335"/>
      <c r="AY777" s="335"/>
      <c r="AZ777" s="335"/>
      <c r="BA777" s="335"/>
      <c r="BB777" s="335"/>
      <c r="BC777" s="335"/>
      <c r="BD777" s="335"/>
      <c r="BE777" s="335"/>
      <c r="BF777" s="335"/>
      <c r="BG777" s="335"/>
      <c r="BH777" s="335"/>
      <c r="BI777" s="335"/>
      <c r="BJ777" s="335"/>
      <c r="BK777" s="335"/>
      <c r="BL777" s="335"/>
      <c r="BM777" s="335"/>
      <c r="BN777" s="335"/>
      <c r="BO777" s="335"/>
      <c r="BP777" s="335"/>
      <c r="BQ777" s="335"/>
      <c r="BR777" s="335"/>
      <c r="BS777" s="335"/>
      <c r="BT777" s="335"/>
      <c r="BU777" s="335"/>
      <c r="BV777" s="335"/>
      <c r="BW777" s="335"/>
      <c r="BX777" s="335"/>
      <c r="BY777" s="335"/>
      <c r="BZ777" s="335"/>
      <c r="CA777" s="335"/>
      <c r="CB777" s="335"/>
      <c r="CC777" s="335"/>
      <c r="CD777" s="335"/>
      <c r="CE777" s="335"/>
      <c r="CF777" s="335"/>
      <c r="CG777" s="335"/>
      <c r="CH777" s="335"/>
      <c r="CI777" s="335"/>
      <c r="CJ777" s="335"/>
      <c r="CK777" s="335"/>
      <c r="CL777" s="335"/>
      <c r="CM777" s="335"/>
      <c r="CN777" s="335"/>
      <c r="CO777" s="335"/>
      <c r="CP777" s="335"/>
      <c r="CQ777" s="335"/>
      <c r="CR777" s="335"/>
      <c r="CS777" s="335"/>
      <c r="CT777" s="335"/>
      <c r="CU777" s="335"/>
      <c r="CV777" s="335"/>
      <c r="CW777" s="335"/>
      <c r="CX777" s="335"/>
      <c r="CY777" s="335"/>
      <c r="CZ777" s="335"/>
      <c r="DA777" s="335"/>
      <c r="DB777" s="335"/>
      <c r="DC777" s="335"/>
      <c r="DD777" s="335"/>
      <c r="DE777" s="335"/>
      <c r="DF777" s="335"/>
      <c r="DG777" s="335"/>
      <c r="DH777" s="335"/>
      <c r="DI777" s="335"/>
      <c r="DJ777" s="335"/>
      <c r="DK777" s="335"/>
      <c r="DL777" s="335"/>
      <c r="DM777" s="335"/>
      <c r="DN777" s="335"/>
      <c r="DO777" s="335"/>
      <c r="DP777" s="335"/>
      <c r="DQ777" s="335"/>
      <c r="DR777" s="335"/>
      <c r="DS777" s="335"/>
      <c r="DT777" s="335"/>
      <c r="DU777" s="335"/>
      <c r="DV777" s="335"/>
      <c r="DW777" s="335"/>
      <c r="DX777" s="335"/>
      <c r="DY777" s="335"/>
      <c r="DZ777" s="335"/>
      <c r="EA777" s="335"/>
      <c r="EB777" s="335"/>
      <c r="EC777" s="335"/>
      <c r="ED777" s="335"/>
      <c r="EE777" s="335"/>
      <c r="EF777" s="335"/>
      <c r="EG777" s="335"/>
      <c r="EH777" s="335"/>
      <c r="EI777" s="335"/>
      <c r="EJ777" s="335"/>
      <c r="EK777" s="335"/>
      <c r="EL777" s="335"/>
      <c r="EM777" s="335"/>
      <c r="EN777" s="335"/>
      <c r="EO777" s="335"/>
      <c r="EP777" s="335"/>
      <c r="EQ777" s="335"/>
      <c r="ER777" s="335"/>
      <c r="ES777" s="335"/>
      <c r="ET777" s="335"/>
      <c r="EU777" s="335"/>
      <c r="EV777" s="335"/>
      <c r="EW777" s="335"/>
      <c r="EX777" s="335"/>
      <c r="EY777" s="335"/>
      <c r="EZ777" s="335"/>
      <c r="FA777" s="335"/>
      <c r="FB777" s="335"/>
      <c r="FC777" s="335"/>
      <c r="FD777" s="335"/>
      <c r="FE777" s="335"/>
      <c r="FF777" s="335"/>
      <c r="FG777" s="335"/>
      <c r="FH777" s="335"/>
      <c r="FI777" s="335"/>
      <c r="FJ777" s="335"/>
      <c r="FK777" s="335"/>
      <c r="FL777" s="335"/>
      <c r="FM777" s="335"/>
      <c r="FN777" s="335"/>
      <c r="FO777" s="335"/>
      <c r="FP777" s="335"/>
      <c r="FQ777" s="335"/>
      <c r="FR777" s="335"/>
      <c r="FS777" s="335"/>
      <c r="FT777" s="335"/>
      <c r="FU777" s="335"/>
      <c r="FV777" s="335"/>
      <c r="FW777" s="335"/>
      <c r="FX777" s="335"/>
      <c r="FY777" s="335"/>
      <c r="FZ777" s="335"/>
      <c r="GA777" s="335"/>
      <c r="GB777" s="335"/>
      <c r="GC777" s="335"/>
      <c r="GD777" s="335"/>
      <c r="GE777" s="335"/>
      <c r="GF777" s="335"/>
      <c r="GG777" s="335"/>
      <c r="GH777" s="335"/>
      <c r="GI777" s="335"/>
      <c r="GJ777" s="335"/>
      <c r="GK777" s="335"/>
      <c r="GL777" s="335"/>
      <c r="GM777" s="335"/>
      <c r="GN777" s="335"/>
      <c r="GO777" s="335"/>
      <c r="GP777" s="335"/>
      <c r="GQ777" s="335"/>
      <c r="GR777" s="335"/>
      <c r="GS777" s="335"/>
      <c r="GT777" s="335"/>
      <c r="GU777" s="335"/>
      <c r="GV777" s="335"/>
      <c r="GW777" s="335"/>
      <c r="GX777" s="335"/>
      <c r="GY777" s="335"/>
      <c r="GZ777" s="335"/>
    </row>
    <row r="778" spans="1:208" ht="15">
      <c r="A778" s="379"/>
      <c r="B778" s="335"/>
      <c r="C778" s="335"/>
      <c r="D778" s="335"/>
      <c r="E778" s="335"/>
      <c r="F778" s="335"/>
      <c r="G778" s="335"/>
      <c r="H778" s="335"/>
      <c r="I778" s="335"/>
      <c r="J778" s="335"/>
      <c r="K778" s="335"/>
      <c r="L778" s="335"/>
      <c r="M778" s="376"/>
      <c r="N778" s="335"/>
      <c r="O778" s="380"/>
      <c r="P778" s="335"/>
      <c r="Q778" s="335"/>
      <c r="R778" s="335"/>
      <c r="S778" s="335"/>
      <c r="T778" s="335"/>
      <c r="U778" s="335"/>
      <c r="V778" s="335"/>
      <c r="W778" s="335"/>
      <c r="X778" s="335"/>
      <c r="Y778" s="335"/>
      <c r="Z778" s="335"/>
      <c r="AA778" s="335"/>
      <c r="AB778" s="335"/>
      <c r="AC778" s="335"/>
      <c r="AD778" s="335"/>
      <c r="AE778" s="335"/>
      <c r="AF778" s="335"/>
      <c r="AG778" s="335"/>
      <c r="AH778" s="335"/>
      <c r="AI778" s="335"/>
      <c r="AJ778" s="335"/>
      <c r="AK778" s="335"/>
      <c r="AL778" s="335"/>
      <c r="AM778" s="335"/>
      <c r="AN778" s="335"/>
      <c r="AO778" s="335"/>
      <c r="AP778" s="335"/>
      <c r="AQ778" s="335"/>
      <c r="AR778" s="335"/>
      <c r="AS778" s="335"/>
      <c r="AT778" s="335"/>
      <c r="AU778" s="335"/>
      <c r="AV778" s="335"/>
      <c r="AW778" s="335"/>
      <c r="AX778" s="335"/>
      <c r="AY778" s="335"/>
      <c r="AZ778" s="335"/>
      <c r="BA778" s="335"/>
      <c r="BB778" s="335"/>
      <c r="BC778" s="335"/>
      <c r="BD778" s="335"/>
      <c r="BE778" s="335"/>
      <c r="BF778" s="335"/>
      <c r="BG778" s="335"/>
      <c r="BH778" s="335"/>
      <c r="BI778" s="335"/>
      <c r="BJ778" s="335"/>
      <c r="BK778" s="335"/>
      <c r="BL778" s="335"/>
      <c r="BM778" s="335"/>
      <c r="BN778" s="335"/>
      <c r="BO778" s="335"/>
      <c r="BP778" s="335"/>
      <c r="BQ778" s="335"/>
      <c r="BR778" s="335"/>
      <c r="BS778" s="335"/>
      <c r="BT778" s="335"/>
      <c r="BU778" s="335"/>
      <c r="BV778" s="335"/>
      <c r="BW778" s="335"/>
      <c r="BX778" s="335"/>
      <c r="BY778" s="335"/>
      <c r="BZ778" s="335"/>
      <c r="CA778" s="335"/>
      <c r="CB778" s="335"/>
      <c r="CC778" s="335"/>
      <c r="CD778" s="335"/>
      <c r="CE778" s="335"/>
      <c r="CF778" s="335"/>
      <c r="CG778" s="335"/>
      <c r="CH778" s="335"/>
      <c r="CI778" s="335"/>
      <c r="CJ778" s="335"/>
      <c r="CK778" s="335"/>
      <c r="CL778" s="335"/>
      <c r="CM778" s="335"/>
      <c r="CN778" s="335"/>
      <c r="CO778" s="335"/>
      <c r="CP778" s="335"/>
      <c r="CQ778" s="335"/>
      <c r="CR778" s="335"/>
      <c r="CS778" s="335"/>
      <c r="CT778" s="335"/>
      <c r="CU778" s="335"/>
      <c r="CV778" s="335"/>
      <c r="CW778" s="335"/>
      <c r="CX778" s="335"/>
      <c r="CY778" s="335"/>
      <c r="CZ778" s="335"/>
      <c r="DA778" s="335"/>
      <c r="DB778" s="335"/>
      <c r="DC778" s="335"/>
      <c r="DD778" s="335"/>
      <c r="DE778" s="335"/>
      <c r="DF778" s="335"/>
      <c r="DG778" s="335"/>
      <c r="DH778" s="335"/>
      <c r="DI778" s="335"/>
      <c r="DJ778" s="335"/>
      <c r="DK778" s="335"/>
      <c r="DL778" s="335"/>
      <c r="DM778" s="335"/>
      <c r="DN778" s="335"/>
      <c r="DO778" s="335"/>
      <c r="DP778" s="335"/>
      <c r="DQ778" s="335"/>
      <c r="DR778" s="335"/>
      <c r="DS778" s="335"/>
      <c r="DT778" s="335"/>
      <c r="DU778" s="335"/>
      <c r="DV778" s="335"/>
      <c r="DW778" s="335"/>
      <c r="DX778" s="335"/>
      <c r="DY778" s="335"/>
      <c r="DZ778" s="335"/>
      <c r="EA778" s="335"/>
      <c r="EB778" s="335"/>
      <c r="EC778" s="335"/>
      <c r="ED778" s="335"/>
      <c r="EE778" s="335"/>
      <c r="EF778" s="335"/>
      <c r="EG778" s="335"/>
      <c r="EH778" s="335"/>
      <c r="EI778" s="335"/>
      <c r="EJ778" s="335"/>
      <c r="EK778" s="335"/>
      <c r="EL778" s="335"/>
      <c r="EM778" s="335"/>
      <c r="EN778" s="335"/>
      <c r="EO778" s="335"/>
      <c r="EP778" s="335"/>
      <c r="EQ778" s="335"/>
      <c r="ER778" s="335"/>
      <c r="ES778" s="335"/>
      <c r="ET778" s="335"/>
      <c r="EU778" s="335"/>
      <c r="EV778" s="335"/>
      <c r="EW778" s="335"/>
      <c r="EX778" s="335"/>
      <c r="EY778" s="335"/>
      <c r="EZ778" s="335"/>
      <c r="FA778" s="335"/>
      <c r="FB778" s="335"/>
      <c r="FC778" s="335"/>
      <c r="FD778" s="335"/>
      <c r="FE778" s="335"/>
      <c r="FF778" s="335"/>
      <c r="FG778" s="335"/>
      <c r="FH778" s="335"/>
      <c r="FI778" s="335"/>
      <c r="FJ778" s="335"/>
      <c r="FK778" s="335"/>
      <c r="FL778" s="335"/>
      <c r="FM778" s="335"/>
      <c r="FN778" s="335"/>
      <c r="FO778" s="335"/>
      <c r="FP778" s="335"/>
      <c r="FQ778" s="335"/>
      <c r="FR778" s="335"/>
      <c r="FS778" s="335"/>
      <c r="FT778" s="335"/>
      <c r="FU778" s="335"/>
      <c r="FV778" s="335"/>
      <c r="FW778" s="335"/>
      <c r="FX778" s="335"/>
      <c r="FY778" s="335"/>
      <c r="FZ778" s="335"/>
      <c r="GA778" s="335"/>
      <c r="GB778" s="335"/>
      <c r="GC778" s="335"/>
      <c r="GD778" s="335"/>
      <c r="GE778" s="335"/>
      <c r="GF778" s="335"/>
      <c r="GG778" s="335"/>
      <c r="GH778" s="335"/>
      <c r="GI778" s="335"/>
      <c r="GJ778" s="335"/>
      <c r="GK778" s="335"/>
      <c r="GL778" s="335"/>
      <c r="GM778" s="335"/>
      <c r="GN778" s="335"/>
      <c r="GO778" s="335"/>
      <c r="GP778" s="335"/>
      <c r="GQ778" s="335"/>
      <c r="GR778" s="335"/>
      <c r="GS778" s="335"/>
      <c r="GT778" s="335"/>
      <c r="GU778" s="335"/>
      <c r="GV778" s="335"/>
      <c r="GW778" s="335"/>
      <c r="GX778" s="335"/>
      <c r="GY778" s="335"/>
      <c r="GZ778" s="335"/>
    </row>
    <row r="779" spans="1:208" ht="15">
      <c r="A779" s="379"/>
      <c r="B779" s="335"/>
      <c r="C779" s="335"/>
      <c r="D779" s="335"/>
      <c r="E779" s="335"/>
      <c r="F779" s="335"/>
      <c r="G779" s="335"/>
      <c r="H779" s="335"/>
      <c r="I779" s="335"/>
      <c r="J779" s="335"/>
      <c r="K779" s="335"/>
      <c r="L779" s="335"/>
      <c r="M779" s="376"/>
      <c r="N779" s="335"/>
      <c r="O779" s="380"/>
      <c r="P779" s="335"/>
      <c r="Q779" s="335"/>
      <c r="R779" s="335"/>
      <c r="S779" s="335"/>
      <c r="T779" s="335"/>
      <c r="U779" s="335"/>
      <c r="V779" s="335"/>
      <c r="W779" s="335"/>
      <c r="X779" s="335"/>
      <c r="Y779" s="335"/>
      <c r="Z779" s="335"/>
      <c r="AA779" s="335"/>
      <c r="AB779" s="335"/>
      <c r="AC779" s="335"/>
      <c r="AD779" s="335"/>
      <c r="AE779" s="335"/>
      <c r="AF779" s="335"/>
      <c r="AG779" s="335"/>
      <c r="AH779" s="335"/>
      <c r="AI779" s="335"/>
      <c r="AJ779" s="335"/>
      <c r="AK779" s="335"/>
      <c r="AL779" s="335"/>
      <c r="AM779" s="335"/>
      <c r="AN779" s="335"/>
      <c r="AO779" s="335"/>
      <c r="AP779" s="335"/>
      <c r="AQ779" s="335"/>
      <c r="AR779" s="335"/>
      <c r="AS779" s="335"/>
      <c r="AT779" s="335"/>
      <c r="AU779" s="335"/>
      <c r="AV779" s="335"/>
      <c r="AW779" s="335"/>
      <c r="AX779" s="335"/>
      <c r="AY779" s="335"/>
      <c r="AZ779" s="335"/>
      <c r="BA779" s="335"/>
      <c r="BB779" s="335"/>
      <c r="BC779" s="335"/>
      <c r="BD779" s="335"/>
      <c r="BE779" s="335"/>
      <c r="BF779" s="335"/>
      <c r="BG779" s="335"/>
      <c r="BH779" s="335"/>
      <c r="BI779" s="335"/>
      <c r="BJ779" s="335"/>
      <c r="BK779" s="335"/>
      <c r="BL779" s="335"/>
      <c r="BM779" s="335"/>
      <c r="BN779" s="335"/>
      <c r="BO779" s="335"/>
      <c r="BP779" s="335"/>
      <c r="BQ779" s="335"/>
      <c r="BR779" s="335"/>
      <c r="BS779" s="335"/>
      <c r="BT779" s="335"/>
      <c r="BU779" s="335"/>
      <c r="BV779" s="335"/>
      <c r="BW779" s="335"/>
      <c r="BX779" s="335"/>
      <c r="BY779" s="335"/>
      <c r="BZ779" s="335"/>
      <c r="CA779" s="335"/>
      <c r="CB779" s="335"/>
      <c r="CC779" s="335"/>
      <c r="CD779" s="335"/>
      <c r="CE779" s="335"/>
      <c r="CF779" s="335"/>
      <c r="CG779" s="335"/>
      <c r="CH779" s="335"/>
      <c r="CI779" s="335"/>
      <c r="CJ779" s="335"/>
      <c r="CK779" s="335"/>
      <c r="CL779" s="335"/>
      <c r="CM779" s="335"/>
      <c r="CN779" s="335"/>
      <c r="CO779" s="335"/>
      <c r="CP779" s="335"/>
      <c r="CQ779" s="335"/>
      <c r="CR779" s="335"/>
      <c r="CS779" s="335"/>
      <c r="CT779" s="335"/>
      <c r="CU779" s="335"/>
      <c r="CV779" s="335"/>
      <c r="CW779" s="335"/>
      <c r="CX779" s="335"/>
      <c r="CY779" s="335"/>
      <c r="CZ779" s="335"/>
      <c r="DA779" s="335"/>
      <c r="DB779" s="335"/>
      <c r="DC779" s="335"/>
      <c r="DD779" s="335"/>
      <c r="DE779" s="335"/>
      <c r="DF779" s="335"/>
      <c r="DG779" s="335"/>
      <c r="DH779" s="335"/>
      <c r="DI779" s="335"/>
      <c r="DJ779" s="335"/>
      <c r="DK779" s="335"/>
      <c r="DL779" s="335"/>
      <c r="DM779" s="335"/>
      <c r="DN779" s="335"/>
      <c r="DO779" s="335"/>
      <c r="DP779" s="335"/>
      <c r="DQ779" s="335"/>
      <c r="DR779" s="335"/>
      <c r="DS779" s="335"/>
      <c r="DT779" s="335"/>
      <c r="DU779" s="335"/>
      <c r="DV779" s="335"/>
      <c r="DW779" s="335"/>
      <c r="DX779" s="335"/>
      <c r="DY779" s="335"/>
      <c r="DZ779" s="335"/>
      <c r="EA779" s="335"/>
      <c r="EB779" s="335"/>
      <c r="EC779" s="335"/>
      <c r="ED779" s="335"/>
      <c r="EE779" s="335"/>
      <c r="EF779" s="335"/>
      <c r="EG779" s="335"/>
      <c r="EH779" s="335"/>
      <c r="EI779" s="335"/>
      <c r="EJ779" s="335"/>
      <c r="EK779" s="335"/>
      <c r="EL779" s="335"/>
      <c r="EM779" s="335"/>
      <c r="EN779" s="335"/>
      <c r="EO779" s="335"/>
      <c r="EP779" s="335"/>
      <c r="EQ779" s="335"/>
      <c r="ER779" s="335"/>
      <c r="ES779" s="335"/>
      <c r="ET779" s="335"/>
      <c r="EU779" s="335"/>
      <c r="EV779" s="335"/>
      <c r="EW779" s="335"/>
      <c r="EX779" s="335"/>
      <c r="EY779" s="335"/>
      <c r="EZ779" s="335"/>
      <c r="FA779" s="335"/>
      <c r="FB779" s="335"/>
      <c r="FC779" s="335"/>
      <c r="FD779" s="335"/>
      <c r="FE779" s="335"/>
      <c r="FF779" s="335"/>
      <c r="FG779" s="335"/>
      <c r="FH779" s="335"/>
      <c r="FI779" s="335"/>
      <c r="FJ779" s="335"/>
      <c r="FK779" s="335"/>
      <c r="FL779" s="335"/>
      <c r="FM779" s="335"/>
      <c r="FN779" s="335"/>
      <c r="FO779" s="335"/>
      <c r="FP779" s="335"/>
      <c r="FQ779" s="335"/>
      <c r="FR779" s="335"/>
      <c r="FS779" s="335"/>
      <c r="FT779" s="335"/>
      <c r="FU779" s="335"/>
      <c r="FV779" s="335"/>
      <c r="FW779" s="335"/>
      <c r="FX779" s="335"/>
      <c r="FY779" s="335"/>
      <c r="FZ779" s="335"/>
      <c r="GA779" s="335"/>
      <c r="GB779" s="335"/>
      <c r="GC779" s="335"/>
      <c r="GD779" s="335"/>
      <c r="GE779" s="335"/>
      <c r="GF779" s="335"/>
      <c r="GG779" s="335"/>
      <c r="GH779" s="335"/>
      <c r="GI779" s="335"/>
      <c r="GJ779" s="335"/>
      <c r="GK779" s="335"/>
      <c r="GL779" s="335"/>
      <c r="GM779" s="335"/>
      <c r="GN779" s="335"/>
      <c r="GO779" s="335"/>
      <c r="GP779" s="335"/>
      <c r="GQ779" s="335"/>
      <c r="GR779" s="335"/>
      <c r="GS779" s="335"/>
      <c r="GT779" s="335"/>
      <c r="GU779" s="335"/>
      <c r="GV779" s="335"/>
      <c r="GW779" s="335"/>
      <c r="GX779" s="335"/>
      <c r="GY779" s="335"/>
      <c r="GZ779" s="335"/>
    </row>
    <row r="780" spans="1:208" ht="15">
      <c r="A780" s="379"/>
      <c r="B780" s="335"/>
      <c r="C780" s="335"/>
      <c r="D780" s="335"/>
      <c r="E780" s="335"/>
      <c r="F780" s="335"/>
      <c r="G780" s="335"/>
      <c r="H780" s="335"/>
      <c r="I780" s="335"/>
      <c r="J780" s="335"/>
      <c r="K780" s="335"/>
      <c r="L780" s="335"/>
      <c r="M780" s="376"/>
      <c r="N780" s="335"/>
      <c r="O780" s="380"/>
      <c r="P780" s="335"/>
      <c r="Q780" s="335"/>
      <c r="R780" s="335"/>
      <c r="S780" s="335"/>
      <c r="T780" s="335"/>
      <c r="U780" s="335"/>
      <c r="V780" s="335"/>
      <c r="W780" s="335"/>
      <c r="X780" s="335"/>
      <c r="Y780" s="335"/>
      <c r="Z780" s="335"/>
      <c r="AA780" s="335"/>
      <c r="AB780" s="335"/>
      <c r="AC780" s="335"/>
      <c r="AD780" s="335"/>
      <c r="AE780" s="335"/>
      <c r="AF780" s="335"/>
      <c r="AG780" s="335"/>
      <c r="AH780" s="335"/>
      <c r="AI780" s="335"/>
      <c r="AJ780" s="335"/>
      <c r="AK780" s="335"/>
      <c r="AL780" s="335"/>
      <c r="AM780" s="335"/>
      <c r="AN780" s="335"/>
      <c r="AO780" s="335"/>
      <c r="AP780" s="335"/>
      <c r="AQ780" s="335"/>
      <c r="AR780" s="335"/>
      <c r="AS780" s="335"/>
      <c r="AT780" s="335"/>
      <c r="AU780" s="335"/>
      <c r="AV780" s="335"/>
      <c r="AW780" s="335"/>
      <c r="AX780" s="335"/>
      <c r="AY780" s="335"/>
      <c r="AZ780" s="335"/>
      <c r="BA780" s="335"/>
      <c r="BB780" s="335"/>
      <c r="BC780" s="335"/>
      <c r="BD780" s="335"/>
      <c r="BE780" s="335"/>
      <c r="BF780" s="335"/>
      <c r="BG780" s="335"/>
      <c r="BH780" s="335"/>
      <c r="BI780" s="335"/>
      <c r="BJ780" s="335"/>
      <c r="BK780" s="335"/>
      <c r="BL780" s="335"/>
      <c r="BM780" s="335"/>
      <c r="BN780" s="335"/>
      <c r="BO780" s="335"/>
      <c r="BP780" s="335"/>
      <c r="BQ780" s="335"/>
      <c r="BR780" s="335"/>
      <c r="BS780" s="335"/>
      <c r="BT780" s="335"/>
      <c r="BU780" s="335"/>
      <c r="BV780" s="335"/>
      <c r="BW780" s="335"/>
      <c r="BX780" s="335"/>
      <c r="BY780" s="335"/>
      <c r="BZ780" s="335"/>
      <c r="CA780" s="335"/>
      <c r="CB780" s="335"/>
      <c r="CC780" s="335"/>
      <c r="CD780" s="335"/>
      <c r="CE780" s="335"/>
      <c r="CF780" s="335"/>
      <c r="CG780" s="335"/>
      <c r="CH780" s="335"/>
      <c r="CI780" s="335"/>
      <c r="CJ780" s="335"/>
      <c r="CK780" s="335"/>
      <c r="CL780" s="335"/>
      <c r="CM780" s="335"/>
      <c r="CN780" s="335"/>
      <c r="CO780" s="335"/>
      <c r="CP780" s="335"/>
      <c r="CQ780" s="335"/>
      <c r="CR780" s="335"/>
      <c r="CS780" s="335"/>
      <c r="CT780" s="335"/>
      <c r="CU780" s="335"/>
      <c r="CV780" s="335"/>
      <c r="CW780" s="335"/>
      <c r="CX780" s="335"/>
      <c r="CY780" s="335"/>
      <c r="CZ780" s="335"/>
      <c r="DA780" s="335"/>
      <c r="DB780" s="335"/>
      <c r="DC780" s="335"/>
      <c r="DD780" s="335"/>
      <c r="DE780" s="335"/>
      <c r="DF780" s="335"/>
      <c r="DG780" s="335"/>
      <c r="DH780" s="335"/>
      <c r="DI780" s="335"/>
      <c r="DJ780" s="335"/>
      <c r="DK780" s="335"/>
      <c r="DL780" s="335"/>
      <c r="DM780" s="335"/>
      <c r="DN780" s="335"/>
      <c r="DO780" s="335"/>
      <c r="DP780" s="335"/>
      <c r="DQ780" s="335"/>
      <c r="DR780" s="335"/>
      <c r="DS780" s="335"/>
      <c r="DT780" s="335"/>
      <c r="DU780" s="335"/>
      <c r="DV780" s="335"/>
      <c r="DW780" s="335"/>
      <c r="DX780" s="335"/>
      <c r="DY780" s="335"/>
      <c r="DZ780" s="335"/>
      <c r="EA780" s="335"/>
      <c r="EB780" s="335"/>
      <c r="EC780" s="335"/>
      <c r="ED780" s="335"/>
      <c r="EE780" s="335"/>
      <c r="EF780" s="335"/>
      <c r="EG780" s="335"/>
      <c r="EH780" s="335"/>
      <c r="EI780" s="335"/>
      <c r="EJ780" s="335"/>
      <c r="EK780" s="335"/>
      <c r="EL780" s="335"/>
      <c r="EM780" s="335"/>
      <c r="EN780" s="335"/>
      <c r="EO780" s="335"/>
      <c r="EP780" s="335"/>
      <c r="EQ780" s="335"/>
      <c r="ER780" s="335"/>
      <c r="ES780" s="335"/>
      <c r="ET780" s="335"/>
      <c r="EU780" s="335"/>
      <c r="EV780" s="335"/>
      <c r="EW780" s="335"/>
      <c r="EX780" s="335"/>
      <c r="EY780" s="335"/>
      <c r="EZ780" s="335"/>
      <c r="FA780" s="335"/>
      <c r="FB780" s="335"/>
      <c r="FC780" s="335"/>
      <c r="FD780" s="335"/>
      <c r="FE780" s="335"/>
      <c r="FF780" s="335"/>
      <c r="FG780" s="335"/>
      <c r="FH780" s="335"/>
      <c r="FI780" s="335"/>
      <c r="FJ780" s="335"/>
      <c r="FK780" s="335"/>
      <c r="FL780" s="335"/>
      <c r="FM780" s="335"/>
      <c r="FN780" s="335"/>
      <c r="FO780" s="335"/>
      <c r="FP780" s="335"/>
      <c r="FQ780" s="335"/>
      <c r="FR780" s="335"/>
      <c r="FS780" s="335"/>
      <c r="FT780" s="335"/>
      <c r="FU780" s="335"/>
      <c r="FV780" s="335"/>
      <c r="FW780" s="335"/>
      <c r="FX780" s="335"/>
      <c r="FY780" s="335"/>
      <c r="FZ780" s="335"/>
      <c r="GA780" s="335"/>
      <c r="GB780" s="335"/>
      <c r="GC780" s="335"/>
      <c r="GD780" s="335"/>
      <c r="GE780" s="335"/>
      <c r="GF780" s="335"/>
      <c r="GG780" s="335"/>
      <c r="GH780" s="335"/>
      <c r="GI780" s="335"/>
      <c r="GJ780" s="335"/>
      <c r="GK780" s="335"/>
      <c r="GL780" s="335"/>
      <c r="GM780" s="335"/>
      <c r="GN780" s="335"/>
      <c r="GO780" s="335"/>
      <c r="GP780" s="335"/>
      <c r="GQ780" s="335"/>
      <c r="GR780" s="335"/>
      <c r="GS780" s="335"/>
      <c r="GT780" s="335"/>
      <c r="GU780" s="335"/>
      <c r="GV780" s="335"/>
      <c r="GW780" s="335"/>
      <c r="GX780" s="335"/>
      <c r="GY780" s="335"/>
      <c r="GZ780" s="335"/>
    </row>
    <row r="781" spans="1:208" ht="15">
      <c r="A781" s="379"/>
      <c r="B781" s="335"/>
      <c r="C781" s="335"/>
      <c r="D781" s="335"/>
      <c r="E781" s="335"/>
      <c r="F781" s="335"/>
      <c r="G781" s="335"/>
      <c r="H781" s="335"/>
      <c r="I781" s="335"/>
      <c r="J781" s="335"/>
      <c r="K781" s="335"/>
      <c r="L781" s="335"/>
      <c r="M781" s="376"/>
      <c r="N781" s="335"/>
      <c r="O781" s="380"/>
      <c r="P781" s="335"/>
      <c r="Q781" s="335"/>
      <c r="R781" s="335"/>
      <c r="S781" s="335"/>
      <c r="T781" s="335"/>
      <c r="U781" s="335"/>
      <c r="V781" s="335"/>
      <c r="W781" s="335"/>
      <c r="X781" s="335"/>
      <c r="Y781" s="335"/>
      <c r="Z781" s="335"/>
      <c r="AA781" s="335"/>
      <c r="AB781" s="335"/>
      <c r="AC781" s="335"/>
      <c r="AD781" s="335"/>
      <c r="AE781" s="335"/>
      <c r="AF781" s="335"/>
      <c r="AG781" s="335"/>
      <c r="AH781" s="335"/>
      <c r="AI781" s="335"/>
      <c r="AJ781" s="335"/>
      <c r="AK781" s="335"/>
      <c r="AL781" s="335"/>
      <c r="AM781" s="335"/>
      <c r="AN781" s="335"/>
      <c r="AO781" s="335"/>
      <c r="AP781" s="335"/>
      <c r="AQ781" s="335"/>
      <c r="AR781" s="335"/>
      <c r="AS781" s="335"/>
      <c r="AT781" s="335"/>
      <c r="AU781" s="335"/>
      <c r="AV781" s="335"/>
      <c r="AW781" s="335"/>
      <c r="AX781" s="335"/>
      <c r="AY781" s="335"/>
      <c r="AZ781" s="335"/>
      <c r="BA781" s="335"/>
      <c r="BB781" s="335"/>
      <c r="BC781" s="335"/>
      <c r="BD781" s="335"/>
      <c r="BE781" s="335"/>
      <c r="BF781" s="335"/>
      <c r="BG781" s="335"/>
      <c r="BH781" s="335"/>
      <c r="BI781" s="335"/>
      <c r="BJ781" s="335"/>
      <c r="BK781" s="335"/>
      <c r="BL781" s="335"/>
      <c r="BM781" s="335"/>
      <c r="BN781" s="335"/>
      <c r="BO781" s="335"/>
      <c r="BP781" s="335"/>
      <c r="BQ781" s="335"/>
      <c r="BR781" s="335"/>
      <c r="BS781" s="335"/>
      <c r="BT781" s="335"/>
      <c r="BU781" s="335"/>
      <c r="BV781" s="335"/>
      <c r="BW781" s="335"/>
      <c r="BX781" s="335"/>
      <c r="BY781" s="335"/>
      <c r="BZ781" s="335"/>
      <c r="CA781" s="335"/>
      <c r="CB781" s="335"/>
      <c r="CC781" s="335"/>
      <c r="CD781" s="335"/>
      <c r="CE781" s="335"/>
      <c r="CF781" s="335"/>
      <c r="CG781" s="335"/>
      <c r="CH781" s="335"/>
      <c r="CI781" s="335"/>
      <c r="CJ781" s="335"/>
      <c r="CK781" s="335"/>
      <c r="CL781" s="335"/>
      <c r="CM781" s="335"/>
      <c r="CN781" s="335"/>
      <c r="CO781" s="335"/>
      <c r="CP781" s="335"/>
      <c r="CQ781" s="335"/>
      <c r="CR781" s="335"/>
      <c r="CS781" s="335"/>
      <c r="CT781" s="335"/>
      <c r="CU781" s="335"/>
      <c r="CV781" s="335"/>
      <c r="CW781" s="335"/>
      <c r="CX781" s="335"/>
      <c r="CY781" s="335"/>
      <c r="CZ781" s="335"/>
      <c r="DA781" s="335"/>
      <c r="DB781" s="335"/>
      <c r="DC781" s="335"/>
      <c r="DD781" s="335"/>
      <c r="DE781" s="335"/>
      <c r="DF781" s="335"/>
      <c r="DG781" s="335"/>
      <c r="DH781" s="335"/>
      <c r="DI781" s="335"/>
      <c r="DJ781" s="335"/>
      <c r="DK781" s="335"/>
      <c r="DL781" s="335"/>
      <c r="DM781" s="335"/>
      <c r="DN781" s="335"/>
      <c r="DO781" s="335"/>
      <c r="DP781" s="335"/>
      <c r="DQ781" s="335"/>
      <c r="DR781" s="335"/>
      <c r="DS781" s="335"/>
      <c r="DT781" s="335"/>
      <c r="DU781" s="335"/>
      <c r="DV781" s="335"/>
      <c r="DW781" s="335"/>
      <c r="DX781" s="335"/>
      <c r="DY781" s="335"/>
      <c r="DZ781" s="335"/>
      <c r="EA781" s="335"/>
      <c r="EB781" s="335"/>
      <c r="EC781" s="335"/>
      <c r="ED781" s="335"/>
      <c r="EE781" s="335"/>
      <c r="EF781" s="335"/>
      <c r="EG781" s="335"/>
      <c r="EH781" s="335"/>
      <c r="EI781" s="335"/>
      <c r="EJ781" s="335"/>
      <c r="EK781" s="335"/>
      <c r="EL781" s="335"/>
      <c r="EM781" s="335"/>
      <c r="EN781" s="335"/>
      <c r="EO781" s="335"/>
      <c r="EP781" s="335"/>
      <c r="EQ781" s="335"/>
      <c r="ER781" s="335"/>
      <c r="ES781" s="335"/>
      <c r="ET781" s="335"/>
      <c r="EU781" s="335"/>
      <c r="EV781" s="335"/>
      <c r="EW781" s="335"/>
      <c r="EX781" s="335"/>
      <c r="EY781" s="335"/>
      <c r="EZ781" s="335"/>
      <c r="FA781" s="335"/>
      <c r="FB781" s="335"/>
      <c r="FC781" s="335"/>
      <c r="FD781" s="335"/>
      <c r="FE781" s="335"/>
      <c r="FF781" s="335"/>
      <c r="FG781" s="335"/>
      <c r="FH781" s="335"/>
      <c r="FI781" s="335"/>
      <c r="FJ781" s="335"/>
      <c r="FK781" s="335"/>
      <c r="FL781" s="335"/>
      <c r="FM781" s="335"/>
      <c r="FN781" s="335"/>
      <c r="FO781" s="335"/>
      <c r="FP781" s="335"/>
      <c r="FQ781" s="335"/>
      <c r="FR781" s="335"/>
      <c r="FS781" s="335"/>
      <c r="FT781" s="335"/>
      <c r="FU781" s="335"/>
      <c r="FV781" s="335"/>
      <c r="FW781" s="335"/>
      <c r="FX781" s="335"/>
      <c r="FY781" s="335"/>
      <c r="FZ781" s="335"/>
      <c r="GA781" s="335"/>
      <c r="GB781" s="335"/>
      <c r="GC781" s="335"/>
      <c r="GD781" s="335"/>
      <c r="GE781" s="335"/>
      <c r="GF781" s="335"/>
      <c r="GG781" s="335"/>
      <c r="GH781" s="335"/>
      <c r="GI781" s="335"/>
      <c r="GJ781" s="335"/>
      <c r="GK781" s="335"/>
      <c r="GL781" s="335"/>
      <c r="GM781" s="335"/>
      <c r="GN781" s="335"/>
      <c r="GO781" s="335"/>
      <c r="GP781" s="335"/>
      <c r="GQ781" s="335"/>
      <c r="GR781" s="335"/>
      <c r="GS781" s="335"/>
      <c r="GT781" s="335"/>
      <c r="GU781" s="335"/>
      <c r="GV781" s="335"/>
      <c r="GW781" s="335"/>
      <c r="GX781" s="335"/>
      <c r="GY781" s="335"/>
      <c r="GZ781" s="335"/>
    </row>
    <row r="782" spans="1:208" ht="15">
      <c r="A782" s="379"/>
      <c r="B782" s="335"/>
      <c r="C782" s="335"/>
      <c r="D782" s="335"/>
      <c r="E782" s="335"/>
      <c r="F782" s="335"/>
      <c r="G782" s="335"/>
      <c r="H782" s="335"/>
      <c r="I782" s="335"/>
      <c r="J782" s="335"/>
      <c r="K782" s="335"/>
      <c r="L782" s="335"/>
      <c r="M782" s="376"/>
      <c r="N782" s="335"/>
      <c r="O782" s="380"/>
      <c r="P782" s="335"/>
      <c r="Q782" s="335"/>
      <c r="R782" s="335"/>
      <c r="S782" s="335"/>
      <c r="T782" s="335"/>
      <c r="U782" s="335"/>
      <c r="V782" s="335"/>
      <c r="W782" s="335"/>
      <c r="X782" s="335"/>
      <c r="Y782" s="335"/>
      <c r="Z782" s="335"/>
      <c r="AA782" s="335"/>
      <c r="AB782" s="335"/>
      <c r="AC782" s="335"/>
      <c r="AD782" s="335"/>
      <c r="AE782" s="335"/>
      <c r="AF782" s="335"/>
      <c r="AG782" s="335"/>
      <c r="AH782" s="335"/>
      <c r="AI782" s="335"/>
      <c r="AJ782" s="335"/>
      <c r="AK782" s="335"/>
      <c r="AL782" s="335"/>
      <c r="AM782" s="335"/>
      <c r="AN782" s="335"/>
      <c r="AO782" s="335"/>
      <c r="AP782" s="335"/>
      <c r="AQ782" s="335"/>
      <c r="AR782" s="335"/>
      <c r="AS782" s="335"/>
      <c r="AT782" s="335"/>
      <c r="AU782" s="335"/>
      <c r="AV782" s="335"/>
      <c r="AW782" s="335"/>
      <c r="AX782" s="335"/>
      <c r="AY782" s="335"/>
      <c r="AZ782" s="335"/>
      <c r="BA782" s="335"/>
      <c r="BB782" s="335"/>
      <c r="BC782" s="335"/>
      <c r="BD782" s="335"/>
      <c r="BE782" s="335"/>
      <c r="BF782" s="335"/>
      <c r="BG782" s="335"/>
      <c r="BH782" s="335"/>
      <c r="BI782" s="335"/>
      <c r="BJ782" s="335"/>
      <c r="BK782" s="335"/>
      <c r="BL782" s="335"/>
      <c r="BM782" s="335"/>
      <c r="BN782" s="335"/>
      <c r="BO782" s="335"/>
      <c r="BP782" s="335"/>
      <c r="BQ782" s="335"/>
      <c r="BR782" s="335"/>
      <c r="BS782" s="335"/>
      <c r="BT782" s="335"/>
      <c r="BU782" s="335"/>
      <c r="BV782" s="335"/>
      <c r="BW782" s="335"/>
      <c r="BX782" s="335"/>
      <c r="BY782" s="335"/>
      <c r="BZ782" s="335"/>
      <c r="CA782" s="335"/>
      <c r="CB782" s="335"/>
      <c r="CC782" s="335"/>
      <c r="CD782" s="335"/>
      <c r="CE782" s="335"/>
      <c r="CF782" s="335"/>
      <c r="CG782" s="335"/>
      <c r="CH782" s="335"/>
      <c r="CI782" s="335"/>
      <c r="CJ782" s="335"/>
      <c r="CK782" s="335"/>
      <c r="CL782" s="335"/>
      <c r="CM782" s="335"/>
      <c r="CN782" s="335"/>
      <c r="CO782" s="335"/>
      <c r="CP782" s="335"/>
      <c r="CQ782" s="335"/>
      <c r="CR782" s="335"/>
      <c r="CS782" s="335"/>
      <c r="CT782" s="335"/>
      <c r="CU782" s="335"/>
      <c r="CV782" s="335"/>
      <c r="CW782" s="335"/>
      <c r="CX782" s="335"/>
      <c r="CY782" s="335"/>
      <c r="CZ782" s="335"/>
      <c r="DA782" s="335"/>
      <c r="DB782" s="335"/>
      <c r="DC782" s="335"/>
      <c r="DD782" s="335"/>
      <c r="DE782" s="335"/>
      <c r="DF782" s="335"/>
      <c r="DG782" s="335"/>
      <c r="DH782" s="335"/>
      <c r="DI782" s="335"/>
      <c r="DJ782" s="335"/>
      <c r="DK782" s="335"/>
      <c r="DL782" s="335"/>
      <c r="DM782" s="335"/>
      <c r="DN782" s="335"/>
      <c r="DO782" s="335"/>
      <c r="DP782" s="335"/>
      <c r="DQ782" s="335"/>
      <c r="DR782" s="335"/>
      <c r="DS782" s="335"/>
      <c r="DT782" s="335"/>
      <c r="DU782" s="335"/>
      <c r="DV782" s="335"/>
      <c r="DW782" s="335"/>
      <c r="DX782" s="335"/>
      <c r="DY782" s="335"/>
      <c r="DZ782" s="335"/>
      <c r="EA782" s="335"/>
      <c r="EB782" s="335"/>
      <c r="EC782" s="335"/>
      <c r="ED782" s="335"/>
      <c r="EE782" s="335"/>
      <c r="EF782" s="335"/>
      <c r="EG782" s="335"/>
      <c r="EH782" s="335"/>
      <c r="EI782" s="335"/>
      <c r="EJ782" s="335"/>
      <c r="EK782" s="335"/>
      <c r="EL782" s="335"/>
      <c r="EM782" s="335"/>
      <c r="EN782" s="335"/>
      <c r="EO782" s="335"/>
      <c r="EP782" s="335"/>
      <c r="EQ782" s="335"/>
      <c r="ER782" s="335"/>
      <c r="ES782" s="335"/>
      <c r="ET782" s="335"/>
      <c r="EU782" s="335"/>
      <c r="EV782" s="335"/>
      <c r="EW782" s="335"/>
      <c r="EX782" s="335"/>
      <c r="EY782" s="335"/>
      <c r="EZ782" s="335"/>
      <c r="FA782" s="335"/>
      <c r="FB782" s="335"/>
      <c r="FC782" s="335"/>
      <c r="FD782" s="335"/>
      <c r="FE782" s="335"/>
      <c r="FF782" s="335"/>
      <c r="FG782" s="335"/>
      <c r="FH782" s="335"/>
      <c r="FI782" s="335"/>
      <c r="FJ782" s="335"/>
      <c r="FK782" s="335"/>
      <c r="FL782" s="335"/>
      <c r="FM782" s="335"/>
      <c r="FN782" s="335"/>
      <c r="FO782" s="335"/>
      <c r="FP782" s="335"/>
      <c r="FQ782" s="335"/>
      <c r="FR782" s="335"/>
      <c r="FS782" s="335"/>
      <c r="FT782" s="335"/>
      <c r="FU782" s="335"/>
      <c r="FV782" s="335"/>
      <c r="FW782" s="335"/>
      <c r="FX782" s="335"/>
      <c r="FY782" s="335"/>
      <c r="FZ782" s="335"/>
      <c r="GA782" s="335"/>
      <c r="GB782" s="335"/>
      <c r="GC782" s="335"/>
      <c r="GD782" s="335"/>
      <c r="GE782" s="335"/>
      <c r="GF782" s="335"/>
      <c r="GG782" s="335"/>
      <c r="GH782" s="335"/>
      <c r="GI782" s="335"/>
      <c r="GJ782" s="335"/>
      <c r="GK782" s="335"/>
      <c r="GL782" s="335"/>
      <c r="GM782" s="335"/>
      <c r="GN782" s="335"/>
      <c r="GO782" s="335"/>
      <c r="GP782" s="335"/>
      <c r="GQ782" s="335"/>
      <c r="GR782" s="335"/>
      <c r="GS782" s="335"/>
      <c r="GT782" s="335"/>
      <c r="GU782" s="335"/>
      <c r="GV782" s="335"/>
      <c r="GW782" s="335"/>
      <c r="GX782" s="335"/>
      <c r="GY782" s="335"/>
      <c r="GZ782" s="335"/>
    </row>
    <row r="783" spans="1:208" ht="15">
      <c r="A783" s="379"/>
      <c r="B783" s="335"/>
      <c r="C783" s="335"/>
      <c r="D783" s="335"/>
      <c r="E783" s="335"/>
      <c r="F783" s="335"/>
      <c r="G783" s="335"/>
      <c r="H783" s="335"/>
      <c r="I783" s="335"/>
      <c r="J783" s="335"/>
      <c r="K783" s="335"/>
      <c r="L783" s="335"/>
      <c r="M783" s="376"/>
      <c r="N783" s="335"/>
      <c r="O783" s="380"/>
      <c r="P783" s="335"/>
      <c r="Q783" s="335"/>
      <c r="R783" s="335"/>
      <c r="S783" s="335"/>
      <c r="T783" s="335"/>
      <c r="U783" s="335"/>
      <c r="V783" s="335"/>
      <c r="W783" s="335"/>
      <c r="X783" s="335"/>
      <c r="Y783" s="335"/>
      <c r="Z783" s="335"/>
      <c r="AA783" s="335"/>
      <c r="AB783" s="335"/>
      <c r="AC783" s="335"/>
      <c r="AD783" s="335"/>
      <c r="AE783" s="335"/>
      <c r="AF783" s="335"/>
      <c r="AG783" s="335"/>
      <c r="AH783" s="335"/>
      <c r="AI783" s="335"/>
      <c r="AJ783" s="335"/>
      <c r="AK783" s="335"/>
      <c r="AL783" s="335"/>
      <c r="AM783" s="335"/>
      <c r="AN783" s="335"/>
      <c r="AO783" s="335"/>
      <c r="AP783" s="335"/>
      <c r="AQ783" s="335"/>
      <c r="AR783" s="335"/>
      <c r="AS783" s="335"/>
      <c r="AT783" s="335"/>
      <c r="AU783" s="335"/>
      <c r="AV783" s="335"/>
      <c r="AW783" s="335"/>
      <c r="AX783" s="335"/>
      <c r="AY783" s="335"/>
      <c r="AZ783" s="335"/>
      <c r="BA783" s="335"/>
      <c r="BB783" s="335"/>
      <c r="BC783" s="335"/>
      <c r="BD783" s="335"/>
      <c r="BE783" s="335"/>
      <c r="BF783" s="335"/>
      <c r="BG783" s="335"/>
      <c r="BH783" s="335"/>
      <c r="BI783" s="335"/>
      <c r="BJ783" s="335"/>
      <c r="BK783" s="335"/>
      <c r="BL783" s="335"/>
      <c r="BM783" s="335"/>
      <c r="BN783" s="335"/>
      <c r="BO783" s="335"/>
      <c r="BP783" s="335"/>
      <c r="BQ783" s="335"/>
      <c r="BR783" s="335"/>
      <c r="BS783" s="335"/>
      <c r="BT783" s="335"/>
      <c r="BU783" s="335"/>
      <c r="BV783" s="335"/>
      <c r="BW783" s="335"/>
      <c r="BX783" s="335"/>
      <c r="BY783" s="335"/>
      <c r="BZ783" s="335"/>
      <c r="CA783" s="335"/>
      <c r="CB783" s="335"/>
      <c r="CC783" s="335"/>
      <c r="CD783" s="335"/>
      <c r="CE783" s="335"/>
      <c r="CF783" s="335"/>
      <c r="CG783" s="335"/>
      <c r="CH783" s="335"/>
      <c r="CI783" s="335"/>
      <c r="CJ783" s="335"/>
      <c r="CK783" s="335"/>
      <c r="CL783" s="335"/>
      <c r="CM783" s="335"/>
      <c r="CN783" s="335"/>
      <c r="CO783" s="335"/>
      <c r="CP783" s="335"/>
      <c r="CQ783" s="335"/>
      <c r="CR783" s="335"/>
      <c r="CS783" s="335"/>
      <c r="CT783" s="335"/>
      <c r="CU783" s="335"/>
      <c r="CV783" s="335"/>
      <c r="CW783" s="335"/>
      <c r="CX783" s="335"/>
      <c r="CY783" s="335"/>
      <c r="CZ783" s="335"/>
      <c r="DA783" s="335"/>
      <c r="DB783" s="335"/>
      <c r="DC783" s="335"/>
      <c r="DD783" s="335"/>
      <c r="DE783" s="335"/>
      <c r="DF783" s="335"/>
      <c r="DG783" s="335"/>
      <c r="DH783" s="335"/>
      <c r="DI783" s="335"/>
      <c r="DJ783" s="335"/>
      <c r="DK783" s="335"/>
      <c r="DL783" s="335"/>
      <c r="DM783" s="335"/>
      <c r="DN783" s="335"/>
      <c r="DO783" s="335"/>
      <c r="DP783" s="335"/>
      <c r="DQ783" s="335"/>
      <c r="DR783" s="335"/>
      <c r="DS783" s="335"/>
      <c r="DT783" s="335"/>
      <c r="DU783" s="335"/>
      <c r="DV783" s="335"/>
      <c r="DW783" s="335"/>
      <c r="DX783" s="335"/>
      <c r="DY783" s="335"/>
      <c r="DZ783" s="335"/>
      <c r="EA783" s="335"/>
      <c r="EB783" s="335"/>
      <c r="EC783" s="335"/>
      <c r="ED783" s="335"/>
      <c r="EE783" s="335"/>
      <c r="EF783" s="335"/>
      <c r="EG783" s="335"/>
      <c r="EH783" s="335"/>
      <c r="EI783" s="335"/>
      <c r="EJ783" s="335"/>
      <c r="EK783" s="335"/>
      <c r="EL783" s="335"/>
      <c r="EM783" s="335"/>
      <c r="EN783" s="335"/>
      <c r="EO783" s="335"/>
      <c r="EP783" s="335"/>
      <c r="EQ783" s="335"/>
      <c r="ER783" s="335"/>
      <c r="ES783" s="335"/>
      <c r="ET783" s="335"/>
      <c r="EU783" s="335"/>
      <c r="EV783" s="335"/>
      <c r="EW783" s="335"/>
      <c r="EX783" s="335"/>
      <c r="EY783" s="335"/>
      <c r="EZ783" s="335"/>
      <c r="FA783" s="335"/>
      <c r="FB783" s="335"/>
      <c r="FC783" s="335"/>
      <c r="FD783" s="335"/>
      <c r="FE783" s="335"/>
      <c r="FF783" s="335"/>
      <c r="FG783" s="335"/>
      <c r="FH783" s="335"/>
      <c r="FI783" s="335"/>
      <c r="FJ783" s="335"/>
      <c r="FK783" s="335"/>
      <c r="FL783" s="335"/>
      <c r="FM783" s="335"/>
      <c r="FN783" s="335"/>
      <c r="FO783" s="335"/>
      <c r="FP783" s="335"/>
      <c r="FQ783" s="335"/>
      <c r="FR783" s="335"/>
      <c r="FS783" s="335"/>
      <c r="FT783" s="335"/>
      <c r="FU783" s="335"/>
      <c r="FV783" s="335"/>
      <c r="FW783" s="335"/>
      <c r="FX783" s="335"/>
      <c r="FY783" s="335"/>
      <c r="FZ783" s="335"/>
      <c r="GA783" s="335"/>
      <c r="GB783" s="335"/>
      <c r="GC783" s="335"/>
      <c r="GD783" s="335"/>
      <c r="GE783" s="335"/>
      <c r="GF783" s="335"/>
      <c r="GG783" s="335"/>
      <c r="GH783" s="335"/>
      <c r="GI783" s="335"/>
      <c r="GJ783" s="335"/>
      <c r="GK783" s="335"/>
      <c r="GL783" s="335"/>
      <c r="GM783" s="335"/>
      <c r="GN783" s="335"/>
      <c r="GO783" s="335"/>
      <c r="GP783" s="335"/>
      <c r="GQ783" s="335"/>
      <c r="GR783" s="335"/>
      <c r="GS783" s="335"/>
      <c r="GT783" s="335"/>
      <c r="GU783" s="335"/>
      <c r="GV783" s="335"/>
      <c r="GW783" s="335"/>
      <c r="GX783" s="335"/>
      <c r="GY783" s="335"/>
      <c r="GZ783" s="335"/>
    </row>
    <row r="784" spans="1:208" ht="15">
      <c r="A784" s="379"/>
      <c r="B784" s="335"/>
      <c r="C784" s="335"/>
      <c r="D784" s="335"/>
      <c r="E784" s="335"/>
      <c r="F784" s="335"/>
      <c r="G784" s="335"/>
      <c r="H784" s="335"/>
      <c r="I784" s="335"/>
      <c r="J784" s="335"/>
      <c r="K784" s="335"/>
      <c r="L784" s="335"/>
      <c r="M784" s="376"/>
      <c r="N784" s="335"/>
      <c r="O784" s="380"/>
      <c r="P784" s="335"/>
      <c r="Q784" s="335"/>
      <c r="R784" s="335"/>
      <c r="S784" s="335"/>
      <c r="T784" s="335"/>
      <c r="U784" s="335"/>
      <c r="V784" s="335"/>
      <c r="W784" s="335"/>
      <c r="X784" s="335"/>
      <c r="Y784" s="335"/>
      <c r="Z784" s="335"/>
      <c r="AA784" s="335"/>
      <c r="AB784" s="335"/>
      <c r="AC784" s="335"/>
      <c r="AD784" s="335"/>
      <c r="AE784" s="335"/>
      <c r="AF784" s="335"/>
      <c r="AG784" s="335"/>
      <c r="AH784" s="335"/>
      <c r="AI784" s="335"/>
      <c r="AJ784" s="335"/>
      <c r="AK784" s="335"/>
      <c r="AL784" s="335"/>
      <c r="AM784" s="335"/>
      <c r="AN784" s="335"/>
      <c r="AO784" s="335"/>
      <c r="AP784" s="335"/>
      <c r="AQ784" s="335"/>
      <c r="AR784" s="335"/>
      <c r="AS784" s="335"/>
      <c r="AT784" s="335"/>
      <c r="AU784" s="335"/>
      <c r="AV784" s="335"/>
      <c r="AW784" s="335"/>
      <c r="AX784" s="335"/>
      <c r="AY784" s="335"/>
      <c r="AZ784" s="335"/>
      <c r="BA784" s="335"/>
      <c r="BB784" s="335"/>
      <c r="BC784" s="335"/>
      <c r="BD784" s="335"/>
      <c r="BE784" s="335"/>
      <c r="BF784" s="335"/>
      <c r="BG784" s="335"/>
      <c r="BH784" s="335"/>
      <c r="BI784" s="335"/>
      <c r="BJ784" s="335"/>
      <c r="BK784" s="335"/>
      <c r="BL784" s="335"/>
      <c r="BM784" s="335"/>
      <c r="BN784" s="335"/>
      <c r="BO784" s="335"/>
      <c r="BP784" s="335"/>
      <c r="BQ784" s="335"/>
      <c r="BR784" s="335"/>
      <c r="BS784" s="335"/>
      <c r="BT784" s="335"/>
      <c r="BU784" s="335"/>
      <c r="BV784" s="335"/>
      <c r="BW784" s="335"/>
      <c r="BX784" s="335"/>
      <c r="BY784" s="335"/>
      <c r="BZ784" s="335"/>
      <c r="CA784" s="335"/>
      <c r="CB784" s="335"/>
      <c r="CC784" s="335"/>
      <c r="CD784" s="335"/>
      <c r="CE784" s="335"/>
      <c r="CF784" s="335"/>
      <c r="CG784" s="335"/>
      <c r="CH784" s="335"/>
      <c r="CI784" s="335"/>
      <c r="CJ784" s="335"/>
      <c r="CK784" s="335"/>
      <c r="CL784" s="335"/>
      <c r="CM784" s="335"/>
      <c r="CN784" s="335"/>
      <c r="CO784" s="335"/>
      <c r="CP784" s="335"/>
      <c r="CQ784" s="335"/>
      <c r="CR784" s="335"/>
      <c r="CS784" s="335"/>
      <c r="CT784" s="335"/>
      <c r="CU784" s="335"/>
      <c r="CV784" s="335"/>
      <c r="CW784" s="335"/>
      <c r="CX784" s="335"/>
      <c r="CY784" s="335"/>
      <c r="CZ784" s="335"/>
      <c r="DA784" s="335"/>
      <c r="DB784" s="335"/>
      <c r="DC784" s="335"/>
      <c r="DD784" s="335"/>
      <c r="DE784" s="335"/>
      <c r="DF784" s="335"/>
      <c r="DG784" s="335"/>
      <c r="DH784" s="335"/>
      <c r="DI784" s="335"/>
      <c r="DJ784" s="335"/>
      <c r="DK784" s="335"/>
      <c r="DL784" s="335"/>
      <c r="DM784" s="335"/>
      <c r="DN784" s="335"/>
      <c r="DO784" s="335"/>
      <c r="DP784" s="335"/>
      <c r="DQ784" s="335"/>
      <c r="DR784" s="335"/>
      <c r="DS784" s="335"/>
      <c r="DT784" s="335"/>
      <c r="DU784" s="335"/>
      <c r="DV784" s="335"/>
      <c r="DW784" s="335"/>
      <c r="DX784" s="335"/>
      <c r="DY784" s="335"/>
      <c r="DZ784" s="335"/>
      <c r="EA784" s="335"/>
      <c r="EB784" s="335"/>
      <c r="EC784" s="335"/>
      <c r="ED784" s="335"/>
      <c r="EE784" s="335"/>
      <c r="EF784" s="335"/>
      <c r="EG784" s="335"/>
      <c r="EH784" s="335"/>
      <c r="EI784" s="335"/>
      <c r="EJ784" s="335"/>
      <c r="EK784" s="335"/>
      <c r="EL784" s="335"/>
      <c r="EM784" s="335"/>
      <c r="EN784" s="335"/>
      <c r="EO784" s="335"/>
      <c r="EP784" s="335"/>
      <c r="EQ784" s="335"/>
      <c r="ER784" s="335"/>
      <c r="ES784" s="335"/>
      <c r="ET784" s="335"/>
      <c r="EU784" s="335"/>
      <c r="EV784" s="335"/>
      <c r="EW784" s="335"/>
      <c r="EX784" s="335"/>
      <c r="EY784" s="335"/>
      <c r="EZ784" s="335"/>
      <c r="FA784" s="335"/>
      <c r="FB784" s="335"/>
      <c r="FC784" s="335"/>
      <c r="FD784" s="335"/>
      <c r="FE784" s="335"/>
      <c r="FF784" s="335"/>
      <c r="FG784" s="335"/>
      <c r="FH784" s="335"/>
      <c r="FI784" s="335"/>
      <c r="FJ784" s="335"/>
      <c r="FK784" s="335"/>
      <c r="FL784" s="335"/>
      <c r="FM784" s="335"/>
      <c r="FN784" s="335"/>
      <c r="FO784" s="335"/>
      <c r="FP784" s="335"/>
      <c r="FQ784" s="335"/>
      <c r="FR784" s="335"/>
      <c r="FS784" s="335"/>
      <c r="FT784" s="335"/>
      <c r="FU784" s="335"/>
      <c r="FV784" s="335"/>
      <c r="FW784" s="335"/>
      <c r="FX784" s="335"/>
      <c r="FY784" s="335"/>
      <c r="FZ784" s="335"/>
      <c r="GA784" s="335"/>
      <c r="GB784" s="335"/>
      <c r="GC784" s="335"/>
      <c r="GD784" s="335"/>
      <c r="GE784" s="335"/>
      <c r="GF784" s="335"/>
      <c r="GG784" s="335"/>
      <c r="GH784" s="335"/>
      <c r="GI784" s="335"/>
      <c r="GJ784" s="335"/>
      <c r="GK784" s="335"/>
      <c r="GL784" s="335"/>
      <c r="GM784" s="335"/>
      <c r="GN784" s="335"/>
      <c r="GO784" s="335"/>
      <c r="GP784" s="335"/>
      <c r="GQ784" s="335"/>
      <c r="GR784" s="335"/>
      <c r="GS784" s="335"/>
      <c r="GT784" s="335"/>
      <c r="GU784" s="335"/>
      <c r="GV784" s="335"/>
      <c r="GW784" s="335"/>
      <c r="GX784" s="335"/>
      <c r="GY784" s="335"/>
      <c r="GZ784" s="335"/>
    </row>
    <row r="785" spans="1:208" ht="15">
      <c r="A785" s="379"/>
      <c r="B785" s="335"/>
      <c r="C785" s="335"/>
      <c r="D785" s="335"/>
      <c r="E785" s="335"/>
      <c r="F785" s="335"/>
      <c r="G785" s="335"/>
      <c r="H785" s="335"/>
      <c r="I785" s="335"/>
      <c r="J785" s="335"/>
      <c r="K785" s="335"/>
      <c r="L785" s="335"/>
      <c r="M785" s="376"/>
      <c r="N785" s="335"/>
      <c r="O785" s="380"/>
      <c r="P785" s="335"/>
      <c r="Q785" s="335"/>
      <c r="R785" s="335"/>
      <c r="S785" s="335"/>
      <c r="T785" s="335"/>
      <c r="U785" s="335"/>
      <c r="V785" s="335"/>
      <c r="W785" s="335"/>
      <c r="X785" s="335"/>
      <c r="Y785" s="335"/>
      <c r="Z785" s="335"/>
      <c r="AA785" s="335"/>
      <c r="AB785" s="335"/>
      <c r="AC785" s="335"/>
      <c r="AD785" s="335"/>
      <c r="AE785" s="335"/>
      <c r="AF785" s="335"/>
      <c r="AG785" s="335"/>
      <c r="AH785" s="335"/>
      <c r="AI785" s="335"/>
      <c r="AJ785" s="335"/>
      <c r="AK785" s="335"/>
      <c r="AL785" s="335"/>
      <c r="AM785" s="335"/>
      <c r="AN785" s="335"/>
      <c r="AO785" s="335"/>
      <c r="AP785" s="335"/>
      <c r="AQ785" s="335"/>
      <c r="AR785" s="335"/>
      <c r="AS785" s="335"/>
      <c r="AT785" s="335"/>
      <c r="AU785" s="335"/>
      <c r="AV785" s="335"/>
      <c r="AW785" s="335"/>
      <c r="AX785" s="335"/>
      <c r="AY785" s="335"/>
      <c r="AZ785" s="335"/>
      <c r="BA785" s="335"/>
      <c r="BB785" s="335"/>
      <c r="BC785" s="335"/>
      <c r="BD785" s="335"/>
      <c r="BE785" s="335"/>
      <c r="BF785" s="335"/>
      <c r="BG785" s="335"/>
      <c r="BH785" s="335"/>
      <c r="BI785" s="335"/>
      <c r="BJ785" s="335"/>
      <c r="BK785" s="335"/>
      <c r="BL785" s="335"/>
      <c r="BM785" s="335"/>
      <c r="BN785" s="335"/>
      <c r="BO785" s="335"/>
      <c r="BP785" s="335"/>
      <c r="BQ785" s="335"/>
      <c r="BR785" s="335"/>
      <c r="BS785" s="335"/>
      <c r="BT785" s="335"/>
      <c r="BU785" s="335"/>
      <c r="BV785" s="335"/>
      <c r="BW785" s="335"/>
      <c r="BX785" s="335"/>
      <c r="BY785" s="335"/>
      <c r="BZ785" s="335"/>
      <c r="CA785" s="335"/>
      <c r="CB785" s="335"/>
      <c r="CC785" s="335"/>
      <c r="CD785" s="335"/>
      <c r="CE785" s="335"/>
      <c r="CF785" s="335"/>
      <c r="CG785" s="335"/>
      <c r="CH785" s="335"/>
      <c r="CI785" s="335"/>
      <c r="CJ785" s="335"/>
      <c r="CK785" s="335"/>
      <c r="CL785" s="335"/>
      <c r="CM785" s="335"/>
      <c r="CN785" s="335"/>
      <c r="CO785" s="335"/>
      <c r="CP785" s="335"/>
      <c r="CQ785" s="335"/>
      <c r="CR785" s="335"/>
      <c r="CS785" s="335"/>
      <c r="CT785" s="335"/>
      <c r="CU785" s="335"/>
      <c r="CV785" s="335"/>
      <c r="CW785" s="335"/>
      <c r="CX785" s="335"/>
      <c r="CY785" s="335"/>
      <c r="CZ785" s="335"/>
      <c r="DA785" s="335"/>
      <c r="DB785" s="335"/>
      <c r="DC785" s="335"/>
      <c r="DD785" s="335"/>
      <c r="DE785" s="335"/>
      <c r="DF785" s="335"/>
      <c r="DG785" s="335"/>
      <c r="DH785" s="335"/>
      <c r="DI785" s="335"/>
      <c r="DJ785" s="335"/>
      <c r="DK785" s="335"/>
      <c r="DL785" s="335"/>
      <c r="DM785" s="335"/>
      <c r="DN785" s="335"/>
      <c r="DO785" s="335"/>
      <c r="DP785" s="335"/>
      <c r="DQ785" s="335"/>
      <c r="DR785" s="335"/>
      <c r="DS785" s="335"/>
      <c r="DT785" s="335"/>
      <c r="DU785" s="335"/>
      <c r="DV785" s="335"/>
      <c r="DW785" s="335"/>
      <c r="DX785" s="335"/>
      <c r="DY785" s="335"/>
      <c r="DZ785" s="335"/>
      <c r="EA785" s="335"/>
      <c r="EB785" s="335"/>
      <c r="EC785" s="335"/>
      <c r="ED785" s="335"/>
      <c r="EE785" s="335"/>
      <c r="EF785" s="335"/>
      <c r="EG785" s="335"/>
      <c r="EH785" s="335"/>
      <c r="EI785" s="335"/>
      <c r="EJ785" s="335"/>
      <c r="EK785" s="335"/>
      <c r="EL785" s="335"/>
      <c r="EM785" s="335"/>
      <c r="EN785" s="335"/>
      <c r="EO785" s="335"/>
      <c r="EP785" s="335"/>
      <c r="EQ785" s="335"/>
      <c r="ER785" s="335"/>
      <c r="ES785" s="335"/>
      <c r="ET785" s="335"/>
      <c r="EU785" s="335"/>
      <c r="EV785" s="335"/>
      <c r="EW785" s="335"/>
      <c r="EX785" s="335"/>
      <c r="EY785" s="335"/>
      <c r="EZ785" s="335"/>
      <c r="FA785" s="335"/>
      <c r="FB785" s="335"/>
      <c r="FC785" s="335"/>
      <c r="FD785" s="335"/>
      <c r="FE785" s="335"/>
      <c r="FF785" s="335"/>
      <c r="FG785" s="335"/>
      <c r="FH785" s="335"/>
      <c r="FI785" s="335"/>
      <c r="FJ785" s="335"/>
      <c r="FK785" s="335"/>
      <c r="FL785" s="335"/>
      <c r="FM785" s="335"/>
      <c r="FN785" s="335"/>
      <c r="FO785" s="335"/>
      <c r="FP785" s="335"/>
      <c r="FQ785" s="335"/>
      <c r="FR785" s="335"/>
      <c r="FS785" s="335"/>
      <c r="FT785" s="335"/>
      <c r="FU785" s="335"/>
      <c r="FV785" s="335"/>
      <c r="FW785" s="335"/>
      <c r="FX785" s="335"/>
      <c r="FY785" s="335"/>
      <c r="FZ785" s="335"/>
      <c r="GA785" s="335"/>
      <c r="GB785" s="335"/>
      <c r="GC785" s="335"/>
      <c r="GD785" s="335"/>
      <c r="GE785" s="335"/>
      <c r="GF785" s="335"/>
      <c r="GG785" s="335"/>
      <c r="GH785" s="335"/>
      <c r="GI785" s="335"/>
      <c r="GJ785" s="335"/>
      <c r="GK785" s="335"/>
      <c r="GL785" s="335"/>
      <c r="GM785" s="335"/>
      <c r="GN785" s="335"/>
      <c r="GO785" s="335"/>
      <c r="GP785" s="335"/>
      <c r="GQ785" s="335"/>
      <c r="GR785" s="335"/>
      <c r="GS785" s="335"/>
      <c r="GT785" s="335"/>
      <c r="GU785" s="335"/>
      <c r="GV785" s="335"/>
      <c r="GW785" s="335"/>
      <c r="GX785" s="335"/>
      <c r="GY785" s="335"/>
      <c r="GZ785" s="335"/>
    </row>
    <row r="786" spans="1:208" ht="15">
      <c r="A786" s="379"/>
      <c r="B786" s="335"/>
      <c r="C786" s="335"/>
      <c r="D786" s="335"/>
      <c r="E786" s="335"/>
      <c r="F786" s="335"/>
      <c r="G786" s="335"/>
      <c r="H786" s="335"/>
      <c r="I786" s="335"/>
      <c r="J786" s="335"/>
      <c r="K786" s="335"/>
      <c r="L786" s="335"/>
      <c r="M786" s="376"/>
      <c r="N786" s="335"/>
      <c r="O786" s="380"/>
      <c r="P786" s="335"/>
      <c r="Q786" s="335"/>
      <c r="R786" s="335"/>
      <c r="S786" s="335"/>
      <c r="T786" s="335"/>
      <c r="U786" s="335"/>
      <c r="V786" s="335"/>
      <c r="W786" s="335"/>
      <c r="X786" s="335"/>
      <c r="Y786" s="335"/>
      <c r="Z786" s="335"/>
      <c r="AA786" s="335"/>
      <c r="AB786" s="335"/>
      <c r="AC786" s="335"/>
      <c r="AD786" s="335"/>
      <c r="AE786" s="335"/>
      <c r="AF786" s="335"/>
      <c r="AG786" s="335"/>
      <c r="AH786" s="335"/>
      <c r="AI786" s="335"/>
      <c r="AJ786" s="335"/>
      <c r="AK786" s="335"/>
      <c r="AL786" s="335"/>
      <c r="AM786" s="335"/>
      <c r="AN786" s="335"/>
      <c r="AO786" s="335"/>
      <c r="AP786" s="335"/>
      <c r="AQ786" s="335"/>
      <c r="AR786" s="335"/>
      <c r="AS786" s="335"/>
      <c r="AT786" s="335"/>
      <c r="AU786" s="335"/>
      <c r="AV786" s="335"/>
      <c r="AW786" s="335"/>
      <c r="AX786" s="335"/>
      <c r="AY786" s="335"/>
      <c r="AZ786" s="335"/>
      <c r="BA786" s="335"/>
      <c r="BB786" s="335"/>
      <c r="BC786" s="335"/>
      <c r="BD786" s="335"/>
      <c r="BE786" s="335"/>
      <c r="BF786" s="335"/>
      <c r="BG786" s="335"/>
      <c r="BH786" s="335"/>
      <c r="BI786" s="335"/>
      <c r="BJ786" s="335"/>
      <c r="BK786" s="335"/>
      <c r="BL786" s="335"/>
      <c r="BM786" s="335"/>
      <c r="BN786" s="335"/>
      <c r="BO786" s="335"/>
      <c r="BP786" s="335"/>
      <c r="BQ786" s="335"/>
      <c r="BR786" s="335"/>
      <c r="BS786" s="335"/>
      <c r="BT786" s="335"/>
      <c r="BU786" s="335"/>
      <c r="BV786" s="335"/>
      <c r="BW786" s="335"/>
      <c r="BX786" s="335"/>
      <c r="BY786" s="335"/>
      <c r="BZ786" s="335"/>
      <c r="CA786" s="335"/>
      <c r="CB786" s="335"/>
      <c r="CC786" s="335"/>
      <c r="CD786" s="335"/>
      <c r="CE786" s="335"/>
      <c r="CF786" s="335"/>
      <c r="CG786" s="335"/>
      <c r="CH786" s="335"/>
      <c r="CI786" s="335"/>
      <c r="CJ786" s="335"/>
      <c r="CK786" s="335"/>
      <c r="CL786" s="335"/>
      <c r="CM786" s="335"/>
      <c r="CN786" s="335"/>
      <c r="CO786" s="335"/>
      <c r="CP786" s="335"/>
      <c r="CQ786" s="335"/>
      <c r="CR786" s="335"/>
      <c r="CS786" s="335"/>
      <c r="CT786" s="335"/>
      <c r="CU786" s="335"/>
      <c r="CV786" s="335"/>
      <c r="CW786" s="335"/>
      <c r="CX786" s="335"/>
      <c r="CY786" s="335"/>
      <c r="CZ786" s="335"/>
      <c r="DA786" s="335"/>
      <c r="DB786" s="335"/>
      <c r="DC786" s="335"/>
      <c r="DD786" s="335"/>
      <c r="DE786" s="335"/>
      <c r="DF786" s="335"/>
      <c r="DG786" s="335"/>
      <c r="DH786" s="335"/>
      <c r="DI786" s="335"/>
      <c r="DJ786" s="335"/>
      <c r="DK786" s="335"/>
      <c r="DL786" s="335"/>
      <c r="DM786" s="335"/>
      <c r="DN786" s="335"/>
      <c r="DO786" s="335"/>
      <c r="DP786" s="335"/>
      <c r="DQ786" s="335"/>
      <c r="DR786" s="335"/>
      <c r="DS786" s="335"/>
      <c r="DT786" s="335"/>
      <c r="DU786" s="335"/>
      <c r="DV786" s="335"/>
      <c r="DW786" s="335"/>
      <c r="DX786" s="335"/>
      <c r="DY786" s="335"/>
      <c r="DZ786" s="335"/>
      <c r="EA786" s="335"/>
      <c r="EB786" s="335"/>
      <c r="EC786" s="335"/>
      <c r="ED786" s="335"/>
      <c r="EE786" s="335"/>
      <c r="EF786" s="335"/>
      <c r="EG786" s="335"/>
      <c r="EH786" s="335"/>
      <c r="EI786" s="335"/>
      <c r="EJ786" s="335"/>
      <c r="EK786" s="335"/>
      <c r="EL786" s="335"/>
      <c r="EM786" s="335"/>
      <c r="EN786" s="335"/>
      <c r="EO786" s="335"/>
      <c r="EP786" s="335"/>
      <c r="EQ786" s="335"/>
      <c r="ER786" s="335"/>
      <c r="ES786" s="335"/>
      <c r="ET786" s="335"/>
      <c r="EU786" s="335"/>
      <c r="EV786" s="335"/>
      <c r="EW786" s="335"/>
      <c r="EX786" s="335"/>
      <c r="EY786" s="335"/>
      <c r="EZ786" s="335"/>
      <c r="FA786" s="335"/>
      <c r="FB786" s="335"/>
      <c r="FC786" s="335"/>
      <c r="FD786" s="335"/>
      <c r="FE786" s="335"/>
      <c r="FF786" s="335"/>
      <c r="FG786" s="335"/>
      <c r="FH786" s="335"/>
      <c r="FI786" s="335"/>
      <c r="FJ786" s="335"/>
      <c r="FK786" s="335"/>
      <c r="FL786" s="335"/>
      <c r="FM786" s="335"/>
      <c r="FN786" s="335"/>
      <c r="FO786" s="335"/>
      <c r="FP786" s="335"/>
      <c r="FQ786" s="335"/>
      <c r="FR786" s="335"/>
      <c r="FS786" s="335"/>
      <c r="FT786" s="335"/>
      <c r="FU786" s="335"/>
      <c r="FV786" s="335"/>
      <c r="FW786" s="335"/>
      <c r="FX786" s="335"/>
      <c r="FY786" s="335"/>
      <c r="FZ786" s="335"/>
      <c r="GA786" s="335"/>
      <c r="GB786" s="335"/>
      <c r="GC786" s="335"/>
      <c r="GD786" s="335"/>
      <c r="GE786" s="335"/>
      <c r="GF786" s="335"/>
      <c r="GG786" s="335"/>
      <c r="GH786" s="335"/>
      <c r="GI786" s="335"/>
      <c r="GJ786" s="335"/>
      <c r="GK786" s="335"/>
      <c r="GL786" s="335"/>
      <c r="GM786" s="335"/>
      <c r="GN786" s="335"/>
      <c r="GO786" s="335"/>
      <c r="GP786" s="335"/>
      <c r="GQ786" s="335"/>
      <c r="GR786" s="335"/>
      <c r="GS786" s="335"/>
      <c r="GT786" s="335"/>
      <c r="GU786" s="335"/>
      <c r="GV786" s="335"/>
      <c r="GW786" s="335"/>
      <c r="GX786" s="335"/>
      <c r="GY786" s="335"/>
      <c r="GZ786" s="335"/>
    </row>
    <row r="787" spans="1:208" ht="15">
      <c r="A787" s="379"/>
      <c r="B787" s="335"/>
      <c r="C787" s="335"/>
      <c r="D787" s="335"/>
      <c r="E787" s="335"/>
      <c r="F787" s="335"/>
      <c r="G787" s="335"/>
      <c r="H787" s="335"/>
      <c r="I787" s="335"/>
      <c r="J787" s="335"/>
      <c r="K787" s="335"/>
      <c r="L787" s="335"/>
      <c r="M787" s="376"/>
      <c r="N787" s="335"/>
      <c r="O787" s="380"/>
      <c r="P787" s="335"/>
      <c r="Q787" s="335"/>
      <c r="R787" s="335"/>
      <c r="S787" s="335"/>
      <c r="T787" s="335"/>
      <c r="U787" s="335"/>
      <c r="V787" s="335"/>
      <c r="W787" s="335"/>
      <c r="X787" s="335"/>
      <c r="Y787" s="335"/>
      <c r="Z787" s="335"/>
      <c r="AA787" s="335"/>
      <c r="AB787" s="335"/>
      <c r="AC787" s="335"/>
      <c r="AD787" s="335"/>
      <c r="AE787" s="335"/>
      <c r="AF787" s="335"/>
      <c r="AG787" s="335"/>
      <c r="AH787" s="335"/>
      <c r="AI787" s="335"/>
      <c r="AJ787" s="335"/>
      <c r="AK787" s="335"/>
      <c r="AL787" s="335"/>
      <c r="AM787" s="335"/>
      <c r="AN787" s="335"/>
      <c r="AO787" s="335"/>
      <c r="AP787" s="335"/>
      <c r="AQ787" s="335"/>
      <c r="AR787" s="335"/>
      <c r="AS787" s="335"/>
      <c r="AT787" s="335"/>
      <c r="AU787" s="335"/>
      <c r="AV787" s="335"/>
      <c r="AW787" s="335"/>
      <c r="AX787" s="335"/>
      <c r="AY787" s="335"/>
      <c r="AZ787" s="335"/>
      <c r="BA787" s="335"/>
      <c r="BB787" s="335"/>
      <c r="BC787" s="335"/>
      <c r="BD787" s="335"/>
      <c r="BE787" s="335"/>
      <c r="BF787" s="335"/>
      <c r="BG787" s="335"/>
      <c r="BH787" s="335"/>
      <c r="BI787" s="335"/>
      <c r="BJ787" s="335"/>
      <c r="BK787" s="335"/>
      <c r="BL787" s="335"/>
      <c r="BM787" s="335"/>
      <c r="BN787" s="335"/>
      <c r="BO787" s="335"/>
      <c r="BP787" s="335"/>
      <c r="BQ787" s="335"/>
      <c r="BR787" s="335"/>
      <c r="BS787" s="335"/>
      <c r="BT787" s="335"/>
      <c r="BU787" s="335"/>
      <c r="BV787" s="335"/>
      <c r="BW787" s="335"/>
      <c r="BX787" s="335"/>
      <c r="BY787" s="335"/>
      <c r="BZ787" s="335"/>
      <c r="CA787" s="335"/>
      <c r="CB787" s="335"/>
      <c r="CC787" s="335"/>
      <c r="CD787" s="335"/>
      <c r="CE787" s="335"/>
      <c r="CF787" s="335"/>
      <c r="CG787" s="335"/>
      <c r="CH787" s="335"/>
      <c r="CI787" s="335"/>
      <c r="CJ787" s="335"/>
      <c r="CK787" s="335"/>
      <c r="CL787" s="335"/>
      <c r="CM787" s="335"/>
      <c r="CN787" s="335"/>
      <c r="CO787" s="335"/>
      <c r="CP787" s="335"/>
      <c r="CQ787" s="335"/>
      <c r="CR787" s="335"/>
      <c r="CS787" s="335"/>
      <c r="CT787" s="335"/>
      <c r="CU787" s="335"/>
      <c r="CV787" s="335"/>
      <c r="CW787" s="335"/>
      <c r="CX787" s="335"/>
      <c r="CY787" s="335"/>
      <c r="CZ787" s="335"/>
      <c r="DA787" s="335"/>
      <c r="DB787" s="335"/>
      <c r="DC787" s="335"/>
      <c r="DD787" s="335"/>
      <c r="DE787" s="335"/>
      <c r="DF787" s="335"/>
      <c r="DG787" s="335"/>
      <c r="DH787" s="335"/>
      <c r="DI787" s="335"/>
      <c r="DJ787" s="335"/>
      <c r="DK787" s="335"/>
      <c r="DL787" s="335"/>
      <c r="DM787" s="335"/>
      <c r="DN787" s="335"/>
      <c r="DO787" s="335"/>
      <c r="DP787" s="335"/>
      <c r="DQ787" s="335"/>
      <c r="DR787" s="335"/>
      <c r="DS787" s="335"/>
      <c r="DT787" s="335"/>
      <c r="DU787" s="335"/>
      <c r="DV787" s="335"/>
      <c r="DW787" s="335"/>
      <c r="DX787" s="335"/>
      <c r="DY787" s="335"/>
      <c r="DZ787" s="335"/>
      <c r="EA787" s="335"/>
      <c r="EB787" s="335"/>
      <c r="EC787" s="335"/>
      <c r="ED787" s="335"/>
      <c r="EE787" s="335"/>
      <c r="EF787" s="335"/>
      <c r="EG787" s="335"/>
      <c r="EH787" s="335"/>
      <c r="EI787" s="335"/>
      <c r="EJ787" s="335"/>
      <c r="EK787" s="335"/>
      <c r="EL787" s="335"/>
      <c r="EM787" s="335"/>
      <c r="EN787" s="335"/>
      <c r="EO787" s="335"/>
      <c r="EP787" s="335"/>
      <c r="EQ787" s="335"/>
      <c r="ER787" s="335"/>
      <c r="ES787" s="335"/>
      <c r="ET787" s="335"/>
      <c r="EU787" s="335"/>
      <c r="EV787" s="335"/>
      <c r="EW787" s="335"/>
      <c r="EX787" s="335"/>
      <c r="EY787" s="335"/>
      <c r="EZ787" s="335"/>
      <c r="FA787" s="335"/>
      <c r="FB787" s="335"/>
      <c r="FC787" s="335"/>
      <c r="FD787" s="335"/>
      <c r="FE787" s="335"/>
      <c r="FF787" s="335"/>
      <c r="FG787" s="335"/>
      <c r="FH787" s="335"/>
      <c r="FI787" s="335"/>
      <c r="FJ787" s="335"/>
      <c r="FK787" s="335"/>
      <c r="FL787" s="335"/>
      <c r="FM787" s="335"/>
      <c r="FN787" s="335"/>
      <c r="FO787" s="335"/>
      <c r="FP787" s="335"/>
      <c r="FQ787" s="335"/>
      <c r="FR787" s="335"/>
      <c r="FS787" s="335"/>
      <c r="FT787" s="335"/>
      <c r="FU787" s="335"/>
      <c r="FV787" s="335"/>
      <c r="FW787" s="335"/>
      <c r="FX787" s="335"/>
      <c r="FY787" s="335"/>
      <c r="FZ787" s="335"/>
      <c r="GA787" s="335"/>
      <c r="GB787" s="335"/>
      <c r="GC787" s="335"/>
      <c r="GD787" s="335"/>
      <c r="GE787" s="335"/>
      <c r="GF787" s="335"/>
      <c r="GG787" s="335"/>
      <c r="GH787" s="335"/>
      <c r="GI787" s="335"/>
      <c r="GJ787" s="335"/>
      <c r="GK787" s="335"/>
      <c r="GL787" s="335"/>
      <c r="GM787" s="335"/>
      <c r="GN787" s="335"/>
      <c r="GO787" s="335"/>
      <c r="GP787" s="335"/>
      <c r="GQ787" s="335"/>
      <c r="GR787" s="335"/>
      <c r="GS787" s="335"/>
      <c r="GT787" s="335"/>
      <c r="GU787" s="335"/>
      <c r="GV787" s="335"/>
      <c r="GW787" s="335"/>
      <c r="GX787" s="335"/>
      <c r="GY787" s="335"/>
      <c r="GZ787" s="335"/>
    </row>
    <row r="788" spans="1:208" ht="15">
      <c r="A788" s="379"/>
      <c r="B788" s="335"/>
      <c r="C788" s="335"/>
      <c r="D788" s="335"/>
      <c r="E788" s="335"/>
      <c r="F788" s="335"/>
      <c r="G788" s="335"/>
      <c r="H788" s="335"/>
      <c r="I788" s="335"/>
      <c r="J788" s="335"/>
      <c r="K788" s="335"/>
      <c r="L788" s="335"/>
      <c r="M788" s="376"/>
      <c r="N788" s="335"/>
      <c r="O788" s="380"/>
      <c r="P788" s="335"/>
      <c r="Q788" s="335"/>
      <c r="R788" s="335"/>
      <c r="S788" s="335"/>
      <c r="T788" s="335"/>
      <c r="U788" s="335"/>
      <c r="V788" s="335"/>
      <c r="W788" s="335"/>
      <c r="X788" s="335"/>
      <c r="Y788" s="335"/>
      <c r="Z788" s="335"/>
      <c r="AA788" s="335"/>
      <c r="AB788" s="335"/>
      <c r="AC788" s="335"/>
      <c r="AD788" s="335"/>
      <c r="AE788" s="335"/>
      <c r="AF788" s="335"/>
      <c r="AG788" s="335"/>
      <c r="AH788" s="335"/>
      <c r="AI788" s="335"/>
      <c r="AJ788" s="335"/>
      <c r="AK788" s="335"/>
      <c r="AL788" s="335"/>
      <c r="AM788" s="335"/>
      <c r="AN788" s="335"/>
      <c r="AO788" s="335"/>
      <c r="AP788" s="335"/>
      <c r="AQ788" s="335"/>
      <c r="AR788" s="335"/>
      <c r="AS788" s="335"/>
      <c r="AT788" s="335"/>
      <c r="AU788" s="335"/>
      <c r="AV788" s="335"/>
      <c r="AW788" s="335"/>
      <c r="AX788" s="335"/>
      <c r="AY788" s="335"/>
      <c r="AZ788" s="335"/>
      <c r="BA788" s="335"/>
      <c r="BB788" s="335"/>
      <c r="BC788" s="335"/>
      <c r="BD788" s="335"/>
      <c r="BE788" s="335"/>
      <c r="BF788" s="335"/>
      <c r="BG788" s="335"/>
      <c r="BH788" s="335"/>
      <c r="BI788" s="335"/>
      <c r="BJ788" s="335"/>
      <c r="BK788" s="335"/>
      <c r="BL788" s="335"/>
      <c r="BM788" s="335"/>
      <c r="BN788" s="335"/>
      <c r="BO788" s="335"/>
      <c r="BP788" s="335"/>
      <c r="BQ788" s="335"/>
      <c r="BR788" s="335"/>
      <c r="BS788" s="335"/>
      <c r="BT788" s="335"/>
      <c r="BU788" s="335"/>
      <c r="BV788" s="335"/>
      <c r="BW788" s="335"/>
      <c r="BX788" s="335"/>
      <c r="BY788" s="335"/>
      <c r="BZ788" s="335"/>
      <c r="CA788" s="335"/>
      <c r="CB788" s="335"/>
      <c r="CC788" s="335"/>
      <c r="CD788" s="335"/>
      <c r="CE788" s="335"/>
      <c r="CF788" s="335"/>
      <c r="CG788" s="335"/>
      <c r="CH788" s="335"/>
      <c r="CI788" s="335"/>
      <c r="CJ788" s="335"/>
      <c r="CK788" s="335"/>
      <c r="CL788" s="335"/>
      <c r="CM788" s="335"/>
      <c r="CN788" s="335"/>
      <c r="CO788" s="335"/>
      <c r="CP788" s="335"/>
      <c r="CQ788" s="335"/>
      <c r="CR788" s="335"/>
      <c r="CS788" s="335"/>
      <c r="CT788" s="335"/>
      <c r="CU788" s="335"/>
      <c r="CV788" s="335"/>
      <c r="CW788" s="335"/>
      <c r="CX788" s="335"/>
      <c r="CY788" s="335"/>
      <c r="CZ788" s="335"/>
      <c r="DA788" s="335"/>
      <c r="DB788" s="335"/>
      <c r="DC788" s="335"/>
      <c r="DD788" s="335"/>
      <c r="DE788" s="335"/>
      <c r="DF788" s="335"/>
      <c r="DG788" s="335"/>
      <c r="DH788" s="335"/>
      <c r="DI788" s="335"/>
      <c r="DJ788" s="335"/>
      <c r="DK788" s="335"/>
      <c r="DL788" s="335"/>
      <c r="DM788" s="335"/>
      <c r="DN788" s="335"/>
      <c r="DO788" s="335"/>
      <c r="DP788" s="335"/>
      <c r="DQ788" s="335"/>
      <c r="DR788" s="335"/>
      <c r="DS788" s="335"/>
      <c r="DT788" s="335"/>
      <c r="DU788" s="335"/>
      <c r="DV788" s="335"/>
      <c r="DW788" s="335"/>
      <c r="DX788" s="335"/>
      <c r="DY788" s="335"/>
      <c r="DZ788" s="335"/>
      <c r="EA788" s="335"/>
      <c r="EB788" s="335"/>
      <c r="EC788" s="335"/>
      <c r="ED788" s="335"/>
      <c r="EE788" s="335"/>
      <c r="EF788" s="335"/>
      <c r="EG788" s="335"/>
      <c r="EH788" s="335"/>
      <c r="EI788" s="335"/>
      <c r="EJ788" s="335"/>
      <c r="EK788" s="335"/>
      <c r="EL788" s="335"/>
      <c r="EM788" s="335"/>
      <c r="EN788" s="335"/>
      <c r="EO788" s="335"/>
      <c r="EP788" s="335"/>
      <c r="EQ788" s="335"/>
      <c r="ER788" s="335"/>
      <c r="ES788" s="335"/>
      <c r="ET788" s="335"/>
      <c r="EU788" s="335"/>
      <c r="EV788" s="335"/>
      <c r="EW788" s="335"/>
      <c r="EX788" s="335"/>
      <c r="EY788" s="335"/>
      <c r="EZ788" s="335"/>
      <c r="FA788" s="335"/>
      <c r="FB788" s="335"/>
      <c r="FC788" s="335"/>
      <c r="FD788" s="335"/>
      <c r="FE788" s="335"/>
      <c r="FF788" s="335"/>
      <c r="FG788" s="335"/>
      <c r="FH788" s="335"/>
      <c r="FI788" s="335"/>
      <c r="FJ788" s="335"/>
      <c r="FK788" s="335"/>
      <c r="FL788" s="335"/>
      <c r="FM788" s="335"/>
      <c r="FN788" s="335"/>
      <c r="FO788" s="335"/>
      <c r="FP788" s="335"/>
      <c r="FQ788" s="335"/>
      <c r="FR788" s="335"/>
      <c r="FS788" s="335"/>
      <c r="FT788" s="335"/>
      <c r="FU788" s="335"/>
      <c r="FV788" s="335"/>
      <c r="FW788" s="335"/>
      <c r="FX788" s="335"/>
      <c r="FY788" s="335"/>
      <c r="FZ788" s="335"/>
      <c r="GA788" s="335"/>
      <c r="GB788" s="335"/>
      <c r="GC788" s="335"/>
      <c r="GD788" s="335"/>
      <c r="GE788" s="335"/>
      <c r="GF788" s="335"/>
      <c r="GG788" s="335"/>
      <c r="GH788" s="335"/>
      <c r="GI788" s="335"/>
      <c r="GJ788" s="335"/>
      <c r="GK788" s="335"/>
      <c r="GL788" s="335"/>
      <c r="GM788" s="335"/>
      <c r="GN788" s="335"/>
      <c r="GO788" s="335"/>
      <c r="GP788" s="335"/>
      <c r="GQ788" s="335"/>
      <c r="GR788" s="335"/>
      <c r="GS788" s="335"/>
      <c r="GT788" s="335"/>
      <c r="GU788" s="335"/>
      <c r="GV788" s="335"/>
      <c r="GW788" s="335"/>
      <c r="GX788" s="335"/>
      <c r="GY788" s="335"/>
      <c r="GZ788" s="335"/>
    </row>
    <row r="789" spans="1:208" ht="15">
      <c r="A789" s="379"/>
      <c r="B789" s="335"/>
      <c r="C789" s="335"/>
      <c r="D789" s="335"/>
      <c r="E789" s="335"/>
      <c r="F789" s="335"/>
      <c r="G789" s="335"/>
      <c r="H789" s="335"/>
      <c r="I789" s="335"/>
      <c r="J789" s="335"/>
      <c r="K789" s="335"/>
      <c r="L789" s="335"/>
      <c r="M789" s="376"/>
      <c r="N789" s="335"/>
      <c r="O789" s="380"/>
      <c r="P789" s="335"/>
      <c r="Q789" s="335"/>
      <c r="R789" s="335"/>
      <c r="S789" s="335"/>
      <c r="T789" s="335"/>
      <c r="U789" s="335"/>
      <c r="V789" s="335"/>
      <c r="W789" s="335"/>
      <c r="X789" s="335"/>
      <c r="Y789" s="335"/>
      <c r="Z789" s="335"/>
      <c r="AA789" s="335"/>
      <c r="AB789" s="335"/>
      <c r="AC789" s="335"/>
      <c r="AD789" s="335"/>
      <c r="AE789" s="335"/>
      <c r="AF789" s="335"/>
      <c r="AG789" s="335"/>
      <c r="AH789" s="335"/>
      <c r="AI789" s="335"/>
      <c r="AJ789" s="335"/>
      <c r="AK789" s="335"/>
      <c r="AL789" s="335"/>
      <c r="AM789" s="335"/>
      <c r="AN789" s="335"/>
      <c r="AO789" s="335"/>
      <c r="AP789" s="335"/>
      <c r="AQ789" s="335"/>
      <c r="AR789" s="335"/>
      <c r="AS789" s="335"/>
      <c r="AT789" s="335"/>
      <c r="AU789" s="335"/>
      <c r="AV789" s="335"/>
      <c r="AW789" s="335"/>
      <c r="AX789" s="335"/>
      <c r="AY789" s="335"/>
      <c r="AZ789" s="335"/>
      <c r="BA789" s="335"/>
      <c r="BB789" s="335"/>
      <c r="BC789" s="335"/>
      <c r="BD789" s="335"/>
      <c r="BE789" s="335"/>
      <c r="BF789" s="335"/>
      <c r="BG789" s="335"/>
      <c r="BH789" s="335"/>
      <c r="BI789" s="335"/>
      <c r="BJ789" s="335"/>
      <c r="BK789" s="335"/>
      <c r="BL789" s="335"/>
      <c r="BM789" s="335"/>
      <c r="BN789" s="335"/>
      <c r="BO789" s="335"/>
      <c r="BP789" s="335"/>
      <c r="BQ789" s="335"/>
      <c r="BR789" s="335"/>
      <c r="BS789" s="335"/>
      <c r="BT789" s="335"/>
      <c r="BU789" s="335"/>
      <c r="BV789" s="335"/>
      <c r="BW789" s="335"/>
      <c r="BX789" s="335"/>
      <c r="BY789" s="335"/>
      <c r="BZ789" s="335"/>
      <c r="CA789" s="335"/>
      <c r="CB789" s="335"/>
      <c r="CC789" s="335"/>
      <c r="CD789" s="335"/>
      <c r="CE789" s="335"/>
      <c r="CF789" s="335"/>
      <c r="CG789" s="335"/>
      <c r="CH789" s="335"/>
      <c r="CI789" s="335"/>
      <c r="CJ789" s="335"/>
      <c r="CK789" s="335"/>
      <c r="CL789" s="335"/>
      <c r="CM789" s="335"/>
      <c r="CN789" s="335"/>
      <c r="CO789" s="335"/>
      <c r="CP789" s="335"/>
      <c r="CQ789" s="335"/>
      <c r="CR789" s="335"/>
      <c r="CS789" s="335"/>
      <c r="CT789" s="335"/>
      <c r="CU789" s="335"/>
      <c r="CV789" s="335"/>
      <c r="CW789" s="335"/>
      <c r="CX789" s="335"/>
      <c r="CY789" s="335"/>
      <c r="CZ789" s="335"/>
      <c r="DA789" s="335"/>
      <c r="DB789" s="335"/>
      <c r="DC789" s="335"/>
      <c r="DD789" s="335"/>
      <c r="DE789" s="335"/>
      <c r="DF789" s="335"/>
      <c r="DG789" s="335"/>
      <c r="DH789" s="335"/>
      <c r="DI789" s="335"/>
      <c r="DJ789" s="335"/>
      <c r="DK789" s="335"/>
      <c r="DL789" s="335"/>
      <c r="DM789" s="335"/>
      <c r="DN789" s="335"/>
      <c r="DO789" s="335"/>
      <c r="DP789" s="335"/>
      <c r="DQ789" s="335"/>
      <c r="DR789" s="335"/>
      <c r="DS789" s="335"/>
      <c r="DT789" s="335"/>
      <c r="DU789" s="335"/>
      <c r="DV789" s="335"/>
      <c r="DW789" s="335"/>
      <c r="DX789" s="335"/>
      <c r="DY789" s="335"/>
      <c r="DZ789" s="335"/>
      <c r="EA789" s="335"/>
      <c r="EB789" s="335"/>
      <c r="EC789" s="335"/>
      <c r="ED789" s="335"/>
      <c r="EE789" s="335"/>
      <c r="EF789" s="335"/>
      <c r="EG789" s="335"/>
      <c r="EH789" s="335"/>
      <c r="EI789" s="335"/>
      <c r="EJ789" s="335"/>
      <c r="EK789" s="335"/>
      <c r="EL789" s="335"/>
      <c r="EM789" s="335"/>
      <c r="EN789" s="335"/>
      <c r="EO789" s="335"/>
      <c r="EP789" s="335"/>
      <c r="EQ789" s="335"/>
      <c r="ER789" s="335"/>
      <c r="ES789" s="335"/>
      <c r="ET789" s="335"/>
      <c r="EU789" s="335"/>
      <c r="EV789" s="335"/>
      <c r="EW789" s="335"/>
      <c r="EX789" s="335"/>
      <c r="EY789" s="335"/>
      <c r="EZ789" s="335"/>
      <c r="FA789" s="335"/>
      <c r="FB789" s="335"/>
      <c r="FC789" s="335"/>
      <c r="FD789" s="335"/>
      <c r="FE789" s="335"/>
      <c r="FF789" s="335"/>
      <c r="FG789" s="335"/>
      <c r="FH789" s="335"/>
      <c r="FI789" s="335"/>
      <c r="FJ789" s="335"/>
      <c r="FK789" s="335"/>
      <c r="FL789" s="335"/>
      <c r="FM789" s="335"/>
      <c r="FN789" s="335"/>
      <c r="FO789" s="335"/>
      <c r="FP789" s="335"/>
      <c r="FQ789" s="335"/>
      <c r="FR789" s="335"/>
      <c r="FS789" s="335"/>
      <c r="FT789" s="335"/>
      <c r="FU789" s="335"/>
      <c r="FV789" s="335"/>
      <c r="FW789" s="335"/>
      <c r="FX789" s="335"/>
      <c r="FY789" s="335"/>
      <c r="FZ789" s="335"/>
      <c r="GA789" s="335"/>
      <c r="GB789" s="335"/>
      <c r="GC789" s="335"/>
      <c r="GD789" s="335"/>
      <c r="GE789" s="335"/>
      <c r="GF789" s="335"/>
      <c r="GG789" s="335"/>
      <c r="GH789" s="335"/>
      <c r="GI789" s="335"/>
      <c r="GJ789" s="335"/>
      <c r="GK789" s="335"/>
      <c r="GL789" s="335"/>
      <c r="GM789" s="335"/>
      <c r="GN789" s="335"/>
      <c r="GO789" s="335"/>
      <c r="GP789" s="335"/>
      <c r="GQ789" s="335"/>
      <c r="GR789" s="335"/>
      <c r="GS789" s="335"/>
      <c r="GT789" s="335"/>
      <c r="GU789" s="335"/>
      <c r="GV789" s="335"/>
      <c r="GW789" s="335"/>
      <c r="GX789" s="335"/>
      <c r="GY789" s="335"/>
      <c r="GZ789" s="335"/>
    </row>
    <row r="790" spans="1:208" ht="15">
      <c r="A790" s="379"/>
      <c r="B790" s="335"/>
      <c r="C790" s="335"/>
      <c r="D790" s="335"/>
      <c r="E790" s="335"/>
      <c r="F790" s="335"/>
      <c r="G790" s="335"/>
      <c r="H790" s="335"/>
      <c r="I790" s="335"/>
      <c r="J790" s="335"/>
      <c r="K790" s="335"/>
      <c r="L790" s="335"/>
      <c r="M790" s="376"/>
      <c r="N790" s="335"/>
      <c r="O790" s="380"/>
      <c r="P790" s="335"/>
      <c r="Q790" s="335"/>
      <c r="R790" s="335"/>
      <c r="S790" s="335"/>
      <c r="T790" s="335"/>
      <c r="U790" s="335"/>
      <c r="V790" s="335"/>
      <c r="W790" s="335"/>
      <c r="X790" s="335"/>
      <c r="Y790" s="335"/>
      <c r="Z790" s="335"/>
      <c r="AA790" s="335"/>
      <c r="AB790" s="335"/>
      <c r="AC790" s="335"/>
      <c r="AD790" s="335"/>
      <c r="AE790" s="335"/>
      <c r="AF790" s="335"/>
      <c r="AG790" s="335"/>
      <c r="AH790" s="335"/>
      <c r="AI790" s="335"/>
      <c r="AJ790" s="335"/>
      <c r="AK790" s="335"/>
      <c r="AL790" s="335"/>
      <c r="AM790" s="335"/>
      <c r="AN790" s="335"/>
      <c r="AO790" s="335"/>
      <c r="AP790" s="335"/>
      <c r="AQ790" s="335"/>
      <c r="AR790" s="335"/>
      <c r="AS790" s="335"/>
      <c r="AT790" s="335"/>
      <c r="AU790" s="335"/>
      <c r="AV790" s="335"/>
      <c r="AW790" s="335"/>
      <c r="AX790" s="335"/>
      <c r="AY790" s="335"/>
      <c r="AZ790" s="335"/>
      <c r="BA790" s="335"/>
      <c r="BB790" s="335"/>
      <c r="BC790" s="335"/>
      <c r="BD790" s="335"/>
      <c r="BE790" s="335"/>
      <c r="BF790" s="335"/>
      <c r="BG790" s="335"/>
      <c r="BH790" s="335"/>
      <c r="BI790" s="335"/>
      <c r="BJ790" s="335"/>
      <c r="BK790" s="335"/>
      <c r="BL790" s="335"/>
      <c r="BM790" s="335"/>
      <c r="BN790" s="335"/>
      <c r="BO790" s="335"/>
      <c r="BP790" s="335"/>
      <c r="BQ790" s="335"/>
      <c r="BR790" s="335"/>
      <c r="BS790" s="335"/>
      <c r="BT790" s="335"/>
      <c r="BU790" s="335"/>
      <c r="BV790" s="335"/>
      <c r="BW790" s="335"/>
      <c r="BX790" s="335"/>
      <c r="BY790" s="335"/>
      <c r="BZ790" s="335"/>
      <c r="CA790" s="335"/>
      <c r="CB790" s="335"/>
      <c r="CC790" s="335"/>
      <c r="CD790" s="335"/>
      <c r="CE790" s="335"/>
      <c r="CF790" s="335"/>
      <c r="CG790" s="335"/>
      <c r="CH790" s="335"/>
      <c r="CI790" s="335"/>
      <c r="CJ790" s="335"/>
      <c r="CK790" s="335"/>
      <c r="CL790" s="335"/>
      <c r="CM790" s="335"/>
      <c r="CN790" s="335"/>
      <c r="CO790" s="335"/>
      <c r="CP790" s="335"/>
      <c r="CQ790" s="335"/>
      <c r="CR790" s="335"/>
      <c r="CS790" s="335"/>
      <c r="CT790" s="335"/>
      <c r="CU790" s="335"/>
      <c r="CV790" s="335"/>
      <c r="CW790" s="335"/>
      <c r="CX790" s="335"/>
      <c r="CY790" s="335"/>
      <c r="CZ790" s="335"/>
      <c r="DA790" s="335"/>
      <c r="DB790" s="335"/>
      <c r="DC790" s="335"/>
      <c r="DD790" s="335"/>
      <c r="DE790" s="335"/>
      <c r="DF790" s="335"/>
      <c r="DG790" s="335"/>
      <c r="DH790" s="335"/>
      <c r="DI790" s="335"/>
      <c r="DJ790" s="335"/>
      <c r="DK790" s="335"/>
      <c r="DL790" s="335"/>
      <c r="DM790" s="335"/>
      <c r="DN790" s="335"/>
      <c r="DO790" s="335"/>
      <c r="DP790" s="335"/>
      <c r="DQ790" s="335"/>
      <c r="DR790" s="335"/>
      <c r="DS790" s="335"/>
      <c r="DT790" s="335"/>
      <c r="DU790" s="335"/>
      <c r="DV790" s="335"/>
      <c r="DW790" s="335"/>
      <c r="DX790" s="335"/>
      <c r="DY790" s="335"/>
      <c r="DZ790" s="335"/>
      <c r="EA790" s="335"/>
      <c r="EB790" s="335"/>
      <c r="EC790" s="335"/>
      <c r="ED790" s="335"/>
      <c r="EE790" s="335"/>
      <c r="EF790" s="335"/>
      <c r="EG790" s="335"/>
      <c r="EH790" s="335"/>
      <c r="EI790" s="335"/>
      <c r="EJ790" s="335"/>
      <c r="EK790" s="335"/>
      <c r="EL790" s="335"/>
      <c r="EM790" s="335"/>
      <c r="EN790" s="335"/>
      <c r="EO790" s="335"/>
      <c r="EP790" s="335"/>
      <c r="EQ790" s="335"/>
      <c r="ER790" s="335"/>
      <c r="ES790" s="335"/>
      <c r="ET790" s="335"/>
      <c r="EU790" s="335"/>
      <c r="EV790" s="335"/>
      <c r="EW790" s="335"/>
      <c r="EX790" s="335"/>
      <c r="EY790" s="335"/>
      <c r="EZ790" s="335"/>
      <c r="FA790" s="335"/>
      <c r="FB790" s="335"/>
      <c r="FC790" s="335"/>
      <c r="FD790" s="335"/>
      <c r="FE790" s="335"/>
      <c r="FF790" s="335"/>
      <c r="FG790" s="335"/>
      <c r="FH790" s="335"/>
      <c r="FI790" s="335"/>
      <c r="FJ790" s="335"/>
      <c r="FK790" s="335"/>
      <c r="FL790" s="335"/>
      <c r="FM790" s="335"/>
      <c r="FN790" s="335"/>
      <c r="FO790" s="335"/>
      <c r="FP790" s="335"/>
      <c r="FQ790" s="335"/>
      <c r="FR790" s="335"/>
      <c r="FS790" s="335"/>
      <c r="FT790" s="335"/>
      <c r="FU790" s="335"/>
      <c r="FV790" s="335"/>
      <c r="FW790" s="335"/>
      <c r="FX790" s="335"/>
      <c r="FY790" s="335"/>
      <c r="FZ790" s="335"/>
      <c r="GA790" s="335"/>
      <c r="GB790" s="335"/>
      <c r="GC790" s="335"/>
      <c r="GD790" s="335"/>
      <c r="GE790" s="335"/>
      <c r="GF790" s="335"/>
      <c r="GG790" s="335"/>
      <c r="GH790" s="335"/>
      <c r="GI790" s="335"/>
      <c r="GJ790" s="335"/>
      <c r="GK790" s="335"/>
      <c r="GL790" s="335"/>
      <c r="GM790" s="335"/>
      <c r="GN790" s="335"/>
      <c r="GO790" s="335"/>
      <c r="GP790" s="335"/>
      <c r="GQ790" s="335"/>
      <c r="GR790" s="335"/>
      <c r="GS790" s="335"/>
      <c r="GT790" s="335"/>
      <c r="GU790" s="335"/>
      <c r="GV790" s="335"/>
      <c r="GW790" s="335"/>
      <c r="GX790" s="335"/>
      <c r="GY790" s="335"/>
      <c r="GZ790" s="335"/>
    </row>
    <row r="791" spans="1:208" ht="15">
      <c r="A791" s="379"/>
      <c r="B791" s="335"/>
      <c r="C791" s="335"/>
      <c r="D791" s="335"/>
      <c r="E791" s="335"/>
      <c r="F791" s="335"/>
      <c r="G791" s="335"/>
      <c r="H791" s="335"/>
      <c r="I791" s="335"/>
      <c r="J791" s="335"/>
      <c r="K791" s="335"/>
      <c r="L791" s="335"/>
      <c r="M791" s="376"/>
      <c r="N791" s="335"/>
      <c r="O791" s="380"/>
      <c r="P791" s="335"/>
      <c r="Q791" s="335"/>
      <c r="R791" s="335"/>
      <c r="S791" s="335"/>
      <c r="T791" s="335"/>
      <c r="U791" s="335"/>
      <c r="V791" s="335"/>
      <c r="W791" s="335"/>
      <c r="X791" s="335"/>
      <c r="Y791" s="335"/>
      <c r="Z791" s="335"/>
      <c r="AA791" s="335"/>
      <c r="AB791" s="335"/>
      <c r="AC791" s="335"/>
      <c r="AD791" s="335"/>
      <c r="AE791" s="335"/>
      <c r="AF791" s="335"/>
      <c r="AG791" s="335"/>
      <c r="AH791" s="335"/>
      <c r="AI791" s="335"/>
      <c r="AJ791" s="335"/>
      <c r="AK791" s="335"/>
      <c r="AL791" s="335"/>
      <c r="AM791" s="335"/>
      <c r="AN791" s="335"/>
      <c r="AO791" s="335"/>
      <c r="AP791" s="335"/>
      <c r="AQ791" s="335"/>
      <c r="AR791" s="335"/>
      <c r="AS791" s="335"/>
      <c r="AT791" s="335"/>
      <c r="AU791" s="335"/>
      <c r="AV791" s="335"/>
      <c r="AW791" s="335"/>
      <c r="AX791" s="335"/>
      <c r="AY791" s="335"/>
      <c r="AZ791" s="335"/>
      <c r="BA791" s="335"/>
      <c r="BB791" s="335"/>
      <c r="BC791" s="335"/>
      <c r="BD791" s="335"/>
      <c r="BE791" s="335"/>
      <c r="BF791" s="335"/>
      <c r="BG791" s="335"/>
      <c r="BH791" s="335"/>
      <c r="BI791" s="335"/>
      <c r="BJ791" s="335"/>
      <c r="BK791" s="335"/>
      <c r="BL791" s="335"/>
      <c r="BM791" s="335"/>
      <c r="BN791" s="335"/>
      <c r="BO791" s="335"/>
      <c r="BP791" s="335"/>
      <c r="BQ791" s="335"/>
      <c r="BR791" s="335"/>
      <c r="BS791" s="335"/>
      <c r="BT791" s="335"/>
      <c r="BU791" s="335"/>
      <c r="BV791" s="335"/>
      <c r="BW791" s="335"/>
      <c r="BX791" s="335"/>
      <c r="BY791" s="335"/>
      <c r="BZ791" s="335"/>
      <c r="CA791" s="335"/>
      <c r="CB791" s="335"/>
      <c r="CC791" s="335"/>
      <c r="CD791" s="335"/>
      <c r="CE791" s="335"/>
      <c r="CF791" s="335"/>
      <c r="CG791" s="335"/>
      <c r="CH791" s="335"/>
      <c r="CI791" s="335"/>
      <c r="CJ791" s="335"/>
      <c r="CK791" s="335"/>
      <c r="CL791" s="335"/>
      <c r="CM791" s="335"/>
      <c r="CN791" s="335"/>
      <c r="CO791" s="335"/>
      <c r="CP791" s="335"/>
      <c r="CQ791" s="335"/>
      <c r="CR791" s="335"/>
      <c r="CS791" s="335"/>
      <c r="CT791" s="335"/>
      <c r="CU791" s="335"/>
      <c r="CV791" s="335"/>
      <c r="CW791" s="335"/>
      <c r="CX791" s="335"/>
      <c r="CY791" s="335"/>
      <c r="CZ791" s="335"/>
      <c r="DA791" s="335"/>
      <c r="DB791" s="335"/>
      <c r="DC791" s="335"/>
      <c r="DD791" s="335"/>
      <c r="DE791" s="335"/>
      <c r="DF791" s="335"/>
      <c r="DG791" s="335"/>
      <c r="DH791" s="335"/>
      <c r="DI791" s="335"/>
      <c r="DJ791" s="335"/>
      <c r="DK791" s="335"/>
      <c r="DL791" s="335"/>
      <c r="DM791" s="335"/>
      <c r="DN791" s="335"/>
      <c r="DO791" s="335"/>
      <c r="DP791" s="335"/>
      <c r="DQ791" s="335"/>
      <c r="DR791" s="335"/>
      <c r="DS791" s="335"/>
      <c r="DT791" s="335"/>
      <c r="DU791" s="335"/>
      <c r="DV791" s="335"/>
      <c r="DW791" s="335"/>
      <c r="DX791" s="335"/>
      <c r="DY791" s="335"/>
      <c r="DZ791" s="335"/>
      <c r="EA791" s="335"/>
      <c r="EB791" s="335"/>
      <c r="EC791" s="335"/>
      <c r="ED791" s="335"/>
      <c r="EE791" s="335"/>
      <c r="EF791" s="335"/>
      <c r="EG791" s="335"/>
      <c r="EH791" s="335"/>
      <c r="EI791" s="335"/>
      <c r="EJ791" s="335"/>
      <c r="EK791" s="335"/>
      <c r="EL791" s="335"/>
      <c r="EM791" s="335"/>
      <c r="EN791" s="335"/>
      <c r="EO791" s="335"/>
      <c r="EP791" s="335"/>
      <c r="EQ791" s="335"/>
      <c r="ER791" s="335"/>
      <c r="ES791" s="335"/>
      <c r="ET791" s="335"/>
      <c r="EU791" s="335"/>
      <c r="EV791" s="335"/>
      <c r="EW791" s="335"/>
      <c r="EX791" s="335"/>
      <c r="EY791" s="335"/>
      <c r="EZ791" s="335"/>
      <c r="FA791" s="335"/>
      <c r="FB791" s="335"/>
      <c r="FC791" s="335"/>
      <c r="FD791" s="335"/>
      <c r="FE791" s="335"/>
      <c r="FF791" s="335"/>
      <c r="FG791" s="335"/>
      <c r="FH791" s="335"/>
      <c r="FI791" s="335"/>
      <c r="FJ791" s="335"/>
      <c r="FK791" s="335"/>
      <c r="FL791" s="335"/>
      <c r="FM791" s="335"/>
      <c r="FN791" s="335"/>
      <c r="FO791" s="335"/>
      <c r="FP791" s="335"/>
      <c r="FQ791" s="335"/>
      <c r="FR791" s="335"/>
      <c r="FS791" s="335"/>
      <c r="FT791" s="335"/>
      <c r="FU791" s="335"/>
      <c r="FV791" s="335"/>
      <c r="FW791" s="335"/>
      <c r="FX791" s="335"/>
      <c r="FY791" s="335"/>
      <c r="FZ791" s="335"/>
      <c r="GA791" s="335"/>
      <c r="GB791" s="335"/>
      <c r="GC791" s="335"/>
      <c r="GD791" s="335"/>
      <c r="GE791" s="335"/>
      <c r="GF791" s="335"/>
      <c r="GG791" s="335"/>
      <c r="GH791" s="335"/>
      <c r="GI791" s="335"/>
      <c r="GJ791" s="335"/>
      <c r="GK791" s="335"/>
      <c r="GL791" s="335"/>
      <c r="GM791" s="335"/>
      <c r="GN791" s="335"/>
      <c r="GO791" s="335"/>
      <c r="GP791" s="335"/>
      <c r="GQ791" s="335"/>
      <c r="GR791" s="335"/>
      <c r="GS791" s="335"/>
      <c r="GT791" s="335"/>
      <c r="GU791" s="335"/>
      <c r="GV791" s="335"/>
      <c r="GW791" s="335"/>
      <c r="GX791" s="335"/>
      <c r="GY791" s="335"/>
      <c r="GZ791" s="335"/>
    </row>
    <row r="792" spans="1:208" ht="15">
      <c r="A792" s="379"/>
      <c r="B792" s="335"/>
      <c r="C792" s="335"/>
      <c r="D792" s="335"/>
      <c r="E792" s="335"/>
      <c r="F792" s="335"/>
      <c r="G792" s="335"/>
      <c r="H792" s="335"/>
      <c r="I792" s="335"/>
      <c r="J792" s="335"/>
      <c r="K792" s="335"/>
      <c r="L792" s="335"/>
      <c r="M792" s="376"/>
      <c r="N792" s="335"/>
      <c r="O792" s="380"/>
      <c r="P792" s="335"/>
      <c r="Q792" s="335"/>
      <c r="R792" s="335"/>
      <c r="S792" s="335"/>
      <c r="T792" s="335"/>
      <c r="U792" s="335"/>
      <c r="V792" s="335"/>
      <c r="W792" s="335"/>
      <c r="X792" s="335"/>
      <c r="Y792" s="335"/>
      <c r="Z792" s="335"/>
      <c r="AA792" s="335"/>
      <c r="AB792" s="335"/>
      <c r="AC792" s="335"/>
      <c r="AD792" s="335"/>
      <c r="AE792" s="335"/>
      <c r="AF792" s="335"/>
      <c r="AG792" s="335"/>
      <c r="AH792" s="335"/>
      <c r="AI792" s="335"/>
      <c r="AJ792" s="335"/>
      <c r="AK792" s="335"/>
      <c r="AL792" s="335"/>
      <c r="AM792" s="335"/>
      <c r="AN792" s="335"/>
      <c r="AO792" s="335"/>
      <c r="AP792" s="335"/>
      <c r="AQ792" s="335"/>
      <c r="AR792" s="335"/>
      <c r="AS792" s="335"/>
      <c r="AT792" s="335"/>
      <c r="AU792" s="335"/>
      <c r="AV792" s="335"/>
      <c r="AW792" s="335"/>
      <c r="AX792" s="335"/>
      <c r="AY792" s="335"/>
      <c r="AZ792" s="335"/>
      <c r="BA792" s="335"/>
      <c r="BB792" s="335"/>
      <c r="BC792" s="335"/>
      <c r="BD792" s="335"/>
      <c r="BE792" s="335"/>
      <c r="BF792" s="335"/>
      <c r="BG792" s="335"/>
      <c r="BH792" s="335"/>
      <c r="BI792" s="335"/>
      <c r="BJ792" s="335"/>
      <c r="BK792" s="335"/>
      <c r="BL792" s="335"/>
      <c r="BM792" s="335"/>
      <c r="BN792" s="335"/>
      <c r="BO792" s="335"/>
      <c r="BP792" s="335"/>
      <c r="BQ792" s="335"/>
      <c r="BR792" s="335"/>
      <c r="BS792" s="335"/>
      <c r="BT792" s="335"/>
      <c r="BU792" s="335"/>
      <c r="BV792" s="335"/>
      <c r="BW792" s="335"/>
      <c r="BX792" s="335"/>
      <c r="BY792" s="335"/>
      <c r="BZ792" s="335"/>
      <c r="CA792" s="335"/>
      <c r="CB792" s="335"/>
      <c r="CC792" s="335"/>
      <c r="CD792" s="335"/>
      <c r="CE792" s="335"/>
      <c r="CF792" s="335"/>
      <c r="CG792" s="335"/>
      <c r="CH792" s="335"/>
      <c r="CI792" s="335"/>
      <c r="CJ792" s="335"/>
      <c r="CK792" s="335"/>
      <c r="CL792" s="335"/>
      <c r="CM792" s="335"/>
      <c r="CN792" s="335"/>
      <c r="CO792" s="335"/>
      <c r="CP792" s="335"/>
      <c r="CQ792" s="335"/>
      <c r="CR792" s="335"/>
      <c r="CS792" s="335"/>
      <c r="CT792" s="335"/>
      <c r="CU792" s="335"/>
      <c r="CV792" s="335"/>
      <c r="CW792" s="335"/>
      <c r="CX792" s="335"/>
      <c r="CY792" s="335"/>
      <c r="CZ792" s="335"/>
      <c r="DA792" s="335"/>
      <c r="DB792" s="335"/>
      <c r="DC792" s="335"/>
      <c r="DD792" s="335"/>
      <c r="DE792" s="335"/>
      <c r="DF792" s="335"/>
      <c r="DG792" s="335"/>
      <c r="DH792" s="335"/>
      <c r="DI792" s="335"/>
      <c r="DJ792" s="335"/>
      <c r="DK792" s="335"/>
      <c r="DL792" s="335"/>
      <c r="DM792" s="335"/>
      <c r="DN792" s="335"/>
      <c r="DO792" s="335"/>
      <c r="DP792" s="335"/>
      <c r="DQ792" s="335"/>
      <c r="DR792" s="335"/>
      <c r="DS792" s="335"/>
      <c r="DT792" s="335"/>
      <c r="DU792" s="335"/>
      <c r="DV792" s="335"/>
      <c r="DW792" s="335"/>
      <c r="DX792" s="335"/>
      <c r="DY792" s="335"/>
      <c r="DZ792" s="335"/>
      <c r="EA792" s="335"/>
      <c r="EB792" s="335"/>
      <c r="EC792" s="335"/>
      <c r="ED792" s="335"/>
      <c r="EE792" s="335"/>
      <c r="EF792" s="335"/>
      <c r="EG792" s="335"/>
      <c r="EH792" s="335"/>
      <c r="EI792" s="335"/>
      <c r="EJ792" s="335"/>
      <c r="EK792" s="335"/>
      <c r="EL792" s="335"/>
      <c r="EM792" s="335"/>
      <c r="EN792" s="335"/>
      <c r="EO792" s="335"/>
      <c r="EP792" s="335"/>
      <c r="EQ792" s="335"/>
      <c r="ER792" s="335"/>
      <c r="ES792" s="335"/>
      <c r="ET792" s="335"/>
      <c r="EU792" s="335"/>
      <c r="EV792" s="335"/>
      <c r="EW792" s="335"/>
      <c r="EX792" s="335"/>
      <c r="EY792" s="335"/>
      <c r="EZ792" s="335"/>
      <c r="FA792" s="335"/>
      <c r="FB792" s="335"/>
      <c r="FC792" s="335"/>
      <c r="FD792" s="335"/>
      <c r="FE792" s="335"/>
      <c r="FF792" s="335"/>
      <c r="FG792" s="335"/>
      <c r="FH792" s="335"/>
      <c r="FI792" s="335"/>
      <c r="FJ792" s="335"/>
      <c r="FK792" s="335"/>
      <c r="FL792" s="335"/>
      <c r="FM792" s="335"/>
      <c r="FN792" s="335"/>
      <c r="FO792" s="335"/>
      <c r="FP792" s="335"/>
      <c r="FQ792" s="335"/>
      <c r="FR792" s="335"/>
      <c r="FS792" s="335"/>
      <c r="FT792" s="335"/>
      <c r="FU792" s="335"/>
      <c r="FV792" s="335"/>
      <c r="FW792" s="335"/>
      <c r="FX792" s="335"/>
      <c r="FY792" s="335"/>
      <c r="FZ792" s="335"/>
      <c r="GA792" s="335"/>
      <c r="GB792" s="335"/>
      <c r="GC792" s="335"/>
      <c r="GD792" s="335"/>
      <c r="GE792" s="335"/>
      <c r="GF792" s="335"/>
      <c r="GG792" s="335"/>
      <c r="GH792" s="335"/>
      <c r="GI792" s="335"/>
      <c r="GJ792" s="335"/>
      <c r="GK792" s="335"/>
      <c r="GL792" s="335"/>
      <c r="GM792" s="335"/>
      <c r="GN792" s="335"/>
      <c r="GO792" s="335"/>
      <c r="GP792" s="335"/>
      <c r="GQ792" s="335"/>
      <c r="GR792" s="335"/>
      <c r="GS792" s="335"/>
      <c r="GT792" s="335"/>
      <c r="GU792" s="335"/>
      <c r="GV792" s="335"/>
      <c r="GW792" s="335"/>
      <c r="GX792" s="335"/>
      <c r="GY792" s="335"/>
      <c r="GZ792" s="335"/>
    </row>
  </sheetData>
  <autoFilter ref="A1:T118"/>
  <customSheetViews>
    <customSheetView guid="{B36C514A-6750-4369-AE5B-77500BD1D7D8}" filter="1" showAutoFilter="1">
      <pageMargins left="0.7" right="0.7" top="0.75" bottom="0.75" header="0.3" footer="0.3"/>
      <autoFilter ref="B1:S149"/>
    </customSheetView>
  </customSheetViews>
  <mergeCells count="25">
    <mergeCell ref="I222:I223"/>
    <mergeCell ref="R203:R204"/>
    <mergeCell ref="S203:S204"/>
    <mergeCell ref="A203:A204"/>
    <mergeCell ref="B203:B204"/>
    <mergeCell ref="C203:C204"/>
    <mergeCell ref="E203:E204"/>
    <mergeCell ref="G203:G204"/>
    <mergeCell ref="I203:I204"/>
    <mergeCell ref="J203:J204"/>
    <mergeCell ref="G198:G200"/>
    <mergeCell ref="I198:I200"/>
    <mergeCell ref="K203:K204"/>
    <mergeCell ref="L203:L204"/>
    <mergeCell ref="Q203:Q204"/>
    <mergeCell ref="A198:A200"/>
    <mergeCell ref="B198:B200"/>
    <mergeCell ref="C198:C200"/>
    <mergeCell ref="E198:E200"/>
    <mergeCell ref="F198:F200"/>
    <mergeCell ref="K198:K200"/>
    <mergeCell ref="L198:L200"/>
    <mergeCell ref="Q198:Q200"/>
    <mergeCell ref="R198:R200"/>
    <mergeCell ref="S198:S200"/>
  </mergeCells>
  <conditionalFormatting sqref="O1">
    <cfRule type="beginsWith" dxfId="91" priority="1" operator="beginsWith" text="-">
      <formula>LEFT((O1),LEN("-"))=("-")</formula>
    </cfRule>
  </conditionalFormatting>
  <conditionalFormatting sqref="A1:B1 D1:E1">
    <cfRule type="expression" dxfId="90" priority="2">
      <formula>$O:$O&lt;0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00"/>
    <outlinePr summaryBelow="0" summaryRight="0"/>
  </sheetPr>
  <dimension ref="A1:H1001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5703125" defaultRowHeight="15.75" customHeight="1"/>
  <cols>
    <col min="1" max="1" width="25.85546875" customWidth="1"/>
    <col min="2" max="2" width="13.7109375" customWidth="1"/>
    <col min="3" max="3" width="16.85546875" customWidth="1"/>
    <col min="4" max="4" width="19.7109375" customWidth="1"/>
  </cols>
  <sheetData>
    <row r="1" spans="1:8" ht="26.25" customHeight="1">
      <c r="A1" s="381" t="s">
        <v>4548</v>
      </c>
      <c r="B1" s="381" t="s">
        <v>3415</v>
      </c>
      <c r="C1" s="381" t="s">
        <v>4549</v>
      </c>
      <c r="D1" s="381" t="s">
        <v>4550</v>
      </c>
    </row>
    <row r="2" spans="1:8" ht="15">
      <c r="A2" s="382" t="s">
        <v>4551</v>
      </c>
      <c r="B2" s="382" t="s">
        <v>4552</v>
      </c>
      <c r="C2" s="382" t="s">
        <v>4553</v>
      </c>
      <c r="D2" s="382" t="s">
        <v>4554</v>
      </c>
    </row>
    <row r="3" spans="1:8" ht="15">
      <c r="A3" s="382" t="s">
        <v>4551</v>
      </c>
      <c r="B3" s="382" t="s">
        <v>4555</v>
      </c>
      <c r="C3" s="382" t="s">
        <v>4553</v>
      </c>
      <c r="D3" s="382" t="s">
        <v>4556</v>
      </c>
    </row>
    <row r="4" spans="1:8" ht="15">
      <c r="A4" s="382" t="s">
        <v>4557</v>
      </c>
      <c r="B4" s="382" t="s">
        <v>4558</v>
      </c>
      <c r="C4" s="382" t="s">
        <v>4559</v>
      </c>
      <c r="D4" s="382" t="s">
        <v>4560</v>
      </c>
    </row>
    <row r="5" spans="1:8" ht="15">
      <c r="A5" s="382" t="s">
        <v>4557</v>
      </c>
      <c r="B5" s="382" t="s">
        <v>4561</v>
      </c>
      <c r="C5" s="382" t="s">
        <v>4559</v>
      </c>
      <c r="D5" s="382" t="s">
        <v>4562</v>
      </c>
      <c r="F5" s="383"/>
      <c r="G5" s="383"/>
    </row>
    <row r="6" spans="1:8" ht="15">
      <c r="A6" s="382" t="s">
        <v>4551</v>
      </c>
      <c r="B6" s="382" t="s">
        <v>3849</v>
      </c>
      <c r="C6" s="382" t="s">
        <v>4563</v>
      </c>
      <c r="D6" s="382" t="s">
        <v>4564</v>
      </c>
      <c r="F6" s="383"/>
    </row>
    <row r="7" spans="1:8" ht="15">
      <c r="A7" s="382" t="s">
        <v>4565</v>
      </c>
      <c r="B7" s="382" t="s">
        <v>4566</v>
      </c>
      <c r="C7" s="382" t="s">
        <v>4567</v>
      </c>
      <c r="D7" s="382" t="s">
        <v>4568</v>
      </c>
      <c r="F7" s="383"/>
      <c r="H7" s="383"/>
    </row>
    <row r="8" spans="1:8" ht="15">
      <c r="A8" s="382" t="s">
        <v>4551</v>
      </c>
      <c r="B8" s="382" t="s">
        <v>2535</v>
      </c>
      <c r="C8" s="382" t="s">
        <v>4553</v>
      </c>
      <c r="D8" s="382" t="s">
        <v>4569</v>
      </c>
      <c r="G8" s="383"/>
    </row>
    <row r="9" spans="1:8" ht="15">
      <c r="A9" s="382" t="s">
        <v>4551</v>
      </c>
      <c r="B9" s="382" t="s">
        <v>4570</v>
      </c>
      <c r="C9" s="382" t="s">
        <v>4553</v>
      </c>
      <c r="D9" s="382" t="s">
        <v>4571</v>
      </c>
      <c r="F9" s="383"/>
      <c r="G9" s="383"/>
    </row>
    <row r="10" spans="1:8" ht="15">
      <c r="A10" s="382" t="s">
        <v>4557</v>
      </c>
      <c r="B10" s="382" t="s">
        <v>4572</v>
      </c>
      <c r="C10" s="382" t="s">
        <v>4559</v>
      </c>
      <c r="D10" s="382" t="s">
        <v>4573</v>
      </c>
      <c r="F10" s="383"/>
    </row>
    <row r="11" spans="1:8" ht="15">
      <c r="A11" s="382" t="s">
        <v>4551</v>
      </c>
      <c r="B11" s="382" t="s">
        <v>4574</v>
      </c>
      <c r="C11" s="382" t="s">
        <v>4553</v>
      </c>
      <c r="D11" s="382" t="s">
        <v>4575</v>
      </c>
      <c r="G11" s="383"/>
    </row>
    <row r="12" spans="1:8" ht="15">
      <c r="A12" s="382" t="s">
        <v>4551</v>
      </c>
      <c r="B12" s="382" t="s">
        <v>3446</v>
      </c>
      <c r="C12" s="382" t="s">
        <v>4563</v>
      </c>
      <c r="D12" s="382" t="s">
        <v>4576</v>
      </c>
      <c r="F12" s="383"/>
    </row>
    <row r="13" spans="1:8" ht="15">
      <c r="A13" s="382" t="s">
        <v>4565</v>
      </c>
      <c r="B13" s="382" t="s">
        <v>3598</v>
      </c>
      <c r="C13" s="382" t="s">
        <v>4567</v>
      </c>
      <c r="D13" s="382" t="s">
        <v>4577</v>
      </c>
    </row>
    <row r="14" spans="1:8" ht="15">
      <c r="A14" s="382" t="s">
        <v>4551</v>
      </c>
      <c r="B14" s="382" t="s">
        <v>3442</v>
      </c>
      <c r="C14" s="382" t="s">
        <v>4563</v>
      </c>
      <c r="D14" s="382" t="s">
        <v>4578</v>
      </c>
      <c r="F14" s="383"/>
    </row>
    <row r="15" spans="1:8" ht="15">
      <c r="A15" s="382" t="s">
        <v>4551</v>
      </c>
      <c r="B15" s="382" t="s">
        <v>3985</v>
      </c>
      <c r="C15" s="382" t="s">
        <v>4553</v>
      </c>
      <c r="D15" s="382" t="s">
        <v>4579</v>
      </c>
    </row>
    <row r="16" spans="1:8" ht="15">
      <c r="A16" s="382" t="s">
        <v>4557</v>
      </c>
      <c r="B16" s="382" t="s">
        <v>1737</v>
      </c>
      <c r="C16" s="382" t="s">
        <v>4559</v>
      </c>
      <c r="D16" s="382" t="s">
        <v>4580</v>
      </c>
      <c r="F16" s="383"/>
    </row>
    <row r="17" spans="1:6" ht="15">
      <c r="A17" s="382" t="s">
        <v>4565</v>
      </c>
      <c r="B17" s="382" t="s">
        <v>3658</v>
      </c>
      <c r="C17" s="382" t="s">
        <v>4567</v>
      </c>
      <c r="D17" s="382" t="s">
        <v>4581</v>
      </c>
    </row>
    <row r="18" spans="1:6" ht="15">
      <c r="A18" s="382" t="s">
        <v>4551</v>
      </c>
      <c r="B18" s="382" t="s">
        <v>3718</v>
      </c>
      <c r="C18" s="382" t="s">
        <v>4563</v>
      </c>
      <c r="D18" s="382" t="s">
        <v>4582</v>
      </c>
    </row>
    <row r="19" spans="1:6" ht="15">
      <c r="A19" s="382" t="s">
        <v>4551</v>
      </c>
      <c r="B19" s="382" t="s">
        <v>3457</v>
      </c>
      <c r="C19" s="382" t="s">
        <v>4563</v>
      </c>
      <c r="D19" s="382" t="s">
        <v>4583</v>
      </c>
    </row>
    <row r="20" spans="1:6" ht="15">
      <c r="A20" s="382" t="s">
        <v>4551</v>
      </c>
      <c r="B20" s="382" t="s">
        <v>4584</v>
      </c>
      <c r="C20" s="382" t="s">
        <v>4553</v>
      </c>
      <c r="D20" s="382" t="s">
        <v>4585</v>
      </c>
    </row>
    <row r="21" spans="1:6" ht="15">
      <c r="A21" s="382" t="s">
        <v>4565</v>
      </c>
      <c r="B21" s="382" t="s">
        <v>3476</v>
      </c>
      <c r="C21" s="382" t="s">
        <v>4567</v>
      </c>
      <c r="D21" s="382" t="s">
        <v>4586</v>
      </c>
    </row>
    <row r="22" spans="1:6" ht="15">
      <c r="A22" s="382" t="s">
        <v>4565</v>
      </c>
      <c r="B22" s="382" t="s">
        <v>3600</v>
      </c>
      <c r="C22" s="382" t="s">
        <v>4567</v>
      </c>
      <c r="D22" s="382" t="s">
        <v>4587</v>
      </c>
    </row>
    <row r="23" spans="1:6" ht="15">
      <c r="A23" s="382" t="s">
        <v>4551</v>
      </c>
      <c r="B23" s="382" t="s">
        <v>3915</v>
      </c>
      <c r="C23" s="382" t="s">
        <v>4563</v>
      </c>
      <c r="D23" s="382" t="s">
        <v>4588</v>
      </c>
    </row>
    <row r="24" spans="1:6" ht="15">
      <c r="A24" s="382" t="s">
        <v>4565</v>
      </c>
      <c r="B24" s="382" t="s">
        <v>3587</v>
      </c>
      <c r="C24" s="382" t="s">
        <v>4567</v>
      </c>
      <c r="D24" s="382" t="s">
        <v>4589</v>
      </c>
    </row>
    <row r="25" spans="1:6" ht="15">
      <c r="A25" s="382" t="s">
        <v>4565</v>
      </c>
      <c r="B25" s="382" t="s">
        <v>4590</v>
      </c>
      <c r="C25" s="382" t="s">
        <v>4567</v>
      </c>
      <c r="D25" s="382" t="s">
        <v>4591</v>
      </c>
    </row>
    <row r="26" spans="1:6" ht="15">
      <c r="A26" s="382" t="s">
        <v>4565</v>
      </c>
      <c r="B26" s="382" t="s">
        <v>4592</v>
      </c>
      <c r="C26" s="382" t="s">
        <v>4567</v>
      </c>
      <c r="D26" s="382" t="s">
        <v>4593</v>
      </c>
    </row>
    <row r="27" spans="1:6" ht="15">
      <c r="A27" s="382" t="s">
        <v>4565</v>
      </c>
      <c r="B27" s="382" t="s">
        <v>4594</v>
      </c>
      <c r="C27" s="382" t="s">
        <v>4567</v>
      </c>
      <c r="D27" s="382" t="s">
        <v>4595</v>
      </c>
    </row>
    <row r="28" spans="1:6" ht="15">
      <c r="A28" s="382" t="s">
        <v>4551</v>
      </c>
      <c r="B28" s="382" t="s">
        <v>3728</v>
      </c>
      <c r="C28" s="382" t="s">
        <v>4553</v>
      </c>
      <c r="D28" s="382" t="s">
        <v>4596</v>
      </c>
    </row>
    <row r="29" spans="1:6" ht="15">
      <c r="A29" s="382" t="s">
        <v>4551</v>
      </c>
      <c r="B29" s="382" t="s">
        <v>3483</v>
      </c>
      <c r="C29" s="382" t="s">
        <v>4563</v>
      </c>
      <c r="D29" s="382" t="s">
        <v>4597</v>
      </c>
      <c r="F29" s="383"/>
    </row>
    <row r="30" spans="1:6" ht="15">
      <c r="A30" s="382" t="s">
        <v>4565</v>
      </c>
      <c r="B30" s="382" t="s">
        <v>3531</v>
      </c>
      <c r="C30" s="382" t="s">
        <v>4567</v>
      </c>
      <c r="D30" s="382" t="s">
        <v>4598</v>
      </c>
    </row>
    <row r="31" spans="1:6" ht="15">
      <c r="A31" s="382" t="s">
        <v>4565</v>
      </c>
      <c r="B31" s="382" t="s">
        <v>4599</v>
      </c>
      <c r="C31" s="382" t="s">
        <v>4567</v>
      </c>
      <c r="D31" s="382" t="s">
        <v>4600</v>
      </c>
    </row>
    <row r="32" spans="1:6" ht="15">
      <c r="A32" s="382" t="s">
        <v>4565</v>
      </c>
      <c r="B32" s="382" t="s">
        <v>3496</v>
      </c>
      <c r="C32" s="382" t="s">
        <v>4567</v>
      </c>
      <c r="D32" s="382" t="s">
        <v>4601</v>
      </c>
      <c r="F32" s="383"/>
    </row>
    <row r="33" spans="1:6" ht="15">
      <c r="A33" s="382" t="s">
        <v>4557</v>
      </c>
      <c r="B33" s="382" t="s">
        <v>3518</v>
      </c>
      <c r="C33" s="382" t="s">
        <v>4559</v>
      </c>
      <c r="D33" s="382" t="s">
        <v>4602</v>
      </c>
    </row>
    <row r="34" spans="1:6" ht="15">
      <c r="A34" s="382" t="s">
        <v>4551</v>
      </c>
      <c r="B34" s="382" t="s">
        <v>3642</v>
      </c>
      <c r="C34" s="382" t="s">
        <v>4563</v>
      </c>
      <c r="D34" s="382" t="s">
        <v>4603</v>
      </c>
    </row>
    <row r="35" spans="1:6" ht="15">
      <c r="A35" s="382" t="s">
        <v>4551</v>
      </c>
      <c r="B35" s="382" t="s">
        <v>3551</v>
      </c>
      <c r="C35" s="382" t="s">
        <v>4553</v>
      </c>
      <c r="D35" s="382" t="s">
        <v>4604</v>
      </c>
      <c r="F35" s="383"/>
    </row>
    <row r="36" spans="1:6" ht="15">
      <c r="A36" s="382" t="s">
        <v>4551</v>
      </c>
      <c r="B36" s="382" t="s">
        <v>3474</v>
      </c>
      <c r="C36" s="382" t="s">
        <v>4563</v>
      </c>
      <c r="D36" s="382" t="s">
        <v>4605</v>
      </c>
    </row>
    <row r="37" spans="1:6" ht="15">
      <c r="A37" s="382" t="s">
        <v>4551</v>
      </c>
      <c r="B37" s="382" t="s">
        <v>4606</v>
      </c>
      <c r="C37" s="382" t="s">
        <v>4553</v>
      </c>
      <c r="D37" s="382" t="s">
        <v>4607</v>
      </c>
    </row>
    <row r="38" spans="1:6" ht="15">
      <c r="A38" s="382" t="s">
        <v>4565</v>
      </c>
      <c r="B38" s="382" t="s">
        <v>3507</v>
      </c>
      <c r="C38" s="382" t="s">
        <v>4567</v>
      </c>
      <c r="D38" s="382" t="s">
        <v>4608</v>
      </c>
      <c r="F38" s="383"/>
    </row>
    <row r="39" spans="1:6" ht="15">
      <c r="A39" s="382" t="s">
        <v>4557</v>
      </c>
      <c r="B39" s="382" t="s">
        <v>3578</v>
      </c>
      <c r="C39" s="382" t="s">
        <v>4559</v>
      </c>
      <c r="D39" s="382" t="s">
        <v>4609</v>
      </c>
    </row>
    <row r="40" spans="1:6" ht="15">
      <c r="A40" s="382" t="s">
        <v>4551</v>
      </c>
      <c r="B40" s="382" t="s">
        <v>3591</v>
      </c>
      <c r="C40" s="382" t="s">
        <v>4553</v>
      </c>
      <c r="D40" s="382" t="s">
        <v>4610</v>
      </c>
    </row>
    <row r="41" spans="1:6" ht="15">
      <c r="A41" s="382" t="s">
        <v>4557</v>
      </c>
      <c r="B41" s="382" t="s">
        <v>4611</v>
      </c>
      <c r="C41" s="382" t="s">
        <v>4559</v>
      </c>
      <c r="D41" s="382" t="s">
        <v>4612</v>
      </c>
    </row>
    <row r="42" spans="1:6" ht="15">
      <c r="A42" s="382" t="s">
        <v>4551</v>
      </c>
      <c r="B42" s="382" t="s">
        <v>3489</v>
      </c>
      <c r="C42" s="382" t="s">
        <v>4553</v>
      </c>
      <c r="D42" s="382" t="s">
        <v>4613</v>
      </c>
    </row>
    <row r="43" spans="1:6" ht="15">
      <c r="A43" s="382" t="s">
        <v>4557</v>
      </c>
      <c r="B43" s="382" t="s">
        <v>3469</v>
      </c>
      <c r="C43" s="382" t="s">
        <v>4559</v>
      </c>
      <c r="D43" s="382" t="s">
        <v>4614</v>
      </c>
    </row>
    <row r="44" spans="1:6" ht="15">
      <c r="A44" s="382" t="s">
        <v>4557</v>
      </c>
      <c r="B44" s="382" t="s">
        <v>3549</v>
      </c>
      <c r="C44" s="382" t="s">
        <v>4559</v>
      </c>
      <c r="D44" s="382" t="s">
        <v>4615</v>
      </c>
    </row>
    <row r="45" spans="1:6" ht="15">
      <c r="A45" s="382" t="s">
        <v>4557</v>
      </c>
      <c r="B45" s="382" t="s">
        <v>4616</v>
      </c>
      <c r="C45" s="382" t="s">
        <v>4559</v>
      </c>
      <c r="D45" s="382" t="s">
        <v>4617</v>
      </c>
    </row>
    <row r="46" spans="1:6" ht="15">
      <c r="A46" s="382" t="s">
        <v>4551</v>
      </c>
      <c r="B46" s="382" t="s">
        <v>3696</v>
      </c>
      <c r="C46" s="382" t="s">
        <v>4553</v>
      </c>
      <c r="D46" s="382" t="s">
        <v>4618</v>
      </c>
    </row>
    <row r="47" spans="1:6" ht="15">
      <c r="A47" s="382" t="s">
        <v>4551</v>
      </c>
      <c r="B47" s="382" t="s">
        <v>4619</v>
      </c>
      <c r="C47" s="382" t="s">
        <v>4563</v>
      </c>
      <c r="D47" s="382" t="s">
        <v>4620</v>
      </c>
    </row>
    <row r="48" spans="1:6" ht="15">
      <c r="A48" s="382" t="s">
        <v>4565</v>
      </c>
      <c r="B48" s="382" t="s">
        <v>3617</v>
      </c>
      <c r="C48" s="382" t="s">
        <v>4567</v>
      </c>
      <c r="D48" s="382" t="s">
        <v>4621</v>
      </c>
    </row>
    <row r="49" spans="1:6" ht="15">
      <c r="A49" s="382" t="s">
        <v>4551</v>
      </c>
      <c r="B49" s="382" t="s">
        <v>4028</v>
      </c>
      <c r="C49" s="382" t="s">
        <v>4563</v>
      </c>
      <c r="D49" s="382" t="s">
        <v>4622</v>
      </c>
    </row>
    <row r="50" spans="1:6" ht="15">
      <c r="A50" s="382" t="s">
        <v>4551</v>
      </c>
      <c r="B50" s="382" t="s">
        <v>3663</v>
      </c>
      <c r="C50" s="382" t="s">
        <v>4563</v>
      </c>
      <c r="D50" s="382" t="s">
        <v>4623</v>
      </c>
    </row>
    <row r="51" spans="1:6" ht="15">
      <c r="A51" s="382" t="s">
        <v>4551</v>
      </c>
      <c r="B51" s="382" t="s">
        <v>4624</v>
      </c>
      <c r="C51" s="382" t="s">
        <v>4553</v>
      </c>
      <c r="D51" s="382" t="s">
        <v>4625</v>
      </c>
    </row>
    <row r="52" spans="1:6" ht="15">
      <c r="A52" s="382" t="s">
        <v>4557</v>
      </c>
      <c r="B52" s="382" t="s">
        <v>3493</v>
      </c>
      <c r="C52" s="382" t="s">
        <v>4559</v>
      </c>
      <c r="D52" s="382" t="s">
        <v>4626</v>
      </c>
    </row>
    <row r="53" spans="1:6" ht="15">
      <c r="A53" s="382" t="s">
        <v>4551</v>
      </c>
      <c r="B53" s="382" t="s">
        <v>3790</v>
      </c>
      <c r="C53" s="382" t="s">
        <v>4553</v>
      </c>
      <c r="D53" s="382" t="s">
        <v>4627</v>
      </c>
    </row>
    <row r="54" spans="1:6" ht="15">
      <c r="A54" s="382" t="s">
        <v>4551</v>
      </c>
      <c r="B54" s="382" t="s">
        <v>3568</v>
      </c>
      <c r="C54" s="382" t="s">
        <v>4563</v>
      </c>
      <c r="D54" s="382" t="s">
        <v>4628</v>
      </c>
    </row>
    <row r="55" spans="1:6" ht="15">
      <c r="A55" s="382" t="s">
        <v>4551</v>
      </c>
      <c r="B55" s="382" t="s">
        <v>3854</v>
      </c>
      <c r="C55" s="382" t="s">
        <v>4553</v>
      </c>
      <c r="D55" s="382" t="s">
        <v>4629</v>
      </c>
    </row>
    <row r="56" spans="1:6" ht="15">
      <c r="A56" s="382" t="s">
        <v>4557</v>
      </c>
      <c r="B56" s="382" t="s">
        <v>4630</v>
      </c>
      <c r="C56" s="382" t="s">
        <v>4559</v>
      </c>
      <c r="D56" s="382" t="s">
        <v>4631</v>
      </c>
      <c r="F56" s="383"/>
    </row>
    <row r="57" spans="1:6" ht="15">
      <c r="A57" s="382" t="s">
        <v>4565</v>
      </c>
      <c r="B57" s="382" t="s">
        <v>4632</v>
      </c>
      <c r="C57" s="382" t="s">
        <v>4567</v>
      </c>
      <c r="D57" s="382" t="s">
        <v>4633</v>
      </c>
    </row>
    <row r="58" spans="1:6" ht="15">
      <c r="A58" s="382" t="s">
        <v>4551</v>
      </c>
      <c r="B58" s="382" t="s">
        <v>3705</v>
      </c>
      <c r="C58" s="382" t="s">
        <v>4553</v>
      </c>
      <c r="D58" s="382" t="s">
        <v>4634</v>
      </c>
      <c r="E58" s="383"/>
    </row>
    <row r="59" spans="1:6" ht="15">
      <c r="A59" s="382" t="s">
        <v>4551</v>
      </c>
      <c r="B59" s="382" t="s">
        <v>4635</v>
      </c>
      <c r="C59" s="382" t="s">
        <v>4553</v>
      </c>
      <c r="D59" s="382" t="s">
        <v>4636</v>
      </c>
    </row>
    <row r="60" spans="1:6" ht="15">
      <c r="A60" s="382" t="s">
        <v>4551</v>
      </c>
      <c r="B60" s="382" t="s">
        <v>3786</v>
      </c>
      <c r="C60" s="382" t="s">
        <v>4563</v>
      </c>
      <c r="D60" s="382" t="s">
        <v>4637</v>
      </c>
    </row>
    <row r="61" spans="1:6" ht="15">
      <c r="A61" s="382" t="s">
        <v>4565</v>
      </c>
      <c r="B61" s="382" t="s">
        <v>3498</v>
      </c>
      <c r="C61" s="382" t="s">
        <v>4567</v>
      </c>
      <c r="D61" s="382" t="s">
        <v>4638</v>
      </c>
    </row>
    <row r="62" spans="1:6" ht="15">
      <c r="A62" s="382" t="s">
        <v>4551</v>
      </c>
      <c r="B62" s="382" t="s">
        <v>4639</v>
      </c>
      <c r="C62" s="382" t="s">
        <v>4563</v>
      </c>
      <c r="D62" s="382" t="s">
        <v>4640</v>
      </c>
    </row>
    <row r="63" spans="1:6" ht="15">
      <c r="A63" s="382" t="s">
        <v>4551</v>
      </c>
      <c r="B63" s="382" t="s">
        <v>4007</v>
      </c>
      <c r="C63" s="382" t="s">
        <v>4553</v>
      </c>
      <c r="D63" s="382" t="s">
        <v>4641</v>
      </c>
    </row>
    <row r="64" spans="1:6" ht="15">
      <c r="A64" s="382" t="s">
        <v>4565</v>
      </c>
      <c r="B64" s="382" t="s">
        <v>4642</v>
      </c>
      <c r="C64" s="382" t="s">
        <v>4567</v>
      </c>
      <c r="D64" s="382" t="s">
        <v>4643</v>
      </c>
    </row>
    <row r="65" spans="1:8" ht="15">
      <c r="A65" s="382" t="s">
        <v>4551</v>
      </c>
      <c r="B65" s="382" t="s">
        <v>4644</v>
      </c>
      <c r="C65" s="382" t="s">
        <v>4553</v>
      </c>
      <c r="D65" s="382" t="s">
        <v>4645</v>
      </c>
      <c r="H65" s="383"/>
    </row>
    <row r="66" spans="1:8" ht="15">
      <c r="A66" s="382" t="s">
        <v>4557</v>
      </c>
      <c r="B66" s="382" t="s">
        <v>4646</v>
      </c>
      <c r="C66" s="382" t="s">
        <v>4559</v>
      </c>
      <c r="D66" s="382" t="s">
        <v>4647</v>
      </c>
    </row>
    <row r="67" spans="1:8" ht="15">
      <c r="A67" s="382" t="s">
        <v>4557</v>
      </c>
      <c r="B67" s="382" t="s">
        <v>3464</v>
      </c>
      <c r="C67" s="382" t="s">
        <v>4559</v>
      </c>
      <c r="D67" s="382" t="s">
        <v>4648</v>
      </c>
    </row>
    <row r="68" spans="1:8" ht="15">
      <c r="A68" s="382" t="s">
        <v>4551</v>
      </c>
      <c r="B68" s="382" t="s">
        <v>3825</v>
      </c>
      <c r="C68" s="382" t="s">
        <v>4553</v>
      </c>
      <c r="D68" s="382" t="s">
        <v>4649</v>
      </c>
    </row>
    <row r="69" spans="1:8" ht="15">
      <c r="A69" s="382" t="s">
        <v>4557</v>
      </c>
      <c r="B69" s="382" t="s">
        <v>3702</v>
      </c>
      <c r="C69" s="382" t="s">
        <v>4650</v>
      </c>
      <c r="D69" s="382" t="s">
        <v>4651</v>
      </c>
    </row>
    <row r="70" spans="1:8" ht="15">
      <c r="A70" s="382" t="s">
        <v>4551</v>
      </c>
      <c r="B70" s="382" t="s">
        <v>3826</v>
      </c>
      <c r="C70" s="382" t="s">
        <v>4553</v>
      </c>
      <c r="D70" s="382" t="s">
        <v>4652</v>
      </c>
    </row>
    <row r="71" spans="1:8" ht="15">
      <c r="A71" s="382" t="s">
        <v>4565</v>
      </c>
      <c r="B71" s="382" t="s">
        <v>4653</v>
      </c>
      <c r="C71" s="382" t="s">
        <v>4567</v>
      </c>
      <c r="D71" s="382" t="s">
        <v>4654</v>
      </c>
    </row>
    <row r="72" spans="1:8" ht="15">
      <c r="A72" s="382" t="s">
        <v>4551</v>
      </c>
      <c r="B72" s="382" t="s">
        <v>4069</v>
      </c>
      <c r="C72" s="382" t="s">
        <v>4563</v>
      </c>
      <c r="D72" s="382" t="s">
        <v>4655</v>
      </c>
    </row>
    <row r="73" spans="1:8" ht="15">
      <c r="A73" s="382" t="s">
        <v>4551</v>
      </c>
      <c r="B73" s="382" t="s">
        <v>4030</v>
      </c>
      <c r="C73" s="382" t="s">
        <v>4563</v>
      </c>
      <c r="D73" s="382" t="s">
        <v>4656</v>
      </c>
    </row>
    <row r="74" spans="1:8" ht="15">
      <c r="A74" s="382" t="s">
        <v>4551</v>
      </c>
      <c r="B74" s="382" t="s">
        <v>4657</v>
      </c>
      <c r="C74" s="382" t="s">
        <v>4553</v>
      </c>
      <c r="D74" s="382" t="s">
        <v>4658</v>
      </c>
    </row>
    <row r="75" spans="1:8" ht="15">
      <c r="A75" s="382" t="s">
        <v>4551</v>
      </c>
      <c r="B75" s="382" t="s">
        <v>4659</v>
      </c>
      <c r="C75" s="382" t="s">
        <v>4553</v>
      </c>
      <c r="D75" s="382" t="s">
        <v>4660</v>
      </c>
    </row>
    <row r="76" spans="1:8" ht="15">
      <c r="A76" s="382" t="s">
        <v>4551</v>
      </c>
      <c r="B76" s="382" t="s">
        <v>4661</v>
      </c>
      <c r="C76" s="382" t="s">
        <v>4553</v>
      </c>
      <c r="D76" s="382" t="s">
        <v>4662</v>
      </c>
    </row>
    <row r="77" spans="1:8" ht="15">
      <c r="A77" s="384" t="s">
        <v>4663</v>
      </c>
      <c r="B77" s="384" t="s">
        <v>4664</v>
      </c>
      <c r="C77" s="384" t="s">
        <v>4567</v>
      </c>
      <c r="D77" s="384" t="s">
        <v>4665</v>
      </c>
    </row>
    <row r="78" spans="1:8" ht="15">
      <c r="A78" s="382" t="s">
        <v>4557</v>
      </c>
      <c r="B78" s="382" t="s">
        <v>3630</v>
      </c>
      <c r="C78" s="382" t="s">
        <v>4559</v>
      </c>
      <c r="D78" s="382" t="s">
        <v>4666</v>
      </c>
    </row>
    <row r="79" spans="1:8" ht="15">
      <c r="A79" s="382" t="s">
        <v>4551</v>
      </c>
      <c r="B79" s="382" t="s">
        <v>3486</v>
      </c>
      <c r="C79" s="382" t="s">
        <v>4667</v>
      </c>
      <c r="D79" s="382" t="s">
        <v>4668</v>
      </c>
      <c r="F79" s="383"/>
    </row>
    <row r="80" spans="1:8" ht="15">
      <c r="A80" s="382" t="s">
        <v>4551</v>
      </c>
      <c r="B80" s="382" t="s">
        <v>3467</v>
      </c>
      <c r="C80" s="382" t="s">
        <v>4563</v>
      </c>
      <c r="D80" s="382" t="s">
        <v>4669</v>
      </c>
    </row>
    <row r="81" spans="1:6" ht="15">
      <c r="A81" s="382" t="s">
        <v>4551</v>
      </c>
      <c r="B81" s="382" t="s">
        <v>3449</v>
      </c>
      <c r="C81" s="382" t="s">
        <v>4553</v>
      </c>
      <c r="D81" s="382" t="s">
        <v>4670</v>
      </c>
    </row>
    <row r="82" spans="1:6" ht="15">
      <c r="A82" s="382" t="s">
        <v>4551</v>
      </c>
      <c r="B82" s="382" t="s">
        <v>3437</v>
      </c>
      <c r="C82" s="382" t="s">
        <v>4563</v>
      </c>
      <c r="D82" s="382" t="s">
        <v>4671</v>
      </c>
    </row>
    <row r="83" spans="1:6" ht="15">
      <c r="A83" s="382" t="s">
        <v>4557</v>
      </c>
      <c r="B83" s="382" t="s">
        <v>4672</v>
      </c>
      <c r="C83" s="382" t="s">
        <v>4650</v>
      </c>
      <c r="D83" s="382" t="s">
        <v>4673</v>
      </c>
    </row>
    <row r="84" spans="1:6" ht="15">
      <c r="A84" s="385" t="s">
        <v>4565</v>
      </c>
      <c r="B84" s="385" t="s">
        <v>4674</v>
      </c>
      <c r="C84" s="385" t="s">
        <v>4567</v>
      </c>
      <c r="D84" s="385" t="s">
        <v>4675</v>
      </c>
    </row>
    <row r="85" spans="1:6" ht="15">
      <c r="A85" s="382" t="s">
        <v>4551</v>
      </c>
      <c r="B85" s="385" t="s">
        <v>4676</v>
      </c>
      <c r="C85" s="385" t="s">
        <v>4553</v>
      </c>
      <c r="D85" s="385" t="s">
        <v>4677</v>
      </c>
    </row>
    <row r="86" spans="1:6" ht="15">
      <c r="A86" s="382" t="s">
        <v>4551</v>
      </c>
      <c r="B86" s="385" t="s">
        <v>4678</v>
      </c>
      <c r="C86" s="385"/>
      <c r="D86" s="385" t="s">
        <v>4679</v>
      </c>
      <c r="F86" s="383"/>
    </row>
    <row r="87" spans="1:6" ht="15">
      <c r="A87" s="385" t="s">
        <v>4680</v>
      </c>
      <c r="B87" s="385" t="s">
        <v>3583</v>
      </c>
      <c r="C87" s="382" t="s">
        <v>4681</v>
      </c>
      <c r="D87" s="385" t="s">
        <v>4682</v>
      </c>
      <c r="F87" s="383"/>
    </row>
    <row r="88" spans="1:6" ht="15">
      <c r="A88" s="385" t="s">
        <v>4557</v>
      </c>
      <c r="B88" s="382" t="s">
        <v>3603</v>
      </c>
      <c r="C88" s="382" t="s">
        <v>4650</v>
      </c>
      <c r="D88" s="385" t="s">
        <v>4683</v>
      </c>
      <c r="F88" s="383"/>
    </row>
    <row r="89" spans="1:6" ht="15">
      <c r="A89" s="382" t="s">
        <v>4551</v>
      </c>
      <c r="B89" s="385" t="s">
        <v>3623</v>
      </c>
      <c r="C89" s="385"/>
      <c r="D89" s="385" t="s">
        <v>4684</v>
      </c>
    </row>
    <row r="90" spans="1:6" ht="15">
      <c r="A90" s="385" t="s">
        <v>4680</v>
      </c>
      <c r="B90" s="382" t="s">
        <v>3434</v>
      </c>
      <c r="C90" s="382" t="s">
        <v>4681</v>
      </c>
      <c r="D90" s="382" t="s">
        <v>4685</v>
      </c>
    </row>
    <row r="91" spans="1:6" ht="15">
      <c r="A91" s="385" t="s">
        <v>4565</v>
      </c>
      <c r="B91" s="385" t="s">
        <v>3431</v>
      </c>
      <c r="C91" s="385" t="s">
        <v>4567</v>
      </c>
      <c r="D91" s="385" t="s">
        <v>4686</v>
      </c>
      <c r="F91" s="383"/>
    </row>
    <row r="92" spans="1:6" ht="15">
      <c r="A92" s="382" t="s">
        <v>4551</v>
      </c>
      <c r="B92" s="385" t="s">
        <v>3515</v>
      </c>
      <c r="C92" s="385"/>
      <c r="D92" s="385" t="s">
        <v>4687</v>
      </c>
    </row>
    <row r="93" spans="1:6" ht="15">
      <c r="A93" s="382" t="s">
        <v>4551</v>
      </c>
      <c r="B93" s="385" t="s">
        <v>3534</v>
      </c>
      <c r="C93" s="385" t="s">
        <v>4553</v>
      </c>
      <c r="D93" s="385" t="s">
        <v>4688</v>
      </c>
    </row>
    <row r="94" spans="1:6" ht="15">
      <c r="A94" s="385" t="s">
        <v>4680</v>
      </c>
      <c r="B94" s="385" t="s">
        <v>3540</v>
      </c>
      <c r="C94" s="382" t="s">
        <v>4681</v>
      </c>
      <c r="D94" s="385" t="s">
        <v>4689</v>
      </c>
    </row>
    <row r="95" spans="1:6" ht="15">
      <c r="A95" s="385" t="s">
        <v>4565</v>
      </c>
      <c r="B95" s="385" t="s">
        <v>3557</v>
      </c>
      <c r="C95" s="382" t="s">
        <v>4567</v>
      </c>
      <c r="D95" s="385" t="s">
        <v>4690</v>
      </c>
    </row>
    <row r="96" spans="1:6" ht="15">
      <c r="A96" s="382" t="s">
        <v>4557</v>
      </c>
      <c r="B96" s="382" t="s">
        <v>3460</v>
      </c>
      <c r="C96" s="382" t="s">
        <v>4650</v>
      </c>
      <c r="D96" s="385" t="s">
        <v>4691</v>
      </c>
    </row>
    <row r="97" spans="1:4" ht="15">
      <c r="A97" s="382" t="s">
        <v>4551</v>
      </c>
      <c r="B97" s="382" t="s">
        <v>4692</v>
      </c>
      <c r="C97" s="385"/>
      <c r="D97" s="382" t="s">
        <v>4693</v>
      </c>
    </row>
    <row r="98" spans="1:4" ht="15">
      <c r="A98" s="382" t="s">
        <v>4551</v>
      </c>
      <c r="B98" s="382" t="s">
        <v>3661</v>
      </c>
      <c r="C98" s="385"/>
      <c r="D98" s="382" t="s">
        <v>4694</v>
      </c>
    </row>
    <row r="99" spans="1:4" ht="15">
      <c r="A99" s="382" t="s">
        <v>4551</v>
      </c>
      <c r="B99" s="382" t="s">
        <v>4695</v>
      </c>
      <c r="C99" s="385"/>
      <c r="D99" s="382" t="s">
        <v>4696</v>
      </c>
    </row>
    <row r="100" spans="1:4" ht="15">
      <c r="A100" s="385" t="s">
        <v>4680</v>
      </c>
      <c r="B100" s="382" t="s">
        <v>3699</v>
      </c>
      <c r="C100" s="385"/>
      <c r="D100" s="382" t="s">
        <v>4697</v>
      </c>
    </row>
    <row r="101" spans="1:4" ht="15">
      <c r="A101" s="382" t="s">
        <v>4551</v>
      </c>
      <c r="B101" s="382" t="s">
        <v>3694</v>
      </c>
      <c r="C101" s="385"/>
      <c r="D101" s="382" t="s">
        <v>4698</v>
      </c>
    </row>
    <row r="102" spans="1:4" ht="15">
      <c r="A102" s="382" t="s">
        <v>4551</v>
      </c>
      <c r="B102" s="382" t="s">
        <v>3756</v>
      </c>
      <c r="C102" s="385"/>
      <c r="D102" s="382" t="s">
        <v>4699</v>
      </c>
    </row>
    <row r="103" spans="1:4" ht="15">
      <c r="A103" s="382" t="s">
        <v>4551</v>
      </c>
      <c r="B103" s="382" t="s">
        <v>3737</v>
      </c>
      <c r="C103" s="385"/>
      <c r="D103" s="382" t="s">
        <v>4700</v>
      </c>
    </row>
    <row r="104" spans="1:4" ht="15">
      <c r="A104" s="382" t="s">
        <v>4551</v>
      </c>
      <c r="B104" s="382" t="s">
        <v>3841</v>
      </c>
      <c r="C104" s="385"/>
      <c r="D104" s="382" t="s">
        <v>4701</v>
      </c>
    </row>
    <row r="105" spans="1:4" ht="15">
      <c r="A105" s="385" t="s">
        <v>4565</v>
      </c>
      <c r="B105" s="382" t="s">
        <v>3732</v>
      </c>
      <c r="C105" s="385"/>
      <c r="D105" s="382" t="s">
        <v>4702</v>
      </c>
    </row>
    <row r="106" spans="1:4" ht="15">
      <c r="A106" s="382" t="s">
        <v>4551</v>
      </c>
      <c r="B106" s="382" t="s">
        <v>4181</v>
      </c>
      <c r="C106" s="385"/>
      <c r="D106" s="382" t="s">
        <v>4703</v>
      </c>
    </row>
    <row r="107" spans="1:4" ht="12.75">
      <c r="A107" s="274"/>
      <c r="B107" s="274"/>
      <c r="C107" s="274"/>
      <c r="D107" s="274"/>
    </row>
    <row r="108" spans="1:4" ht="12.75">
      <c r="A108" s="274"/>
      <c r="B108" s="274"/>
      <c r="C108" s="274"/>
      <c r="D108" s="274"/>
    </row>
    <row r="109" spans="1:4" ht="12.75">
      <c r="A109" s="274"/>
      <c r="B109" s="274"/>
      <c r="C109" s="274"/>
      <c r="D109" s="274"/>
    </row>
    <row r="110" spans="1:4" ht="12.75">
      <c r="A110" s="274"/>
      <c r="B110" s="274"/>
      <c r="C110" s="274"/>
      <c r="D110" s="274"/>
    </row>
    <row r="111" spans="1:4" ht="12.75">
      <c r="A111" s="274"/>
      <c r="B111" s="274"/>
      <c r="C111" s="274"/>
      <c r="D111" s="274"/>
    </row>
    <row r="112" spans="1:4" ht="12.75">
      <c r="A112" s="274"/>
      <c r="B112" s="274"/>
      <c r="C112" s="274"/>
      <c r="D112" s="274"/>
    </row>
    <row r="113" spans="1:4" ht="12.75">
      <c r="A113" s="274"/>
      <c r="B113" s="274"/>
      <c r="C113" s="274"/>
      <c r="D113" s="274"/>
    </row>
    <row r="114" spans="1:4" ht="12.75">
      <c r="A114" s="274"/>
      <c r="B114" s="274"/>
      <c r="C114" s="274"/>
      <c r="D114" s="274"/>
    </row>
    <row r="115" spans="1:4" ht="12.75">
      <c r="A115" s="274"/>
      <c r="B115" s="274"/>
      <c r="C115" s="274"/>
      <c r="D115" s="274"/>
    </row>
    <row r="116" spans="1:4" ht="12.75">
      <c r="A116" s="274"/>
      <c r="B116" s="274"/>
      <c r="C116" s="274"/>
      <c r="D116" s="274"/>
    </row>
    <row r="117" spans="1:4" ht="12.75">
      <c r="A117" s="274"/>
      <c r="B117" s="274"/>
      <c r="C117" s="274"/>
      <c r="D117" s="274"/>
    </row>
    <row r="118" spans="1:4" ht="12.75">
      <c r="A118" s="274"/>
      <c r="B118" s="274"/>
      <c r="C118" s="274"/>
      <c r="D118" s="274"/>
    </row>
    <row r="119" spans="1:4" ht="12.75">
      <c r="A119" s="274"/>
      <c r="B119" s="274"/>
      <c r="C119" s="274"/>
      <c r="D119" s="274"/>
    </row>
    <row r="120" spans="1:4" ht="12.75">
      <c r="A120" s="274"/>
      <c r="B120" s="274"/>
      <c r="C120" s="274"/>
      <c r="D120" s="274"/>
    </row>
    <row r="121" spans="1:4" ht="12.75">
      <c r="A121" s="274"/>
      <c r="B121" s="274"/>
      <c r="C121" s="274"/>
      <c r="D121" s="274"/>
    </row>
    <row r="122" spans="1:4" ht="12.75">
      <c r="A122" s="274"/>
      <c r="B122" s="274"/>
      <c r="C122" s="274"/>
      <c r="D122" s="274"/>
    </row>
    <row r="123" spans="1:4" ht="12.75">
      <c r="A123" s="274"/>
      <c r="B123" s="274"/>
      <c r="C123" s="274"/>
      <c r="D123" s="274"/>
    </row>
    <row r="124" spans="1:4" ht="12.75">
      <c r="A124" s="274"/>
      <c r="B124" s="274"/>
      <c r="C124" s="274"/>
      <c r="D124" s="274"/>
    </row>
    <row r="125" spans="1:4" ht="12.75">
      <c r="A125" s="274"/>
      <c r="B125" s="274"/>
      <c r="C125" s="274"/>
      <c r="D125" s="274"/>
    </row>
    <row r="126" spans="1:4" ht="12.75">
      <c r="A126" s="274"/>
      <c r="B126" s="274"/>
      <c r="C126" s="274"/>
      <c r="D126" s="274"/>
    </row>
    <row r="127" spans="1:4" ht="12.75">
      <c r="A127" s="274"/>
      <c r="B127" s="274"/>
      <c r="C127" s="274"/>
      <c r="D127" s="274"/>
    </row>
    <row r="128" spans="1:4" ht="12.75">
      <c r="A128" s="274"/>
      <c r="B128" s="274"/>
      <c r="C128" s="274"/>
      <c r="D128" s="274"/>
    </row>
    <row r="129" spans="1:4" ht="12.75">
      <c r="A129" s="274"/>
      <c r="B129" s="274"/>
      <c r="C129" s="274"/>
      <c r="D129" s="274"/>
    </row>
    <row r="130" spans="1:4" ht="12.75">
      <c r="A130" s="274"/>
      <c r="B130" s="274"/>
      <c r="C130" s="274"/>
      <c r="D130" s="274"/>
    </row>
    <row r="131" spans="1:4" ht="12.75">
      <c r="A131" s="274"/>
      <c r="B131" s="274"/>
      <c r="C131" s="274"/>
      <c r="D131" s="274"/>
    </row>
    <row r="132" spans="1:4" ht="12.75">
      <c r="A132" s="274"/>
      <c r="B132" s="274"/>
      <c r="C132" s="274"/>
      <c r="D132" s="274"/>
    </row>
    <row r="133" spans="1:4" ht="12.75">
      <c r="A133" s="274"/>
      <c r="B133" s="274"/>
      <c r="C133" s="274"/>
      <c r="D133" s="274"/>
    </row>
    <row r="134" spans="1:4" ht="12.75">
      <c r="A134" s="274"/>
      <c r="B134" s="274"/>
      <c r="C134" s="274"/>
      <c r="D134" s="274"/>
    </row>
    <row r="135" spans="1:4" ht="12.75">
      <c r="A135" s="274"/>
      <c r="B135" s="274"/>
      <c r="C135" s="274"/>
      <c r="D135" s="274"/>
    </row>
    <row r="136" spans="1:4" ht="12.75">
      <c r="A136" s="274"/>
      <c r="B136" s="274"/>
      <c r="C136" s="274"/>
      <c r="D136" s="274"/>
    </row>
    <row r="137" spans="1:4" ht="12.75">
      <c r="A137" s="274"/>
      <c r="B137" s="274"/>
      <c r="C137" s="274"/>
      <c r="D137" s="274"/>
    </row>
    <row r="138" spans="1:4" ht="12.75">
      <c r="A138" s="274"/>
      <c r="B138" s="274"/>
      <c r="C138" s="274"/>
      <c r="D138" s="274"/>
    </row>
    <row r="139" spans="1:4" ht="12.75">
      <c r="A139" s="274"/>
      <c r="B139" s="274"/>
      <c r="C139" s="274"/>
      <c r="D139" s="274"/>
    </row>
    <row r="140" spans="1:4" ht="12.75">
      <c r="A140" s="274"/>
      <c r="B140" s="274"/>
      <c r="C140" s="274"/>
      <c r="D140" s="274"/>
    </row>
    <row r="141" spans="1:4" ht="12.75">
      <c r="A141" s="274"/>
      <c r="B141" s="274"/>
      <c r="C141" s="274"/>
      <c r="D141" s="274"/>
    </row>
    <row r="142" spans="1:4" ht="12.75">
      <c r="A142" s="274"/>
      <c r="B142" s="274"/>
      <c r="C142" s="274"/>
      <c r="D142" s="274"/>
    </row>
    <row r="143" spans="1:4" ht="12.75">
      <c r="A143" s="274"/>
      <c r="B143" s="274"/>
      <c r="C143" s="274"/>
      <c r="D143" s="274"/>
    </row>
    <row r="144" spans="1:4" ht="12.75">
      <c r="A144" s="274"/>
      <c r="B144" s="274"/>
      <c r="C144" s="274"/>
      <c r="D144" s="274"/>
    </row>
    <row r="145" spans="1:4" ht="12.75">
      <c r="A145" s="274"/>
      <c r="B145" s="274"/>
      <c r="C145" s="274"/>
      <c r="D145" s="274"/>
    </row>
    <row r="146" spans="1:4" ht="12.75">
      <c r="A146" s="274"/>
      <c r="B146" s="274"/>
      <c r="C146" s="274"/>
      <c r="D146" s="274"/>
    </row>
    <row r="147" spans="1:4" ht="12.75">
      <c r="A147" s="274"/>
      <c r="B147" s="274"/>
      <c r="C147" s="274"/>
      <c r="D147" s="274"/>
    </row>
    <row r="148" spans="1:4" ht="12.75">
      <c r="A148" s="274"/>
      <c r="B148" s="274"/>
      <c r="C148" s="274"/>
      <c r="D148" s="274"/>
    </row>
    <row r="149" spans="1:4" ht="12.75">
      <c r="A149" s="274"/>
      <c r="B149" s="274"/>
      <c r="C149" s="274"/>
      <c r="D149" s="274"/>
    </row>
    <row r="150" spans="1:4" ht="12.75">
      <c r="A150" s="274"/>
      <c r="B150" s="274"/>
      <c r="C150" s="274"/>
      <c r="D150" s="274"/>
    </row>
    <row r="151" spans="1:4" ht="12.75">
      <c r="A151" s="274"/>
      <c r="B151" s="274"/>
      <c r="C151" s="274"/>
      <c r="D151" s="274"/>
    </row>
    <row r="152" spans="1:4" ht="12.75">
      <c r="A152" s="274"/>
      <c r="B152" s="274"/>
      <c r="C152" s="274"/>
      <c r="D152" s="274"/>
    </row>
    <row r="153" spans="1:4" ht="12.75">
      <c r="A153" s="274"/>
      <c r="B153" s="274"/>
      <c r="C153" s="274"/>
      <c r="D153" s="274"/>
    </row>
    <row r="154" spans="1:4" ht="12.75">
      <c r="A154" s="274"/>
      <c r="B154" s="274"/>
      <c r="C154" s="274"/>
      <c r="D154" s="274"/>
    </row>
    <row r="155" spans="1:4" ht="12.75">
      <c r="A155" s="274"/>
      <c r="B155" s="274"/>
      <c r="C155" s="274"/>
      <c r="D155" s="274"/>
    </row>
    <row r="156" spans="1:4" ht="12.75">
      <c r="A156" s="274"/>
      <c r="B156" s="274"/>
      <c r="C156" s="274"/>
      <c r="D156" s="274"/>
    </row>
    <row r="157" spans="1:4" ht="12.75">
      <c r="A157" s="274"/>
      <c r="B157" s="274"/>
      <c r="C157" s="274"/>
      <c r="D157" s="274"/>
    </row>
    <row r="158" spans="1:4" ht="12.75">
      <c r="A158" s="274"/>
      <c r="B158" s="274"/>
      <c r="C158" s="274"/>
      <c r="D158" s="274"/>
    </row>
    <row r="159" spans="1:4" ht="12.75">
      <c r="A159" s="274"/>
      <c r="B159" s="274"/>
      <c r="C159" s="274"/>
      <c r="D159" s="274"/>
    </row>
    <row r="160" spans="1:4" ht="12.75">
      <c r="A160" s="274"/>
      <c r="B160" s="274"/>
      <c r="C160" s="274"/>
      <c r="D160" s="274"/>
    </row>
    <row r="161" spans="1:4" ht="12.75">
      <c r="A161" s="274"/>
      <c r="B161" s="274"/>
      <c r="C161" s="274"/>
      <c r="D161" s="274"/>
    </row>
    <row r="162" spans="1:4" ht="12.75">
      <c r="A162" s="274"/>
      <c r="B162" s="274"/>
      <c r="C162" s="274"/>
      <c r="D162" s="274"/>
    </row>
    <row r="163" spans="1:4" ht="12.75">
      <c r="A163" s="274"/>
      <c r="B163" s="274"/>
      <c r="C163" s="274"/>
      <c r="D163" s="274"/>
    </row>
    <row r="164" spans="1:4" ht="12.75">
      <c r="A164" s="274"/>
      <c r="B164" s="274"/>
      <c r="C164" s="274"/>
      <c r="D164" s="274"/>
    </row>
    <row r="165" spans="1:4" ht="12.75">
      <c r="A165" s="274"/>
      <c r="B165" s="274"/>
      <c r="C165" s="274"/>
      <c r="D165" s="274"/>
    </row>
    <row r="166" spans="1:4" ht="12.75">
      <c r="A166" s="274"/>
      <c r="B166" s="274"/>
      <c r="C166" s="274"/>
      <c r="D166" s="274"/>
    </row>
    <row r="167" spans="1:4" ht="12.75">
      <c r="A167" s="274"/>
      <c r="B167" s="274"/>
      <c r="C167" s="274"/>
      <c r="D167" s="274"/>
    </row>
    <row r="168" spans="1:4" ht="12.75">
      <c r="A168" s="274"/>
      <c r="B168" s="274"/>
      <c r="C168" s="274"/>
      <c r="D168" s="274"/>
    </row>
    <row r="169" spans="1:4" ht="12.75">
      <c r="A169" s="274"/>
      <c r="B169" s="274"/>
      <c r="C169" s="274"/>
      <c r="D169" s="274"/>
    </row>
    <row r="170" spans="1:4" ht="12.75">
      <c r="A170" s="274"/>
      <c r="B170" s="274"/>
      <c r="C170" s="274"/>
      <c r="D170" s="274"/>
    </row>
    <row r="171" spans="1:4" ht="12.75">
      <c r="A171" s="274"/>
      <c r="B171" s="274"/>
      <c r="C171" s="274"/>
      <c r="D171" s="274"/>
    </row>
    <row r="172" spans="1:4" ht="12.75">
      <c r="A172" s="274"/>
      <c r="B172" s="274"/>
      <c r="C172" s="274"/>
      <c r="D172" s="274"/>
    </row>
    <row r="173" spans="1:4" ht="12.75">
      <c r="A173" s="274"/>
      <c r="B173" s="274"/>
      <c r="C173" s="274"/>
      <c r="D173" s="274"/>
    </row>
    <row r="174" spans="1:4" ht="12.75">
      <c r="A174" s="274"/>
      <c r="B174" s="274"/>
      <c r="C174" s="274"/>
      <c r="D174" s="274"/>
    </row>
    <row r="175" spans="1:4" ht="12.75">
      <c r="A175" s="274"/>
      <c r="B175" s="274"/>
      <c r="C175" s="274"/>
      <c r="D175" s="274"/>
    </row>
    <row r="176" spans="1:4" ht="12.75">
      <c r="A176" s="274"/>
      <c r="B176" s="274"/>
      <c r="C176" s="274"/>
      <c r="D176" s="274"/>
    </row>
    <row r="177" spans="1:4" ht="12.75">
      <c r="A177" s="274"/>
      <c r="B177" s="274"/>
      <c r="C177" s="274"/>
      <c r="D177" s="274"/>
    </row>
    <row r="178" spans="1:4" ht="12.75">
      <c r="A178" s="274"/>
      <c r="B178" s="274"/>
      <c r="C178" s="274"/>
      <c r="D178" s="274"/>
    </row>
    <row r="179" spans="1:4" ht="12.75">
      <c r="A179" s="274"/>
      <c r="B179" s="274"/>
      <c r="C179" s="274"/>
      <c r="D179" s="274"/>
    </row>
    <row r="180" spans="1:4" ht="12.75">
      <c r="A180" s="274"/>
      <c r="B180" s="274"/>
      <c r="C180" s="274"/>
      <c r="D180" s="274"/>
    </row>
    <row r="181" spans="1:4" ht="12.75">
      <c r="A181" s="274"/>
      <c r="B181" s="274"/>
      <c r="C181" s="274"/>
      <c r="D181" s="274"/>
    </row>
    <row r="182" spans="1:4" ht="12.75">
      <c r="A182" s="274"/>
      <c r="B182" s="274"/>
      <c r="C182" s="274"/>
      <c r="D182" s="274"/>
    </row>
    <row r="183" spans="1:4" ht="12.75">
      <c r="A183" s="274"/>
      <c r="B183" s="274"/>
      <c r="C183" s="274"/>
      <c r="D183" s="274"/>
    </row>
    <row r="184" spans="1:4" ht="12.75">
      <c r="A184" s="274"/>
      <c r="B184" s="274"/>
      <c r="C184" s="274"/>
      <c r="D184" s="274"/>
    </row>
    <row r="185" spans="1:4" ht="12.75">
      <c r="A185" s="274"/>
      <c r="B185" s="274"/>
      <c r="C185" s="274"/>
      <c r="D185" s="274"/>
    </row>
    <row r="186" spans="1:4" ht="12.75">
      <c r="A186" s="274"/>
      <c r="B186" s="274"/>
      <c r="C186" s="274"/>
      <c r="D186" s="274"/>
    </row>
    <row r="187" spans="1:4" ht="12.75">
      <c r="A187" s="274"/>
      <c r="B187" s="274"/>
      <c r="C187" s="274"/>
      <c r="D187" s="274"/>
    </row>
    <row r="188" spans="1:4" ht="12.75">
      <c r="A188" s="274"/>
      <c r="B188" s="274"/>
      <c r="C188" s="274"/>
      <c r="D188" s="274"/>
    </row>
    <row r="189" spans="1:4" ht="12.75">
      <c r="A189" s="274"/>
      <c r="B189" s="274"/>
      <c r="C189" s="274"/>
      <c r="D189" s="274"/>
    </row>
    <row r="190" spans="1:4" ht="12.75">
      <c r="A190" s="274"/>
      <c r="B190" s="274"/>
      <c r="C190" s="274"/>
      <c r="D190" s="274"/>
    </row>
    <row r="191" spans="1:4" ht="12.75">
      <c r="A191" s="274"/>
      <c r="B191" s="274"/>
      <c r="C191" s="274"/>
      <c r="D191" s="274"/>
    </row>
    <row r="192" spans="1:4" ht="12.75">
      <c r="A192" s="274"/>
      <c r="B192" s="274"/>
      <c r="C192" s="274"/>
      <c r="D192" s="274"/>
    </row>
    <row r="193" spans="1:4" ht="12.75">
      <c r="A193" s="274"/>
      <c r="B193" s="274"/>
      <c r="C193" s="274"/>
      <c r="D193" s="274"/>
    </row>
    <row r="194" spans="1:4" ht="12.75">
      <c r="A194" s="274"/>
      <c r="B194" s="274"/>
      <c r="C194" s="274"/>
      <c r="D194" s="274"/>
    </row>
    <row r="195" spans="1:4" ht="12.75">
      <c r="A195" s="274"/>
      <c r="B195" s="274"/>
      <c r="C195" s="274"/>
      <c r="D195" s="274"/>
    </row>
    <row r="196" spans="1:4" ht="12.75">
      <c r="A196" s="274"/>
      <c r="B196" s="274"/>
      <c r="C196" s="274"/>
      <c r="D196" s="274"/>
    </row>
    <row r="197" spans="1:4" ht="12.75">
      <c r="A197" s="274"/>
      <c r="B197" s="274"/>
      <c r="C197" s="274"/>
      <c r="D197" s="274"/>
    </row>
    <row r="198" spans="1:4" ht="12.75">
      <c r="A198" s="274"/>
      <c r="B198" s="274"/>
      <c r="C198" s="274"/>
      <c r="D198" s="274"/>
    </row>
    <row r="199" spans="1:4" ht="12.75">
      <c r="A199" s="274"/>
      <c r="B199" s="274"/>
      <c r="C199" s="274"/>
      <c r="D199" s="274"/>
    </row>
    <row r="200" spans="1:4" ht="12.75">
      <c r="A200" s="274"/>
      <c r="B200" s="274"/>
      <c r="C200" s="274"/>
      <c r="D200" s="274"/>
    </row>
    <row r="201" spans="1:4" ht="12.75">
      <c r="A201" s="274"/>
      <c r="B201" s="274"/>
      <c r="C201" s="274"/>
      <c r="D201" s="274"/>
    </row>
    <row r="202" spans="1:4" ht="12.75">
      <c r="A202" s="274"/>
      <c r="B202" s="274"/>
      <c r="C202" s="274"/>
      <c r="D202" s="274"/>
    </row>
    <row r="203" spans="1:4" ht="12.75">
      <c r="A203" s="274"/>
      <c r="B203" s="274"/>
      <c r="C203" s="274"/>
      <c r="D203" s="274"/>
    </row>
    <row r="204" spans="1:4" ht="12.75">
      <c r="A204" s="274"/>
      <c r="B204" s="274"/>
      <c r="C204" s="274"/>
      <c r="D204" s="274"/>
    </row>
    <row r="205" spans="1:4" ht="12.75">
      <c r="A205" s="274"/>
      <c r="B205" s="274"/>
      <c r="C205" s="274"/>
      <c r="D205" s="274"/>
    </row>
    <row r="206" spans="1:4" ht="12.75">
      <c r="A206" s="274"/>
      <c r="B206" s="274"/>
      <c r="C206" s="274"/>
      <c r="D206" s="274"/>
    </row>
    <row r="207" spans="1:4" ht="12.75">
      <c r="A207" s="274"/>
      <c r="B207" s="274"/>
      <c r="C207" s="274"/>
      <c r="D207" s="274"/>
    </row>
    <row r="208" spans="1:4" ht="12.75">
      <c r="A208" s="274"/>
      <c r="B208" s="274"/>
      <c r="C208" s="274"/>
      <c r="D208" s="274"/>
    </row>
    <row r="209" spans="1:4" ht="12.75">
      <c r="A209" s="274"/>
      <c r="B209" s="274"/>
      <c r="C209" s="274"/>
      <c r="D209" s="274"/>
    </row>
    <row r="210" spans="1:4" ht="12.75">
      <c r="A210" s="274"/>
      <c r="B210" s="274"/>
      <c r="C210" s="274"/>
      <c r="D210" s="274"/>
    </row>
    <row r="211" spans="1:4" ht="12.75">
      <c r="A211" s="274"/>
      <c r="B211" s="274"/>
      <c r="C211" s="274"/>
      <c r="D211" s="274"/>
    </row>
    <row r="212" spans="1:4" ht="12.75">
      <c r="A212" s="274"/>
      <c r="B212" s="274"/>
      <c r="C212" s="274"/>
      <c r="D212" s="274"/>
    </row>
    <row r="213" spans="1:4" ht="12.75">
      <c r="A213" s="274"/>
      <c r="B213" s="274"/>
      <c r="C213" s="274"/>
      <c r="D213" s="274"/>
    </row>
    <row r="214" spans="1:4" ht="12.75">
      <c r="A214" s="274"/>
      <c r="B214" s="274"/>
      <c r="C214" s="274"/>
      <c r="D214" s="274"/>
    </row>
    <row r="215" spans="1:4" ht="12.75">
      <c r="A215" s="274"/>
      <c r="B215" s="274"/>
      <c r="C215" s="274"/>
      <c r="D215" s="274"/>
    </row>
    <row r="216" spans="1:4" ht="12.75">
      <c r="A216" s="274"/>
      <c r="B216" s="274"/>
      <c r="C216" s="274"/>
      <c r="D216" s="274"/>
    </row>
    <row r="217" spans="1:4" ht="12.75">
      <c r="A217" s="274"/>
      <c r="B217" s="274"/>
      <c r="C217" s="274"/>
      <c r="D217" s="274"/>
    </row>
    <row r="218" spans="1:4" ht="12.75">
      <c r="A218" s="274"/>
      <c r="B218" s="274"/>
      <c r="C218" s="274"/>
      <c r="D218" s="274"/>
    </row>
    <row r="219" spans="1:4" ht="12.75">
      <c r="A219" s="274"/>
      <c r="B219" s="274"/>
      <c r="C219" s="274"/>
      <c r="D219" s="274"/>
    </row>
    <row r="220" spans="1:4" ht="12.75">
      <c r="A220" s="274"/>
      <c r="B220" s="274"/>
      <c r="C220" s="274"/>
      <c r="D220" s="274"/>
    </row>
    <row r="221" spans="1:4" ht="12.75">
      <c r="A221" s="274"/>
      <c r="B221" s="274"/>
      <c r="C221" s="274"/>
      <c r="D221" s="274"/>
    </row>
    <row r="222" spans="1:4" ht="12.75">
      <c r="A222" s="274"/>
      <c r="B222" s="274"/>
      <c r="C222" s="274"/>
      <c r="D222" s="274"/>
    </row>
    <row r="223" spans="1:4" ht="12.75">
      <c r="A223" s="274"/>
      <c r="B223" s="274"/>
      <c r="C223" s="274"/>
      <c r="D223" s="274"/>
    </row>
    <row r="224" spans="1:4" ht="12.75">
      <c r="A224" s="274"/>
      <c r="B224" s="274"/>
      <c r="C224" s="274"/>
      <c r="D224" s="274"/>
    </row>
    <row r="225" spans="1:4" ht="12.75">
      <c r="A225" s="274"/>
      <c r="B225" s="274"/>
      <c r="C225" s="274"/>
      <c r="D225" s="274"/>
    </row>
    <row r="226" spans="1:4" ht="12.75">
      <c r="A226" s="274"/>
      <c r="B226" s="274"/>
      <c r="C226" s="274"/>
      <c r="D226" s="274"/>
    </row>
    <row r="227" spans="1:4" ht="12.75">
      <c r="A227" s="274"/>
      <c r="B227" s="274"/>
      <c r="C227" s="274"/>
      <c r="D227" s="274"/>
    </row>
    <row r="228" spans="1:4" ht="12.75">
      <c r="A228" s="274"/>
      <c r="B228" s="274"/>
      <c r="C228" s="274"/>
      <c r="D228" s="274"/>
    </row>
    <row r="229" spans="1:4" ht="12.75">
      <c r="A229" s="274"/>
      <c r="B229" s="274"/>
      <c r="C229" s="274"/>
      <c r="D229" s="274"/>
    </row>
    <row r="230" spans="1:4" ht="12.75">
      <c r="A230" s="274"/>
      <c r="B230" s="274"/>
      <c r="C230" s="274"/>
      <c r="D230" s="274"/>
    </row>
    <row r="231" spans="1:4" ht="12.75">
      <c r="A231" s="274"/>
      <c r="B231" s="274"/>
      <c r="C231" s="274"/>
      <c r="D231" s="274"/>
    </row>
    <row r="232" spans="1:4" ht="12.75">
      <c r="A232" s="274"/>
      <c r="B232" s="274"/>
      <c r="C232" s="274"/>
      <c r="D232" s="274"/>
    </row>
    <row r="233" spans="1:4" ht="12.75">
      <c r="A233" s="274"/>
      <c r="B233" s="274"/>
      <c r="C233" s="274"/>
      <c r="D233" s="274"/>
    </row>
    <row r="234" spans="1:4" ht="12.75">
      <c r="A234" s="274"/>
      <c r="B234" s="274"/>
      <c r="C234" s="274"/>
      <c r="D234" s="274"/>
    </row>
    <row r="235" spans="1:4" ht="12.75">
      <c r="A235" s="274"/>
      <c r="B235" s="274"/>
      <c r="C235" s="274"/>
      <c r="D235" s="274"/>
    </row>
    <row r="236" spans="1:4" ht="12.75">
      <c r="A236" s="274"/>
      <c r="B236" s="274"/>
      <c r="C236" s="274"/>
      <c r="D236" s="274"/>
    </row>
    <row r="237" spans="1:4" ht="12.75">
      <c r="A237" s="274"/>
      <c r="B237" s="274"/>
      <c r="C237" s="274"/>
      <c r="D237" s="274"/>
    </row>
    <row r="238" spans="1:4" ht="12.75">
      <c r="A238" s="274"/>
      <c r="B238" s="274"/>
      <c r="C238" s="274"/>
      <c r="D238" s="274"/>
    </row>
    <row r="239" spans="1:4" ht="12.75">
      <c r="A239" s="274"/>
      <c r="B239" s="274"/>
      <c r="C239" s="274"/>
      <c r="D239" s="274"/>
    </row>
    <row r="240" spans="1:4" ht="12.75">
      <c r="A240" s="274"/>
      <c r="B240" s="274"/>
      <c r="C240" s="274"/>
      <c r="D240" s="274"/>
    </row>
    <row r="241" spans="1:4" ht="12.75">
      <c r="A241" s="274"/>
      <c r="B241" s="274"/>
      <c r="C241" s="274"/>
      <c r="D241" s="274"/>
    </row>
    <row r="242" spans="1:4" ht="12.75">
      <c r="A242" s="274"/>
      <c r="B242" s="274"/>
      <c r="C242" s="274"/>
      <c r="D242" s="274"/>
    </row>
    <row r="243" spans="1:4" ht="12.75">
      <c r="A243" s="274"/>
      <c r="B243" s="274"/>
      <c r="C243" s="274"/>
      <c r="D243" s="274"/>
    </row>
    <row r="244" spans="1:4" ht="12.75">
      <c r="A244" s="274"/>
      <c r="B244" s="274"/>
      <c r="C244" s="274"/>
      <c r="D244" s="274"/>
    </row>
    <row r="245" spans="1:4" ht="12.75">
      <c r="A245" s="274"/>
      <c r="B245" s="274"/>
      <c r="C245" s="274"/>
      <c r="D245" s="274"/>
    </row>
    <row r="246" spans="1:4" ht="12.75">
      <c r="A246" s="274"/>
      <c r="B246" s="274"/>
      <c r="C246" s="274"/>
      <c r="D246" s="274"/>
    </row>
    <row r="247" spans="1:4" ht="12.75">
      <c r="A247" s="274"/>
      <c r="B247" s="274"/>
      <c r="C247" s="274"/>
      <c r="D247" s="274"/>
    </row>
    <row r="248" spans="1:4" ht="12.75">
      <c r="A248" s="274"/>
      <c r="B248" s="274"/>
      <c r="C248" s="274"/>
      <c r="D248" s="274"/>
    </row>
    <row r="249" spans="1:4" ht="12.75">
      <c r="A249" s="274"/>
      <c r="B249" s="274"/>
      <c r="C249" s="274"/>
      <c r="D249" s="274"/>
    </row>
    <row r="250" spans="1:4" ht="12.75">
      <c r="A250" s="274"/>
      <c r="B250" s="274"/>
      <c r="C250" s="274"/>
      <c r="D250" s="274"/>
    </row>
    <row r="251" spans="1:4" ht="12.75">
      <c r="A251" s="274"/>
      <c r="B251" s="274"/>
      <c r="C251" s="274"/>
      <c r="D251" s="274"/>
    </row>
    <row r="252" spans="1:4" ht="12.75">
      <c r="A252" s="274"/>
      <c r="B252" s="274"/>
      <c r="C252" s="274"/>
      <c r="D252" s="274"/>
    </row>
    <row r="253" spans="1:4" ht="12.75">
      <c r="A253" s="274"/>
      <c r="B253" s="274"/>
      <c r="C253" s="274"/>
      <c r="D253" s="274"/>
    </row>
    <row r="254" spans="1:4" ht="12.75">
      <c r="A254" s="274"/>
      <c r="B254" s="274"/>
      <c r="C254" s="274"/>
      <c r="D254" s="274"/>
    </row>
    <row r="255" spans="1:4" ht="12.75">
      <c r="A255" s="274"/>
      <c r="B255" s="274"/>
      <c r="C255" s="274"/>
      <c r="D255" s="274"/>
    </row>
    <row r="256" spans="1:4" ht="12.75">
      <c r="A256" s="274"/>
      <c r="B256" s="274"/>
      <c r="C256" s="274"/>
      <c r="D256" s="274"/>
    </row>
    <row r="257" spans="1:4" ht="12.75">
      <c r="A257" s="274"/>
      <c r="B257" s="274"/>
      <c r="C257" s="274"/>
      <c r="D257" s="274"/>
    </row>
    <row r="258" spans="1:4" ht="12.75">
      <c r="A258" s="274"/>
      <c r="B258" s="274"/>
      <c r="C258" s="274"/>
      <c r="D258" s="274"/>
    </row>
    <row r="259" spans="1:4" ht="12.75">
      <c r="A259" s="274"/>
      <c r="B259" s="274"/>
      <c r="C259" s="274"/>
      <c r="D259" s="274"/>
    </row>
    <row r="260" spans="1:4" ht="12.75">
      <c r="A260" s="274"/>
      <c r="B260" s="274"/>
      <c r="C260" s="274"/>
      <c r="D260" s="274"/>
    </row>
    <row r="261" spans="1:4" ht="12.75">
      <c r="A261" s="274"/>
      <c r="B261" s="274"/>
      <c r="C261" s="274"/>
      <c r="D261" s="274"/>
    </row>
    <row r="262" spans="1:4" ht="12.75">
      <c r="A262" s="274"/>
      <c r="B262" s="274"/>
      <c r="C262" s="274"/>
      <c r="D262" s="274"/>
    </row>
    <row r="263" spans="1:4" ht="12.75">
      <c r="A263" s="274"/>
      <c r="B263" s="274"/>
      <c r="C263" s="274"/>
      <c r="D263" s="274"/>
    </row>
    <row r="264" spans="1:4" ht="12.75">
      <c r="A264" s="274"/>
      <c r="B264" s="274"/>
      <c r="C264" s="274"/>
      <c r="D264" s="274"/>
    </row>
    <row r="265" spans="1:4" ht="12.75">
      <c r="A265" s="274"/>
      <c r="B265" s="274"/>
      <c r="C265" s="274"/>
      <c r="D265" s="274"/>
    </row>
    <row r="266" spans="1:4" ht="12.75">
      <c r="A266" s="274"/>
      <c r="B266" s="274"/>
      <c r="C266" s="274"/>
      <c r="D266" s="274"/>
    </row>
    <row r="267" spans="1:4" ht="12.75">
      <c r="A267" s="274"/>
      <c r="B267" s="274"/>
      <c r="C267" s="274"/>
      <c r="D267" s="274"/>
    </row>
    <row r="268" spans="1:4" ht="12.75">
      <c r="A268" s="274"/>
      <c r="B268" s="274"/>
      <c r="C268" s="274"/>
      <c r="D268" s="274"/>
    </row>
    <row r="269" spans="1:4" ht="12.75">
      <c r="A269" s="274"/>
      <c r="B269" s="274"/>
      <c r="C269" s="274"/>
      <c r="D269" s="274"/>
    </row>
    <row r="270" spans="1:4" ht="12.75">
      <c r="A270" s="274"/>
      <c r="B270" s="274"/>
      <c r="C270" s="274"/>
      <c r="D270" s="274"/>
    </row>
    <row r="271" spans="1:4" ht="12.75">
      <c r="A271" s="274"/>
      <c r="B271" s="274"/>
      <c r="C271" s="274"/>
      <c r="D271" s="274"/>
    </row>
    <row r="272" spans="1:4" ht="12.75">
      <c r="A272" s="274"/>
      <c r="B272" s="274"/>
      <c r="C272" s="274"/>
      <c r="D272" s="274"/>
    </row>
    <row r="273" spans="1:4" ht="12.75">
      <c r="A273" s="274"/>
      <c r="B273" s="274"/>
      <c r="C273" s="274"/>
      <c r="D273" s="274"/>
    </row>
    <row r="274" spans="1:4" ht="12.75">
      <c r="A274" s="274"/>
      <c r="B274" s="274"/>
      <c r="C274" s="274"/>
      <c r="D274" s="274"/>
    </row>
    <row r="275" spans="1:4" ht="12.75">
      <c r="A275" s="274"/>
      <c r="B275" s="274"/>
      <c r="C275" s="274"/>
      <c r="D275" s="274"/>
    </row>
    <row r="276" spans="1:4" ht="12.75">
      <c r="A276" s="274"/>
      <c r="B276" s="274"/>
      <c r="C276" s="274"/>
      <c r="D276" s="274"/>
    </row>
    <row r="277" spans="1:4" ht="12.75">
      <c r="A277" s="274"/>
      <c r="B277" s="274"/>
      <c r="C277" s="274"/>
      <c r="D277" s="274"/>
    </row>
    <row r="278" spans="1:4" ht="12.75">
      <c r="A278" s="274"/>
      <c r="B278" s="274"/>
      <c r="C278" s="274"/>
      <c r="D278" s="274"/>
    </row>
    <row r="279" spans="1:4" ht="12.75">
      <c r="A279" s="274"/>
      <c r="B279" s="274"/>
      <c r="C279" s="274"/>
      <c r="D279" s="274"/>
    </row>
    <row r="280" spans="1:4" ht="12.75">
      <c r="A280" s="274"/>
      <c r="B280" s="274"/>
      <c r="C280" s="274"/>
      <c r="D280" s="274"/>
    </row>
    <row r="281" spans="1:4" ht="12.75">
      <c r="A281" s="274"/>
      <c r="B281" s="274"/>
      <c r="C281" s="274"/>
      <c r="D281" s="274"/>
    </row>
    <row r="282" spans="1:4" ht="12.75">
      <c r="A282" s="274"/>
      <c r="B282" s="274"/>
      <c r="C282" s="274"/>
      <c r="D282" s="274"/>
    </row>
    <row r="283" spans="1:4" ht="12.75">
      <c r="A283" s="274"/>
      <c r="B283" s="274"/>
      <c r="C283" s="274"/>
      <c r="D283" s="274"/>
    </row>
    <row r="284" spans="1:4" ht="12.75">
      <c r="A284" s="274"/>
      <c r="B284" s="274"/>
      <c r="C284" s="274"/>
      <c r="D284" s="274"/>
    </row>
    <row r="285" spans="1:4" ht="12.75">
      <c r="A285" s="274"/>
      <c r="B285" s="274"/>
      <c r="C285" s="274"/>
      <c r="D285" s="274"/>
    </row>
    <row r="286" spans="1:4" ht="12.75">
      <c r="A286" s="274"/>
      <c r="B286" s="274"/>
      <c r="C286" s="274"/>
      <c r="D286" s="274"/>
    </row>
    <row r="287" spans="1:4" ht="12.75">
      <c r="A287" s="274"/>
      <c r="B287" s="274"/>
      <c r="C287" s="274"/>
      <c r="D287" s="274"/>
    </row>
    <row r="288" spans="1:4" ht="12.75">
      <c r="A288" s="274"/>
      <c r="B288" s="274"/>
      <c r="C288" s="274"/>
      <c r="D288" s="274"/>
    </row>
    <row r="289" spans="1:4" ht="12.75">
      <c r="A289" s="274"/>
      <c r="B289" s="274"/>
      <c r="C289" s="274"/>
      <c r="D289" s="274"/>
    </row>
    <row r="290" spans="1:4" ht="12.75">
      <c r="A290" s="274"/>
      <c r="B290" s="274"/>
      <c r="C290" s="274"/>
      <c r="D290" s="274"/>
    </row>
    <row r="291" spans="1:4" ht="12.75">
      <c r="A291" s="274"/>
      <c r="B291" s="274"/>
      <c r="C291" s="274"/>
      <c r="D291" s="274"/>
    </row>
    <row r="292" spans="1:4" ht="12.75">
      <c r="A292" s="274"/>
      <c r="B292" s="274"/>
      <c r="C292" s="274"/>
      <c r="D292" s="274"/>
    </row>
    <row r="293" spans="1:4" ht="12.75">
      <c r="A293" s="274"/>
      <c r="B293" s="274"/>
      <c r="C293" s="274"/>
      <c r="D293" s="274"/>
    </row>
    <row r="294" spans="1:4" ht="12.75">
      <c r="A294" s="274"/>
      <c r="B294" s="274"/>
      <c r="C294" s="274"/>
      <c r="D294" s="274"/>
    </row>
    <row r="295" spans="1:4" ht="12.75">
      <c r="A295" s="274"/>
      <c r="B295" s="274"/>
      <c r="C295" s="274"/>
      <c r="D295" s="274"/>
    </row>
    <row r="296" spans="1:4" ht="12.75">
      <c r="A296" s="274"/>
      <c r="B296" s="274"/>
      <c r="C296" s="274"/>
      <c r="D296" s="274"/>
    </row>
    <row r="297" spans="1:4" ht="12.75">
      <c r="A297" s="274"/>
      <c r="B297" s="274"/>
      <c r="C297" s="274"/>
      <c r="D297" s="274"/>
    </row>
    <row r="298" spans="1:4" ht="12.75">
      <c r="A298" s="274"/>
      <c r="B298" s="274"/>
      <c r="C298" s="274"/>
      <c r="D298" s="274"/>
    </row>
    <row r="299" spans="1:4" ht="12.75">
      <c r="A299" s="274"/>
      <c r="B299" s="274"/>
      <c r="C299" s="274"/>
      <c r="D299" s="274"/>
    </row>
    <row r="300" spans="1:4" ht="12.75">
      <c r="A300" s="274"/>
      <c r="B300" s="274"/>
      <c r="C300" s="274"/>
      <c r="D300" s="274"/>
    </row>
    <row r="301" spans="1:4" ht="12.75">
      <c r="A301" s="274"/>
      <c r="B301" s="274"/>
      <c r="C301" s="274"/>
      <c r="D301" s="274"/>
    </row>
    <row r="302" spans="1:4" ht="12.75">
      <c r="A302" s="274"/>
      <c r="B302" s="274"/>
      <c r="C302" s="274"/>
      <c r="D302" s="274"/>
    </row>
    <row r="303" spans="1:4" ht="12.75">
      <c r="A303" s="274"/>
      <c r="B303" s="274"/>
      <c r="C303" s="274"/>
      <c r="D303" s="274"/>
    </row>
    <row r="304" spans="1:4" ht="12.75">
      <c r="A304" s="274"/>
      <c r="B304" s="274"/>
      <c r="C304" s="274"/>
      <c r="D304" s="274"/>
    </row>
    <row r="305" spans="1:4" ht="12.75">
      <c r="A305" s="274"/>
      <c r="B305" s="274"/>
      <c r="C305" s="274"/>
      <c r="D305" s="274"/>
    </row>
    <row r="306" spans="1:4" ht="12.75">
      <c r="A306" s="274"/>
      <c r="B306" s="274"/>
      <c r="C306" s="274"/>
      <c r="D306" s="274"/>
    </row>
    <row r="307" spans="1:4" ht="12.75">
      <c r="A307" s="274"/>
      <c r="B307" s="274"/>
      <c r="C307" s="274"/>
      <c r="D307" s="274"/>
    </row>
    <row r="308" spans="1:4" ht="12.75">
      <c r="A308" s="274"/>
      <c r="B308" s="274"/>
      <c r="C308" s="274"/>
      <c r="D308" s="274"/>
    </row>
    <row r="309" spans="1:4" ht="12.75">
      <c r="A309" s="274"/>
      <c r="B309" s="274"/>
      <c r="C309" s="274"/>
      <c r="D309" s="274"/>
    </row>
    <row r="310" spans="1:4" ht="12.75">
      <c r="A310" s="274"/>
      <c r="B310" s="274"/>
      <c r="C310" s="274"/>
      <c r="D310" s="274"/>
    </row>
    <row r="311" spans="1:4" ht="12.75">
      <c r="A311" s="274"/>
      <c r="B311" s="274"/>
      <c r="C311" s="274"/>
      <c r="D311" s="274"/>
    </row>
    <row r="312" spans="1:4" ht="12.75">
      <c r="A312" s="274"/>
      <c r="B312" s="274"/>
      <c r="C312" s="274"/>
      <c r="D312" s="274"/>
    </row>
    <row r="313" spans="1:4" ht="12.75">
      <c r="A313" s="274"/>
      <c r="B313" s="274"/>
      <c r="C313" s="274"/>
      <c r="D313" s="274"/>
    </row>
    <row r="314" spans="1:4" ht="12.75">
      <c r="A314" s="274"/>
      <c r="B314" s="274"/>
      <c r="C314" s="274"/>
      <c r="D314" s="274"/>
    </row>
    <row r="315" spans="1:4" ht="12.75">
      <c r="A315" s="274"/>
      <c r="B315" s="274"/>
      <c r="C315" s="274"/>
      <c r="D315" s="274"/>
    </row>
    <row r="316" spans="1:4" ht="12.75">
      <c r="A316" s="274"/>
      <c r="B316" s="274"/>
      <c r="C316" s="274"/>
      <c r="D316" s="274"/>
    </row>
    <row r="317" spans="1:4" ht="12.75">
      <c r="A317" s="274"/>
      <c r="B317" s="274"/>
      <c r="C317" s="274"/>
      <c r="D317" s="274"/>
    </row>
    <row r="318" spans="1:4" ht="12.75">
      <c r="A318" s="274"/>
      <c r="B318" s="274"/>
      <c r="C318" s="274"/>
      <c r="D318" s="274"/>
    </row>
    <row r="319" spans="1:4" ht="12.75">
      <c r="A319" s="274"/>
      <c r="B319" s="274"/>
      <c r="C319" s="274"/>
      <c r="D319" s="274"/>
    </row>
    <row r="320" spans="1:4" ht="12.75">
      <c r="A320" s="274"/>
      <c r="B320" s="274"/>
      <c r="C320" s="274"/>
      <c r="D320" s="274"/>
    </row>
    <row r="321" spans="1:4" ht="12.75">
      <c r="A321" s="274"/>
      <c r="B321" s="274"/>
      <c r="C321" s="274"/>
      <c r="D321" s="274"/>
    </row>
    <row r="322" spans="1:4" ht="12.75">
      <c r="A322" s="274"/>
      <c r="B322" s="274"/>
      <c r="C322" s="274"/>
      <c r="D322" s="274"/>
    </row>
    <row r="323" spans="1:4" ht="12.75">
      <c r="A323" s="274"/>
      <c r="B323" s="274"/>
      <c r="C323" s="274"/>
      <c r="D323" s="274"/>
    </row>
    <row r="324" spans="1:4" ht="12.75">
      <c r="A324" s="274"/>
      <c r="B324" s="274"/>
      <c r="C324" s="274"/>
      <c r="D324" s="274"/>
    </row>
    <row r="325" spans="1:4" ht="12.75">
      <c r="A325" s="274"/>
      <c r="B325" s="274"/>
      <c r="C325" s="274"/>
      <c r="D325" s="274"/>
    </row>
    <row r="326" spans="1:4" ht="12.75">
      <c r="A326" s="274"/>
      <c r="B326" s="274"/>
      <c r="C326" s="274"/>
      <c r="D326" s="274"/>
    </row>
    <row r="327" spans="1:4" ht="12.75">
      <c r="A327" s="274"/>
      <c r="B327" s="274"/>
      <c r="C327" s="274"/>
      <c r="D327" s="274"/>
    </row>
    <row r="328" spans="1:4" ht="12.75">
      <c r="A328" s="274"/>
      <c r="B328" s="274"/>
      <c r="C328" s="274"/>
      <c r="D328" s="274"/>
    </row>
    <row r="329" spans="1:4" ht="12.75">
      <c r="A329" s="274"/>
      <c r="B329" s="274"/>
      <c r="C329" s="274"/>
      <c r="D329" s="274"/>
    </row>
    <row r="330" spans="1:4" ht="12.75">
      <c r="A330" s="274"/>
      <c r="B330" s="274"/>
      <c r="C330" s="274"/>
      <c r="D330" s="274"/>
    </row>
    <row r="331" spans="1:4" ht="12.75">
      <c r="A331" s="274"/>
      <c r="B331" s="274"/>
      <c r="C331" s="274"/>
      <c r="D331" s="274"/>
    </row>
    <row r="332" spans="1:4" ht="12.75">
      <c r="A332" s="274"/>
      <c r="B332" s="274"/>
      <c r="C332" s="274"/>
      <c r="D332" s="274"/>
    </row>
    <row r="333" spans="1:4" ht="12.75">
      <c r="A333" s="274"/>
      <c r="B333" s="274"/>
      <c r="C333" s="274"/>
      <c r="D333" s="274"/>
    </row>
    <row r="334" spans="1:4" ht="12.75">
      <c r="A334" s="274"/>
      <c r="B334" s="274"/>
      <c r="C334" s="274"/>
      <c r="D334" s="274"/>
    </row>
    <row r="335" spans="1:4" ht="12.75">
      <c r="A335" s="274"/>
      <c r="B335" s="274"/>
      <c r="C335" s="274"/>
      <c r="D335" s="274"/>
    </row>
    <row r="336" spans="1:4" ht="12.75">
      <c r="A336" s="274"/>
      <c r="B336" s="274"/>
      <c r="C336" s="274"/>
      <c r="D336" s="274"/>
    </row>
    <row r="337" spans="1:4" ht="12.75">
      <c r="A337" s="274"/>
      <c r="B337" s="274"/>
      <c r="C337" s="274"/>
      <c r="D337" s="274"/>
    </row>
    <row r="338" spans="1:4" ht="12.75">
      <c r="A338" s="274"/>
      <c r="B338" s="274"/>
      <c r="C338" s="274"/>
      <c r="D338" s="274"/>
    </row>
    <row r="339" spans="1:4" ht="12.75">
      <c r="A339" s="274"/>
      <c r="B339" s="274"/>
      <c r="C339" s="274"/>
      <c r="D339" s="274"/>
    </row>
    <row r="340" spans="1:4" ht="12.75">
      <c r="A340" s="274"/>
      <c r="B340" s="274"/>
      <c r="C340" s="274"/>
      <c r="D340" s="274"/>
    </row>
    <row r="341" spans="1:4" ht="12.75">
      <c r="A341" s="274"/>
      <c r="B341" s="274"/>
      <c r="C341" s="274"/>
      <c r="D341" s="274"/>
    </row>
    <row r="342" spans="1:4" ht="12.75">
      <c r="A342" s="274"/>
      <c r="B342" s="274"/>
      <c r="C342" s="274"/>
      <c r="D342" s="274"/>
    </row>
    <row r="343" spans="1:4" ht="12.75">
      <c r="A343" s="274"/>
      <c r="B343" s="274"/>
      <c r="C343" s="274"/>
      <c r="D343" s="274"/>
    </row>
    <row r="344" spans="1:4" ht="12.75">
      <c r="A344" s="274"/>
      <c r="B344" s="274"/>
      <c r="C344" s="274"/>
      <c r="D344" s="274"/>
    </row>
    <row r="345" spans="1:4" ht="12.75">
      <c r="A345" s="274"/>
      <c r="B345" s="274"/>
      <c r="C345" s="274"/>
      <c r="D345" s="274"/>
    </row>
    <row r="346" spans="1:4" ht="12.75">
      <c r="A346" s="274"/>
      <c r="B346" s="274"/>
      <c r="C346" s="274"/>
      <c r="D346" s="274"/>
    </row>
    <row r="347" spans="1:4" ht="12.75">
      <c r="A347" s="274"/>
      <c r="B347" s="274"/>
      <c r="C347" s="274"/>
      <c r="D347" s="274"/>
    </row>
    <row r="348" spans="1:4" ht="12.75">
      <c r="A348" s="274"/>
      <c r="B348" s="274"/>
      <c r="C348" s="274"/>
      <c r="D348" s="274"/>
    </row>
    <row r="349" spans="1:4" ht="12.75">
      <c r="A349" s="274"/>
      <c r="B349" s="274"/>
      <c r="C349" s="274"/>
      <c r="D349" s="274"/>
    </row>
    <row r="350" spans="1:4" ht="12.75">
      <c r="A350" s="274"/>
      <c r="B350" s="274"/>
      <c r="C350" s="274"/>
      <c r="D350" s="274"/>
    </row>
    <row r="351" spans="1:4" ht="12.75">
      <c r="A351" s="274"/>
      <c r="B351" s="274"/>
      <c r="C351" s="274"/>
      <c r="D351" s="274"/>
    </row>
    <row r="352" spans="1:4" ht="12.75">
      <c r="A352" s="274"/>
      <c r="B352" s="274"/>
      <c r="C352" s="274"/>
      <c r="D352" s="274"/>
    </row>
    <row r="353" spans="1:4" ht="12.75">
      <c r="A353" s="274"/>
      <c r="B353" s="274"/>
      <c r="C353" s="274"/>
      <c r="D353" s="274"/>
    </row>
    <row r="354" spans="1:4" ht="12.75">
      <c r="A354" s="274"/>
      <c r="B354" s="274"/>
      <c r="C354" s="274"/>
      <c r="D354" s="274"/>
    </row>
    <row r="355" spans="1:4" ht="12.75">
      <c r="A355" s="274"/>
      <c r="B355" s="274"/>
      <c r="C355" s="274"/>
      <c r="D355" s="274"/>
    </row>
    <row r="356" spans="1:4" ht="12.75">
      <c r="A356" s="274"/>
      <c r="B356" s="274"/>
      <c r="C356" s="274"/>
      <c r="D356" s="274"/>
    </row>
    <row r="357" spans="1:4" ht="12.75">
      <c r="A357" s="274"/>
      <c r="B357" s="274"/>
      <c r="C357" s="274"/>
      <c r="D357" s="274"/>
    </row>
    <row r="358" spans="1:4" ht="12.75">
      <c r="A358" s="274"/>
      <c r="B358" s="274"/>
      <c r="C358" s="274"/>
      <c r="D358" s="274"/>
    </row>
    <row r="359" spans="1:4" ht="12.75">
      <c r="A359" s="274"/>
      <c r="B359" s="274"/>
      <c r="C359" s="274"/>
      <c r="D359" s="274"/>
    </row>
    <row r="360" spans="1:4" ht="12.75">
      <c r="A360" s="274"/>
      <c r="B360" s="274"/>
      <c r="C360" s="274"/>
      <c r="D360" s="274"/>
    </row>
    <row r="361" spans="1:4" ht="12.75">
      <c r="A361" s="274"/>
      <c r="B361" s="274"/>
      <c r="C361" s="274"/>
      <c r="D361" s="274"/>
    </row>
    <row r="362" spans="1:4" ht="12.75">
      <c r="A362" s="274"/>
      <c r="B362" s="274"/>
      <c r="C362" s="274"/>
      <c r="D362" s="274"/>
    </row>
    <row r="363" spans="1:4" ht="12.75">
      <c r="A363" s="274"/>
      <c r="B363" s="274"/>
      <c r="C363" s="274"/>
      <c r="D363" s="274"/>
    </row>
    <row r="364" spans="1:4" ht="12.75">
      <c r="A364" s="274"/>
      <c r="B364" s="274"/>
      <c r="C364" s="274"/>
      <c r="D364" s="274"/>
    </row>
    <row r="365" spans="1:4" ht="12.75">
      <c r="A365" s="274"/>
      <c r="B365" s="274"/>
      <c r="C365" s="274"/>
      <c r="D365" s="274"/>
    </row>
    <row r="366" spans="1:4" ht="12.75">
      <c r="A366" s="274"/>
      <c r="B366" s="274"/>
      <c r="C366" s="274"/>
      <c r="D366" s="274"/>
    </row>
    <row r="367" spans="1:4" ht="12.75">
      <c r="A367" s="274"/>
      <c r="B367" s="274"/>
      <c r="C367" s="274"/>
      <c r="D367" s="274"/>
    </row>
    <row r="368" spans="1:4" ht="12.75">
      <c r="A368" s="274"/>
      <c r="B368" s="274"/>
      <c r="C368" s="274"/>
      <c r="D368" s="274"/>
    </row>
    <row r="369" spans="1:4" ht="12.75">
      <c r="A369" s="274"/>
      <c r="B369" s="274"/>
      <c r="C369" s="274"/>
      <c r="D369" s="274"/>
    </row>
    <row r="370" spans="1:4" ht="12.75">
      <c r="A370" s="274"/>
      <c r="B370" s="274"/>
      <c r="C370" s="274"/>
      <c r="D370" s="274"/>
    </row>
    <row r="371" spans="1:4" ht="12.75">
      <c r="A371" s="274"/>
      <c r="B371" s="274"/>
      <c r="C371" s="274"/>
      <c r="D371" s="274"/>
    </row>
    <row r="372" spans="1:4" ht="12.75">
      <c r="A372" s="274"/>
      <c r="B372" s="274"/>
      <c r="C372" s="274"/>
      <c r="D372" s="274"/>
    </row>
    <row r="373" spans="1:4" ht="12.75">
      <c r="A373" s="274"/>
      <c r="B373" s="274"/>
      <c r="C373" s="274"/>
      <c r="D373" s="274"/>
    </row>
    <row r="374" spans="1:4" ht="12.75">
      <c r="A374" s="274"/>
      <c r="B374" s="274"/>
      <c r="C374" s="274"/>
      <c r="D374" s="274"/>
    </row>
    <row r="375" spans="1:4" ht="12.75">
      <c r="A375" s="274"/>
      <c r="B375" s="274"/>
      <c r="C375" s="274"/>
      <c r="D375" s="274"/>
    </row>
    <row r="376" spans="1:4" ht="12.75">
      <c r="A376" s="274"/>
      <c r="B376" s="274"/>
      <c r="C376" s="274"/>
      <c r="D376" s="274"/>
    </row>
    <row r="377" spans="1:4" ht="12.75">
      <c r="A377" s="274"/>
      <c r="B377" s="274"/>
      <c r="C377" s="274"/>
      <c r="D377" s="274"/>
    </row>
    <row r="378" spans="1:4" ht="12.75">
      <c r="A378" s="274"/>
      <c r="B378" s="274"/>
      <c r="C378" s="274"/>
      <c r="D378" s="274"/>
    </row>
    <row r="379" spans="1:4" ht="12.75">
      <c r="A379" s="274"/>
      <c r="B379" s="274"/>
      <c r="C379" s="274"/>
      <c r="D379" s="274"/>
    </row>
    <row r="380" spans="1:4" ht="12.75">
      <c r="A380" s="274"/>
      <c r="B380" s="274"/>
      <c r="C380" s="274"/>
      <c r="D380" s="274"/>
    </row>
    <row r="381" spans="1:4" ht="12.75">
      <c r="A381" s="274"/>
      <c r="B381" s="274"/>
      <c r="C381" s="274"/>
      <c r="D381" s="274"/>
    </row>
    <row r="382" spans="1:4" ht="12.75">
      <c r="A382" s="274"/>
      <c r="B382" s="274"/>
      <c r="C382" s="274"/>
      <c r="D382" s="274"/>
    </row>
    <row r="383" spans="1:4" ht="12.75">
      <c r="A383" s="274"/>
      <c r="B383" s="274"/>
      <c r="C383" s="274"/>
      <c r="D383" s="274"/>
    </row>
    <row r="384" spans="1:4" ht="12.75">
      <c r="A384" s="274"/>
      <c r="B384" s="274"/>
      <c r="C384" s="274"/>
      <c r="D384" s="274"/>
    </row>
    <row r="385" spans="1:4" ht="12.75">
      <c r="A385" s="274"/>
      <c r="B385" s="274"/>
      <c r="C385" s="274"/>
      <c r="D385" s="274"/>
    </row>
    <row r="386" spans="1:4" ht="12.75">
      <c r="A386" s="274"/>
      <c r="B386" s="274"/>
      <c r="C386" s="274"/>
      <c r="D386" s="274"/>
    </row>
    <row r="387" spans="1:4" ht="12.75">
      <c r="A387" s="274"/>
      <c r="B387" s="274"/>
      <c r="C387" s="274"/>
      <c r="D387" s="274"/>
    </row>
    <row r="388" spans="1:4" ht="12.75">
      <c r="A388" s="274"/>
      <c r="B388" s="274"/>
      <c r="C388" s="274"/>
      <c r="D388" s="274"/>
    </row>
    <row r="389" spans="1:4" ht="12.75">
      <c r="A389" s="274"/>
      <c r="B389" s="274"/>
      <c r="C389" s="274"/>
      <c r="D389" s="274"/>
    </row>
    <row r="390" spans="1:4" ht="12.75">
      <c r="A390" s="274"/>
      <c r="B390" s="274"/>
      <c r="C390" s="274"/>
      <c r="D390" s="274"/>
    </row>
    <row r="391" spans="1:4" ht="12.75">
      <c r="A391" s="274"/>
      <c r="B391" s="274"/>
      <c r="C391" s="274"/>
      <c r="D391" s="274"/>
    </row>
    <row r="392" spans="1:4" ht="12.75">
      <c r="A392" s="274"/>
      <c r="B392" s="274"/>
      <c r="C392" s="274"/>
      <c r="D392" s="274"/>
    </row>
    <row r="393" spans="1:4" ht="12.75">
      <c r="A393" s="274"/>
      <c r="B393" s="274"/>
      <c r="C393" s="274"/>
      <c r="D393" s="274"/>
    </row>
    <row r="394" spans="1:4" ht="12.75">
      <c r="A394" s="274"/>
      <c r="B394" s="274"/>
      <c r="C394" s="274"/>
      <c r="D394" s="274"/>
    </row>
    <row r="395" spans="1:4" ht="12.75">
      <c r="A395" s="274"/>
      <c r="B395" s="274"/>
      <c r="C395" s="274"/>
      <c r="D395" s="274"/>
    </row>
    <row r="396" spans="1:4" ht="12.75">
      <c r="A396" s="274"/>
      <c r="B396" s="274"/>
      <c r="C396" s="274"/>
      <c r="D396" s="274"/>
    </row>
    <row r="397" spans="1:4" ht="12.75">
      <c r="A397" s="274"/>
      <c r="B397" s="274"/>
      <c r="C397" s="274"/>
      <c r="D397" s="274"/>
    </row>
    <row r="398" spans="1:4" ht="12.75">
      <c r="A398" s="274"/>
      <c r="B398" s="274"/>
      <c r="C398" s="274"/>
      <c r="D398" s="274"/>
    </row>
    <row r="399" spans="1:4" ht="12.75">
      <c r="A399" s="274"/>
      <c r="B399" s="274"/>
      <c r="C399" s="274"/>
      <c r="D399" s="274"/>
    </row>
    <row r="400" spans="1:4" ht="12.75">
      <c r="A400" s="274"/>
      <c r="B400" s="274"/>
      <c r="C400" s="274"/>
      <c r="D400" s="274"/>
    </row>
    <row r="401" spans="1:4" ht="12.75">
      <c r="A401" s="274"/>
      <c r="B401" s="274"/>
      <c r="C401" s="274"/>
      <c r="D401" s="274"/>
    </row>
    <row r="402" spans="1:4" ht="12.75">
      <c r="A402" s="274"/>
      <c r="B402" s="274"/>
      <c r="C402" s="274"/>
      <c r="D402" s="274"/>
    </row>
    <row r="403" spans="1:4" ht="12.75">
      <c r="A403" s="274"/>
      <c r="B403" s="274"/>
      <c r="C403" s="274"/>
      <c r="D403" s="274"/>
    </row>
    <row r="404" spans="1:4" ht="12.75">
      <c r="A404" s="274"/>
      <c r="B404" s="274"/>
      <c r="C404" s="274"/>
      <c r="D404" s="274"/>
    </row>
    <row r="405" spans="1:4" ht="12.75">
      <c r="A405" s="274"/>
      <c r="B405" s="274"/>
      <c r="C405" s="274"/>
      <c r="D405" s="274"/>
    </row>
    <row r="406" spans="1:4" ht="12.75">
      <c r="A406" s="274"/>
      <c r="B406" s="274"/>
      <c r="C406" s="274"/>
      <c r="D406" s="274"/>
    </row>
    <row r="407" spans="1:4" ht="12.75">
      <c r="A407" s="274"/>
      <c r="B407" s="274"/>
      <c r="C407" s="274"/>
      <c r="D407" s="274"/>
    </row>
    <row r="408" spans="1:4" ht="12.75">
      <c r="A408" s="274"/>
      <c r="B408" s="274"/>
      <c r="C408" s="274"/>
      <c r="D408" s="274"/>
    </row>
    <row r="409" spans="1:4" ht="12.75">
      <c r="A409" s="274"/>
      <c r="B409" s="274"/>
      <c r="C409" s="274"/>
      <c r="D409" s="274"/>
    </row>
    <row r="410" spans="1:4" ht="12.75">
      <c r="A410" s="274"/>
      <c r="B410" s="274"/>
      <c r="C410" s="274"/>
      <c r="D410" s="274"/>
    </row>
    <row r="411" spans="1:4" ht="12.75">
      <c r="A411" s="274"/>
      <c r="B411" s="274"/>
      <c r="C411" s="274"/>
      <c r="D411" s="274"/>
    </row>
    <row r="412" spans="1:4" ht="12.75">
      <c r="A412" s="274"/>
      <c r="B412" s="274"/>
      <c r="C412" s="274"/>
      <c r="D412" s="274"/>
    </row>
    <row r="413" spans="1:4" ht="12.75">
      <c r="A413" s="274"/>
      <c r="B413" s="274"/>
      <c r="C413" s="274"/>
      <c r="D413" s="274"/>
    </row>
    <row r="414" spans="1:4" ht="12.75">
      <c r="A414" s="274"/>
      <c r="B414" s="274"/>
      <c r="C414" s="274"/>
      <c r="D414" s="274"/>
    </row>
    <row r="415" spans="1:4" ht="12.75">
      <c r="A415" s="274"/>
      <c r="B415" s="274"/>
      <c r="C415" s="274"/>
      <c r="D415" s="274"/>
    </row>
    <row r="416" spans="1:4" ht="12.75">
      <c r="A416" s="274"/>
      <c r="B416" s="274"/>
      <c r="C416" s="274"/>
      <c r="D416" s="274"/>
    </row>
    <row r="417" spans="1:4" ht="12.75">
      <c r="A417" s="274"/>
      <c r="B417" s="274"/>
      <c r="C417" s="274"/>
      <c r="D417" s="274"/>
    </row>
    <row r="418" spans="1:4" ht="12.75">
      <c r="A418" s="274"/>
      <c r="B418" s="274"/>
      <c r="C418" s="274"/>
      <c r="D418" s="274"/>
    </row>
    <row r="419" spans="1:4" ht="12.75">
      <c r="A419" s="274"/>
      <c r="B419" s="274"/>
      <c r="C419" s="274"/>
      <c r="D419" s="274"/>
    </row>
    <row r="420" spans="1:4" ht="12.75">
      <c r="A420" s="274"/>
      <c r="B420" s="274"/>
      <c r="C420" s="274"/>
      <c r="D420" s="274"/>
    </row>
    <row r="421" spans="1:4" ht="12.75">
      <c r="A421" s="274"/>
      <c r="B421" s="274"/>
      <c r="C421" s="274"/>
      <c r="D421" s="274"/>
    </row>
    <row r="422" spans="1:4" ht="12.75">
      <c r="A422" s="274"/>
      <c r="B422" s="274"/>
      <c r="C422" s="274"/>
      <c r="D422" s="274"/>
    </row>
    <row r="423" spans="1:4" ht="12.75">
      <c r="A423" s="274"/>
      <c r="B423" s="274"/>
      <c r="C423" s="274"/>
      <c r="D423" s="274"/>
    </row>
    <row r="424" spans="1:4" ht="12.75">
      <c r="A424" s="274"/>
      <c r="B424" s="274"/>
      <c r="C424" s="274"/>
      <c r="D424" s="274"/>
    </row>
    <row r="425" spans="1:4" ht="12.75">
      <c r="A425" s="274"/>
      <c r="B425" s="274"/>
      <c r="C425" s="274"/>
      <c r="D425" s="274"/>
    </row>
    <row r="426" spans="1:4" ht="12.75">
      <c r="A426" s="274"/>
      <c r="B426" s="274"/>
      <c r="C426" s="274"/>
      <c r="D426" s="274"/>
    </row>
    <row r="427" spans="1:4" ht="12.75">
      <c r="A427" s="274"/>
      <c r="B427" s="274"/>
      <c r="C427" s="274"/>
      <c r="D427" s="274"/>
    </row>
    <row r="428" spans="1:4" ht="12.75">
      <c r="A428" s="274"/>
      <c r="B428" s="274"/>
      <c r="C428" s="274"/>
      <c r="D428" s="274"/>
    </row>
    <row r="429" spans="1:4" ht="12.75">
      <c r="A429" s="274"/>
      <c r="B429" s="274"/>
      <c r="C429" s="274"/>
      <c r="D429" s="274"/>
    </row>
    <row r="430" spans="1:4" ht="12.75">
      <c r="A430" s="274"/>
      <c r="B430" s="274"/>
      <c r="C430" s="274"/>
      <c r="D430" s="274"/>
    </row>
    <row r="431" spans="1:4" ht="12.75">
      <c r="A431" s="274"/>
      <c r="B431" s="274"/>
      <c r="C431" s="274"/>
      <c r="D431" s="274"/>
    </row>
    <row r="432" spans="1:4" ht="12.75">
      <c r="A432" s="274"/>
      <c r="B432" s="274"/>
      <c r="C432" s="274"/>
      <c r="D432" s="274"/>
    </row>
    <row r="433" spans="1:4" ht="12.75">
      <c r="A433" s="274"/>
      <c r="B433" s="274"/>
      <c r="C433" s="274"/>
      <c r="D433" s="274"/>
    </row>
    <row r="434" spans="1:4" ht="12.75">
      <c r="A434" s="274"/>
      <c r="B434" s="274"/>
      <c r="C434" s="274"/>
      <c r="D434" s="274"/>
    </row>
    <row r="435" spans="1:4" ht="12.75">
      <c r="A435" s="274"/>
      <c r="B435" s="274"/>
      <c r="C435" s="274"/>
      <c r="D435" s="274"/>
    </row>
    <row r="436" spans="1:4" ht="12.75">
      <c r="A436" s="274"/>
      <c r="B436" s="274"/>
      <c r="C436" s="274"/>
      <c r="D436" s="274"/>
    </row>
    <row r="437" spans="1:4" ht="12.75">
      <c r="A437" s="274"/>
      <c r="B437" s="274"/>
      <c r="C437" s="274"/>
      <c r="D437" s="274"/>
    </row>
    <row r="438" spans="1:4" ht="12.75">
      <c r="A438" s="274"/>
      <c r="B438" s="274"/>
      <c r="C438" s="274"/>
      <c r="D438" s="274"/>
    </row>
    <row r="439" spans="1:4" ht="12.75">
      <c r="A439" s="274"/>
      <c r="B439" s="274"/>
      <c r="C439" s="274"/>
      <c r="D439" s="274"/>
    </row>
    <row r="440" spans="1:4" ht="12.75">
      <c r="A440" s="274"/>
      <c r="B440" s="274"/>
      <c r="C440" s="274"/>
      <c r="D440" s="274"/>
    </row>
    <row r="441" spans="1:4" ht="12.75">
      <c r="A441" s="274"/>
      <c r="B441" s="274"/>
      <c r="C441" s="274"/>
      <c r="D441" s="274"/>
    </row>
    <row r="442" spans="1:4" ht="12.75">
      <c r="A442" s="274"/>
      <c r="B442" s="274"/>
      <c r="C442" s="274"/>
      <c r="D442" s="274"/>
    </row>
    <row r="443" spans="1:4" ht="12.75">
      <c r="A443" s="274"/>
      <c r="B443" s="274"/>
      <c r="C443" s="274"/>
      <c r="D443" s="274"/>
    </row>
    <row r="444" spans="1:4" ht="12.75">
      <c r="A444" s="274"/>
      <c r="B444" s="274"/>
      <c r="C444" s="274"/>
      <c r="D444" s="274"/>
    </row>
    <row r="445" spans="1:4" ht="12.75">
      <c r="A445" s="274"/>
      <c r="B445" s="274"/>
      <c r="C445" s="274"/>
      <c r="D445" s="274"/>
    </row>
    <row r="446" spans="1:4" ht="12.75">
      <c r="A446" s="274"/>
      <c r="B446" s="274"/>
      <c r="C446" s="274"/>
      <c r="D446" s="274"/>
    </row>
    <row r="447" spans="1:4" ht="12.75">
      <c r="A447" s="274"/>
      <c r="B447" s="274"/>
      <c r="C447" s="274"/>
      <c r="D447" s="274"/>
    </row>
    <row r="448" spans="1:4" ht="12.75">
      <c r="A448" s="274"/>
      <c r="B448" s="274"/>
      <c r="C448" s="274"/>
      <c r="D448" s="274"/>
    </row>
    <row r="449" spans="1:4" ht="12.75">
      <c r="A449" s="274"/>
      <c r="B449" s="274"/>
      <c r="C449" s="274"/>
      <c r="D449" s="274"/>
    </row>
    <row r="450" spans="1:4" ht="12.75">
      <c r="A450" s="274"/>
      <c r="B450" s="274"/>
      <c r="C450" s="274"/>
      <c r="D450" s="274"/>
    </row>
    <row r="451" spans="1:4" ht="12.75">
      <c r="A451" s="274"/>
      <c r="B451" s="274"/>
      <c r="C451" s="274"/>
      <c r="D451" s="274"/>
    </row>
    <row r="452" spans="1:4" ht="12.75">
      <c r="A452" s="274"/>
      <c r="B452" s="274"/>
      <c r="C452" s="274"/>
      <c r="D452" s="274"/>
    </row>
    <row r="453" spans="1:4" ht="12.75">
      <c r="A453" s="274"/>
      <c r="B453" s="274"/>
      <c r="C453" s="274"/>
      <c r="D453" s="274"/>
    </row>
    <row r="454" spans="1:4" ht="12.75">
      <c r="A454" s="274"/>
      <c r="B454" s="274"/>
      <c r="C454" s="274"/>
      <c r="D454" s="274"/>
    </row>
    <row r="455" spans="1:4" ht="12.75">
      <c r="A455" s="274"/>
      <c r="B455" s="274"/>
      <c r="C455" s="274"/>
      <c r="D455" s="274"/>
    </row>
    <row r="456" spans="1:4" ht="12.75">
      <c r="A456" s="274"/>
      <c r="B456" s="274"/>
      <c r="C456" s="274"/>
      <c r="D456" s="274"/>
    </row>
    <row r="457" spans="1:4" ht="12.75">
      <c r="A457" s="274"/>
      <c r="B457" s="274"/>
      <c r="C457" s="274"/>
      <c r="D457" s="274"/>
    </row>
    <row r="458" spans="1:4" ht="12.75">
      <c r="A458" s="274"/>
      <c r="B458" s="274"/>
      <c r="C458" s="274"/>
      <c r="D458" s="274"/>
    </row>
    <row r="459" spans="1:4" ht="12.75">
      <c r="A459" s="274"/>
      <c r="B459" s="274"/>
      <c r="C459" s="274"/>
      <c r="D459" s="274"/>
    </row>
    <row r="460" spans="1:4" ht="12.75">
      <c r="A460" s="274"/>
      <c r="B460" s="274"/>
      <c r="C460" s="274"/>
      <c r="D460" s="274"/>
    </row>
    <row r="461" spans="1:4" ht="12.75">
      <c r="A461" s="274"/>
      <c r="B461" s="274"/>
      <c r="C461" s="274"/>
      <c r="D461" s="274"/>
    </row>
    <row r="462" spans="1:4" ht="12.75">
      <c r="A462" s="274"/>
      <c r="B462" s="274"/>
      <c r="C462" s="274"/>
      <c r="D462" s="274"/>
    </row>
    <row r="463" spans="1:4" ht="12.75">
      <c r="A463" s="274"/>
      <c r="B463" s="274"/>
      <c r="C463" s="274"/>
      <c r="D463" s="274"/>
    </row>
    <row r="464" spans="1:4" ht="12.75">
      <c r="A464" s="274"/>
      <c r="B464" s="274"/>
      <c r="C464" s="274"/>
      <c r="D464" s="274"/>
    </row>
    <row r="465" spans="1:4" ht="12.75">
      <c r="A465" s="274"/>
      <c r="B465" s="274"/>
      <c r="C465" s="274"/>
      <c r="D465" s="274"/>
    </row>
    <row r="466" spans="1:4" ht="12.75">
      <c r="A466" s="274"/>
      <c r="B466" s="274"/>
      <c r="C466" s="274"/>
      <c r="D466" s="274"/>
    </row>
    <row r="467" spans="1:4" ht="12.75">
      <c r="A467" s="274"/>
      <c r="B467" s="274"/>
      <c r="C467" s="274"/>
      <c r="D467" s="274"/>
    </row>
    <row r="468" spans="1:4" ht="12.75">
      <c r="A468" s="274"/>
      <c r="B468" s="274"/>
      <c r="C468" s="274"/>
      <c r="D468" s="274"/>
    </row>
    <row r="469" spans="1:4" ht="12.75">
      <c r="A469" s="274"/>
      <c r="B469" s="274"/>
      <c r="C469" s="274"/>
      <c r="D469" s="274"/>
    </row>
    <row r="470" spans="1:4" ht="12.75">
      <c r="A470" s="274"/>
      <c r="B470" s="274"/>
      <c r="C470" s="274"/>
      <c r="D470" s="274"/>
    </row>
    <row r="471" spans="1:4" ht="12.75">
      <c r="A471" s="274"/>
      <c r="B471" s="274"/>
      <c r="C471" s="274"/>
      <c r="D471" s="274"/>
    </row>
    <row r="472" spans="1:4" ht="12.75">
      <c r="A472" s="274"/>
      <c r="B472" s="274"/>
      <c r="C472" s="274"/>
      <c r="D472" s="274"/>
    </row>
    <row r="473" spans="1:4" ht="12.75">
      <c r="A473" s="274"/>
      <c r="B473" s="274"/>
      <c r="C473" s="274"/>
      <c r="D473" s="274"/>
    </row>
    <row r="474" spans="1:4" ht="12.75">
      <c r="A474" s="274"/>
      <c r="B474" s="274"/>
      <c r="C474" s="274"/>
      <c r="D474" s="274"/>
    </row>
    <row r="475" spans="1:4" ht="12.75">
      <c r="A475" s="274"/>
      <c r="B475" s="274"/>
      <c r="C475" s="274"/>
      <c r="D475" s="274"/>
    </row>
    <row r="476" spans="1:4" ht="12.75">
      <c r="A476" s="274"/>
      <c r="B476" s="274"/>
      <c r="C476" s="274"/>
      <c r="D476" s="274"/>
    </row>
    <row r="477" spans="1:4" ht="12.75">
      <c r="A477" s="274"/>
      <c r="B477" s="274"/>
      <c r="C477" s="274"/>
      <c r="D477" s="274"/>
    </row>
    <row r="478" spans="1:4" ht="12.75">
      <c r="A478" s="274"/>
      <c r="B478" s="274"/>
      <c r="C478" s="274"/>
      <c r="D478" s="274"/>
    </row>
    <row r="479" spans="1:4" ht="12.75">
      <c r="A479" s="274"/>
      <c r="B479" s="274"/>
      <c r="C479" s="274"/>
      <c r="D479" s="274"/>
    </row>
    <row r="480" spans="1:4" ht="12.75">
      <c r="A480" s="274"/>
      <c r="B480" s="274"/>
      <c r="C480" s="274"/>
      <c r="D480" s="274"/>
    </row>
    <row r="481" spans="1:4" ht="12.75">
      <c r="A481" s="274"/>
      <c r="B481" s="274"/>
      <c r="C481" s="274"/>
      <c r="D481" s="274"/>
    </row>
    <row r="482" spans="1:4" ht="12.75">
      <c r="A482" s="274"/>
      <c r="B482" s="274"/>
      <c r="C482" s="274"/>
      <c r="D482" s="274"/>
    </row>
    <row r="483" spans="1:4" ht="12.75">
      <c r="A483" s="274"/>
      <c r="B483" s="274"/>
      <c r="C483" s="274"/>
      <c r="D483" s="274"/>
    </row>
    <row r="484" spans="1:4" ht="12.75">
      <c r="A484" s="274"/>
      <c r="B484" s="274"/>
      <c r="C484" s="274"/>
      <c r="D484" s="274"/>
    </row>
    <row r="485" spans="1:4" ht="12.75">
      <c r="A485" s="274"/>
      <c r="B485" s="274"/>
      <c r="C485" s="274"/>
      <c r="D485" s="274"/>
    </row>
    <row r="486" spans="1:4" ht="12.75">
      <c r="A486" s="274"/>
      <c r="B486" s="274"/>
      <c r="C486" s="274"/>
      <c r="D486" s="274"/>
    </row>
    <row r="487" spans="1:4" ht="12.75">
      <c r="A487" s="274"/>
      <c r="B487" s="274"/>
      <c r="C487" s="274"/>
      <c r="D487" s="274"/>
    </row>
    <row r="488" spans="1:4" ht="12.75">
      <c r="A488" s="274"/>
      <c r="B488" s="274"/>
      <c r="C488" s="274"/>
      <c r="D488" s="274"/>
    </row>
    <row r="489" spans="1:4" ht="12.75">
      <c r="A489" s="274"/>
      <c r="B489" s="274"/>
      <c r="C489" s="274"/>
      <c r="D489" s="274"/>
    </row>
    <row r="490" spans="1:4" ht="12.75">
      <c r="A490" s="274"/>
      <c r="B490" s="274"/>
      <c r="C490" s="274"/>
      <c r="D490" s="274"/>
    </row>
    <row r="491" spans="1:4" ht="12.75">
      <c r="A491" s="274"/>
      <c r="B491" s="274"/>
      <c r="C491" s="274"/>
      <c r="D491" s="274"/>
    </row>
    <row r="492" spans="1:4" ht="12.75">
      <c r="A492" s="274"/>
      <c r="B492" s="274"/>
      <c r="C492" s="274"/>
      <c r="D492" s="274"/>
    </row>
    <row r="493" spans="1:4" ht="12.75">
      <c r="A493" s="274"/>
      <c r="B493" s="274"/>
      <c r="C493" s="274"/>
      <c r="D493" s="274"/>
    </row>
    <row r="494" spans="1:4" ht="12.75">
      <c r="A494" s="274"/>
      <c r="B494" s="274"/>
      <c r="C494" s="274"/>
      <c r="D494" s="274"/>
    </row>
    <row r="495" spans="1:4" ht="12.75">
      <c r="A495" s="274"/>
      <c r="B495" s="274"/>
      <c r="C495" s="274"/>
      <c r="D495" s="274"/>
    </row>
    <row r="496" spans="1:4" ht="12.75">
      <c r="A496" s="274"/>
      <c r="B496" s="274"/>
      <c r="C496" s="274"/>
      <c r="D496" s="274"/>
    </row>
    <row r="497" spans="1:4" ht="12.75">
      <c r="A497" s="274"/>
      <c r="B497" s="274"/>
      <c r="C497" s="274"/>
      <c r="D497" s="274"/>
    </row>
    <row r="498" spans="1:4" ht="12.75">
      <c r="A498" s="274"/>
      <c r="B498" s="274"/>
      <c r="C498" s="274"/>
      <c r="D498" s="274"/>
    </row>
    <row r="499" spans="1:4" ht="12.75">
      <c r="A499" s="274"/>
      <c r="B499" s="274"/>
      <c r="C499" s="274"/>
      <c r="D499" s="274"/>
    </row>
    <row r="500" spans="1:4" ht="12.75">
      <c r="A500" s="274"/>
      <c r="B500" s="274"/>
      <c r="C500" s="274"/>
      <c r="D500" s="274"/>
    </row>
    <row r="501" spans="1:4" ht="12.75">
      <c r="A501" s="274"/>
      <c r="B501" s="274"/>
      <c r="C501" s="274"/>
      <c r="D501" s="274"/>
    </row>
    <row r="502" spans="1:4" ht="12.75">
      <c r="A502" s="274"/>
      <c r="B502" s="274"/>
      <c r="C502" s="274"/>
      <c r="D502" s="274"/>
    </row>
    <row r="503" spans="1:4" ht="12.75">
      <c r="A503" s="274"/>
      <c r="B503" s="274"/>
      <c r="C503" s="274"/>
      <c r="D503" s="274"/>
    </row>
    <row r="504" spans="1:4" ht="12.75">
      <c r="A504" s="274"/>
      <c r="B504" s="274"/>
      <c r="C504" s="274"/>
      <c r="D504" s="274"/>
    </row>
    <row r="505" spans="1:4" ht="12.75">
      <c r="A505" s="274"/>
      <c r="B505" s="274"/>
      <c r="C505" s="274"/>
      <c r="D505" s="274"/>
    </row>
    <row r="506" spans="1:4" ht="12.75">
      <c r="A506" s="274"/>
      <c r="B506" s="274"/>
      <c r="C506" s="274"/>
      <c r="D506" s="274"/>
    </row>
    <row r="507" spans="1:4" ht="12.75">
      <c r="A507" s="274"/>
      <c r="B507" s="274"/>
      <c r="C507" s="274"/>
      <c r="D507" s="274"/>
    </row>
    <row r="508" spans="1:4" ht="12.75">
      <c r="A508" s="274"/>
      <c r="B508" s="274"/>
      <c r="C508" s="274"/>
      <c r="D508" s="274"/>
    </row>
    <row r="509" spans="1:4" ht="12.75">
      <c r="A509" s="274"/>
      <c r="B509" s="274"/>
      <c r="C509" s="274"/>
      <c r="D509" s="274"/>
    </row>
    <row r="510" spans="1:4" ht="12.75">
      <c r="A510" s="274"/>
      <c r="B510" s="274"/>
      <c r="C510" s="274"/>
      <c r="D510" s="274"/>
    </row>
    <row r="511" spans="1:4" ht="12.75">
      <c r="A511" s="274"/>
      <c r="B511" s="274"/>
      <c r="C511" s="274"/>
      <c r="D511" s="274"/>
    </row>
    <row r="512" spans="1:4" ht="12.75">
      <c r="A512" s="274"/>
      <c r="B512" s="274"/>
      <c r="C512" s="274"/>
      <c r="D512" s="274"/>
    </row>
    <row r="513" spans="1:4" ht="12.75">
      <c r="A513" s="274"/>
      <c r="B513" s="274"/>
      <c r="C513" s="274"/>
      <c r="D513" s="274"/>
    </row>
    <row r="514" spans="1:4" ht="12.75">
      <c r="A514" s="274"/>
      <c r="B514" s="274"/>
      <c r="C514" s="274"/>
      <c r="D514" s="274"/>
    </row>
    <row r="515" spans="1:4" ht="12.75">
      <c r="A515" s="274"/>
      <c r="B515" s="274"/>
      <c r="C515" s="274"/>
      <c r="D515" s="274"/>
    </row>
    <row r="516" spans="1:4" ht="12.75">
      <c r="A516" s="274"/>
      <c r="B516" s="274"/>
      <c r="C516" s="274"/>
      <c r="D516" s="274"/>
    </row>
    <row r="517" spans="1:4" ht="12.75">
      <c r="A517" s="274"/>
      <c r="B517" s="274"/>
      <c r="C517" s="274"/>
      <c r="D517" s="274"/>
    </row>
    <row r="518" spans="1:4" ht="12.75">
      <c r="A518" s="274"/>
      <c r="B518" s="274"/>
      <c r="C518" s="274"/>
      <c r="D518" s="274"/>
    </row>
    <row r="519" spans="1:4" ht="12.75">
      <c r="A519" s="274"/>
      <c r="B519" s="274"/>
      <c r="C519" s="274"/>
      <c r="D519" s="274"/>
    </row>
    <row r="520" spans="1:4" ht="12.75">
      <c r="A520" s="274"/>
      <c r="B520" s="274"/>
      <c r="C520" s="274"/>
      <c r="D520" s="274"/>
    </row>
    <row r="521" spans="1:4" ht="12.75">
      <c r="A521" s="274"/>
      <c r="B521" s="274"/>
      <c r="C521" s="274"/>
      <c r="D521" s="274"/>
    </row>
    <row r="522" spans="1:4" ht="12.75">
      <c r="A522" s="274"/>
      <c r="B522" s="274"/>
      <c r="C522" s="274"/>
      <c r="D522" s="274"/>
    </row>
    <row r="523" spans="1:4" ht="12.75">
      <c r="A523" s="274"/>
      <c r="B523" s="274"/>
      <c r="C523" s="274"/>
      <c r="D523" s="274"/>
    </row>
    <row r="524" spans="1:4" ht="12.75">
      <c r="A524" s="274"/>
      <c r="B524" s="274"/>
      <c r="C524" s="274"/>
      <c r="D524" s="274"/>
    </row>
    <row r="525" spans="1:4" ht="12.75">
      <c r="A525" s="274"/>
      <c r="B525" s="274"/>
      <c r="C525" s="274"/>
      <c r="D525" s="274"/>
    </row>
    <row r="526" spans="1:4" ht="12.75">
      <c r="A526" s="274"/>
      <c r="B526" s="274"/>
      <c r="C526" s="274"/>
      <c r="D526" s="274"/>
    </row>
    <row r="527" spans="1:4" ht="12.75">
      <c r="A527" s="274"/>
      <c r="B527" s="274"/>
      <c r="C527" s="274"/>
      <c r="D527" s="274"/>
    </row>
    <row r="528" spans="1:4" ht="12.75">
      <c r="A528" s="274"/>
      <c r="B528" s="274"/>
      <c r="C528" s="274"/>
      <c r="D528" s="274"/>
    </row>
    <row r="529" spans="1:4" ht="12.75">
      <c r="A529" s="274"/>
      <c r="B529" s="274"/>
      <c r="C529" s="274"/>
      <c r="D529" s="274"/>
    </row>
    <row r="530" spans="1:4" ht="12.75">
      <c r="A530" s="274"/>
      <c r="B530" s="274"/>
      <c r="C530" s="274"/>
      <c r="D530" s="274"/>
    </row>
    <row r="531" spans="1:4" ht="12.75">
      <c r="A531" s="274"/>
      <c r="B531" s="274"/>
      <c r="C531" s="274"/>
      <c r="D531" s="274"/>
    </row>
    <row r="532" spans="1:4" ht="12.75">
      <c r="A532" s="274"/>
      <c r="B532" s="274"/>
      <c r="C532" s="274"/>
      <c r="D532" s="274"/>
    </row>
    <row r="533" spans="1:4" ht="12.75">
      <c r="A533" s="274"/>
      <c r="B533" s="274"/>
      <c r="C533" s="274"/>
      <c r="D533" s="274"/>
    </row>
    <row r="534" spans="1:4" ht="12.75">
      <c r="A534" s="274"/>
      <c r="B534" s="274"/>
      <c r="C534" s="274"/>
      <c r="D534" s="274"/>
    </row>
    <row r="535" spans="1:4" ht="12.75">
      <c r="A535" s="274"/>
      <c r="B535" s="274"/>
      <c r="C535" s="274"/>
      <c r="D535" s="274"/>
    </row>
    <row r="536" spans="1:4" ht="12.75">
      <c r="A536" s="274"/>
      <c r="B536" s="274"/>
      <c r="C536" s="274"/>
      <c r="D536" s="274"/>
    </row>
    <row r="537" spans="1:4" ht="12.75">
      <c r="A537" s="274"/>
      <c r="B537" s="274"/>
      <c r="C537" s="274"/>
      <c r="D537" s="274"/>
    </row>
    <row r="538" spans="1:4" ht="12.75">
      <c r="A538" s="274"/>
      <c r="B538" s="274"/>
      <c r="C538" s="274"/>
      <c r="D538" s="274"/>
    </row>
    <row r="539" spans="1:4" ht="12.75">
      <c r="A539" s="274"/>
      <c r="B539" s="274"/>
      <c r="C539" s="274"/>
      <c r="D539" s="274"/>
    </row>
    <row r="540" spans="1:4" ht="12.75">
      <c r="A540" s="274"/>
      <c r="B540" s="274"/>
      <c r="C540" s="274"/>
      <c r="D540" s="274"/>
    </row>
    <row r="541" spans="1:4" ht="12.75">
      <c r="A541" s="274"/>
      <c r="B541" s="274"/>
      <c r="C541" s="274"/>
      <c r="D541" s="274"/>
    </row>
    <row r="542" spans="1:4" ht="12.75">
      <c r="A542" s="274"/>
      <c r="B542" s="274"/>
      <c r="C542" s="274"/>
      <c r="D542" s="274"/>
    </row>
    <row r="543" spans="1:4" ht="12.75">
      <c r="A543" s="274"/>
      <c r="B543" s="274"/>
      <c r="C543" s="274"/>
      <c r="D543" s="274"/>
    </row>
    <row r="544" spans="1:4" ht="12.75">
      <c r="A544" s="274"/>
      <c r="B544" s="274"/>
      <c r="C544" s="274"/>
      <c r="D544" s="274"/>
    </row>
    <row r="545" spans="1:4" ht="12.75">
      <c r="A545" s="274"/>
      <c r="B545" s="274"/>
      <c r="C545" s="274"/>
      <c r="D545" s="274"/>
    </row>
    <row r="546" spans="1:4" ht="12.75">
      <c r="A546" s="274"/>
      <c r="B546" s="274"/>
      <c r="C546" s="274"/>
      <c r="D546" s="274"/>
    </row>
    <row r="547" spans="1:4" ht="12.75">
      <c r="A547" s="274"/>
      <c r="B547" s="274"/>
      <c r="C547" s="274"/>
      <c r="D547" s="274"/>
    </row>
    <row r="548" spans="1:4" ht="12.75">
      <c r="A548" s="274"/>
      <c r="B548" s="274"/>
      <c r="C548" s="274"/>
      <c r="D548" s="274"/>
    </row>
    <row r="549" spans="1:4" ht="12.75">
      <c r="A549" s="274"/>
      <c r="B549" s="274"/>
      <c r="C549" s="274"/>
      <c r="D549" s="274"/>
    </row>
    <row r="550" spans="1:4" ht="12.75">
      <c r="A550" s="274"/>
      <c r="B550" s="274"/>
      <c r="C550" s="274"/>
      <c r="D550" s="274"/>
    </row>
    <row r="551" spans="1:4" ht="12.75">
      <c r="A551" s="274"/>
      <c r="B551" s="274"/>
      <c r="C551" s="274"/>
      <c r="D551" s="274"/>
    </row>
    <row r="552" spans="1:4" ht="12.75">
      <c r="A552" s="274"/>
      <c r="B552" s="274"/>
      <c r="C552" s="274"/>
      <c r="D552" s="274"/>
    </row>
    <row r="553" spans="1:4" ht="12.75">
      <c r="A553" s="274"/>
      <c r="B553" s="274"/>
      <c r="C553" s="274"/>
      <c r="D553" s="274"/>
    </row>
    <row r="554" spans="1:4" ht="12.75">
      <c r="A554" s="274"/>
      <c r="B554" s="274"/>
      <c r="C554" s="274"/>
      <c r="D554" s="274"/>
    </row>
    <row r="555" spans="1:4" ht="12.75">
      <c r="A555" s="274"/>
      <c r="B555" s="274"/>
      <c r="C555" s="274"/>
      <c r="D555" s="274"/>
    </row>
    <row r="556" spans="1:4" ht="12.75">
      <c r="A556" s="274"/>
      <c r="B556" s="274"/>
      <c r="C556" s="274"/>
      <c r="D556" s="274"/>
    </row>
    <row r="557" spans="1:4" ht="12.75">
      <c r="A557" s="274"/>
      <c r="B557" s="274"/>
      <c r="C557" s="274"/>
      <c r="D557" s="274"/>
    </row>
    <row r="558" spans="1:4" ht="12.75">
      <c r="A558" s="274"/>
      <c r="B558" s="274"/>
      <c r="C558" s="274"/>
      <c r="D558" s="274"/>
    </row>
    <row r="559" spans="1:4" ht="12.75">
      <c r="A559" s="274"/>
      <c r="B559" s="274"/>
      <c r="C559" s="274"/>
      <c r="D559" s="274"/>
    </row>
    <row r="560" spans="1:4" ht="12.75">
      <c r="A560" s="274"/>
      <c r="B560" s="274"/>
      <c r="C560" s="274"/>
      <c r="D560" s="274"/>
    </row>
    <row r="561" spans="1:4" ht="12.75">
      <c r="A561" s="274"/>
      <c r="B561" s="274"/>
      <c r="C561" s="274"/>
      <c r="D561" s="274"/>
    </row>
    <row r="562" spans="1:4" ht="12.75">
      <c r="A562" s="274"/>
      <c r="B562" s="274"/>
      <c r="C562" s="274"/>
      <c r="D562" s="274"/>
    </row>
    <row r="563" spans="1:4" ht="12.75">
      <c r="A563" s="274"/>
      <c r="B563" s="274"/>
      <c r="C563" s="274"/>
      <c r="D563" s="274"/>
    </row>
    <row r="564" spans="1:4" ht="12.75">
      <c r="A564" s="274"/>
      <c r="B564" s="274"/>
      <c r="C564" s="274"/>
      <c r="D564" s="274"/>
    </row>
    <row r="565" spans="1:4" ht="12.75">
      <c r="A565" s="274"/>
      <c r="B565" s="274"/>
      <c r="C565" s="274"/>
      <c r="D565" s="274"/>
    </row>
    <row r="566" spans="1:4" ht="12.75">
      <c r="A566" s="274"/>
      <c r="B566" s="274"/>
      <c r="C566" s="274"/>
      <c r="D566" s="274"/>
    </row>
    <row r="567" spans="1:4" ht="12.75">
      <c r="A567" s="274"/>
      <c r="B567" s="274"/>
      <c r="C567" s="274"/>
      <c r="D567" s="274"/>
    </row>
    <row r="568" spans="1:4" ht="12.75">
      <c r="A568" s="274"/>
      <c r="B568" s="274"/>
      <c r="C568" s="274"/>
      <c r="D568" s="274"/>
    </row>
    <row r="569" spans="1:4" ht="12.75">
      <c r="A569" s="274"/>
      <c r="B569" s="274"/>
      <c r="C569" s="274"/>
      <c r="D569" s="274"/>
    </row>
    <row r="570" spans="1:4" ht="12.75">
      <c r="A570" s="274"/>
      <c r="B570" s="274"/>
      <c r="C570" s="274"/>
      <c r="D570" s="274"/>
    </row>
    <row r="571" spans="1:4" ht="12.75">
      <c r="A571" s="274"/>
      <c r="B571" s="274"/>
      <c r="C571" s="274"/>
      <c r="D571" s="274"/>
    </row>
    <row r="572" spans="1:4" ht="12.75">
      <c r="A572" s="274"/>
      <c r="B572" s="274"/>
      <c r="C572" s="274"/>
      <c r="D572" s="274"/>
    </row>
    <row r="573" spans="1:4" ht="12.75">
      <c r="A573" s="274"/>
      <c r="B573" s="274"/>
      <c r="C573" s="274"/>
      <c r="D573" s="274"/>
    </row>
    <row r="574" spans="1:4" ht="12.75">
      <c r="A574" s="274"/>
      <c r="B574" s="274"/>
      <c r="C574" s="274"/>
      <c r="D574" s="274"/>
    </row>
    <row r="575" spans="1:4" ht="12.75">
      <c r="A575" s="274"/>
      <c r="B575" s="274"/>
      <c r="C575" s="274"/>
      <c r="D575" s="274"/>
    </row>
    <row r="576" spans="1:4" ht="12.75">
      <c r="A576" s="274"/>
      <c r="B576" s="274"/>
      <c r="C576" s="274"/>
      <c r="D576" s="274"/>
    </row>
    <row r="577" spans="1:4" ht="12.75">
      <c r="A577" s="274"/>
      <c r="B577" s="274"/>
      <c r="C577" s="274"/>
      <c r="D577" s="274"/>
    </row>
    <row r="578" spans="1:4" ht="12.75">
      <c r="A578" s="274"/>
      <c r="B578" s="274"/>
      <c r="C578" s="274"/>
      <c r="D578" s="274"/>
    </row>
    <row r="579" spans="1:4" ht="12.75">
      <c r="A579" s="274"/>
      <c r="B579" s="274"/>
      <c r="C579" s="274"/>
      <c r="D579" s="274"/>
    </row>
    <row r="580" spans="1:4" ht="12.75">
      <c r="A580" s="274"/>
      <c r="B580" s="274"/>
      <c r="C580" s="274"/>
      <c r="D580" s="274"/>
    </row>
    <row r="581" spans="1:4" ht="12.75">
      <c r="A581" s="274"/>
      <c r="B581" s="274"/>
      <c r="C581" s="274"/>
      <c r="D581" s="274"/>
    </row>
    <row r="582" spans="1:4" ht="12.75">
      <c r="A582" s="274"/>
      <c r="B582" s="274"/>
      <c r="C582" s="274"/>
      <c r="D582" s="274"/>
    </row>
    <row r="583" spans="1:4" ht="12.75">
      <c r="A583" s="274"/>
      <c r="B583" s="274"/>
      <c r="C583" s="274"/>
      <c r="D583" s="274"/>
    </row>
    <row r="584" spans="1:4" ht="12.75">
      <c r="A584" s="274"/>
      <c r="B584" s="274"/>
      <c r="C584" s="274"/>
      <c r="D584" s="274"/>
    </row>
    <row r="585" spans="1:4" ht="12.75">
      <c r="A585" s="274"/>
      <c r="B585" s="274"/>
      <c r="C585" s="274"/>
      <c r="D585" s="274"/>
    </row>
    <row r="586" spans="1:4" ht="12.75">
      <c r="A586" s="274"/>
      <c r="B586" s="274"/>
      <c r="C586" s="274"/>
      <c r="D586" s="274"/>
    </row>
    <row r="587" spans="1:4" ht="12.75">
      <c r="A587" s="274"/>
      <c r="B587" s="274"/>
      <c r="C587" s="274"/>
      <c r="D587" s="274"/>
    </row>
    <row r="588" spans="1:4" ht="12.75">
      <c r="A588" s="274"/>
      <c r="B588" s="274"/>
      <c r="C588" s="274"/>
      <c r="D588" s="274"/>
    </row>
    <row r="589" spans="1:4" ht="12.75">
      <c r="A589" s="274"/>
      <c r="B589" s="274"/>
      <c r="C589" s="274"/>
      <c r="D589" s="274"/>
    </row>
    <row r="590" spans="1:4" ht="12.75">
      <c r="A590" s="274"/>
      <c r="B590" s="274"/>
      <c r="C590" s="274"/>
      <c r="D590" s="274"/>
    </row>
    <row r="591" spans="1:4" ht="12.75">
      <c r="A591" s="274"/>
      <c r="B591" s="274"/>
      <c r="C591" s="274"/>
      <c r="D591" s="274"/>
    </row>
    <row r="592" spans="1:4" ht="12.75">
      <c r="A592" s="274"/>
      <c r="B592" s="274"/>
      <c r="C592" s="274"/>
      <c r="D592" s="274"/>
    </row>
    <row r="593" spans="1:4" ht="12.75">
      <c r="A593" s="274"/>
      <c r="B593" s="274"/>
      <c r="C593" s="274"/>
      <c r="D593" s="274"/>
    </row>
    <row r="594" spans="1:4" ht="12.75">
      <c r="A594" s="274"/>
      <c r="B594" s="274"/>
      <c r="C594" s="274"/>
      <c r="D594" s="274"/>
    </row>
    <row r="595" spans="1:4" ht="12.75">
      <c r="A595" s="274"/>
      <c r="B595" s="274"/>
      <c r="C595" s="274"/>
      <c r="D595" s="274"/>
    </row>
    <row r="596" spans="1:4" ht="12.75">
      <c r="A596" s="274"/>
      <c r="B596" s="274"/>
      <c r="C596" s="274"/>
      <c r="D596" s="274"/>
    </row>
    <row r="597" spans="1:4" ht="12.75">
      <c r="A597" s="274"/>
      <c r="B597" s="274"/>
      <c r="C597" s="274"/>
      <c r="D597" s="274"/>
    </row>
    <row r="598" spans="1:4" ht="12.75">
      <c r="A598" s="274"/>
      <c r="B598" s="274"/>
      <c r="C598" s="274"/>
      <c r="D598" s="274"/>
    </row>
    <row r="599" spans="1:4" ht="12.75">
      <c r="A599" s="274"/>
      <c r="B599" s="274"/>
      <c r="C599" s="274"/>
      <c r="D599" s="274"/>
    </row>
    <row r="600" spans="1:4" ht="12.75">
      <c r="A600" s="274"/>
      <c r="B600" s="274"/>
      <c r="C600" s="274"/>
      <c r="D600" s="274"/>
    </row>
    <row r="601" spans="1:4" ht="12.75">
      <c r="A601" s="274"/>
      <c r="B601" s="274"/>
      <c r="C601" s="274"/>
      <c r="D601" s="274"/>
    </row>
    <row r="602" spans="1:4" ht="12.75">
      <c r="A602" s="274"/>
      <c r="B602" s="274"/>
      <c r="C602" s="274"/>
      <c r="D602" s="274"/>
    </row>
    <row r="603" spans="1:4" ht="12.75">
      <c r="A603" s="274"/>
      <c r="B603" s="274"/>
      <c r="C603" s="274"/>
      <c r="D603" s="274"/>
    </row>
    <row r="604" spans="1:4" ht="12.75">
      <c r="A604" s="274"/>
      <c r="B604" s="274"/>
      <c r="C604" s="274"/>
      <c r="D604" s="274"/>
    </row>
    <row r="605" spans="1:4" ht="12.75">
      <c r="A605" s="274"/>
      <c r="B605" s="274"/>
      <c r="C605" s="274"/>
      <c r="D605" s="274"/>
    </row>
    <row r="606" spans="1:4" ht="12.75">
      <c r="A606" s="274"/>
      <c r="B606" s="274"/>
      <c r="C606" s="274"/>
      <c r="D606" s="274"/>
    </row>
    <row r="607" spans="1:4" ht="12.75">
      <c r="A607" s="274"/>
      <c r="B607" s="274"/>
      <c r="C607" s="274"/>
      <c r="D607" s="274"/>
    </row>
    <row r="608" spans="1:4" ht="12.75">
      <c r="A608" s="274"/>
      <c r="B608" s="274"/>
      <c r="C608" s="274"/>
      <c r="D608" s="274"/>
    </row>
    <row r="609" spans="1:4" ht="12.75">
      <c r="A609" s="274"/>
      <c r="B609" s="274"/>
      <c r="C609" s="274"/>
      <c r="D609" s="274"/>
    </row>
    <row r="610" spans="1:4" ht="12.75">
      <c r="A610" s="274"/>
      <c r="B610" s="274"/>
      <c r="C610" s="274"/>
      <c r="D610" s="274"/>
    </row>
    <row r="611" spans="1:4" ht="12.75">
      <c r="A611" s="274"/>
      <c r="B611" s="274"/>
      <c r="C611" s="274"/>
      <c r="D611" s="274"/>
    </row>
    <row r="612" spans="1:4" ht="12.75">
      <c r="A612" s="274"/>
      <c r="B612" s="274"/>
      <c r="C612" s="274"/>
      <c r="D612" s="274"/>
    </row>
    <row r="613" spans="1:4" ht="12.75">
      <c r="A613" s="274"/>
      <c r="B613" s="274"/>
      <c r="C613" s="274"/>
      <c r="D613" s="274"/>
    </row>
    <row r="614" spans="1:4" ht="12.75">
      <c r="A614" s="274"/>
      <c r="B614" s="274"/>
      <c r="C614" s="274"/>
      <c r="D614" s="274"/>
    </row>
    <row r="615" spans="1:4" ht="12.75">
      <c r="A615" s="274"/>
      <c r="B615" s="274"/>
      <c r="C615" s="274"/>
      <c r="D615" s="274"/>
    </row>
    <row r="616" spans="1:4" ht="12.75">
      <c r="A616" s="274"/>
      <c r="B616" s="274"/>
      <c r="C616" s="274"/>
      <c r="D616" s="274"/>
    </row>
    <row r="617" spans="1:4" ht="12.75">
      <c r="A617" s="274"/>
      <c r="B617" s="274"/>
      <c r="C617" s="274"/>
      <c r="D617" s="274"/>
    </row>
    <row r="618" spans="1:4" ht="12.75">
      <c r="A618" s="274"/>
      <c r="B618" s="274"/>
      <c r="C618" s="274"/>
      <c r="D618" s="274"/>
    </row>
    <row r="619" spans="1:4" ht="12.75">
      <c r="A619" s="274"/>
      <c r="B619" s="274"/>
      <c r="C619" s="274"/>
      <c r="D619" s="274"/>
    </row>
    <row r="620" spans="1:4" ht="12.75">
      <c r="A620" s="274"/>
      <c r="B620" s="274"/>
      <c r="C620" s="274"/>
      <c r="D620" s="274"/>
    </row>
    <row r="621" spans="1:4" ht="12.75">
      <c r="A621" s="274"/>
      <c r="B621" s="274"/>
      <c r="C621" s="274"/>
      <c r="D621" s="274"/>
    </row>
    <row r="622" spans="1:4" ht="12.75">
      <c r="A622" s="274"/>
      <c r="B622" s="274"/>
      <c r="C622" s="274"/>
      <c r="D622" s="274"/>
    </row>
    <row r="623" spans="1:4" ht="12.75">
      <c r="A623" s="274"/>
      <c r="B623" s="274"/>
      <c r="C623" s="274"/>
      <c r="D623" s="274"/>
    </row>
    <row r="624" spans="1:4" ht="12.75">
      <c r="A624" s="274"/>
      <c r="B624" s="274"/>
      <c r="C624" s="274"/>
      <c r="D624" s="274"/>
    </row>
    <row r="625" spans="1:4" ht="12.75">
      <c r="A625" s="274"/>
      <c r="B625" s="274"/>
      <c r="C625" s="274"/>
      <c r="D625" s="274"/>
    </row>
    <row r="626" spans="1:4" ht="12.75">
      <c r="A626" s="274"/>
      <c r="B626" s="274"/>
      <c r="C626" s="274"/>
      <c r="D626" s="274"/>
    </row>
    <row r="627" spans="1:4" ht="12.75">
      <c r="A627" s="274"/>
      <c r="B627" s="274"/>
      <c r="C627" s="274"/>
      <c r="D627" s="274"/>
    </row>
    <row r="628" spans="1:4" ht="12.75">
      <c r="A628" s="274"/>
      <c r="B628" s="274"/>
      <c r="C628" s="274"/>
      <c r="D628" s="274"/>
    </row>
    <row r="629" spans="1:4" ht="12.75">
      <c r="A629" s="274"/>
      <c r="B629" s="274"/>
      <c r="C629" s="274"/>
      <c r="D629" s="274"/>
    </row>
    <row r="630" spans="1:4" ht="12.75">
      <c r="A630" s="274"/>
      <c r="B630" s="274"/>
      <c r="C630" s="274"/>
      <c r="D630" s="274"/>
    </row>
    <row r="631" spans="1:4" ht="12.75">
      <c r="A631" s="274"/>
      <c r="B631" s="274"/>
      <c r="C631" s="274"/>
      <c r="D631" s="274"/>
    </row>
    <row r="632" spans="1:4" ht="12.75">
      <c r="A632" s="274"/>
      <c r="B632" s="274"/>
      <c r="C632" s="274"/>
      <c r="D632" s="274"/>
    </row>
    <row r="633" spans="1:4" ht="12.75">
      <c r="A633" s="274"/>
      <c r="B633" s="274"/>
      <c r="C633" s="274"/>
      <c r="D633" s="274"/>
    </row>
    <row r="634" spans="1:4" ht="12.75">
      <c r="A634" s="274"/>
      <c r="B634" s="274"/>
      <c r="C634" s="274"/>
      <c r="D634" s="274"/>
    </row>
    <row r="635" spans="1:4" ht="12.75">
      <c r="A635" s="274"/>
      <c r="B635" s="274"/>
      <c r="C635" s="274"/>
      <c r="D635" s="274"/>
    </row>
    <row r="636" spans="1:4" ht="12.75">
      <c r="A636" s="274"/>
      <c r="B636" s="274"/>
      <c r="C636" s="274"/>
      <c r="D636" s="274"/>
    </row>
    <row r="637" spans="1:4" ht="12.75">
      <c r="A637" s="274"/>
      <c r="B637" s="274"/>
      <c r="C637" s="274"/>
      <c r="D637" s="274"/>
    </row>
    <row r="638" spans="1:4" ht="12.75">
      <c r="A638" s="274"/>
      <c r="B638" s="274"/>
      <c r="C638" s="274"/>
      <c r="D638" s="274"/>
    </row>
    <row r="639" spans="1:4" ht="12.75">
      <c r="A639" s="274"/>
      <c r="B639" s="274"/>
      <c r="C639" s="274"/>
      <c r="D639" s="274"/>
    </row>
    <row r="640" spans="1:4" ht="12.75">
      <c r="A640" s="274"/>
      <c r="B640" s="274"/>
      <c r="C640" s="274"/>
      <c r="D640" s="274"/>
    </row>
    <row r="641" spans="1:4" ht="12.75">
      <c r="A641" s="274"/>
      <c r="B641" s="274"/>
      <c r="C641" s="274"/>
      <c r="D641" s="274"/>
    </row>
    <row r="642" spans="1:4" ht="12.75">
      <c r="A642" s="274"/>
      <c r="B642" s="274"/>
      <c r="C642" s="274"/>
      <c r="D642" s="274"/>
    </row>
    <row r="643" spans="1:4" ht="12.75">
      <c r="A643" s="274"/>
      <c r="B643" s="274"/>
      <c r="C643" s="274"/>
      <c r="D643" s="274"/>
    </row>
    <row r="644" spans="1:4" ht="12.75">
      <c r="A644" s="274"/>
      <c r="B644" s="274"/>
      <c r="C644" s="274"/>
      <c r="D644" s="274"/>
    </row>
    <row r="645" spans="1:4" ht="12.75">
      <c r="A645" s="274"/>
      <c r="B645" s="274"/>
      <c r="C645" s="274"/>
      <c r="D645" s="274"/>
    </row>
    <row r="646" spans="1:4" ht="12.75">
      <c r="A646" s="274"/>
      <c r="B646" s="274"/>
      <c r="C646" s="274"/>
      <c r="D646" s="274"/>
    </row>
    <row r="647" spans="1:4" ht="12.75">
      <c r="A647" s="274"/>
      <c r="B647" s="274"/>
      <c r="C647" s="274"/>
      <c r="D647" s="274"/>
    </row>
    <row r="648" spans="1:4" ht="12.75">
      <c r="A648" s="274"/>
      <c r="B648" s="274"/>
      <c r="C648" s="274"/>
      <c r="D648" s="274"/>
    </row>
    <row r="649" spans="1:4" ht="12.75">
      <c r="A649" s="274"/>
      <c r="B649" s="274"/>
      <c r="C649" s="274"/>
      <c r="D649" s="274"/>
    </row>
    <row r="650" spans="1:4" ht="12.75">
      <c r="A650" s="274"/>
      <c r="B650" s="274"/>
      <c r="C650" s="274"/>
      <c r="D650" s="274"/>
    </row>
    <row r="651" spans="1:4" ht="12.75">
      <c r="A651" s="274"/>
      <c r="B651" s="274"/>
      <c r="C651" s="274"/>
      <c r="D651" s="274"/>
    </row>
    <row r="652" spans="1:4" ht="12.75">
      <c r="A652" s="274"/>
      <c r="B652" s="274"/>
      <c r="C652" s="274"/>
      <c r="D652" s="274"/>
    </row>
    <row r="653" spans="1:4" ht="12.75">
      <c r="A653" s="274"/>
      <c r="B653" s="274"/>
      <c r="C653" s="274"/>
      <c r="D653" s="274"/>
    </row>
    <row r="654" spans="1:4" ht="12.75">
      <c r="A654" s="274"/>
      <c r="B654" s="274"/>
      <c r="C654" s="274"/>
      <c r="D654" s="274"/>
    </row>
    <row r="655" spans="1:4" ht="12.75">
      <c r="A655" s="274"/>
      <c r="B655" s="274"/>
      <c r="C655" s="274"/>
      <c r="D655" s="274"/>
    </row>
    <row r="656" spans="1:4" ht="12.75">
      <c r="A656" s="274"/>
      <c r="B656" s="274"/>
      <c r="C656" s="274"/>
      <c r="D656" s="274"/>
    </row>
    <row r="657" spans="1:4" ht="12.75">
      <c r="A657" s="274"/>
      <c r="B657" s="274"/>
      <c r="C657" s="274"/>
      <c r="D657" s="274"/>
    </row>
    <row r="658" spans="1:4" ht="12.75">
      <c r="A658" s="274"/>
      <c r="B658" s="274"/>
      <c r="C658" s="274"/>
      <c r="D658" s="274"/>
    </row>
    <row r="659" spans="1:4" ht="12.75">
      <c r="A659" s="274"/>
      <c r="B659" s="274"/>
      <c r="C659" s="274"/>
      <c r="D659" s="274"/>
    </row>
    <row r="660" spans="1:4" ht="12.75">
      <c r="A660" s="274"/>
      <c r="B660" s="274"/>
      <c r="C660" s="274"/>
      <c r="D660" s="274"/>
    </row>
    <row r="661" spans="1:4" ht="12.75">
      <c r="A661" s="274"/>
      <c r="B661" s="274"/>
      <c r="C661" s="274"/>
      <c r="D661" s="274"/>
    </row>
    <row r="662" spans="1:4" ht="12.75">
      <c r="A662" s="274"/>
      <c r="B662" s="274"/>
      <c r="C662" s="274"/>
      <c r="D662" s="274"/>
    </row>
    <row r="663" spans="1:4" ht="12.75">
      <c r="A663" s="274"/>
      <c r="B663" s="274"/>
      <c r="C663" s="274"/>
      <c r="D663" s="274"/>
    </row>
    <row r="664" spans="1:4" ht="12.75">
      <c r="A664" s="274"/>
      <c r="B664" s="274"/>
      <c r="C664" s="274"/>
      <c r="D664" s="274"/>
    </row>
    <row r="665" spans="1:4" ht="12.75">
      <c r="A665" s="274"/>
      <c r="B665" s="274"/>
      <c r="C665" s="274"/>
      <c r="D665" s="274"/>
    </row>
    <row r="666" spans="1:4" ht="12.75">
      <c r="A666" s="274"/>
      <c r="B666" s="274"/>
      <c r="C666" s="274"/>
      <c r="D666" s="274"/>
    </row>
    <row r="667" spans="1:4" ht="12.75">
      <c r="A667" s="274"/>
      <c r="B667" s="274"/>
      <c r="C667" s="274"/>
      <c r="D667" s="274"/>
    </row>
    <row r="668" spans="1:4" ht="12.75">
      <c r="A668" s="274"/>
      <c r="B668" s="274"/>
      <c r="C668" s="274"/>
      <c r="D668" s="274"/>
    </row>
    <row r="669" spans="1:4" ht="12.75">
      <c r="A669" s="274"/>
      <c r="B669" s="274"/>
      <c r="C669" s="274"/>
      <c r="D669" s="274"/>
    </row>
    <row r="670" spans="1:4" ht="12.75">
      <c r="A670" s="274"/>
      <c r="B670" s="274"/>
      <c r="C670" s="274"/>
      <c r="D670" s="274"/>
    </row>
    <row r="671" spans="1:4" ht="12.75">
      <c r="A671" s="274"/>
      <c r="B671" s="274"/>
      <c r="C671" s="274"/>
      <c r="D671" s="274"/>
    </row>
    <row r="672" spans="1:4" ht="12.75">
      <c r="A672" s="274"/>
      <c r="B672" s="274"/>
      <c r="C672" s="274"/>
      <c r="D672" s="274"/>
    </row>
    <row r="673" spans="1:4" ht="12.75">
      <c r="A673" s="274"/>
      <c r="B673" s="274"/>
      <c r="C673" s="274"/>
      <c r="D673" s="274"/>
    </row>
    <row r="674" spans="1:4" ht="12.75">
      <c r="A674" s="274"/>
      <c r="B674" s="274"/>
      <c r="C674" s="274"/>
      <c r="D674" s="274"/>
    </row>
    <row r="675" spans="1:4" ht="12.75">
      <c r="A675" s="274"/>
      <c r="B675" s="274"/>
      <c r="C675" s="274"/>
      <c r="D675" s="274"/>
    </row>
    <row r="676" spans="1:4" ht="12.75">
      <c r="A676" s="274"/>
      <c r="B676" s="274"/>
      <c r="C676" s="274"/>
      <c r="D676" s="274"/>
    </row>
    <row r="677" spans="1:4" ht="12.75">
      <c r="A677" s="274"/>
      <c r="B677" s="274"/>
      <c r="C677" s="274"/>
      <c r="D677" s="274"/>
    </row>
    <row r="678" spans="1:4" ht="12.75">
      <c r="A678" s="274"/>
      <c r="B678" s="274"/>
      <c r="C678" s="274"/>
      <c r="D678" s="274"/>
    </row>
    <row r="679" spans="1:4" ht="12.75">
      <c r="A679" s="274"/>
      <c r="B679" s="274"/>
      <c r="C679" s="274"/>
      <c r="D679" s="274"/>
    </row>
    <row r="680" spans="1:4" ht="12.75">
      <c r="A680" s="274"/>
      <c r="B680" s="274"/>
      <c r="C680" s="274"/>
      <c r="D680" s="274"/>
    </row>
    <row r="681" spans="1:4" ht="12.75">
      <c r="A681" s="274"/>
      <c r="B681" s="274"/>
      <c r="C681" s="274"/>
      <c r="D681" s="274"/>
    </row>
    <row r="682" spans="1:4" ht="12.75">
      <c r="A682" s="274"/>
      <c r="B682" s="274"/>
      <c r="C682" s="274"/>
      <c r="D682" s="274"/>
    </row>
    <row r="683" spans="1:4" ht="12.75">
      <c r="A683" s="274"/>
      <c r="B683" s="274"/>
      <c r="C683" s="274"/>
      <c r="D683" s="274"/>
    </row>
    <row r="684" spans="1:4" ht="12.75">
      <c r="A684" s="274"/>
      <c r="B684" s="274"/>
      <c r="C684" s="274"/>
      <c r="D684" s="274"/>
    </row>
    <row r="685" spans="1:4" ht="12.75">
      <c r="A685" s="274"/>
      <c r="B685" s="274"/>
      <c r="C685" s="274"/>
      <c r="D685" s="274"/>
    </row>
    <row r="686" spans="1:4" ht="12.75">
      <c r="A686" s="274"/>
      <c r="B686" s="274"/>
      <c r="C686" s="274"/>
      <c r="D686" s="274"/>
    </row>
    <row r="687" spans="1:4" ht="12.75">
      <c r="A687" s="274"/>
      <c r="B687" s="274"/>
      <c r="C687" s="274"/>
      <c r="D687" s="274"/>
    </row>
    <row r="688" spans="1:4" ht="12.75">
      <c r="A688" s="274"/>
      <c r="B688" s="274"/>
      <c r="C688" s="274"/>
      <c r="D688" s="274"/>
    </row>
    <row r="689" spans="1:4" ht="12.75">
      <c r="A689" s="274"/>
      <c r="B689" s="274"/>
      <c r="C689" s="274"/>
      <c r="D689" s="274"/>
    </row>
    <row r="690" spans="1:4" ht="12.75">
      <c r="A690" s="274"/>
      <c r="B690" s="274"/>
      <c r="C690" s="274"/>
      <c r="D690" s="274"/>
    </row>
    <row r="691" spans="1:4" ht="12.75">
      <c r="A691" s="274"/>
      <c r="B691" s="274"/>
      <c r="C691" s="274"/>
      <c r="D691" s="274"/>
    </row>
    <row r="692" spans="1:4" ht="12.75">
      <c r="A692" s="274"/>
      <c r="B692" s="274"/>
      <c r="C692" s="274"/>
      <c r="D692" s="274"/>
    </row>
    <row r="693" spans="1:4" ht="12.75">
      <c r="A693" s="274"/>
      <c r="B693" s="274"/>
      <c r="C693" s="274"/>
      <c r="D693" s="274"/>
    </row>
    <row r="694" spans="1:4" ht="12.75">
      <c r="A694" s="274"/>
      <c r="B694" s="274"/>
      <c r="C694" s="274"/>
      <c r="D694" s="274"/>
    </row>
    <row r="695" spans="1:4" ht="12.75">
      <c r="A695" s="274"/>
      <c r="B695" s="274"/>
      <c r="C695" s="274"/>
      <c r="D695" s="274"/>
    </row>
    <row r="696" spans="1:4" ht="12.75">
      <c r="A696" s="274"/>
      <c r="B696" s="274"/>
      <c r="C696" s="274"/>
      <c r="D696" s="274"/>
    </row>
    <row r="697" spans="1:4" ht="12.75">
      <c r="A697" s="274"/>
      <c r="B697" s="274"/>
      <c r="C697" s="274"/>
      <c r="D697" s="274"/>
    </row>
    <row r="698" spans="1:4" ht="12.75">
      <c r="A698" s="274"/>
      <c r="B698" s="274"/>
      <c r="C698" s="274"/>
      <c r="D698" s="274"/>
    </row>
    <row r="699" spans="1:4" ht="12.75">
      <c r="A699" s="274"/>
      <c r="B699" s="274"/>
      <c r="C699" s="274"/>
      <c r="D699" s="274"/>
    </row>
    <row r="700" spans="1:4" ht="12.75">
      <c r="A700" s="274"/>
      <c r="B700" s="274"/>
      <c r="C700" s="274"/>
      <c r="D700" s="274"/>
    </row>
    <row r="701" spans="1:4" ht="12.75">
      <c r="A701" s="274"/>
      <c r="B701" s="274"/>
      <c r="C701" s="274"/>
      <c r="D701" s="274"/>
    </row>
    <row r="702" spans="1:4" ht="12.75">
      <c r="A702" s="274"/>
      <c r="B702" s="274"/>
      <c r="C702" s="274"/>
      <c r="D702" s="274"/>
    </row>
    <row r="703" spans="1:4" ht="12.75">
      <c r="A703" s="274"/>
      <c r="B703" s="274"/>
      <c r="C703" s="274"/>
      <c r="D703" s="274"/>
    </row>
    <row r="704" spans="1:4" ht="12.75">
      <c r="A704" s="274"/>
      <c r="B704" s="274"/>
      <c r="C704" s="274"/>
      <c r="D704" s="274"/>
    </row>
    <row r="705" spans="1:4" ht="12.75">
      <c r="A705" s="274"/>
      <c r="B705" s="274"/>
      <c r="C705" s="274"/>
      <c r="D705" s="274"/>
    </row>
    <row r="706" spans="1:4" ht="12.75">
      <c r="A706" s="274"/>
      <c r="B706" s="274"/>
      <c r="C706" s="274"/>
      <c r="D706" s="274"/>
    </row>
    <row r="707" spans="1:4" ht="12.75">
      <c r="A707" s="274"/>
      <c r="B707" s="274"/>
      <c r="C707" s="274"/>
      <c r="D707" s="274"/>
    </row>
    <row r="708" spans="1:4" ht="12.75">
      <c r="A708" s="274"/>
      <c r="B708" s="274"/>
      <c r="C708" s="274"/>
      <c r="D708" s="274"/>
    </row>
    <row r="709" spans="1:4" ht="12.75">
      <c r="A709" s="274"/>
      <c r="B709" s="274"/>
      <c r="C709" s="274"/>
      <c r="D709" s="274"/>
    </row>
    <row r="710" spans="1:4" ht="12.75">
      <c r="A710" s="274"/>
      <c r="B710" s="274"/>
      <c r="C710" s="274"/>
      <c r="D710" s="274"/>
    </row>
    <row r="711" spans="1:4" ht="12.75">
      <c r="A711" s="274"/>
      <c r="B711" s="274"/>
      <c r="C711" s="274"/>
      <c r="D711" s="274"/>
    </row>
    <row r="712" spans="1:4" ht="12.75">
      <c r="A712" s="274"/>
      <c r="B712" s="274"/>
      <c r="C712" s="274"/>
      <c r="D712" s="274"/>
    </row>
    <row r="713" spans="1:4" ht="12.75">
      <c r="A713" s="274"/>
      <c r="B713" s="274"/>
      <c r="C713" s="274"/>
      <c r="D713" s="274"/>
    </row>
    <row r="714" spans="1:4" ht="12.75">
      <c r="A714" s="274"/>
      <c r="B714" s="274"/>
      <c r="C714" s="274"/>
      <c r="D714" s="274"/>
    </row>
    <row r="715" spans="1:4" ht="12.75">
      <c r="A715" s="274"/>
      <c r="B715" s="274"/>
      <c r="C715" s="274"/>
      <c r="D715" s="274"/>
    </row>
    <row r="716" spans="1:4" ht="12.75">
      <c r="A716" s="274"/>
      <c r="B716" s="274"/>
      <c r="C716" s="274"/>
      <c r="D716" s="274"/>
    </row>
    <row r="717" spans="1:4" ht="12.75">
      <c r="A717" s="274"/>
      <c r="B717" s="274"/>
      <c r="C717" s="274"/>
      <c r="D717" s="274"/>
    </row>
    <row r="718" spans="1:4" ht="12.75">
      <c r="A718" s="274"/>
      <c r="B718" s="274"/>
      <c r="C718" s="274"/>
      <c r="D718" s="274"/>
    </row>
    <row r="719" spans="1:4" ht="12.75">
      <c r="A719" s="274"/>
      <c r="B719" s="274"/>
      <c r="C719" s="274"/>
      <c r="D719" s="274"/>
    </row>
    <row r="720" spans="1:4" ht="12.75">
      <c r="A720" s="274"/>
      <c r="B720" s="274"/>
      <c r="C720" s="274"/>
      <c r="D720" s="274"/>
    </row>
    <row r="721" spans="1:4" ht="12.75">
      <c r="A721" s="274"/>
      <c r="B721" s="274"/>
      <c r="C721" s="274"/>
      <c r="D721" s="274"/>
    </row>
    <row r="722" spans="1:4" ht="12.75">
      <c r="A722" s="274"/>
      <c r="B722" s="274"/>
      <c r="C722" s="274"/>
      <c r="D722" s="274"/>
    </row>
    <row r="723" spans="1:4" ht="12.75">
      <c r="A723" s="274"/>
      <c r="B723" s="274"/>
      <c r="C723" s="274"/>
      <c r="D723" s="274"/>
    </row>
    <row r="724" spans="1:4" ht="12.75">
      <c r="A724" s="274"/>
      <c r="B724" s="274"/>
      <c r="C724" s="274"/>
      <c r="D724" s="274"/>
    </row>
    <row r="725" spans="1:4" ht="12.75">
      <c r="A725" s="274"/>
      <c r="B725" s="274"/>
      <c r="C725" s="274"/>
      <c r="D725" s="274"/>
    </row>
    <row r="726" spans="1:4" ht="12.75">
      <c r="A726" s="274"/>
      <c r="B726" s="274"/>
      <c r="C726" s="274"/>
      <c r="D726" s="274"/>
    </row>
    <row r="727" spans="1:4" ht="12.75">
      <c r="A727" s="274"/>
      <c r="B727" s="274"/>
      <c r="C727" s="274"/>
      <c r="D727" s="274"/>
    </row>
    <row r="728" spans="1:4" ht="12.75">
      <c r="A728" s="274"/>
      <c r="B728" s="274"/>
      <c r="C728" s="274"/>
      <c r="D728" s="274"/>
    </row>
    <row r="729" spans="1:4" ht="12.75">
      <c r="A729" s="274"/>
      <c r="B729" s="274"/>
      <c r="C729" s="274"/>
      <c r="D729" s="274"/>
    </row>
    <row r="730" spans="1:4" ht="12.75">
      <c r="A730" s="274"/>
      <c r="B730" s="274"/>
      <c r="C730" s="274"/>
      <c r="D730" s="274"/>
    </row>
    <row r="731" spans="1:4" ht="12.75">
      <c r="A731" s="274"/>
      <c r="B731" s="274"/>
      <c r="C731" s="274"/>
      <c r="D731" s="274"/>
    </row>
    <row r="732" spans="1:4" ht="12.75">
      <c r="A732" s="274"/>
      <c r="B732" s="274"/>
      <c r="C732" s="274"/>
      <c r="D732" s="274"/>
    </row>
    <row r="733" spans="1:4" ht="12.75">
      <c r="A733" s="274"/>
      <c r="B733" s="274"/>
      <c r="C733" s="274"/>
      <c r="D733" s="274"/>
    </row>
    <row r="734" spans="1:4" ht="12.75">
      <c r="A734" s="274"/>
      <c r="B734" s="274"/>
      <c r="C734" s="274"/>
      <c r="D734" s="274"/>
    </row>
    <row r="735" spans="1:4" ht="12.75">
      <c r="A735" s="274"/>
      <c r="B735" s="274"/>
      <c r="C735" s="274"/>
      <c r="D735" s="274"/>
    </row>
    <row r="736" spans="1:4" ht="12.75">
      <c r="A736" s="274"/>
      <c r="B736" s="274"/>
      <c r="C736" s="274"/>
      <c r="D736" s="274"/>
    </row>
    <row r="737" spans="1:4" ht="12.75">
      <c r="A737" s="274"/>
      <c r="B737" s="274"/>
      <c r="C737" s="274"/>
      <c r="D737" s="274"/>
    </row>
    <row r="738" spans="1:4" ht="12.75">
      <c r="A738" s="274"/>
      <c r="B738" s="274"/>
      <c r="C738" s="274"/>
      <c r="D738" s="274"/>
    </row>
    <row r="739" spans="1:4" ht="12.75">
      <c r="A739" s="274"/>
      <c r="B739" s="274"/>
      <c r="C739" s="274"/>
      <c r="D739" s="274"/>
    </row>
    <row r="740" spans="1:4" ht="12.75">
      <c r="A740" s="274"/>
      <c r="B740" s="274"/>
      <c r="C740" s="274"/>
      <c r="D740" s="274"/>
    </row>
    <row r="741" spans="1:4" ht="12.75">
      <c r="A741" s="274"/>
      <c r="B741" s="274"/>
      <c r="C741" s="274"/>
      <c r="D741" s="274"/>
    </row>
    <row r="742" spans="1:4" ht="12.75">
      <c r="A742" s="274"/>
      <c r="B742" s="274"/>
      <c r="C742" s="274"/>
      <c r="D742" s="274"/>
    </row>
    <row r="743" spans="1:4" ht="12.75">
      <c r="A743" s="274"/>
      <c r="B743" s="274"/>
      <c r="C743" s="274"/>
      <c r="D743" s="274"/>
    </row>
    <row r="744" spans="1:4" ht="12.75">
      <c r="A744" s="274"/>
      <c r="B744" s="274"/>
      <c r="C744" s="274"/>
      <c r="D744" s="274"/>
    </row>
    <row r="745" spans="1:4" ht="12.75">
      <c r="A745" s="274"/>
      <c r="B745" s="274"/>
      <c r="C745" s="274"/>
      <c r="D745" s="274"/>
    </row>
    <row r="746" spans="1:4" ht="12.75">
      <c r="A746" s="274"/>
      <c r="B746" s="274"/>
      <c r="C746" s="274"/>
      <c r="D746" s="274"/>
    </row>
    <row r="747" spans="1:4" ht="12.75">
      <c r="A747" s="274"/>
      <c r="B747" s="274"/>
      <c r="C747" s="274"/>
      <c r="D747" s="274"/>
    </row>
    <row r="748" spans="1:4" ht="12.75">
      <c r="A748" s="274"/>
      <c r="B748" s="274"/>
      <c r="C748" s="274"/>
      <c r="D748" s="274"/>
    </row>
    <row r="749" spans="1:4" ht="12.75">
      <c r="A749" s="274"/>
      <c r="B749" s="274"/>
      <c r="C749" s="274"/>
      <c r="D749" s="274"/>
    </row>
    <row r="750" spans="1:4" ht="12.75">
      <c r="A750" s="274"/>
      <c r="B750" s="274"/>
      <c r="C750" s="274"/>
      <c r="D750" s="274"/>
    </row>
    <row r="751" spans="1:4" ht="12.75">
      <c r="A751" s="274"/>
      <c r="B751" s="274"/>
      <c r="C751" s="274"/>
      <c r="D751" s="274"/>
    </row>
    <row r="752" spans="1:4" ht="12.75">
      <c r="A752" s="274"/>
      <c r="B752" s="274"/>
      <c r="C752" s="274"/>
      <c r="D752" s="274"/>
    </row>
    <row r="753" spans="1:4" ht="12.75">
      <c r="A753" s="274"/>
      <c r="B753" s="274"/>
      <c r="C753" s="274"/>
      <c r="D753" s="274"/>
    </row>
    <row r="754" spans="1:4" ht="12.75">
      <c r="A754" s="274"/>
      <c r="B754" s="274"/>
      <c r="C754" s="274"/>
      <c r="D754" s="274"/>
    </row>
    <row r="755" spans="1:4" ht="12.75">
      <c r="A755" s="274"/>
      <c r="B755" s="274"/>
      <c r="C755" s="274"/>
      <c r="D755" s="274"/>
    </row>
    <row r="756" spans="1:4" ht="12.75">
      <c r="A756" s="274"/>
      <c r="B756" s="274"/>
      <c r="C756" s="274"/>
      <c r="D756" s="274"/>
    </row>
    <row r="757" spans="1:4" ht="12.75">
      <c r="A757" s="274"/>
      <c r="B757" s="274"/>
      <c r="C757" s="274"/>
      <c r="D757" s="274"/>
    </row>
    <row r="758" spans="1:4" ht="12.75">
      <c r="A758" s="274"/>
      <c r="B758" s="274"/>
      <c r="C758" s="274"/>
      <c r="D758" s="274"/>
    </row>
    <row r="759" spans="1:4" ht="12.75">
      <c r="A759" s="274"/>
      <c r="B759" s="274"/>
      <c r="C759" s="274"/>
      <c r="D759" s="274"/>
    </row>
    <row r="760" spans="1:4" ht="12.75">
      <c r="A760" s="274"/>
      <c r="B760" s="274"/>
      <c r="C760" s="274"/>
      <c r="D760" s="274"/>
    </row>
    <row r="761" spans="1:4" ht="12.75">
      <c r="A761" s="274"/>
      <c r="B761" s="274"/>
      <c r="C761" s="274"/>
      <c r="D761" s="274"/>
    </row>
    <row r="762" spans="1:4" ht="12.75">
      <c r="A762" s="274"/>
      <c r="B762" s="274"/>
      <c r="C762" s="274"/>
      <c r="D762" s="274"/>
    </row>
    <row r="763" spans="1:4" ht="12.75">
      <c r="A763" s="274"/>
      <c r="B763" s="274"/>
      <c r="C763" s="274"/>
      <c r="D763" s="274"/>
    </row>
    <row r="764" spans="1:4" ht="12.75">
      <c r="A764" s="274"/>
      <c r="B764" s="274"/>
      <c r="C764" s="274"/>
      <c r="D764" s="274"/>
    </row>
    <row r="765" spans="1:4" ht="12.75">
      <c r="A765" s="274"/>
      <c r="B765" s="274"/>
      <c r="C765" s="274"/>
      <c r="D765" s="274"/>
    </row>
    <row r="766" spans="1:4" ht="12.75">
      <c r="A766" s="274"/>
      <c r="B766" s="274"/>
      <c r="C766" s="274"/>
      <c r="D766" s="274"/>
    </row>
    <row r="767" spans="1:4" ht="12.75">
      <c r="A767" s="274"/>
      <c r="B767" s="274"/>
      <c r="C767" s="274"/>
      <c r="D767" s="274"/>
    </row>
    <row r="768" spans="1:4" ht="12.75">
      <c r="A768" s="274"/>
      <c r="B768" s="274"/>
      <c r="C768" s="274"/>
      <c r="D768" s="274"/>
    </row>
    <row r="769" spans="1:4" ht="12.75">
      <c r="A769" s="274"/>
      <c r="B769" s="274"/>
      <c r="C769" s="274"/>
      <c r="D769" s="274"/>
    </row>
    <row r="770" spans="1:4" ht="12.75">
      <c r="A770" s="274"/>
      <c r="B770" s="274"/>
      <c r="C770" s="274"/>
      <c r="D770" s="274"/>
    </row>
    <row r="771" spans="1:4" ht="12.75">
      <c r="A771" s="274"/>
      <c r="B771" s="274"/>
      <c r="C771" s="274"/>
      <c r="D771" s="274"/>
    </row>
    <row r="772" spans="1:4" ht="12.75">
      <c r="A772" s="274"/>
      <c r="B772" s="274"/>
      <c r="C772" s="274"/>
      <c r="D772" s="274"/>
    </row>
    <row r="773" spans="1:4" ht="12.75">
      <c r="A773" s="274"/>
      <c r="B773" s="274"/>
      <c r="C773" s="274"/>
      <c r="D773" s="274"/>
    </row>
    <row r="774" spans="1:4" ht="12.75">
      <c r="A774" s="274"/>
      <c r="B774" s="274"/>
      <c r="C774" s="274"/>
      <c r="D774" s="274"/>
    </row>
    <row r="775" spans="1:4" ht="12.75">
      <c r="A775" s="274"/>
      <c r="B775" s="274"/>
      <c r="C775" s="274"/>
      <c r="D775" s="274"/>
    </row>
    <row r="776" spans="1:4" ht="12.75">
      <c r="A776" s="274"/>
      <c r="B776" s="274"/>
      <c r="C776" s="274"/>
      <c r="D776" s="274"/>
    </row>
    <row r="777" spans="1:4" ht="12.75">
      <c r="A777" s="274"/>
      <c r="B777" s="274"/>
      <c r="C777" s="274"/>
      <c r="D777" s="274"/>
    </row>
    <row r="778" spans="1:4" ht="12.75">
      <c r="A778" s="274"/>
      <c r="B778" s="274"/>
      <c r="C778" s="274"/>
      <c r="D778" s="274"/>
    </row>
    <row r="779" spans="1:4" ht="12.75">
      <c r="A779" s="274"/>
      <c r="B779" s="274"/>
      <c r="C779" s="274"/>
      <c r="D779" s="274"/>
    </row>
    <row r="780" spans="1:4" ht="12.75">
      <c r="A780" s="274"/>
      <c r="B780" s="274"/>
      <c r="C780" s="274"/>
      <c r="D780" s="274"/>
    </row>
    <row r="781" spans="1:4" ht="12.75">
      <c r="A781" s="274"/>
      <c r="B781" s="274"/>
      <c r="C781" s="274"/>
      <c r="D781" s="274"/>
    </row>
    <row r="782" spans="1:4" ht="12.75">
      <c r="A782" s="274"/>
      <c r="B782" s="274"/>
      <c r="C782" s="274"/>
      <c r="D782" s="274"/>
    </row>
    <row r="783" spans="1:4" ht="12.75">
      <c r="A783" s="274"/>
      <c r="B783" s="274"/>
      <c r="C783" s="274"/>
      <c r="D783" s="274"/>
    </row>
    <row r="784" spans="1:4" ht="12.75">
      <c r="A784" s="274"/>
      <c r="B784" s="274"/>
      <c r="C784" s="274"/>
      <c r="D784" s="274"/>
    </row>
    <row r="785" spans="1:4" ht="12.75">
      <c r="A785" s="274"/>
      <c r="B785" s="274"/>
      <c r="C785" s="274"/>
      <c r="D785" s="274"/>
    </row>
    <row r="786" spans="1:4" ht="12.75">
      <c r="A786" s="274"/>
      <c r="B786" s="274"/>
      <c r="C786" s="274"/>
      <c r="D786" s="274"/>
    </row>
    <row r="787" spans="1:4" ht="12.75">
      <c r="A787" s="274"/>
      <c r="B787" s="274"/>
      <c r="C787" s="274"/>
      <c r="D787" s="274"/>
    </row>
    <row r="788" spans="1:4" ht="12.75">
      <c r="A788" s="274"/>
      <c r="B788" s="274"/>
      <c r="C788" s="274"/>
      <c r="D788" s="274"/>
    </row>
    <row r="789" spans="1:4" ht="12.75">
      <c r="A789" s="274"/>
      <c r="B789" s="274"/>
      <c r="C789" s="274"/>
      <c r="D789" s="274"/>
    </row>
    <row r="790" spans="1:4" ht="12.75">
      <c r="A790" s="274"/>
      <c r="B790" s="274"/>
      <c r="C790" s="274"/>
      <c r="D790" s="274"/>
    </row>
    <row r="791" spans="1:4" ht="12.75">
      <c r="A791" s="274"/>
      <c r="B791" s="274"/>
      <c r="C791" s="274"/>
      <c r="D791" s="274"/>
    </row>
    <row r="792" spans="1:4" ht="12.75">
      <c r="A792" s="274"/>
      <c r="B792" s="274"/>
      <c r="C792" s="274"/>
      <c r="D792" s="274"/>
    </row>
    <row r="793" spans="1:4" ht="12.75">
      <c r="A793" s="274"/>
      <c r="B793" s="274"/>
      <c r="C793" s="274"/>
      <c r="D793" s="274"/>
    </row>
    <row r="794" spans="1:4" ht="12.75">
      <c r="A794" s="274"/>
      <c r="B794" s="274"/>
      <c r="C794" s="274"/>
      <c r="D794" s="274"/>
    </row>
    <row r="795" spans="1:4" ht="12.75">
      <c r="A795" s="274"/>
      <c r="B795" s="274"/>
      <c r="C795" s="274"/>
      <c r="D795" s="274"/>
    </row>
    <row r="796" spans="1:4" ht="12.75">
      <c r="A796" s="274"/>
      <c r="B796" s="274"/>
      <c r="C796" s="274"/>
      <c r="D796" s="274"/>
    </row>
    <row r="797" spans="1:4" ht="12.75">
      <c r="A797" s="274"/>
      <c r="B797" s="274"/>
      <c r="C797" s="274"/>
      <c r="D797" s="274"/>
    </row>
    <row r="798" spans="1:4" ht="12.75">
      <c r="A798" s="274"/>
      <c r="B798" s="274"/>
      <c r="C798" s="274"/>
      <c r="D798" s="274"/>
    </row>
    <row r="799" spans="1:4" ht="12.75">
      <c r="A799" s="274"/>
      <c r="B799" s="274"/>
      <c r="C799" s="274"/>
      <c r="D799" s="274"/>
    </row>
    <row r="800" spans="1:4" ht="12.75">
      <c r="A800" s="274"/>
      <c r="B800" s="274"/>
      <c r="C800" s="274"/>
      <c r="D800" s="274"/>
    </row>
    <row r="801" spans="1:4" ht="12.75">
      <c r="A801" s="274"/>
      <c r="B801" s="274"/>
      <c r="C801" s="274"/>
      <c r="D801" s="274"/>
    </row>
    <row r="802" spans="1:4" ht="12.75">
      <c r="A802" s="274"/>
      <c r="B802" s="274"/>
      <c r="C802" s="274"/>
      <c r="D802" s="274"/>
    </row>
    <row r="803" spans="1:4" ht="12.75">
      <c r="A803" s="274"/>
      <c r="B803" s="274"/>
      <c r="C803" s="274"/>
      <c r="D803" s="274"/>
    </row>
    <row r="804" spans="1:4" ht="12.75">
      <c r="A804" s="274"/>
      <c r="B804" s="274"/>
      <c r="C804" s="274"/>
      <c r="D804" s="274"/>
    </row>
    <row r="805" spans="1:4" ht="12.75">
      <c r="A805" s="274"/>
      <c r="B805" s="274"/>
      <c r="C805" s="274"/>
      <c r="D805" s="274"/>
    </row>
    <row r="806" spans="1:4" ht="12.75">
      <c r="A806" s="274"/>
      <c r="B806" s="274"/>
      <c r="C806" s="274"/>
      <c r="D806" s="274"/>
    </row>
    <row r="807" spans="1:4" ht="12.75">
      <c r="A807" s="274"/>
      <c r="B807" s="274"/>
      <c r="C807" s="274"/>
      <c r="D807" s="274"/>
    </row>
    <row r="808" spans="1:4" ht="12.75">
      <c r="A808" s="274"/>
      <c r="B808" s="274"/>
      <c r="C808" s="274"/>
      <c r="D808" s="274"/>
    </row>
    <row r="809" spans="1:4" ht="12.75">
      <c r="A809" s="274"/>
      <c r="B809" s="274"/>
      <c r="C809" s="274"/>
      <c r="D809" s="274"/>
    </row>
    <row r="810" spans="1:4" ht="12.75">
      <c r="A810" s="274"/>
      <c r="B810" s="274"/>
      <c r="C810" s="274"/>
      <c r="D810" s="274"/>
    </row>
    <row r="811" spans="1:4" ht="12.75">
      <c r="A811" s="274"/>
      <c r="B811" s="274"/>
      <c r="C811" s="274"/>
      <c r="D811" s="274"/>
    </row>
    <row r="812" spans="1:4" ht="12.75">
      <c r="A812" s="274"/>
      <c r="B812" s="274"/>
      <c r="C812" s="274"/>
      <c r="D812" s="274"/>
    </row>
    <row r="813" spans="1:4" ht="12.75">
      <c r="A813" s="274"/>
      <c r="B813" s="274"/>
      <c r="C813" s="274"/>
      <c r="D813" s="274"/>
    </row>
    <row r="814" spans="1:4" ht="12.75">
      <c r="A814" s="274"/>
      <c r="B814" s="274"/>
      <c r="C814" s="274"/>
      <c r="D814" s="274"/>
    </row>
    <row r="815" spans="1:4" ht="12.75">
      <c r="A815" s="274"/>
      <c r="B815" s="274"/>
      <c r="C815" s="274"/>
      <c r="D815" s="274"/>
    </row>
    <row r="816" spans="1:4" ht="12.75">
      <c r="A816" s="274"/>
      <c r="B816" s="274"/>
      <c r="C816" s="274"/>
      <c r="D816" s="274"/>
    </row>
    <row r="817" spans="1:4" ht="12.75">
      <c r="A817" s="274"/>
      <c r="B817" s="274"/>
      <c r="C817" s="274"/>
      <c r="D817" s="274"/>
    </row>
    <row r="818" spans="1:4" ht="12.75">
      <c r="A818" s="274"/>
      <c r="B818" s="274"/>
      <c r="C818" s="274"/>
      <c r="D818" s="274"/>
    </row>
    <row r="819" spans="1:4" ht="12.75">
      <c r="A819" s="274"/>
      <c r="B819" s="274"/>
      <c r="C819" s="274"/>
      <c r="D819" s="274"/>
    </row>
    <row r="820" spans="1:4" ht="12.75">
      <c r="A820" s="274"/>
      <c r="B820" s="274"/>
      <c r="C820" s="274"/>
      <c r="D820" s="274"/>
    </row>
    <row r="821" spans="1:4" ht="12.75">
      <c r="A821" s="274"/>
      <c r="B821" s="274"/>
      <c r="C821" s="274"/>
      <c r="D821" s="274"/>
    </row>
    <row r="822" spans="1:4" ht="12.75">
      <c r="A822" s="274"/>
      <c r="B822" s="274"/>
      <c r="C822" s="274"/>
      <c r="D822" s="274"/>
    </row>
    <row r="823" spans="1:4" ht="12.75">
      <c r="A823" s="274"/>
      <c r="B823" s="274"/>
      <c r="C823" s="274"/>
      <c r="D823" s="274"/>
    </row>
    <row r="824" spans="1:4" ht="12.75">
      <c r="A824" s="274"/>
      <c r="B824" s="274"/>
      <c r="C824" s="274"/>
      <c r="D824" s="274"/>
    </row>
    <row r="825" spans="1:4" ht="12.75">
      <c r="A825" s="274"/>
      <c r="B825" s="274"/>
      <c r="C825" s="274"/>
      <c r="D825" s="274"/>
    </row>
    <row r="826" spans="1:4" ht="12.75">
      <c r="A826" s="274"/>
      <c r="B826" s="274"/>
      <c r="C826" s="274"/>
      <c r="D826" s="274"/>
    </row>
    <row r="827" spans="1:4" ht="12.75">
      <c r="A827" s="274"/>
      <c r="B827" s="274"/>
      <c r="C827" s="274"/>
      <c r="D827" s="274"/>
    </row>
    <row r="828" spans="1:4" ht="12.75">
      <c r="A828" s="274"/>
      <c r="B828" s="274"/>
      <c r="C828" s="274"/>
      <c r="D828" s="274"/>
    </row>
    <row r="829" spans="1:4" ht="12.75">
      <c r="A829" s="274"/>
      <c r="B829" s="274"/>
      <c r="C829" s="274"/>
      <c r="D829" s="274"/>
    </row>
    <row r="830" spans="1:4" ht="12.75">
      <c r="A830" s="274"/>
      <c r="B830" s="274"/>
      <c r="C830" s="274"/>
      <c r="D830" s="274"/>
    </row>
    <row r="831" spans="1:4" ht="12.75">
      <c r="A831" s="274"/>
      <c r="B831" s="274"/>
      <c r="C831" s="274"/>
      <c r="D831" s="274"/>
    </row>
    <row r="832" spans="1:4" ht="12.75">
      <c r="A832" s="274"/>
      <c r="B832" s="274"/>
      <c r="C832" s="274"/>
      <c r="D832" s="274"/>
    </row>
    <row r="833" spans="1:4" ht="12.75">
      <c r="A833" s="274"/>
      <c r="B833" s="274"/>
      <c r="C833" s="274"/>
      <c r="D833" s="274"/>
    </row>
    <row r="834" spans="1:4" ht="12.75">
      <c r="A834" s="274"/>
      <c r="B834" s="274"/>
      <c r="C834" s="274"/>
      <c r="D834" s="274"/>
    </row>
    <row r="835" spans="1:4" ht="12.75">
      <c r="A835" s="274"/>
      <c r="B835" s="274"/>
      <c r="C835" s="274"/>
      <c r="D835" s="274"/>
    </row>
    <row r="836" spans="1:4" ht="12.75">
      <c r="A836" s="274"/>
      <c r="B836" s="274"/>
      <c r="C836" s="274"/>
      <c r="D836" s="274"/>
    </row>
    <row r="837" spans="1:4" ht="12.75">
      <c r="A837" s="274"/>
      <c r="B837" s="274"/>
      <c r="C837" s="274"/>
      <c r="D837" s="274"/>
    </row>
    <row r="838" spans="1:4" ht="12.75">
      <c r="A838" s="274"/>
      <c r="B838" s="274"/>
      <c r="C838" s="274"/>
      <c r="D838" s="274"/>
    </row>
    <row r="839" spans="1:4" ht="12.75">
      <c r="A839" s="274"/>
      <c r="B839" s="274"/>
      <c r="C839" s="274"/>
      <c r="D839" s="274"/>
    </row>
    <row r="840" spans="1:4" ht="12.75">
      <c r="A840" s="274"/>
      <c r="B840" s="274"/>
      <c r="C840" s="274"/>
      <c r="D840" s="274"/>
    </row>
    <row r="841" spans="1:4" ht="12.75">
      <c r="A841" s="274"/>
      <c r="B841" s="274"/>
      <c r="C841" s="274"/>
      <c r="D841" s="274"/>
    </row>
    <row r="842" spans="1:4" ht="12.75">
      <c r="A842" s="274"/>
      <c r="B842" s="274"/>
      <c r="C842" s="274"/>
      <c r="D842" s="274"/>
    </row>
    <row r="843" spans="1:4" ht="12.75">
      <c r="A843" s="274"/>
      <c r="B843" s="274"/>
      <c r="C843" s="274"/>
      <c r="D843" s="274"/>
    </row>
    <row r="844" spans="1:4" ht="12.75">
      <c r="A844" s="274"/>
      <c r="B844" s="274"/>
      <c r="C844" s="274"/>
      <c r="D844" s="274"/>
    </row>
    <row r="845" spans="1:4" ht="12.75">
      <c r="A845" s="274"/>
      <c r="B845" s="274"/>
      <c r="C845" s="274"/>
      <c r="D845" s="274"/>
    </row>
    <row r="846" spans="1:4" ht="12.75">
      <c r="A846" s="274"/>
      <c r="B846" s="274"/>
      <c r="C846" s="274"/>
      <c r="D846" s="274"/>
    </row>
    <row r="847" spans="1:4" ht="12.75">
      <c r="A847" s="274"/>
      <c r="B847" s="274"/>
      <c r="C847" s="274"/>
      <c r="D847" s="274"/>
    </row>
    <row r="848" spans="1:4" ht="12.75">
      <c r="A848" s="274"/>
      <c r="B848" s="274"/>
      <c r="C848" s="274"/>
      <c r="D848" s="274"/>
    </row>
    <row r="849" spans="1:4" ht="12.75">
      <c r="A849" s="274"/>
      <c r="B849" s="274"/>
      <c r="C849" s="274"/>
      <c r="D849" s="274"/>
    </row>
    <row r="850" spans="1:4" ht="12.75">
      <c r="A850" s="274"/>
      <c r="B850" s="274"/>
      <c r="C850" s="274"/>
      <c r="D850" s="274"/>
    </row>
    <row r="851" spans="1:4" ht="12.75">
      <c r="A851" s="274"/>
      <c r="B851" s="274"/>
      <c r="C851" s="274"/>
      <c r="D851" s="274"/>
    </row>
    <row r="852" spans="1:4" ht="12.75">
      <c r="A852" s="274"/>
      <c r="B852" s="274"/>
      <c r="C852" s="274"/>
      <c r="D852" s="274"/>
    </row>
    <row r="853" spans="1:4" ht="12.75">
      <c r="A853" s="274"/>
      <c r="B853" s="274"/>
      <c r="C853" s="274"/>
      <c r="D853" s="274"/>
    </row>
    <row r="854" spans="1:4" ht="12.75">
      <c r="A854" s="274"/>
      <c r="B854" s="274"/>
      <c r="C854" s="274"/>
      <c r="D854" s="274"/>
    </row>
    <row r="855" spans="1:4" ht="12.75">
      <c r="A855" s="274"/>
      <c r="B855" s="274"/>
      <c r="C855" s="274"/>
      <c r="D855" s="274"/>
    </row>
    <row r="856" spans="1:4" ht="12.75">
      <c r="A856" s="274"/>
      <c r="B856" s="274"/>
      <c r="C856" s="274"/>
      <c r="D856" s="274"/>
    </row>
    <row r="857" spans="1:4" ht="12.75">
      <c r="A857" s="274"/>
      <c r="B857" s="274"/>
      <c r="C857" s="274"/>
      <c r="D857" s="274"/>
    </row>
    <row r="858" spans="1:4" ht="12.75">
      <c r="A858" s="274"/>
      <c r="B858" s="274"/>
      <c r="C858" s="274"/>
      <c r="D858" s="274"/>
    </row>
    <row r="859" spans="1:4" ht="12.75">
      <c r="A859" s="274"/>
      <c r="B859" s="274"/>
      <c r="C859" s="274"/>
      <c r="D859" s="274"/>
    </row>
    <row r="860" spans="1:4" ht="12.75">
      <c r="A860" s="274"/>
      <c r="B860" s="274"/>
      <c r="C860" s="274"/>
      <c r="D860" s="274"/>
    </row>
    <row r="861" spans="1:4" ht="12.75">
      <c r="A861" s="274"/>
      <c r="B861" s="274"/>
      <c r="C861" s="274"/>
      <c r="D861" s="274"/>
    </row>
    <row r="862" spans="1:4" ht="12.75">
      <c r="A862" s="274"/>
      <c r="B862" s="274"/>
      <c r="C862" s="274"/>
      <c r="D862" s="274"/>
    </row>
    <row r="863" spans="1:4" ht="12.75">
      <c r="A863" s="274"/>
      <c r="B863" s="274"/>
      <c r="C863" s="274"/>
      <c r="D863" s="274"/>
    </row>
    <row r="864" spans="1:4" ht="12.75">
      <c r="A864" s="274"/>
      <c r="B864" s="274"/>
      <c r="C864" s="274"/>
      <c r="D864" s="274"/>
    </row>
    <row r="865" spans="1:4" ht="12.75">
      <c r="A865" s="274"/>
      <c r="B865" s="274"/>
      <c r="C865" s="274"/>
      <c r="D865" s="274"/>
    </row>
    <row r="866" spans="1:4" ht="12.75">
      <c r="A866" s="274"/>
      <c r="B866" s="274"/>
      <c r="C866" s="274"/>
      <c r="D866" s="274"/>
    </row>
    <row r="867" spans="1:4" ht="12.75">
      <c r="A867" s="274"/>
      <c r="B867" s="274"/>
      <c r="C867" s="274"/>
      <c r="D867" s="274"/>
    </row>
    <row r="868" spans="1:4" ht="12.75">
      <c r="A868" s="274"/>
      <c r="B868" s="274"/>
      <c r="C868" s="274"/>
      <c r="D868" s="274"/>
    </row>
    <row r="869" spans="1:4" ht="12.75">
      <c r="A869" s="274"/>
      <c r="B869" s="274"/>
      <c r="C869" s="274"/>
      <c r="D869" s="274"/>
    </row>
    <row r="870" spans="1:4" ht="12.75">
      <c r="A870" s="274"/>
      <c r="B870" s="274"/>
      <c r="C870" s="274"/>
      <c r="D870" s="274"/>
    </row>
    <row r="871" spans="1:4" ht="12.75">
      <c r="A871" s="274"/>
      <c r="B871" s="274"/>
      <c r="C871" s="274"/>
      <c r="D871" s="274"/>
    </row>
    <row r="872" spans="1:4" ht="12.75">
      <c r="A872" s="274"/>
      <c r="B872" s="274"/>
      <c r="C872" s="274"/>
      <c r="D872" s="274"/>
    </row>
    <row r="873" spans="1:4" ht="12.75">
      <c r="A873" s="274"/>
      <c r="B873" s="274"/>
      <c r="C873" s="274"/>
      <c r="D873" s="274"/>
    </row>
    <row r="874" spans="1:4" ht="12.75">
      <c r="A874" s="274"/>
      <c r="B874" s="274"/>
      <c r="C874" s="274"/>
      <c r="D874" s="274"/>
    </row>
    <row r="875" spans="1:4" ht="12.75">
      <c r="A875" s="274"/>
      <c r="B875" s="274"/>
      <c r="C875" s="274"/>
      <c r="D875" s="274"/>
    </row>
    <row r="876" spans="1:4" ht="12.75">
      <c r="A876" s="274"/>
      <c r="B876" s="274"/>
      <c r="C876" s="274"/>
      <c r="D876" s="274"/>
    </row>
    <row r="877" spans="1:4" ht="12.75">
      <c r="A877" s="274"/>
      <c r="B877" s="274"/>
      <c r="C877" s="274"/>
      <c r="D877" s="274"/>
    </row>
    <row r="878" spans="1:4" ht="12.75">
      <c r="A878" s="274"/>
      <c r="B878" s="274"/>
      <c r="C878" s="274"/>
      <c r="D878" s="274"/>
    </row>
    <row r="879" spans="1:4" ht="12.75">
      <c r="A879" s="274"/>
      <c r="B879" s="274"/>
      <c r="C879" s="274"/>
      <c r="D879" s="274"/>
    </row>
    <row r="880" spans="1:4" ht="12.75">
      <c r="A880" s="274"/>
      <c r="B880" s="274"/>
      <c r="C880" s="274"/>
      <c r="D880" s="274"/>
    </row>
    <row r="881" spans="1:4" ht="12.75">
      <c r="A881" s="274"/>
      <c r="B881" s="274"/>
      <c r="C881" s="274"/>
      <c r="D881" s="274"/>
    </row>
    <row r="882" spans="1:4" ht="12.75">
      <c r="A882" s="274"/>
      <c r="B882" s="274"/>
      <c r="C882" s="274"/>
      <c r="D882" s="274"/>
    </row>
    <row r="883" spans="1:4" ht="12.75">
      <c r="A883" s="274"/>
      <c r="B883" s="274"/>
      <c r="C883" s="274"/>
      <c r="D883" s="274"/>
    </row>
    <row r="884" spans="1:4" ht="12.75">
      <c r="A884" s="274"/>
      <c r="B884" s="274"/>
      <c r="C884" s="274"/>
      <c r="D884" s="274"/>
    </row>
    <row r="885" spans="1:4" ht="12.75">
      <c r="A885" s="274"/>
      <c r="B885" s="274"/>
      <c r="C885" s="274"/>
      <c r="D885" s="274"/>
    </row>
    <row r="886" spans="1:4" ht="12.75">
      <c r="A886" s="274"/>
      <c r="B886" s="274"/>
      <c r="C886" s="274"/>
      <c r="D886" s="274"/>
    </row>
    <row r="887" spans="1:4" ht="12.75">
      <c r="A887" s="274"/>
      <c r="B887" s="274"/>
      <c r="C887" s="274"/>
      <c r="D887" s="274"/>
    </row>
    <row r="888" spans="1:4" ht="12.75">
      <c r="A888" s="274"/>
      <c r="B888" s="274"/>
      <c r="C888" s="274"/>
      <c r="D888" s="274"/>
    </row>
    <row r="889" spans="1:4" ht="12.75">
      <c r="A889" s="274"/>
      <c r="B889" s="274"/>
      <c r="C889" s="274"/>
      <c r="D889" s="274"/>
    </row>
    <row r="890" spans="1:4" ht="12.75">
      <c r="A890" s="274"/>
      <c r="B890" s="274"/>
      <c r="C890" s="274"/>
      <c r="D890" s="274"/>
    </row>
    <row r="891" spans="1:4" ht="12.75">
      <c r="A891" s="274"/>
      <c r="B891" s="274"/>
      <c r="C891" s="274"/>
      <c r="D891" s="274"/>
    </row>
    <row r="892" spans="1:4" ht="12.75">
      <c r="A892" s="274"/>
      <c r="B892" s="274"/>
      <c r="C892" s="274"/>
      <c r="D892" s="274"/>
    </row>
    <row r="893" spans="1:4" ht="12.75">
      <c r="A893" s="274"/>
      <c r="B893" s="274"/>
      <c r="C893" s="274"/>
      <c r="D893" s="274"/>
    </row>
    <row r="894" spans="1:4" ht="12.75">
      <c r="A894" s="274"/>
      <c r="B894" s="274"/>
      <c r="C894" s="274"/>
      <c r="D894" s="274"/>
    </row>
    <row r="895" spans="1:4" ht="12.75">
      <c r="A895" s="274"/>
      <c r="B895" s="274"/>
      <c r="C895" s="274"/>
      <c r="D895" s="274"/>
    </row>
    <row r="896" spans="1:4" ht="12.75">
      <c r="A896" s="274"/>
      <c r="B896" s="274"/>
      <c r="C896" s="274"/>
      <c r="D896" s="274"/>
    </row>
    <row r="897" spans="1:4" ht="12.75">
      <c r="A897" s="274"/>
      <c r="B897" s="274"/>
      <c r="C897" s="274"/>
      <c r="D897" s="274"/>
    </row>
    <row r="898" spans="1:4" ht="12.75">
      <c r="A898" s="274"/>
      <c r="B898" s="274"/>
      <c r="C898" s="274"/>
      <c r="D898" s="274"/>
    </row>
    <row r="899" spans="1:4" ht="12.75">
      <c r="A899" s="274"/>
      <c r="B899" s="274"/>
      <c r="C899" s="274"/>
      <c r="D899" s="274"/>
    </row>
    <row r="900" spans="1:4" ht="12.75">
      <c r="A900" s="274"/>
      <c r="B900" s="274"/>
      <c r="C900" s="274"/>
      <c r="D900" s="274"/>
    </row>
    <row r="901" spans="1:4" ht="12.75">
      <c r="A901" s="274"/>
      <c r="B901" s="274"/>
      <c r="C901" s="274"/>
      <c r="D901" s="274"/>
    </row>
    <row r="902" spans="1:4" ht="12.75">
      <c r="A902" s="274"/>
      <c r="B902" s="274"/>
      <c r="C902" s="274"/>
      <c r="D902" s="274"/>
    </row>
    <row r="903" spans="1:4" ht="12.75">
      <c r="A903" s="274"/>
      <c r="B903" s="274"/>
      <c r="C903" s="274"/>
      <c r="D903" s="274"/>
    </row>
    <row r="904" spans="1:4" ht="12.75">
      <c r="A904" s="274"/>
      <c r="B904" s="274"/>
      <c r="C904" s="274"/>
      <c r="D904" s="274"/>
    </row>
    <row r="905" spans="1:4" ht="12.75">
      <c r="A905" s="274"/>
      <c r="B905" s="274"/>
      <c r="C905" s="274"/>
      <c r="D905" s="274"/>
    </row>
    <row r="906" spans="1:4" ht="12.75">
      <c r="A906" s="274"/>
      <c r="B906" s="274"/>
      <c r="C906" s="274"/>
      <c r="D906" s="274"/>
    </row>
    <row r="907" spans="1:4" ht="12.75">
      <c r="A907" s="274"/>
      <c r="B907" s="274"/>
      <c r="C907" s="274"/>
      <c r="D907" s="274"/>
    </row>
    <row r="908" spans="1:4" ht="12.75">
      <c r="A908" s="274"/>
      <c r="B908" s="274"/>
      <c r="C908" s="274"/>
      <c r="D908" s="274"/>
    </row>
    <row r="909" spans="1:4" ht="12.75">
      <c r="A909" s="274"/>
      <c r="B909" s="274"/>
      <c r="C909" s="274"/>
      <c r="D909" s="274"/>
    </row>
    <row r="910" spans="1:4" ht="12.75">
      <c r="A910" s="274"/>
      <c r="B910" s="274"/>
      <c r="C910" s="274"/>
      <c r="D910" s="274"/>
    </row>
    <row r="911" spans="1:4" ht="12.75">
      <c r="A911" s="274"/>
      <c r="B911" s="274"/>
      <c r="C911" s="274"/>
      <c r="D911" s="274"/>
    </row>
    <row r="912" spans="1:4" ht="12.75">
      <c r="A912" s="274"/>
      <c r="B912" s="274"/>
      <c r="C912" s="274"/>
      <c r="D912" s="274"/>
    </row>
    <row r="913" spans="1:4" ht="12.75">
      <c r="A913" s="274"/>
      <c r="B913" s="274"/>
      <c r="C913" s="274"/>
      <c r="D913" s="274"/>
    </row>
    <row r="914" spans="1:4" ht="12.75">
      <c r="A914" s="274"/>
      <c r="B914" s="274"/>
      <c r="C914" s="274"/>
      <c r="D914" s="274"/>
    </row>
    <row r="915" spans="1:4" ht="12.75">
      <c r="A915" s="274"/>
      <c r="B915" s="274"/>
      <c r="C915" s="274"/>
      <c r="D915" s="274"/>
    </row>
    <row r="916" spans="1:4" ht="12.75">
      <c r="A916" s="274"/>
      <c r="B916" s="274"/>
      <c r="C916" s="274"/>
      <c r="D916" s="274"/>
    </row>
    <row r="917" spans="1:4" ht="12.75">
      <c r="A917" s="274"/>
      <c r="B917" s="274"/>
      <c r="C917" s="274"/>
      <c r="D917" s="274"/>
    </row>
    <row r="918" spans="1:4" ht="12.75">
      <c r="A918" s="274"/>
      <c r="B918" s="274"/>
      <c r="C918" s="274"/>
      <c r="D918" s="274"/>
    </row>
    <row r="919" spans="1:4" ht="12.75">
      <c r="A919" s="274"/>
      <c r="B919" s="274"/>
      <c r="C919" s="274"/>
      <c r="D919" s="274"/>
    </row>
    <row r="920" spans="1:4" ht="12.75">
      <c r="A920" s="274"/>
      <c r="B920" s="274"/>
      <c r="C920" s="274"/>
      <c r="D920" s="274"/>
    </row>
    <row r="921" spans="1:4" ht="12.75">
      <c r="A921" s="274"/>
      <c r="B921" s="274"/>
      <c r="C921" s="274"/>
      <c r="D921" s="274"/>
    </row>
    <row r="922" spans="1:4" ht="12.75">
      <c r="A922" s="274"/>
      <c r="B922" s="274"/>
      <c r="C922" s="274"/>
      <c r="D922" s="274"/>
    </row>
    <row r="923" spans="1:4" ht="12.75">
      <c r="A923" s="274"/>
      <c r="B923" s="274"/>
      <c r="C923" s="274"/>
      <c r="D923" s="274"/>
    </row>
    <row r="924" spans="1:4" ht="12.75">
      <c r="A924" s="274"/>
      <c r="B924" s="274"/>
      <c r="C924" s="274"/>
      <c r="D924" s="274"/>
    </row>
    <row r="925" spans="1:4" ht="12.75">
      <c r="A925" s="274"/>
      <c r="B925" s="274"/>
      <c r="C925" s="274"/>
      <c r="D925" s="274"/>
    </row>
    <row r="926" spans="1:4" ht="12.75">
      <c r="A926" s="274"/>
      <c r="B926" s="274"/>
      <c r="C926" s="274"/>
      <c r="D926" s="274"/>
    </row>
    <row r="927" spans="1:4" ht="12.75">
      <c r="A927" s="274"/>
      <c r="B927" s="274"/>
      <c r="C927" s="274"/>
      <c r="D927" s="274"/>
    </row>
    <row r="928" spans="1:4" ht="12.75">
      <c r="A928" s="274"/>
      <c r="B928" s="274"/>
      <c r="C928" s="274"/>
      <c r="D928" s="274"/>
    </row>
    <row r="929" spans="1:4" ht="12.75">
      <c r="A929" s="274"/>
      <c r="B929" s="274"/>
      <c r="C929" s="274"/>
      <c r="D929" s="274"/>
    </row>
    <row r="930" spans="1:4" ht="12.75">
      <c r="A930" s="274"/>
      <c r="B930" s="274"/>
      <c r="C930" s="274"/>
      <c r="D930" s="274"/>
    </row>
    <row r="931" spans="1:4" ht="12.75">
      <c r="A931" s="274"/>
      <c r="B931" s="274"/>
      <c r="C931" s="274"/>
      <c r="D931" s="274"/>
    </row>
    <row r="932" spans="1:4" ht="12.75">
      <c r="A932" s="274"/>
      <c r="B932" s="274"/>
      <c r="C932" s="274"/>
      <c r="D932" s="274"/>
    </row>
    <row r="933" spans="1:4" ht="12.75">
      <c r="A933" s="274"/>
      <c r="B933" s="274"/>
      <c r="C933" s="274"/>
      <c r="D933" s="274"/>
    </row>
    <row r="934" spans="1:4" ht="12.75">
      <c r="A934" s="274"/>
      <c r="B934" s="274"/>
      <c r="C934" s="274"/>
      <c r="D934" s="274"/>
    </row>
    <row r="935" spans="1:4" ht="12.75">
      <c r="A935" s="274"/>
      <c r="B935" s="274"/>
      <c r="C935" s="274"/>
      <c r="D935" s="274"/>
    </row>
    <row r="936" spans="1:4" ht="12.75">
      <c r="A936" s="274"/>
      <c r="B936" s="274"/>
      <c r="C936" s="274"/>
      <c r="D936" s="274"/>
    </row>
    <row r="937" spans="1:4" ht="12.75">
      <c r="A937" s="274"/>
      <c r="B937" s="274"/>
      <c r="C937" s="274"/>
      <c r="D937" s="274"/>
    </row>
    <row r="938" spans="1:4" ht="12.75">
      <c r="A938" s="274"/>
      <c r="B938" s="274"/>
      <c r="C938" s="274"/>
      <c r="D938" s="274"/>
    </row>
    <row r="939" spans="1:4" ht="12.75">
      <c r="A939" s="274"/>
      <c r="B939" s="274"/>
      <c r="C939" s="274"/>
      <c r="D939" s="274"/>
    </row>
    <row r="940" spans="1:4" ht="12.75">
      <c r="A940" s="274"/>
      <c r="B940" s="274"/>
      <c r="C940" s="274"/>
      <c r="D940" s="274"/>
    </row>
    <row r="941" spans="1:4" ht="12.75">
      <c r="A941" s="274"/>
      <c r="B941" s="274"/>
      <c r="C941" s="274"/>
      <c r="D941" s="274"/>
    </row>
    <row r="942" spans="1:4" ht="12.75">
      <c r="A942" s="274"/>
      <c r="B942" s="274"/>
      <c r="C942" s="274"/>
      <c r="D942" s="274"/>
    </row>
    <row r="943" spans="1:4" ht="12.75">
      <c r="A943" s="274"/>
      <c r="B943" s="274"/>
      <c r="C943" s="274"/>
      <c r="D943" s="274"/>
    </row>
    <row r="944" spans="1:4" ht="12.75">
      <c r="A944" s="274"/>
      <c r="B944" s="274"/>
      <c r="C944" s="274"/>
      <c r="D944" s="274"/>
    </row>
    <row r="945" spans="1:4" ht="12.75">
      <c r="A945" s="274"/>
      <c r="B945" s="274"/>
      <c r="C945" s="274"/>
      <c r="D945" s="274"/>
    </row>
    <row r="946" spans="1:4" ht="12.75">
      <c r="A946" s="274"/>
      <c r="B946" s="274"/>
      <c r="C946" s="274"/>
      <c r="D946" s="274"/>
    </row>
    <row r="947" spans="1:4" ht="12.75">
      <c r="A947" s="274"/>
      <c r="B947" s="274"/>
      <c r="C947" s="274"/>
      <c r="D947" s="274"/>
    </row>
    <row r="948" spans="1:4" ht="12.75">
      <c r="A948" s="274"/>
      <c r="B948" s="274"/>
      <c r="C948" s="274"/>
      <c r="D948" s="274"/>
    </row>
    <row r="949" spans="1:4" ht="12.75">
      <c r="A949" s="274"/>
      <c r="B949" s="274"/>
      <c r="C949" s="274"/>
      <c r="D949" s="274"/>
    </row>
    <row r="950" spans="1:4" ht="12.75">
      <c r="A950" s="274"/>
      <c r="B950" s="274"/>
      <c r="C950" s="274"/>
      <c r="D950" s="274"/>
    </row>
    <row r="951" spans="1:4" ht="12.75">
      <c r="A951" s="274"/>
      <c r="B951" s="274"/>
      <c r="C951" s="274"/>
      <c r="D951" s="274"/>
    </row>
    <row r="952" spans="1:4" ht="12.75">
      <c r="A952" s="274"/>
      <c r="B952" s="274"/>
      <c r="C952" s="274"/>
      <c r="D952" s="274"/>
    </row>
    <row r="953" spans="1:4" ht="12.75">
      <c r="A953" s="274"/>
      <c r="B953" s="274"/>
      <c r="C953" s="274"/>
      <c r="D953" s="274"/>
    </row>
    <row r="954" spans="1:4" ht="12.75">
      <c r="A954" s="274"/>
      <c r="B954" s="274"/>
      <c r="C954" s="274"/>
      <c r="D954" s="274"/>
    </row>
    <row r="955" spans="1:4" ht="12.75">
      <c r="A955" s="274"/>
      <c r="B955" s="274"/>
      <c r="C955" s="274"/>
      <c r="D955" s="274"/>
    </row>
    <row r="956" spans="1:4" ht="12.75">
      <c r="A956" s="274"/>
      <c r="B956" s="274"/>
      <c r="C956" s="274"/>
      <c r="D956" s="274"/>
    </row>
    <row r="957" spans="1:4" ht="12.75">
      <c r="A957" s="274"/>
      <c r="B957" s="274"/>
      <c r="C957" s="274"/>
      <c r="D957" s="274"/>
    </row>
    <row r="958" spans="1:4" ht="12.75">
      <c r="A958" s="274"/>
      <c r="B958" s="274"/>
      <c r="C958" s="274"/>
      <c r="D958" s="274"/>
    </row>
    <row r="959" spans="1:4" ht="12.75">
      <c r="A959" s="274"/>
      <c r="B959" s="274"/>
      <c r="C959" s="274"/>
      <c r="D959" s="274"/>
    </row>
    <row r="960" spans="1:4" ht="12.75">
      <c r="A960" s="274"/>
      <c r="B960" s="274"/>
      <c r="C960" s="274"/>
      <c r="D960" s="274"/>
    </row>
    <row r="961" spans="1:4" ht="12.75">
      <c r="A961" s="274"/>
      <c r="B961" s="274"/>
      <c r="C961" s="274"/>
      <c r="D961" s="274"/>
    </row>
    <row r="962" spans="1:4" ht="12.75">
      <c r="A962" s="274"/>
      <c r="B962" s="274"/>
      <c r="C962" s="274"/>
      <c r="D962" s="274"/>
    </row>
    <row r="963" spans="1:4" ht="12.75">
      <c r="A963" s="274"/>
      <c r="B963" s="274"/>
      <c r="C963" s="274"/>
      <c r="D963" s="274"/>
    </row>
    <row r="964" spans="1:4" ht="12.75">
      <c r="A964" s="274"/>
      <c r="B964" s="274"/>
      <c r="C964" s="274"/>
      <c r="D964" s="274"/>
    </row>
    <row r="965" spans="1:4" ht="12.75">
      <c r="A965" s="274"/>
      <c r="B965" s="274"/>
      <c r="C965" s="274"/>
      <c r="D965" s="274"/>
    </row>
    <row r="966" spans="1:4" ht="12.75">
      <c r="A966" s="274"/>
      <c r="B966" s="274"/>
      <c r="C966" s="274"/>
      <c r="D966" s="274"/>
    </row>
    <row r="967" spans="1:4" ht="12.75">
      <c r="A967" s="274"/>
      <c r="B967" s="274"/>
      <c r="C967" s="274"/>
      <c r="D967" s="274"/>
    </row>
    <row r="968" spans="1:4" ht="12.75">
      <c r="A968" s="274"/>
      <c r="B968" s="274"/>
      <c r="C968" s="274"/>
      <c r="D968" s="274"/>
    </row>
    <row r="969" spans="1:4" ht="12.75">
      <c r="A969" s="274"/>
      <c r="B969" s="274"/>
      <c r="C969" s="274"/>
      <c r="D969" s="274"/>
    </row>
    <row r="970" spans="1:4" ht="12.75">
      <c r="A970" s="274"/>
      <c r="B970" s="274"/>
      <c r="C970" s="274"/>
      <c r="D970" s="274"/>
    </row>
    <row r="971" spans="1:4" ht="12.75">
      <c r="A971" s="274"/>
      <c r="B971" s="274"/>
      <c r="C971" s="274"/>
      <c r="D971" s="274"/>
    </row>
    <row r="972" spans="1:4" ht="12.75">
      <c r="A972" s="274"/>
      <c r="B972" s="274"/>
      <c r="C972" s="274"/>
      <c r="D972" s="274"/>
    </row>
    <row r="973" spans="1:4" ht="12.75">
      <c r="A973" s="274"/>
      <c r="B973" s="274"/>
      <c r="C973" s="274"/>
      <c r="D973" s="274"/>
    </row>
    <row r="974" spans="1:4" ht="12.75">
      <c r="A974" s="274"/>
      <c r="B974" s="274"/>
      <c r="C974" s="274"/>
      <c r="D974" s="274"/>
    </row>
    <row r="975" spans="1:4" ht="12.75">
      <c r="A975" s="274"/>
      <c r="B975" s="274"/>
      <c r="C975" s="274"/>
      <c r="D975" s="274"/>
    </row>
    <row r="976" spans="1:4" ht="12.75">
      <c r="A976" s="274"/>
      <c r="B976" s="274"/>
      <c r="C976" s="274"/>
      <c r="D976" s="274"/>
    </row>
    <row r="977" spans="1:4" ht="12.75">
      <c r="A977" s="274"/>
      <c r="B977" s="274"/>
      <c r="C977" s="274"/>
      <c r="D977" s="274"/>
    </row>
    <row r="978" spans="1:4" ht="12.75">
      <c r="A978" s="274"/>
      <c r="B978" s="274"/>
      <c r="C978" s="274"/>
      <c r="D978" s="274"/>
    </row>
    <row r="979" spans="1:4" ht="12.75">
      <c r="A979" s="274"/>
      <c r="B979" s="274"/>
      <c r="C979" s="274"/>
      <c r="D979" s="274"/>
    </row>
    <row r="980" spans="1:4" ht="12.75">
      <c r="A980" s="274"/>
      <c r="B980" s="274"/>
      <c r="C980" s="274"/>
      <c r="D980" s="274"/>
    </row>
    <row r="981" spans="1:4" ht="12.75">
      <c r="A981" s="274"/>
      <c r="B981" s="274"/>
      <c r="C981" s="274"/>
      <c r="D981" s="274"/>
    </row>
    <row r="982" spans="1:4" ht="12.75">
      <c r="A982" s="274"/>
      <c r="B982" s="274"/>
      <c r="C982" s="274"/>
      <c r="D982" s="274"/>
    </row>
    <row r="983" spans="1:4" ht="12.75">
      <c r="A983" s="274"/>
      <c r="B983" s="274"/>
      <c r="C983" s="274"/>
      <c r="D983" s="274"/>
    </row>
    <row r="984" spans="1:4" ht="12.75">
      <c r="A984" s="274"/>
      <c r="B984" s="274"/>
      <c r="C984" s="274"/>
      <c r="D984" s="274"/>
    </row>
    <row r="985" spans="1:4" ht="12.75">
      <c r="A985" s="274"/>
      <c r="B985" s="274"/>
      <c r="C985" s="274"/>
      <c r="D985" s="274"/>
    </row>
    <row r="986" spans="1:4" ht="12.75">
      <c r="A986" s="274"/>
      <c r="B986" s="274"/>
      <c r="C986" s="274"/>
      <c r="D986" s="274"/>
    </row>
    <row r="987" spans="1:4" ht="12.75">
      <c r="A987" s="274"/>
      <c r="B987" s="274"/>
      <c r="C987" s="274"/>
      <c r="D987" s="274"/>
    </row>
    <row r="988" spans="1:4" ht="12.75">
      <c r="A988" s="274"/>
      <c r="B988" s="274"/>
      <c r="C988" s="274"/>
      <c r="D988" s="274"/>
    </row>
    <row r="989" spans="1:4" ht="12.75">
      <c r="A989" s="274"/>
      <c r="B989" s="274"/>
      <c r="C989" s="274"/>
      <c r="D989" s="274"/>
    </row>
    <row r="990" spans="1:4" ht="12.75">
      <c r="A990" s="274"/>
      <c r="B990" s="274"/>
      <c r="C990" s="274"/>
      <c r="D990" s="274"/>
    </row>
    <row r="991" spans="1:4" ht="12.75">
      <c r="A991" s="274"/>
      <c r="B991" s="274"/>
      <c r="C991" s="274"/>
      <c r="D991" s="274"/>
    </row>
    <row r="992" spans="1:4" ht="12.75">
      <c r="A992" s="274"/>
      <c r="B992" s="274"/>
      <c r="C992" s="274"/>
      <c r="D992" s="274"/>
    </row>
    <row r="993" spans="1:4" ht="12.75">
      <c r="A993" s="274"/>
      <c r="B993" s="274"/>
      <c r="C993" s="274"/>
      <c r="D993" s="274"/>
    </row>
    <row r="994" spans="1:4" ht="12.75">
      <c r="A994" s="274"/>
      <c r="B994" s="274"/>
      <c r="C994" s="274"/>
      <c r="D994" s="274"/>
    </row>
    <row r="995" spans="1:4" ht="12.75">
      <c r="A995" s="274"/>
      <c r="B995" s="274"/>
      <c r="C995" s="274"/>
      <c r="D995" s="274"/>
    </row>
    <row r="996" spans="1:4" ht="12.75">
      <c r="A996" s="274"/>
      <c r="B996" s="274"/>
      <c r="C996" s="274"/>
      <c r="D996" s="274"/>
    </row>
    <row r="997" spans="1:4" ht="12.75">
      <c r="A997" s="274"/>
      <c r="B997" s="274"/>
      <c r="C997" s="274"/>
      <c r="D997" s="274"/>
    </row>
    <row r="998" spans="1:4" ht="12.75">
      <c r="A998" s="274"/>
      <c r="B998" s="274"/>
      <c r="C998" s="274"/>
      <c r="D998" s="274"/>
    </row>
    <row r="999" spans="1:4" ht="12.75">
      <c r="A999" s="274"/>
      <c r="B999" s="274"/>
      <c r="C999" s="274"/>
      <c r="D999" s="274"/>
    </row>
    <row r="1000" spans="1:4" ht="12.75">
      <c r="A1000" s="274"/>
      <c r="B1000" s="274"/>
      <c r="C1000" s="274"/>
      <c r="D1000" s="274"/>
    </row>
    <row r="1001" spans="1:4" ht="12.75">
      <c r="A1001" s="274"/>
      <c r="B1001" s="274"/>
      <c r="C1001" s="274"/>
      <c r="D1001" s="274"/>
    </row>
  </sheetData>
  <autoFilter ref="A1:D106"/>
  <conditionalFormatting sqref="B104:B106">
    <cfRule type="beginsWith" dxfId="89" priority="1" operator="beginsWith" text="A">
      <formula>LEFT((B104),LEN("A"))=("A")</formula>
    </cfRule>
  </conditionalFormatting>
  <conditionalFormatting sqref="A1:A1001">
    <cfRule type="beginsWith" dxfId="88" priority="2" operator="beginsWith" text="Faber">
      <formula>LEFT((A1),LEN("Faber"))=("Faber")</formula>
    </cfRule>
  </conditionalFormatting>
  <conditionalFormatting sqref="A1:A1001">
    <cfRule type="beginsWith" dxfId="87" priority="3" operator="beginsWith" text="Luis Eduardo Argumedo Calderón">
      <formula>LEFT((A1),LEN("Luis Eduardo Argumedo Calderón"))=("Luis Eduardo Argumedo Calderón")</formula>
    </cfRule>
  </conditionalFormatting>
  <conditionalFormatting sqref="C2:C76 C78:C1001">
    <cfRule type="cellIs" dxfId="86" priority="4" operator="equal">
      <formula>"Sur del cesar"</formula>
    </cfRule>
  </conditionalFormatting>
  <conditionalFormatting sqref="A2:A1001">
    <cfRule type="beginsWith" dxfId="85" priority="5" operator="beginsWith" text="Oscar Esteban Cardona Hoyos">
      <formula>LEFT((A2),LEN("Oscar Esteban Cardona Hoyos"))=("Oscar Esteban Cardona Hoyos")</formula>
    </cfRule>
  </conditionalFormatting>
  <conditionalFormatting sqref="C1:C76 C78:C1001">
    <cfRule type="beginsWith" dxfId="84" priority="6" operator="beginsWith" text="Magdalena Medio">
      <formula>LEFT((C1),LEN("Magdalena Medio"))=("Magdalena Medio")</formula>
    </cfRule>
  </conditionalFormatting>
  <conditionalFormatting sqref="A1:A1001">
    <cfRule type="containsText" dxfId="83" priority="7" operator="containsText" text="Jaime Mauricio Rodriguez">
      <formula>NOT(ISERROR(SEARCH(("Jaime Mauricio Rodriguez"),(A1))))</formula>
    </cfRule>
  </conditionalFormatting>
  <conditionalFormatting sqref="C1:C76 C78:C1001">
    <cfRule type="containsText" dxfId="82" priority="8" operator="containsText" text="Valledupar">
      <formula>NOT(ISERROR(SEARCH(("Valledupar"),(C1))))</formula>
    </cfRule>
  </conditionalFormatting>
  <conditionalFormatting sqref="C1:C76 C78:C1001">
    <cfRule type="containsText" dxfId="81" priority="9" operator="containsText" text="Costa">
      <formula>NOT(ISERROR(SEARCH(("Costa"),(C1))))</formula>
    </cfRule>
  </conditionalFormatting>
  <conditionalFormatting sqref="C1:C76 C78:C1001">
    <cfRule type="containsText" dxfId="80" priority="10" operator="containsText" text="Cesar">
      <formula>NOT(ISERROR(SEARCH(("Cesar"),(C1))))</formula>
    </cfRule>
  </conditionalFormatting>
  <conditionalFormatting sqref="C1:C1001">
    <cfRule type="containsText" dxfId="79" priority="11" operator="containsText" text="Antioquia">
      <formula>NOT(ISERROR(SEARCH(("Antioquia"),(C1))))</formula>
    </cfRule>
  </conditionalFormatting>
  <conditionalFormatting sqref="A1:A1001">
    <cfRule type="containsText" dxfId="78" priority="12" operator="containsText" text="Brayan">
      <formula>NOT(ISERROR(SEARCH(("Brayan"),(A1))))</formula>
    </cfRule>
  </conditionalFormatting>
  <conditionalFormatting sqref="C1:C1001">
    <cfRule type="containsText" dxfId="77" priority="13" operator="containsText" text="Llanos">
      <formula>NOT(ISERROR(SEARCH(("Llanos"),(C1))))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73763"/>
    <outlinePr summaryBelow="0" summaryRight="0"/>
  </sheetPr>
  <dimension ref="A1:L100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5703125" defaultRowHeight="15.75" customHeight="1"/>
  <cols>
    <col min="1" max="1" width="22.5703125" customWidth="1"/>
    <col min="2" max="2" width="8.140625" customWidth="1"/>
    <col min="4" max="4" width="13" customWidth="1"/>
    <col min="5" max="5" width="11.140625" customWidth="1"/>
    <col min="6" max="6" width="10.140625" customWidth="1"/>
    <col min="7" max="7" width="26" customWidth="1"/>
    <col min="8" max="8" width="11.140625" customWidth="1"/>
    <col min="9" max="9" width="6.140625" customWidth="1"/>
    <col min="10" max="10" width="4.7109375" customWidth="1"/>
    <col min="11" max="11" width="11.5703125" customWidth="1"/>
    <col min="12" max="12" width="14.7109375" customWidth="1"/>
  </cols>
  <sheetData>
    <row r="1" spans="1:12" ht="42.75" customHeight="1">
      <c r="A1" s="386" t="s">
        <v>0</v>
      </c>
      <c r="B1" s="386" t="s">
        <v>3415</v>
      </c>
      <c r="C1" s="387" t="s">
        <v>4704</v>
      </c>
      <c r="D1" s="387" t="s">
        <v>4705</v>
      </c>
      <c r="E1" s="387" t="s">
        <v>4706</v>
      </c>
      <c r="F1" s="388" t="s">
        <v>5</v>
      </c>
      <c r="G1" s="387" t="s">
        <v>4707</v>
      </c>
      <c r="H1" s="388" t="s">
        <v>3424</v>
      </c>
      <c r="I1" s="389" t="s">
        <v>3421</v>
      </c>
      <c r="J1" s="386" t="s">
        <v>3423</v>
      </c>
      <c r="K1" s="390" t="s">
        <v>11</v>
      </c>
      <c r="L1" s="389" t="s">
        <v>4708</v>
      </c>
    </row>
    <row r="2" spans="1:12" ht="12.75">
      <c r="A2" s="391" t="s">
        <v>4709</v>
      </c>
      <c r="B2" s="392" t="s">
        <v>3557</v>
      </c>
      <c r="C2" s="393" t="str">
        <f>VLOOKUP(B2,Fincas!$A$2:$C$1005,2,0)</f>
        <v>F_San Clemente</v>
      </c>
      <c r="D2" s="394">
        <v>44718</v>
      </c>
      <c r="E2" s="395">
        <v>44748</v>
      </c>
      <c r="F2" s="396">
        <v>7008149</v>
      </c>
      <c r="G2" s="396" t="str">
        <f>VLOOKUP(F2,Materiales!$A$2:$B$1004,2,0)</f>
        <v>Res ternero nacido ganadería</v>
      </c>
      <c r="H2" s="397" t="s">
        <v>4710</v>
      </c>
      <c r="I2" s="397">
        <v>40</v>
      </c>
      <c r="J2" s="398">
        <v>2</v>
      </c>
      <c r="K2" s="399">
        <v>7254674512</v>
      </c>
      <c r="L2" s="400" t="s">
        <v>3954</v>
      </c>
    </row>
    <row r="3" spans="1:12" ht="12.75">
      <c r="A3" s="401" t="s">
        <v>4709</v>
      </c>
      <c r="B3" s="402" t="s">
        <v>3557</v>
      </c>
      <c r="C3" s="403" t="str">
        <f>VLOOKUP(B3,Fincas!$A$2:$C$1005,2,0)</f>
        <v>F_San Clemente</v>
      </c>
      <c r="D3" s="404">
        <v>44718</v>
      </c>
      <c r="E3" s="405">
        <v>44748</v>
      </c>
      <c r="F3" s="406">
        <v>7008150</v>
      </c>
      <c r="G3" s="407" t="str">
        <f>VLOOKUP(F3,Materiales!$A$2:$B$1004,2,0)</f>
        <v>Res ternera nacida ganadería</v>
      </c>
      <c r="H3" s="408" t="s">
        <v>4711</v>
      </c>
      <c r="I3" s="408">
        <v>20</v>
      </c>
      <c r="J3" s="409">
        <v>1</v>
      </c>
      <c r="K3" s="410">
        <v>7254674512</v>
      </c>
      <c r="L3" s="411" t="s">
        <v>3954</v>
      </c>
    </row>
    <row r="4" spans="1:12" ht="12.75">
      <c r="A4" s="412" t="s">
        <v>4712</v>
      </c>
      <c r="B4" s="402" t="s">
        <v>3498</v>
      </c>
      <c r="C4" s="403" t="str">
        <f>VLOOKUP(B4,Fincas!$A$2:$C$1005,2,0)</f>
        <v>F_Jordan</v>
      </c>
      <c r="D4" s="404">
        <v>44782</v>
      </c>
      <c r="E4" s="405">
        <v>44795</v>
      </c>
      <c r="F4" s="413">
        <v>7008149</v>
      </c>
      <c r="G4" s="414" t="str">
        <f>VLOOKUP(F4,Materiales!$A$2:$B$1004,2,0)</f>
        <v>Res ternero nacido ganadería</v>
      </c>
      <c r="H4" s="408" t="s">
        <v>4713</v>
      </c>
      <c r="I4" s="413">
        <v>20</v>
      </c>
      <c r="J4" s="415">
        <v>1</v>
      </c>
      <c r="K4" s="410">
        <v>7279416024</v>
      </c>
      <c r="L4" s="416" t="s">
        <v>3954</v>
      </c>
    </row>
    <row r="5" spans="1:12" ht="12.75">
      <c r="A5" s="417" t="s">
        <v>4714</v>
      </c>
      <c r="B5" s="402" t="s">
        <v>3732</v>
      </c>
      <c r="C5" s="403" t="str">
        <f>VLOOKUP(B5,Fincas!$A$2:$C$1005,2,0)</f>
        <v>F_El Milagro</v>
      </c>
      <c r="D5" s="404">
        <v>44797</v>
      </c>
      <c r="E5" s="405">
        <v>44798</v>
      </c>
      <c r="F5" s="406">
        <v>7008150</v>
      </c>
      <c r="G5" s="414" t="str">
        <f>VLOOKUP(F5,Materiales!$A$2:$B$1004,2,0)</f>
        <v>Res ternera nacida ganadería</v>
      </c>
      <c r="H5" s="413" t="s">
        <v>4715</v>
      </c>
      <c r="I5" s="413">
        <v>60</v>
      </c>
      <c r="J5" s="415">
        <v>3</v>
      </c>
      <c r="K5" s="410">
        <v>7286583007</v>
      </c>
      <c r="L5" s="416" t="s">
        <v>3954</v>
      </c>
    </row>
    <row r="6" spans="1:12" ht="12.75">
      <c r="A6" s="412" t="s">
        <v>4712</v>
      </c>
      <c r="B6" s="402" t="s">
        <v>3498</v>
      </c>
      <c r="C6" s="403" t="str">
        <f>VLOOKUP(B6,Fincas!$A$2:$C$1005,2,0)</f>
        <v>F_Jordan</v>
      </c>
      <c r="D6" s="404">
        <v>44860</v>
      </c>
      <c r="E6" s="405">
        <v>44860</v>
      </c>
      <c r="F6" s="413">
        <v>7008149</v>
      </c>
      <c r="G6" s="414" t="str">
        <f>VLOOKUP(F6,Materiales!$A$2:$B$1004,2,0)</f>
        <v>Res ternero nacido ganadería</v>
      </c>
      <c r="H6" s="413" t="s">
        <v>4716</v>
      </c>
      <c r="I6" s="413">
        <v>60</v>
      </c>
      <c r="J6" s="415">
        <v>3</v>
      </c>
      <c r="K6" s="410">
        <v>7332992150</v>
      </c>
      <c r="L6" s="416" t="s">
        <v>3954</v>
      </c>
    </row>
    <row r="7" spans="1:12" ht="12.75">
      <c r="A7" s="412" t="s">
        <v>4712</v>
      </c>
      <c r="B7" s="402" t="s">
        <v>3498</v>
      </c>
      <c r="C7" s="403" t="str">
        <f>VLOOKUP(B7,Fincas!$A$2:$C$1005,2,0)</f>
        <v>F_Jordan</v>
      </c>
      <c r="D7" s="404">
        <v>44860</v>
      </c>
      <c r="E7" s="405">
        <v>44860</v>
      </c>
      <c r="F7" s="406">
        <v>7008150</v>
      </c>
      <c r="G7" s="414" t="str">
        <f>VLOOKUP(F7,Materiales!$A$2:$B$1004,2,0)</f>
        <v>Res ternera nacida ganadería</v>
      </c>
      <c r="H7" s="413" t="s">
        <v>4717</v>
      </c>
      <c r="I7" s="413">
        <v>20</v>
      </c>
      <c r="J7" s="415">
        <v>1</v>
      </c>
      <c r="K7" s="410">
        <v>7332992150</v>
      </c>
      <c r="L7" s="416" t="s">
        <v>3954</v>
      </c>
    </row>
    <row r="8" spans="1:12" ht="12.75">
      <c r="A8" s="418" t="s">
        <v>4718</v>
      </c>
      <c r="B8" s="408" t="s">
        <v>3460</v>
      </c>
      <c r="C8" s="403" t="str">
        <f>VLOOKUP(B8,Fincas!$A$2:$C$1005,2,0)</f>
        <v>F_Holanda</v>
      </c>
      <c r="D8" s="404">
        <v>44882</v>
      </c>
      <c r="E8" s="405">
        <v>44886</v>
      </c>
      <c r="F8" s="413">
        <v>7008149</v>
      </c>
      <c r="G8" s="414" t="str">
        <f>VLOOKUP(F8,Materiales!$A$2:$B$1004,2,0)</f>
        <v>Res ternero nacido ganadería</v>
      </c>
      <c r="H8" s="413" t="s">
        <v>4719</v>
      </c>
      <c r="I8" s="413">
        <v>80</v>
      </c>
      <c r="J8" s="415">
        <v>4</v>
      </c>
      <c r="K8" s="410">
        <v>7337527985</v>
      </c>
      <c r="L8" s="416" t="s">
        <v>3952</v>
      </c>
    </row>
    <row r="9" spans="1:12" ht="12.75">
      <c r="A9" s="418" t="s">
        <v>4718</v>
      </c>
      <c r="B9" s="408" t="s">
        <v>3460</v>
      </c>
      <c r="C9" s="403" t="str">
        <f>VLOOKUP(B9,Fincas!$A$2:$C$1005,2,0)</f>
        <v>F_Holanda</v>
      </c>
      <c r="D9" s="404">
        <v>44882</v>
      </c>
      <c r="E9" s="405">
        <v>44886</v>
      </c>
      <c r="F9" s="406">
        <v>7008150</v>
      </c>
      <c r="G9" s="414" t="str">
        <f>VLOOKUP(F9,Materiales!$A$2:$B$1004,2,0)</f>
        <v>Res ternera nacida ganadería</v>
      </c>
      <c r="H9" s="419" t="s">
        <v>4720</v>
      </c>
      <c r="I9" s="413">
        <v>20</v>
      </c>
      <c r="J9" s="415">
        <v>1</v>
      </c>
      <c r="K9" s="410">
        <v>7337527985</v>
      </c>
      <c r="L9" s="416" t="s">
        <v>3952</v>
      </c>
    </row>
    <row r="10" spans="1:12" ht="12.75">
      <c r="A10" s="417" t="s">
        <v>4714</v>
      </c>
      <c r="B10" s="402" t="s">
        <v>3732</v>
      </c>
      <c r="C10" s="403" t="str">
        <f>VLOOKUP(B10,Fincas!$A$2:$C$1005,2,0)</f>
        <v>F_El Milagro</v>
      </c>
      <c r="D10" s="404">
        <v>44907</v>
      </c>
      <c r="E10" s="405">
        <v>44912</v>
      </c>
      <c r="F10" s="413">
        <v>7008149</v>
      </c>
      <c r="G10" s="414" t="str">
        <f>VLOOKUP(F10,Materiales!$A$2:$B$1004,2,0)</f>
        <v>Res ternero nacido ganadería</v>
      </c>
      <c r="H10" s="413" t="s">
        <v>4721</v>
      </c>
      <c r="I10" s="413">
        <v>80</v>
      </c>
      <c r="J10" s="415">
        <v>4</v>
      </c>
      <c r="K10" s="420">
        <v>7356368474</v>
      </c>
      <c r="L10" s="416" t="s">
        <v>3954</v>
      </c>
    </row>
    <row r="11" spans="1:12" ht="12.75">
      <c r="A11" s="417" t="s">
        <v>4714</v>
      </c>
      <c r="B11" s="402" t="s">
        <v>3732</v>
      </c>
      <c r="C11" s="403" t="str">
        <f>VLOOKUP(B11,Fincas!$A$2:$C$1005,2,0)</f>
        <v>F_El Milagro</v>
      </c>
      <c r="D11" s="404">
        <v>44907</v>
      </c>
      <c r="E11" s="405">
        <v>44912</v>
      </c>
      <c r="F11" s="406">
        <v>7008150</v>
      </c>
      <c r="G11" s="414" t="str">
        <f>VLOOKUP(F11,Materiales!$A$2:$B$1004,2,0)</f>
        <v>Res ternera nacida ganadería</v>
      </c>
      <c r="H11" s="413" t="s">
        <v>4722</v>
      </c>
      <c r="I11" s="413">
        <v>40</v>
      </c>
      <c r="J11" s="415">
        <v>2</v>
      </c>
      <c r="K11" s="420">
        <v>7356368474</v>
      </c>
      <c r="L11" s="416" t="s">
        <v>3954</v>
      </c>
    </row>
    <row r="12" spans="1:12" ht="12.75">
      <c r="A12" s="417" t="s">
        <v>4723</v>
      </c>
      <c r="B12" s="408" t="s">
        <v>4093</v>
      </c>
      <c r="C12" s="403" t="str">
        <f>VLOOKUP(B12,Fincas!$A$2:$C$1005,2,0)</f>
        <v>F_Chinulito</v>
      </c>
      <c r="D12" s="404">
        <v>44911</v>
      </c>
      <c r="E12" s="405">
        <v>44912</v>
      </c>
      <c r="F12" s="413">
        <v>7008149</v>
      </c>
      <c r="G12" s="414" t="str">
        <f>VLOOKUP(F12,Materiales!$A$2:$B$1004,2,0)</f>
        <v>Res ternero nacido ganadería</v>
      </c>
      <c r="H12" s="413" t="s">
        <v>4724</v>
      </c>
      <c r="I12" s="413">
        <v>120</v>
      </c>
      <c r="J12" s="415">
        <v>6</v>
      </c>
      <c r="K12" s="420">
        <v>7356468641</v>
      </c>
      <c r="L12" s="416" t="s">
        <v>3954</v>
      </c>
    </row>
    <row r="13" spans="1:12" ht="12.75">
      <c r="A13" s="417" t="s">
        <v>4723</v>
      </c>
      <c r="B13" s="408" t="s">
        <v>4093</v>
      </c>
      <c r="C13" s="403" t="str">
        <f>VLOOKUP(B13,Fincas!$A$2:$C$1005,2,0)</f>
        <v>F_Chinulito</v>
      </c>
      <c r="D13" s="404">
        <v>44911</v>
      </c>
      <c r="E13" s="405">
        <v>44912</v>
      </c>
      <c r="F13" s="406">
        <v>7008150</v>
      </c>
      <c r="G13" s="414" t="str">
        <f>VLOOKUP(F13,Materiales!$A$2:$B$1004,2,0)</f>
        <v>Res ternera nacida ganadería</v>
      </c>
      <c r="H13" s="413" t="s">
        <v>4725</v>
      </c>
      <c r="I13" s="413">
        <v>60</v>
      </c>
      <c r="J13" s="415">
        <v>3</v>
      </c>
      <c r="K13" s="420">
        <v>7356468641</v>
      </c>
      <c r="L13" s="416" t="s">
        <v>3954</v>
      </c>
    </row>
    <row r="14" spans="1:12" ht="12.75">
      <c r="A14" s="421"/>
      <c r="B14" s="422"/>
      <c r="C14" s="423" t="e">
        <f>VLOOKUP(B14,Fincas!$A$2:$C$1005,2,0)</f>
        <v>#N/A</v>
      </c>
      <c r="D14" s="422"/>
      <c r="E14" s="424"/>
      <c r="F14" s="414"/>
      <c r="G14" s="414" t="e">
        <f>VLOOKUP(F14,Materiales!$A$2:$B$1004,2,0)</f>
        <v>#N/A</v>
      </c>
      <c r="H14" s="414"/>
      <c r="I14" s="414"/>
      <c r="J14" s="425"/>
      <c r="K14" s="426"/>
      <c r="L14" s="427"/>
    </row>
    <row r="15" spans="1:12" ht="12.75">
      <c r="A15" s="421"/>
      <c r="B15" s="422"/>
      <c r="C15" s="423"/>
      <c r="D15" s="422"/>
      <c r="E15" s="424"/>
      <c r="F15" s="414"/>
      <c r="G15" s="414"/>
      <c r="H15" s="414"/>
      <c r="I15" s="414"/>
      <c r="J15" s="425"/>
      <c r="K15" s="426"/>
      <c r="L15" s="427"/>
    </row>
    <row r="16" spans="1:12" ht="12.75">
      <c r="A16" s="428"/>
      <c r="B16" s="429"/>
      <c r="C16" s="429"/>
      <c r="D16" s="429"/>
      <c r="E16" s="424"/>
      <c r="F16" s="414"/>
      <c r="G16" s="414"/>
      <c r="H16" s="414"/>
      <c r="I16" s="414"/>
      <c r="J16" s="425"/>
      <c r="K16" s="426"/>
      <c r="L16" s="427"/>
    </row>
    <row r="17" spans="1:12">
      <c r="A17" s="430" t="s">
        <v>4726</v>
      </c>
      <c r="B17" s="431"/>
      <c r="C17" s="431"/>
      <c r="D17" s="432"/>
      <c r="E17" s="424"/>
      <c r="F17" s="414"/>
      <c r="G17" s="414"/>
      <c r="H17" s="414"/>
      <c r="I17" s="414"/>
      <c r="J17" s="425"/>
      <c r="K17" s="426"/>
      <c r="L17" s="427"/>
    </row>
    <row r="18" spans="1:12" ht="12.75">
      <c r="A18" s="433"/>
      <c r="B18" s="434"/>
      <c r="C18" s="434"/>
      <c r="D18" s="434"/>
      <c r="E18" s="424"/>
      <c r="F18" s="414"/>
      <c r="G18" s="414"/>
      <c r="H18" s="414"/>
      <c r="I18" s="414"/>
      <c r="J18" s="425"/>
      <c r="K18" s="426"/>
      <c r="L18" s="427"/>
    </row>
    <row r="19" spans="1:12" ht="12.75">
      <c r="A19" s="433"/>
      <c r="B19" s="434"/>
      <c r="C19" s="434"/>
      <c r="D19" s="434"/>
      <c r="E19" s="424"/>
      <c r="F19" s="414"/>
      <c r="G19" s="414"/>
      <c r="H19" s="414"/>
      <c r="I19" s="414"/>
      <c r="J19" s="425"/>
      <c r="K19" s="426"/>
      <c r="L19" s="427"/>
    </row>
    <row r="20" spans="1:12" ht="12.75">
      <c r="A20" s="433"/>
      <c r="B20" s="434"/>
      <c r="C20" s="434"/>
      <c r="D20" s="434"/>
      <c r="E20" s="424"/>
      <c r="F20" s="414"/>
      <c r="G20" s="414"/>
      <c r="H20" s="414"/>
      <c r="I20" s="414"/>
      <c r="J20" s="425"/>
      <c r="K20" s="426"/>
      <c r="L20" s="427"/>
    </row>
    <row r="21" spans="1:12" ht="12.75">
      <c r="A21" s="433"/>
      <c r="B21" s="434"/>
      <c r="C21" s="434"/>
      <c r="D21" s="434"/>
      <c r="E21" s="424"/>
      <c r="F21" s="414"/>
      <c r="G21" s="414"/>
      <c r="H21" s="414"/>
      <c r="I21" s="414"/>
      <c r="J21" s="425"/>
      <c r="K21" s="426"/>
      <c r="L21" s="427"/>
    </row>
    <row r="22" spans="1:12" ht="12.75">
      <c r="A22" s="433"/>
      <c r="B22" s="434"/>
      <c r="C22" s="434"/>
      <c r="D22" s="434"/>
      <c r="E22" s="424"/>
      <c r="F22" s="414"/>
      <c r="G22" s="414"/>
      <c r="H22" s="414"/>
      <c r="I22" s="414"/>
      <c r="J22" s="425"/>
      <c r="K22" s="426"/>
      <c r="L22" s="427"/>
    </row>
    <row r="23" spans="1:12" ht="12.75">
      <c r="A23" s="433"/>
      <c r="B23" s="434"/>
      <c r="C23" s="434"/>
      <c r="D23" s="434"/>
      <c r="E23" s="424"/>
      <c r="F23" s="414"/>
      <c r="G23" s="414"/>
      <c r="H23" s="414"/>
      <c r="I23" s="414"/>
      <c r="J23" s="425"/>
      <c r="K23" s="426"/>
      <c r="L23" s="427"/>
    </row>
    <row r="24" spans="1:12" ht="12.75">
      <c r="A24" s="433"/>
      <c r="B24" s="434"/>
      <c r="C24" s="434"/>
      <c r="D24" s="434"/>
      <c r="E24" s="424"/>
      <c r="F24" s="414"/>
      <c r="G24" s="414"/>
      <c r="H24" s="414"/>
      <c r="I24" s="414"/>
      <c r="J24" s="425"/>
      <c r="K24" s="426"/>
      <c r="L24" s="427"/>
    </row>
    <row r="25" spans="1:12" ht="12.75">
      <c r="A25" s="433"/>
      <c r="B25" s="434"/>
      <c r="C25" s="434"/>
      <c r="D25" s="434"/>
      <c r="E25" s="424"/>
      <c r="F25" s="414"/>
      <c r="G25" s="414"/>
      <c r="H25" s="414"/>
      <c r="I25" s="414"/>
      <c r="J25" s="425"/>
      <c r="K25" s="426"/>
      <c r="L25" s="427"/>
    </row>
    <row r="26" spans="1:12" ht="12.75">
      <c r="A26" s="433"/>
      <c r="B26" s="434"/>
      <c r="C26" s="434"/>
      <c r="D26" s="434"/>
      <c r="E26" s="424"/>
      <c r="F26" s="414"/>
      <c r="G26" s="414"/>
      <c r="H26" s="414"/>
      <c r="I26" s="414"/>
      <c r="J26" s="425"/>
      <c r="K26" s="426"/>
      <c r="L26" s="427"/>
    </row>
    <row r="27" spans="1:12" ht="12.75">
      <c r="A27" s="433"/>
      <c r="B27" s="434"/>
      <c r="C27" s="434"/>
      <c r="D27" s="434"/>
      <c r="E27" s="424"/>
      <c r="F27" s="414"/>
      <c r="G27" s="414"/>
      <c r="H27" s="414"/>
      <c r="I27" s="414"/>
      <c r="J27" s="425"/>
      <c r="K27" s="426"/>
      <c r="L27" s="427"/>
    </row>
    <row r="28" spans="1:12" ht="12.75">
      <c r="A28" s="433"/>
      <c r="B28" s="434"/>
      <c r="C28" s="434"/>
      <c r="D28" s="434"/>
      <c r="E28" s="424"/>
      <c r="F28" s="414"/>
      <c r="G28" s="414"/>
      <c r="H28" s="414"/>
      <c r="I28" s="414"/>
      <c r="J28" s="425"/>
      <c r="K28" s="426"/>
      <c r="L28" s="427"/>
    </row>
    <row r="29" spans="1:12" ht="12.75">
      <c r="A29" s="433"/>
      <c r="B29" s="434"/>
      <c r="C29" s="434"/>
      <c r="D29" s="434"/>
      <c r="E29" s="424"/>
      <c r="F29" s="414"/>
      <c r="G29" s="414"/>
      <c r="H29" s="414"/>
      <c r="I29" s="414"/>
      <c r="J29" s="425"/>
      <c r="K29" s="426"/>
      <c r="L29" s="427"/>
    </row>
    <row r="30" spans="1:12" ht="12.75">
      <c r="A30" s="433"/>
      <c r="B30" s="434"/>
      <c r="C30" s="434"/>
      <c r="D30" s="434"/>
      <c r="E30" s="424"/>
      <c r="F30" s="414"/>
      <c r="G30" s="414"/>
      <c r="H30" s="414"/>
      <c r="I30" s="414"/>
      <c r="J30" s="425"/>
      <c r="K30" s="426"/>
      <c r="L30" s="427"/>
    </row>
    <row r="31" spans="1:12" ht="12.75">
      <c r="A31" s="433"/>
      <c r="B31" s="434"/>
      <c r="C31" s="434"/>
      <c r="D31" s="434"/>
      <c r="E31" s="424"/>
      <c r="F31" s="414"/>
      <c r="G31" s="414"/>
      <c r="H31" s="414"/>
      <c r="I31" s="414"/>
      <c r="J31" s="425"/>
      <c r="K31" s="426"/>
      <c r="L31" s="427"/>
    </row>
    <row r="32" spans="1:12" ht="12.75">
      <c r="A32" s="433"/>
      <c r="B32" s="434"/>
      <c r="C32" s="434"/>
      <c r="D32" s="434"/>
      <c r="E32" s="424"/>
      <c r="F32" s="414"/>
      <c r="G32" s="414"/>
      <c r="H32" s="414"/>
      <c r="I32" s="414"/>
      <c r="J32" s="425"/>
      <c r="K32" s="426"/>
      <c r="L32" s="427"/>
    </row>
    <row r="33" spans="1:12" ht="12.75">
      <c r="A33" s="433"/>
      <c r="B33" s="434"/>
      <c r="C33" s="434"/>
      <c r="D33" s="434"/>
      <c r="E33" s="424"/>
      <c r="F33" s="414"/>
      <c r="G33" s="414"/>
      <c r="H33" s="414"/>
      <c r="I33" s="414"/>
      <c r="J33" s="425"/>
      <c r="K33" s="426"/>
      <c r="L33" s="427"/>
    </row>
    <row r="34" spans="1:12" ht="12.75">
      <c r="A34" s="433"/>
      <c r="B34" s="434"/>
      <c r="C34" s="434"/>
      <c r="D34" s="434"/>
      <c r="E34" s="424"/>
      <c r="F34" s="414"/>
      <c r="G34" s="414"/>
      <c r="H34" s="414"/>
      <c r="I34" s="414"/>
      <c r="J34" s="425"/>
      <c r="K34" s="426"/>
      <c r="L34" s="427"/>
    </row>
    <row r="35" spans="1:12" ht="12.75">
      <c r="A35" s="433"/>
      <c r="B35" s="434"/>
      <c r="C35" s="434"/>
      <c r="D35" s="434"/>
      <c r="E35" s="424"/>
      <c r="F35" s="414"/>
      <c r="G35" s="414"/>
      <c r="H35" s="414"/>
      <c r="I35" s="414"/>
      <c r="J35" s="425"/>
      <c r="K35" s="426"/>
      <c r="L35" s="427"/>
    </row>
    <row r="36" spans="1:12" ht="12.75">
      <c r="A36" s="433"/>
      <c r="B36" s="434"/>
      <c r="C36" s="434"/>
      <c r="D36" s="434"/>
      <c r="E36" s="424"/>
      <c r="F36" s="414"/>
      <c r="G36" s="414"/>
      <c r="H36" s="414"/>
      <c r="I36" s="414"/>
      <c r="J36" s="425"/>
      <c r="K36" s="426"/>
      <c r="L36" s="427"/>
    </row>
    <row r="37" spans="1:12" ht="12.75">
      <c r="A37" s="433"/>
      <c r="B37" s="434"/>
      <c r="C37" s="434"/>
      <c r="D37" s="434"/>
      <c r="E37" s="424"/>
      <c r="F37" s="414"/>
      <c r="G37" s="414"/>
      <c r="H37" s="414"/>
      <c r="I37" s="414"/>
      <c r="J37" s="425"/>
      <c r="K37" s="426"/>
      <c r="L37" s="427"/>
    </row>
    <row r="38" spans="1:12" ht="12.75">
      <c r="A38" s="433"/>
      <c r="B38" s="434"/>
      <c r="C38" s="434"/>
      <c r="D38" s="434"/>
      <c r="E38" s="424"/>
      <c r="F38" s="414"/>
      <c r="G38" s="414"/>
      <c r="H38" s="414"/>
      <c r="I38" s="414"/>
      <c r="J38" s="425"/>
      <c r="K38" s="426"/>
      <c r="L38" s="427"/>
    </row>
    <row r="39" spans="1:12" ht="12.75">
      <c r="A39" s="433"/>
      <c r="B39" s="434"/>
      <c r="C39" s="434"/>
      <c r="D39" s="434"/>
      <c r="E39" s="424"/>
      <c r="F39" s="414"/>
      <c r="G39" s="414"/>
      <c r="H39" s="414"/>
      <c r="I39" s="414"/>
      <c r="J39" s="425"/>
      <c r="K39" s="426"/>
      <c r="L39" s="427"/>
    </row>
    <row r="40" spans="1:12" ht="12.75">
      <c r="A40" s="433"/>
      <c r="B40" s="434"/>
      <c r="C40" s="434"/>
      <c r="D40" s="434"/>
      <c r="E40" s="424"/>
      <c r="F40" s="414"/>
      <c r="G40" s="414"/>
      <c r="H40" s="414"/>
      <c r="I40" s="414"/>
      <c r="J40" s="425"/>
      <c r="K40" s="426"/>
      <c r="L40" s="427"/>
    </row>
    <row r="41" spans="1:12" ht="12.75">
      <c r="A41" s="433"/>
      <c r="B41" s="434"/>
      <c r="C41" s="434"/>
      <c r="D41" s="434"/>
      <c r="E41" s="424"/>
      <c r="F41" s="414"/>
      <c r="G41" s="414"/>
      <c r="H41" s="414"/>
      <c r="I41" s="414"/>
      <c r="J41" s="425"/>
      <c r="K41" s="426"/>
      <c r="L41" s="427"/>
    </row>
    <row r="42" spans="1:12" ht="12.75">
      <c r="A42" s="433"/>
      <c r="B42" s="434"/>
      <c r="C42" s="434"/>
      <c r="D42" s="434"/>
      <c r="E42" s="424"/>
      <c r="F42" s="414"/>
      <c r="G42" s="414"/>
      <c r="H42" s="414"/>
      <c r="I42" s="414"/>
      <c r="J42" s="425"/>
      <c r="K42" s="426"/>
      <c r="L42" s="427"/>
    </row>
    <row r="43" spans="1:12" ht="12.75">
      <c r="A43" s="433"/>
      <c r="B43" s="434"/>
      <c r="C43" s="434"/>
      <c r="D43" s="434"/>
      <c r="E43" s="424"/>
      <c r="F43" s="414"/>
      <c r="G43" s="414"/>
      <c r="H43" s="414"/>
      <c r="I43" s="414"/>
      <c r="J43" s="425"/>
      <c r="K43" s="426"/>
      <c r="L43" s="427"/>
    </row>
    <row r="44" spans="1:12" ht="12.75">
      <c r="A44" s="433"/>
      <c r="B44" s="434"/>
      <c r="C44" s="434"/>
      <c r="D44" s="434"/>
      <c r="E44" s="424"/>
      <c r="F44" s="414"/>
      <c r="G44" s="414"/>
      <c r="H44" s="414"/>
      <c r="I44" s="414"/>
      <c r="J44" s="425"/>
      <c r="K44" s="426"/>
      <c r="L44" s="427"/>
    </row>
    <row r="45" spans="1:12" ht="12.75">
      <c r="A45" s="433"/>
      <c r="B45" s="434"/>
      <c r="C45" s="434"/>
      <c r="D45" s="434"/>
      <c r="E45" s="424"/>
      <c r="F45" s="414"/>
      <c r="G45" s="414"/>
      <c r="H45" s="414"/>
      <c r="I45" s="414"/>
      <c r="J45" s="425"/>
      <c r="K45" s="426"/>
      <c r="L45" s="427"/>
    </row>
    <row r="46" spans="1:12" ht="12.75">
      <c r="A46" s="433"/>
      <c r="B46" s="434"/>
      <c r="C46" s="434"/>
      <c r="D46" s="434"/>
      <c r="E46" s="424"/>
      <c r="F46" s="414"/>
      <c r="G46" s="414"/>
      <c r="H46" s="414"/>
      <c r="I46" s="414"/>
      <c r="J46" s="425"/>
      <c r="K46" s="426"/>
      <c r="L46" s="427"/>
    </row>
    <row r="47" spans="1:12" ht="12.75">
      <c r="A47" s="433"/>
      <c r="B47" s="434"/>
      <c r="C47" s="434"/>
      <c r="D47" s="434"/>
      <c r="E47" s="424"/>
      <c r="F47" s="414"/>
      <c r="G47" s="414"/>
      <c r="H47" s="414"/>
      <c r="I47" s="414"/>
      <c r="J47" s="425"/>
      <c r="K47" s="426"/>
      <c r="L47" s="427"/>
    </row>
    <row r="48" spans="1:12" ht="12.75">
      <c r="A48" s="433"/>
      <c r="B48" s="434"/>
      <c r="C48" s="434"/>
      <c r="D48" s="434"/>
      <c r="E48" s="424"/>
      <c r="F48" s="414"/>
      <c r="G48" s="414"/>
      <c r="H48" s="414"/>
      <c r="I48" s="414"/>
      <c r="J48" s="425"/>
      <c r="K48" s="426"/>
      <c r="L48" s="427"/>
    </row>
    <row r="49" spans="1:12" ht="12.75">
      <c r="A49" s="433"/>
      <c r="B49" s="434"/>
      <c r="C49" s="434"/>
      <c r="D49" s="434"/>
      <c r="E49" s="424"/>
      <c r="F49" s="414"/>
      <c r="G49" s="414"/>
      <c r="H49" s="414"/>
      <c r="I49" s="414"/>
      <c r="J49" s="425"/>
      <c r="K49" s="426"/>
      <c r="L49" s="427"/>
    </row>
    <row r="50" spans="1:12" ht="12.75">
      <c r="A50" s="433"/>
      <c r="B50" s="434"/>
      <c r="C50" s="434"/>
      <c r="D50" s="434"/>
      <c r="E50" s="424"/>
      <c r="F50" s="414"/>
      <c r="G50" s="414"/>
      <c r="H50" s="414"/>
      <c r="I50" s="414"/>
      <c r="J50" s="425"/>
      <c r="K50" s="426"/>
      <c r="L50" s="427"/>
    </row>
    <row r="51" spans="1:12" ht="12.75">
      <c r="A51" s="433"/>
      <c r="B51" s="434"/>
      <c r="C51" s="434"/>
      <c r="D51" s="434"/>
      <c r="E51" s="424"/>
      <c r="F51" s="414"/>
      <c r="G51" s="414"/>
      <c r="H51" s="414"/>
      <c r="I51" s="414"/>
      <c r="J51" s="425"/>
      <c r="K51" s="426"/>
      <c r="L51" s="427"/>
    </row>
    <row r="52" spans="1:12" ht="12.75">
      <c r="A52" s="433"/>
      <c r="B52" s="434"/>
      <c r="C52" s="434"/>
      <c r="D52" s="434"/>
      <c r="E52" s="424"/>
      <c r="F52" s="414"/>
      <c r="G52" s="414"/>
      <c r="H52" s="414"/>
      <c r="I52" s="414"/>
      <c r="J52" s="425"/>
      <c r="K52" s="426"/>
      <c r="L52" s="427"/>
    </row>
    <row r="53" spans="1:12" ht="12.75">
      <c r="A53" s="433"/>
      <c r="B53" s="434"/>
      <c r="C53" s="434"/>
      <c r="D53" s="434"/>
      <c r="E53" s="424"/>
      <c r="F53" s="414"/>
      <c r="G53" s="414"/>
      <c r="H53" s="414"/>
      <c r="I53" s="414"/>
      <c r="J53" s="425"/>
      <c r="K53" s="426"/>
      <c r="L53" s="427"/>
    </row>
    <row r="54" spans="1:12" ht="12.75">
      <c r="A54" s="433"/>
      <c r="B54" s="434"/>
      <c r="C54" s="434"/>
      <c r="D54" s="434"/>
      <c r="E54" s="424"/>
      <c r="F54" s="414"/>
      <c r="G54" s="414"/>
      <c r="H54" s="414"/>
      <c r="I54" s="414"/>
      <c r="J54" s="425"/>
      <c r="K54" s="426"/>
      <c r="L54" s="427"/>
    </row>
    <row r="55" spans="1:12" ht="12.75">
      <c r="A55" s="433"/>
      <c r="B55" s="434"/>
      <c r="C55" s="434"/>
      <c r="D55" s="434"/>
      <c r="E55" s="424"/>
      <c r="F55" s="414"/>
      <c r="G55" s="414"/>
      <c r="H55" s="414"/>
      <c r="I55" s="414"/>
      <c r="J55" s="425"/>
      <c r="K55" s="426"/>
      <c r="L55" s="427"/>
    </row>
    <row r="56" spans="1:12" ht="12.75">
      <c r="A56" s="433"/>
      <c r="B56" s="434"/>
      <c r="C56" s="434"/>
      <c r="D56" s="434"/>
      <c r="E56" s="424"/>
      <c r="F56" s="414"/>
      <c r="G56" s="414"/>
      <c r="H56" s="414"/>
      <c r="I56" s="414"/>
      <c r="J56" s="425"/>
      <c r="K56" s="426"/>
      <c r="L56" s="427"/>
    </row>
    <row r="57" spans="1:12" ht="12.75">
      <c r="A57" s="433"/>
      <c r="B57" s="434"/>
      <c r="C57" s="434"/>
      <c r="D57" s="434"/>
      <c r="E57" s="424"/>
      <c r="F57" s="414"/>
      <c r="G57" s="414"/>
      <c r="H57" s="414"/>
      <c r="I57" s="414"/>
      <c r="J57" s="425"/>
      <c r="K57" s="426"/>
      <c r="L57" s="427"/>
    </row>
    <row r="58" spans="1:12" ht="12.75">
      <c r="A58" s="433"/>
      <c r="B58" s="434"/>
      <c r="C58" s="434"/>
      <c r="D58" s="434"/>
      <c r="E58" s="424"/>
      <c r="F58" s="414"/>
      <c r="G58" s="414"/>
      <c r="H58" s="414"/>
      <c r="I58" s="414"/>
      <c r="J58" s="425"/>
      <c r="K58" s="426"/>
      <c r="L58" s="427"/>
    </row>
    <row r="59" spans="1:12" ht="12.75">
      <c r="A59" s="433"/>
      <c r="B59" s="434"/>
      <c r="C59" s="434"/>
      <c r="D59" s="434"/>
      <c r="E59" s="424"/>
      <c r="F59" s="414"/>
      <c r="G59" s="414"/>
      <c r="H59" s="414"/>
      <c r="I59" s="414"/>
      <c r="J59" s="425"/>
      <c r="K59" s="426"/>
      <c r="L59" s="427"/>
    </row>
    <row r="60" spans="1:12" ht="12.75">
      <c r="A60" s="433"/>
      <c r="B60" s="434"/>
      <c r="C60" s="434"/>
      <c r="D60" s="434"/>
      <c r="E60" s="424"/>
      <c r="F60" s="414"/>
      <c r="G60" s="414"/>
      <c r="H60" s="414"/>
      <c r="I60" s="414"/>
      <c r="J60" s="425"/>
      <c r="K60" s="426"/>
      <c r="L60" s="427"/>
    </row>
    <row r="61" spans="1:12" ht="12.75">
      <c r="A61" s="433"/>
      <c r="B61" s="434"/>
      <c r="C61" s="434"/>
      <c r="D61" s="434"/>
      <c r="E61" s="424"/>
      <c r="F61" s="414"/>
      <c r="G61" s="414"/>
      <c r="H61" s="414"/>
      <c r="I61" s="414"/>
      <c r="J61" s="425"/>
      <c r="K61" s="426"/>
      <c r="L61" s="427"/>
    </row>
    <row r="62" spans="1:12" ht="12.75">
      <c r="A62" s="433"/>
      <c r="B62" s="434"/>
      <c r="C62" s="434"/>
      <c r="D62" s="434"/>
      <c r="E62" s="424"/>
      <c r="F62" s="414"/>
      <c r="G62" s="414"/>
      <c r="H62" s="414"/>
      <c r="I62" s="414"/>
      <c r="J62" s="425"/>
      <c r="K62" s="426"/>
      <c r="L62" s="427"/>
    </row>
    <row r="63" spans="1:12" ht="12.75">
      <c r="A63" s="433"/>
      <c r="B63" s="434"/>
      <c r="C63" s="434"/>
      <c r="D63" s="434"/>
      <c r="E63" s="424"/>
      <c r="F63" s="414"/>
      <c r="G63" s="414"/>
      <c r="H63" s="414"/>
      <c r="I63" s="414"/>
      <c r="J63" s="425"/>
      <c r="K63" s="426"/>
      <c r="L63" s="427"/>
    </row>
    <row r="64" spans="1:12" ht="12.75">
      <c r="A64" s="433"/>
      <c r="B64" s="434"/>
      <c r="C64" s="434"/>
      <c r="D64" s="434"/>
      <c r="E64" s="424"/>
      <c r="F64" s="414"/>
      <c r="G64" s="414"/>
      <c r="H64" s="414"/>
      <c r="I64" s="414"/>
      <c r="J64" s="425"/>
      <c r="K64" s="426"/>
      <c r="L64" s="427"/>
    </row>
    <row r="65" spans="1:12" ht="12.75">
      <c r="A65" s="433"/>
      <c r="B65" s="434"/>
      <c r="C65" s="434"/>
      <c r="D65" s="434"/>
      <c r="E65" s="424"/>
      <c r="F65" s="414"/>
      <c r="G65" s="414"/>
      <c r="H65" s="414"/>
      <c r="I65" s="414"/>
      <c r="J65" s="425"/>
      <c r="K65" s="426"/>
      <c r="L65" s="427"/>
    </row>
    <row r="66" spans="1:12" ht="12.75">
      <c r="A66" s="433"/>
      <c r="B66" s="434"/>
      <c r="C66" s="434"/>
      <c r="D66" s="434"/>
      <c r="E66" s="424"/>
      <c r="F66" s="414"/>
      <c r="G66" s="414"/>
      <c r="H66" s="414"/>
      <c r="I66" s="414"/>
      <c r="J66" s="425"/>
      <c r="K66" s="426"/>
      <c r="L66" s="427"/>
    </row>
    <row r="67" spans="1:12" ht="12.75">
      <c r="A67" s="433"/>
      <c r="B67" s="434"/>
      <c r="C67" s="434"/>
      <c r="D67" s="434"/>
      <c r="E67" s="424"/>
      <c r="F67" s="414"/>
      <c r="G67" s="414"/>
      <c r="H67" s="414"/>
      <c r="I67" s="414"/>
      <c r="J67" s="425"/>
      <c r="K67" s="426"/>
      <c r="L67" s="427"/>
    </row>
    <row r="68" spans="1:12" ht="12.75">
      <c r="A68" s="433"/>
      <c r="B68" s="434"/>
      <c r="C68" s="434"/>
      <c r="D68" s="434"/>
      <c r="E68" s="424"/>
      <c r="F68" s="414"/>
      <c r="G68" s="414"/>
      <c r="H68" s="414"/>
      <c r="I68" s="414"/>
      <c r="J68" s="425"/>
      <c r="K68" s="426"/>
      <c r="L68" s="427"/>
    </row>
    <row r="69" spans="1:12" ht="12.75">
      <c r="A69" s="433"/>
      <c r="B69" s="434"/>
      <c r="C69" s="434"/>
      <c r="D69" s="434"/>
      <c r="E69" s="424"/>
      <c r="F69" s="414"/>
      <c r="G69" s="414"/>
      <c r="H69" s="414"/>
      <c r="I69" s="414"/>
      <c r="J69" s="425"/>
      <c r="K69" s="426"/>
      <c r="L69" s="427"/>
    </row>
    <row r="70" spans="1:12" ht="12.75">
      <c r="A70" s="433"/>
      <c r="B70" s="434"/>
      <c r="C70" s="434"/>
      <c r="D70" s="434"/>
      <c r="E70" s="424"/>
      <c r="F70" s="414"/>
      <c r="G70" s="414"/>
      <c r="H70" s="414"/>
      <c r="I70" s="414"/>
      <c r="J70" s="425"/>
      <c r="K70" s="426"/>
      <c r="L70" s="427"/>
    </row>
    <row r="71" spans="1:12" ht="12.75">
      <c r="A71" s="433"/>
      <c r="B71" s="434"/>
      <c r="C71" s="434"/>
      <c r="D71" s="434"/>
      <c r="E71" s="424"/>
      <c r="F71" s="414"/>
      <c r="G71" s="414"/>
      <c r="H71" s="414"/>
      <c r="I71" s="414"/>
      <c r="J71" s="425"/>
      <c r="K71" s="426"/>
      <c r="L71" s="427"/>
    </row>
    <row r="72" spans="1:12" ht="12.75">
      <c r="A72" s="433"/>
      <c r="B72" s="434"/>
      <c r="C72" s="434"/>
      <c r="D72" s="434"/>
      <c r="E72" s="424"/>
      <c r="F72" s="414"/>
      <c r="G72" s="414"/>
      <c r="H72" s="414"/>
      <c r="I72" s="414"/>
      <c r="J72" s="425"/>
      <c r="K72" s="426"/>
      <c r="L72" s="427"/>
    </row>
    <row r="73" spans="1:12" ht="12.75">
      <c r="A73" s="433"/>
      <c r="B73" s="434"/>
      <c r="C73" s="434"/>
      <c r="D73" s="434"/>
      <c r="E73" s="424"/>
      <c r="F73" s="414"/>
      <c r="G73" s="414"/>
      <c r="H73" s="414"/>
      <c r="I73" s="414"/>
      <c r="J73" s="425"/>
      <c r="K73" s="426"/>
      <c r="L73" s="427"/>
    </row>
    <row r="74" spans="1:12" ht="12.75">
      <c r="A74" s="433"/>
      <c r="B74" s="434"/>
      <c r="C74" s="434"/>
      <c r="D74" s="434"/>
      <c r="E74" s="424"/>
      <c r="F74" s="414"/>
      <c r="G74" s="414"/>
      <c r="H74" s="414"/>
      <c r="I74" s="414"/>
      <c r="J74" s="425"/>
      <c r="K74" s="426"/>
      <c r="L74" s="427"/>
    </row>
    <row r="75" spans="1:12" ht="12.75">
      <c r="A75" s="433"/>
      <c r="B75" s="434"/>
      <c r="C75" s="434"/>
      <c r="D75" s="434"/>
      <c r="E75" s="424"/>
      <c r="F75" s="414"/>
      <c r="G75" s="414"/>
      <c r="H75" s="414"/>
      <c r="I75" s="414"/>
      <c r="J75" s="425"/>
      <c r="K75" s="426"/>
      <c r="L75" s="427"/>
    </row>
    <row r="76" spans="1:12" ht="12.75">
      <c r="A76" s="433"/>
      <c r="B76" s="434"/>
      <c r="C76" s="434"/>
      <c r="D76" s="434"/>
      <c r="E76" s="424"/>
      <c r="F76" s="414"/>
      <c r="G76" s="414"/>
      <c r="H76" s="414"/>
      <c r="I76" s="414"/>
      <c r="J76" s="425"/>
      <c r="K76" s="426"/>
      <c r="L76" s="427"/>
    </row>
    <row r="77" spans="1:12" ht="12.75">
      <c r="A77" s="433"/>
      <c r="B77" s="434"/>
      <c r="C77" s="434"/>
      <c r="D77" s="434"/>
      <c r="E77" s="424"/>
      <c r="F77" s="414"/>
      <c r="G77" s="414"/>
      <c r="H77" s="414"/>
      <c r="I77" s="414"/>
      <c r="J77" s="425"/>
      <c r="K77" s="426"/>
      <c r="L77" s="427"/>
    </row>
    <row r="78" spans="1:12" ht="12.75">
      <c r="A78" s="433"/>
      <c r="B78" s="434"/>
      <c r="C78" s="434"/>
      <c r="D78" s="434"/>
      <c r="E78" s="424"/>
      <c r="F78" s="414"/>
      <c r="G78" s="414"/>
      <c r="H78" s="414"/>
      <c r="I78" s="414"/>
      <c r="J78" s="425"/>
      <c r="K78" s="426"/>
      <c r="L78" s="427"/>
    </row>
    <row r="79" spans="1:12" ht="12.75">
      <c r="A79" s="433"/>
      <c r="B79" s="434"/>
      <c r="C79" s="434"/>
      <c r="D79" s="434"/>
      <c r="E79" s="424"/>
      <c r="F79" s="414"/>
      <c r="G79" s="414"/>
      <c r="H79" s="414"/>
      <c r="I79" s="414"/>
      <c r="J79" s="425"/>
      <c r="K79" s="426"/>
      <c r="L79" s="427"/>
    </row>
    <row r="80" spans="1:12" ht="12.75">
      <c r="A80" s="433"/>
      <c r="B80" s="434"/>
      <c r="C80" s="434"/>
      <c r="D80" s="434"/>
      <c r="E80" s="424"/>
      <c r="F80" s="414"/>
      <c r="G80" s="414"/>
      <c r="H80" s="414"/>
      <c r="I80" s="414"/>
      <c r="J80" s="425"/>
      <c r="K80" s="426"/>
      <c r="L80" s="427"/>
    </row>
    <row r="81" spans="1:12" ht="12.75">
      <c r="A81" s="433"/>
      <c r="B81" s="434"/>
      <c r="C81" s="434"/>
      <c r="D81" s="434"/>
      <c r="E81" s="424"/>
      <c r="F81" s="414"/>
      <c r="G81" s="414"/>
      <c r="H81" s="414"/>
      <c r="I81" s="414"/>
      <c r="J81" s="425"/>
      <c r="K81" s="426"/>
      <c r="L81" s="427"/>
    </row>
    <row r="82" spans="1:12" ht="12.75">
      <c r="A82" s="433"/>
      <c r="B82" s="434"/>
      <c r="C82" s="434"/>
      <c r="D82" s="434"/>
      <c r="E82" s="424"/>
      <c r="F82" s="414"/>
      <c r="G82" s="414"/>
      <c r="H82" s="414"/>
      <c r="I82" s="414"/>
      <c r="J82" s="425"/>
      <c r="K82" s="426"/>
      <c r="L82" s="427"/>
    </row>
    <row r="83" spans="1:12" ht="12.75">
      <c r="A83" s="433"/>
      <c r="B83" s="434"/>
      <c r="C83" s="434"/>
      <c r="D83" s="434"/>
      <c r="E83" s="424"/>
      <c r="F83" s="414"/>
      <c r="G83" s="414"/>
      <c r="H83" s="414"/>
      <c r="I83" s="414"/>
      <c r="J83" s="425"/>
      <c r="K83" s="426"/>
      <c r="L83" s="427"/>
    </row>
    <row r="84" spans="1:12" ht="12.75">
      <c r="A84" s="433"/>
      <c r="B84" s="434"/>
      <c r="C84" s="434"/>
      <c r="D84" s="434"/>
      <c r="E84" s="424"/>
      <c r="F84" s="414"/>
      <c r="G84" s="414"/>
      <c r="H84" s="414"/>
      <c r="I84" s="414"/>
      <c r="J84" s="425"/>
      <c r="K84" s="426"/>
      <c r="L84" s="427"/>
    </row>
    <row r="85" spans="1:12" ht="12.75">
      <c r="A85" s="433"/>
      <c r="B85" s="434"/>
      <c r="C85" s="434"/>
      <c r="D85" s="434"/>
      <c r="E85" s="424"/>
      <c r="F85" s="414"/>
      <c r="G85" s="414"/>
      <c r="H85" s="414"/>
      <c r="I85" s="414"/>
      <c r="J85" s="425"/>
      <c r="K85" s="426"/>
      <c r="L85" s="427"/>
    </row>
    <row r="86" spans="1:12" ht="12.75">
      <c r="A86" s="433"/>
      <c r="B86" s="434"/>
      <c r="C86" s="434"/>
      <c r="D86" s="434"/>
      <c r="E86" s="424"/>
      <c r="F86" s="414"/>
      <c r="G86" s="414"/>
      <c r="H86" s="414"/>
      <c r="I86" s="414"/>
      <c r="J86" s="425"/>
      <c r="K86" s="426"/>
      <c r="L86" s="427"/>
    </row>
    <row r="87" spans="1:12" ht="12.75">
      <c r="A87" s="433"/>
      <c r="B87" s="434"/>
      <c r="C87" s="434"/>
      <c r="D87" s="434"/>
      <c r="E87" s="424"/>
      <c r="F87" s="414"/>
      <c r="G87" s="414"/>
      <c r="H87" s="414"/>
      <c r="I87" s="414"/>
      <c r="J87" s="425"/>
      <c r="K87" s="426"/>
      <c r="L87" s="427"/>
    </row>
    <row r="88" spans="1:12" ht="12.75">
      <c r="A88" s="433"/>
      <c r="B88" s="434"/>
      <c r="C88" s="434"/>
      <c r="D88" s="434"/>
      <c r="E88" s="424"/>
      <c r="F88" s="414"/>
      <c r="G88" s="414"/>
      <c r="H88" s="414"/>
      <c r="I88" s="414"/>
      <c r="J88" s="425"/>
      <c r="K88" s="426"/>
      <c r="L88" s="427"/>
    </row>
    <row r="89" spans="1:12" ht="12.75">
      <c r="A89" s="433"/>
      <c r="B89" s="434"/>
      <c r="C89" s="434"/>
      <c r="D89" s="434"/>
      <c r="E89" s="424"/>
      <c r="F89" s="414"/>
      <c r="G89" s="414"/>
      <c r="H89" s="414"/>
      <c r="I89" s="414"/>
      <c r="J89" s="425"/>
      <c r="K89" s="426"/>
      <c r="L89" s="427"/>
    </row>
    <row r="90" spans="1:12" ht="12.75">
      <c r="A90" s="433"/>
      <c r="B90" s="434"/>
      <c r="C90" s="434"/>
      <c r="D90" s="434"/>
      <c r="E90" s="424"/>
      <c r="F90" s="414"/>
      <c r="G90" s="414"/>
      <c r="H90" s="414"/>
      <c r="I90" s="414"/>
      <c r="J90" s="425"/>
      <c r="K90" s="426"/>
      <c r="L90" s="427"/>
    </row>
    <row r="91" spans="1:12" ht="12.75">
      <c r="A91" s="433"/>
      <c r="B91" s="434"/>
      <c r="C91" s="434"/>
      <c r="D91" s="434"/>
      <c r="E91" s="424"/>
      <c r="F91" s="414"/>
      <c r="G91" s="414"/>
      <c r="H91" s="414"/>
      <c r="I91" s="414"/>
      <c r="J91" s="425"/>
      <c r="K91" s="426"/>
      <c r="L91" s="427"/>
    </row>
    <row r="92" spans="1:12" ht="12.75">
      <c r="A92" s="433"/>
      <c r="B92" s="434"/>
      <c r="C92" s="434"/>
      <c r="D92" s="434"/>
      <c r="E92" s="424"/>
      <c r="F92" s="414"/>
      <c r="G92" s="414"/>
      <c r="H92" s="414"/>
      <c r="I92" s="414"/>
      <c r="J92" s="425"/>
      <c r="K92" s="426"/>
      <c r="L92" s="427"/>
    </row>
    <row r="93" spans="1:12" ht="12.75">
      <c r="A93" s="433"/>
      <c r="B93" s="434"/>
      <c r="C93" s="434"/>
      <c r="D93" s="434"/>
      <c r="E93" s="424"/>
      <c r="F93" s="414"/>
      <c r="G93" s="414"/>
      <c r="H93" s="414"/>
      <c r="I93" s="414"/>
      <c r="J93" s="425"/>
      <c r="K93" s="426"/>
      <c r="L93" s="427"/>
    </row>
    <row r="94" spans="1:12" ht="12.75">
      <c r="A94" s="433"/>
      <c r="B94" s="434"/>
      <c r="C94" s="434"/>
      <c r="D94" s="434"/>
      <c r="E94" s="424"/>
      <c r="F94" s="414"/>
      <c r="G94" s="414"/>
      <c r="H94" s="414"/>
      <c r="I94" s="414"/>
      <c r="J94" s="425"/>
      <c r="K94" s="426"/>
      <c r="L94" s="427"/>
    </row>
    <row r="95" spans="1:12" ht="12.75">
      <c r="A95" s="433"/>
      <c r="B95" s="434"/>
      <c r="C95" s="434"/>
      <c r="D95" s="434"/>
      <c r="E95" s="424"/>
      <c r="F95" s="414"/>
      <c r="G95" s="414"/>
      <c r="H95" s="414"/>
      <c r="I95" s="414"/>
      <c r="J95" s="425"/>
      <c r="K95" s="426"/>
      <c r="L95" s="427"/>
    </row>
    <row r="96" spans="1:12" ht="12.75">
      <c r="A96" s="433"/>
      <c r="B96" s="434"/>
      <c r="C96" s="434"/>
      <c r="D96" s="434"/>
      <c r="E96" s="424"/>
      <c r="F96" s="414"/>
      <c r="G96" s="414"/>
      <c r="H96" s="414"/>
      <c r="I96" s="414"/>
      <c r="J96" s="425"/>
      <c r="K96" s="426"/>
      <c r="L96" s="427"/>
    </row>
    <row r="97" spans="1:12" ht="12.75">
      <c r="A97" s="433"/>
      <c r="B97" s="434"/>
      <c r="C97" s="434"/>
      <c r="D97" s="434"/>
      <c r="E97" s="424"/>
      <c r="F97" s="414"/>
      <c r="G97" s="414"/>
      <c r="H97" s="414"/>
      <c r="I97" s="414"/>
      <c r="J97" s="425"/>
      <c r="K97" s="426"/>
      <c r="L97" s="427"/>
    </row>
    <row r="98" spans="1:12" ht="12.75">
      <c r="A98" s="433"/>
      <c r="B98" s="434"/>
      <c r="C98" s="434"/>
      <c r="D98" s="434"/>
      <c r="E98" s="424"/>
      <c r="F98" s="414"/>
      <c r="G98" s="414"/>
      <c r="H98" s="414"/>
      <c r="I98" s="414"/>
      <c r="J98" s="425"/>
      <c r="K98" s="426"/>
      <c r="L98" s="427"/>
    </row>
    <row r="99" spans="1:12" ht="12.75">
      <c r="A99" s="433"/>
      <c r="B99" s="434"/>
      <c r="C99" s="434"/>
      <c r="D99" s="434"/>
      <c r="E99" s="424"/>
      <c r="F99" s="414"/>
      <c r="G99" s="414"/>
      <c r="H99" s="414"/>
      <c r="I99" s="414"/>
      <c r="J99" s="425"/>
      <c r="K99" s="426"/>
      <c r="L99" s="427"/>
    </row>
    <row r="100" spans="1:12" ht="12.75">
      <c r="A100" s="433"/>
      <c r="B100" s="434"/>
      <c r="C100" s="434"/>
      <c r="D100" s="434"/>
      <c r="E100" s="424"/>
      <c r="F100" s="414"/>
      <c r="G100" s="414"/>
      <c r="H100" s="414"/>
      <c r="I100" s="414"/>
      <c r="J100" s="425"/>
      <c r="K100" s="426"/>
      <c r="L100" s="427"/>
    </row>
    <row r="101" spans="1:12" ht="12.75">
      <c r="A101" s="433"/>
      <c r="B101" s="434"/>
      <c r="C101" s="434"/>
      <c r="D101" s="434"/>
      <c r="E101" s="424"/>
      <c r="F101" s="414"/>
      <c r="G101" s="414"/>
      <c r="H101" s="414"/>
      <c r="I101" s="414"/>
      <c r="J101" s="425"/>
      <c r="K101" s="426"/>
      <c r="L101" s="427"/>
    </row>
    <row r="102" spans="1:12" ht="12.75">
      <c r="A102" s="433"/>
      <c r="B102" s="434"/>
      <c r="C102" s="434"/>
      <c r="D102" s="434"/>
      <c r="E102" s="424"/>
      <c r="F102" s="414"/>
      <c r="G102" s="414"/>
      <c r="H102" s="414"/>
      <c r="I102" s="414"/>
      <c r="J102" s="425"/>
      <c r="K102" s="426"/>
      <c r="L102" s="427"/>
    </row>
    <row r="103" spans="1:12" ht="12.75">
      <c r="A103" s="433"/>
      <c r="B103" s="434"/>
      <c r="C103" s="434"/>
      <c r="D103" s="434"/>
      <c r="E103" s="424"/>
      <c r="F103" s="414"/>
      <c r="G103" s="414"/>
      <c r="H103" s="414"/>
      <c r="I103" s="414"/>
      <c r="J103" s="425"/>
      <c r="K103" s="426"/>
      <c r="L103" s="427"/>
    </row>
    <row r="104" spans="1:12" ht="12.75">
      <c r="A104" s="433"/>
      <c r="B104" s="434"/>
      <c r="C104" s="434"/>
      <c r="D104" s="434"/>
      <c r="E104" s="424"/>
      <c r="F104" s="414"/>
      <c r="G104" s="414"/>
      <c r="H104" s="414"/>
      <c r="I104" s="414"/>
      <c r="J104" s="425"/>
      <c r="K104" s="426"/>
      <c r="L104" s="427"/>
    </row>
    <row r="105" spans="1:12" ht="12.75">
      <c r="A105" s="433"/>
      <c r="B105" s="434"/>
      <c r="C105" s="434"/>
      <c r="D105" s="434"/>
      <c r="E105" s="424"/>
      <c r="F105" s="414"/>
      <c r="G105" s="414"/>
      <c r="H105" s="414"/>
      <c r="I105" s="414"/>
      <c r="J105" s="425"/>
      <c r="K105" s="426"/>
      <c r="L105" s="427"/>
    </row>
    <row r="106" spans="1:12" ht="12.75">
      <c r="A106" s="433"/>
      <c r="B106" s="434"/>
      <c r="C106" s="434"/>
      <c r="D106" s="434"/>
      <c r="E106" s="424"/>
      <c r="F106" s="414"/>
      <c r="G106" s="414"/>
      <c r="H106" s="414"/>
      <c r="I106" s="414"/>
      <c r="J106" s="425"/>
      <c r="K106" s="426"/>
      <c r="L106" s="427"/>
    </row>
    <row r="107" spans="1:12" ht="12.75">
      <c r="A107" s="433"/>
      <c r="B107" s="434"/>
      <c r="C107" s="434"/>
      <c r="D107" s="434"/>
      <c r="E107" s="424"/>
      <c r="F107" s="414"/>
      <c r="G107" s="414"/>
      <c r="H107" s="414"/>
      <c r="I107" s="414"/>
      <c r="J107" s="425"/>
      <c r="K107" s="426"/>
      <c r="L107" s="427"/>
    </row>
    <row r="108" spans="1:12" ht="12.75">
      <c r="A108" s="433"/>
      <c r="B108" s="434"/>
      <c r="C108" s="434"/>
      <c r="D108" s="434"/>
      <c r="E108" s="424"/>
      <c r="F108" s="414"/>
      <c r="G108" s="414"/>
      <c r="H108" s="414"/>
      <c r="I108" s="414"/>
      <c r="J108" s="425"/>
      <c r="K108" s="426"/>
      <c r="L108" s="427"/>
    </row>
    <row r="109" spans="1:12" ht="12.75">
      <c r="A109" s="433"/>
      <c r="B109" s="434"/>
      <c r="C109" s="434"/>
      <c r="D109" s="434"/>
      <c r="E109" s="424"/>
      <c r="F109" s="414"/>
      <c r="G109" s="414"/>
      <c r="H109" s="414"/>
      <c r="I109" s="414"/>
      <c r="J109" s="425"/>
      <c r="K109" s="426"/>
      <c r="L109" s="427"/>
    </row>
    <row r="110" spans="1:12" ht="12.75">
      <c r="A110" s="433"/>
      <c r="B110" s="434"/>
      <c r="C110" s="434"/>
      <c r="D110" s="434"/>
      <c r="E110" s="424"/>
      <c r="F110" s="414"/>
      <c r="G110" s="414"/>
      <c r="H110" s="414"/>
      <c r="I110" s="414"/>
      <c r="J110" s="425"/>
      <c r="K110" s="426"/>
      <c r="L110" s="427"/>
    </row>
    <row r="111" spans="1:12" ht="12.75">
      <c r="A111" s="433"/>
      <c r="B111" s="434"/>
      <c r="C111" s="434"/>
      <c r="D111" s="434"/>
      <c r="E111" s="424"/>
      <c r="F111" s="414"/>
      <c r="G111" s="414"/>
      <c r="H111" s="414"/>
      <c r="I111" s="414"/>
      <c r="J111" s="425"/>
      <c r="K111" s="426"/>
      <c r="L111" s="427"/>
    </row>
    <row r="112" spans="1:12" ht="12.75">
      <c r="A112" s="433"/>
      <c r="B112" s="434"/>
      <c r="C112" s="434"/>
      <c r="D112" s="434"/>
      <c r="E112" s="424"/>
      <c r="F112" s="414"/>
      <c r="G112" s="414"/>
      <c r="H112" s="414"/>
      <c r="I112" s="414"/>
      <c r="J112" s="425"/>
      <c r="K112" s="426"/>
      <c r="L112" s="427"/>
    </row>
    <row r="113" spans="1:12" ht="12.75">
      <c r="A113" s="433"/>
      <c r="B113" s="434"/>
      <c r="C113" s="434"/>
      <c r="D113" s="434"/>
      <c r="E113" s="424"/>
      <c r="F113" s="414"/>
      <c r="G113" s="414"/>
      <c r="H113" s="414"/>
      <c r="I113" s="414"/>
      <c r="J113" s="425"/>
      <c r="K113" s="426"/>
      <c r="L113" s="427"/>
    </row>
    <row r="114" spans="1:12" ht="12.75">
      <c r="A114" s="433"/>
      <c r="B114" s="434"/>
      <c r="C114" s="434"/>
      <c r="D114" s="434"/>
      <c r="E114" s="424"/>
      <c r="F114" s="414"/>
      <c r="G114" s="414"/>
      <c r="H114" s="414"/>
      <c r="I114" s="414"/>
      <c r="J114" s="425"/>
      <c r="K114" s="426"/>
      <c r="L114" s="427"/>
    </row>
    <row r="115" spans="1:12" ht="12.75">
      <c r="A115" s="433"/>
      <c r="B115" s="434"/>
      <c r="C115" s="434"/>
      <c r="D115" s="434"/>
      <c r="E115" s="424"/>
      <c r="F115" s="414"/>
      <c r="G115" s="414"/>
      <c r="H115" s="414"/>
      <c r="I115" s="414"/>
      <c r="J115" s="425"/>
      <c r="K115" s="426"/>
      <c r="L115" s="427"/>
    </row>
    <row r="116" spans="1:12" ht="12.75">
      <c r="A116" s="433"/>
      <c r="B116" s="434"/>
      <c r="C116" s="434"/>
      <c r="D116" s="434"/>
      <c r="E116" s="424"/>
      <c r="F116" s="414"/>
      <c r="G116" s="414"/>
      <c r="H116" s="414"/>
      <c r="I116" s="414"/>
      <c r="J116" s="425"/>
      <c r="K116" s="426"/>
      <c r="L116" s="427"/>
    </row>
    <row r="117" spans="1:12" ht="12.75">
      <c r="A117" s="433"/>
      <c r="B117" s="434"/>
      <c r="C117" s="434"/>
      <c r="D117" s="434"/>
      <c r="E117" s="424"/>
      <c r="F117" s="414"/>
      <c r="G117" s="414"/>
      <c r="H117" s="414"/>
      <c r="I117" s="414"/>
      <c r="J117" s="425"/>
      <c r="K117" s="426"/>
      <c r="L117" s="427"/>
    </row>
    <row r="118" spans="1:12" ht="12.75">
      <c r="A118" s="433"/>
      <c r="B118" s="434"/>
      <c r="C118" s="434"/>
      <c r="D118" s="434"/>
      <c r="E118" s="424"/>
      <c r="F118" s="414"/>
      <c r="G118" s="414"/>
      <c r="H118" s="414"/>
      <c r="I118" s="414"/>
      <c r="J118" s="425"/>
      <c r="K118" s="426"/>
      <c r="L118" s="427"/>
    </row>
    <row r="119" spans="1:12" ht="12.75">
      <c r="A119" s="433"/>
      <c r="B119" s="434"/>
      <c r="C119" s="434"/>
      <c r="D119" s="434"/>
      <c r="E119" s="424"/>
      <c r="F119" s="414"/>
      <c r="G119" s="414"/>
      <c r="H119" s="414"/>
      <c r="I119" s="414"/>
      <c r="J119" s="425"/>
      <c r="K119" s="426"/>
      <c r="L119" s="427"/>
    </row>
    <row r="120" spans="1:12" ht="12.75">
      <c r="A120" s="433"/>
      <c r="B120" s="434"/>
      <c r="C120" s="434"/>
      <c r="D120" s="434"/>
      <c r="E120" s="424"/>
      <c r="F120" s="414"/>
      <c r="G120" s="414"/>
      <c r="H120" s="414"/>
      <c r="I120" s="414"/>
      <c r="J120" s="425"/>
      <c r="K120" s="426"/>
      <c r="L120" s="427"/>
    </row>
    <row r="121" spans="1:12" ht="12.75">
      <c r="A121" s="433"/>
      <c r="B121" s="434"/>
      <c r="C121" s="434"/>
      <c r="D121" s="434"/>
      <c r="E121" s="424"/>
      <c r="F121" s="414"/>
      <c r="G121" s="414"/>
      <c r="H121" s="414"/>
      <c r="I121" s="414"/>
      <c r="J121" s="425"/>
      <c r="K121" s="426"/>
      <c r="L121" s="427"/>
    </row>
    <row r="122" spans="1:12" ht="12.75">
      <c r="A122" s="433"/>
      <c r="B122" s="434"/>
      <c r="C122" s="434"/>
      <c r="D122" s="434"/>
      <c r="E122" s="424"/>
      <c r="F122" s="414"/>
      <c r="G122" s="414"/>
      <c r="H122" s="414"/>
      <c r="I122" s="414"/>
      <c r="J122" s="425"/>
      <c r="K122" s="426"/>
      <c r="L122" s="427"/>
    </row>
    <row r="123" spans="1:12" ht="12.75">
      <c r="A123" s="433"/>
      <c r="B123" s="434"/>
      <c r="C123" s="434"/>
      <c r="D123" s="434"/>
      <c r="E123" s="424"/>
      <c r="F123" s="414"/>
      <c r="G123" s="414"/>
      <c r="H123" s="414"/>
      <c r="I123" s="414"/>
      <c r="J123" s="425"/>
      <c r="K123" s="426"/>
      <c r="L123" s="427"/>
    </row>
    <row r="124" spans="1:12" ht="12.75">
      <c r="A124" s="433"/>
      <c r="B124" s="434"/>
      <c r="C124" s="434"/>
      <c r="D124" s="434"/>
      <c r="E124" s="424"/>
      <c r="F124" s="414"/>
      <c r="G124" s="414"/>
      <c r="H124" s="414"/>
      <c r="I124" s="414"/>
      <c r="J124" s="425"/>
      <c r="K124" s="426"/>
      <c r="L124" s="427"/>
    </row>
    <row r="125" spans="1:12" ht="12.75">
      <c r="A125" s="433"/>
      <c r="B125" s="434"/>
      <c r="C125" s="434"/>
      <c r="D125" s="434"/>
      <c r="E125" s="424"/>
      <c r="F125" s="414"/>
      <c r="G125" s="414"/>
      <c r="H125" s="414"/>
      <c r="I125" s="414"/>
      <c r="J125" s="425"/>
      <c r="K125" s="426"/>
      <c r="L125" s="427"/>
    </row>
    <row r="126" spans="1:12" ht="12.75">
      <c r="A126" s="433"/>
      <c r="B126" s="434"/>
      <c r="C126" s="434"/>
      <c r="D126" s="434"/>
      <c r="E126" s="424"/>
      <c r="F126" s="414"/>
      <c r="G126" s="414"/>
      <c r="H126" s="414"/>
      <c r="I126" s="414"/>
      <c r="J126" s="425"/>
      <c r="K126" s="426"/>
      <c r="L126" s="427"/>
    </row>
    <row r="127" spans="1:12" ht="12.75">
      <c r="A127" s="433"/>
      <c r="B127" s="434"/>
      <c r="C127" s="434"/>
      <c r="D127" s="434"/>
      <c r="E127" s="424"/>
      <c r="F127" s="414"/>
      <c r="G127" s="414"/>
      <c r="H127" s="414"/>
      <c r="I127" s="414"/>
      <c r="J127" s="425"/>
      <c r="K127" s="426"/>
      <c r="L127" s="427"/>
    </row>
    <row r="128" spans="1:12" ht="12.75">
      <c r="A128" s="433"/>
      <c r="B128" s="434"/>
      <c r="C128" s="434"/>
      <c r="D128" s="434"/>
      <c r="E128" s="424"/>
      <c r="F128" s="414"/>
      <c r="G128" s="414"/>
      <c r="H128" s="414"/>
      <c r="I128" s="414"/>
      <c r="J128" s="425"/>
      <c r="K128" s="426"/>
      <c r="L128" s="427"/>
    </row>
    <row r="129" spans="1:12" ht="12.75">
      <c r="A129" s="433"/>
      <c r="B129" s="434"/>
      <c r="C129" s="434"/>
      <c r="D129" s="434"/>
      <c r="E129" s="424"/>
      <c r="F129" s="414"/>
      <c r="G129" s="414"/>
      <c r="H129" s="414"/>
      <c r="I129" s="414"/>
      <c r="J129" s="425"/>
      <c r="K129" s="426"/>
      <c r="L129" s="427"/>
    </row>
    <row r="130" spans="1:12" ht="12.75">
      <c r="A130" s="433"/>
      <c r="B130" s="434"/>
      <c r="C130" s="434"/>
      <c r="D130" s="434"/>
      <c r="E130" s="424"/>
      <c r="F130" s="414"/>
      <c r="G130" s="414"/>
      <c r="H130" s="414"/>
      <c r="I130" s="414"/>
      <c r="J130" s="425"/>
      <c r="K130" s="426"/>
      <c r="L130" s="427"/>
    </row>
    <row r="131" spans="1:12" ht="12.75">
      <c r="A131" s="433"/>
      <c r="B131" s="434"/>
      <c r="C131" s="434"/>
      <c r="D131" s="434"/>
      <c r="E131" s="424"/>
      <c r="F131" s="414"/>
      <c r="G131" s="414"/>
      <c r="H131" s="414"/>
      <c r="I131" s="414"/>
      <c r="J131" s="425"/>
      <c r="K131" s="426"/>
      <c r="L131" s="427"/>
    </row>
    <row r="132" spans="1:12" ht="12.75">
      <c r="A132" s="433"/>
      <c r="B132" s="434"/>
      <c r="C132" s="434"/>
      <c r="D132" s="434"/>
      <c r="E132" s="424"/>
      <c r="F132" s="414"/>
      <c r="G132" s="414"/>
      <c r="H132" s="414"/>
      <c r="I132" s="414"/>
      <c r="J132" s="425"/>
      <c r="K132" s="426"/>
      <c r="L132" s="427"/>
    </row>
    <row r="133" spans="1:12" ht="12.75">
      <c r="A133" s="433"/>
      <c r="B133" s="434"/>
      <c r="C133" s="434"/>
      <c r="D133" s="434"/>
      <c r="E133" s="424"/>
      <c r="F133" s="414"/>
      <c r="G133" s="414"/>
      <c r="H133" s="414"/>
      <c r="I133" s="414"/>
      <c r="J133" s="425"/>
      <c r="K133" s="426"/>
      <c r="L133" s="427"/>
    </row>
    <row r="134" spans="1:12" ht="12.75">
      <c r="A134" s="433"/>
      <c r="B134" s="434"/>
      <c r="C134" s="434"/>
      <c r="D134" s="434"/>
      <c r="E134" s="424"/>
      <c r="F134" s="414"/>
      <c r="G134" s="414"/>
      <c r="H134" s="414"/>
      <c r="I134" s="414"/>
      <c r="J134" s="425"/>
      <c r="K134" s="426"/>
      <c r="L134" s="427"/>
    </row>
    <row r="135" spans="1:12" ht="12.75">
      <c r="A135" s="433"/>
      <c r="B135" s="434"/>
      <c r="C135" s="434"/>
      <c r="D135" s="434"/>
      <c r="E135" s="424"/>
      <c r="F135" s="414"/>
      <c r="G135" s="414"/>
      <c r="H135" s="414"/>
      <c r="I135" s="414"/>
      <c r="J135" s="425"/>
      <c r="K135" s="426"/>
      <c r="L135" s="427"/>
    </row>
    <row r="136" spans="1:12" ht="12.75">
      <c r="A136" s="433"/>
      <c r="B136" s="434"/>
      <c r="C136" s="434"/>
      <c r="D136" s="434"/>
      <c r="E136" s="424"/>
      <c r="F136" s="414"/>
      <c r="G136" s="414"/>
      <c r="H136" s="414"/>
      <c r="I136" s="414"/>
      <c r="J136" s="425"/>
      <c r="K136" s="426"/>
      <c r="L136" s="427"/>
    </row>
    <row r="137" spans="1:12" ht="12.75">
      <c r="A137" s="433"/>
      <c r="B137" s="434"/>
      <c r="C137" s="434"/>
      <c r="D137" s="434"/>
      <c r="E137" s="424"/>
      <c r="F137" s="414"/>
      <c r="G137" s="414"/>
      <c r="H137" s="414"/>
      <c r="I137" s="414"/>
      <c r="J137" s="425"/>
      <c r="K137" s="426"/>
      <c r="L137" s="427"/>
    </row>
    <row r="138" spans="1:12" ht="12.75">
      <c r="A138" s="433"/>
      <c r="B138" s="434"/>
      <c r="C138" s="434"/>
      <c r="D138" s="434"/>
      <c r="E138" s="424"/>
      <c r="F138" s="414"/>
      <c r="G138" s="414"/>
      <c r="H138" s="414"/>
      <c r="I138" s="414"/>
      <c r="J138" s="425"/>
      <c r="K138" s="426"/>
      <c r="L138" s="427"/>
    </row>
    <row r="139" spans="1:12" ht="12.75">
      <c r="A139" s="433"/>
      <c r="B139" s="434"/>
      <c r="C139" s="434"/>
      <c r="D139" s="434"/>
      <c r="E139" s="424"/>
      <c r="F139" s="414"/>
      <c r="G139" s="414"/>
      <c r="H139" s="414"/>
      <c r="I139" s="414"/>
      <c r="J139" s="425"/>
      <c r="K139" s="426"/>
      <c r="L139" s="427"/>
    </row>
    <row r="140" spans="1:12" ht="12.75">
      <c r="A140" s="433"/>
      <c r="B140" s="434"/>
      <c r="C140" s="434"/>
      <c r="D140" s="434"/>
      <c r="E140" s="424"/>
      <c r="F140" s="414"/>
      <c r="G140" s="414"/>
      <c r="H140" s="414"/>
      <c r="I140" s="414"/>
      <c r="J140" s="425"/>
      <c r="K140" s="426"/>
      <c r="L140" s="427"/>
    </row>
    <row r="141" spans="1:12" ht="12.75">
      <c r="A141" s="433"/>
      <c r="B141" s="434"/>
      <c r="C141" s="434"/>
      <c r="D141" s="434"/>
      <c r="E141" s="424"/>
      <c r="F141" s="414"/>
      <c r="G141" s="414"/>
      <c r="H141" s="414"/>
      <c r="I141" s="414"/>
      <c r="J141" s="425"/>
      <c r="K141" s="426"/>
      <c r="L141" s="427"/>
    </row>
    <row r="142" spans="1:12" ht="12.75">
      <c r="A142" s="433"/>
      <c r="B142" s="434"/>
      <c r="C142" s="434"/>
      <c r="D142" s="434"/>
      <c r="E142" s="424"/>
      <c r="F142" s="414"/>
      <c r="G142" s="414"/>
      <c r="H142" s="414"/>
      <c r="I142" s="414"/>
      <c r="J142" s="425"/>
      <c r="K142" s="426"/>
      <c r="L142" s="427"/>
    </row>
    <row r="143" spans="1:12" ht="12.75">
      <c r="A143" s="433"/>
      <c r="B143" s="434"/>
      <c r="C143" s="434"/>
      <c r="D143" s="434"/>
      <c r="E143" s="424"/>
      <c r="F143" s="414"/>
      <c r="G143" s="414"/>
      <c r="H143" s="414"/>
      <c r="I143" s="414"/>
      <c r="J143" s="425"/>
      <c r="K143" s="426"/>
      <c r="L143" s="427"/>
    </row>
    <row r="144" spans="1:12" ht="12.75">
      <c r="A144" s="433"/>
      <c r="B144" s="434"/>
      <c r="C144" s="434"/>
      <c r="D144" s="434"/>
      <c r="E144" s="424"/>
      <c r="F144" s="414"/>
      <c r="G144" s="414"/>
      <c r="H144" s="414"/>
      <c r="I144" s="414"/>
      <c r="J144" s="425"/>
      <c r="K144" s="426"/>
      <c r="L144" s="427"/>
    </row>
    <row r="145" spans="1:12" ht="12.75">
      <c r="A145" s="433"/>
      <c r="B145" s="434"/>
      <c r="C145" s="434"/>
      <c r="D145" s="434"/>
      <c r="E145" s="424"/>
      <c r="F145" s="414"/>
      <c r="G145" s="414"/>
      <c r="H145" s="414"/>
      <c r="I145" s="414"/>
      <c r="J145" s="425"/>
      <c r="K145" s="426"/>
      <c r="L145" s="427"/>
    </row>
    <row r="146" spans="1:12" ht="12.75">
      <c r="A146" s="433"/>
      <c r="B146" s="434"/>
      <c r="C146" s="434"/>
      <c r="D146" s="434"/>
      <c r="E146" s="424"/>
      <c r="F146" s="414"/>
      <c r="G146" s="414"/>
      <c r="H146" s="414"/>
      <c r="I146" s="414"/>
      <c r="J146" s="425"/>
      <c r="K146" s="426"/>
      <c r="L146" s="427"/>
    </row>
    <row r="147" spans="1:12" ht="12.75">
      <c r="A147" s="433"/>
      <c r="B147" s="434"/>
      <c r="C147" s="434"/>
      <c r="D147" s="434"/>
      <c r="E147" s="424"/>
      <c r="F147" s="414"/>
      <c r="G147" s="414"/>
      <c r="H147" s="414"/>
      <c r="I147" s="414"/>
      <c r="J147" s="425"/>
      <c r="K147" s="426"/>
      <c r="L147" s="427"/>
    </row>
    <row r="148" spans="1:12" ht="12.75">
      <c r="A148" s="433"/>
      <c r="B148" s="434"/>
      <c r="C148" s="434"/>
      <c r="D148" s="434"/>
      <c r="E148" s="424"/>
      <c r="F148" s="414"/>
      <c r="G148" s="414"/>
      <c r="H148" s="414"/>
      <c r="I148" s="414"/>
      <c r="J148" s="425"/>
      <c r="K148" s="426"/>
      <c r="L148" s="427"/>
    </row>
    <row r="149" spans="1:12" ht="12.75">
      <c r="A149" s="433"/>
      <c r="B149" s="434"/>
      <c r="C149" s="434"/>
      <c r="D149" s="434"/>
      <c r="E149" s="424"/>
      <c r="F149" s="414"/>
      <c r="G149" s="414"/>
      <c r="H149" s="414"/>
      <c r="I149" s="414"/>
      <c r="J149" s="425"/>
      <c r="K149" s="426"/>
      <c r="L149" s="427"/>
    </row>
    <row r="150" spans="1:12" ht="12.75">
      <c r="A150" s="433"/>
      <c r="B150" s="434"/>
      <c r="C150" s="434"/>
      <c r="D150" s="434"/>
      <c r="E150" s="424"/>
      <c r="F150" s="414"/>
      <c r="G150" s="414"/>
      <c r="H150" s="414"/>
      <c r="I150" s="414"/>
      <c r="J150" s="425"/>
      <c r="K150" s="426"/>
      <c r="L150" s="427"/>
    </row>
    <row r="151" spans="1:12" ht="12.75">
      <c r="A151" s="433"/>
      <c r="B151" s="434"/>
      <c r="C151" s="434"/>
      <c r="D151" s="434"/>
      <c r="E151" s="424"/>
      <c r="F151" s="414"/>
      <c r="G151" s="414"/>
      <c r="H151" s="414"/>
      <c r="I151" s="414"/>
      <c r="J151" s="425"/>
      <c r="K151" s="426"/>
      <c r="L151" s="427"/>
    </row>
    <row r="152" spans="1:12" ht="12.75">
      <c r="A152" s="433"/>
      <c r="B152" s="434"/>
      <c r="C152" s="434"/>
      <c r="D152" s="434"/>
      <c r="E152" s="424"/>
      <c r="F152" s="414"/>
      <c r="G152" s="414"/>
      <c r="H152" s="414"/>
      <c r="I152" s="414"/>
      <c r="J152" s="425"/>
      <c r="K152" s="426"/>
      <c r="L152" s="427"/>
    </row>
    <row r="153" spans="1:12" ht="12.75">
      <c r="A153" s="433"/>
      <c r="B153" s="434"/>
      <c r="C153" s="434"/>
      <c r="D153" s="434"/>
      <c r="E153" s="424"/>
      <c r="F153" s="414"/>
      <c r="G153" s="414"/>
      <c r="H153" s="414"/>
      <c r="I153" s="414"/>
      <c r="J153" s="425"/>
      <c r="K153" s="426"/>
      <c r="L153" s="427"/>
    </row>
    <row r="154" spans="1:12" ht="12.75">
      <c r="A154" s="433"/>
      <c r="B154" s="434"/>
      <c r="C154" s="434"/>
      <c r="D154" s="434"/>
      <c r="E154" s="424"/>
      <c r="F154" s="414"/>
      <c r="G154" s="414"/>
      <c r="H154" s="414"/>
      <c r="I154" s="414"/>
      <c r="J154" s="425"/>
      <c r="K154" s="426"/>
      <c r="L154" s="427"/>
    </row>
    <row r="155" spans="1:12" ht="12.75">
      <c r="A155" s="433"/>
      <c r="B155" s="434"/>
      <c r="C155" s="434"/>
      <c r="D155" s="434"/>
      <c r="E155" s="424"/>
      <c r="F155" s="414"/>
      <c r="G155" s="414"/>
      <c r="H155" s="414"/>
      <c r="I155" s="414"/>
      <c r="J155" s="425"/>
      <c r="K155" s="426"/>
      <c r="L155" s="427"/>
    </row>
    <row r="156" spans="1:12" ht="12.75">
      <c r="A156" s="433"/>
      <c r="B156" s="434"/>
      <c r="C156" s="434"/>
      <c r="D156" s="434"/>
      <c r="E156" s="424"/>
      <c r="F156" s="414"/>
      <c r="G156" s="414"/>
      <c r="H156" s="414"/>
      <c r="I156" s="414"/>
      <c r="J156" s="425"/>
      <c r="K156" s="426"/>
      <c r="L156" s="427"/>
    </row>
    <row r="157" spans="1:12" ht="12.75">
      <c r="A157" s="433"/>
      <c r="B157" s="434"/>
      <c r="C157" s="434"/>
      <c r="D157" s="434"/>
      <c r="E157" s="424"/>
      <c r="F157" s="414"/>
      <c r="G157" s="414"/>
      <c r="H157" s="414"/>
      <c r="I157" s="414"/>
      <c r="J157" s="425"/>
      <c r="K157" s="426"/>
      <c r="L157" s="427"/>
    </row>
    <row r="158" spans="1:12" ht="12.75">
      <c r="A158" s="433"/>
      <c r="B158" s="434"/>
      <c r="C158" s="434"/>
      <c r="D158" s="434"/>
      <c r="E158" s="424"/>
      <c r="F158" s="414"/>
      <c r="G158" s="414"/>
      <c r="H158" s="414"/>
      <c r="I158" s="414"/>
      <c r="J158" s="425"/>
      <c r="K158" s="426"/>
      <c r="L158" s="427"/>
    </row>
    <row r="159" spans="1:12" ht="12.75">
      <c r="A159" s="433"/>
      <c r="B159" s="434"/>
      <c r="C159" s="434"/>
      <c r="D159" s="434"/>
      <c r="E159" s="424"/>
      <c r="F159" s="414"/>
      <c r="G159" s="414"/>
      <c r="H159" s="414"/>
      <c r="I159" s="414"/>
      <c r="J159" s="425"/>
      <c r="K159" s="426"/>
      <c r="L159" s="427"/>
    </row>
    <row r="160" spans="1:12" ht="12.75">
      <c r="A160" s="433"/>
      <c r="B160" s="434"/>
      <c r="C160" s="434"/>
      <c r="D160" s="434"/>
      <c r="E160" s="424"/>
      <c r="F160" s="414"/>
      <c r="G160" s="414"/>
      <c r="H160" s="414"/>
      <c r="I160" s="414"/>
      <c r="J160" s="425"/>
      <c r="K160" s="426"/>
      <c r="L160" s="427"/>
    </row>
    <row r="161" spans="1:12" ht="12.75">
      <c r="A161" s="433"/>
      <c r="B161" s="434"/>
      <c r="C161" s="434"/>
      <c r="D161" s="434"/>
      <c r="E161" s="424"/>
      <c r="F161" s="414"/>
      <c r="G161" s="414"/>
      <c r="H161" s="414"/>
      <c r="I161" s="414"/>
      <c r="J161" s="425"/>
      <c r="K161" s="426"/>
      <c r="L161" s="427"/>
    </row>
    <row r="162" spans="1:12" ht="12.75">
      <c r="A162" s="433"/>
      <c r="B162" s="434"/>
      <c r="C162" s="434"/>
      <c r="D162" s="434"/>
      <c r="E162" s="424"/>
      <c r="F162" s="414"/>
      <c r="G162" s="414"/>
      <c r="H162" s="414"/>
      <c r="I162" s="414"/>
      <c r="J162" s="425"/>
      <c r="K162" s="426"/>
      <c r="L162" s="427"/>
    </row>
    <row r="163" spans="1:12" ht="12.75">
      <c r="A163" s="433"/>
      <c r="B163" s="434"/>
      <c r="C163" s="434"/>
      <c r="D163" s="434"/>
      <c r="E163" s="424"/>
      <c r="F163" s="414"/>
      <c r="G163" s="414"/>
      <c r="H163" s="414"/>
      <c r="I163" s="414"/>
      <c r="J163" s="425"/>
      <c r="K163" s="426"/>
      <c r="L163" s="427"/>
    </row>
    <row r="164" spans="1:12" ht="12.75">
      <c r="A164" s="433"/>
      <c r="B164" s="434"/>
      <c r="C164" s="434"/>
      <c r="D164" s="434"/>
      <c r="E164" s="424"/>
      <c r="F164" s="414"/>
      <c r="G164" s="414"/>
      <c r="H164" s="414"/>
      <c r="I164" s="414"/>
      <c r="J164" s="425"/>
      <c r="K164" s="426"/>
      <c r="L164" s="427"/>
    </row>
    <row r="165" spans="1:12" ht="12.75">
      <c r="A165" s="433"/>
      <c r="B165" s="434"/>
      <c r="C165" s="434"/>
      <c r="D165" s="434"/>
      <c r="E165" s="424"/>
      <c r="F165" s="414"/>
      <c r="G165" s="414"/>
      <c r="H165" s="414"/>
      <c r="I165" s="414"/>
      <c r="J165" s="425"/>
      <c r="K165" s="426"/>
      <c r="L165" s="427"/>
    </row>
    <row r="166" spans="1:12" ht="12.75">
      <c r="A166" s="433"/>
      <c r="B166" s="434"/>
      <c r="C166" s="434"/>
      <c r="D166" s="434"/>
      <c r="E166" s="424"/>
      <c r="F166" s="414"/>
      <c r="G166" s="414"/>
      <c r="H166" s="414"/>
      <c r="I166" s="414"/>
      <c r="J166" s="425"/>
      <c r="K166" s="426"/>
      <c r="L166" s="427"/>
    </row>
    <row r="167" spans="1:12" ht="12.75">
      <c r="A167" s="433"/>
      <c r="B167" s="434"/>
      <c r="C167" s="434"/>
      <c r="D167" s="434"/>
      <c r="E167" s="424"/>
      <c r="F167" s="414"/>
      <c r="G167" s="414"/>
      <c r="H167" s="414"/>
      <c r="I167" s="414"/>
      <c r="J167" s="425"/>
      <c r="K167" s="426"/>
      <c r="L167" s="427"/>
    </row>
    <row r="168" spans="1:12" ht="12.75">
      <c r="A168" s="433"/>
      <c r="B168" s="434"/>
      <c r="C168" s="434"/>
      <c r="D168" s="434"/>
      <c r="E168" s="424"/>
      <c r="F168" s="414"/>
      <c r="G168" s="414"/>
      <c r="H168" s="414"/>
      <c r="I168" s="414"/>
      <c r="J168" s="425"/>
      <c r="K168" s="426"/>
      <c r="L168" s="427"/>
    </row>
    <row r="169" spans="1:12" ht="12.75">
      <c r="A169" s="433"/>
      <c r="B169" s="434"/>
      <c r="C169" s="434"/>
      <c r="D169" s="434"/>
      <c r="E169" s="424"/>
      <c r="F169" s="414"/>
      <c r="G169" s="414"/>
      <c r="H169" s="414"/>
      <c r="I169" s="414"/>
      <c r="J169" s="425"/>
      <c r="K169" s="426"/>
      <c r="L169" s="427"/>
    </row>
    <row r="170" spans="1:12" ht="12.75">
      <c r="A170" s="433"/>
      <c r="B170" s="434"/>
      <c r="C170" s="434"/>
      <c r="D170" s="434"/>
      <c r="E170" s="424"/>
      <c r="F170" s="414"/>
      <c r="G170" s="414"/>
      <c r="H170" s="414"/>
      <c r="I170" s="414"/>
      <c r="J170" s="425"/>
      <c r="K170" s="426"/>
      <c r="L170" s="427"/>
    </row>
    <row r="171" spans="1:12" ht="12.75">
      <c r="A171" s="433"/>
      <c r="B171" s="434"/>
      <c r="C171" s="434"/>
      <c r="D171" s="434"/>
      <c r="E171" s="424"/>
      <c r="F171" s="414"/>
      <c r="G171" s="414"/>
      <c r="H171" s="414"/>
      <c r="I171" s="414"/>
      <c r="J171" s="425"/>
      <c r="K171" s="426"/>
      <c r="L171" s="427"/>
    </row>
    <row r="172" spans="1:12" ht="12.75">
      <c r="A172" s="433"/>
      <c r="B172" s="434"/>
      <c r="C172" s="434"/>
      <c r="D172" s="434"/>
      <c r="E172" s="424"/>
      <c r="F172" s="414"/>
      <c r="G172" s="414"/>
      <c r="H172" s="414"/>
      <c r="I172" s="414"/>
      <c r="J172" s="425"/>
      <c r="K172" s="426"/>
      <c r="L172" s="427"/>
    </row>
    <row r="173" spans="1:12" ht="12.75">
      <c r="A173" s="433"/>
      <c r="B173" s="434"/>
      <c r="C173" s="434"/>
      <c r="D173" s="434"/>
      <c r="E173" s="424"/>
      <c r="F173" s="414"/>
      <c r="G173" s="414"/>
      <c r="H173" s="414"/>
      <c r="I173" s="414"/>
      <c r="J173" s="425"/>
      <c r="K173" s="426"/>
      <c r="L173" s="427"/>
    </row>
    <row r="174" spans="1:12" ht="12.75">
      <c r="A174" s="433"/>
      <c r="B174" s="434"/>
      <c r="C174" s="434"/>
      <c r="D174" s="434"/>
      <c r="E174" s="424"/>
      <c r="F174" s="414"/>
      <c r="G174" s="414"/>
      <c r="H174" s="414"/>
      <c r="I174" s="414"/>
      <c r="J174" s="425"/>
      <c r="K174" s="426"/>
      <c r="L174" s="427"/>
    </row>
    <row r="175" spans="1:12" ht="12.75">
      <c r="A175" s="433"/>
      <c r="B175" s="434"/>
      <c r="C175" s="434"/>
      <c r="D175" s="434"/>
      <c r="E175" s="424"/>
      <c r="F175" s="414"/>
      <c r="G175" s="414"/>
      <c r="H175" s="414"/>
      <c r="I175" s="414"/>
      <c r="J175" s="425"/>
      <c r="K175" s="426"/>
      <c r="L175" s="427"/>
    </row>
    <row r="176" spans="1:12" ht="12.75">
      <c r="A176" s="433"/>
      <c r="B176" s="434"/>
      <c r="C176" s="434"/>
      <c r="D176" s="434"/>
      <c r="E176" s="424"/>
      <c r="F176" s="414"/>
      <c r="G176" s="414"/>
      <c r="H176" s="414"/>
      <c r="I176" s="414"/>
      <c r="J176" s="425"/>
      <c r="K176" s="426"/>
      <c r="L176" s="427"/>
    </row>
    <row r="177" spans="1:12" ht="12.75">
      <c r="A177" s="433"/>
      <c r="B177" s="434"/>
      <c r="C177" s="434"/>
      <c r="D177" s="434"/>
      <c r="E177" s="424"/>
      <c r="F177" s="414"/>
      <c r="G177" s="414"/>
      <c r="H177" s="414"/>
      <c r="I177" s="414"/>
      <c r="J177" s="425"/>
      <c r="K177" s="426"/>
      <c r="L177" s="427"/>
    </row>
    <row r="178" spans="1:12" ht="12.75">
      <c r="A178" s="433"/>
      <c r="B178" s="434"/>
      <c r="C178" s="434"/>
      <c r="D178" s="434"/>
      <c r="E178" s="424"/>
      <c r="F178" s="414"/>
      <c r="G178" s="414"/>
      <c r="H178" s="414"/>
      <c r="I178" s="414"/>
      <c r="J178" s="425"/>
      <c r="K178" s="426"/>
      <c r="L178" s="427"/>
    </row>
    <row r="179" spans="1:12" ht="12.75">
      <c r="A179" s="433"/>
      <c r="B179" s="434"/>
      <c r="C179" s="434"/>
      <c r="D179" s="434"/>
      <c r="E179" s="424"/>
      <c r="F179" s="414"/>
      <c r="G179" s="414"/>
      <c r="H179" s="414"/>
      <c r="I179" s="414"/>
      <c r="J179" s="425"/>
      <c r="K179" s="426"/>
      <c r="L179" s="427"/>
    </row>
    <row r="180" spans="1:12" ht="12.75">
      <c r="A180" s="433"/>
      <c r="B180" s="434"/>
      <c r="C180" s="434"/>
      <c r="D180" s="434"/>
      <c r="E180" s="424"/>
      <c r="F180" s="414"/>
      <c r="G180" s="414"/>
      <c r="H180" s="414"/>
      <c r="I180" s="414"/>
      <c r="J180" s="425"/>
      <c r="K180" s="426"/>
      <c r="L180" s="427"/>
    </row>
    <row r="181" spans="1:12" ht="12.75">
      <c r="A181" s="433"/>
      <c r="B181" s="434"/>
      <c r="C181" s="434"/>
      <c r="D181" s="434"/>
      <c r="E181" s="424"/>
      <c r="F181" s="414"/>
      <c r="G181" s="414"/>
      <c r="H181" s="414"/>
      <c r="I181" s="414"/>
      <c r="J181" s="425"/>
      <c r="K181" s="426"/>
      <c r="L181" s="427"/>
    </row>
    <row r="182" spans="1:12" ht="12.75">
      <c r="A182" s="433"/>
      <c r="B182" s="434"/>
      <c r="C182" s="434"/>
      <c r="D182" s="434"/>
      <c r="E182" s="424"/>
      <c r="F182" s="414"/>
      <c r="G182" s="414"/>
      <c r="H182" s="414"/>
      <c r="I182" s="414"/>
      <c r="J182" s="425"/>
      <c r="K182" s="426"/>
      <c r="L182" s="427"/>
    </row>
    <row r="183" spans="1:12" ht="12.75">
      <c r="A183" s="433"/>
      <c r="B183" s="434"/>
      <c r="C183" s="434"/>
      <c r="D183" s="434"/>
      <c r="E183" s="424"/>
      <c r="F183" s="414"/>
      <c r="G183" s="414"/>
      <c r="H183" s="414"/>
      <c r="I183" s="414"/>
      <c r="J183" s="425"/>
      <c r="K183" s="426"/>
      <c r="L183" s="427"/>
    </row>
    <row r="184" spans="1:12" ht="12.75">
      <c r="A184" s="433"/>
      <c r="B184" s="434"/>
      <c r="C184" s="434"/>
      <c r="D184" s="434"/>
      <c r="E184" s="424"/>
      <c r="F184" s="414"/>
      <c r="G184" s="414"/>
      <c r="H184" s="414"/>
      <c r="I184" s="414"/>
      <c r="J184" s="425"/>
      <c r="K184" s="426"/>
      <c r="L184" s="427"/>
    </row>
    <row r="185" spans="1:12" ht="12.75">
      <c r="A185" s="433"/>
      <c r="B185" s="434"/>
      <c r="C185" s="434"/>
      <c r="D185" s="434"/>
      <c r="E185" s="424"/>
      <c r="F185" s="414"/>
      <c r="G185" s="414"/>
      <c r="H185" s="414"/>
      <c r="I185" s="414"/>
      <c r="J185" s="425"/>
      <c r="K185" s="426"/>
      <c r="L185" s="427"/>
    </row>
    <row r="186" spans="1:12" ht="12.75">
      <c r="A186" s="433"/>
      <c r="B186" s="434"/>
      <c r="C186" s="434"/>
      <c r="D186" s="434"/>
      <c r="E186" s="424"/>
      <c r="F186" s="414"/>
      <c r="G186" s="414"/>
      <c r="H186" s="414"/>
      <c r="I186" s="414"/>
      <c r="J186" s="425"/>
      <c r="K186" s="426"/>
      <c r="L186" s="427"/>
    </row>
    <row r="187" spans="1:12" ht="12.75">
      <c r="A187" s="433"/>
      <c r="B187" s="434"/>
      <c r="C187" s="434"/>
      <c r="D187" s="434"/>
      <c r="E187" s="424"/>
      <c r="F187" s="414"/>
      <c r="G187" s="414"/>
      <c r="H187" s="414"/>
      <c r="I187" s="414"/>
      <c r="J187" s="425"/>
      <c r="K187" s="426"/>
      <c r="L187" s="427"/>
    </row>
    <row r="188" spans="1:12" ht="12.75">
      <c r="A188" s="433"/>
      <c r="B188" s="434"/>
      <c r="C188" s="434"/>
      <c r="D188" s="434"/>
      <c r="E188" s="424"/>
      <c r="F188" s="414"/>
      <c r="G188" s="414"/>
      <c r="H188" s="414"/>
      <c r="I188" s="414"/>
      <c r="J188" s="425"/>
      <c r="K188" s="426"/>
      <c r="L188" s="427"/>
    </row>
    <row r="189" spans="1:12" ht="12.75">
      <c r="A189" s="433"/>
      <c r="B189" s="434"/>
      <c r="C189" s="434"/>
      <c r="D189" s="434"/>
      <c r="E189" s="424"/>
      <c r="F189" s="414"/>
      <c r="G189" s="414"/>
      <c r="H189" s="414"/>
      <c r="I189" s="414"/>
      <c r="J189" s="425"/>
      <c r="K189" s="426"/>
      <c r="L189" s="427"/>
    </row>
    <row r="190" spans="1:12" ht="12.75">
      <c r="A190" s="433"/>
      <c r="B190" s="434"/>
      <c r="C190" s="434"/>
      <c r="D190" s="434"/>
      <c r="E190" s="424"/>
      <c r="F190" s="414"/>
      <c r="G190" s="414"/>
      <c r="H190" s="414"/>
      <c r="I190" s="414"/>
      <c r="J190" s="425"/>
      <c r="K190" s="426"/>
      <c r="L190" s="427"/>
    </row>
    <row r="191" spans="1:12" ht="12.75">
      <c r="A191" s="433"/>
      <c r="B191" s="434"/>
      <c r="C191" s="434"/>
      <c r="D191" s="434"/>
      <c r="E191" s="424"/>
      <c r="F191" s="414"/>
      <c r="G191" s="414"/>
      <c r="H191" s="414"/>
      <c r="I191" s="414"/>
      <c r="J191" s="425"/>
      <c r="K191" s="426"/>
      <c r="L191" s="427"/>
    </row>
    <row r="192" spans="1:12" ht="12.75">
      <c r="A192" s="433"/>
      <c r="B192" s="434"/>
      <c r="C192" s="434"/>
      <c r="D192" s="434"/>
      <c r="E192" s="424"/>
      <c r="F192" s="414"/>
      <c r="G192" s="414"/>
      <c r="H192" s="414"/>
      <c r="I192" s="414"/>
      <c r="J192" s="425"/>
      <c r="K192" s="426"/>
      <c r="L192" s="427"/>
    </row>
    <row r="193" spans="1:12" ht="12.75">
      <c r="A193" s="433"/>
      <c r="B193" s="434"/>
      <c r="C193" s="434"/>
      <c r="D193" s="434"/>
      <c r="E193" s="424"/>
      <c r="F193" s="414"/>
      <c r="G193" s="414"/>
      <c r="H193" s="414"/>
      <c r="I193" s="414"/>
      <c r="J193" s="425"/>
      <c r="K193" s="426"/>
      <c r="L193" s="427"/>
    </row>
    <row r="194" spans="1:12" ht="12.75">
      <c r="A194" s="433"/>
      <c r="B194" s="434"/>
      <c r="C194" s="434"/>
      <c r="D194" s="434"/>
      <c r="E194" s="424"/>
      <c r="F194" s="414"/>
      <c r="G194" s="414"/>
      <c r="H194" s="414"/>
      <c r="I194" s="414"/>
      <c r="J194" s="425"/>
      <c r="K194" s="426"/>
      <c r="L194" s="427"/>
    </row>
    <row r="195" spans="1:12" ht="12.75">
      <c r="A195" s="433"/>
      <c r="B195" s="434"/>
      <c r="C195" s="434"/>
      <c r="D195" s="434"/>
      <c r="E195" s="424"/>
      <c r="F195" s="414"/>
      <c r="G195" s="414"/>
      <c r="H195" s="414"/>
      <c r="I195" s="414"/>
      <c r="J195" s="425"/>
      <c r="K195" s="426"/>
      <c r="L195" s="427"/>
    </row>
    <row r="196" spans="1:12" ht="12.75">
      <c r="A196" s="433"/>
      <c r="B196" s="434"/>
      <c r="C196" s="434"/>
      <c r="D196" s="434"/>
      <c r="E196" s="424"/>
      <c r="F196" s="414"/>
      <c r="G196" s="414"/>
      <c r="H196" s="414"/>
      <c r="I196" s="414"/>
      <c r="J196" s="425"/>
      <c r="K196" s="426"/>
      <c r="L196" s="427"/>
    </row>
    <row r="197" spans="1:12" ht="12.75">
      <c r="A197" s="433"/>
      <c r="B197" s="434"/>
      <c r="C197" s="434"/>
      <c r="D197" s="434"/>
      <c r="E197" s="424"/>
      <c r="F197" s="414"/>
      <c r="G197" s="414"/>
      <c r="H197" s="414"/>
      <c r="I197" s="414"/>
      <c r="J197" s="425"/>
      <c r="K197" s="426"/>
      <c r="L197" s="427"/>
    </row>
    <row r="198" spans="1:12" ht="12.75">
      <c r="A198" s="433"/>
      <c r="B198" s="434"/>
      <c r="C198" s="434"/>
      <c r="D198" s="434"/>
      <c r="E198" s="424"/>
      <c r="F198" s="414"/>
      <c r="G198" s="414"/>
      <c r="H198" s="414"/>
      <c r="I198" s="414"/>
      <c r="J198" s="425"/>
      <c r="K198" s="426"/>
      <c r="L198" s="427"/>
    </row>
    <row r="199" spans="1:12" ht="12.75">
      <c r="A199" s="433"/>
      <c r="B199" s="434"/>
      <c r="C199" s="434"/>
      <c r="D199" s="434"/>
      <c r="E199" s="424"/>
      <c r="F199" s="414"/>
      <c r="G199" s="414"/>
      <c r="H199" s="414"/>
      <c r="I199" s="414"/>
      <c r="J199" s="425"/>
      <c r="K199" s="426"/>
      <c r="L199" s="427"/>
    </row>
    <row r="200" spans="1:12" ht="12.75">
      <c r="A200" s="433"/>
      <c r="B200" s="434"/>
      <c r="C200" s="434"/>
      <c r="D200" s="434"/>
      <c r="E200" s="424"/>
      <c r="F200" s="414"/>
      <c r="G200" s="414"/>
      <c r="H200" s="414"/>
      <c r="I200" s="414"/>
      <c r="J200" s="425"/>
      <c r="K200" s="426"/>
      <c r="L200" s="427"/>
    </row>
    <row r="201" spans="1:12" ht="12.75">
      <c r="A201" s="433"/>
      <c r="B201" s="434"/>
      <c r="C201" s="434"/>
      <c r="D201" s="434"/>
      <c r="E201" s="424"/>
      <c r="F201" s="414"/>
      <c r="G201" s="414"/>
      <c r="H201" s="414"/>
      <c r="I201" s="414"/>
      <c r="J201" s="425"/>
      <c r="K201" s="426"/>
      <c r="L201" s="427"/>
    </row>
    <row r="202" spans="1:12" ht="12.75">
      <c r="A202" s="433"/>
      <c r="B202" s="434"/>
      <c r="C202" s="434"/>
      <c r="D202" s="434"/>
      <c r="E202" s="424"/>
      <c r="F202" s="414"/>
      <c r="G202" s="414"/>
      <c r="H202" s="414"/>
      <c r="I202" s="414"/>
      <c r="J202" s="425"/>
      <c r="K202" s="426"/>
      <c r="L202" s="427"/>
    </row>
    <row r="203" spans="1:12" ht="12.75">
      <c r="A203" s="433"/>
      <c r="B203" s="434"/>
      <c r="C203" s="434"/>
      <c r="D203" s="434"/>
      <c r="E203" s="424"/>
      <c r="F203" s="414"/>
      <c r="G203" s="414"/>
      <c r="H203" s="414"/>
      <c r="I203" s="414"/>
      <c r="J203" s="425"/>
      <c r="K203" s="426"/>
      <c r="L203" s="427"/>
    </row>
    <row r="204" spans="1:12" ht="12.75">
      <c r="A204" s="433"/>
      <c r="B204" s="434"/>
      <c r="C204" s="434"/>
      <c r="D204" s="434"/>
      <c r="E204" s="424"/>
      <c r="F204" s="414"/>
      <c r="G204" s="414"/>
      <c r="H204" s="414"/>
      <c r="I204" s="414"/>
      <c r="J204" s="425"/>
      <c r="K204" s="426"/>
      <c r="L204" s="427"/>
    </row>
    <row r="205" spans="1:12" ht="12.75">
      <c r="A205" s="433"/>
      <c r="B205" s="434"/>
      <c r="C205" s="434"/>
      <c r="D205" s="434"/>
      <c r="E205" s="424"/>
      <c r="F205" s="414"/>
      <c r="G205" s="414"/>
      <c r="H205" s="414"/>
      <c r="I205" s="414"/>
      <c r="J205" s="425"/>
      <c r="K205" s="426"/>
      <c r="L205" s="427"/>
    </row>
    <row r="206" spans="1:12" ht="12.75">
      <c r="A206" s="433"/>
      <c r="B206" s="434"/>
      <c r="C206" s="434"/>
      <c r="D206" s="434"/>
      <c r="E206" s="424"/>
      <c r="F206" s="414"/>
      <c r="G206" s="414"/>
      <c r="H206" s="414"/>
      <c r="I206" s="414"/>
      <c r="J206" s="425"/>
      <c r="K206" s="426"/>
      <c r="L206" s="427"/>
    </row>
    <row r="207" spans="1:12" ht="12.75">
      <c r="A207" s="433"/>
      <c r="B207" s="434"/>
      <c r="C207" s="434"/>
      <c r="D207" s="434"/>
      <c r="E207" s="424"/>
      <c r="F207" s="414"/>
      <c r="G207" s="414"/>
      <c r="H207" s="414"/>
      <c r="I207" s="414"/>
      <c r="J207" s="425"/>
      <c r="K207" s="426"/>
      <c r="L207" s="427"/>
    </row>
    <row r="208" spans="1:12" ht="12.75">
      <c r="A208" s="433"/>
      <c r="B208" s="434"/>
      <c r="C208" s="434"/>
      <c r="D208" s="434"/>
      <c r="E208" s="424"/>
      <c r="F208" s="414"/>
      <c r="G208" s="414"/>
      <c r="H208" s="414"/>
      <c r="I208" s="414"/>
      <c r="J208" s="425"/>
      <c r="K208" s="426"/>
      <c r="L208" s="427"/>
    </row>
    <row r="209" spans="1:12" ht="12.75">
      <c r="A209" s="433"/>
      <c r="B209" s="434"/>
      <c r="C209" s="434"/>
      <c r="D209" s="434"/>
      <c r="E209" s="424"/>
      <c r="F209" s="414"/>
      <c r="G209" s="414"/>
      <c r="H209" s="414"/>
      <c r="I209" s="414"/>
      <c r="J209" s="425"/>
      <c r="K209" s="426"/>
      <c r="L209" s="427"/>
    </row>
    <row r="210" spans="1:12" ht="12.75">
      <c r="A210" s="433"/>
      <c r="B210" s="434"/>
      <c r="C210" s="434"/>
      <c r="D210" s="434"/>
      <c r="E210" s="424"/>
      <c r="F210" s="414"/>
      <c r="G210" s="414"/>
      <c r="H210" s="414"/>
      <c r="I210" s="414"/>
      <c r="J210" s="425"/>
      <c r="K210" s="426"/>
      <c r="L210" s="427"/>
    </row>
    <row r="211" spans="1:12" ht="12.75">
      <c r="A211" s="433"/>
      <c r="B211" s="434"/>
      <c r="C211" s="434"/>
      <c r="D211" s="434"/>
      <c r="E211" s="424"/>
      <c r="F211" s="414"/>
      <c r="G211" s="414"/>
      <c r="H211" s="414"/>
      <c r="I211" s="414"/>
      <c r="J211" s="425"/>
      <c r="K211" s="426"/>
      <c r="L211" s="427"/>
    </row>
    <row r="212" spans="1:12" ht="12.75">
      <c r="A212" s="433"/>
      <c r="B212" s="434"/>
      <c r="C212" s="434"/>
      <c r="D212" s="434"/>
      <c r="E212" s="424"/>
      <c r="F212" s="414"/>
      <c r="G212" s="414"/>
      <c r="H212" s="414"/>
      <c r="I212" s="414"/>
      <c r="J212" s="425"/>
      <c r="K212" s="426"/>
      <c r="L212" s="427"/>
    </row>
    <row r="213" spans="1:12" ht="12.75">
      <c r="A213" s="433"/>
      <c r="B213" s="434"/>
      <c r="C213" s="434"/>
      <c r="D213" s="434"/>
      <c r="E213" s="424"/>
      <c r="F213" s="414"/>
      <c r="G213" s="414"/>
      <c r="H213" s="414"/>
      <c r="I213" s="414"/>
      <c r="J213" s="425"/>
      <c r="K213" s="426"/>
      <c r="L213" s="427"/>
    </row>
    <row r="214" spans="1:12" ht="12.75">
      <c r="A214" s="433"/>
      <c r="B214" s="434"/>
      <c r="C214" s="434"/>
      <c r="D214" s="434"/>
      <c r="E214" s="424"/>
      <c r="F214" s="414"/>
      <c r="G214" s="414"/>
      <c r="H214" s="414"/>
      <c r="I214" s="414"/>
      <c r="J214" s="425"/>
      <c r="K214" s="426"/>
      <c r="L214" s="427"/>
    </row>
    <row r="215" spans="1:12" ht="12.75">
      <c r="A215" s="433"/>
      <c r="B215" s="434"/>
      <c r="C215" s="434"/>
      <c r="D215" s="434"/>
      <c r="E215" s="424"/>
      <c r="F215" s="414"/>
      <c r="G215" s="414"/>
      <c r="H215" s="414"/>
      <c r="I215" s="414"/>
      <c r="J215" s="425"/>
      <c r="K215" s="426"/>
      <c r="L215" s="427"/>
    </row>
    <row r="216" spans="1:12" ht="12.75">
      <c r="A216" s="433"/>
      <c r="B216" s="434"/>
      <c r="C216" s="434"/>
      <c r="D216" s="434"/>
      <c r="E216" s="424"/>
      <c r="F216" s="414"/>
      <c r="G216" s="414"/>
      <c r="H216" s="414"/>
      <c r="I216" s="414"/>
      <c r="J216" s="425"/>
      <c r="K216" s="426"/>
      <c r="L216" s="427"/>
    </row>
    <row r="217" spans="1:12" ht="12.75">
      <c r="A217" s="433"/>
      <c r="B217" s="434"/>
      <c r="C217" s="434"/>
      <c r="D217" s="434"/>
      <c r="E217" s="424"/>
      <c r="F217" s="414"/>
      <c r="G217" s="414"/>
      <c r="H217" s="414"/>
      <c r="I217" s="414"/>
      <c r="J217" s="425"/>
      <c r="K217" s="426"/>
      <c r="L217" s="427"/>
    </row>
    <row r="218" spans="1:12" ht="12.75">
      <c r="A218" s="433"/>
      <c r="B218" s="434"/>
      <c r="C218" s="434"/>
      <c r="D218" s="434"/>
      <c r="E218" s="424"/>
      <c r="F218" s="414"/>
      <c r="G218" s="414"/>
      <c r="H218" s="414"/>
      <c r="I218" s="414"/>
      <c r="J218" s="425"/>
      <c r="K218" s="426"/>
      <c r="L218" s="427"/>
    </row>
    <row r="219" spans="1:12" ht="12.75">
      <c r="A219" s="433"/>
      <c r="B219" s="434"/>
      <c r="C219" s="434"/>
      <c r="D219" s="434"/>
      <c r="E219" s="424"/>
      <c r="F219" s="414"/>
      <c r="G219" s="414"/>
      <c r="H219" s="414"/>
      <c r="I219" s="414"/>
      <c r="J219" s="425"/>
      <c r="K219" s="426"/>
      <c r="L219" s="427"/>
    </row>
    <row r="220" spans="1:12" ht="12.75">
      <c r="A220" s="433"/>
      <c r="B220" s="434"/>
      <c r="C220" s="434"/>
      <c r="D220" s="434"/>
      <c r="E220" s="424"/>
      <c r="F220" s="414"/>
      <c r="G220" s="414"/>
      <c r="H220" s="414"/>
      <c r="I220" s="414"/>
      <c r="J220" s="425"/>
      <c r="K220" s="426"/>
      <c r="L220" s="427"/>
    </row>
    <row r="221" spans="1:12" ht="12.75">
      <c r="A221" s="433"/>
      <c r="B221" s="434"/>
      <c r="C221" s="434"/>
      <c r="D221" s="434"/>
      <c r="E221" s="424"/>
      <c r="F221" s="414"/>
      <c r="G221" s="414"/>
      <c r="H221" s="414"/>
      <c r="I221" s="414"/>
      <c r="J221" s="425"/>
      <c r="K221" s="426"/>
      <c r="L221" s="427"/>
    </row>
    <row r="222" spans="1:12" ht="12.75">
      <c r="A222" s="433"/>
      <c r="B222" s="434"/>
      <c r="C222" s="434"/>
      <c r="D222" s="434"/>
      <c r="E222" s="424"/>
      <c r="F222" s="414"/>
      <c r="G222" s="414"/>
      <c r="H222" s="414"/>
      <c r="I222" s="414"/>
      <c r="J222" s="425"/>
      <c r="K222" s="426"/>
      <c r="L222" s="427"/>
    </row>
    <row r="223" spans="1:12" ht="12.75">
      <c r="A223" s="433"/>
      <c r="B223" s="434"/>
      <c r="C223" s="434"/>
      <c r="D223" s="434"/>
      <c r="E223" s="424"/>
      <c r="F223" s="414"/>
      <c r="G223" s="414"/>
      <c r="H223" s="414"/>
      <c r="I223" s="414"/>
      <c r="J223" s="425"/>
      <c r="K223" s="426"/>
      <c r="L223" s="427"/>
    </row>
    <row r="224" spans="1:12" ht="12.75">
      <c r="A224" s="433"/>
      <c r="B224" s="434"/>
      <c r="C224" s="434"/>
      <c r="D224" s="434"/>
      <c r="E224" s="424"/>
      <c r="F224" s="414"/>
      <c r="G224" s="414"/>
      <c r="H224" s="414"/>
      <c r="I224" s="414"/>
      <c r="J224" s="425"/>
      <c r="K224" s="426"/>
      <c r="L224" s="427"/>
    </row>
    <row r="225" spans="1:12" ht="12.75">
      <c r="A225" s="433"/>
      <c r="B225" s="434"/>
      <c r="C225" s="434"/>
      <c r="D225" s="434"/>
      <c r="E225" s="424"/>
      <c r="F225" s="414"/>
      <c r="G225" s="414"/>
      <c r="H225" s="414"/>
      <c r="I225" s="414"/>
      <c r="J225" s="425"/>
      <c r="K225" s="426"/>
      <c r="L225" s="427"/>
    </row>
    <row r="226" spans="1:12" ht="12.75">
      <c r="A226" s="433"/>
      <c r="B226" s="434"/>
      <c r="C226" s="434"/>
      <c r="D226" s="434"/>
      <c r="E226" s="424"/>
      <c r="F226" s="414"/>
      <c r="G226" s="414"/>
      <c r="H226" s="414"/>
      <c r="I226" s="414"/>
      <c r="J226" s="425"/>
      <c r="K226" s="426"/>
      <c r="L226" s="427"/>
    </row>
    <row r="227" spans="1:12" ht="12.75">
      <c r="A227" s="433"/>
      <c r="B227" s="434"/>
      <c r="C227" s="434"/>
      <c r="D227" s="434"/>
      <c r="E227" s="424"/>
      <c r="F227" s="414"/>
      <c r="G227" s="414"/>
      <c r="H227" s="414"/>
      <c r="I227" s="414"/>
      <c r="J227" s="425"/>
      <c r="K227" s="426"/>
      <c r="L227" s="427"/>
    </row>
    <row r="228" spans="1:12" ht="12.75">
      <c r="A228" s="433"/>
      <c r="B228" s="434"/>
      <c r="C228" s="434"/>
      <c r="D228" s="434"/>
      <c r="E228" s="424"/>
      <c r="F228" s="414"/>
      <c r="G228" s="414"/>
      <c r="H228" s="414"/>
      <c r="I228" s="414"/>
      <c r="J228" s="425"/>
      <c r="K228" s="426"/>
      <c r="L228" s="427"/>
    </row>
    <row r="229" spans="1:12" ht="12.75">
      <c r="A229" s="433"/>
      <c r="B229" s="434"/>
      <c r="C229" s="434"/>
      <c r="D229" s="434"/>
      <c r="E229" s="424"/>
      <c r="F229" s="414"/>
      <c r="G229" s="414"/>
      <c r="H229" s="414"/>
      <c r="I229" s="414"/>
      <c r="J229" s="425"/>
      <c r="K229" s="426"/>
      <c r="L229" s="427"/>
    </row>
    <row r="230" spans="1:12" ht="12.75">
      <c r="A230" s="433"/>
      <c r="B230" s="434"/>
      <c r="C230" s="434"/>
      <c r="D230" s="434"/>
      <c r="E230" s="424"/>
      <c r="F230" s="414"/>
      <c r="G230" s="414"/>
      <c r="H230" s="414"/>
      <c r="I230" s="414"/>
      <c r="J230" s="425"/>
      <c r="K230" s="426"/>
      <c r="L230" s="427"/>
    </row>
    <row r="231" spans="1:12" ht="12.75">
      <c r="A231" s="433"/>
      <c r="B231" s="434"/>
      <c r="C231" s="434"/>
      <c r="D231" s="434"/>
      <c r="E231" s="424"/>
      <c r="F231" s="414"/>
      <c r="G231" s="414"/>
      <c r="H231" s="414"/>
      <c r="I231" s="414"/>
      <c r="J231" s="425"/>
      <c r="K231" s="426"/>
      <c r="L231" s="427"/>
    </row>
    <row r="232" spans="1:12" ht="12.75">
      <c r="A232" s="433"/>
      <c r="B232" s="434"/>
      <c r="C232" s="434"/>
      <c r="D232" s="434"/>
      <c r="E232" s="424"/>
      <c r="F232" s="414"/>
      <c r="G232" s="414"/>
      <c r="H232" s="414"/>
      <c r="I232" s="414"/>
      <c r="J232" s="425"/>
      <c r="K232" s="426"/>
      <c r="L232" s="427"/>
    </row>
    <row r="233" spans="1:12" ht="12.75">
      <c r="A233" s="433"/>
      <c r="B233" s="434"/>
      <c r="C233" s="434"/>
      <c r="D233" s="434"/>
      <c r="E233" s="424"/>
      <c r="F233" s="414"/>
      <c r="G233" s="414"/>
      <c r="H233" s="414"/>
      <c r="I233" s="414"/>
      <c r="J233" s="425"/>
      <c r="K233" s="426"/>
      <c r="L233" s="427"/>
    </row>
    <row r="234" spans="1:12" ht="12.75">
      <c r="A234" s="433"/>
      <c r="B234" s="434"/>
      <c r="C234" s="434"/>
      <c r="D234" s="434"/>
      <c r="E234" s="424"/>
      <c r="F234" s="414"/>
      <c r="G234" s="414"/>
      <c r="H234" s="414"/>
      <c r="I234" s="414"/>
      <c r="J234" s="425"/>
      <c r="K234" s="426"/>
      <c r="L234" s="427"/>
    </row>
    <row r="235" spans="1:12" ht="12.75">
      <c r="A235" s="433"/>
      <c r="B235" s="434"/>
      <c r="C235" s="434"/>
      <c r="D235" s="434"/>
      <c r="E235" s="424"/>
      <c r="F235" s="414"/>
      <c r="G235" s="414"/>
      <c r="H235" s="414"/>
      <c r="I235" s="414"/>
      <c r="J235" s="425"/>
      <c r="K235" s="426"/>
      <c r="L235" s="427"/>
    </row>
    <row r="236" spans="1:12" ht="12.75">
      <c r="A236" s="433"/>
      <c r="B236" s="434"/>
      <c r="C236" s="434"/>
      <c r="D236" s="434"/>
      <c r="E236" s="424"/>
      <c r="F236" s="414"/>
      <c r="G236" s="414"/>
      <c r="H236" s="414"/>
      <c r="I236" s="414"/>
      <c r="J236" s="425"/>
      <c r="K236" s="426"/>
      <c r="L236" s="427"/>
    </row>
    <row r="237" spans="1:12" ht="12.75">
      <c r="A237" s="433"/>
      <c r="B237" s="434"/>
      <c r="C237" s="434"/>
      <c r="D237" s="434"/>
      <c r="E237" s="424"/>
      <c r="F237" s="414"/>
      <c r="G237" s="414"/>
      <c r="H237" s="414"/>
      <c r="I237" s="414"/>
      <c r="J237" s="425"/>
      <c r="K237" s="426"/>
      <c r="L237" s="427"/>
    </row>
    <row r="238" spans="1:12" ht="12.75">
      <c r="A238" s="433"/>
      <c r="B238" s="434"/>
      <c r="C238" s="434"/>
      <c r="D238" s="434"/>
      <c r="E238" s="424"/>
      <c r="F238" s="414"/>
      <c r="G238" s="414"/>
      <c r="H238" s="414"/>
      <c r="I238" s="414"/>
      <c r="J238" s="425"/>
      <c r="K238" s="426"/>
      <c r="L238" s="427"/>
    </row>
    <row r="239" spans="1:12" ht="12.75">
      <c r="A239" s="433"/>
      <c r="B239" s="434"/>
      <c r="C239" s="434"/>
      <c r="D239" s="434"/>
      <c r="E239" s="424"/>
      <c r="F239" s="414"/>
      <c r="G239" s="414"/>
      <c r="H239" s="414"/>
      <c r="I239" s="414"/>
      <c r="J239" s="425"/>
      <c r="K239" s="426"/>
      <c r="L239" s="427"/>
    </row>
    <row r="240" spans="1:12" ht="12.75">
      <c r="A240" s="433"/>
      <c r="B240" s="434"/>
      <c r="C240" s="434"/>
      <c r="D240" s="434"/>
      <c r="E240" s="424"/>
      <c r="F240" s="414"/>
      <c r="G240" s="414"/>
      <c r="H240" s="414"/>
      <c r="I240" s="414"/>
      <c r="J240" s="425"/>
      <c r="K240" s="426"/>
      <c r="L240" s="427"/>
    </row>
    <row r="241" spans="1:12" ht="12.75">
      <c r="A241" s="433"/>
      <c r="B241" s="434"/>
      <c r="C241" s="434"/>
      <c r="D241" s="434"/>
      <c r="E241" s="424"/>
      <c r="F241" s="414"/>
      <c r="G241" s="414"/>
      <c r="H241" s="414"/>
      <c r="I241" s="414"/>
      <c r="J241" s="425"/>
      <c r="K241" s="426"/>
      <c r="L241" s="427"/>
    </row>
    <row r="242" spans="1:12" ht="12.75">
      <c r="A242" s="433"/>
      <c r="B242" s="434"/>
      <c r="C242" s="434"/>
      <c r="D242" s="434"/>
      <c r="E242" s="424"/>
      <c r="F242" s="414"/>
      <c r="G242" s="414"/>
      <c r="H242" s="414"/>
      <c r="I242" s="414"/>
      <c r="J242" s="425"/>
      <c r="K242" s="426"/>
      <c r="L242" s="427"/>
    </row>
    <row r="243" spans="1:12" ht="12.75">
      <c r="A243" s="433"/>
      <c r="B243" s="434"/>
      <c r="C243" s="434"/>
      <c r="D243" s="434"/>
      <c r="E243" s="424"/>
      <c r="F243" s="414"/>
      <c r="G243" s="414"/>
      <c r="H243" s="414"/>
      <c r="I243" s="414"/>
      <c r="J243" s="425"/>
      <c r="K243" s="426"/>
      <c r="L243" s="427"/>
    </row>
    <row r="244" spans="1:12" ht="12.75">
      <c r="A244" s="433"/>
      <c r="B244" s="434"/>
      <c r="C244" s="434"/>
      <c r="D244" s="434"/>
      <c r="E244" s="424"/>
      <c r="F244" s="414"/>
      <c r="G244" s="414"/>
      <c r="H244" s="414"/>
      <c r="I244" s="414"/>
      <c r="J244" s="425"/>
      <c r="K244" s="426"/>
      <c r="L244" s="427"/>
    </row>
    <row r="245" spans="1:12" ht="12.75">
      <c r="A245" s="433"/>
      <c r="B245" s="434"/>
      <c r="C245" s="434"/>
      <c r="D245" s="434"/>
      <c r="E245" s="424"/>
      <c r="F245" s="414"/>
      <c r="G245" s="414"/>
      <c r="H245" s="414"/>
      <c r="I245" s="414"/>
      <c r="J245" s="425"/>
      <c r="K245" s="426"/>
      <c r="L245" s="427"/>
    </row>
    <row r="246" spans="1:12" ht="12.75">
      <c r="A246" s="433"/>
      <c r="B246" s="434"/>
      <c r="C246" s="434"/>
      <c r="D246" s="434"/>
      <c r="E246" s="424"/>
      <c r="F246" s="414"/>
      <c r="G246" s="414"/>
      <c r="H246" s="414"/>
      <c r="I246" s="414"/>
      <c r="J246" s="425"/>
      <c r="K246" s="426"/>
      <c r="L246" s="427"/>
    </row>
    <row r="247" spans="1:12" ht="12.75">
      <c r="A247" s="433"/>
      <c r="B247" s="434"/>
      <c r="C247" s="434"/>
      <c r="D247" s="434"/>
      <c r="E247" s="424"/>
      <c r="F247" s="414"/>
      <c r="G247" s="414"/>
      <c r="H247" s="414"/>
      <c r="I247" s="414"/>
      <c r="J247" s="425"/>
      <c r="K247" s="426"/>
      <c r="L247" s="427"/>
    </row>
    <row r="248" spans="1:12" ht="12.75">
      <c r="A248" s="433"/>
      <c r="B248" s="434"/>
      <c r="C248" s="434"/>
      <c r="D248" s="434"/>
      <c r="E248" s="424"/>
      <c r="F248" s="414"/>
      <c r="G248" s="414"/>
      <c r="H248" s="414"/>
      <c r="I248" s="414"/>
      <c r="J248" s="425"/>
      <c r="K248" s="426"/>
      <c r="L248" s="427"/>
    </row>
    <row r="249" spans="1:12" ht="12.75">
      <c r="A249" s="433"/>
      <c r="B249" s="434"/>
      <c r="C249" s="434"/>
      <c r="D249" s="434"/>
      <c r="E249" s="424"/>
      <c r="F249" s="414"/>
      <c r="G249" s="414"/>
      <c r="H249" s="414"/>
      <c r="I249" s="414"/>
      <c r="J249" s="425"/>
      <c r="K249" s="426"/>
      <c r="L249" s="427"/>
    </row>
    <row r="250" spans="1:12" ht="12.75">
      <c r="A250" s="433"/>
      <c r="B250" s="434"/>
      <c r="C250" s="434"/>
      <c r="D250" s="434"/>
      <c r="E250" s="424"/>
      <c r="F250" s="414"/>
      <c r="G250" s="414"/>
      <c r="H250" s="414"/>
      <c r="I250" s="414"/>
      <c r="J250" s="425"/>
      <c r="K250" s="426"/>
      <c r="L250" s="427"/>
    </row>
    <row r="251" spans="1:12" ht="12.75">
      <c r="A251" s="433"/>
      <c r="B251" s="434"/>
      <c r="C251" s="434"/>
      <c r="D251" s="434"/>
      <c r="E251" s="424"/>
      <c r="F251" s="414"/>
      <c r="G251" s="414"/>
      <c r="H251" s="414"/>
      <c r="I251" s="414"/>
      <c r="J251" s="425"/>
      <c r="K251" s="426"/>
      <c r="L251" s="427"/>
    </row>
    <row r="252" spans="1:12" ht="12.75">
      <c r="A252" s="433"/>
      <c r="B252" s="434"/>
      <c r="C252" s="434"/>
      <c r="D252" s="434"/>
      <c r="E252" s="424"/>
      <c r="F252" s="414"/>
      <c r="G252" s="414"/>
      <c r="H252" s="414"/>
      <c r="I252" s="414"/>
      <c r="J252" s="425"/>
      <c r="K252" s="426"/>
      <c r="L252" s="427"/>
    </row>
    <row r="253" spans="1:12" ht="12.75">
      <c r="A253" s="433"/>
      <c r="B253" s="434"/>
      <c r="C253" s="434"/>
      <c r="D253" s="434"/>
      <c r="E253" s="424"/>
      <c r="F253" s="414"/>
      <c r="G253" s="414"/>
      <c r="H253" s="414"/>
      <c r="I253" s="414"/>
      <c r="J253" s="425"/>
      <c r="K253" s="426"/>
      <c r="L253" s="427"/>
    </row>
    <row r="254" spans="1:12" ht="12.75">
      <c r="A254" s="433"/>
      <c r="B254" s="434"/>
      <c r="C254" s="434"/>
      <c r="D254" s="434"/>
      <c r="E254" s="424"/>
      <c r="F254" s="414"/>
      <c r="G254" s="414"/>
      <c r="H254" s="414"/>
      <c r="I254" s="414"/>
      <c r="J254" s="425"/>
      <c r="K254" s="426"/>
      <c r="L254" s="427"/>
    </row>
    <row r="255" spans="1:12" ht="12.75">
      <c r="A255" s="433"/>
      <c r="B255" s="434"/>
      <c r="C255" s="434"/>
      <c r="D255" s="434"/>
      <c r="E255" s="424"/>
      <c r="F255" s="414"/>
      <c r="G255" s="414"/>
      <c r="H255" s="414"/>
      <c r="I255" s="414"/>
      <c r="J255" s="425"/>
      <c r="K255" s="426"/>
      <c r="L255" s="427"/>
    </row>
    <row r="256" spans="1:12" ht="12.75">
      <c r="A256" s="433"/>
      <c r="B256" s="434"/>
      <c r="C256" s="434"/>
      <c r="D256" s="434"/>
      <c r="E256" s="424"/>
      <c r="F256" s="414"/>
      <c r="G256" s="414"/>
      <c r="H256" s="414"/>
      <c r="I256" s="414"/>
      <c r="J256" s="425"/>
      <c r="K256" s="426"/>
      <c r="L256" s="427"/>
    </row>
    <row r="257" spans="1:12" ht="12.75">
      <c r="A257" s="433"/>
      <c r="B257" s="434"/>
      <c r="C257" s="434"/>
      <c r="D257" s="434"/>
      <c r="E257" s="424"/>
      <c r="F257" s="414"/>
      <c r="G257" s="414"/>
      <c r="H257" s="414"/>
      <c r="I257" s="414"/>
      <c r="J257" s="425"/>
      <c r="K257" s="426"/>
      <c r="L257" s="427"/>
    </row>
    <row r="258" spans="1:12" ht="12.75">
      <c r="A258" s="433"/>
      <c r="B258" s="434"/>
      <c r="C258" s="434"/>
      <c r="D258" s="434"/>
      <c r="E258" s="424"/>
      <c r="F258" s="414"/>
      <c r="G258" s="414"/>
      <c r="H258" s="414"/>
      <c r="I258" s="414"/>
      <c r="J258" s="425"/>
      <c r="K258" s="426"/>
      <c r="L258" s="427"/>
    </row>
    <row r="259" spans="1:12" ht="12.75">
      <c r="A259" s="433"/>
      <c r="B259" s="434"/>
      <c r="C259" s="434"/>
      <c r="D259" s="434"/>
      <c r="E259" s="424"/>
      <c r="F259" s="414"/>
      <c r="G259" s="414"/>
      <c r="H259" s="414"/>
      <c r="I259" s="414"/>
      <c r="J259" s="425"/>
      <c r="K259" s="426"/>
      <c r="L259" s="427"/>
    </row>
    <row r="260" spans="1:12" ht="12.75">
      <c r="A260" s="433"/>
      <c r="B260" s="434"/>
      <c r="C260" s="434"/>
      <c r="D260" s="434"/>
      <c r="E260" s="424"/>
      <c r="F260" s="414"/>
      <c r="G260" s="414"/>
      <c r="H260" s="414"/>
      <c r="I260" s="414"/>
      <c r="J260" s="425"/>
      <c r="K260" s="426"/>
      <c r="L260" s="427"/>
    </row>
    <row r="261" spans="1:12" ht="12.75">
      <c r="A261" s="433"/>
      <c r="B261" s="434"/>
      <c r="C261" s="434"/>
      <c r="D261" s="434"/>
      <c r="E261" s="424"/>
      <c r="F261" s="414"/>
      <c r="G261" s="414"/>
      <c r="H261" s="414"/>
      <c r="I261" s="414"/>
      <c r="J261" s="425"/>
      <c r="K261" s="426"/>
      <c r="L261" s="427"/>
    </row>
    <row r="262" spans="1:12" ht="12.75">
      <c r="A262" s="433"/>
      <c r="B262" s="434"/>
      <c r="C262" s="434"/>
      <c r="D262" s="434"/>
      <c r="E262" s="424"/>
      <c r="F262" s="414"/>
      <c r="G262" s="414"/>
      <c r="H262" s="414"/>
      <c r="I262" s="414"/>
      <c r="J262" s="425"/>
      <c r="K262" s="426"/>
      <c r="L262" s="427"/>
    </row>
    <row r="263" spans="1:12" ht="12.75">
      <c r="A263" s="433"/>
      <c r="B263" s="434"/>
      <c r="C263" s="434"/>
      <c r="D263" s="434"/>
      <c r="E263" s="424"/>
      <c r="F263" s="414"/>
      <c r="G263" s="414"/>
      <c r="H263" s="414"/>
      <c r="I263" s="414"/>
      <c r="J263" s="425"/>
      <c r="K263" s="426"/>
      <c r="L263" s="427"/>
    </row>
    <row r="264" spans="1:12" ht="12.75">
      <c r="A264" s="433"/>
      <c r="B264" s="434"/>
      <c r="C264" s="434"/>
      <c r="D264" s="434"/>
      <c r="E264" s="424"/>
      <c r="F264" s="414"/>
      <c r="G264" s="414"/>
      <c r="H264" s="414"/>
      <c r="I264" s="414"/>
      <c r="J264" s="425"/>
      <c r="K264" s="426"/>
      <c r="L264" s="427"/>
    </row>
    <row r="265" spans="1:12" ht="12.75">
      <c r="A265" s="433"/>
      <c r="B265" s="434"/>
      <c r="C265" s="434"/>
      <c r="D265" s="434"/>
      <c r="E265" s="424"/>
      <c r="F265" s="414"/>
      <c r="G265" s="414"/>
      <c r="H265" s="414"/>
      <c r="I265" s="414"/>
      <c r="J265" s="425"/>
      <c r="K265" s="426"/>
      <c r="L265" s="427"/>
    </row>
    <row r="266" spans="1:12" ht="12.75">
      <c r="A266" s="433"/>
      <c r="B266" s="434"/>
      <c r="C266" s="434"/>
      <c r="D266" s="434"/>
      <c r="E266" s="424"/>
      <c r="F266" s="414"/>
      <c r="G266" s="414"/>
      <c r="H266" s="414"/>
      <c r="I266" s="414"/>
      <c r="J266" s="425"/>
      <c r="K266" s="426"/>
      <c r="L266" s="427"/>
    </row>
    <row r="267" spans="1:12" ht="12.75">
      <c r="A267" s="433"/>
      <c r="B267" s="434"/>
      <c r="C267" s="434"/>
      <c r="D267" s="434"/>
      <c r="E267" s="424"/>
      <c r="F267" s="414"/>
      <c r="G267" s="414"/>
      <c r="H267" s="414"/>
      <c r="I267" s="414"/>
      <c r="J267" s="425"/>
      <c r="K267" s="426"/>
      <c r="L267" s="427"/>
    </row>
    <row r="268" spans="1:12" ht="12.75">
      <c r="A268" s="433"/>
      <c r="B268" s="434"/>
      <c r="C268" s="434"/>
      <c r="D268" s="434"/>
      <c r="E268" s="424"/>
      <c r="F268" s="414"/>
      <c r="G268" s="414"/>
      <c r="H268" s="414"/>
      <c r="I268" s="414"/>
      <c r="J268" s="425"/>
      <c r="K268" s="426"/>
      <c r="L268" s="427"/>
    </row>
    <row r="269" spans="1:12" ht="12.75">
      <c r="A269" s="433"/>
      <c r="B269" s="434"/>
      <c r="C269" s="434"/>
      <c r="D269" s="434"/>
      <c r="E269" s="424"/>
      <c r="F269" s="414"/>
      <c r="G269" s="414"/>
      <c r="H269" s="414"/>
      <c r="I269" s="414"/>
      <c r="J269" s="425"/>
      <c r="K269" s="426"/>
      <c r="L269" s="427"/>
    </row>
    <row r="270" spans="1:12" ht="12.75">
      <c r="A270" s="433"/>
      <c r="B270" s="434"/>
      <c r="C270" s="434"/>
      <c r="D270" s="434"/>
      <c r="E270" s="424"/>
      <c r="F270" s="414"/>
      <c r="G270" s="414"/>
      <c r="H270" s="414"/>
      <c r="I270" s="414"/>
      <c r="J270" s="425"/>
      <c r="K270" s="426"/>
      <c r="L270" s="427"/>
    </row>
    <row r="271" spans="1:12" ht="12.75">
      <c r="A271" s="433"/>
      <c r="B271" s="434"/>
      <c r="C271" s="434"/>
      <c r="D271" s="434"/>
      <c r="E271" s="424"/>
      <c r="F271" s="414"/>
      <c r="G271" s="414"/>
      <c r="H271" s="414"/>
      <c r="I271" s="414"/>
      <c r="J271" s="425"/>
      <c r="K271" s="426"/>
      <c r="L271" s="427"/>
    </row>
    <row r="272" spans="1:12" ht="12.75">
      <c r="A272" s="433"/>
      <c r="B272" s="434"/>
      <c r="C272" s="434"/>
      <c r="D272" s="434"/>
      <c r="E272" s="424"/>
      <c r="F272" s="414"/>
      <c r="G272" s="414"/>
      <c r="H272" s="414"/>
      <c r="I272" s="414"/>
      <c r="J272" s="425"/>
      <c r="K272" s="426"/>
      <c r="L272" s="427"/>
    </row>
    <row r="273" spans="1:12" ht="12.75">
      <c r="A273" s="433"/>
      <c r="B273" s="434"/>
      <c r="C273" s="434"/>
      <c r="D273" s="434"/>
      <c r="E273" s="424"/>
      <c r="F273" s="414"/>
      <c r="G273" s="414"/>
      <c r="H273" s="414"/>
      <c r="I273" s="414"/>
      <c r="J273" s="425"/>
      <c r="K273" s="426"/>
      <c r="L273" s="427"/>
    </row>
    <row r="274" spans="1:12" ht="12.75">
      <c r="A274" s="433"/>
      <c r="B274" s="434"/>
      <c r="C274" s="434"/>
      <c r="D274" s="434"/>
      <c r="E274" s="424"/>
      <c r="F274" s="414"/>
      <c r="G274" s="414"/>
      <c r="H274" s="414"/>
      <c r="I274" s="414"/>
      <c r="J274" s="425"/>
      <c r="K274" s="426"/>
      <c r="L274" s="427"/>
    </row>
    <row r="275" spans="1:12" ht="12.75">
      <c r="A275" s="433"/>
      <c r="B275" s="434"/>
      <c r="C275" s="434"/>
      <c r="D275" s="434"/>
      <c r="E275" s="424"/>
      <c r="F275" s="414"/>
      <c r="G275" s="414"/>
      <c r="H275" s="414"/>
      <c r="I275" s="414"/>
      <c r="J275" s="425"/>
      <c r="K275" s="426"/>
      <c r="L275" s="427"/>
    </row>
    <row r="276" spans="1:12" ht="12.75">
      <c r="A276" s="433"/>
      <c r="B276" s="434"/>
      <c r="C276" s="434"/>
      <c r="D276" s="434"/>
      <c r="E276" s="424"/>
      <c r="F276" s="414"/>
      <c r="G276" s="414"/>
      <c r="H276" s="414"/>
      <c r="I276" s="414"/>
      <c r="J276" s="425"/>
      <c r="K276" s="426"/>
      <c r="L276" s="427"/>
    </row>
    <row r="277" spans="1:12" ht="12.75">
      <c r="A277" s="433"/>
      <c r="B277" s="434"/>
      <c r="C277" s="434"/>
      <c r="D277" s="434"/>
      <c r="E277" s="424"/>
      <c r="F277" s="414"/>
      <c r="G277" s="414"/>
      <c r="H277" s="414"/>
      <c r="I277" s="414"/>
      <c r="J277" s="425"/>
      <c r="K277" s="426"/>
      <c r="L277" s="427"/>
    </row>
    <row r="278" spans="1:12" ht="12.75">
      <c r="A278" s="433"/>
      <c r="B278" s="434"/>
      <c r="C278" s="434"/>
      <c r="D278" s="434"/>
      <c r="E278" s="424"/>
      <c r="F278" s="414"/>
      <c r="G278" s="414"/>
      <c r="H278" s="414"/>
      <c r="I278" s="414"/>
      <c r="J278" s="425"/>
      <c r="K278" s="426"/>
      <c r="L278" s="427"/>
    </row>
    <row r="279" spans="1:12" ht="12.75">
      <c r="A279" s="433"/>
      <c r="B279" s="434"/>
      <c r="C279" s="434"/>
      <c r="D279" s="434"/>
      <c r="E279" s="424"/>
      <c r="F279" s="414"/>
      <c r="G279" s="414"/>
      <c r="H279" s="414"/>
      <c r="I279" s="414"/>
      <c r="J279" s="425"/>
      <c r="K279" s="426"/>
      <c r="L279" s="427"/>
    </row>
    <row r="280" spans="1:12" ht="12.75">
      <c r="A280" s="433"/>
      <c r="B280" s="434"/>
      <c r="C280" s="434"/>
      <c r="D280" s="434"/>
      <c r="E280" s="424"/>
      <c r="F280" s="414"/>
      <c r="G280" s="414"/>
      <c r="H280" s="414"/>
      <c r="I280" s="414"/>
      <c r="J280" s="425"/>
      <c r="K280" s="426"/>
      <c r="L280" s="427"/>
    </row>
    <row r="281" spans="1:12" ht="12.75">
      <c r="A281" s="433"/>
      <c r="B281" s="434"/>
      <c r="C281" s="434"/>
      <c r="D281" s="434"/>
      <c r="E281" s="424"/>
      <c r="F281" s="414"/>
      <c r="G281" s="414"/>
      <c r="H281" s="414"/>
      <c r="I281" s="414"/>
      <c r="J281" s="425"/>
      <c r="K281" s="426"/>
      <c r="L281" s="427"/>
    </row>
    <row r="282" spans="1:12" ht="12.75">
      <c r="A282" s="433"/>
      <c r="B282" s="434"/>
      <c r="C282" s="434"/>
      <c r="D282" s="434"/>
      <c r="E282" s="424"/>
      <c r="F282" s="414"/>
      <c r="G282" s="414"/>
      <c r="H282" s="414"/>
      <c r="I282" s="414"/>
      <c r="J282" s="425"/>
      <c r="K282" s="426"/>
      <c r="L282" s="427"/>
    </row>
    <row r="283" spans="1:12" ht="12.75">
      <c r="A283" s="433"/>
      <c r="B283" s="434"/>
      <c r="C283" s="434"/>
      <c r="D283" s="434"/>
      <c r="E283" s="424"/>
      <c r="F283" s="414"/>
      <c r="G283" s="414"/>
      <c r="H283" s="414"/>
      <c r="I283" s="414"/>
      <c r="J283" s="425"/>
      <c r="K283" s="426"/>
      <c r="L283" s="427"/>
    </row>
    <row r="284" spans="1:12" ht="12.75">
      <c r="A284" s="433"/>
      <c r="B284" s="434"/>
      <c r="C284" s="434"/>
      <c r="D284" s="434"/>
      <c r="E284" s="424"/>
      <c r="F284" s="414"/>
      <c r="G284" s="414"/>
      <c r="H284" s="414"/>
      <c r="I284" s="414"/>
      <c r="J284" s="425"/>
      <c r="K284" s="426"/>
      <c r="L284" s="427"/>
    </row>
    <row r="285" spans="1:12" ht="12.75">
      <c r="A285" s="433"/>
      <c r="B285" s="434"/>
      <c r="C285" s="434"/>
      <c r="D285" s="434"/>
      <c r="E285" s="424"/>
      <c r="F285" s="414"/>
      <c r="G285" s="414"/>
      <c r="H285" s="414"/>
      <c r="I285" s="414"/>
      <c r="J285" s="425"/>
      <c r="K285" s="426"/>
      <c r="L285" s="427"/>
    </row>
    <row r="286" spans="1:12" ht="12.75">
      <c r="A286" s="433"/>
      <c r="B286" s="434"/>
      <c r="C286" s="434"/>
      <c r="D286" s="434"/>
      <c r="E286" s="424"/>
      <c r="F286" s="414"/>
      <c r="G286" s="414"/>
      <c r="H286" s="414"/>
      <c r="I286" s="414"/>
      <c r="J286" s="425"/>
      <c r="K286" s="426"/>
      <c r="L286" s="427"/>
    </row>
    <row r="287" spans="1:12" ht="12.75">
      <c r="A287" s="433"/>
      <c r="B287" s="434"/>
      <c r="C287" s="434"/>
      <c r="D287" s="434"/>
      <c r="E287" s="424"/>
      <c r="F287" s="414"/>
      <c r="G287" s="414"/>
      <c r="H287" s="414"/>
      <c r="I287" s="414"/>
      <c r="J287" s="425"/>
      <c r="K287" s="426"/>
      <c r="L287" s="427"/>
    </row>
    <row r="288" spans="1:12" ht="12.75">
      <c r="A288" s="433"/>
      <c r="B288" s="434"/>
      <c r="C288" s="434"/>
      <c r="D288" s="434"/>
      <c r="E288" s="424"/>
      <c r="F288" s="414"/>
      <c r="G288" s="414"/>
      <c r="H288" s="414"/>
      <c r="I288" s="414"/>
      <c r="J288" s="425"/>
      <c r="K288" s="426"/>
      <c r="L288" s="427"/>
    </row>
    <row r="289" spans="1:12" ht="12.75">
      <c r="A289" s="433"/>
      <c r="B289" s="434"/>
      <c r="C289" s="434"/>
      <c r="D289" s="434"/>
      <c r="E289" s="424"/>
      <c r="F289" s="414"/>
      <c r="G289" s="414"/>
      <c r="H289" s="414"/>
      <c r="I289" s="414"/>
      <c r="J289" s="425"/>
      <c r="K289" s="426"/>
      <c r="L289" s="427"/>
    </row>
    <row r="290" spans="1:12" ht="12.75">
      <c r="A290" s="433"/>
      <c r="B290" s="434"/>
      <c r="C290" s="434"/>
      <c r="D290" s="434"/>
      <c r="E290" s="424"/>
      <c r="F290" s="414"/>
      <c r="G290" s="414"/>
      <c r="H290" s="414"/>
      <c r="I290" s="414"/>
      <c r="J290" s="425"/>
      <c r="K290" s="426"/>
      <c r="L290" s="427"/>
    </row>
    <row r="291" spans="1:12" ht="12.75">
      <c r="A291" s="433"/>
      <c r="B291" s="434"/>
      <c r="C291" s="434"/>
      <c r="D291" s="434"/>
      <c r="E291" s="424"/>
      <c r="F291" s="414"/>
      <c r="G291" s="414"/>
      <c r="H291" s="414"/>
      <c r="I291" s="414"/>
      <c r="J291" s="425"/>
      <c r="K291" s="426"/>
      <c r="L291" s="427"/>
    </row>
    <row r="292" spans="1:12" ht="12.75">
      <c r="A292" s="433"/>
      <c r="B292" s="434"/>
      <c r="C292" s="434"/>
      <c r="D292" s="434"/>
      <c r="E292" s="424"/>
      <c r="F292" s="414"/>
      <c r="G292" s="414"/>
      <c r="H292" s="414"/>
      <c r="I292" s="414"/>
      <c r="J292" s="425"/>
      <c r="K292" s="426"/>
      <c r="L292" s="427"/>
    </row>
    <row r="293" spans="1:12" ht="12.75">
      <c r="A293" s="433"/>
      <c r="B293" s="434"/>
      <c r="C293" s="434"/>
      <c r="D293" s="434"/>
      <c r="E293" s="424"/>
      <c r="F293" s="414"/>
      <c r="G293" s="414"/>
      <c r="H293" s="414"/>
      <c r="I293" s="414"/>
      <c r="J293" s="425"/>
      <c r="K293" s="426"/>
      <c r="L293" s="427"/>
    </row>
    <row r="294" spans="1:12" ht="12.75">
      <c r="A294" s="433"/>
      <c r="B294" s="434"/>
      <c r="C294" s="434"/>
      <c r="D294" s="434"/>
      <c r="E294" s="424"/>
      <c r="F294" s="414"/>
      <c r="G294" s="414"/>
      <c r="H294" s="414"/>
      <c r="I294" s="414"/>
      <c r="J294" s="425"/>
      <c r="K294" s="426"/>
      <c r="L294" s="427"/>
    </row>
    <row r="295" spans="1:12" ht="12.75">
      <c r="A295" s="433"/>
      <c r="B295" s="434"/>
      <c r="C295" s="434"/>
      <c r="D295" s="434"/>
      <c r="E295" s="424"/>
      <c r="F295" s="414"/>
      <c r="G295" s="414"/>
      <c r="H295" s="414"/>
      <c r="I295" s="414"/>
      <c r="J295" s="425"/>
      <c r="K295" s="426"/>
      <c r="L295" s="427"/>
    </row>
    <row r="296" spans="1:12" ht="12.75">
      <c r="A296" s="433"/>
      <c r="B296" s="434"/>
      <c r="C296" s="434"/>
      <c r="D296" s="434"/>
      <c r="E296" s="424"/>
      <c r="F296" s="414"/>
      <c r="G296" s="414"/>
      <c r="H296" s="414"/>
      <c r="I296" s="414"/>
      <c r="J296" s="425"/>
      <c r="K296" s="426"/>
      <c r="L296" s="427"/>
    </row>
    <row r="297" spans="1:12" ht="12.75">
      <c r="A297" s="433"/>
      <c r="B297" s="434"/>
      <c r="C297" s="434"/>
      <c r="D297" s="434"/>
      <c r="E297" s="424"/>
      <c r="F297" s="414"/>
      <c r="G297" s="414"/>
      <c r="H297" s="414"/>
      <c r="I297" s="414"/>
      <c r="J297" s="425"/>
      <c r="K297" s="426"/>
      <c r="L297" s="427"/>
    </row>
    <row r="298" spans="1:12" ht="12.75">
      <c r="A298" s="433"/>
      <c r="B298" s="434"/>
      <c r="C298" s="434"/>
      <c r="D298" s="434"/>
      <c r="E298" s="424"/>
      <c r="F298" s="414"/>
      <c r="G298" s="414"/>
      <c r="H298" s="414"/>
      <c r="I298" s="414"/>
      <c r="J298" s="425"/>
      <c r="K298" s="426"/>
      <c r="L298" s="427"/>
    </row>
    <row r="299" spans="1:12" ht="12.75">
      <c r="A299" s="433"/>
      <c r="B299" s="434"/>
      <c r="C299" s="434"/>
      <c r="D299" s="434"/>
      <c r="E299" s="424"/>
      <c r="F299" s="414"/>
      <c r="G299" s="414"/>
      <c r="H299" s="414"/>
      <c r="I299" s="414"/>
      <c r="J299" s="425"/>
      <c r="K299" s="426"/>
      <c r="L299" s="427"/>
    </row>
    <row r="300" spans="1:12" ht="12.75">
      <c r="A300" s="433"/>
      <c r="B300" s="434"/>
      <c r="C300" s="434"/>
      <c r="D300" s="434"/>
      <c r="E300" s="424"/>
      <c r="F300" s="414"/>
      <c r="G300" s="414"/>
      <c r="H300" s="414"/>
      <c r="I300" s="414"/>
      <c r="J300" s="425"/>
      <c r="K300" s="426"/>
      <c r="L300" s="427"/>
    </row>
    <row r="301" spans="1:12" ht="12.75">
      <c r="A301" s="433"/>
      <c r="B301" s="434"/>
      <c r="C301" s="434"/>
      <c r="D301" s="434"/>
      <c r="E301" s="424"/>
      <c r="F301" s="414"/>
      <c r="G301" s="414"/>
      <c r="H301" s="414"/>
      <c r="I301" s="414"/>
      <c r="J301" s="425"/>
      <c r="K301" s="426"/>
      <c r="L301" s="427"/>
    </row>
    <row r="302" spans="1:12" ht="12.75">
      <c r="A302" s="433"/>
      <c r="B302" s="434"/>
      <c r="C302" s="434"/>
      <c r="D302" s="434"/>
      <c r="E302" s="424"/>
      <c r="F302" s="414"/>
      <c r="G302" s="414"/>
      <c r="H302" s="414"/>
      <c r="I302" s="414"/>
      <c r="J302" s="425"/>
      <c r="K302" s="426"/>
      <c r="L302" s="427"/>
    </row>
    <row r="303" spans="1:12" ht="12.75">
      <c r="A303" s="433"/>
      <c r="B303" s="434"/>
      <c r="C303" s="434"/>
      <c r="D303" s="434"/>
      <c r="E303" s="424"/>
      <c r="F303" s="414"/>
      <c r="G303" s="414"/>
      <c r="H303" s="414"/>
      <c r="I303" s="414"/>
      <c r="J303" s="425"/>
      <c r="K303" s="426"/>
      <c r="L303" s="427"/>
    </row>
    <row r="304" spans="1:12" ht="12.75">
      <c r="A304" s="433"/>
      <c r="B304" s="434"/>
      <c r="C304" s="434"/>
      <c r="D304" s="434"/>
      <c r="E304" s="424"/>
      <c r="F304" s="414"/>
      <c r="G304" s="414"/>
      <c r="H304" s="414"/>
      <c r="I304" s="414"/>
      <c r="J304" s="425"/>
      <c r="K304" s="426"/>
      <c r="L304" s="427"/>
    </row>
    <row r="305" spans="1:12" ht="12.75">
      <c r="A305" s="433"/>
      <c r="B305" s="434"/>
      <c r="C305" s="434"/>
      <c r="D305" s="434"/>
      <c r="E305" s="424"/>
      <c r="F305" s="414"/>
      <c r="G305" s="414"/>
      <c r="H305" s="414"/>
      <c r="I305" s="414"/>
      <c r="J305" s="425"/>
      <c r="K305" s="426"/>
      <c r="L305" s="427"/>
    </row>
    <row r="306" spans="1:12" ht="12.75">
      <c r="A306" s="433"/>
      <c r="B306" s="434"/>
      <c r="C306" s="434"/>
      <c r="D306" s="434"/>
      <c r="E306" s="424"/>
      <c r="F306" s="414"/>
      <c r="G306" s="414"/>
      <c r="H306" s="414"/>
      <c r="I306" s="414"/>
      <c r="J306" s="425"/>
      <c r="K306" s="426"/>
      <c r="L306" s="427"/>
    </row>
    <row r="307" spans="1:12" ht="12.75">
      <c r="A307" s="433"/>
      <c r="B307" s="434"/>
      <c r="C307" s="434"/>
      <c r="D307" s="434"/>
      <c r="E307" s="424"/>
      <c r="F307" s="414"/>
      <c r="G307" s="414"/>
      <c r="H307" s="414"/>
      <c r="I307" s="414"/>
      <c r="J307" s="425"/>
      <c r="K307" s="426"/>
      <c r="L307" s="427"/>
    </row>
    <row r="308" spans="1:12" ht="12.75">
      <c r="A308" s="433"/>
      <c r="B308" s="434"/>
      <c r="C308" s="434"/>
      <c r="D308" s="434"/>
      <c r="E308" s="424"/>
      <c r="F308" s="414"/>
      <c r="G308" s="414"/>
      <c r="H308" s="414"/>
      <c r="I308" s="414"/>
      <c r="J308" s="425"/>
      <c r="K308" s="426"/>
      <c r="L308" s="427"/>
    </row>
    <row r="309" spans="1:12" ht="12.75">
      <c r="A309" s="433"/>
      <c r="B309" s="434"/>
      <c r="C309" s="434"/>
      <c r="D309" s="434"/>
      <c r="E309" s="424"/>
      <c r="F309" s="414"/>
      <c r="G309" s="414"/>
      <c r="H309" s="414"/>
      <c r="I309" s="414"/>
      <c r="J309" s="425"/>
      <c r="K309" s="426"/>
      <c r="L309" s="427"/>
    </row>
    <row r="310" spans="1:12" ht="12.75">
      <c r="A310" s="433"/>
      <c r="B310" s="434"/>
      <c r="C310" s="434"/>
      <c r="D310" s="434"/>
      <c r="E310" s="424"/>
      <c r="F310" s="414"/>
      <c r="G310" s="414"/>
      <c r="H310" s="414"/>
      <c r="I310" s="414"/>
      <c r="J310" s="425"/>
      <c r="K310" s="426"/>
      <c r="L310" s="427"/>
    </row>
    <row r="311" spans="1:12" ht="12.75">
      <c r="A311" s="433"/>
      <c r="B311" s="434"/>
      <c r="C311" s="434"/>
      <c r="D311" s="434"/>
      <c r="E311" s="424"/>
      <c r="F311" s="414"/>
      <c r="G311" s="414"/>
      <c r="H311" s="414"/>
      <c r="I311" s="414"/>
      <c r="J311" s="425"/>
      <c r="K311" s="426"/>
      <c r="L311" s="427"/>
    </row>
    <row r="312" spans="1:12" ht="12.75">
      <c r="A312" s="433"/>
      <c r="B312" s="434"/>
      <c r="C312" s="434"/>
      <c r="D312" s="434"/>
      <c r="E312" s="424"/>
      <c r="F312" s="414"/>
      <c r="G312" s="414"/>
      <c r="H312" s="414"/>
      <c r="I312" s="414"/>
      <c r="J312" s="425"/>
      <c r="K312" s="426"/>
      <c r="L312" s="427"/>
    </row>
    <row r="313" spans="1:12" ht="12.75">
      <c r="A313" s="433"/>
      <c r="B313" s="434"/>
      <c r="C313" s="434"/>
      <c r="D313" s="434"/>
      <c r="E313" s="424"/>
      <c r="F313" s="414"/>
      <c r="G313" s="414"/>
      <c r="H313" s="414"/>
      <c r="I313" s="414"/>
      <c r="J313" s="425"/>
      <c r="K313" s="426"/>
      <c r="L313" s="427"/>
    </row>
    <row r="314" spans="1:12" ht="12.75">
      <c r="A314" s="433"/>
      <c r="B314" s="434"/>
      <c r="C314" s="434"/>
      <c r="D314" s="434"/>
      <c r="E314" s="424"/>
      <c r="F314" s="414"/>
      <c r="G314" s="414"/>
      <c r="H314" s="414"/>
      <c r="I314" s="414"/>
      <c r="J314" s="425"/>
      <c r="K314" s="426"/>
      <c r="L314" s="427"/>
    </row>
    <row r="315" spans="1:12" ht="12.75">
      <c r="A315" s="433"/>
      <c r="B315" s="434"/>
      <c r="C315" s="434"/>
      <c r="D315" s="434"/>
      <c r="E315" s="424"/>
      <c r="F315" s="414"/>
      <c r="G315" s="414"/>
      <c r="H315" s="414"/>
      <c r="I315" s="414"/>
      <c r="J315" s="425"/>
      <c r="K315" s="426"/>
      <c r="L315" s="427"/>
    </row>
    <row r="316" spans="1:12" ht="12.75">
      <c r="A316" s="433"/>
      <c r="B316" s="434"/>
      <c r="C316" s="434"/>
      <c r="D316" s="434"/>
      <c r="E316" s="424"/>
      <c r="F316" s="414"/>
      <c r="G316" s="414"/>
      <c r="H316" s="414"/>
      <c r="I316" s="414"/>
      <c r="J316" s="425"/>
      <c r="K316" s="426"/>
      <c r="L316" s="427"/>
    </row>
    <row r="317" spans="1:12" ht="12.75">
      <c r="A317" s="433"/>
      <c r="B317" s="434"/>
      <c r="C317" s="434"/>
      <c r="D317" s="434"/>
      <c r="E317" s="424"/>
      <c r="F317" s="414"/>
      <c r="G317" s="414"/>
      <c r="H317" s="414"/>
      <c r="I317" s="414"/>
      <c r="J317" s="425"/>
      <c r="K317" s="426"/>
      <c r="L317" s="427"/>
    </row>
    <row r="318" spans="1:12" ht="12.75">
      <c r="A318" s="433"/>
      <c r="B318" s="434"/>
      <c r="C318" s="434"/>
      <c r="D318" s="434"/>
      <c r="E318" s="424"/>
      <c r="F318" s="414"/>
      <c r="G318" s="414"/>
      <c r="H318" s="414"/>
      <c r="I318" s="414"/>
      <c r="J318" s="425"/>
      <c r="K318" s="426"/>
      <c r="L318" s="427"/>
    </row>
    <row r="319" spans="1:12" ht="12.75">
      <c r="A319" s="433"/>
      <c r="B319" s="434"/>
      <c r="C319" s="434"/>
      <c r="D319" s="434"/>
      <c r="E319" s="424"/>
      <c r="F319" s="414"/>
      <c r="G319" s="414"/>
      <c r="H319" s="414"/>
      <c r="I319" s="414"/>
      <c r="J319" s="425"/>
      <c r="K319" s="426"/>
      <c r="L319" s="427"/>
    </row>
    <row r="320" spans="1:12" ht="12.75">
      <c r="A320" s="433"/>
      <c r="B320" s="434"/>
      <c r="C320" s="434"/>
      <c r="D320" s="434"/>
      <c r="E320" s="424"/>
      <c r="F320" s="414"/>
      <c r="G320" s="414"/>
      <c r="H320" s="414"/>
      <c r="I320" s="414"/>
      <c r="J320" s="425"/>
      <c r="K320" s="426"/>
      <c r="L320" s="427"/>
    </row>
    <row r="321" spans="1:12" ht="12.75">
      <c r="A321" s="433"/>
      <c r="B321" s="434"/>
      <c r="C321" s="434"/>
      <c r="D321" s="434"/>
      <c r="E321" s="424"/>
      <c r="F321" s="414"/>
      <c r="G321" s="414"/>
      <c r="H321" s="414"/>
      <c r="I321" s="414"/>
      <c r="J321" s="425"/>
      <c r="K321" s="426"/>
      <c r="L321" s="427"/>
    </row>
    <row r="322" spans="1:12" ht="12.75">
      <c r="A322" s="433"/>
      <c r="B322" s="434"/>
      <c r="C322" s="434"/>
      <c r="D322" s="434"/>
      <c r="E322" s="424"/>
      <c r="F322" s="414"/>
      <c r="G322" s="414"/>
      <c r="H322" s="414"/>
      <c r="I322" s="414"/>
      <c r="J322" s="425"/>
      <c r="K322" s="426"/>
      <c r="L322" s="427"/>
    </row>
    <row r="323" spans="1:12" ht="12.75">
      <c r="A323" s="433"/>
      <c r="B323" s="434"/>
      <c r="C323" s="434"/>
      <c r="D323" s="434"/>
      <c r="E323" s="424"/>
      <c r="F323" s="414"/>
      <c r="G323" s="414"/>
      <c r="H323" s="414"/>
      <c r="I323" s="414"/>
      <c r="J323" s="425"/>
      <c r="K323" s="426"/>
      <c r="L323" s="427"/>
    </row>
    <row r="324" spans="1:12" ht="12.75">
      <c r="A324" s="433"/>
      <c r="B324" s="434"/>
      <c r="C324" s="434"/>
      <c r="D324" s="434"/>
      <c r="E324" s="424"/>
      <c r="F324" s="414"/>
      <c r="G324" s="414"/>
      <c r="H324" s="414"/>
      <c r="I324" s="414"/>
      <c r="J324" s="425"/>
      <c r="K324" s="426"/>
      <c r="L324" s="427"/>
    </row>
    <row r="325" spans="1:12" ht="12.75">
      <c r="A325" s="433"/>
      <c r="B325" s="434"/>
      <c r="C325" s="434"/>
      <c r="D325" s="434"/>
      <c r="E325" s="424"/>
      <c r="F325" s="414"/>
      <c r="G325" s="414"/>
      <c r="H325" s="414"/>
      <c r="I325" s="414"/>
      <c r="J325" s="425"/>
      <c r="K325" s="426"/>
      <c r="L325" s="427"/>
    </row>
    <row r="326" spans="1:12" ht="12.75">
      <c r="A326" s="433"/>
      <c r="B326" s="434"/>
      <c r="C326" s="434"/>
      <c r="D326" s="434"/>
      <c r="E326" s="424"/>
      <c r="F326" s="414"/>
      <c r="G326" s="414"/>
      <c r="H326" s="414"/>
      <c r="I326" s="414"/>
      <c r="J326" s="425"/>
      <c r="K326" s="426"/>
      <c r="L326" s="427"/>
    </row>
    <row r="327" spans="1:12" ht="12.75">
      <c r="A327" s="433"/>
      <c r="B327" s="434"/>
      <c r="C327" s="434"/>
      <c r="D327" s="434"/>
      <c r="E327" s="424"/>
      <c r="F327" s="414"/>
      <c r="G327" s="414"/>
      <c r="H327" s="414"/>
      <c r="I327" s="414"/>
      <c r="J327" s="425"/>
      <c r="K327" s="426"/>
      <c r="L327" s="427"/>
    </row>
    <row r="328" spans="1:12" ht="12.75">
      <c r="A328" s="433"/>
      <c r="B328" s="434"/>
      <c r="C328" s="434"/>
      <c r="D328" s="434"/>
      <c r="E328" s="424"/>
      <c r="F328" s="414"/>
      <c r="G328" s="414"/>
      <c r="H328" s="414"/>
      <c r="I328" s="414"/>
      <c r="J328" s="425"/>
      <c r="K328" s="426"/>
      <c r="L328" s="427"/>
    </row>
    <row r="329" spans="1:12" ht="12.75">
      <c r="A329" s="433"/>
      <c r="B329" s="434"/>
      <c r="C329" s="434"/>
      <c r="D329" s="434"/>
      <c r="E329" s="424"/>
      <c r="F329" s="414"/>
      <c r="G329" s="414"/>
      <c r="H329" s="414"/>
      <c r="I329" s="414"/>
      <c r="J329" s="425"/>
      <c r="K329" s="426"/>
      <c r="L329" s="427"/>
    </row>
    <row r="330" spans="1:12" ht="12.75">
      <c r="A330" s="433"/>
      <c r="B330" s="434"/>
      <c r="C330" s="434"/>
      <c r="D330" s="434"/>
      <c r="E330" s="424"/>
      <c r="F330" s="414"/>
      <c r="G330" s="414"/>
      <c r="H330" s="414"/>
      <c r="I330" s="414"/>
      <c r="J330" s="425"/>
      <c r="K330" s="426"/>
      <c r="L330" s="427"/>
    </row>
    <row r="331" spans="1:12" ht="12.75">
      <c r="A331" s="433"/>
      <c r="B331" s="434"/>
      <c r="C331" s="434"/>
      <c r="D331" s="434"/>
      <c r="E331" s="424"/>
      <c r="F331" s="414"/>
      <c r="G331" s="414"/>
      <c r="H331" s="414"/>
      <c r="I331" s="414"/>
      <c r="J331" s="425"/>
      <c r="K331" s="426"/>
      <c r="L331" s="427"/>
    </row>
    <row r="332" spans="1:12" ht="12.75">
      <c r="A332" s="433"/>
      <c r="B332" s="434"/>
      <c r="C332" s="434"/>
      <c r="D332" s="434"/>
      <c r="E332" s="424"/>
      <c r="F332" s="414"/>
      <c r="G332" s="414"/>
      <c r="H332" s="414"/>
      <c r="I332" s="414"/>
      <c r="J332" s="425"/>
      <c r="K332" s="426"/>
      <c r="L332" s="427"/>
    </row>
    <row r="333" spans="1:12" ht="12.75">
      <c r="A333" s="433"/>
      <c r="B333" s="434"/>
      <c r="C333" s="434"/>
      <c r="D333" s="434"/>
      <c r="E333" s="424"/>
      <c r="F333" s="414"/>
      <c r="G333" s="414"/>
      <c r="H333" s="414"/>
      <c r="I333" s="414"/>
      <c r="J333" s="425"/>
      <c r="K333" s="426"/>
      <c r="L333" s="427"/>
    </row>
    <row r="334" spans="1:12" ht="12.75">
      <c r="A334" s="433"/>
      <c r="B334" s="434"/>
      <c r="C334" s="434"/>
      <c r="D334" s="434"/>
      <c r="E334" s="424"/>
      <c r="F334" s="414"/>
      <c r="G334" s="414"/>
      <c r="H334" s="414"/>
      <c r="I334" s="414"/>
      <c r="J334" s="425"/>
      <c r="K334" s="426"/>
      <c r="L334" s="427"/>
    </row>
    <row r="335" spans="1:12" ht="12.75">
      <c r="A335" s="433"/>
      <c r="B335" s="434"/>
      <c r="C335" s="434"/>
      <c r="D335" s="434"/>
      <c r="E335" s="424"/>
      <c r="F335" s="414"/>
      <c r="G335" s="414"/>
      <c r="H335" s="414"/>
      <c r="I335" s="414"/>
      <c r="J335" s="425"/>
      <c r="K335" s="426"/>
      <c r="L335" s="427"/>
    </row>
    <row r="336" spans="1:12" ht="12.75">
      <c r="A336" s="433"/>
      <c r="B336" s="434"/>
      <c r="C336" s="434"/>
      <c r="D336" s="434"/>
      <c r="E336" s="424"/>
      <c r="F336" s="414"/>
      <c r="G336" s="414"/>
      <c r="H336" s="414"/>
      <c r="I336" s="414"/>
      <c r="J336" s="425"/>
      <c r="K336" s="426"/>
      <c r="L336" s="427"/>
    </row>
    <row r="337" spans="1:12" ht="12.75">
      <c r="A337" s="433"/>
      <c r="B337" s="434"/>
      <c r="C337" s="434"/>
      <c r="D337" s="434"/>
      <c r="E337" s="424"/>
      <c r="F337" s="414"/>
      <c r="G337" s="414"/>
      <c r="H337" s="414"/>
      <c r="I337" s="414"/>
      <c r="J337" s="425"/>
      <c r="K337" s="426"/>
      <c r="L337" s="427"/>
    </row>
    <row r="338" spans="1:12" ht="12.75">
      <c r="A338" s="433"/>
      <c r="B338" s="434"/>
      <c r="C338" s="434"/>
      <c r="D338" s="434"/>
      <c r="E338" s="424"/>
      <c r="F338" s="414"/>
      <c r="G338" s="414"/>
      <c r="H338" s="414"/>
      <c r="I338" s="414"/>
      <c r="J338" s="425"/>
      <c r="K338" s="426"/>
      <c r="L338" s="427"/>
    </row>
    <row r="339" spans="1:12" ht="12.75">
      <c r="A339" s="433"/>
      <c r="B339" s="434"/>
      <c r="C339" s="434"/>
      <c r="D339" s="434"/>
      <c r="E339" s="424"/>
      <c r="F339" s="414"/>
      <c r="G339" s="414"/>
      <c r="H339" s="414"/>
      <c r="I339" s="414"/>
      <c r="J339" s="425"/>
      <c r="K339" s="426"/>
      <c r="L339" s="427"/>
    </row>
    <row r="340" spans="1:12" ht="12.75">
      <c r="A340" s="433"/>
      <c r="B340" s="434"/>
      <c r="C340" s="434"/>
      <c r="D340" s="434"/>
      <c r="E340" s="424"/>
      <c r="F340" s="414"/>
      <c r="G340" s="414"/>
      <c r="H340" s="414"/>
      <c r="I340" s="414"/>
      <c r="J340" s="425"/>
      <c r="K340" s="426"/>
      <c r="L340" s="427"/>
    </row>
    <row r="341" spans="1:12" ht="12.75">
      <c r="A341" s="433"/>
      <c r="B341" s="434"/>
      <c r="C341" s="434"/>
      <c r="D341" s="434"/>
      <c r="E341" s="424"/>
      <c r="F341" s="414"/>
      <c r="G341" s="414"/>
      <c r="H341" s="414"/>
      <c r="I341" s="414"/>
      <c r="J341" s="425"/>
      <c r="K341" s="426"/>
      <c r="L341" s="427"/>
    </row>
    <row r="342" spans="1:12" ht="12.75">
      <c r="A342" s="433"/>
      <c r="B342" s="434"/>
      <c r="C342" s="434"/>
      <c r="D342" s="434"/>
      <c r="E342" s="424"/>
      <c r="F342" s="414"/>
      <c r="G342" s="414"/>
      <c r="H342" s="414"/>
      <c r="I342" s="414"/>
      <c r="J342" s="425"/>
      <c r="K342" s="426"/>
      <c r="L342" s="427"/>
    </row>
    <row r="343" spans="1:12" ht="12.75">
      <c r="A343" s="433"/>
      <c r="B343" s="434"/>
      <c r="C343" s="434"/>
      <c r="D343" s="434"/>
      <c r="E343" s="424"/>
      <c r="F343" s="414"/>
      <c r="G343" s="414"/>
      <c r="H343" s="414"/>
      <c r="I343" s="414"/>
      <c r="J343" s="425"/>
      <c r="K343" s="426"/>
      <c r="L343" s="427"/>
    </row>
    <row r="344" spans="1:12" ht="12.75">
      <c r="A344" s="433"/>
      <c r="B344" s="434"/>
      <c r="C344" s="434"/>
      <c r="D344" s="434"/>
      <c r="E344" s="424"/>
      <c r="F344" s="414"/>
      <c r="G344" s="414"/>
      <c r="H344" s="414"/>
      <c r="I344" s="414"/>
      <c r="J344" s="425"/>
      <c r="K344" s="426"/>
      <c r="L344" s="427"/>
    </row>
    <row r="345" spans="1:12" ht="12.75">
      <c r="A345" s="433"/>
      <c r="B345" s="434"/>
      <c r="C345" s="434"/>
      <c r="D345" s="434"/>
      <c r="E345" s="424"/>
      <c r="F345" s="414"/>
      <c r="G345" s="414"/>
      <c r="H345" s="414"/>
      <c r="I345" s="414"/>
      <c r="J345" s="425"/>
      <c r="K345" s="426"/>
      <c r="L345" s="427"/>
    </row>
    <row r="346" spans="1:12" ht="12.75">
      <c r="A346" s="433"/>
      <c r="B346" s="434"/>
      <c r="C346" s="434"/>
      <c r="D346" s="434"/>
      <c r="E346" s="424"/>
      <c r="F346" s="414"/>
      <c r="G346" s="414"/>
      <c r="H346" s="414"/>
      <c r="I346" s="414"/>
      <c r="J346" s="425"/>
      <c r="K346" s="426"/>
      <c r="L346" s="427"/>
    </row>
    <row r="347" spans="1:12" ht="12.75">
      <c r="A347" s="433"/>
      <c r="B347" s="434"/>
      <c r="C347" s="434"/>
      <c r="D347" s="434"/>
      <c r="E347" s="424"/>
      <c r="F347" s="414"/>
      <c r="G347" s="414"/>
      <c r="H347" s="414"/>
      <c r="I347" s="414"/>
      <c r="J347" s="425"/>
      <c r="K347" s="426"/>
      <c r="L347" s="427"/>
    </row>
    <row r="348" spans="1:12" ht="12.75">
      <c r="A348" s="433"/>
      <c r="B348" s="434"/>
      <c r="C348" s="434"/>
      <c r="D348" s="434"/>
      <c r="E348" s="424"/>
      <c r="F348" s="414"/>
      <c r="G348" s="414"/>
      <c r="H348" s="414"/>
      <c r="I348" s="414"/>
      <c r="J348" s="425"/>
      <c r="K348" s="426"/>
      <c r="L348" s="427"/>
    </row>
    <row r="349" spans="1:12" ht="12.75">
      <c r="A349" s="433"/>
      <c r="B349" s="434"/>
      <c r="C349" s="434"/>
      <c r="D349" s="434"/>
      <c r="E349" s="424"/>
      <c r="F349" s="414"/>
      <c r="G349" s="414"/>
      <c r="H349" s="414"/>
      <c r="I349" s="414"/>
      <c r="J349" s="425"/>
      <c r="K349" s="426"/>
      <c r="L349" s="427"/>
    </row>
    <row r="350" spans="1:12" ht="12.75">
      <c r="A350" s="433"/>
      <c r="B350" s="434"/>
      <c r="C350" s="434"/>
      <c r="D350" s="434"/>
      <c r="E350" s="424"/>
      <c r="F350" s="414"/>
      <c r="G350" s="414"/>
      <c r="H350" s="414"/>
      <c r="I350" s="414"/>
      <c r="J350" s="425"/>
      <c r="K350" s="426"/>
      <c r="L350" s="427"/>
    </row>
    <row r="351" spans="1:12" ht="12.75">
      <c r="A351" s="433"/>
      <c r="B351" s="434"/>
      <c r="C351" s="434"/>
      <c r="D351" s="434"/>
      <c r="E351" s="424"/>
      <c r="F351" s="414"/>
      <c r="G351" s="414"/>
      <c r="H351" s="414"/>
      <c r="I351" s="414"/>
      <c r="J351" s="425"/>
      <c r="K351" s="426"/>
      <c r="L351" s="427"/>
    </row>
    <row r="352" spans="1:12" ht="12.75">
      <c r="A352" s="433"/>
      <c r="B352" s="434"/>
      <c r="C352" s="434"/>
      <c r="D352" s="434"/>
      <c r="E352" s="424"/>
      <c r="F352" s="414"/>
      <c r="G352" s="414"/>
      <c r="H352" s="414"/>
      <c r="I352" s="414"/>
      <c r="J352" s="425"/>
      <c r="K352" s="426"/>
      <c r="L352" s="427"/>
    </row>
    <row r="353" spans="1:12" ht="12.75">
      <c r="A353" s="433"/>
      <c r="B353" s="434"/>
      <c r="C353" s="434"/>
      <c r="D353" s="434"/>
      <c r="E353" s="424"/>
      <c r="F353" s="414"/>
      <c r="G353" s="414"/>
      <c r="H353" s="414"/>
      <c r="I353" s="414"/>
      <c r="J353" s="425"/>
      <c r="K353" s="426"/>
      <c r="L353" s="427"/>
    </row>
    <row r="354" spans="1:12" ht="12.75">
      <c r="A354" s="433"/>
      <c r="B354" s="434"/>
      <c r="C354" s="434"/>
      <c r="D354" s="434"/>
      <c r="E354" s="424"/>
      <c r="F354" s="414"/>
      <c r="G354" s="414"/>
      <c r="H354" s="414"/>
      <c r="I354" s="414"/>
      <c r="J354" s="425"/>
      <c r="K354" s="426"/>
      <c r="L354" s="427"/>
    </row>
    <row r="355" spans="1:12" ht="12.75">
      <c r="A355" s="433"/>
      <c r="B355" s="434"/>
      <c r="C355" s="434"/>
      <c r="D355" s="434"/>
      <c r="E355" s="424"/>
      <c r="F355" s="414"/>
      <c r="G355" s="414"/>
      <c r="H355" s="414"/>
      <c r="I355" s="414"/>
      <c r="J355" s="425"/>
      <c r="K355" s="426"/>
      <c r="L355" s="427"/>
    </row>
    <row r="356" spans="1:12" ht="12.75">
      <c r="A356" s="433"/>
      <c r="B356" s="434"/>
      <c r="C356" s="434"/>
      <c r="D356" s="434"/>
      <c r="E356" s="424"/>
      <c r="F356" s="414"/>
      <c r="G356" s="414"/>
      <c r="H356" s="414"/>
      <c r="I356" s="414"/>
      <c r="J356" s="425"/>
      <c r="K356" s="426"/>
      <c r="L356" s="427"/>
    </row>
    <row r="357" spans="1:12" ht="12.75">
      <c r="A357" s="433"/>
      <c r="B357" s="434"/>
      <c r="C357" s="434"/>
      <c r="D357" s="434"/>
      <c r="E357" s="424"/>
      <c r="F357" s="414"/>
      <c r="G357" s="414"/>
      <c r="H357" s="414"/>
      <c r="I357" s="414"/>
      <c r="J357" s="425"/>
      <c r="K357" s="426"/>
      <c r="L357" s="427"/>
    </row>
    <row r="358" spans="1:12" ht="12.75">
      <c r="A358" s="433"/>
      <c r="B358" s="434"/>
      <c r="C358" s="434"/>
      <c r="D358" s="434"/>
      <c r="E358" s="424"/>
      <c r="F358" s="414"/>
      <c r="G358" s="414"/>
      <c r="H358" s="414"/>
      <c r="I358" s="414"/>
      <c r="J358" s="425"/>
      <c r="K358" s="426"/>
      <c r="L358" s="427"/>
    </row>
    <row r="359" spans="1:12" ht="12.75">
      <c r="A359" s="433"/>
      <c r="B359" s="434"/>
      <c r="C359" s="434"/>
      <c r="D359" s="434"/>
      <c r="E359" s="424"/>
      <c r="F359" s="414"/>
      <c r="G359" s="414"/>
      <c r="H359" s="414"/>
      <c r="I359" s="414"/>
      <c r="J359" s="425"/>
      <c r="K359" s="426"/>
      <c r="L359" s="427"/>
    </row>
    <row r="360" spans="1:12" ht="12.75">
      <c r="A360" s="433"/>
      <c r="B360" s="434"/>
      <c r="C360" s="434"/>
      <c r="D360" s="434"/>
      <c r="E360" s="424"/>
      <c r="F360" s="414"/>
      <c r="G360" s="414"/>
      <c r="H360" s="414"/>
      <c r="I360" s="414"/>
      <c r="J360" s="425"/>
      <c r="K360" s="426"/>
      <c r="L360" s="427"/>
    </row>
    <row r="361" spans="1:12" ht="12.75">
      <c r="A361" s="433"/>
      <c r="B361" s="434"/>
      <c r="C361" s="434"/>
      <c r="D361" s="434"/>
      <c r="E361" s="424"/>
      <c r="F361" s="414"/>
      <c r="G361" s="414"/>
      <c r="H361" s="414"/>
      <c r="I361" s="414"/>
      <c r="J361" s="425"/>
      <c r="K361" s="426"/>
      <c r="L361" s="427"/>
    </row>
    <row r="362" spans="1:12" ht="12.75">
      <c r="A362" s="433"/>
      <c r="B362" s="434"/>
      <c r="C362" s="434"/>
      <c r="D362" s="434"/>
      <c r="E362" s="424"/>
      <c r="F362" s="414"/>
      <c r="G362" s="414"/>
      <c r="H362" s="414"/>
      <c r="I362" s="414"/>
      <c r="J362" s="425"/>
      <c r="K362" s="426"/>
      <c r="L362" s="427"/>
    </row>
    <row r="363" spans="1:12" ht="12.75">
      <c r="A363" s="433"/>
      <c r="B363" s="434"/>
      <c r="C363" s="434"/>
      <c r="D363" s="434"/>
      <c r="E363" s="424"/>
      <c r="F363" s="414"/>
      <c r="G363" s="414"/>
      <c r="H363" s="414"/>
      <c r="I363" s="414"/>
      <c r="J363" s="425"/>
      <c r="K363" s="426"/>
      <c r="L363" s="427"/>
    </row>
    <row r="364" spans="1:12" ht="12.75">
      <c r="A364" s="433"/>
      <c r="B364" s="434"/>
      <c r="C364" s="434"/>
      <c r="D364" s="434"/>
      <c r="E364" s="424"/>
      <c r="F364" s="414"/>
      <c r="G364" s="414"/>
      <c r="H364" s="414"/>
      <c r="I364" s="414"/>
      <c r="J364" s="425"/>
      <c r="K364" s="426"/>
      <c r="L364" s="427"/>
    </row>
    <row r="365" spans="1:12" ht="12.75">
      <c r="A365" s="433"/>
      <c r="B365" s="434"/>
      <c r="C365" s="434"/>
      <c r="D365" s="434"/>
      <c r="E365" s="424"/>
      <c r="F365" s="414"/>
      <c r="G365" s="414"/>
      <c r="H365" s="414"/>
      <c r="I365" s="414"/>
      <c r="J365" s="425"/>
      <c r="K365" s="426"/>
      <c r="L365" s="427"/>
    </row>
    <row r="366" spans="1:12" ht="12.75">
      <c r="A366" s="433"/>
      <c r="B366" s="434"/>
      <c r="C366" s="434"/>
      <c r="D366" s="434"/>
      <c r="E366" s="424"/>
      <c r="F366" s="414"/>
      <c r="G366" s="414"/>
      <c r="H366" s="414"/>
      <c r="I366" s="414"/>
      <c r="J366" s="425"/>
      <c r="K366" s="426"/>
      <c r="L366" s="427"/>
    </row>
    <row r="367" spans="1:12" ht="12.75">
      <c r="A367" s="433"/>
      <c r="B367" s="434"/>
      <c r="C367" s="434"/>
      <c r="D367" s="434"/>
      <c r="E367" s="424"/>
      <c r="F367" s="414"/>
      <c r="G367" s="414"/>
      <c r="H367" s="414"/>
      <c r="I367" s="414"/>
      <c r="J367" s="425"/>
      <c r="K367" s="426"/>
      <c r="L367" s="427"/>
    </row>
    <row r="368" spans="1:12" ht="12.75">
      <c r="A368" s="433"/>
      <c r="B368" s="434"/>
      <c r="C368" s="434"/>
      <c r="D368" s="434"/>
      <c r="E368" s="424"/>
      <c r="F368" s="414"/>
      <c r="G368" s="414"/>
      <c r="H368" s="414"/>
      <c r="I368" s="414"/>
      <c r="J368" s="425"/>
      <c r="K368" s="426"/>
      <c r="L368" s="427"/>
    </row>
    <row r="369" spans="1:12" ht="12.75">
      <c r="A369" s="433"/>
      <c r="B369" s="434"/>
      <c r="C369" s="434"/>
      <c r="D369" s="434"/>
      <c r="E369" s="424"/>
      <c r="F369" s="414"/>
      <c r="G369" s="414"/>
      <c r="H369" s="414"/>
      <c r="I369" s="414"/>
      <c r="J369" s="425"/>
      <c r="K369" s="426"/>
      <c r="L369" s="427"/>
    </row>
    <row r="370" spans="1:12" ht="12.75">
      <c r="A370" s="433"/>
      <c r="B370" s="434"/>
      <c r="C370" s="434"/>
      <c r="D370" s="434"/>
      <c r="E370" s="424"/>
      <c r="F370" s="414"/>
      <c r="G370" s="414"/>
      <c r="H370" s="414"/>
      <c r="I370" s="414"/>
      <c r="J370" s="425"/>
      <c r="K370" s="426"/>
      <c r="L370" s="427"/>
    </row>
    <row r="371" spans="1:12" ht="12.75">
      <c r="A371" s="433"/>
      <c r="B371" s="434"/>
      <c r="C371" s="434"/>
      <c r="D371" s="434"/>
      <c r="E371" s="424"/>
      <c r="F371" s="414"/>
      <c r="G371" s="414"/>
      <c r="H371" s="414"/>
      <c r="I371" s="414"/>
      <c r="J371" s="425"/>
      <c r="K371" s="426"/>
      <c r="L371" s="427"/>
    </row>
    <row r="372" spans="1:12" ht="12.75">
      <c r="A372" s="433"/>
      <c r="B372" s="434"/>
      <c r="C372" s="434"/>
      <c r="D372" s="434"/>
      <c r="E372" s="424"/>
      <c r="F372" s="414"/>
      <c r="G372" s="414"/>
      <c r="H372" s="414"/>
      <c r="I372" s="414"/>
      <c r="J372" s="425"/>
      <c r="K372" s="426"/>
      <c r="L372" s="427"/>
    </row>
    <row r="373" spans="1:12" ht="12.75">
      <c r="A373" s="433"/>
      <c r="B373" s="434"/>
      <c r="C373" s="434"/>
      <c r="D373" s="434"/>
      <c r="E373" s="424"/>
      <c r="F373" s="414"/>
      <c r="G373" s="414"/>
      <c r="H373" s="414"/>
      <c r="I373" s="414"/>
      <c r="J373" s="425"/>
      <c r="K373" s="426"/>
      <c r="L373" s="427"/>
    </row>
    <row r="374" spans="1:12" ht="12.75">
      <c r="A374" s="433"/>
      <c r="B374" s="434"/>
      <c r="C374" s="434"/>
      <c r="D374" s="434"/>
      <c r="E374" s="424"/>
      <c r="F374" s="414"/>
      <c r="G374" s="414"/>
      <c r="H374" s="414"/>
      <c r="I374" s="414"/>
      <c r="J374" s="425"/>
      <c r="K374" s="426"/>
      <c r="L374" s="427"/>
    </row>
    <row r="375" spans="1:12" ht="12.75">
      <c r="A375" s="433"/>
      <c r="B375" s="434"/>
      <c r="C375" s="434"/>
      <c r="D375" s="434"/>
      <c r="E375" s="424"/>
      <c r="F375" s="414"/>
      <c r="G375" s="414"/>
      <c r="H375" s="414"/>
      <c r="I375" s="414"/>
      <c r="J375" s="425"/>
      <c r="K375" s="426"/>
      <c r="L375" s="427"/>
    </row>
    <row r="376" spans="1:12" ht="12.75">
      <c r="A376" s="433"/>
      <c r="B376" s="434"/>
      <c r="C376" s="434"/>
      <c r="D376" s="434"/>
      <c r="E376" s="424"/>
      <c r="F376" s="414"/>
      <c r="G376" s="414"/>
      <c r="H376" s="414"/>
      <c r="I376" s="414"/>
      <c r="J376" s="425"/>
      <c r="K376" s="426"/>
      <c r="L376" s="427"/>
    </row>
    <row r="377" spans="1:12" ht="12.75">
      <c r="A377" s="433"/>
      <c r="B377" s="434"/>
      <c r="C377" s="434"/>
      <c r="D377" s="434"/>
      <c r="E377" s="424"/>
      <c r="F377" s="414"/>
      <c r="G377" s="414"/>
      <c r="H377" s="414"/>
      <c r="I377" s="414"/>
      <c r="J377" s="425"/>
      <c r="K377" s="426"/>
      <c r="L377" s="427"/>
    </row>
    <row r="378" spans="1:12" ht="12.75">
      <c r="A378" s="433"/>
      <c r="B378" s="434"/>
      <c r="C378" s="434"/>
      <c r="D378" s="434"/>
      <c r="E378" s="424"/>
      <c r="F378" s="414"/>
      <c r="G378" s="414"/>
      <c r="H378" s="414"/>
      <c r="I378" s="414"/>
      <c r="J378" s="425"/>
      <c r="K378" s="426"/>
      <c r="L378" s="427"/>
    </row>
    <row r="379" spans="1:12" ht="12.75">
      <c r="A379" s="433"/>
      <c r="B379" s="434"/>
      <c r="C379" s="434"/>
      <c r="D379" s="434"/>
      <c r="E379" s="424"/>
      <c r="F379" s="414"/>
      <c r="G379" s="414"/>
      <c r="H379" s="414"/>
      <c r="I379" s="414"/>
      <c r="J379" s="425"/>
      <c r="K379" s="426"/>
      <c r="L379" s="427"/>
    </row>
    <row r="380" spans="1:12" ht="12.75">
      <c r="A380" s="433"/>
      <c r="B380" s="434"/>
      <c r="C380" s="434"/>
      <c r="D380" s="434"/>
      <c r="E380" s="424"/>
      <c r="F380" s="414"/>
      <c r="G380" s="414"/>
      <c r="H380" s="414"/>
      <c r="I380" s="414"/>
      <c r="J380" s="425"/>
      <c r="K380" s="426"/>
      <c r="L380" s="427"/>
    </row>
    <row r="381" spans="1:12" ht="12.75">
      <c r="A381" s="433"/>
      <c r="B381" s="434"/>
      <c r="C381" s="434"/>
      <c r="D381" s="434"/>
      <c r="E381" s="424"/>
      <c r="F381" s="414"/>
      <c r="G381" s="414"/>
      <c r="H381" s="414"/>
      <c r="I381" s="414"/>
      <c r="J381" s="425"/>
      <c r="K381" s="426"/>
      <c r="L381" s="427"/>
    </row>
    <row r="382" spans="1:12" ht="12.75">
      <c r="A382" s="433"/>
      <c r="B382" s="434"/>
      <c r="C382" s="434"/>
      <c r="D382" s="434"/>
      <c r="E382" s="424"/>
      <c r="F382" s="414"/>
      <c r="G382" s="414"/>
      <c r="H382" s="414"/>
      <c r="I382" s="414"/>
      <c r="J382" s="425"/>
      <c r="K382" s="426"/>
      <c r="L382" s="427"/>
    </row>
    <row r="383" spans="1:12" ht="12.75">
      <c r="A383" s="433"/>
      <c r="B383" s="434"/>
      <c r="C383" s="434"/>
      <c r="D383" s="434"/>
      <c r="E383" s="424"/>
      <c r="F383" s="414"/>
      <c r="G383" s="414"/>
      <c r="H383" s="414"/>
      <c r="I383" s="414"/>
      <c r="J383" s="425"/>
      <c r="K383" s="426"/>
      <c r="L383" s="427"/>
    </row>
    <row r="384" spans="1:12" ht="12.75">
      <c r="A384" s="433"/>
      <c r="B384" s="434"/>
      <c r="C384" s="434"/>
      <c r="D384" s="434"/>
      <c r="E384" s="424"/>
      <c r="F384" s="414"/>
      <c r="G384" s="414"/>
      <c r="H384" s="414"/>
      <c r="I384" s="414"/>
      <c r="J384" s="425"/>
      <c r="K384" s="426"/>
      <c r="L384" s="427"/>
    </row>
    <row r="385" spans="1:12" ht="12.75">
      <c r="A385" s="433"/>
      <c r="B385" s="434"/>
      <c r="C385" s="434"/>
      <c r="D385" s="434"/>
      <c r="E385" s="424"/>
      <c r="F385" s="414"/>
      <c r="G385" s="414"/>
      <c r="H385" s="414"/>
      <c r="I385" s="414"/>
      <c r="J385" s="425"/>
      <c r="K385" s="426"/>
      <c r="L385" s="427"/>
    </row>
    <row r="386" spans="1:12" ht="12.75">
      <c r="A386" s="433"/>
      <c r="B386" s="434"/>
      <c r="C386" s="434"/>
      <c r="D386" s="434"/>
      <c r="E386" s="424"/>
      <c r="F386" s="414"/>
      <c r="G386" s="414"/>
      <c r="H386" s="414"/>
      <c r="I386" s="414"/>
      <c r="J386" s="425"/>
      <c r="K386" s="426"/>
      <c r="L386" s="427"/>
    </row>
    <row r="387" spans="1:12" ht="12.75">
      <c r="A387" s="433"/>
      <c r="B387" s="434"/>
      <c r="C387" s="434"/>
      <c r="D387" s="434"/>
      <c r="E387" s="424"/>
      <c r="F387" s="414"/>
      <c r="G387" s="414"/>
      <c r="H387" s="414"/>
      <c r="I387" s="414"/>
      <c r="J387" s="425"/>
      <c r="K387" s="426"/>
      <c r="L387" s="427"/>
    </row>
    <row r="388" spans="1:12" ht="12.75">
      <c r="A388" s="433"/>
      <c r="B388" s="434"/>
      <c r="C388" s="434"/>
      <c r="D388" s="434"/>
      <c r="E388" s="424"/>
      <c r="F388" s="414"/>
      <c r="G388" s="414"/>
      <c r="H388" s="414"/>
      <c r="I388" s="414"/>
      <c r="J388" s="425"/>
      <c r="K388" s="426"/>
      <c r="L388" s="427"/>
    </row>
    <row r="389" spans="1:12" ht="12.75">
      <c r="A389" s="433"/>
      <c r="B389" s="434"/>
      <c r="C389" s="434"/>
      <c r="D389" s="434"/>
      <c r="E389" s="424"/>
      <c r="F389" s="414"/>
      <c r="G389" s="414"/>
      <c r="H389" s="414"/>
      <c r="I389" s="414"/>
      <c r="J389" s="425"/>
      <c r="K389" s="426"/>
      <c r="L389" s="427"/>
    </row>
    <row r="390" spans="1:12" ht="12.75">
      <c r="A390" s="433"/>
      <c r="B390" s="434"/>
      <c r="C390" s="434"/>
      <c r="D390" s="434"/>
      <c r="E390" s="424"/>
      <c r="F390" s="414"/>
      <c r="G390" s="414"/>
      <c r="H390" s="414"/>
      <c r="I390" s="414"/>
      <c r="J390" s="425"/>
      <c r="K390" s="426"/>
      <c r="L390" s="427"/>
    </row>
    <row r="391" spans="1:12" ht="12.75">
      <c r="A391" s="433"/>
      <c r="B391" s="434"/>
      <c r="C391" s="434"/>
      <c r="D391" s="434"/>
      <c r="E391" s="424"/>
      <c r="F391" s="414"/>
      <c r="G391" s="414"/>
      <c r="H391" s="414"/>
      <c r="I391" s="414"/>
      <c r="J391" s="425"/>
      <c r="K391" s="426"/>
      <c r="L391" s="427"/>
    </row>
    <row r="392" spans="1:12" ht="12.75">
      <c r="A392" s="433"/>
      <c r="B392" s="434"/>
      <c r="C392" s="434"/>
      <c r="D392" s="434"/>
      <c r="E392" s="424"/>
      <c r="F392" s="414"/>
      <c r="G392" s="414"/>
      <c r="H392" s="414"/>
      <c r="I392" s="414"/>
      <c r="J392" s="425"/>
      <c r="K392" s="426"/>
      <c r="L392" s="427"/>
    </row>
    <row r="393" spans="1:12" ht="12.75">
      <c r="A393" s="433"/>
      <c r="B393" s="434"/>
      <c r="C393" s="434"/>
      <c r="D393" s="434"/>
      <c r="E393" s="424"/>
      <c r="F393" s="414"/>
      <c r="G393" s="414"/>
      <c r="H393" s="414"/>
      <c r="I393" s="414"/>
      <c r="J393" s="425"/>
      <c r="K393" s="426"/>
      <c r="L393" s="427"/>
    </row>
    <row r="394" spans="1:12" ht="12.75">
      <c r="A394" s="433"/>
      <c r="B394" s="434"/>
      <c r="C394" s="434"/>
      <c r="D394" s="434"/>
      <c r="E394" s="424"/>
      <c r="F394" s="414"/>
      <c r="G394" s="414"/>
      <c r="H394" s="414"/>
      <c r="I394" s="414"/>
      <c r="J394" s="425"/>
      <c r="K394" s="426"/>
      <c r="L394" s="427"/>
    </row>
    <row r="395" spans="1:12" ht="12.75">
      <c r="A395" s="433"/>
      <c r="B395" s="434"/>
      <c r="C395" s="434"/>
      <c r="D395" s="434"/>
      <c r="E395" s="424"/>
      <c r="F395" s="414"/>
      <c r="G395" s="414"/>
      <c r="H395" s="414"/>
      <c r="I395" s="414"/>
      <c r="J395" s="425"/>
      <c r="K395" s="426"/>
      <c r="L395" s="427"/>
    </row>
    <row r="396" spans="1:12" ht="12.75">
      <c r="A396" s="433"/>
      <c r="B396" s="434"/>
      <c r="C396" s="434"/>
      <c r="D396" s="434"/>
      <c r="E396" s="424"/>
      <c r="F396" s="414"/>
      <c r="G396" s="414"/>
      <c r="H396" s="414"/>
      <c r="I396" s="414"/>
      <c r="J396" s="425"/>
      <c r="K396" s="426"/>
      <c r="L396" s="427"/>
    </row>
    <row r="397" spans="1:12" ht="12.75">
      <c r="A397" s="433"/>
      <c r="B397" s="434"/>
      <c r="C397" s="434"/>
      <c r="D397" s="434"/>
      <c r="E397" s="424"/>
      <c r="F397" s="414"/>
      <c r="G397" s="414"/>
      <c r="H397" s="414"/>
      <c r="I397" s="414"/>
      <c r="J397" s="425"/>
      <c r="K397" s="426"/>
      <c r="L397" s="427"/>
    </row>
    <row r="398" spans="1:12" ht="12.75">
      <c r="A398" s="433"/>
      <c r="B398" s="434"/>
      <c r="C398" s="434"/>
      <c r="D398" s="434"/>
      <c r="E398" s="424"/>
      <c r="F398" s="414"/>
      <c r="G398" s="414"/>
      <c r="H398" s="414"/>
      <c r="I398" s="414"/>
      <c r="J398" s="425"/>
      <c r="K398" s="426"/>
      <c r="L398" s="427"/>
    </row>
    <row r="399" spans="1:12" ht="12.75">
      <c r="A399" s="433"/>
      <c r="B399" s="434"/>
      <c r="C399" s="434"/>
      <c r="D399" s="434"/>
      <c r="E399" s="424"/>
      <c r="F399" s="414"/>
      <c r="G399" s="414"/>
      <c r="H399" s="414"/>
      <c r="I399" s="414"/>
      <c r="J399" s="425"/>
      <c r="K399" s="426"/>
      <c r="L399" s="427"/>
    </row>
    <row r="400" spans="1:12" ht="12.75">
      <c r="A400" s="433"/>
      <c r="B400" s="434"/>
      <c r="C400" s="434"/>
      <c r="D400" s="434"/>
      <c r="E400" s="424"/>
      <c r="F400" s="414"/>
      <c r="G400" s="414"/>
      <c r="H400" s="414"/>
      <c r="I400" s="414"/>
      <c r="J400" s="425"/>
      <c r="K400" s="426"/>
      <c r="L400" s="427"/>
    </row>
    <row r="401" spans="1:12" ht="12.75">
      <c r="A401" s="433"/>
      <c r="B401" s="434"/>
      <c r="C401" s="434"/>
      <c r="D401" s="434"/>
      <c r="E401" s="424"/>
      <c r="F401" s="414"/>
      <c r="G401" s="414"/>
      <c r="H401" s="414"/>
      <c r="I401" s="414"/>
      <c r="J401" s="425"/>
      <c r="K401" s="426"/>
      <c r="L401" s="427"/>
    </row>
    <row r="402" spans="1:12" ht="12.75">
      <c r="A402" s="433"/>
      <c r="B402" s="434"/>
      <c r="C402" s="434"/>
      <c r="D402" s="434"/>
      <c r="E402" s="424"/>
      <c r="F402" s="414"/>
      <c r="G402" s="414"/>
      <c r="H402" s="414"/>
      <c r="I402" s="414"/>
      <c r="J402" s="425"/>
      <c r="K402" s="426"/>
      <c r="L402" s="427"/>
    </row>
    <row r="403" spans="1:12" ht="12.75">
      <c r="A403" s="433"/>
      <c r="B403" s="434"/>
      <c r="C403" s="434"/>
      <c r="D403" s="434"/>
      <c r="E403" s="424"/>
      <c r="F403" s="414"/>
      <c r="G403" s="414"/>
      <c r="H403" s="414"/>
      <c r="I403" s="414"/>
      <c r="J403" s="425"/>
      <c r="K403" s="426"/>
      <c r="L403" s="427"/>
    </row>
    <row r="404" spans="1:12" ht="12.75">
      <c r="A404" s="433"/>
      <c r="B404" s="434"/>
      <c r="C404" s="434"/>
      <c r="D404" s="434"/>
      <c r="E404" s="424"/>
      <c r="F404" s="414"/>
      <c r="G404" s="414"/>
      <c r="H404" s="414"/>
      <c r="I404" s="414"/>
      <c r="J404" s="425"/>
      <c r="K404" s="426"/>
      <c r="L404" s="427"/>
    </row>
    <row r="405" spans="1:12" ht="12.75">
      <c r="A405" s="433"/>
      <c r="B405" s="434"/>
      <c r="C405" s="434"/>
      <c r="D405" s="434"/>
      <c r="E405" s="424"/>
      <c r="F405" s="414"/>
      <c r="G405" s="414"/>
      <c r="H405" s="414"/>
      <c r="I405" s="414"/>
      <c r="J405" s="425"/>
      <c r="K405" s="426"/>
      <c r="L405" s="427"/>
    </row>
    <row r="406" spans="1:12" ht="12.75">
      <c r="A406" s="433"/>
      <c r="B406" s="434"/>
      <c r="C406" s="434"/>
      <c r="D406" s="434"/>
      <c r="E406" s="424"/>
      <c r="F406" s="414"/>
      <c r="G406" s="414"/>
      <c r="H406" s="414"/>
      <c r="I406" s="414"/>
      <c r="J406" s="425"/>
      <c r="K406" s="426"/>
      <c r="L406" s="427"/>
    </row>
    <row r="407" spans="1:12" ht="12.75">
      <c r="A407" s="433"/>
      <c r="B407" s="434"/>
      <c r="C407" s="434"/>
      <c r="D407" s="434"/>
      <c r="E407" s="424"/>
      <c r="F407" s="414"/>
      <c r="G407" s="414"/>
      <c r="H407" s="414"/>
      <c r="I407" s="414"/>
      <c r="J407" s="425"/>
      <c r="K407" s="426"/>
      <c r="L407" s="427"/>
    </row>
    <row r="408" spans="1:12" ht="12.75">
      <c r="A408" s="433"/>
      <c r="B408" s="434"/>
      <c r="C408" s="434"/>
      <c r="D408" s="434"/>
      <c r="E408" s="424"/>
      <c r="F408" s="414"/>
      <c r="G408" s="414"/>
      <c r="H408" s="414"/>
      <c r="I408" s="414"/>
      <c r="J408" s="425"/>
      <c r="K408" s="426"/>
      <c r="L408" s="427"/>
    </row>
    <row r="409" spans="1:12" ht="12.75">
      <c r="A409" s="433"/>
      <c r="B409" s="434"/>
      <c r="C409" s="434"/>
      <c r="D409" s="434"/>
      <c r="E409" s="424"/>
      <c r="F409" s="414"/>
      <c r="G409" s="414"/>
      <c r="H409" s="414"/>
      <c r="I409" s="414"/>
      <c r="J409" s="425"/>
      <c r="K409" s="426"/>
      <c r="L409" s="427"/>
    </row>
    <row r="410" spans="1:12" ht="12.75">
      <c r="A410" s="433"/>
      <c r="B410" s="434"/>
      <c r="C410" s="434"/>
      <c r="D410" s="434"/>
      <c r="E410" s="424"/>
      <c r="F410" s="414"/>
      <c r="G410" s="414"/>
      <c r="H410" s="414"/>
      <c r="I410" s="414"/>
      <c r="J410" s="425"/>
      <c r="K410" s="426"/>
      <c r="L410" s="427"/>
    </row>
    <row r="411" spans="1:12" ht="12.75">
      <c r="A411" s="433"/>
      <c r="B411" s="434"/>
      <c r="C411" s="434"/>
      <c r="D411" s="434"/>
      <c r="E411" s="424"/>
      <c r="F411" s="414"/>
      <c r="G411" s="414"/>
      <c r="H411" s="414"/>
      <c r="I411" s="414"/>
      <c r="J411" s="425"/>
      <c r="K411" s="426"/>
      <c r="L411" s="427"/>
    </row>
    <row r="412" spans="1:12" ht="12.75">
      <c r="A412" s="433"/>
      <c r="B412" s="434"/>
      <c r="C412" s="434"/>
      <c r="D412" s="434"/>
      <c r="E412" s="424"/>
      <c r="F412" s="414"/>
      <c r="G412" s="414"/>
      <c r="H412" s="414"/>
      <c r="I412" s="414"/>
      <c r="J412" s="425"/>
      <c r="K412" s="426"/>
      <c r="L412" s="427"/>
    </row>
    <row r="413" spans="1:12" ht="12.75">
      <c r="A413" s="433"/>
      <c r="B413" s="434"/>
      <c r="C413" s="434"/>
      <c r="D413" s="434"/>
      <c r="E413" s="424"/>
      <c r="F413" s="414"/>
      <c r="G413" s="414"/>
      <c r="H413" s="414"/>
      <c r="I413" s="414"/>
      <c r="J413" s="425"/>
      <c r="K413" s="426"/>
      <c r="L413" s="427"/>
    </row>
    <row r="414" spans="1:12" ht="12.75">
      <c r="A414" s="433"/>
      <c r="B414" s="434"/>
      <c r="C414" s="434"/>
      <c r="D414" s="434"/>
      <c r="E414" s="424"/>
      <c r="F414" s="414"/>
      <c r="G414" s="414"/>
      <c r="H414" s="414"/>
      <c r="I414" s="414"/>
      <c r="J414" s="425"/>
      <c r="K414" s="426"/>
      <c r="L414" s="427"/>
    </row>
    <row r="415" spans="1:12" ht="12.75">
      <c r="A415" s="433"/>
      <c r="B415" s="434"/>
      <c r="C415" s="434"/>
      <c r="D415" s="434"/>
      <c r="E415" s="424"/>
      <c r="F415" s="414"/>
      <c r="G415" s="414"/>
      <c r="H415" s="414"/>
      <c r="I415" s="414"/>
      <c r="J415" s="425"/>
      <c r="K415" s="426"/>
      <c r="L415" s="427"/>
    </row>
    <row r="416" spans="1:12" ht="12.75">
      <c r="A416" s="433"/>
      <c r="B416" s="434"/>
      <c r="C416" s="434"/>
      <c r="D416" s="434"/>
      <c r="E416" s="424"/>
      <c r="F416" s="414"/>
      <c r="G416" s="414"/>
      <c r="H416" s="414"/>
      <c r="I416" s="414"/>
      <c r="J416" s="425"/>
      <c r="K416" s="426"/>
      <c r="L416" s="427"/>
    </row>
    <row r="417" spans="1:12" ht="12.75">
      <c r="A417" s="433"/>
      <c r="B417" s="434"/>
      <c r="C417" s="434"/>
      <c r="D417" s="434"/>
      <c r="E417" s="424"/>
      <c r="F417" s="414"/>
      <c r="G417" s="414"/>
      <c r="H417" s="414"/>
      <c r="I417" s="414"/>
      <c r="J417" s="425"/>
      <c r="K417" s="426"/>
      <c r="L417" s="427"/>
    </row>
    <row r="418" spans="1:12" ht="12.75">
      <c r="A418" s="433"/>
      <c r="B418" s="434"/>
      <c r="C418" s="434"/>
      <c r="D418" s="434"/>
      <c r="E418" s="424"/>
      <c r="F418" s="414"/>
      <c r="G418" s="414"/>
      <c r="H418" s="414"/>
      <c r="I418" s="414"/>
      <c r="J418" s="425"/>
      <c r="K418" s="426"/>
      <c r="L418" s="427"/>
    </row>
    <row r="419" spans="1:12" ht="12.75">
      <c r="A419" s="433"/>
      <c r="B419" s="434"/>
      <c r="C419" s="434"/>
      <c r="D419" s="434"/>
      <c r="E419" s="424"/>
      <c r="F419" s="414"/>
      <c r="G419" s="414"/>
      <c r="H419" s="414"/>
      <c r="I419" s="414"/>
      <c r="J419" s="425"/>
      <c r="K419" s="426"/>
      <c r="L419" s="427"/>
    </row>
    <row r="420" spans="1:12" ht="12.75">
      <c r="A420" s="433"/>
      <c r="B420" s="434"/>
      <c r="C420" s="434"/>
      <c r="D420" s="434"/>
      <c r="E420" s="424"/>
      <c r="F420" s="414"/>
      <c r="G420" s="414"/>
      <c r="H420" s="414"/>
      <c r="I420" s="414"/>
      <c r="J420" s="425"/>
      <c r="K420" s="426"/>
      <c r="L420" s="427"/>
    </row>
    <row r="421" spans="1:12" ht="12.75">
      <c r="A421" s="433"/>
      <c r="B421" s="434"/>
      <c r="C421" s="434"/>
      <c r="D421" s="434"/>
      <c r="E421" s="424"/>
      <c r="F421" s="414"/>
      <c r="G421" s="414"/>
      <c r="H421" s="414"/>
      <c r="I421" s="414"/>
      <c r="J421" s="425"/>
      <c r="K421" s="426"/>
      <c r="L421" s="427"/>
    </row>
    <row r="422" spans="1:12" ht="12.75">
      <c r="A422" s="433"/>
      <c r="B422" s="434"/>
      <c r="C422" s="434"/>
      <c r="D422" s="434"/>
      <c r="E422" s="424"/>
      <c r="F422" s="414"/>
      <c r="G422" s="414"/>
      <c r="H422" s="414"/>
      <c r="I422" s="414"/>
      <c r="J422" s="425"/>
      <c r="K422" s="426"/>
      <c r="L422" s="427"/>
    </row>
    <row r="423" spans="1:12" ht="12.75">
      <c r="A423" s="433"/>
      <c r="B423" s="434"/>
      <c r="C423" s="434"/>
      <c r="D423" s="434"/>
      <c r="E423" s="424"/>
      <c r="F423" s="414"/>
      <c r="G423" s="414"/>
      <c r="H423" s="414"/>
      <c r="I423" s="414"/>
      <c r="J423" s="425"/>
      <c r="K423" s="426"/>
      <c r="L423" s="427"/>
    </row>
    <row r="424" spans="1:12" ht="12.75">
      <c r="A424" s="433"/>
      <c r="B424" s="434"/>
      <c r="C424" s="434"/>
      <c r="D424" s="434"/>
      <c r="E424" s="424"/>
      <c r="F424" s="414"/>
      <c r="G424" s="414"/>
      <c r="H424" s="414"/>
      <c r="I424" s="414"/>
      <c r="J424" s="425"/>
      <c r="K424" s="426"/>
      <c r="L424" s="427"/>
    </row>
    <row r="425" spans="1:12" ht="12.75">
      <c r="A425" s="433"/>
      <c r="B425" s="434"/>
      <c r="C425" s="434"/>
      <c r="D425" s="434"/>
      <c r="E425" s="424"/>
      <c r="F425" s="414"/>
      <c r="G425" s="414"/>
      <c r="H425" s="414"/>
      <c r="I425" s="414"/>
      <c r="J425" s="425"/>
      <c r="K425" s="426"/>
      <c r="L425" s="427"/>
    </row>
    <row r="426" spans="1:12" ht="12.75">
      <c r="A426" s="433"/>
      <c r="B426" s="434"/>
      <c r="C426" s="434"/>
      <c r="D426" s="434"/>
      <c r="E426" s="424"/>
      <c r="F426" s="414"/>
      <c r="G426" s="414"/>
      <c r="H426" s="414"/>
      <c r="I426" s="414"/>
      <c r="J426" s="425"/>
      <c r="K426" s="426"/>
      <c r="L426" s="427"/>
    </row>
    <row r="427" spans="1:12" ht="12.75">
      <c r="A427" s="433"/>
      <c r="B427" s="434"/>
      <c r="C427" s="434"/>
      <c r="D427" s="434"/>
      <c r="E427" s="424"/>
      <c r="F427" s="414"/>
      <c r="G427" s="414"/>
      <c r="H427" s="414"/>
      <c r="I427" s="414"/>
      <c r="J427" s="425"/>
      <c r="K427" s="426"/>
      <c r="L427" s="427"/>
    </row>
    <row r="428" spans="1:12" ht="12.75">
      <c r="A428" s="433"/>
      <c r="B428" s="434"/>
      <c r="C428" s="434"/>
      <c r="D428" s="434"/>
      <c r="E428" s="424"/>
      <c r="F428" s="414"/>
      <c r="G428" s="414"/>
      <c r="H428" s="414"/>
      <c r="I428" s="414"/>
      <c r="J428" s="425"/>
      <c r="K428" s="426"/>
      <c r="L428" s="427"/>
    </row>
    <row r="429" spans="1:12" ht="12.75">
      <c r="A429" s="433"/>
      <c r="B429" s="434"/>
      <c r="C429" s="434"/>
      <c r="D429" s="434"/>
      <c r="E429" s="424"/>
      <c r="F429" s="414"/>
      <c r="G429" s="414"/>
      <c r="H429" s="414"/>
      <c r="I429" s="414"/>
      <c r="J429" s="425"/>
      <c r="K429" s="426"/>
      <c r="L429" s="427"/>
    </row>
    <row r="430" spans="1:12" ht="12.75">
      <c r="A430" s="433"/>
      <c r="B430" s="434"/>
      <c r="C430" s="434"/>
      <c r="D430" s="434"/>
      <c r="E430" s="424"/>
      <c r="F430" s="414"/>
      <c r="G430" s="414"/>
      <c r="H430" s="414"/>
      <c r="I430" s="414"/>
      <c r="J430" s="425"/>
      <c r="K430" s="426"/>
      <c r="L430" s="427"/>
    </row>
    <row r="431" spans="1:12" ht="12.75">
      <c r="A431" s="433"/>
      <c r="B431" s="434"/>
      <c r="C431" s="434"/>
      <c r="D431" s="434"/>
      <c r="E431" s="424"/>
      <c r="F431" s="414"/>
      <c r="G431" s="414"/>
      <c r="H431" s="414"/>
      <c r="I431" s="414"/>
      <c r="J431" s="425"/>
      <c r="K431" s="426"/>
      <c r="L431" s="427"/>
    </row>
    <row r="432" spans="1:12" ht="12.75">
      <c r="A432" s="433"/>
      <c r="B432" s="434"/>
      <c r="C432" s="434"/>
      <c r="D432" s="434"/>
      <c r="E432" s="424"/>
      <c r="F432" s="414"/>
      <c r="G432" s="414"/>
      <c r="H432" s="414"/>
      <c r="I432" s="414"/>
      <c r="J432" s="425"/>
      <c r="K432" s="426"/>
      <c r="L432" s="427"/>
    </row>
    <row r="433" spans="1:12" ht="12.75">
      <c r="A433" s="433"/>
      <c r="B433" s="434"/>
      <c r="C433" s="434"/>
      <c r="D433" s="434"/>
      <c r="E433" s="424"/>
      <c r="F433" s="414"/>
      <c r="G433" s="414"/>
      <c r="H433" s="414"/>
      <c r="I433" s="414"/>
      <c r="J433" s="425"/>
      <c r="K433" s="426"/>
      <c r="L433" s="427"/>
    </row>
    <row r="434" spans="1:12" ht="12.75">
      <c r="A434" s="433"/>
      <c r="B434" s="434"/>
      <c r="C434" s="434"/>
      <c r="D434" s="434"/>
      <c r="E434" s="424"/>
      <c r="F434" s="414"/>
      <c r="G434" s="414"/>
      <c r="H434" s="414"/>
      <c r="I434" s="414"/>
      <c r="J434" s="425"/>
      <c r="K434" s="426"/>
      <c r="L434" s="427"/>
    </row>
    <row r="435" spans="1:12" ht="12.75">
      <c r="A435" s="433"/>
      <c r="B435" s="434"/>
      <c r="C435" s="434"/>
      <c r="D435" s="434"/>
      <c r="E435" s="424"/>
      <c r="F435" s="414"/>
      <c r="G435" s="414"/>
      <c r="H435" s="414"/>
      <c r="I435" s="414"/>
      <c r="J435" s="425"/>
      <c r="K435" s="426"/>
      <c r="L435" s="427"/>
    </row>
    <row r="436" spans="1:12" ht="12.75">
      <c r="A436" s="433"/>
      <c r="B436" s="434"/>
      <c r="C436" s="434"/>
      <c r="D436" s="434"/>
      <c r="E436" s="424"/>
      <c r="F436" s="414"/>
      <c r="G436" s="414"/>
      <c r="H436" s="414"/>
      <c r="I436" s="414"/>
      <c r="J436" s="425"/>
      <c r="K436" s="426"/>
      <c r="L436" s="427"/>
    </row>
    <row r="437" spans="1:12" ht="12.75">
      <c r="A437" s="433"/>
      <c r="B437" s="434"/>
      <c r="C437" s="434"/>
      <c r="D437" s="434"/>
      <c r="E437" s="424"/>
      <c r="F437" s="414"/>
      <c r="G437" s="414"/>
      <c r="H437" s="414"/>
      <c r="I437" s="414"/>
      <c r="J437" s="425"/>
      <c r="K437" s="426"/>
      <c r="L437" s="427"/>
    </row>
    <row r="438" spans="1:12" ht="12.75">
      <c r="A438" s="433"/>
      <c r="B438" s="434"/>
      <c r="C438" s="434"/>
      <c r="D438" s="434"/>
      <c r="E438" s="424"/>
      <c r="F438" s="414"/>
      <c r="G438" s="414"/>
      <c r="H438" s="414"/>
      <c r="I438" s="414"/>
      <c r="J438" s="425"/>
      <c r="K438" s="426"/>
      <c r="L438" s="427"/>
    </row>
    <row r="439" spans="1:12" ht="12.75">
      <c r="A439" s="433"/>
      <c r="B439" s="434"/>
      <c r="C439" s="434"/>
      <c r="D439" s="434"/>
      <c r="E439" s="424"/>
      <c r="F439" s="414"/>
      <c r="G439" s="414"/>
      <c r="H439" s="414"/>
      <c r="I439" s="414"/>
      <c r="J439" s="425"/>
      <c r="K439" s="426"/>
      <c r="L439" s="427"/>
    </row>
    <row r="440" spans="1:12" ht="12.75">
      <c r="A440" s="433"/>
      <c r="B440" s="434"/>
      <c r="C440" s="434"/>
      <c r="D440" s="434"/>
      <c r="E440" s="424"/>
      <c r="F440" s="414"/>
      <c r="G440" s="414"/>
      <c r="H440" s="414"/>
      <c r="I440" s="414"/>
      <c r="J440" s="425"/>
      <c r="K440" s="426"/>
      <c r="L440" s="427"/>
    </row>
    <row r="441" spans="1:12" ht="12.75">
      <c r="A441" s="433"/>
      <c r="B441" s="434"/>
      <c r="C441" s="434"/>
      <c r="D441" s="434"/>
      <c r="E441" s="424"/>
      <c r="F441" s="414"/>
      <c r="G441" s="414"/>
      <c r="H441" s="414"/>
      <c r="I441" s="414"/>
      <c r="J441" s="425"/>
      <c r="K441" s="426"/>
      <c r="L441" s="427"/>
    </row>
    <row r="442" spans="1:12" ht="12.75">
      <c r="A442" s="433"/>
      <c r="B442" s="434"/>
      <c r="C442" s="434"/>
      <c r="D442" s="434"/>
      <c r="E442" s="424"/>
      <c r="F442" s="414"/>
      <c r="G442" s="414"/>
      <c r="H442" s="414"/>
      <c r="I442" s="414"/>
      <c r="J442" s="425"/>
      <c r="K442" s="426"/>
      <c r="L442" s="427"/>
    </row>
    <row r="443" spans="1:12" ht="12.75">
      <c r="A443" s="433"/>
      <c r="B443" s="434"/>
      <c r="C443" s="434"/>
      <c r="D443" s="434"/>
      <c r="E443" s="424"/>
      <c r="F443" s="414"/>
      <c r="G443" s="414"/>
      <c r="H443" s="414"/>
      <c r="I443" s="414"/>
      <c r="J443" s="425"/>
      <c r="K443" s="426"/>
      <c r="L443" s="427"/>
    </row>
    <row r="444" spans="1:12" ht="12.75">
      <c r="A444" s="433"/>
      <c r="B444" s="434"/>
      <c r="C444" s="434"/>
      <c r="D444" s="434"/>
      <c r="E444" s="424"/>
      <c r="F444" s="414"/>
      <c r="G444" s="414"/>
      <c r="H444" s="414"/>
      <c r="I444" s="414"/>
      <c r="J444" s="425"/>
      <c r="K444" s="426"/>
      <c r="L444" s="427"/>
    </row>
    <row r="445" spans="1:12" ht="12.75">
      <c r="A445" s="433"/>
      <c r="B445" s="434"/>
      <c r="C445" s="434"/>
      <c r="D445" s="434"/>
      <c r="E445" s="424"/>
      <c r="F445" s="414"/>
      <c r="G445" s="414"/>
      <c r="H445" s="414"/>
      <c r="I445" s="414"/>
      <c r="J445" s="425"/>
      <c r="K445" s="426"/>
      <c r="L445" s="427"/>
    </row>
    <row r="446" spans="1:12" ht="12.75">
      <c r="A446" s="433"/>
      <c r="B446" s="434"/>
      <c r="C446" s="434"/>
      <c r="D446" s="434"/>
      <c r="E446" s="424"/>
      <c r="F446" s="414"/>
      <c r="G446" s="414"/>
      <c r="H446" s="414"/>
      <c r="I446" s="414"/>
      <c r="J446" s="425"/>
      <c r="K446" s="426"/>
      <c r="L446" s="427"/>
    </row>
    <row r="447" spans="1:12" ht="12.75">
      <c r="A447" s="433"/>
      <c r="B447" s="434"/>
      <c r="C447" s="434"/>
      <c r="D447" s="434"/>
      <c r="E447" s="424"/>
      <c r="F447" s="414"/>
      <c r="G447" s="414"/>
      <c r="H447" s="414"/>
      <c r="I447" s="414"/>
      <c r="J447" s="425"/>
      <c r="K447" s="426"/>
      <c r="L447" s="427"/>
    </row>
    <row r="448" spans="1:12" ht="12.75">
      <c r="A448" s="433"/>
      <c r="B448" s="434"/>
      <c r="C448" s="434"/>
      <c r="D448" s="434"/>
      <c r="E448" s="424"/>
      <c r="F448" s="414"/>
      <c r="G448" s="414"/>
      <c r="H448" s="414"/>
      <c r="I448" s="414"/>
      <c r="J448" s="425"/>
      <c r="K448" s="426"/>
      <c r="L448" s="427"/>
    </row>
    <row r="449" spans="1:12" ht="12.75">
      <c r="A449" s="433"/>
      <c r="B449" s="434"/>
      <c r="C449" s="434"/>
      <c r="D449" s="434"/>
      <c r="E449" s="424"/>
      <c r="F449" s="414"/>
      <c r="G449" s="414"/>
      <c r="H449" s="414"/>
      <c r="I449" s="414"/>
      <c r="J449" s="425"/>
      <c r="K449" s="426"/>
      <c r="L449" s="427"/>
    </row>
    <row r="450" spans="1:12" ht="12.75">
      <c r="A450" s="433"/>
      <c r="B450" s="434"/>
      <c r="C450" s="434"/>
      <c r="D450" s="434"/>
      <c r="E450" s="424"/>
      <c r="F450" s="414"/>
      <c r="G450" s="414"/>
      <c r="H450" s="414"/>
      <c r="I450" s="414"/>
      <c r="J450" s="425"/>
      <c r="K450" s="426"/>
      <c r="L450" s="427"/>
    </row>
    <row r="451" spans="1:12" ht="12.75">
      <c r="A451" s="433"/>
      <c r="B451" s="434"/>
      <c r="C451" s="434"/>
      <c r="D451" s="434"/>
      <c r="E451" s="424"/>
      <c r="F451" s="414"/>
      <c r="G451" s="414"/>
      <c r="H451" s="414"/>
      <c r="I451" s="414"/>
      <c r="J451" s="425"/>
      <c r="K451" s="426"/>
      <c r="L451" s="427"/>
    </row>
    <row r="452" spans="1:12" ht="12.75">
      <c r="A452" s="433"/>
      <c r="B452" s="434"/>
      <c r="C452" s="434"/>
      <c r="D452" s="434"/>
      <c r="E452" s="424"/>
      <c r="F452" s="414"/>
      <c r="G452" s="414"/>
      <c r="H452" s="414"/>
      <c r="I452" s="414"/>
      <c r="J452" s="425"/>
      <c r="K452" s="426"/>
      <c r="L452" s="427"/>
    </row>
    <row r="453" spans="1:12" ht="12.75">
      <c r="A453" s="433"/>
      <c r="B453" s="434"/>
      <c r="C453" s="434"/>
      <c r="D453" s="434"/>
      <c r="E453" s="424"/>
      <c r="F453" s="414"/>
      <c r="G453" s="414"/>
      <c r="H453" s="414"/>
      <c r="I453" s="414"/>
      <c r="J453" s="425"/>
      <c r="K453" s="426"/>
      <c r="L453" s="427"/>
    </row>
    <row r="454" spans="1:12" ht="12.75">
      <c r="A454" s="433"/>
      <c r="B454" s="434"/>
      <c r="C454" s="434"/>
      <c r="D454" s="434"/>
      <c r="E454" s="424"/>
      <c r="F454" s="414"/>
      <c r="G454" s="414"/>
      <c r="H454" s="414"/>
      <c r="I454" s="414"/>
      <c r="J454" s="425"/>
      <c r="K454" s="426"/>
      <c r="L454" s="427"/>
    </row>
    <row r="455" spans="1:12" ht="12.75">
      <c r="A455" s="433"/>
      <c r="B455" s="434"/>
      <c r="C455" s="434"/>
      <c r="D455" s="434"/>
      <c r="E455" s="424"/>
      <c r="F455" s="414"/>
      <c r="G455" s="414"/>
      <c r="H455" s="414"/>
      <c r="I455" s="414"/>
      <c r="J455" s="425"/>
      <c r="K455" s="426"/>
      <c r="L455" s="427"/>
    </row>
    <row r="456" spans="1:12" ht="12.75">
      <c r="A456" s="433"/>
      <c r="B456" s="434"/>
      <c r="C456" s="434"/>
      <c r="D456" s="434"/>
      <c r="E456" s="424"/>
      <c r="F456" s="414"/>
      <c r="G456" s="414"/>
      <c r="H456" s="414"/>
      <c r="I456" s="414"/>
      <c r="J456" s="425"/>
      <c r="K456" s="426"/>
      <c r="L456" s="427"/>
    </row>
    <row r="457" spans="1:12" ht="12.75">
      <c r="A457" s="433"/>
      <c r="B457" s="434"/>
      <c r="C457" s="434"/>
      <c r="D457" s="434"/>
      <c r="E457" s="424"/>
      <c r="F457" s="414"/>
      <c r="G457" s="414"/>
      <c r="H457" s="414"/>
      <c r="I457" s="414"/>
      <c r="J457" s="425"/>
      <c r="K457" s="426"/>
      <c r="L457" s="427"/>
    </row>
    <row r="458" spans="1:12" ht="12.75">
      <c r="A458" s="433"/>
      <c r="B458" s="434"/>
      <c r="C458" s="434"/>
      <c r="D458" s="434"/>
      <c r="E458" s="424"/>
      <c r="F458" s="414"/>
      <c r="G458" s="414"/>
      <c r="H458" s="414"/>
      <c r="I458" s="414"/>
      <c r="J458" s="425"/>
      <c r="K458" s="426"/>
      <c r="L458" s="427"/>
    </row>
    <row r="459" spans="1:12" ht="12.75">
      <c r="A459" s="433"/>
      <c r="B459" s="434"/>
      <c r="C459" s="434"/>
      <c r="D459" s="434"/>
      <c r="E459" s="424"/>
      <c r="F459" s="414"/>
      <c r="G459" s="414"/>
      <c r="H459" s="414"/>
      <c r="I459" s="414"/>
      <c r="J459" s="425"/>
      <c r="K459" s="426"/>
      <c r="L459" s="427"/>
    </row>
    <row r="460" spans="1:12" ht="12.75">
      <c r="A460" s="433"/>
      <c r="B460" s="434"/>
      <c r="C460" s="434"/>
      <c r="D460" s="434"/>
      <c r="E460" s="424"/>
      <c r="F460" s="414"/>
      <c r="G460" s="414"/>
      <c r="H460" s="414"/>
      <c r="I460" s="414"/>
      <c r="J460" s="425"/>
      <c r="K460" s="426"/>
      <c r="L460" s="427"/>
    </row>
    <row r="461" spans="1:12" ht="12.75">
      <c r="A461" s="433"/>
      <c r="B461" s="434"/>
      <c r="C461" s="434"/>
      <c r="D461" s="434"/>
      <c r="E461" s="424"/>
      <c r="F461" s="414"/>
      <c r="G461" s="414"/>
      <c r="H461" s="414"/>
      <c r="I461" s="414"/>
      <c r="J461" s="425"/>
      <c r="K461" s="426"/>
      <c r="L461" s="427"/>
    </row>
    <row r="462" spans="1:12" ht="12.75">
      <c r="A462" s="433"/>
      <c r="B462" s="434"/>
      <c r="C462" s="434"/>
      <c r="D462" s="434"/>
      <c r="E462" s="424"/>
      <c r="F462" s="414"/>
      <c r="G462" s="414"/>
      <c r="H462" s="414"/>
      <c r="I462" s="414"/>
      <c r="J462" s="425"/>
      <c r="K462" s="426"/>
      <c r="L462" s="427"/>
    </row>
    <row r="463" spans="1:12" ht="12.75">
      <c r="A463" s="433"/>
      <c r="B463" s="434"/>
      <c r="C463" s="434"/>
      <c r="D463" s="434"/>
      <c r="E463" s="424"/>
      <c r="F463" s="414"/>
      <c r="G463" s="414"/>
      <c r="H463" s="414"/>
      <c r="I463" s="414"/>
      <c r="J463" s="425"/>
      <c r="K463" s="426"/>
      <c r="L463" s="427"/>
    </row>
    <row r="464" spans="1:12" ht="12.75">
      <c r="A464" s="433"/>
      <c r="B464" s="434"/>
      <c r="C464" s="434"/>
      <c r="D464" s="434"/>
      <c r="E464" s="424"/>
      <c r="F464" s="414"/>
      <c r="G464" s="414"/>
      <c r="H464" s="414"/>
      <c r="I464" s="414"/>
      <c r="J464" s="425"/>
      <c r="K464" s="426"/>
      <c r="L464" s="427"/>
    </row>
    <row r="465" spans="1:12" ht="12.75">
      <c r="A465" s="433"/>
      <c r="B465" s="434"/>
      <c r="C465" s="434"/>
      <c r="D465" s="434"/>
      <c r="E465" s="424"/>
      <c r="F465" s="414"/>
      <c r="G465" s="414"/>
      <c r="H465" s="414"/>
      <c r="I465" s="414"/>
      <c r="J465" s="425"/>
      <c r="K465" s="426"/>
      <c r="L465" s="427"/>
    </row>
    <row r="466" spans="1:12" ht="12.75">
      <c r="A466" s="433"/>
      <c r="B466" s="434"/>
      <c r="C466" s="434"/>
      <c r="D466" s="434"/>
      <c r="E466" s="424"/>
      <c r="F466" s="414"/>
      <c r="G466" s="414"/>
      <c r="H466" s="414"/>
      <c r="I466" s="414"/>
      <c r="J466" s="425"/>
      <c r="K466" s="426"/>
      <c r="L466" s="427"/>
    </row>
    <row r="467" spans="1:12" ht="12.75">
      <c r="A467" s="433"/>
      <c r="B467" s="434"/>
      <c r="C467" s="434"/>
      <c r="D467" s="434"/>
      <c r="E467" s="424"/>
      <c r="F467" s="414"/>
      <c r="G467" s="414"/>
      <c r="H467" s="414"/>
      <c r="I467" s="414"/>
      <c r="J467" s="425"/>
      <c r="K467" s="426"/>
      <c r="L467" s="427"/>
    </row>
    <row r="468" spans="1:12" ht="12.75">
      <c r="A468" s="433"/>
      <c r="B468" s="434"/>
      <c r="C468" s="434"/>
      <c r="D468" s="434"/>
      <c r="E468" s="424"/>
      <c r="F468" s="414"/>
      <c r="G468" s="414"/>
      <c r="H468" s="414"/>
      <c r="I468" s="414"/>
      <c r="J468" s="425"/>
      <c r="K468" s="426"/>
      <c r="L468" s="427"/>
    </row>
    <row r="469" spans="1:12" ht="12.75">
      <c r="A469" s="433"/>
      <c r="B469" s="434"/>
      <c r="C469" s="434"/>
      <c r="D469" s="434"/>
      <c r="E469" s="424"/>
      <c r="F469" s="414"/>
      <c r="G469" s="414"/>
      <c r="H469" s="414"/>
      <c r="I469" s="414"/>
      <c r="J469" s="425"/>
      <c r="K469" s="426"/>
      <c r="L469" s="427"/>
    </row>
    <row r="470" spans="1:12" ht="12.75">
      <c r="A470" s="433"/>
      <c r="B470" s="434"/>
      <c r="C470" s="434"/>
      <c r="D470" s="434"/>
      <c r="E470" s="424"/>
      <c r="F470" s="414"/>
      <c r="G470" s="414"/>
      <c r="H470" s="414"/>
      <c r="I470" s="414"/>
      <c r="J470" s="425"/>
      <c r="K470" s="426"/>
      <c r="L470" s="427"/>
    </row>
    <row r="471" spans="1:12" ht="12.75">
      <c r="A471" s="433"/>
      <c r="B471" s="434"/>
      <c r="C471" s="434"/>
      <c r="D471" s="434"/>
      <c r="E471" s="424"/>
      <c r="F471" s="414"/>
      <c r="G471" s="414"/>
      <c r="H471" s="414"/>
      <c r="I471" s="414"/>
      <c r="J471" s="425"/>
      <c r="K471" s="426"/>
      <c r="L471" s="427"/>
    </row>
    <row r="472" spans="1:12" ht="12.75">
      <c r="A472" s="433"/>
      <c r="B472" s="434"/>
      <c r="C472" s="434"/>
      <c r="D472" s="434"/>
      <c r="E472" s="424"/>
      <c r="F472" s="414"/>
      <c r="G472" s="414"/>
      <c r="H472" s="414"/>
      <c r="I472" s="414"/>
      <c r="J472" s="425"/>
      <c r="K472" s="426"/>
      <c r="L472" s="427"/>
    </row>
    <row r="473" spans="1:12" ht="12.75">
      <c r="A473" s="433"/>
      <c r="B473" s="434"/>
      <c r="C473" s="434"/>
      <c r="D473" s="434"/>
      <c r="E473" s="424"/>
      <c r="F473" s="414"/>
      <c r="G473" s="414"/>
      <c r="H473" s="414"/>
      <c r="I473" s="414"/>
      <c r="J473" s="425"/>
      <c r="K473" s="426"/>
      <c r="L473" s="427"/>
    </row>
    <row r="474" spans="1:12" ht="12.75">
      <c r="A474" s="433"/>
      <c r="B474" s="434"/>
      <c r="C474" s="434"/>
      <c r="D474" s="434"/>
      <c r="E474" s="424"/>
      <c r="F474" s="414"/>
      <c r="G474" s="414"/>
      <c r="H474" s="414"/>
      <c r="I474" s="414"/>
      <c r="J474" s="425"/>
      <c r="K474" s="426"/>
      <c r="L474" s="427"/>
    </row>
    <row r="475" spans="1:12" ht="12.75">
      <c r="A475" s="433"/>
      <c r="B475" s="434"/>
      <c r="C475" s="434"/>
      <c r="D475" s="434"/>
      <c r="E475" s="424"/>
      <c r="F475" s="414"/>
      <c r="G475" s="414"/>
      <c r="H475" s="414"/>
      <c r="I475" s="414"/>
      <c r="J475" s="425"/>
      <c r="K475" s="426"/>
      <c r="L475" s="427"/>
    </row>
    <row r="476" spans="1:12" ht="12.75">
      <c r="A476" s="433"/>
      <c r="B476" s="434"/>
      <c r="C476" s="434"/>
      <c r="D476" s="434"/>
      <c r="E476" s="424"/>
      <c r="F476" s="414"/>
      <c r="G476" s="414"/>
      <c r="H476" s="414"/>
      <c r="I476" s="414"/>
      <c r="J476" s="425"/>
      <c r="K476" s="426"/>
      <c r="L476" s="427"/>
    </row>
    <row r="477" spans="1:12" ht="12.75">
      <c r="A477" s="433"/>
      <c r="B477" s="434"/>
      <c r="C477" s="434"/>
      <c r="D477" s="434"/>
      <c r="E477" s="424"/>
      <c r="F477" s="414"/>
      <c r="G477" s="414"/>
      <c r="H477" s="414"/>
      <c r="I477" s="414"/>
      <c r="J477" s="425"/>
      <c r="K477" s="426"/>
      <c r="L477" s="427"/>
    </row>
    <row r="478" spans="1:12" ht="12.75">
      <c r="A478" s="433"/>
      <c r="B478" s="434"/>
      <c r="C478" s="434"/>
      <c r="D478" s="434"/>
      <c r="E478" s="424"/>
      <c r="F478" s="414"/>
      <c r="G478" s="414"/>
      <c r="H478" s="414"/>
      <c r="I478" s="414"/>
      <c r="J478" s="425"/>
      <c r="K478" s="426"/>
      <c r="L478" s="427"/>
    </row>
    <row r="479" spans="1:12" ht="12.75">
      <c r="A479" s="433"/>
      <c r="B479" s="434"/>
      <c r="C479" s="434"/>
      <c r="D479" s="434"/>
      <c r="E479" s="424"/>
      <c r="F479" s="414"/>
      <c r="G479" s="414"/>
      <c r="H479" s="414"/>
      <c r="I479" s="414"/>
      <c r="J479" s="425"/>
      <c r="K479" s="426"/>
      <c r="L479" s="427"/>
    </row>
    <row r="480" spans="1:12" ht="12.75">
      <c r="A480" s="433"/>
      <c r="B480" s="434"/>
      <c r="C480" s="434"/>
      <c r="D480" s="434"/>
      <c r="E480" s="424"/>
      <c r="F480" s="414"/>
      <c r="G480" s="414"/>
      <c r="H480" s="414"/>
      <c r="I480" s="414"/>
      <c r="J480" s="425"/>
      <c r="K480" s="426"/>
      <c r="L480" s="427"/>
    </row>
    <row r="481" spans="1:12" ht="12.75">
      <c r="A481" s="433"/>
      <c r="B481" s="434"/>
      <c r="C481" s="434"/>
      <c r="D481" s="434"/>
      <c r="E481" s="424"/>
      <c r="F481" s="414"/>
      <c r="G481" s="414"/>
      <c r="H481" s="414"/>
      <c r="I481" s="414"/>
      <c r="J481" s="425"/>
      <c r="K481" s="426"/>
      <c r="L481" s="427"/>
    </row>
    <row r="482" spans="1:12" ht="12.75">
      <c r="A482" s="433"/>
      <c r="B482" s="434"/>
      <c r="C482" s="434"/>
      <c r="D482" s="434"/>
      <c r="E482" s="424"/>
      <c r="F482" s="414"/>
      <c r="G482" s="414"/>
      <c r="H482" s="414"/>
      <c r="I482" s="414"/>
      <c r="J482" s="425"/>
      <c r="K482" s="426"/>
      <c r="L482" s="427"/>
    </row>
    <row r="483" spans="1:12" ht="12.75">
      <c r="A483" s="433"/>
      <c r="B483" s="434"/>
      <c r="C483" s="434"/>
      <c r="D483" s="434"/>
      <c r="E483" s="424"/>
      <c r="F483" s="414"/>
      <c r="G483" s="414"/>
      <c r="H483" s="414"/>
      <c r="I483" s="414"/>
      <c r="J483" s="425"/>
      <c r="K483" s="426"/>
      <c r="L483" s="427"/>
    </row>
    <row r="484" spans="1:12" ht="12.75">
      <c r="A484" s="433"/>
      <c r="B484" s="434"/>
      <c r="C484" s="434"/>
      <c r="D484" s="434"/>
      <c r="E484" s="424"/>
      <c r="F484" s="414"/>
      <c r="G484" s="414"/>
      <c r="H484" s="414"/>
      <c r="I484" s="414"/>
      <c r="J484" s="425"/>
      <c r="K484" s="426"/>
      <c r="L484" s="427"/>
    </row>
    <row r="485" spans="1:12" ht="12.75">
      <c r="A485" s="433"/>
      <c r="B485" s="434"/>
      <c r="C485" s="434"/>
      <c r="D485" s="434"/>
      <c r="E485" s="424"/>
      <c r="F485" s="414"/>
      <c r="G485" s="414"/>
      <c r="H485" s="414"/>
      <c r="I485" s="414"/>
      <c r="J485" s="425"/>
      <c r="K485" s="426"/>
      <c r="L485" s="427"/>
    </row>
    <row r="486" spans="1:12" ht="12.75">
      <c r="A486" s="433"/>
      <c r="B486" s="434"/>
      <c r="C486" s="434"/>
      <c r="D486" s="434"/>
      <c r="E486" s="424"/>
      <c r="F486" s="414"/>
      <c r="G486" s="414"/>
      <c r="H486" s="414"/>
      <c r="I486" s="414"/>
      <c r="J486" s="425"/>
      <c r="K486" s="426"/>
      <c r="L486" s="427"/>
    </row>
    <row r="487" spans="1:12" ht="12.75">
      <c r="A487" s="433"/>
      <c r="B487" s="434"/>
      <c r="C487" s="434"/>
      <c r="D487" s="434"/>
      <c r="E487" s="424"/>
      <c r="F487" s="414"/>
      <c r="G487" s="414"/>
      <c r="H487" s="414"/>
      <c r="I487" s="414"/>
      <c r="J487" s="425"/>
      <c r="K487" s="426"/>
      <c r="L487" s="427"/>
    </row>
    <row r="488" spans="1:12" ht="12.75">
      <c r="A488" s="433"/>
      <c r="B488" s="434"/>
      <c r="C488" s="434"/>
      <c r="D488" s="434"/>
      <c r="E488" s="424"/>
      <c r="F488" s="414"/>
      <c r="G488" s="414"/>
      <c r="H488" s="414"/>
      <c r="I488" s="414"/>
      <c r="J488" s="425"/>
      <c r="K488" s="426"/>
      <c r="L488" s="427"/>
    </row>
    <row r="489" spans="1:12" ht="12.75">
      <c r="A489" s="433"/>
      <c r="B489" s="434"/>
      <c r="C489" s="434"/>
      <c r="D489" s="434"/>
      <c r="E489" s="424"/>
      <c r="F489" s="414"/>
      <c r="G489" s="414"/>
      <c r="H489" s="414"/>
      <c r="I489" s="414"/>
      <c r="J489" s="425"/>
      <c r="K489" s="426"/>
      <c r="L489" s="427"/>
    </row>
    <row r="490" spans="1:12" ht="12.75">
      <c r="A490" s="433"/>
      <c r="B490" s="434"/>
      <c r="C490" s="434"/>
      <c r="D490" s="434"/>
      <c r="E490" s="424"/>
      <c r="F490" s="414"/>
      <c r="G490" s="414"/>
      <c r="H490" s="414"/>
      <c r="I490" s="414"/>
      <c r="J490" s="425"/>
      <c r="K490" s="426"/>
      <c r="L490" s="427"/>
    </row>
    <row r="491" spans="1:12" ht="12.75">
      <c r="A491" s="433"/>
      <c r="B491" s="434"/>
      <c r="C491" s="434"/>
      <c r="D491" s="434"/>
      <c r="E491" s="424"/>
      <c r="F491" s="414"/>
      <c r="G491" s="414"/>
      <c r="H491" s="414"/>
      <c r="I491" s="414"/>
      <c r="J491" s="425"/>
      <c r="K491" s="426"/>
      <c r="L491" s="427"/>
    </row>
    <row r="492" spans="1:12" ht="12.75">
      <c r="A492" s="433"/>
      <c r="B492" s="434"/>
      <c r="C492" s="434"/>
      <c r="D492" s="434"/>
      <c r="E492" s="424"/>
      <c r="F492" s="414"/>
      <c r="G492" s="414"/>
      <c r="H492" s="414"/>
      <c r="I492" s="414"/>
      <c r="J492" s="425"/>
      <c r="K492" s="426"/>
      <c r="L492" s="427"/>
    </row>
    <row r="493" spans="1:12" ht="12.75">
      <c r="A493" s="433"/>
      <c r="B493" s="434"/>
      <c r="C493" s="434"/>
      <c r="D493" s="434"/>
      <c r="E493" s="424"/>
      <c r="F493" s="414"/>
      <c r="G493" s="414"/>
      <c r="H493" s="414"/>
      <c r="I493" s="414"/>
      <c r="J493" s="425"/>
      <c r="K493" s="426"/>
      <c r="L493" s="427"/>
    </row>
    <row r="494" spans="1:12" ht="12.75">
      <c r="A494" s="433"/>
      <c r="B494" s="434"/>
      <c r="C494" s="434"/>
      <c r="D494" s="434"/>
      <c r="E494" s="424"/>
      <c r="F494" s="414"/>
      <c r="G494" s="414"/>
      <c r="H494" s="414"/>
      <c r="I494" s="414"/>
      <c r="J494" s="425"/>
      <c r="K494" s="426"/>
      <c r="L494" s="427"/>
    </row>
    <row r="495" spans="1:12" ht="12.75">
      <c r="A495" s="433"/>
      <c r="B495" s="434"/>
      <c r="C495" s="434"/>
      <c r="D495" s="434"/>
      <c r="E495" s="424"/>
      <c r="F495" s="414"/>
      <c r="G495" s="414"/>
      <c r="H495" s="414"/>
      <c r="I495" s="414"/>
      <c r="J495" s="425"/>
      <c r="K495" s="426"/>
      <c r="L495" s="427"/>
    </row>
    <row r="496" spans="1:12" ht="12.75">
      <c r="A496" s="433"/>
      <c r="B496" s="434"/>
      <c r="C496" s="434"/>
      <c r="D496" s="434"/>
      <c r="E496" s="424"/>
      <c r="F496" s="414"/>
      <c r="G496" s="414"/>
      <c r="H496" s="414"/>
      <c r="I496" s="414"/>
      <c r="J496" s="425"/>
      <c r="K496" s="426"/>
      <c r="L496" s="427"/>
    </row>
    <row r="497" spans="1:12" ht="12.75">
      <c r="A497" s="433"/>
      <c r="B497" s="434"/>
      <c r="C497" s="434"/>
      <c r="D497" s="434"/>
      <c r="E497" s="424"/>
      <c r="F497" s="414"/>
      <c r="G497" s="414"/>
      <c r="H497" s="414"/>
      <c r="I497" s="414"/>
      <c r="J497" s="425"/>
      <c r="K497" s="426"/>
      <c r="L497" s="427"/>
    </row>
    <row r="498" spans="1:12" ht="12.75">
      <c r="A498" s="433"/>
      <c r="B498" s="434"/>
      <c r="C498" s="434"/>
      <c r="D498" s="434"/>
      <c r="E498" s="424"/>
      <c r="F498" s="414"/>
      <c r="G498" s="414"/>
      <c r="H498" s="414"/>
      <c r="I498" s="414"/>
      <c r="J498" s="425"/>
      <c r="K498" s="426"/>
      <c r="L498" s="427"/>
    </row>
    <row r="499" spans="1:12" ht="12.75">
      <c r="A499" s="433"/>
      <c r="B499" s="434"/>
      <c r="C499" s="434"/>
      <c r="D499" s="434"/>
      <c r="E499" s="424"/>
      <c r="F499" s="414"/>
      <c r="G499" s="414"/>
      <c r="H499" s="414"/>
      <c r="I499" s="414"/>
      <c r="J499" s="425"/>
      <c r="K499" s="426"/>
      <c r="L499" s="427"/>
    </row>
    <row r="500" spans="1:12" ht="12.75">
      <c r="A500" s="433"/>
      <c r="B500" s="434"/>
      <c r="C500" s="434"/>
      <c r="D500" s="434"/>
      <c r="E500" s="424"/>
      <c r="F500" s="414"/>
      <c r="G500" s="414"/>
      <c r="H500" s="414"/>
      <c r="I500" s="414"/>
      <c r="J500" s="425"/>
      <c r="K500" s="426"/>
      <c r="L500" s="427"/>
    </row>
    <row r="501" spans="1:12" ht="12.75">
      <c r="A501" s="433"/>
      <c r="B501" s="434"/>
      <c r="C501" s="434"/>
      <c r="D501" s="434"/>
      <c r="E501" s="424"/>
      <c r="F501" s="414"/>
      <c r="G501" s="414"/>
      <c r="H501" s="414"/>
      <c r="I501" s="414"/>
      <c r="J501" s="425"/>
      <c r="K501" s="426"/>
      <c r="L501" s="427"/>
    </row>
    <row r="502" spans="1:12" ht="12.75">
      <c r="A502" s="433"/>
      <c r="B502" s="434"/>
      <c r="C502" s="434"/>
      <c r="D502" s="434"/>
      <c r="E502" s="424"/>
      <c r="F502" s="414"/>
      <c r="G502" s="414"/>
      <c r="H502" s="414"/>
      <c r="I502" s="414"/>
      <c r="J502" s="425"/>
      <c r="K502" s="426"/>
      <c r="L502" s="427"/>
    </row>
    <row r="503" spans="1:12" ht="12.75">
      <c r="A503" s="433"/>
      <c r="B503" s="434"/>
      <c r="C503" s="434"/>
      <c r="D503" s="434"/>
      <c r="E503" s="424"/>
      <c r="F503" s="414"/>
      <c r="G503" s="414"/>
      <c r="H503" s="414"/>
      <c r="I503" s="414"/>
      <c r="J503" s="425"/>
      <c r="K503" s="426"/>
      <c r="L503" s="427"/>
    </row>
    <row r="504" spans="1:12" ht="12.75">
      <c r="A504" s="433"/>
      <c r="B504" s="434"/>
      <c r="C504" s="434"/>
      <c r="D504" s="434"/>
      <c r="E504" s="424"/>
      <c r="F504" s="414"/>
      <c r="G504" s="414"/>
      <c r="H504" s="414"/>
      <c r="I504" s="414"/>
      <c r="J504" s="425"/>
      <c r="K504" s="426"/>
      <c r="L504" s="427"/>
    </row>
    <row r="505" spans="1:12" ht="12.75">
      <c r="A505" s="433"/>
      <c r="B505" s="434"/>
      <c r="C505" s="434"/>
      <c r="D505" s="434"/>
      <c r="E505" s="424"/>
      <c r="F505" s="414"/>
      <c r="G505" s="414"/>
      <c r="H505" s="414"/>
      <c r="I505" s="414"/>
      <c r="J505" s="425"/>
      <c r="K505" s="426"/>
      <c r="L505" s="427"/>
    </row>
    <row r="506" spans="1:12" ht="12.75">
      <c r="A506" s="433"/>
      <c r="B506" s="434"/>
      <c r="C506" s="434"/>
      <c r="D506" s="434"/>
      <c r="E506" s="424"/>
      <c r="F506" s="414"/>
      <c r="G506" s="414"/>
      <c r="H506" s="414"/>
      <c r="I506" s="414"/>
      <c r="J506" s="425"/>
      <c r="K506" s="426"/>
      <c r="L506" s="427"/>
    </row>
    <row r="507" spans="1:12" ht="12.75">
      <c r="A507" s="433"/>
      <c r="B507" s="434"/>
      <c r="C507" s="434"/>
      <c r="D507" s="434"/>
      <c r="E507" s="424"/>
      <c r="F507" s="414"/>
      <c r="G507" s="414"/>
      <c r="H507" s="414"/>
      <c r="I507" s="414"/>
      <c r="J507" s="425"/>
      <c r="K507" s="426"/>
      <c r="L507" s="427"/>
    </row>
    <row r="508" spans="1:12" ht="12.75">
      <c r="A508" s="433"/>
      <c r="B508" s="434"/>
      <c r="C508" s="434"/>
      <c r="D508" s="434"/>
      <c r="E508" s="424"/>
      <c r="F508" s="414"/>
      <c r="G508" s="414"/>
      <c r="H508" s="414"/>
      <c r="I508" s="414"/>
      <c r="J508" s="425"/>
      <c r="K508" s="426"/>
      <c r="L508" s="427"/>
    </row>
    <row r="509" spans="1:12" ht="12.75">
      <c r="A509" s="433"/>
      <c r="B509" s="434"/>
      <c r="C509" s="434"/>
      <c r="D509" s="434"/>
      <c r="E509" s="424"/>
      <c r="F509" s="414"/>
      <c r="G509" s="414"/>
      <c r="H509" s="414"/>
      <c r="I509" s="414"/>
      <c r="J509" s="425"/>
      <c r="K509" s="426"/>
      <c r="L509" s="427"/>
    </row>
    <row r="510" spans="1:12" ht="12.75">
      <c r="A510" s="433"/>
      <c r="B510" s="434"/>
      <c r="C510" s="434"/>
      <c r="D510" s="434"/>
      <c r="E510" s="424"/>
      <c r="F510" s="414"/>
      <c r="G510" s="414"/>
      <c r="H510" s="414"/>
      <c r="I510" s="414"/>
      <c r="J510" s="425"/>
      <c r="K510" s="426"/>
      <c r="L510" s="427"/>
    </row>
    <row r="511" spans="1:12" ht="12.75">
      <c r="A511" s="433"/>
      <c r="B511" s="434"/>
      <c r="C511" s="434"/>
      <c r="D511" s="434"/>
      <c r="E511" s="424"/>
      <c r="F511" s="414"/>
      <c r="G511" s="414"/>
      <c r="H511" s="414"/>
      <c r="I511" s="414"/>
      <c r="J511" s="425"/>
      <c r="K511" s="426"/>
      <c r="L511" s="427"/>
    </row>
    <row r="512" spans="1:12" ht="12.75">
      <c r="A512" s="433"/>
      <c r="B512" s="434"/>
      <c r="C512" s="434"/>
      <c r="D512" s="434"/>
      <c r="E512" s="424"/>
      <c r="F512" s="414"/>
      <c r="G512" s="414"/>
      <c r="H512" s="414"/>
      <c r="I512" s="414"/>
      <c r="J512" s="425"/>
      <c r="K512" s="426"/>
      <c r="L512" s="427"/>
    </row>
    <row r="513" spans="1:12" ht="12.75">
      <c r="A513" s="433"/>
      <c r="B513" s="434"/>
      <c r="C513" s="434"/>
      <c r="D513" s="434"/>
      <c r="E513" s="424"/>
      <c r="F513" s="414"/>
      <c r="G513" s="414"/>
      <c r="H513" s="414"/>
      <c r="I513" s="414"/>
      <c r="J513" s="425"/>
      <c r="K513" s="426"/>
      <c r="L513" s="427"/>
    </row>
    <row r="514" spans="1:12" ht="12.75">
      <c r="A514" s="433"/>
      <c r="B514" s="434"/>
      <c r="C514" s="434"/>
      <c r="D514" s="434"/>
      <c r="E514" s="424"/>
      <c r="F514" s="414"/>
      <c r="G514" s="414"/>
      <c r="H514" s="414"/>
      <c r="I514" s="414"/>
      <c r="J514" s="425"/>
      <c r="K514" s="426"/>
      <c r="L514" s="427"/>
    </row>
    <row r="515" spans="1:12" ht="12.75">
      <c r="A515" s="433"/>
      <c r="B515" s="434"/>
      <c r="C515" s="434"/>
      <c r="D515" s="434"/>
      <c r="E515" s="424"/>
      <c r="F515" s="414"/>
      <c r="G515" s="414"/>
      <c r="H515" s="414"/>
      <c r="I515" s="414"/>
      <c r="J515" s="425"/>
      <c r="K515" s="426"/>
      <c r="L515" s="427"/>
    </row>
    <row r="516" spans="1:12" ht="12.75">
      <c r="A516" s="433"/>
      <c r="B516" s="434"/>
      <c r="C516" s="434"/>
      <c r="D516" s="434"/>
      <c r="E516" s="424"/>
      <c r="F516" s="414"/>
      <c r="G516" s="414"/>
      <c r="H516" s="414"/>
      <c r="I516" s="414"/>
      <c r="J516" s="425"/>
      <c r="K516" s="426"/>
      <c r="L516" s="427"/>
    </row>
    <row r="517" spans="1:12" ht="12.75">
      <c r="A517" s="433"/>
      <c r="B517" s="434"/>
      <c r="C517" s="434"/>
      <c r="D517" s="434"/>
      <c r="E517" s="424"/>
      <c r="F517" s="414"/>
      <c r="G517" s="414"/>
      <c r="H517" s="414"/>
      <c r="I517" s="414"/>
      <c r="J517" s="425"/>
      <c r="K517" s="426"/>
      <c r="L517" s="427"/>
    </row>
    <row r="518" spans="1:12" ht="12.75">
      <c r="A518" s="433"/>
      <c r="B518" s="434"/>
      <c r="C518" s="434"/>
      <c r="D518" s="434"/>
      <c r="E518" s="424"/>
      <c r="F518" s="414"/>
      <c r="G518" s="414"/>
      <c r="H518" s="414"/>
      <c r="I518" s="414"/>
      <c r="J518" s="425"/>
      <c r="K518" s="426"/>
      <c r="L518" s="427"/>
    </row>
    <row r="519" spans="1:12" ht="12.75">
      <c r="A519" s="433"/>
      <c r="B519" s="434"/>
      <c r="C519" s="434"/>
      <c r="D519" s="434"/>
      <c r="E519" s="424"/>
      <c r="F519" s="414"/>
      <c r="G519" s="414"/>
      <c r="H519" s="414"/>
      <c r="I519" s="414"/>
      <c r="J519" s="425"/>
      <c r="K519" s="426"/>
      <c r="L519" s="427"/>
    </row>
    <row r="520" spans="1:12" ht="12.75">
      <c r="A520" s="433"/>
      <c r="B520" s="434"/>
      <c r="C520" s="434"/>
      <c r="D520" s="434"/>
      <c r="E520" s="424"/>
      <c r="F520" s="414"/>
      <c r="G520" s="414"/>
      <c r="H520" s="414"/>
      <c r="I520" s="414"/>
      <c r="J520" s="425"/>
      <c r="K520" s="426"/>
      <c r="L520" s="427"/>
    </row>
    <row r="521" spans="1:12" ht="12.75">
      <c r="A521" s="433"/>
      <c r="B521" s="434"/>
      <c r="C521" s="434"/>
      <c r="D521" s="434"/>
      <c r="E521" s="424"/>
      <c r="F521" s="414"/>
      <c r="G521" s="414"/>
      <c r="H521" s="414"/>
      <c r="I521" s="414"/>
      <c r="J521" s="425"/>
      <c r="K521" s="426"/>
      <c r="L521" s="427"/>
    </row>
    <row r="522" spans="1:12" ht="12.75">
      <c r="A522" s="433"/>
      <c r="B522" s="434"/>
      <c r="C522" s="434"/>
      <c r="D522" s="434"/>
      <c r="E522" s="424"/>
      <c r="F522" s="414"/>
      <c r="G522" s="414"/>
      <c r="H522" s="414"/>
      <c r="I522" s="414"/>
      <c r="J522" s="425"/>
      <c r="K522" s="426"/>
      <c r="L522" s="427"/>
    </row>
    <row r="523" spans="1:12" ht="12.75">
      <c r="A523" s="433"/>
      <c r="B523" s="434"/>
      <c r="C523" s="434"/>
      <c r="D523" s="434"/>
      <c r="E523" s="424"/>
      <c r="F523" s="414"/>
      <c r="G523" s="414"/>
      <c r="H523" s="414"/>
      <c r="I523" s="414"/>
      <c r="J523" s="425"/>
      <c r="K523" s="426"/>
      <c r="L523" s="427"/>
    </row>
    <row r="524" spans="1:12" ht="12.75">
      <c r="A524" s="433"/>
      <c r="B524" s="434"/>
      <c r="C524" s="434"/>
      <c r="D524" s="434"/>
      <c r="E524" s="424"/>
      <c r="F524" s="414"/>
      <c r="G524" s="414"/>
      <c r="H524" s="414"/>
      <c r="I524" s="414"/>
      <c r="J524" s="425"/>
      <c r="K524" s="426"/>
      <c r="L524" s="427"/>
    </row>
    <row r="525" spans="1:12" ht="12.75">
      <c r="A525" s="433"/>
      <c r="B525" s="434"/>
      <c r="C525" s="434"/>
      <c r="D525" s="434"/>
      <c r="E525" s="424"/>
      <c r="F525" s="414"/>
      <c r="G525" s="414"/>
      <c r="H525" s="414"/>
      <c r="I525" s="414"/>
      <c r="J525" s="425"/>
      <c r="K525" s="426"/>
      <c r="L525" s="427"/>
    </row>
    <row r="526" spans="1:12" ht="12.75">
      <c r="A526" s="433"/>
      <c r="B526" s="434"/>
      <c r="C526" s="434"/>
      <c r="D526" s="434"/>
      <c r="E526" s="424"/>
      <c r="F526" s="414"/>
      <c r="G526" s="414"/>
      <c r="H526" s="414"/>
      <c r="I526" s="414"/>
      <c r="J526" s="425"/>
      <c r="K526" s="426"/>
      <c r="L526" s="427"/>
    </row>
    <row r="527" spans="1:12" ht="12.75">
      <c r="A527" s="433"/>
      <c r="B527" s="434"/>
      <c r="C527" s="434"/>
      <c r="D527" s="434"/>
      <c r="E527" s="424"/>
      <c r="F527" s="414"/>
      <c r="G527" s="414"/>
      <c r="H527" s="414"/>
      <c r="I527" s="414"/>
      <c r="J527" s="425"/>
      <c r="K527" s="426"/>
      <c r="L527" s="427"/>
    </row>
    <row r="528" spans="1:12" ht="12.75">
      <c r="A528" s="433"/>
      <c r="B528" s="434"/>
      <c r="C528" s="434"/>
      <c r="D528" s="434"/>
      <c r="E528" s="424"/>
      <c r="F528" s="414"/>
      <c r="G528" s="414"/>
      <c r="H528" s="414"/>
      <c r="I528" s="414"/>
      <c r="J528" s="425"/>
      <c r="K528" s="426"/>
      <c r="L528" s="427"/>
    </row>
    <row r="529" spans="1:12" ht="12.75">
      <c r="A529" s="433"/>
      <c r="B529" s="434"/>
      <c r="C529" s="434"/>
      <c r="D529" s="434"/>
      <c r="E529" s="424"/>
      <c r="F529" s="414"/>
      <c r="G529" s="414"/>
      <c r="H529" s="414"/>
      <c r="I529" s="414"/>
      <c r="J529" s="425"/>
      <c r="K529" s="426"/>
      <c r="L529" s="427"/>
    </row>
    <row r="530" spans="1:12" ht="12.75">
      <c r="A530" s="433"/>
      <c r="B530" s="434"/>
      <c r="C530" s="434"/>
      <c r="D530" s="434"/>
      <c r="E530" s="424"/>
      <c r="F530" s="414"/>
      <c r="G530" s="414"/>
      <c r="H530" s="414"/>
      <c r="I530" s="414"/>
      <c r="J530" s="425"/>
      <c r="K530" s="426"/>
      <c r="L530" s="427"/>
    </row>
    <row r="531" spans="1:12" ht="12.75">
      <c r="A531" s="433"/>
      <c r="B531" s="434"/>
      <c r="C531" s="434"/>
      <c r="D531" s="434"/>
      <c r="E531" s="424"/>
      <c r="F531" s="414"/>
      <c r="G531" s="414"/>
      <c r="H531" s="414"/>
      <c r="I531" s="414"/>
      <c r="J531" s="425"/>
      <c r="K531" s="426"/>
      <c r="L531" s="427"/>
    </row>
    <row r="532" spans="1:12" ht="12.75">
      <c r="A532" s="433"/>
      <c r="B532" s="434"/>
      <c r="C532" s="434"/>
      <c r="D532" s="434"/>
      <c r="E532" s="424"/>
      <c r="F532" s="414"/>
      <c r="G532" s="414"/>
      <c r="H532" s="414"/>
      <c r="I532" s="414"/>
      <c r="J532" s="425"/>
      <c r="K532" s="426"/>
      <c r="L532" s="427"/>
    </row>
    <row r="533" spans="1:12" ht="12.75">
      <c r="A533" s="433"/>
      <c r="B533" s="434"/>
      <c r="C533" s="434"/>
      <c r="D533" s="434"/>
      <c r="E533" s="424"/>
      <c r="F533" s="414"/>
      <c r="G533" s="414"/>
      <c r="H533" s="414"/>
      <c r="I533" s="414"/>
      <c r="J533" s="425"/>
      <c r="K533" s="426"/>
      <c r="L533" s="427"/>
    </row>
    <row r="534" spans="1:12" ht="12.75">
      <c r="A534" s="433"/>
      <c r="B534" s="434"/>
      <c r="C534" s="434"/>
      <c r="D534" s="434"/>
      <c r="E534" s="424"/>
      <c r="F534" s="414"/>
      <c r="G534" s="414"/>
      <c r="H534" s="414"/>
      <c r="I534" s="414"/>
      <c r="J534" s="425"/>
      <c r="K534" s="426"/>
      <c r="L534" s="427"/>
    </row>
    <row r="535" spans="1:12" ht="12.75">
      <c r="A535" s="433"/>
      <c r="B535" s="434"/>
      <c r="C535" s="434"/>
      <c r="D535" s="434"/>
      <c r="E535" s="424"/>
      <c r="F535" s="414"/>
      <c r="G535" s="414"/>
      <c r="H535" s="414"/>
      <c r="I535" s="414"/>
      <c r="J535" s="425"/>
      <c r="K535" s="426"/>
      <c r="L535" s="427"/>
    </row>
    <row r="536" spans="1:12" ht="12.75">
      <c r="A536" s="433"/>
      <c r="B536" s="434"/>
      <c r="C536" s="434"/>
      <c r="D536" s="434"/>
      <c r="E536" s="424"/>
      <c r="F536" s="414"/>
      <c r="G536" s="414"/>
      <c r="H536" s="414"/>
      <c r="I536" s="414"/>
      <c r="J536" s="425"/>
      <c r="K536" s="426"/>
      <c r="L536" s="427"/>
    </row>
    <row r="537" spans="1:12" ht="12.75">
      <c r="A537" s="433"/>
      <c r="B537" s="434"/>
      <c r="C537" s="434"/>
      <c r="D537" s="434"/>
      <c r="E537" s="424"/>
      <c r="F537" s="414"/>
      <c r="G537" s="414"/>
      <c r="H537" s="414"/>
      <c r="I537" s="414"/>
      <c r="J537" s="425"/>
      <c r="K537" s="426"/>
      <c r="L537" s="427"/>
    </row>
    <row r="538" spans="1:12" ht="12.75">
      <c r="A538" s="433"/>
      <c r="B538" s="434"/>
      <c r="C538" s="434"/>
      <c r="D538" s="434"/>
      <c r="E538" s="424"/>
      <c r="F538" s="414"/>
      <c r="G538" s="414"/>
      <c r="H538" s="414"/>
      <c r="I538" s="414"/>
      <c r="J538" s="425"/>
      <c r="K538" s="426"/>
      <c r="L538" s="427"/>
    </row>
    <row r="539" spans="1:12" ht="12.75">
      <c r="A539" s="433"/>
      <c r="B539" s="434"/>
      <c r="C539" s="434"/>
      <c r="D539" s="434"/>
      <c r="E539" s="424"/>
      <c r="F539" s="414"/>
      <c r="G539" s="414"/>
      <c r="H539" s="414"/>
      <c r="I539" s="414"/>
      <c r="J539" s="425"/>
      <c r="K539" s="426"/>
      <c r="L539" s="427"/>
    </row>
    <row r="540" spans="1:12" ht="12.75">
      <c r="A540" s="433"/>
      <c r="B540" s="434"/>
      <c r="C540" s="434"/>
      <c r="D540" s="434"/>
      <c r="E540" s="424"/>
      <c r="F540" s="414"/>
      <c r="G540" s="414"/>
      <c r="H540" s="414"/>
      <c r="I540" s="414"/>
      <c r="J540" s="425"/>
      <c r="K540" s="426"/>
      <c r="L540" s="427"/>
    </row>
    <row r="541" spans="1:12" ht="12.75">
      <c r="A541" s="433"/>
      <c r="B541" s="434"/>
      <c r="C541" s="434"/>
      <c r="D541" s="434"/>
      <c r="E541" s="424"/>
      <c r="F541" s="414"/>
      <c r="G541" s="414"/>
      <c r="H541" s="414"/>
      <c r="I541" s="414"/>
      <c r="J541" s="425"/>
      <c r="K541" s="426"/>
      <c r="L541" s="427"/>
    </row>
    <row r="542" spans="1:12" ht="12.75">
      <c r="A542" s="433"/>
      <c r="B542" s="434"/>
      <c r="C542" s="434"/>
      <c r="D542" s="434"/>
      <c r="E542" s="424"/>
      <c r="F542" s="414"/>
      <c r="G542" s="414"/>
      <c r="H542" s="414"/>
      <c r="I542" s="414"/>
      <c r="J542" s="425"/>
      <c r="K542" s="426"/>
      <c r="L542" s="427"/>
    </row>
    <row r="543" spans="1:12" ht="12.75">
      <c r="A543" s="433"/>
      <c r="B543" s="434"/>
      <c r="C543" s="434"/>
      <c r="D543" s="434"/>
      <c r="E543" s="424"/>
      <c r="F543" s="414"/>
      <c r="G543" s="414"/>
      <c r="H543" s="414"/>
      <c r="I543" s="414"/>
      <c r="J543" s="425"/>
      <c r="K543" s="426"/>
      <c r="L543" s="427"/>
    </row>
    <row r="544" spans="1:12" ht="12.75">
      <c r="A544" s="433"/>
      <c r="B544" s="434"/>
      <c r="C544" s="434"/>
      <c r="D544" s="434"/>
      <c r="E544" s="424"/>
      <c r="F544" s="414"/>
      <c r="G544" s="414"/>
      <c r="H544" s="414"/>
      <c r="I544" s="414"/>
      <c r="J544" s="425"/>
      <c r="K544" s="426"/>
      <c r="L544" s="427"/>
    </row>
    <row r="545" spans="1:12" ht="12.75">
      <c r="A545" s="433"/>
      <c r="B545" s="434"/>
      <c r="C545" s="434"/>
      <c r="D545" s="434"/>
      <c r="E545" s="424"/>
      <c r="F545" s="414"/>
      <c r="G545" s="414"/>
      <c r="H545" s="414"/>
      <c r="I545" s="414"/>
      <c r="J545" s="425"/>
      <c r="K545" s="426"/>
      <c r="L545" s="427"/>
    </row>
    <row r="546" spans="1:12" ht="12.75">
      <c r="A546" s="433"/>
      <c r="B546" s="434"/>
      <c r="C546" s="434"/>
      <c r="D546" s="434"/>
      <c r="E546" s="424"/>
      <c r="F546" s="414"/>
      <c r="G546" s="414"/>
      <c r="H546" s="414"/>
      <c r="I546" s="414"/>
      <c r="J546" s="425"/>
      <c r="K546" s="426"/>
      <c r="L546" s="427"/>
    </row>
    <row r="547" spans="1:12" ht="12.75">
      <c r="A547" s="433"/>
      <c r="B547" s="434"/>
      <c r="C547" s="434"/>
      <c r="D547" s="434"/>
      <c r="E547" s="424"/>
      <c r="F547" s="414"/>
      <c r="G547" s="414"/>
      <c r="H547" s="414"/>
      <c r="I547" s="414"/>
      <c r="J547" s="425"/>
      <c r="K547" s="426"/>
      <c r="L547" s="427"/>
    </row>
    <row r="548" spans="1:12" ht="12.75">
      <c r="A548" s="433"/>
      <c r="B548" s="434"/>
      <c r="C548" s="434"/>
      <c r="D548" s="434"/>
      <c r="E548" s="424"/>
      <c r="F548" s="414"/>
      <c r="G548" s="414"/>
      <c r="H548" s="414"/>
      <c r="I548" s="414"/>
      <c r="J548" s="425"/>
      <c r="K548" s="426"/>
      <c r="L548" s="427"/>
    </row>
    <row r="549" spans="1:12" ht="12.75">
      <c r="A549" s="433"/>
      <c r="B549" s="434"/>
      <c r="C549" s="434"/>
      <c r="D549" s="434"/>
      <c r="E549" s="424"/>
      <c r="F549" s="414"/>
      <c r="G549" s="414"/>
      <c r="H549" s="414"/>
      <c r="I549" s="414"/>
      <c r="J549" s="425"/>
      <c r="K549" s="426"/>
      <c r="L549" s="427"/>
    </row>
    <row r="550" spans="1:12" ht="12.75">
      <c r="A550" s="433"/>
      <c r="B550" s="434"/>
      <c r="C550" s="434"/>
      <c r="D550" s="434"/>
      <c r="E550" s="424"/>
      <c r="F550" s="414"/>
      <c r="G550" s="414"/>
      <c r="H550" s="414"/>
      <c r="I550" s="414"/>
      <c r="J550" s="425"/>
      <c r="K550" s="426"/>
      <c r="L550" s="427"/>
    </row>
    <row r="551" spans="1:12" ht="12.75">
      <c r="A551" s="433"/>
      <c r="B551" s="434"/>
      <c r="C551" s="434"/>
      <c r="D551" s="434"/>
      <c r="E551" s="424"/>
      <c r="F551" s="414"/>
      <c r="G551" s="414"/>
      <c r="H551" s="414"/>
      <c r="I551" s="414"/>
      <c r="J551" s="425"/>
      <c r="K551" s="426"/>
      <c r="L551" s="427"/>
    </row>
    <row r="552" spans="1:12" ht="12.75">
      <c r="A552" s="433"/>
      <c r="B552" s="434"/>
      <c r="C552" s="434"/>
      <c r="D552" s="434"/>
      <c r="E552" s="424"/>
      <c r="F552" s="414"/>
      <c r="G552" s="414"/>
      <c r="H552" s="414"/>
      <c r="I552" s="414"/>
      <c r="J552" s="425"/>
      <c r="K552" s="426"/>
      <c r="L552" s="427"/>
    </row>
    <row r="553" spans="1:12" ht="12.75">
      <c r="A553" s="433"/>
      <c r="B553" s="434"/>
      <c r="C553" s="434"/>
      <c r="D553" s="434"/>
      <c r="E553" s="424"/>
      <c r="F553" s="414"/>
      <c r="G553" s="414"/>
      <c r="H553" s="414"/>
      <c r="I553" s="414"/>
      <c r="J553" s="425"/>
      <c r="K553" s="426"/>
      <c r="L553" s="427"/>
    </row>
    <row r="554" spans="1:12" ht="12.75">
      <c r="A554" s="433"/>
      <c r="B554" s="434"/>
      <c r="C554" s="434"/>
      <c r="D554" s="434"/>
      <c r="E554" s="424"/>
      <c r="F554" s="414"/>
      <c r="G554" s="414"/>
      <c r="H554" s="414"/>
      <c r="I554" s="414"/>
      <c r="J554" s="425"/>
      <c r="K554" s="426"/>
      <c r="L554" s="427"/>
    </row>
    <row r="555" spans="1:12" ht="12.75">
      <c r="A555" s="433"/>
      <c r="B555" s="434"/>
      <c r="C555" s="434"/>
      <c r="D555" s="434"/>
      <c r="E555" s="424"/>
      <c r="F555" s="414"/>
      <c r="G555" s="414"/>
      <c r="H555" s="414"/>
      <c r="I555" s="414"/>
      <c r="J555" s="425"/>
      <c r="K555" s="426"/>
      <c r="L555" s="427"/>
    </row>
    <row r="556" spans="1:12" ht="12.75">
      <c r="A556" s="433"/>
      <c r="B556" s="434"/>
      <c r="C556" s="434"/>
      <c r="D556" s="434"/>
      <c r="E556" s="424"/>
      <c r="F556" s="414"/>
      <c r="G556" s="414"/>
      <c r="H556" s="414"/>
      <c r="I556" s="414"/>
      <c r="J556" s="425"/>
      <c r="K556" s="426"/>
      <c r="L556" s="427"/>
    </row>
    <row r="557" spans="1:12" ht="12.75">
      <c r="A557" s="433"/>
      <c r="B557" s="434"/>
      <c r="C557" s="434"/>
      <c r="D557" s="434"/>
      <c r="E557" s="424"/>
      <c r="F557" s="414"/>
      <c r="G557" s="414"/>
      <c r="H557" s="414"/>
      <c r="I557" s="414"/>
      <c r="J557" s="425"/>
      <c r="K557" s="426"/>
      <c r="L557" s="427"/>
    </row>
    <row r="558" spans="1:12" ht="12.75">
      <c r="A558" s="433"/>
      <c r="B558" s="434"/>
      <c r="C558" s="434"/>
      <c r="D558" s="434"/>
      <c r="E558" s="424"/>
      <c r="F558" s="414"/>
      <c r="G558" s="414"/>
      <c r="H558" s="414"/>
      <c r="I558" s="414"/>
      <c r="J558" s="425"/>
      <c r="K558" s="426"/>
      <c r="L558" s="427"/>
    </row>
    <row r="559" spans="1:12" ht="12.75">
      <c r="A559" s="433"/>
      <c r="B559" s="434"/>
      <c r="C559" s="434"/>
      <c r="D559" s="434"/>
      <c r="E559" s="424"/>
      <c r="F559" s="414"/>
      <c r="G559" s="414"/>
      <c r="H559" s="414"/>
      <c r="I559" s="414"/>
      <c r="J559" s="425"/>
      <c r="K559" s="426"/>
      <c r="L559" s="427"/>
    </row>
    <row r="560" spans="1:12" ht="12.75">
      <c r="A560" s="433"/>
      <c r="B560" s="434"/>
      <c r="C560" s="434"/>
      <c r="D560" s="434"/>
      <c r="E560" s="424"/>
      <c r="F560" s="414"/>
      <c r="G560" s="414"/>
      <c r="H560" s="414"/>
      <c r="I560" s="414"/>
      <c r="J560" s="425"/>
      <c r="K560" s="426"/>
      <c r="L560" s="427"/>
    </row>
    <row r="561" spans="1:12" ht="12.75">
      <c r="A561" s="433"/>
      <c r="B561" s="434"/>
      <c r="C561" s="434"/>
      <c r="D561" s="434"/>
      <c r="E561" s="424"/>
      <c r="F561" s="414"/>
      <c r="G561" s="414"/>
      <c r="H561" s="414"/>
      <c r="I561" s="414"/>
      <c r="J561" s="425"/>
      <c r="K561" s="426"/>
      <c r="L561" s="427"/>
    </row>
    <row r="562" spans="1:12" ht="12.75">
      <c r="A562" s="433"/>
      <c r="B562" s="434"/>
      <c r="C562" s="434"/>
      <c r="D562" s="434"/>
      <c r="E562" s="424"/>
      <c r="F562" s="414"/>
      <c r="G562" s="414"/>
      <c r="H562" s="414"/>
      <c r="I562" s="414"/>
      <c r="J562" s="425"/>
      <c r="K562" s="426"/>
      <c r="L562" s="427"/>
    </row>
    <row r="563" spans="1:12" ht="12.75">
      <c r="A563" s="433"/>
      <c r="B563" s="434"/>
      <c r="C563" s="434"/>
      <c r="D563" s="434"/>
      <c r="E563" s="424"/>
      <c r="F563" s="414"/>
      <c r="G563" s="414"/>
      <c r="H563" s="414"/>
      <c r="I563" s="414"/>
      <c r="J563" s="425"/>
      <c r="K563" s="426"/>
      <c r="L563" s="427"/>
    </row>
    <row r="564" spans="1:12" ht="12.75">
      <c r="A564" s="433"/>
      <c r="B564" s="434"/>
      <c r="C564" s="434"/>
      <c r="D564" s="434"/>
      <c r="E564" s="424"/>
      <c r="F564" s="414"/>
      <c r="G564" s="414"/>
      <c r="H564" s="414"/>
      <c r="I564" s="414"/>
      <c r="J564" s="425"/>
      <c r="K564" s="426"/>
      <c r="L564" s="427"/>
    </row>
    <row r="565" spans="1:12" ht="12.75">
      <c r="A565" s="433"/>
      <c r="B565" s="434"/>
      <c r="C565" s="434"/>
      <c r="D565" s="434"/>
      <c r="E565" s="424"/>
      <c r="F565" s="414"/>
      <c r="G565" s="414"/>
      <c r="H565" s="414"/>
      <c r="I565" s="414"/>
      <c r="J565" s="425"/>
      <c r="K565" s="426"/>
      <c r="L565" s="427"/>
    </row>
    <row r="566" spans="1:12" ht="12.75">
      <c r="A566" s="433"/>
      <c r="B566" s="434"/>
      <c r="C566" s="434"/>
      <c r="D566" s="434"/>
      <c r="E566" s="424"/>
      <c r="F566" s="414"/>
      <c r="G566" s="414"/>
      <c r="H566" s="414"/>
      <c r="I566" s="414"/>
      <c r="J566" s="425"/>
      <c r="K566" s="426"/>
      <c r="L566" s="427"/>
    </row>
    <row r="567" spans="1:12" ht="12.75">
      <c r="A567" s="433"/>
      <c r="B567" s="434"/>
      <c r="C567" s="434"/>
      <c r="D567" s="434"/>
      <c r="E567" s="424"/>
      <c r="F567" s="414"/>
      <c r="G567" s="414"/>
      <c r="H567" s="414"/>
      <c r="I567" s="414"/>
      <c r="J567" s="425"/>
      <c r="K567" s="426"/>
      <c r="L567" s="427"/>
    </row>
    <row r="568" spans="1:12" ht="12.75">
      <c r="A568" s="433"/>
      <c r="B568" s="434"/>
      <c r="C568" s="434"/>
      <c r="D568" s="434"/>
      <c r="E568" s="424"/>
      <c r="F568" s="414"/>
      <c r="G568" s="414"/>
      <c r="H568" s="414"/>
      <c r="I568" s="414"/>
      <c r="J568" s="425"/>
      <c r="K568" s="426"/>
      <c r="L568" s="427"/>
    </row>
    <row r="569" spans="1:12" ht="12.75">
      <c r="A569" s="433"/>
      <c r="B569" s="434"/>
      <c r="C569" s="434"/>
      <c r="D569" s="434"/>
      <c r="E569" s="424"/>
      <c r="F569" s="414"/>
      <c r="G569" s="414"/>
      <c r="H569" s="414"/>
      <c r="I569" s="414"/>
      <c r="J569" s="425"/>
      <c r="K569" s="426"/>
      <c r="L569" s="427"/>
    </row>
    <row r="570" spans="1:12" ht="12.75">
      <c r="A570" s="433"/>
      <c r="B570" s="434"/>
      <c r="C570" s="434"/>
      <c r="D570" s="434"/>
      <c r="E570" s="424"/>
      <c r="F570" s="414"/>
      <c r="G570" s="414"/>
      <c r="H570" s="414"/>
      <c r="I570" s="414"/>
      <c r="J570" s="425"/>
      <c r="K570" s="426"/>
      <c r="L570" s="427"/>
    </row>
    <row r="571" spans="1:12" ht="12.75">
      <c r="A571" s="433"/>
      <c r="B571" s="434"/>
      <c r="C571" s="434"/>
      <c r="D571" s="434"/>
      <c r="E571" s="424"/>
      <c r="F571" s="414"/>
      <c r="G571" s="414"/>
      <c r="H571" s="414"/>
      <c r="I571" s="414"/>
      <c r="J571" s="425"/>
      <c r="K571" s="426"/>
      <c r="L571" s="427"/>
    </row>
    <row r="572" spans="1:12" ht="12.75">
      <c r="A572" s="433"/>
      <c r="B572" s="434"/>
      <c r="C572" s="434"/>
      <c r="D572" s="434"/>
      <c r="E572" s="424"/>
      <c r="F572" s="414"/>
      <c r="G572" s="414"/>
      <c r="H572" s="414"/>
      <c r="I572" s="414"/>
      <c r="J572" s="425"/>
      <c r="K572" s="426"/>
      <c r="L572" s="427"/>
    </row>
    <row r="573" spans="1:12" ht="12.75">
      <c r="A573" s="433"/>
      <c r="B573" s="434"/>
      <c r="C573" s="434"/>
      <c r="D573" s="434"/>
      <c r="E573" s="424"/>
      <c r="F573" s="414"/>
      <c r="G573" s="414"/>
      <c r="H573" s="414"/>
      <c r="I573" s="414"/>
      <c r="J573" s="425"/>
      <c r="K573" s="426"/>
      <c r="L573" s="427"/>
    </row>
    <row r="574" spans="1:12" ht="12.75">
      <c r="A574" s="433"/>
      <c r="B574" s="434"/>
      <c r="C574" s="434"/>
      <c r="D574" s="434"/>
      <c r="E574" s="424"/>
      <c r="F574" s="414"/>
      <c r="G574" s="414"/>
      <c r="H574" s="414"/>
      <c r="I574" s="414"/>
      <c r="J574" s="425"/>
      <c r="K574" s="426"/>
      <c r="L574" s="427"/>
    </row>
    <row r="575" spans="1:12" ht="12.75">
      <c r="A575" s="433"/>
      <c r="B575" s="434"/>
      <c r="C575" s="434"/>
      <c r="D575" s="434"/>
      <c r="E575" s="424"/>
      <c r="F575" s="414"/>
      <c r="G575" s="414"/>
      <c r="H575" s="414"/>
      <c r="I575" s="414"/>
      <c r="J575" s="425"/>
      <c r="K575" s="426"/>
      <c r="L575" s="427"/>
    </row>
    <row r="576" spans="1:12" ht="12.75">
      <c r="A576" s="433"/>
      <c r="B576" s="434"/>
      <c r="C576" s="434"/>
      <c r="D576" s="434"/>
      <c r="E576" s="424"/>
      <c r="F576" s="414"/>
      <c r="G576" s="414"/>
      <c r="H576" s="414"/>
      <c r="I576" s="414"/>
      <c r="J576" s="425"/>
      <c r="K576" s="426"/>
      <c r="L576" s="427"/>
    </row>
    <row r="577" spans="1:12" ht="12.75">
      <c r="A577" s="433"/>
      <c r="B577" s="434"/>
      <c r="C577" s="434"/>
      <c r="D577" s="434"/>
      <c r="E577" s="424"/>
      <c r="F577" s="414"/>
      <c r="G577" s="414"/>
      <c r="H577" s="414"/>
      <c r="I577" s="414"/>
      <c r="J577" s="425"/>
      <c r="K577" s="426"/>
      <c r="L577" s="427"/>
    </row>
    <row r="578" spans="1:12" ht="12.75">
      <c r="A578" s="433"/>
      <c r="B578" s="434"/>
      <c r="C578" s="434"/>
      <c r="D578" s="434"/>
      <c r="E578" s="424"/>
      <c r="F578" s="414"/>
      <c r="G578" s="414"/>
      <c r="H578" s="414"/>
      <c r="I578" s="414"/>
      <c r="J578" s="425"/>
      <c r="K578" s="426"/>
      <c r="L578" s="427"/>
    </row>
    <row r="579" spans="1:12" ht="12.75">
      <c r="A579" s="433"/>
      <c r="B579" s="434"/>
      <c r="C579" s="434"/>
      <c r="D579" s="434"/>
      <c r="E579" s="424"/>
      <c r="F579" s="414"/>
      <c r="G579" s="414"/>
      <c r="H579" s="414"/>
      <c r="I579" s="414"/>
      <c r="J579" s="425"/>
      <c r="K579" s="426"/>
      <c r="L579" s="427"/>
    </row>
    <row r="580" spans="1:12" ht="12.75">
      <c r="A580" s="433"/>
      <c r="B580" s="434"/>
      <c r="C580" s="434"/>
      <c r="D580" s="434"/>
      <c r="E580" s="424"/>
      <c r="F580" s="414"/>
      <c r="G580" s="414"/>
      <c r="H580" s="414"/>
      <c r="I580" s="414"/>
      <c r="J580" s="425"/>
      <c r="K580" s="426"/>
      <c r="L580" s="427"/>
    </row>
    <row r="581" spans="1:12" ht="12.75">
      <c r="A581" s="433"/>
      <c r="B581" s="434"/>
      <c r="C581" s="434"/>
      <c r="D581" s="434"/>
      <c r="E581" s="424"/>
      <c r="F581" s="414"/>
      <c r="G581" s="414"/>
      <c r="H581" s="414"/>
      <c r="I581" s="414"/>
      <c r="J581" s="425"/>
      <c r="K581" s="426"/>
      <c r="L581" s="427"/>
    </row>
    <row r="582" spans="1:12" ht="12.75">
      <c r="A582" s="433"/>
      <c r="B582" s="434"/>
      <c r="C582" s="434"/>
      <c r="D582" s="434"/>
      <c r="E582" s="424"/>
      <c r="F582" s="414"/>
      <c r="G582" s="414"/>
      <c r="H582" s="414"/>
      <c r="I582" s="414"/>
      <c r="J582" s="425"/>
      <c r="K582" s="426"/>
      <c r="L582" s="427"/>
    </row>
    <row r="583" spans="1:12" ht="12.75">
      <c r="A583" s="433"/>
      <c r="B583" s="434"/>
      <c r="C583" s="434"/>
      <c r="D583" s="434"/>
      <c r="E583" s="424"/>
      <c r="F583" s="414"/>
      <c r="G583" s="414"/>
      <c r="H583" s="414"/>
      <c r="I583" s="414"/>
      <c r="J583" s="425"/>
      <c r="K583" s="426"/>
      <c r="L583" s="427"/>
    </row>
    <row r="584" spans="1:12" ht="12.75">
      <c r="A584" s="433"/>
      <c r="B584" s="434"/>
      <c r="C584" s="434"/>
      <c r="D584" s="434"/>
      <c r="E584" s="424"/>
      <c r="F584" s="414"/>
      <c r="G584" s="414"/>
      <c r="H584" s="414"/>
      <c r="I584" s="414"/>
      <c r="J584" s="425"/>
      <c r="K584" s="426"/>
      <c r="L584" s="427"/>
    </row>
    <row r="585" spans="1:12" ht="12.75">
      <c r="A585" s="433"/>
      <c r="B585" s="434"/>
      <c r="C585" s="434"/>
      <c r="D585" s="434"/>
      <c r="E585" s="424"/>
      <c r="F585" s="414"/>
      <c r="G585" s="414"/>
      <c r="H585" s="414"/>
      <c r="I585" s="414"/>
      <c r="J585" s="425"/>
      <c r="K585" s="426"/>
      <c r="L585" s="427"/>
    </row>
    <row r="586" spans="1:12" ht="12.75">
      <c r="A586" s="433"/>
      <c r="B586" s="434"/>
      <c r="C586" s="434"/>
      <c r="D586" s="434"/>
      <c r="E586" s="424"/>
      <c r="F586" s="414"/>
      <c r="G586" s="414"/>
      <c r="H586" s="414"/>
      <c r="I586" s="414"/>
      <c r="J586" s="425"/>
      <c r="K586" s="426"/>
      <c r="L586" s="427"/>
    </row>
    <row r="587" spans="1:12" ht="12.75">
      <c r="A587" s="433"/>
      <c r="B587" s="434"/>
      <c r="C587" s="434"/>
      <c r="D587" s="434"/>
      <c r="E587" s="424"/>
      <c r="F587" s="414"/>
      <c r="G587" s="414"/>
      <c r="H587" s="414"/>
      <c r="I587" s="414"/>
      <c r="J587" s="425"/>
      <c r="K587" s="426"/>
      <c r="L587" s="427"/>
    </row>
    <row r="588" spans="1:12" ht="12.75">
      <c r="A588" s="433"/>
      <c r="B588" s="434"/>
      <c r="C588" s="434"/>
      <c r="D588" s="434"/>
      <c r="E588" s="424"/>
      <c r="F588" s="414"/>
      <c r="G588" s="414"/>
      <c r="H588" s="414"/>
      <c r="I588" s="414"/>
      <c r="J588" s="425"/>
      <c r="K588" s="426"/>
      <c r="L588" s="427"/>
    </row>
    <row r="589" spans="1:12" ht="12.75">
      <c r="A589" s="433"/>
      <c r="B589" s="434"/>
      <c r="C589" s="434"/>
      <c r="D589" s="434"/>
      <c r="E589" s="424"/>
      <c r="F589" s="414"/>
      <c r="G589" s="414"/>
      <c r="H589" s="414"/>
      <c r="I589" s="414"/>
      <c r="J589" s="425"/>
      <c r="K589" s="426"/>
      <c r="L589" s="427"/>
    </row>
    <row r="590" spans="1:12" ht="12.75">
      <c r="A590" s="433"/>
      <c r="B590" s="434"/>
      <c r="C590" s="434"/>
      <c r="D590" s="434"/>
      <c r="E590" s="424"/>
      <c r="F590" s="414"/>
      <c r="G590" s="414"/>
      <c r="H590" s="414"/>
      <c r="I590" s="414"/>
      <c r="J590" s="425"/>
      <c r="K590" s="426"/>
      <c r="L590" s="427"/>
    </row>
    <row r="591" spans="1:12" ht="12.75">
      <c r="A591" s="433"/>
      <c r="B591" s="434"/>
      <c r="C591" s="434"/>
      <c r="D591" s="434"/>
      <c r="E591" s="424"/>
      <c r="F591" s="414"/>
      <c r="G591" s="414"/>
      <c r="H591" s="414"/>
      <c r="I591" s="414"/>
      <c r="J591" s="425"/>
      <c r="K591" s="426"/>
      <c r="L591" s="427"/>
    </row>
    <row r="592" spans="1:12" ht="12.75">
      <c r="A592" s="433"/>
      <c r="B592" s="434"/>
      <c r="C592" s="434"/>
      <c r="D592" s="434"/>
      <c r="E592" s="424"/>
      <c r="F592" s="414"/>
      <c r="G592" s="414"/>
      <c r="H592" s="414"/>
      <c r="I592" s="414"/>
      <c r="J592" s="425"/>
      <c r="K592" s="426"/>
      <c r="L592" s="427"/>
    </row>
    <row r="593" spans="1:12" ht="12.75">
      <c r="A593" s="433"/>
      <c r="B593" s="434"/>
      <c r="C593" s="434"/>
      <c r="D593" s="434"/>
      <c r="E593" s="424"/>
      <c r="F593" s="414"/>
      <c r="G593" s="414"/>
      <c r="H593" s="414"/>
      <c r="I593" s="414"/>
      <c r="J593" s="425"/>
      <c r="K593" s="426"/>
      <c r="L593" s="427"/>
    </row>
    <row r="594" spans="1:12" ht="12.75">
      <c r="A594" s="433"/>
      <c r="B594" s="434"/>
      <c r="C594" s="434"/>
      <c r="D594" s="434"/>
      <c r="E594" s="424"/>
      <c r="F594" s="414"/>
      <c r="G594" s="414"/>
      <c r="H594" s="414"/>
      <c r="I594" s="414"/>
      <c r="J594" s="425"/>
      <c r="K594" s="426"/>
      <c r="L594" s="427"/>
    </row>
    <row r="595" spans="1:12" ht="12.75">
      <c r="A595" s="433"/>
      <c r="B595" s="434"/>
      <c r="C595" s="434"/>
      <c r="D595" s="434"/>
      <c r="E595" s="424"/>
      <c r="F595" s="414"/>
      <c r="G595" s="414"/>
      <c r="H595" s="414"/>
      <c r="I595" s="414"/>
      <c r="J595" s="425"/>
      <c r="K595" s="426"/>
      <c r="L595" s="427"/>
    </row>
    <row r="596" spans="1:12" ht="12.75">
      <c r="A596" s="433"/>
      <c r="B596" s="434"/>
      <c r="C596" s="434"/>
      <c r="D596" s="434"/>
      <c r="E596" s="424"/>
      <c r="F596" s="414"/>
      <c r="G596" s="414"/>
      <c r="H596" s="414"/>
      <c r="I596" s="414"/>
      <c r="J596" s="425"/>
      <c r="K596" s="426"/>
      <c r="L596" s="427"/>
    </row>
    <row r="597" spans="1:12" ht="12.75">
      <c r="A597" s="433"/>
      <c r="B597" s="434"/>
      <c r="C597" s="434"/>
      <c r="D597" s="434"/>
      <c r="E597" s="424"/>
      <c r="F597" s="414"/>
      <c r="G597" s="414"/>
      <c r="H597" s="414"/>
      <c r="I597" s="414"/>
      <c r="J597" s="425"/>
      <c r="K597" s="426"/>
      <c r="L597" s="427"/>
    </row>
    <row r="598" spans="1:12" ht="12.75">
      <c r="A598" s="433"/>
      <c r="B598" s="434"/>
      <c r="C598" s="434"/>
      <c r="D598" s="434"/>
      <c r="E598" s="424"/>
      <c r="F598" s="414"/>
      <c r="G598" s="414"/>
      <c r="H598" s="414"/>
      <c r="I598" s="414"/>
      <c r="J598" s="425"/>
      <c r="K598" s="426"/>
      <c r="L598" s="427"/>
    </row>
    <row r="599" spans="1:12" ht="12.75">
      <c r="A599" s="433"/>
      <c r="B599" s="434"/>
      <c r="C599" s="434"/>
      <c r="D599" s="434"/>
      <c r="E599" s="424"/>
      <c r="F599" s="414"/>
      <c r="G599" s="414"/>
      <c r="H599" s="414"/>
      <c r="I599" s="414"/>
      <c r="J599" s="425"/>
      <c r="K599" s="426"/>
      <c r="L599" s="427"/>
    </row>
    <row r="600" spans="1:12" ht="12.75">
      <c r="A600" s="433"/>
      <c r="B600" s="434"/>
      <c r="C600" s="434"/>
      <c r="D600" s="434"/>
      <c r="E600" s="424"/>
      <c r="F600" s="414"/>
      <c r="G600" s="414"/>
      <c r="H600" s="414"/>
      <c r="I600" s="414"/>
      <c r="J600" s="425"/>
      <c r="K600" s="426"/>
      <c r="L600" s="427"/>
    </row>
    <row r="601" spans="1:12" ht="12.75">
      <c r="A601" s="433"/>
      <c r="B601" s="434"/>
      <c r="C601" s="434"/>
      <c r="D601" s="434"/>
      <c r="E601" s="424"/>
      <c r="F601" s="414"/>
      <c r="G601" s="414"/>
      <c r="H601" s="414"/>
      <c r="I601" s="414"/>
      <c r="J601" s="425"/>
      <c r="K601" s="426"/>
      <c r="L601" s="427"/>
    </row>
    <row r="602" spans="1:12" ht="12.75">
      <c r="A602" s="433"/>
      <c r="B602" s="434"/>
      <c r="C602" s="434"/>
      <c r="D602" s="434"/>
      <c r="E602" s="424"/>
      <c r="F602" s="414"/>
      <c r="G602" s="414"/>
      <c r="H602" s="414"/>
      <c r="I602" s="414"/>
      <c r="J602" s="425"/>
      <c r="K602" s="426"/>
      <c r="L602" s="427"/>
    </row>
    <row r="603" spans="1:12" ht="12.75">
      <c r="A603" s="433"/>
      <c r="B603" s="434"/>
      <c r="C603" s="434"/>
      <c r="D603" s="434"/>
      <c r="E603" s="424"/>
      <c r="F603" s="414"/>
      <c r="G603" s="414"/>
      <c r="H603" s="414"/>
      <c r="I603" s="414"/>
      <c r="J603" s="425"/>
      <c r="K603" s="426"/>
      <c r="L603" s="427"/>
    </row>
    <row r="604" spans="1:12" ht="12.75">
      <c r="A604" s="433"/>
      <c r="B604" s="434"/>
      <c r="C604" s="434"/>
      <c r="D604" s="434"/>
      <c r="E604" s="424"/>
      <c r="F604" s="414"/>
      <c r="G604" s="414"/>
      <c r="H604" s="414"/>
      <c r="I604" s="414"/>
      <c r="J604" s="425"/>
      <c r="K604" s="426"/>
      <c r="L604" s="427"/>
    </row>
    <row r="605" spans="1:12" ht="12.75">
      <c r="A605" s="433"/>
      <c r="B605" s="434"/>
      <c r="C605" s="434"/>
      <c r="D605" s="434"/>
      <c r="E605" s="424"/>
      <c r="F605" s="414"/>
      <c r="G605" s="414"/>
      <c r="H605" s="414"/>
      <c r="I605" s="414"/>
      <c r="J605" s="425"/>
      <c r="K605" s="426"/>
      <c r="L605" s="427"/>
    </row>
    <row r="606" spans="1:12" ht="12.75">
      <c r="A606" s="433"/>
      <c r="B606" s="434"/>
      <c r="C606" s="434"/>
      <c r="D606" s="434"/>
      <c r="E606" s="424"/>
      <c r="F606" s="414"/>
      <c r="G606" s="414"/>
      <c r="H606" s="414"/>
      <c r="I606" s="414"/>
      <c r="J606" s="425"/>
      <c r="K606" s="426"/>
      <c r="L606" s="427"/>
    </row>
    <row r="607" spans="1:12" ht="12.75">
      <c r="A607" s="433"/>
      <c r="B607" s="434"/>
      <c r="C607" s="434"/>
      <c r="D607" s="434"/>
      <c r="E607" s="424"/>
      <c r="F607" s="414"/>
      <c r="G607" s="414"/>
      <c r="H607" s="414"/>
      <c r="I607" s="414"/>
      <c r="J607" s="425"/>
      <c r="K607" s="426"/>
      <c r="L607" s="427"/>
    </row>
    <row r="608" spans="1:12" ht="12.75">
      <c r="A608" s="433"/>
      <c r="B608" s="434"/>
      <c r="C608" s="434"/>
      <c r="D608" s="434"/>
      <c r="E608" s="424"/>
      <c r="F608" s="414"/>
      <c r="G608" s="414"/>
      <c r="H608" s="414"/>
      <c r="I608" s="414"/>
      <c r="J608" s="425"/>
      <c r="K608" s="426"/>
      <c r="L608" s="427"/>
    </row>
    <row r="609" spans="1:12" ht="12.75">
      <c r="A609" s="433"/>
      <c r="B609" s="434"/>
      <c r="C609" s="434"/>
      <c r="D609" s="434"/>
      <c r="E609" s="424"/>
      <c r="F609" s="414"/>
      <c r="G609" s="414"/>
      <c r="H609" s="414"/>
      <c r="I609" s="414"/>
      <c r="J609" s="425"/>
      <c r="K609" s="426"/>
      <c r="L609" s="427"/>
    </row>
    <row r="610" spans="1:12" ht="12.75">
      <c r="A610" s="433"/>
      <c r="B610" s="434"/>
      <c r="C610" s="434"/>
      <c r="D610" s="434"/>
      <c r="E610" s="424"/>
      <c r="F610" s="414"/>
      <c r="G610" s="414"/>
      <c r="H610" s="414"/>
      <c r="I610" s="414"/>
      <c r="J610" s="425"/>
      <c r="K610" s="426"/>
      <c r="L610" s="427"/>
    </row>
    <row r="611" spans="1:12" ht="12.75">
      <c r="A611" s="433"/>
      <c r="B611" s="434"/>
      <c r="C611" s="434"/>
      <c r="D611" s="434"/>
      <c r="E611" s="424"/>
      <c r="F611" s="414"/>
      <c r="G611" s="414"/>
      <c r="H611" s="414"/>
      <c r="I611" s="414"/>
      <c r="J611" s="425"/>
      <c r="K611" s="426"/>
      <c r="L611" s="427"/>
    </row>
    <row r="612" spans="1:12" ht="12.75">
      <c r="A612" s="433"/>
      <c r="B612" s="434"/>
      <c r="C612" s="434"/>
      <c r="D612" s="434"/>
      <c r="E612" s="424"/>
      <c r="F612" s="414"/>
      <c r="G612" s="414"/>
      <c r="H612" s="414"/>
      <c r="I612" s="414"/>
      <c r="J612" s="425"/>
      <c r="K612" s="426"/>
      <c r="L612" s="427"/>
    </row>
    <row r="613" spans="1:12" ht="12.75">
      <c r="A613" s="433"/>
      <c r="B613" s="434"/>
      <c r="C613" s="434"/>
      <c r="D613" s="434"/>
      <c r="E613" s="424"/>
      <c r="F613" s="414"/>
      <c r="G613" s="414"/>
      <c r="H613" s="414"/>
      <c r="I613" s="414"/>
      <c r="J613" s="425"/>
      <c r="K613" s="426"/>
      <c r="L613" s="427"/>
    </row>
    <row r="614" spans="1:12" ht="12.75">
      <c r="A614" s="433"/>
      <c r="B614" s="434"/>
      <c r="C614" s="434"/>
      <c r="D614" s="434"/>
      <c r="E614" s="424"/>
      <c r="F614" s="414"/>
      <c r="G614" s="414"/>
      <c r="H614" s="414"/>
      <c r="I614" s="414"/>
      <c r="J614" s="425"/>
      <c r="K614" s="426"/>
      <c r="L614" s="427"/>
    </row>
    <row r="615" spans="1:12" ht="12.75">
      <c r="A615" s="433"/>
      <c r="B615" s="434"/>
      <c r="C615" s="434"/>
      <c r="D615" s="434"/>
      <c r="E615" s="424"/>
      <c r="F615" s="414"/>
      <c r="G615" s="414"/>
      <c r="H615" s="414"/>
      <c r="I615" s="414"/>
      <c r="J615" s="425"/>
      <c r="K615" s="426"/>
      <c r="L615" s="427"/>
    </row>
    <row r="616" spans="1:12" ht="12.75">
      <c r="A616" s="433"/>
      <c r="B616" s="434"/>
      <c r="C616" s="434"/>
      <c r="D616" s="434"/>
      <c r="E616" s="424"/>
      <c r="F616" s="414"/>
      <c r="G616" s="414"/>
      <c r="H616" s="414"/>
      <c r="I616" s="414"/>
      <c r="J616" s="425"/>
      <c r="K616" s="426"/>
      <c r="L616" s="427"/>
    </row>
    <row r="617" spans="1:12" ht="12.75">
      <c r="A617" s="433"/>
      <c r="B617" s="434"/>
      <c r="C617" s="434"/>
      <c r="D617" s="434"/>
      <c r="E617" s="424"/>
      <c r="F617" s="414"/>
      <c r="G617" s="414"/>
      <c r="H617" s="414"/>
      <c r="I617" s="414"/>
      <c r="J617" s="425"/>
      <c r="K617" s="426"/>
      <c r="L617" s="427"/>
    </row>
    <row r="618" spans="1:12" ht="12.75">
      <c r="A618" s="433"/>
      <c r="B618" s="434"/>
      <c r="C618" s="434"/>
      <c r="D618" s="434"/>
      <c r="E618" s="424"/>
      <c r="F618" s="414"/>
      <c r="G618" s="414"/>
      <c r="H618" s="414"/>
      <c r="I618" s="414"/>
      <c r="J618" s="425"/>
      <c r="K618" s="426"/>
      <c r="L618" s="427"/>
    </row>
    <row r="619" spans="1:12" ht="12.75">
      <c r="A619" s="433"/>
      <c r="B619" s="434"/>
      <c r="C619" s="434"/>
      <c r="D619" s="434"/>
      <c r="E619" s="424"/>
      <c r="F619" s="414"/>
      <c r="G619" s="414"/>
      <c r="H619" s="414"/>
      <c r="I619" s="414"/>
      <c r="J619" s="425"/>
      <c r="K619" s="426"/>
      <c r="L619" s="427"/>
    </row>
    <row r="620" spans="1:12" ht="12.75">
      <c r="A620" s="433"/>
      <c r="B620" s="434"/>
      <c r="C620" s="434"/>
      <c r="D620" s="434"/>
      <c r="E620" s="424"/>
      <c r="F620" s="414"/>
      <c r="G620" s="414"/>
      <c r="H620" s="414"/>
      <c r="I620" s="414"/>
      <c r="J620" s="425"/>
      <c r="K620" s="426"/>
      <c r="L620" s="427"/>
    </row>
    <row r="621" spans="1:12" ht="12.75">
      <c r="A621" s="433"/>
      <c r="B621" s="434"/>
      <c r="C621" s="434"/>
      <c r="D621" s="434"/>
      <c r="E621" s="424"/>
      <c r="F621" s="414"/>
      <c r="G621" s="414"/>
      <c r="H621" s="414"/>
      <c r="I621" s="414"/>
      <c r="J621" s="425"/>
      <c r="K621" s="426"/>
      <c r="L621" s="427"/>
    </row>
    <row r="622" spans="1:12" ht="12.75">
      <c r="A622" s="433"/>
      <c r="B622" s="434"/>
      <c r="C622" s="434"/>
      <c r="D622" s="434"/>
      <c r="E622" s="424"/>
      <c r="F622" s="414"/>
      <c r="G622" s="414"/>
      <c r="H622" s="414"/>
      <c r="I622" s="414"/>
      <c r="J622" s="425"/>
      <c r="K622" s="426"/>
      <c r="L622" s="427"/>
    </row>
    <row r="623" spans="1:12" ht="12.75">
      <c r="A623" s="433"/>
      <c r="B623" s="434"/>
      <c r="C623" s="434"/>
      <c r="D623" s="434"/>
      <c r="E623" s="424"/>
      <c r="F623" s="414"/>
      <c r="G623" s="414"/>
      <c r="H623" s="414"/>
      <c r="I623" s="414"/>
      <c r="J623" s="425"/>
      <c r="K623" s="426"/>
      <c r="L623" s="427"/>
    </row>
    <row r="624" spans="1:12" ht="12.75">
      <c r="A624" s="433"/>
      <c r="B624" s="434"/>
      <c r="C624" s="434"/>
      <c r="D624" s="434"/>
      <c r="E624" s="424"/>
      <c r="F624" s="414"/>
      <c r="G624" s="414"/>
      <c r="H624" s="414"/>
      <c r="I624" s="414"/>
      <c r="J624" s="425"/>
      <c r="K624" s="426"/>
      <c r="L624" s="427"/>
    </row>
    <row r="625" spans="1:12" ht="12.75">
      <c r="A625" s="433"/>
      <c r="B625" s="434"/>
      <c r="C625" s="434"/>
      <c r="D625" s="434"/>
      <c r="E625" s="424"/>
      <c r="F625" s="414"/>
      <c r="G625" s="414"/>
      <c r="H625" s="414"/>
      <c r="I625" s="414"/>
      <c r="J625" s="425"/>
      <c r="K625" s="426"/>
      <c r="L625" s="427"/>
    </row>
    <row r="626" spans="1:12" ht="12.75">
      <c r="A626" s="433"/>
      <c r="B626" s="434"/>
      <c r="C626" s="434"/>
      <c r="D626" s="434"/>
      <c r="E626" s="424"/>
      <c r="F626" s="414"/>
      <c r="G626" s="414"/>
      <c r="H626" s="414"/>
      <c r="I626" s="414"/>
      <c r="J626" s="425"/>
      <c r="K626" s="426"/>
      <c r="L626" s="427"/>
    </row>
    <row r="627" spans="1:12" ht="12.75">
      <c r="A627" s="433"/>
      <c r="B627" s="434"/>
      <c r="C627" s="434"/>
      <c r="D627" s="434"/>
      <c r="E627" s="424"/>
      <c r="F627" s="414"/>
      <c r="G627" s="414"/>
      <c r="H627" s="414"/>
      <c r="I627" s="414"/>
      <c r="J627" s="425"/>
      <c r="K627" s="426"/>
      <c r="L627" s="427"/>
    </row>
    <row r="628" spans="1:12" ht="12.75">
      <c r="A628" s="433"/>
      <c r="B628" s="434"/>
      <c r="C628" s="434"/>
      <c r="D628" s="434"/>
      <c r="E628" s="424"/>
      <c r="F628" s="414"/>
      <c r="G628" s="414"/>
      <c r="H628" s="414"/>
      <c r="I628" s="414"/>
      <c r="J628" s="425"/>
      <c r="K628" s="426"/>
      <c r="L628" s="427"/>
    </row>
    <row r="629" spans="1:12" ht="12.75">
      <c r="A629" s="433"/>
      <c r="B629" s="434"/>
      <c r="C629" s="434"/>
      <c r="D629" s="434"/>
      <c r="E629" s="424"/>
      <c r="F629" s="414"/>
      <c r="G629" s="414"/>
      <c r="H629" s="414"/>
      <c r="I629" s="414"/>
      <c r="J629" s="425"/>
      <c r="K629" s="426"/>
      <c r="L629" s="427"/>
    </row>
    <row r="630" spans="1:12" ht="12.75">
      <c r="A630" s="433"/>
      <c r="B630" s="434"/>
      <c r="C630" s="434"/>
      <c r="D630" s="434"/>
      <c r="E630" s="424"/>
      <c r="F630" s="414"/>
      <c r="G630" s="414"/>
      <c r="H630" s="414"/>
      <c r="I630" s="414"/>
      <c r="J630" s="425"/>
      <c r="K630" s="426"/>
      <c r="L630" s="427"/>
    </row>
    <row r="631" spans="1:12" ht="12.75">
      <c r="A631" s="433"/>
      <c r="B631" s="434"/>
      <c r="C631" s="434"/>
      <c r="D631" s="434"/>
      <c r="E631" s="424"/>
      <c r="F631" s="414"/>
      <c r="G631" s="414"/>
      <c r="H631" s="414"/>
      <c r="I631" s="414"/>
      <c r="J631" s="425"/>
      <c r="K631" s="426"/>
      <c r="L631" s="427"/>
    </row>
    <row r="632" spans="1:12" ht="12.75">
      <c r="A632" s="433"/>
      <c r="B632" s="434"/>
      <c r="C632" s="434"/>
      <c r="D632" s="434"/>
      <c r="E632" s="424"/>
      <c r="F632" s="414"/>
      <c r="G632" s="414"/>
      <c r="H632" s="414"/>
      <c r="I632" s="414"/>
      <c r="J632" s="425"/>
      <c r="K632" s="426"/>
      <c r="L632" s="427"/>
    </row>
    <row r="633" spans="1:12" ht="12.75">
      <c r="A633" s="433"/>
      <c r="B633" s="434"/>
      <c r="C633" s="434"/>
      <c r="D633" s="434"/>
      <c r="E633" s="424"/>
      <c r="F633" s="414"/>
      <c r="G633" s="414"/>
      <c r="H633" s="414"/>
      <c r="I633" s="414"/>
      <c r="J633" s="425"/>
      <c r="K633" s="426"/>
      <c r="L633" s="427"/>
    </row>
    <row r="634" spans="1:12" ht="12.75">
      <c r="A634" s="433"/>
      <c r="B634" s="434"/>
      <c r="C634" s="434"/>
      <c r="D634" s="434"/>
      <c r="E634" s="424"/>
      <c r="F634" s="414"/>
      <c r="G634" s="414"/>
      <c r="H634" s="414"/>
      <c r="I634" s="414"/>
      <c r="J634" s="425"/>
      <c r="K634" s="426"/>
      <c r="L634" s="427"/>
    </row>
    <row r="635" spans="1:12" ht="12.75">
      <c r="A635" s="433"/>
      <c r="B635" s="434"/>
      <c r="C635" s="434"/>
      <c r="D635" s="434"/>
      <c r="E635" s="424"/>
      <c r="F635" s="414"/>
      <c r="G635" s="414"/>
      <c r="H635" s="414"/>
      <c r="I635" s="414"/>
      <c r="J635" s="425"/>
      <c r="K635" s="426"/>
      <c r="L635" s="427"/>
    </row>
    <row r="636" spans="1:12" ht="12.75">
      <c r="A636" s="433"/>
      <c r="B636" s="434"/>
      <c r="C636" s="434"/>
      <c r="D636" s="434"/>
      <c r="E636" s="424"/>
      <c r="F636" s="414"/>
      <c r="G636" s="414"/>
      <c r="H636" s="414"/>
      <c r="I636" s="414"/>
      <c r="J636" s="425"/>
      <c r="K636" s="426"/>
      <c r="L636" s="427"/>
    </row>
    <row r="637" spans="1:12" ht="12.75">
      <c r="A637" s="433"/>
      <c r="B637" s="434"/>
      <c r="C637" s="434"/>
      <c r="D637" s="434"/>
      <c r="E637" s="424"/>
      <c r="F637" s="414"/>
      <c r="G637" s="414"/>
      <c r="H637" s="414"/>
      <c r="I637" s="414"/>
      <c r="J637" s="425"/>
      <c r="K637" s="426"/>
      <c r="L637" s="427"/>
    </row>
    <row r="638" spans="1:12" ht="12.75">
      <c r="A638" s="433"/>
      <c r="B638" s="434"/>
      <c r="C638" s="434"/>
      <c r="D638" s="434"/>
      <c r="E638" s="424"/>
      <c r="F638" s="414"/>
      <c r="G638" s="414"/>
      <c r="H638" s="414"/>
      <c r="I638" s="414"/>
      <c r="J638" s="425"/>
      <c r="K638" s="426"/>
      <c r="L638" s="427"/>
    </row>
    <row r="639" spans="1:12" ht="12.75">
      <c r="A639" s="433"/>
      <c r="B639" s="434"/>
      <c r="C639" s="434"/>
      <c r="D639" s="434"/>
      <c r="E639" s="424"/>
      <c r="F639" s="414"/>
      <c r="G639" s="414"/>
      <c r="H639" s="414"/>
      <c r="I639" s="414"/>
      <c r="J639" s="425"/>
      <c r="K639" s="426"/>
      <c r="L639" s="427"/>
    </row>
    <row r="640" spans="1:12" ht="12.75">
      <c r="A640" s="433"/>
      <c r="B640" s="434"/>
      <c r="C640" s="434"/>
      <c r="D640" s="434"/>
      <c r="E640" s="424"/>
      <c r="F640" s="414"/>
      <c r="G640" s="414"/>
      <c r="H640" s="414"/>
      <c r="I640" s="414"/>
      <c r="J640" s="425"/>
      <c r="K640" s="426"/>
      <c r="L640" s="427"/>
    </row>
    <row r="641" spans="1:12" ht="12.75">
      <c r="A641" s="433"/>
      <c r="B641" s="434"/>
      <c r="C641" s="434"/>
      <c r="D641" s="434"/>
      <c r="E641" s="424"/>
      <c r="F641" s="414"/>
      <c r="G641" s="414"/>
      <c r="H641" s="414"/>
      <c r="I641" s="414"/>
      <c r="J641" s="425"/>
      <c r="K641" s="426"/>
      <c r="L641" s="427"/>
    </row>
    <row r="642" spans="1:12" ht="12.75">
      <c r="A642" s="433"/>
      <c r="B642" s="434"/>
      <c r="C642" s="434"/>
      <c r="D642" s="434"/>
      <c r="E642" s="424"/>
      <c r="F642" s="414"/>
      <c r="G642" s="414"/>
      <c r="H642" s="414"/>
      <c r="I642" s="414"/>
      <c r="J642" s="425"/>
      <c r="K642" s="426"/>
      <c r="L642" s="427"/>
    </row>
    <row r="643" spans="1:12" ht="12.75">
      <c r="A643" s="433"/>
      <c r="B643" s="434"/>
      <c r="C643" s="434"/>
      <c r="D643" s="434"/>
      <c r="E643" s="424"/>
      <c r="F643" s="414"/>
      <c r="G643" s="414"/>
      <c r="H643" s="414"/>
      <c r="I643" s="414"/>
      <c r="J643" s="425"/>
      <c r="K643" s="426"/>
      <c r="L643" s="427"/>
    </row>
    <row r="644" spans="1:12" ht="12.75">
      <c r="A644" s="433"/>
      <c r="B644" s="434"/>
      <c r="C644" s="434"/>
      <c r="D644" s="434"/>
      <c r="E644" s="424"/>
      <c r="F644" s="414"/>
      <c r="G644" s="414"/>
      <c r="H644" s="414"/>
      <c r="I644" s="414"/>
      <c r="J644" s="425"/>
      <c r="K644" s="426"/>
      <c r="L644" s="427"/>
    </row>
    <row r="645" spans="1:12" ht="12.75">
      <c r="A645" s="433"/>
      <c r="B645" s="434"/>
      <c r="C645" s="434"/>
      <c r="D645" s="434"/>
      <c r="E645" s="424"/>
      <c r="F645" s="414"/>
      <c r="G645" s="414"/>
      <c r="H645" s="414"/>
      <c r="I645" s="414"/>
      <c r="J645" s="425"/>
      <c r="K645" s="426"/>
      <c r="L645" s="427"/>
    </row>
    <row r="646" spans="1:12" ht="12.75">
      <c r="A646" s="433"/>
      <c r="B646" s="434"/>
      <c r="C646" s="434"/>
      <c r="D646" s="434"/>
      <c r="E646" s="424"/>
      <c r="F646" s="414"/>
      <c r="G646" s="414"/>
      <c r="H646" s="414"/>
      <c r="I646" s="414"/>
      <c r="J646" s="425"/>
      <c r="K646" s="426"/>
      <c r="L646" s="427"/>
    </row>
    <row r="647" spans="1:12" ht="12.75">
      <c r="A647" s="433"/>
      <c r="B647" s="434"/>
      <c r="C647" s="434"/>
      <c r="D647" s="434"/>
      <c r="E647" s="424"/>
      <c r="F647" s="414"/>
      <c r="G647" s="414"/>
      <c r="H647" s="414"/>
      <c r="I647" s="414"/>
      <c r="J647" s="425"/>
      <c r="K647" s="426"/>
      <c r="L647" s="427"/>
    </row>
    <row r="648" spans="1:12" ht="12.75">
      <c r="A648" s="433"/>
      <c r="B648" s="434"/>
      <c r="C648" s="434"/>
      <c r="D648" s="434"/>
      <c r="E648" s="424"/>
      <c r="F648" s="414"/>
      <c r="G648" s="414"/>
      <c r="H648" s="414"/>
      <c r="I648" s="414"/>
      <c r="J648" s="425"/>
      <c r="K648" s="426"/>
      <c r="L648" s="427"/>
    </row>
    <row r="649" spans="1:12" ht="12.75">
      <c r="A649" s="433"/>
      <c r="B649" s="434"/>
      <c r="C649" s="434"/>
      <c r="D649" s="434"/>
      <c r="E649" s="424"/>
      <c r="F649" s="414"/>
      <c r="G649" s="414"/>
      <c r="H649" s="414"/>
      <c r="I649" s="414"/>
      <c r="J649" s="425"/>
      <c r="K649" s="426"/>
      <c r="L649" s="427"/>
    </row>
    <row r="650" spans="1:12" ht="12.75">
      <c r="A650" s="433"/>
      <c r="B650" s="434"/>
      <c r="C650" s="434"/>
      <c r="D650" s="434"/>
      <c r="E650" s="424"/>
      <c r="F650" s="414"/>
      <c r="G650" s="414"/>
      <c r="H650" s="414"/>
      <c r="I650" s="414"/>
      <c r="J650" s="425"/>
      <c r="K650" s="426"/>
      <c r="L650" s="427"/>
    </row>
    <row r="651" spans="1:12" ht="12.75">
      <c r="A651" s="433"/>
      <c r="B651" s="434"/>
      <c r="C651" s="434"/>
      <c r="D651" s="434"/>
      <c r="E651" s="424"/>
      <c r="F651" s="414"/>
      <c r="G651" s="414"/>
      <c r="H651" s="414"/>
      <c r="I651" s="414"/>
      <c r="J651" s="425"/>
      <c r="K651" s="426"/>
      <c r="L651" s="427"/>
    </row>
    <row r="652" spans="1:12" ht="12.75">
      <c r="A652" s="433"/>
      <c r="B652" s="434"/>
      <c r="C652" s="434"/>
      <c r="D652" s="434"/>
      <c r="E652" s="424"/>
      <c r="F652" s="414"/>
      <c r="G652" s="414"/>
      <c r="H652" s="414"/>
      <c r="I652" s="414"/>
      <c r="J652" s="425"/>
      <c r="K652" s="426"/>
      <c r="L652" s="427"/>
    </row>
    <row r="653" spans="1:12" ht="12.75">
      <c r="A653" s="433"/>
      <c r="B653" s="434"/>
      <c r="C653" s="434"/>
      <c r="D653" s="434"/>
      <c r="E653" s="424"/>
      <c r="F653" s="414"/>
      <c r="G653" s="414"/>
      <c r="H653" s="414"/>
      <c r="I653" s="414"/>
      <c r="J653" s="425"/>
      <c r="K653" s="426"/>
      <c r="L653" s="427"/>
    </row>
    <row r="654" spans="1:12" ht="12.75">
      <c r="A654" s="433"/>
      <c r="B654" s="434"/>
      <c r="C654" s="434"/>
      <c r="D654" s="434"/>
      <c r="E654" s="424"/>
      <c r="F654" s="414"/>
      <c r="G654" s="414"/>
      <c r="H654" s="414"/>
      <c r="I654" s="414"/>
      <c r="J654" s="425"/>
      <c r="K654" s="426"/>
      <c r="L654" s="427"/>
    </row>
    <row r="655" spans="1:12" ht="12.75">
      <c r="A655" s="433"/>
      <c r="B655" s="434"/>
      <c r="C655" s="434"/>
      <c r="D655" s="434"/>
      <c r="E655" s="424"/>
      <c r="F655" s="414"/>
      <c r="G655" s="414"/>
      <c r="H655" s="414"/>
      <c r="I655" s="414"/>
      <c r="J655" s="425"/>
      <c r="K655" s="426"/>
      <c r="L655" s="427"/>
    </row>
    <row r="656" spans="1:12" ht="12.75">
      <c r="A656" s="433"/>
      <c r="B656" s="434"/>
      <c r="C656" s="434"/>
      <c r="D656" s="434"/>
      <c r="E656" s="424"/>
      <c r="F656" s="414"/>
      <c r="G656" s="414"/>
      <c r="H656" s="414"/>
      <c r="I656" s="414"/>
      <c r="J656" s="425"/>
      <c r="K656" s="426"/>
      <c r="L656" s="427"/>
    </row>
    <row r="657" spans="1:12" ht="12.75">
      <c r="A657" s="433"/>
      <c r="B657" s="434"/>
      <c r="C657" s="434"/>
      <c r="D657" s="434"/>
      <c r="E657" s="424"/>
      <c r="F657" s="414"/>
      <c r="G657" s="414"/>
      <c r="H657" s="414"/>
      <c r="I657" s="414"/>
      <c r="J657" s="425"/>
      <c r="K657" s="426"/>
      <c r="L657" s="427"/>
    </row>
    <row r="658" spans="1:12" ht="12.75">
      <c r="A658" s="433"/>
      <c r="B658" s="434"/>
      <c r="C658" s="434"/>
      <c r="D658" s="434"/>
      <c r="E658" s="424"/>
      <c r="F658" s="414"/>
      <c r="G658" s="414"/>
      <c r="H658" s="414"/>
      <c r="I658" s="414"/>
      <c r="J658" s="425"/>
      <c r="K658" s="426"/>
      <c r="L658" s="427"/>
    </row>
    <row r="659" spans="1:12" ht="12.75">
      <c r="A659" s="433"/>
      <c r="B659" s="434"/>
      <c r="C659" s="434"/>
      <c r="D659" s="434"/>
      <c r="E659" s="424"/>
      <c r="F659" s="414"/>
      <c r="G659" s="414"/>
      <c r="H659" s="414"/>
      <c r="I659" s="414"/>
      <c r="J659" s="425"/>
      <c r="K659" s="426"/>
      <c r="L659" s="427"/>
    </row>
    <row r="660" spans="1:12" ht="12.75">
      <c r="A660" s="433"/>
      <c r="B660" s="434"/>
      <c r="C660" s="434"/>
      <c r="D660" s="434"/>
      <c r="E660" s="424"/>
      <c r="F660" s="414"/>
      <c r="G660" s="414"/>
      <c r="H660" s="414"/>
      <c r="I660" s="414"/>
      <c r="J660" s="425"/>
      <c r="K660" s="426"/>
      <c r="L660" s="427"/>
    </row>
    <row r="661" spans="1:12" ht="12.75">
      <c r="A661" s="433"/>
      <c r="B661" s="434"/>
      <c r="C661" s="434"/>
      <c r="D661" s="434"/>
      <c r="E661" s="424"/>
      <c r="F661" s="414"/>
      <c r="G661" s="414"/>
      <c r="H661" s="414"/>
      <c r="I661" s="414"/>
      <c r="J661" s="425"/>
      <c r="K661" s="426"/>
      <c r="L661" s="427"/>
    </row>
    <row r="662" spans="1:12" ht="12.75">
      <c r="A662" s="433"/>
      <c r="B662" s="434"/>
      <c r="C662" s="434"/>
      <c r="D662" s="434"/>
      <c r="E662" s="424"/>
      <c r="F662" s="414"/>
      <c r="G662" s="414"/>
      <c r="H662" s="414"/>
      <c r="I662" s="414"/>
      <c r="J662" s="425"/>
      <c r="K662" s="426"/>
      <c r="L662" s="427"/>
    </row>
    <row r="663" spans="1:12" ht="12.75">
      <c r="A663" s="433"/>
      <c r="B663" s="434"/>
      <c r="C663" s="434"/>
      <c r="D663" s="434"/>
      <c r="E663" s="424"/>
      <c r="F663" s="414"/>
      <c r="G663" s="414"/>
      <c r="H663" s="414"/>
      <c r="I663" s="414"/>
      <c r="J663" s="425"/>
      <c r="K663" s="426"/>
      <c r="L663" s="427"/>
    </row>
    <row r="664" spans="1:12" ht="12.75">
      <c r="A664" s="433"/>
      <c r="B664" s="434"/>
      <c r="C664" s="434"/>
      <c r="D664" s="434"/>
      <c r="E664" s="424"/>
      <c r="F664" s="414"/>
      <c r="G664" s="414"/>
      <c r="H664" s="414"/>
      <c r="I664" s="414"/>
      <c r="J664" s="425"/>
      <c r="K664" s="426"/>
      <c r="L664" s="427"/>
    </row>
    <row r="665" spans="1:12" ht="12.75">
      <c r="A665" s="433"/>
      <c r="B665" s="434"/>
      <c r="C665" s="434"/>
      <c r="D665" s="434"/>
      <c r="E665" s="424"/>
      <c r="F665" s="414"/>
      <c r="G665" s="414"/>
      <c r="H665" s="414"/>
      <c r="I665" s="414"/>
      <c r="J665" s="425"/>
      <c r="K665" s="426"/>
      <c r="L665" s="427"/>
    </row>
    <row r="666" spans="1:12" ht="12.75">
      <c r="A666" s="433"/>
      <c r="B666" s="434"/>
      <c r="C666" s="434"/>
      <c r="D666" s="434"/>
      <c r="E666" s="424"/>
      <c r="F666" s="414"/>
      <c r="G666" s="414"/>
      <c r="H666" s="414"/>
      <c r="I666" s="414"/>
      <c r="J666" s="425"/>
      <c r="K666" s="426"/>
      <c r="L666" s="427"/>
    </row>
    <row r="667" spans="1:12" ht="12.75">
      <c r="A667" s="433"/>
      <c r="B667" s="434"/>
      <c r="C667" s="434"/>
      <c r="D667" s="434"/>
      <c r="E667" s="424"/>
      <c r="F667" s="414"/>
      <c r="G667" s="414"/>
      <c r="H667" s="414"/>
      <c r="I667" s="414"/>
      <c r="J667" s="425"/>
      <c r="K667" s="426"/>
      <c r="L667" s="427"/>
    </row>
    <row r="668" spans="1:12" ht="12.75">
      <c r="A668" s="433"/>
      <c r="B668" s="434"/>
      <c r="C668" s="434"/>
      <c r="D668" s="434"/>
      <c r="E668" s="424"/>
      <c r="F668" s="414"/>
      <c r="G668" s="414"/>
      <c r="H668" s="414"/>
      <c r="I668" s="414"/>
      <c r="J668" s="425"/>
      <c r="K668" s="426"/>
      <c r="L668" s="427"/>
    </row>
    <row r="669" spans="1:12" ht="12.75">
      <c r="A669" s="433"/>
      <c r="B669" s="434"/>
      <c r="C669" s="434"/>
      <c r="D669" s="434"/>
      <c r="E669" s="424"/>
      <c r="F669" s="414"/>
      <c r="G669" s="414"/>
      <c r="H669" s="414"/>
      <c r="I669" s="414"/>
      <c r="J669" s="425"/>
      <c r="K669" s="426"/>
      <c r="L669" s="427"/>
    </row>
    <row r="670" spans="1:12" ht="12.75">
      <c r="A670" s="433"/>
      <c r="B670" s="434"/>
      <c r="C670" s="434"/>
      <c r="D670" s="434"/>
      <c r="E670" s="424"/>
      <c r="F670" s="414"/>
      <c r="G670" s="414"/>
      <c r="H670" s="414"/>
      <c r="I670" s="414"/>
      <c r="J670" s="425"/>
      <c r="K670" s="426"/>
      <c r="L670" s="427"/>
    </row>
    <row r="671" spans="1:12" ht="12.75">
      <c r="A671" s="433"/>
      <c r="B671" s="434"/>
      <c r="C671" s="434"/>
      <c r="D671" s="434"/>
      <c r="E671" s="424"/>
      <c r="F671" s="414"/>
      <c r="G671" s="414"/>
      <c r="H671" s="414"/>
      <c r="I671" s="414"/>
      <c r="J671" s="425"/>
      <c r="K671" s="426"/>
      <c r="L671" s="427"/>
    </row>
    <row r="672" spans="1:12" ht="12.75">
      <c r="A672" s="433"/>
      <c r="B672" s="434"/>
      <c r="C672" s="434"/>
      <c r="D672" s="434"/>
      <c r="E672" s="424"/>
      <c r="F672" s="414"/>
      <c r="G672" s="414"/>
      <c r="H672" s="414"/>
      <c r="I672" s="414"/>
      <c r="J672" s="425"/>
      <c r="K672" s="426"/>
      <c r="L672" s="427"/>
    </row>
    <row r="673" spans="1:12" ht="12.75">
      <c r="A673" s="433"/>
      <c r="B673" s="434"/>
      <c r="C673" s="434"/>
      <c r="D673" s="434"/>
      <c r="E673" s="424"/>
      <c r="F673" s="414"/>
      <c r="G673" s="414"/>
      <c r="H673" s="414"/>
      <c r="I673" s="414"/>
      <c r="J673" s="425"/>
      <c r="K673" s="426"/>
      <c r="L673" s="427"/>
    </row>
    <row r="674" spans="1:12" ht="12.75">
      <c r="A674" s="433"/>
      <c r="B674" s="434"/>
      <c r="C674" s="434"/>
      <c r="D674" s="434"/>
      <c r="E674" s="424"/>
      <c r="F674" s="414"/>
      <c r="G674" s="414"/>
      <c r="H674" s="414"/>
      <c r="I674" s="414"/>
      <c r="J674" s="425"/>
      <c r="K674" s="426"/>
      <c r="L674" s="427"/>
    </row>
    <row r="675" spans="1:12" ht="12.75">
      <c r="A675" s="433"/>
      <c r="B675" s="434"/>
      <c r="C675" s="434"/>
      <c r="D675" s="434"/>
      <c r="E675" s="424"/>
      <c r="F675" s="414"/>
      <c r="G675" s="414"/>
      <c r="H675" s="414"/>
      <c r="I675" s="414"/>
      <c r="J675" s="425"/>
      <c r="K675" s="426"/>
      <c r="L675" s="427"/>
    </row>
    <row r="676" spans="1:12" ht="12.75">
      <c r="A676" s="433"/>
      <c r="B676" s="434"/>
      <c r="C676" s="434"/>
      <c r="D676" s="434"/>
      <c r="E676" s="424"/>
      <c r="F676" s="414"/>
      <c r="G676" s="414"/>
      <c r="H676" s="414"/>
      <c r="I676" s="414"/>
      <c r="J676" s="425"/>
      <c r="K676" s="426"/>
      <c r="L676" s="427"/>
    </row>
    <row r="677" spans="1:12" ht="12.75">
      <c r="A677" s="433"/>
      <c r="B677" s="434"/>
      <c r="C677" s="434"/>
      <c r="D677" s="434"/>
      <c r="E677" s="424"/>
      <c r="F677" s="414"/>
      <c r="G677" s="414"/>
      <c r="H677" s="414"/>
      <c r="I677" s="414"/>
      <c r="J677" s="425"/>
      <c r="K677" s="426"/>
      <c r="L677" s="427"/>
    </row>
    <row r="678" spans="1:12" ht="12.75">
      <c r="A678" s="433"/>
      <c r="B678" s="434"/>
      <c r="C678" s="434"/>
      <c r="D678" s="434"/>
      <c r="E678" s="424"/>
      <c r="F678" s="414"/>
      <c r="G678" s="414"/>
      <c r="H678" s="414"/>
      <c r="I678" s="414"/>
      <c r="J678" s="425"/>
      <c r="K678" s="426"/>
      <c r="L678" s="427"/>
    </row>
    <row r="679" spans="1:12" ht="12.75">
      <c r="A679" s="433"/>
      <c r="B679" s="434"/>
      <c r="C679" s="434"/>
      <c r="D679" s="434"/>
      <c r="E679" s="424"/>
      <c r="F679" s="414"/>
      <c r="G679" s="414"/>
      <c r="H679" s="414"/>
      <c r="I679" s="414"/>
      <c r="J679" s="425"/>
      <c r="K679" s="426"/>
      <c r="L679" s="427"/>
    </row>
    <row r="680" spans="1:12" ht="12.75">
      <c r="A680" s="433"/>
      <c r="B680" s="434"/>
      <c r="C680" s="434"/>
      <c r="D680" s="434"/>
      <c r="E680" s="424"/>
      <c r="F680" s="414"/>
      <c r="G680" s="414"/>
      <c r="H680" s="414"/>
      <c r="I680" s="414"/>
      <c r="J680" s="425"/>
      <c r="K680" s="426"/>
      <c r="L680" s="427"/>
    </row>
    <row r="681" spans="1:12" ht="12.75">
      <c r="A681" s="433"/>
      <c r="B681" s="434"/>
      <c r="C681" s="434"/>
      <c r="D681" s="434"/>
      <c r="E681" s="424"/>
      <c r="F681" s="414"/>
      <c r="G681" s="414"/>
      <c r="H681" s="414"/>
      <c r="I681" s="414"/>
      <c r="J681" s="425"/>
      <c r="K681" s="426"/>
      <c r="L681" s="427"/>
    </row>
    <row r="682" spans="1:12" ht="12.75">
      <c r="A682" s="433"/>
      <c r="B682" s="434"/>
      <c r="C682" s="434"/>
      <c r="D682" s="434"/>
      <c r="E682" s="424"/>
      <c r="F682" s="414"/>
      <c r="G682" s="414"/>
      <c r="H682" s="414"/>
      <c r="I682" s="414"/>
      <c r="J682" s="425"/>
      <c r="K682" s="426"/>
      <c r="L682" s="427"/>
    </row>
    <row r="683" spans="1:12" ht="12.75">
      <c r="A683" s="433"/>
      <c r="B683" s="434"/>
      <c r="C683" s="434"/>
      <c r="D683" s="434"/>
      <c r="E683" s="424"/>
      <c r="F683" s="414"/>
      <c r="G683" s="414"/>
      <c r="H683" s="414"/>
      <c r="I683" s="414"/>
      <c r="J683" s="425"/>
      <c r="K683" s="426"/>
      <c r="L683" s="427"/>
    </row>
    <row r="684" spans="1:12" ht="12.75">
      <c r="A684" s="433"/>
      <c r="B684" s="434"/>
      <c r="C684" s="434"/>
      <c r="D684" s="434"/>
      <c r="E684" s="424"/>
      <c r="F684" s="414"/>
      <c r="G684" s="414"/>
      <c r="H684" s="414"/>
      <c r="I684" s="414"/>
      <c r="J684" s="425"/>
      <c r="K684" s="426"/>
      <c r="L684" s="427"/>
    </row>
    <row r="685" spans="1:12" ht="12.75">
      <c r="A685" s="433"/>
      <c r="B685" s="434"/>
      <c r="C685" s="434"/>
      <c r="D685" s="434"/>
      <c r="E685" s="424"/>
      <c r="F685" s="414"/>
      <c r="G685" s="414"/>
      <c r="H685" s="414"/>
      <c r="I685" s="414"/>
      <c r="J685" s="425"/>
      <c r="K685" s="426"/>
      <c r="L685" s="427"/>
    </row>
    <row r="686" spans="1:12" ht="12.75">
      <c r="A686" s="433"/>
      <c r="B686" s="434"/>
      <c r="C686" s="434"/>
      <c r="D686" s="434"/>
      <c r="E686" s="424"/>
      <c r="F686" s="414"/>
      <c r="G686" s="414"/>
      <c r="H686" s="414"/>
      <c r="I686" s="414"/>
      <c r="J686" s="425"/>
      <c r="K686" s="426"/>
      <c r="L686" s="427"/>
    </row>
    <row r="687" spans="1:12" ht="12.75">
      <c r="A687" s="433"/>
      <c r="B687" s="434"/>
      <c r="C687" s="434"/>
      <c r="D687" s="434"/>
      <c r="E687" s="424"/>
      <c r="F687" s="414"/>
      <c r="G687" s="414"/>
      <c r="H687" s="414"/>
      <c r="I687" s="414"/>
      <c r="J687" s="425"/>
      <c r="K687" s="426"/>
      <c r="L687" s="427"/>
    </row>
    <row r="688" spans="1:12" ht="12.75">
      <c r="A688" s="433"/>
      <c r="B688" s="434"/>
      <c r="C688" s="434"/>
      <c r="D688" s="434"/>
      <c r="E688" s="424"/>
      <c r="F688" s="414"/>
      <c r="G688" s="414"/>
      <c r="H688" s="414"/>
      <c r="I688" s="414"/>
      <c r="J688" s="425"/>
      <c r="K688" s="426"/>
      <c r="L688" s="427"/>
    </row>
    <row r="689" spans="1:12" ht="12.75">
      <c r="A689" s="433"/>
      <c r="B689" s="434"/>
      <c r="C689" s="434"/>
      <c r="D689" s="434"/>
      <c r="E689" s="424"/>
      <c r="F689" s="414"/>
      <c r="G689" s="414"/>
      <c r="H689" s="414"/>
      <c r="I689" s="414"/>
      <c r="J689" s="425"/>
      <c r="K689" s="426"/>
      <c r="L689" s="427"/>
    </row>
    <row r="690" spans="1:12" ht="12.75">
      <c r="A690" s="433"/>
      <c r="B690" s="434"/>
      <c r="C690" s="434"/>
      <c r="D690" s="434"/>
      <c r="E690" s="424"/>
      <c r="F690" s="414"/>
      <c r="G690" s="414"/>
      <c r="H690" s="414"/>
      <c r="I690" s="414"/>
      <c r="J690" s="425"/>
      <c r="K690" s="426"/>
      <c r="L690" s="427"/>
    </row>
    <row r="691" spans="1:12" ht="12.75">
      <c r="A691" s="433"/>
      <c r="B691" s="434"/>
      <c r="C691" s="434"/>
      <c r="D691" s="434"/>
      <c r="E691" s="424"/>
      <c r="F691" s="414"/>
      <c r="G691" s="414"/>
      <c r="H691" s="414"/>
      <c r="I691" s="414"/>
      <c r="J691" s="425"/>
      <c r="K691" s="426"/>
      <c r="L691" s="427"/>
    </row>
    <row r="692" spans="1:12" ht="12.75">
      <c r="A692" s="433"/>
      <c r="B692" s="434"/>
      <c r="C692" s="434"/>
      <c r="D692" s="434"/>
      <c r="E692" s="424"/>
      <c r="F692" s="414"/>
      <c r="G692" s="414"/>
      <c r="H692" s="414"/>
      <c r="I692" s="414"/>
      <c r="J692" s="425"/>
      <c r="K692" s="426"/>
      <c r="L692" s="427"/>
    </row>
    <row r="693" spans="1:12" ht="12.75">
      <c r="A693" s="433"/>
      <c r="B693" s="434"/>
      <c r="C693" s="434"/>
      <c r="D693" s="434"/>
      <c r="E693" s="424"/>
      <c r="F693" s="414"/>
      <c r="G693" s="414"/>
      <c r="H693" s="414"/>
      <c r="I693" s="414"/>
      <c r="J693" s="425"/>
      <c r="K693" s="426"/>
      <c r="L693" s="427"/>
    </row>
    <row r="694" spans="1:12" ht="12.75">
      <c r="A694" s="433"/>
      <c r="B694" s="434"/>
      <c r="C694" s="434"/>
      <c r="D694" s="434"/>
      <c r="E694" s="424"/>
      <c r="F694" s="414"/>
      <c r="G694" s="414"/>
      <c r="H694" s="414"/>
      <c r="I694" s="414"/>
      <c r="J694" s="425"/>
      <c r="K694" s="426"/>
      <c r="L694" s="427"/>
    </row>
    <row r="695" spans="1:12" ht="12.75">
      <c r="A695" s="433"/>
      <c r="B695" s="434"/>
      <c r="C695" s="434"/>
      <c r="D695" s="434"/>
      <c r="E695" s="424"/>
      <c r="F695" s="414"/>
      <c r="G695" s="414"/>
      <c r="H695" s="414"/>
      <c r="I695" s="414"/>
      <c r="J695" s="425"/>
      <c r="K695" s="426"/>
      <c r="L695" s="427"/>
    </row>
    <row r="696" spans="1:12" ht="12.75">
      <c r="A696" s="433"/>
      <c r="B696" s="434"/>
      <c r="C696" s="434"/>
      <c r="D696" s="434"/>
      <c r="E696" s="424"/>
      <c r="F696" s="414"/>
      <c r="G696" s="414"/>
      <c r="H696" s="414"/>
      <c r="I696" s="414"/>
      <c r="J696" s="425"/>
      <c r="K696" s="426"/>
      <c r="L696" s="427"/>
    </row>
    <row r="697" spans="1:12" ht="12.75">
      <c r="A697" s="433"/>
      <c r="B697" s="434"/>
      <c r="C697" s="434"/>
      <c r="D697" s="434"/>
      <c r="E697" s="424"/>
      <c r="F697" s="414"/>
      <c r="G697" s="414"/>
      <c r="H697" s="414"/>
      <c r="I697" s="414"/>
      <c r="J697" s="425"/>
      <c r="K697" s="426"/>
      <c r="L697" s="427"/>
    </row>
    <row r="698" spans="1:12" ht="12.75">
      <c r="A698" s="433"/>
      <c r="B698" s="434"/>
      <c r="C698" s="434"/>
      <c r="D698" s="434"/>
      <c r="E698" s="424"/>
      <c r="F698" s="414"/>
      <c r="G698" s="414"/>
      <c r="H698" s="414"/>
      <c r="I698" s="414"/>
      <c r="J698" s="425"/>
      <c r="K698" s="426"/>
      <c r="L698" s="427"/>
    </row>
    <row r="699" spans="1:12" ht="12.75">
      <c r="A699" s="433"/>
      <c r="B699" s="434"/>
      <c r="C699" s="434"/>
      <c r="D699" s="434"/>
      <c r="E699" s="424"/>
      <c r="F699" s="414"/>
      <c r="G699" s="414"/>
      <c r="H699" s="414"/>
      <c r="I699" s="414"/>
      <c r="J699" s="425"/>
      <c r="K699" s="426"/>
      <c r="L699" s="427"/>
    </row>
    <row r="700" spans="1:12" ht="12.75">
      <c r="A700" s="433"/>
      <c r="B700" s="434"/>
      <c r="C700" s="434"/>
      <c r="D700" s="434"/>
      <c r="E700" s="424"/>
      <c r="F700" s="414"/>
      <c r="G700" s="414"/>
      <c r="H700" s="414"/>
      <c r="I700" s="414"/>
      <c r="J700" s="425"/>
      <c r="K700" s="426"/>
      <c r="L700" s="427"/>
    </row>
    <row r="701" spans="1:12" ht="12.75">
      <c r="A701" s="433"/>
      <c r="B701" s="434"/>
      <c r="C701" s="434"/>
      <c r="D701" s="434"/>
      <c r="E701" s="424"/>
      <c r="F701" s="414"/>
      <c r="G701" s="414"/>
      <c r="H701" s="414"/>
      <c r="I701" s="414"/>
      <c r="J701" s="425"/>
      <c r="K701" s="426"/>
      <c r="L701" s="427"/>
    </row>
    <row r="702" spans="1:12" ht="12.75">
      <c r="A702" s="433"/>
      <c r="B702" s="434"/>
      <c r="C702" s="434"/>
      <c r="D702" s="434"/>
      <c r="E702" s="424"/>
      <c r="F702" s="414"/>
      <c r="G702" s="414"/>
      <c r="H702" s="414"/>
      <c r="I702" s="414"/>
      <c r="J702" s="425"/>
      <c r="K702" s="426"/>
      <c r="L702" s="427"/>
    </row>
    <row r="703" spans="1:12" ht="12.75">
      <c r="A703" s="433"/>
      <c r="B703" s="434"/>
      <c r="C703" s="434"/>
      <c r="D703" s="434"/>
      <c r="E703" s="424"/>
      <c r="F703" s="414"/>
      <c r="G703" s="414"/>
      <c r="H703" s="414"/>
      <c r="I703" s="414"/>
      <c r="J703" s="425"/>
      <c r="K703" s="426"/>
      <c r="L703" s="427"/>
    </row>
    <row r="704" spans="1:12" ht="12.75">
      <c r="A704" s="433"/>
      <c r="B704" s="434"/>
      <c r="C704" s="434"/>
      <c r="D704" s="434"/>
      <c r="E704" s="424"/>
      <c r="F704" s="414"/>
      <c r="G704" s="414"/>
      <c r="H704" s="414"/>
      <c r="I704" s="414"/>
      <c r="J704" s="425"/>
      <c r="K704" s="426"/>
      <c r="L704" s="427"/>
    </row>
    <row r="705" spans="1:12" ht="12.75">
      <c r="A705" s="433"/>
      <c r="B705" s="434"/>
      <c r="C705" s="434"/>
      <c r="D705" s="434"/>
      <c r="E705" s="424"/>
      <c r="F705" s="414"/>
      <c r="G705" s="414"/>
      <c r="H705" s="414"/>
      <c r="I705" s="414"/>
      <c r="J705" s="425"/>
      <c r="K705" s="426"/>
      <c r="L705" s="427"/>
    </row>
    <row r="706" spans="1:12" ht="12.75">
      <c r="A706" s="433"/>
      <c r="B706" s="434"/>
      <c r="C706" s="434"/>
      <c r="D706" s="434"/>
      <c r="E706" s="424"/>
      <c r="F706" s="414"/>
      <c r="G706" s="414"/>
      <c r="H706" s="414"/>
      <c r="I706" s="414"/>
      <c r="J706" s="425"/>
      <c r="K706" s="426"/>
      <c r="L706" s="427"/>
    </row>
    <row r="707" spans="1:12" ht="12.75">
      <c r="A707" s="433"/>
      <c r="B707" s="434"/>
      <c r="C707" s="434"/>
      <c r="D707" s="434"/>
      <c r="E707" s="424"/>
      <c r="F707" s="414"/>
      <c r="G707" s="414"/>
      <c r="H707" s="414"/>
      <c r="I707" s="414"/>
      <c r="J707" s="425"/>
      <c r="K707" s="426"/>
      <c r="L707" s="427"/>
    </row>
    <row r="708" spans="1:12" ht="12.75">
      <c r="A708" s="433"/>
      <c r="B708" s="434"/>
      <c r="C708" s="434"/>
      <c r="D708" s="434"/>
      <c r="E708" s="424"/>
      <c r="F708" s="414"/>
      <c r="G708" s="414"/>
      <c r="H708" s="414"/>
      <c r="I708" s="414"/>
      <c r="J708" s="425"/>
      <c r="K708" s="426"/>
      <c r="L708" s="427"/>
    </row>
    <row r="709" spans="1:12" ht="12.75">
      <c r="A709" s="433"/>
      <c r="B709" s="434"/>
      <c r="C709" s="434"/>
      <c r="D709" s="434"/>
      <c r="E709" s="424"/>
      <c r="F709" s="414"/>
      <c r="G709" s="414"/>
      <c r="H709" s="414"/>
      <c r="I709" s="414"/>
      <c r="J709" s="425"/>
      <c r="K709" s="426"/>
      <c r="L709" s="427"/>
    </row>
    <row r="710" spans="1:12" ht="12.75">
      <c r="A710" s="433"/>
      <c r="B710" s="434"/>
      <c r="C710" s="434"/>
      <c r="D710" s="434"/>
      <c r="E710" s="424"/>
      <c r="F710" s="414"/>
      <c r="G710" s="414"/>
      <c r="H710" s="414"/>
      <c r="I710" s="414"/>
      <c r="J710" s="425"/>
      <c r="K710" s="426"/>
      <c r="L710" s="427"/>
    </row>
    <row r="711" spans="1:12" ht="12.75">
      <c r="A711" s="433"/>
      <c r="B711" s="434"/>
      <c r="C711" s="434"/>
      <c r="D711" s="434"/>
      <c r="E711" s="424"/>
      <c r="F711" s="414"/>
      <c r="G711" s="414"/>
      <c r="H711" s="414"/>
      <c r="I711" s="414"/>
      <c r="J711" s="425"/>
      <c r="K711" s="426"/>
      <c r="L711" s="427"/>
    </row>
    <row r="712" spans="1:12" ht="12.75">
      <c r="A712" s="433"/>
      <c r="B712" s="434"/>
      <c r="C712" s="434"/>
      <c r="D712" s="434"/>
      <c r="E712" s="424"/>
      <c r="F712" s="414"/>
      <c r="G712" s="414"/>
      <c r="H712" s="414"/>
      <c r="I712" s="414"/>
      <c r="J712" s="425"/>
      <c r="K712" s="426"/>
      <c r="L712" s="427"/>
    </row>
    <row r="713" spans="1:12" ht="12.75">
      <c r="A713" s="433"/>
      <c r="B713" s="434"/>
      <c r="C713" s="434"/>
      <c r="D713" s="434"/>
      <c r="E713" s="424"/>
      <c r="F713" s="414"/>
      <c r="G713" s="414"/>
      <c r="H713" s="414"/>
      <c r="I713" s="414"/>
      <c r="J713" s="425"/>
      <c r="K713" s="426"/>
      <c r="L713" s="427"/>
    </row>
    <row r="714" spans="1:12" ht="12.75">
      <c r="A714" s="433"/>
      <c r="B714" s="434"/>
      <c r="C714" s="434"/>
      <c r="D714" s="434"/>
      <c r="E714" s="424"/>
      <c r="F714" s="414"/>
      <c r="G714" s="414"/>
      <c r="H714" s="414"/>
      <c r="I714" s="414"/>
      <c r="J714" s="425"/>
      <c r="K714" s="426"/>
      <c r="L714" s="427"/>
    </row>
    <row r="715" spans="1:12" ht="12.75">
      <c r="A715" s="433"/>
      <c r="B715" s="434"/>
      <c r="C715" s="434"/>
      <c r="D715" s="434"/>
      <c r="E715" s="424"/>
      <c r="F715" s="414"/>
      <c r="G715" s="414"/>
      <c r="H715" s="414"/>
      <c r="I715" s="414"/>
      <c r="J715" s="425"/>
      <c r="K715" s="426"/>
      <c r="L715" s="427"/>
    </row>
    <row r="716" spans="1:12" ht="12.75">
      <c r="A716" s="433"/>
      <c r="B716" s="434"/>
      <c r="C716" s="434"/>
      <c r="D716" s="434"/>
      <c r="E716" s="424"/>
      <c r="F716" s="414"/>
      <c r="G716" s="414"/>
      <c r="H716" s="414"/>
      <c r="I716" s="414"/>
      <c r="J716" s="425"/>
      <c r="K716" s="426"/>
      <c r="L716" s="427"/>
    </row>
    <row r="717" spans="1:12" ht="12.75">
      <c r="A717" s="433"/>
      <c r="B717" s="434"/>
      <c r="C717" s="434"/>
      <c r="D717" s="434"/>
      <c r="E717" s="424"/>
      <c r="F717" s="414"/>
      <c r="G717" s="414"/>
      <c r="H717" s="414"/>
      <c r="I717" s="414"/>
      <c r="J717" s="425"/>
      <c r="K717" s="426"/>
      <c r="L717" s="427"/>
    </row>
    <row r="718" spans="1:12" ht="12.75">
      <c r="A718" s="433"/>
      <c r="B718" s="434"/>
      <c r="C718" s="434"/>
      <c r="D718" s="434"/>
      <c r="E718" s="424"/>
      <c r="F718" s="414"/>
      <c r="G718" s="414"/>
      <c r="H718" s="414"/>
      <c r="I718" s="414"/>
      <c r="J718" s="425"/>
      <c r="K718" s="426"/>
      <c r="L718" s="427"/>
    </row>
    <row r="719" spans="1:12" ht="12.75">
      <c r="A719" s="433"/>
      <c r="B719" s="434"/>
      <c r="C719" s="434"/>
      <c r="D719" s="434"/>
      <c r="E719" s="424"/>
      <c r="F719" s="414"/>
      <c r="G719" s="414"/>
      <c r="H719" s="414"/>
      <c r="I719" s="414"/>
      <c r="J719" s="425"/>
      <c r="K719" s="426"/>
      <c r="L719" s="427"/>
    </row>
    <row r="720" spans="1:12" ht="12.75">
      <c r="A720" s="433"/>
      <c r="B720" s="434"/>
      <c r="C720" s="434"/>
      <c r="D720" s="434"/>
      <c r="E720" s="424"/>
      <c r="F720" s="414"/>
      <c r="G720" s="414"/>
      <c r="H720" s="414"/>
      <c r="I720" s="414"/>
      <c r="J720" s="425"/>
      <c r="K720" s="426"/>
      <c r="L720" s="427"/>
    </row>
    <row r="721" spans="1:12" ht="12.75">
      <c r="A721" s="433"/>
      <c r="B721" s="434"/>
      <c r="C721" s="434"/>
      <c r="D721" s="434"/>
      <c r="E721" s="424"/>
      <c r="F721" s="414"/>
      <c r="G721" s="414"/>
      <c r="H721" s="414"/>
      <c r="I721" s="414"/>
      <c r="J721" s="425"/>
      <c r="K721" s="426"/>
      <c r="L721" s="427"/>
    </row>
    <row r="722" spans="1:12" ht="12.75">
      <c r="A722" s="433"/>
      <c r="B722" s="434"/>
      <c r="C722" s="434"/>
      <c r="D722" s="434"/>
      <c r="E722" s="424"/>
      <c r="F722" s="414"/>
      <c r="G722" s="414"/>
      <c r="H722" s="414"/>
      <c r="I722" s="414"/>
      <c r="J722" s="425"/>
      <c r="K722" s="426"/>
      <c r="L722" s="427"/>
    </row>
    <row r="723" spans="1:12" ht="12.75">
      <c r="A723" s="433"/>
      <c r="B723" s="434"/>
      <c r="C723" s="434"/>
      <c r="D723" s="434"/>
      <c r="E723" s="424"/>
      <c r="F723" s="414"/>
      <c r="G723" s="414"/>
      <c r="H723" s="414"/>
      <c r="I723" s="414"/>
      <c r="J723" s="425"/>
      <c r="K723" s="426"/>
      <c r="L723" s="427"/>
    </row>
    <row r="724" spans="1:12" ht="12.75">
      <c r="A724" s="433"/>
      <c r="B724" s="434"/>
      <c r="C724" s="434"/>
      <c r="D724" s="434"/>
      <c r="E724" s="424"/>
      <c r="F724" s="414"/>
      <c r="G724" s="414"/>
      <c r="H724" s="414"/>
      <c r="I724" s="414"/>
      <c r="J724" s="425"/>
      <c r="K724" s="426"/>
      <c r="L724" s="427"/>
    </row>
    <row r="725" spans="1:12" ht="12.75">
      <c r="A725" s="433"/>
      <c r="B725" s="434"/>
      <c r="C725" s="434"/>
      <c r="D725" s="434"/>
      <c r="E725" s="424"/>
      <c r="F725" s="414"/>
      <c r="G725" s="414"/>
      <c r="H725" s="414"/>
      <c r="I725" s="414"/>
      <c r="J725" s="425"/>
      <c r="K725" s="426"/>
      <c r="L725" s="427"/>
    </row>
    <row r="726" spans="1:12" ht="12.75">
      <c r="A726" s="433"/>
      <c r="B726" s="434"/>
      <c r="C726" s="434"/>
      <c r="D726" s="434"/>
      <c r="E726" s="424"/>
      <c r="F726" s="414"/>
      <c r="G726" s="414"/>
      <c r="H726" s="414"/>
      <c r="I726" s="414"/>
      <c r="J726" s="425"/>
      <c r="K726" s="426"/>
      <c r="L726" s="427"/>
    </row>
    <row r="727" spans="1:12" ht="12.75">
      <c r="A727" s="433"/>
      <c r="B727" s="434"/>
      <c r="C727" s="434"/>
      <c r="D727" s="434"/>
      <c r="E727" s="424"/>
      <c r="F727" s="414"/>
      <c r="G727" s="414"/>
      <c r="H727" s="414"/>
      <c r="I727" s="414"/>
      <c r="J727" s="425"/>
      <c r="K727" s="426"/>
      <c r="L727" s="427"/>
    </row>
    <row r="728" spans="1:12" ht="12.75">
      <c r="A728" s="433"/>
      <c r="B728" s="434"/>
      <c r="C728" s="434"/>
      <c r="D728" s="434"/>
      <c r="E728" s="424"/>
      <c r="F728" s="414"/>
      <c r="G728" s="414"/>
      <c r="H728" s="414"/>
      <c r="I728" s="414"/>
      <c r="J728" s="425"/>
      <c r="K728" s="426"/>
      <c r="L728" s="427"/>
    </row>
    <row r="729" spans="1:12" ht="12.75">
      <c r="A729" s="433"/>
      <c r="B729" s="434"/>
      <c r="C729" s="434"/>
      <c r="D729" s="434"/>
      <c r="E729" s="424"/>
      <c r="F729" s="414"/>
      <c r="G729" s="414"/>
      <c r="H729" s="414"/>
      <c r="I729" s="414"/>
      <c r="J729" s="425"/>
      <c r="K729" s="426"/>
      <c r="L729" s="427"/>
    </row>
    <row r="730" spans="1:12" ht="12.75">
      <c r="A730" s="433"/>
      <c r="B730" s="434"/>
      <c r="C730" s="434"/>
      <c r="D730" s="434"/>
      <c r="E730" s="424"/>
      <c r="F730" s="414"/>
      <c r="G730" s="414"/>
      <c r="H730" s="414"/>
      <c r="I730" s="414"/>
      <c r="J730" s="425"/>
      <c r="K730" s="426"/>
      <c r="L730" s="427"/>
    </row>
    <row r="731" spans="1:12" ht="12.75">
      <c r="A731" s="433"/>
      <c r="B731" s="434"/>
      <c r="C731" s="434"/>
      <c r="D731" s="434"/>
      <c r="E731" s="424"/>
      <c r="F731" s="414"/>
      <c r="G731" s="414"/>
      <c r="H731" s="414"/>
      <c r="I731" s="414"/>
      <c r="J731" s="425"/>
      <c r="K731" s="426"/>
      <c r="L731" s="427"/>
    </row>
    <row r="732" spans="1:12" ht="12.75">
      <c r="A732" s="433"/>
      <c r="B732" s="434"/>
      <c r="C732" s="434"/>
      <c r="D732" s="434"/>
      <c r="E732" s="424"/>
      <c r="F732" s="414"/>
      <c r="G732" s="414"/>
      <c r="H732" s="414"/>
      <c r="I732" s="414"/>
      <c r="J732" s="425"/>
      <c r="K732" s="426"/>
      <c r="L732" s="427"/>
    </row>
    <row r="733" spans="1:12" ht="12.75">
      <c r="A733" s="433"/>
      <c r="B733" s="434"/>
      <c r="C733" s="434"/>
      <c r="D733" s="434"/>
      <c r="E733" s="424"/>
      <c r="F733" s="414"/>
      <c r="G733" s="414"/>
      <c r="H733" s="414"/>
      <c r="I733" s="414"/>
      <c r="J733" s="425"/>
      <c r="K733" s="426"/>
      <c r="L733" s="427"/>
    </row>
    <row r="734" spans="1:12" ht="12.75">
      <c r="A734" s="433"/>
      <c r="B734" s="434"/>
      <c r="C734" s="434"/>
      <c r="D734" s="434"/>
      <c r="E734" s="424"/>
      <c r="F734" s="414"/>
      <c r="G734" s="414"/>
      <c r="H734" s="414"/>
      <c r="I734" s="414"/>
      <c r="J734" s="425"/>
      <c r="K734" s="426"/>
      <c r="L734" s="427"/>
    </row>
    <row r="735" spans="1:12" ht="12.75">
      <c r="A735" s="433"/>
      <c r="B735" s="434"/>
      <c r="C735" s="434"/>
      <c r="D735" s="434"/>
      <c r="E735" s="424"/>
      <c r="F735" s="414"/>
      <c r="G735" s="414"/>
      <c r="H735" s="414"/>
      <c r="I735" s="414"/>
      <c r="J735" s="425"/>
      <c r="K735" s="426"/>
      <c r="L735" s="427"/>
    </row>
    <row r="736" spans="1:12" ht="12.75">
      <c r="A736" s="433"/>
      <c r="B736" s="434"/>
      <c r="C736" s="434"/>
      <c r="D736" s="434"/>
      <c r="E736" s="424"/>
      <c r="F736" s="414"/>
      <c r="G736" s="414"/>
      <c r="H736" s="414"/>
      <c r="I736" s="414"/>
      <c r="J736" s="425"/>
      <c r="K736" s="426"/>
      <c r="L736" s="427"/>
    </row>
    <row r="737" spans="1:12" ht="12.75">
      <c r="A737" s="433"/>
      <c r="B737" s="434"/>
      <c r="C737" s="434"/>
      <c r="D737" s="434"/>
      <c r="E737" s="424"/>
      <c r="F737" s="414"/>
      <c r="G737" s="414"/>
      <c r="H737" s="414"/>
      <c r="I737" s="414"/>
      <c r="J737" s="425"/>
      <c r="K737" s="426"/>
      <c r="L737" s="427"/>
    </row>
    <row r="738" spans="1:12" ht="12.75">
      <c r="A738" s="433"/>
      <c r="B738" s="434"/>
      <c r="C738" s="434"/>
      <c r="D738" s="434"/>
      <c r="E738" s="424"/>
      <c r="F738" s="414"/>
      <c r="G738" s="414"/>
      <c r="H738" s="414"/>
      <c r="I738" s="414"/>
      <c r="J738" s="425"/>
      <c r="K738" s="426"/>
      <c r="L738" s="427"/>
    </row>
    <row r="739" spans="1:12" ht="12.75">
      <c r="A739" s="433"/>
      <c r="B739" s="434"/>
      <c r="C739" s="434"/>
      <c r="D739" s="434"/>
      <c r="E739" s="424"/>
      <c r="F739" s="414"/>
      <c r="G739" s="414"/>
      <c r="H739" s="414"/>
      <c r="I739" s="414"/>
      <c r="J739" s="425"/>
      <c r="K739" s="426"/>
      <c r="L739" s="427"/>
    </row>
    <row r="740" spans="1:12" ht="12.75">
      <c r="A740" s="433"/>
      <c r="B740" s="434"/>
      <c r="C740" s="434"/>
      <c r="D740" s="434"/>
      <c r="E740" s="424"/>
      <c r="F740" s="414"/>
      <c r="G740" s="414"/>
      <c r="H740" s="414"/>
      <c r="I740" s="414"/>
      <c r="J740" s="425"/>
      <c r="K740" s="426"/>
      <c r="L740" s="427"/>
    </row>
    <row r="741" spans="1:12" ht="12.75">
      <c r="A741" s="433"/>
      <c r="B741" s="434"/>
      <c r="C741" s="434"/>
      <c r="D741" s="434"/>
      <c r="E741" s="424"/>
      <c r="F741" s="414"/>
      <c r="G741" s="414"/>
      <c r="H741" s="414"/>
      <c r="I741" s="414"/>
      <c r="J741" s="425"/>
      <c r="K741" s="426"/>
      <c r="L741" s="427"/>
    </row>
    <row r="742" spans="1:12" ht="12.75">
      <c r="A742" s="433"/>
      <c r="B742" s="434"/>
      <c r="C742" s="434"/>
      <c r="D742" s="434"/>
      <c r="E742" s="424"/>
      <c r="F742" s="414"/>
      <c r="G742" s="414"/>
      <c r="H742" s="414"/>
      <c r="I742" s="414"/>
      <c r="J742" s="425"/>
      <c r="K742" s="426"/>
      <c r="L742" s="427"/>
    </row>
    <row r="743" spans="1:12" ht="12.75">
      <c r="A743" s="433"/>
      <c r="B743" s="434"/>
      <c r="C743" s="434"/>
      <c r="D743" s="434"/>
      <c r="E743" s="424"/>
      <c r="F743" s="414"/>
      <c r="G743" s="414"/>
      <c r="H743" s="414"/>
      <c r="I743" s="414"/>
      <c r="J743" s="425"/>
      <c r="K743" s="426"/>
      <c r="L743" s="427"/>
    </row>
    <row r="744" spans="1:12" ht="12.75">
      <c r="A744" s="433"/>
      <c r="B744" s="434"/>
      <c r="C744" s="434"/>
      <c r="D744" s="434"/>
      <c r="E744" s="424"/>
      <c r="F744" s="414"/>
      <c r="G744" s="414"/>
      <c r="H744" s="414"/>
      <c r="I744" s="414"/>
      <c r="J744" s="425"/>
      <c r="K744" s="426"/>
      <c r="L744" s="427"/>
    </row>
    <row r="745" spans="1:12" ht="12.75">
      <c r="A745" s="433"/>
      <c r="B745" s="434"/>
      <c r="C745" s="434"/>
      <c r="D745" s="434"/>
      <c r="E745" s="424"/>
      <c r="F745" s="414"/>
      <c r="G745" s="414"/>
      <c r="H745" s="414"/>
      <c r="I745" s="414"/>
      <c r="J745" s="425"/>
      <c r="K745" s="426"/>
      <c r="L745" s="427"/>
    </row>
    <row r="746" spans="1:12" ht="12.75">
      <c r="A746" s="433"/>
      <c r="B746" s="434"/>
      <c r="C746" s="434"/>
      <c r="D746" s="434"/>
      <c r="E746" s="424"/>
      <c r="F746" s="414"/>
      <c r="G746" s="414"/>
      <c r="H746" s="414"/>
      <c r="I746" s="414"/>
      <c r="J746" s="425"/>
      <c r="K746" s="426"/>
      <c r="L746" s="427"/>
    </row>
    <row r="747" spans="1:12" ht="12.75">
      <c r="A747" s="433"/>
      <c r="B747" s="434"/>
      <c r="C747" s="434"/>
      <c r="D747" s="434"/>
      <c r="E747" s="424"/>
      <c r="F747" s="414"/>
      <c r="G747" s="414"/>
      <c r="H747" s="414"/>
      <c r="I747" s="414"/>
      <c r="J747" s="425"/>
      <c r="K747" s="426"/>
      <c r="L747" s="427"/>
    </row>
    <row r="748" spans="1:12" ht="12.75">
      <c r="A748" s="433"/>
      <c r="B748" s="434"/>
      <c r="C748" s="434"/>
      <c r="D748" s="434"/>
      <c r="E748" s="424"/>
      <c r="F748" s="414"/>
      <c r="G748" s="414"/>
      <c r="H748" s="414"/>
      <c r="I748" s="414"/>
      <c r="J748" s="425"/>
      <c r="K748" s="426"/>
      <c r="L748" s="427"/>
    </row>
    <row r="749" spans="1:12" ht="12.75">
      <c r="A749" s="433"/>
      <c r="B749" s="434"/>
      <c r="C749" s="434"/>
      <c r="D749" s="434"/>
      <c r="E749" s="424"/>
      <c r="F749" s="414"/>
      <c r="G749" s="414"/>
      <c r="H749" s="414"/>
      <c r="I749" s="414"/>
      <c r="J749" s="425"/>
      <c r="K749" s="426"/>
      <c r="L749" s="427"/>
    </row>
    <row r="750" spans="1:12" ht="12.75">
      <c r="A750" s="433"/>
      <c r="B750" s="434"/>
      <c r="C750" s="434"/>
      <c r="D750" s="434"/>
      <c r="E750" s="424"/>
      <c r="F750" s="414"/>
      <c r="G750" s="414"/>
      <c r="H750" s="414"/>
      <c r="I750" s="414"/>
      <c r="J750" s="425"/>
      <c r="K750" s="426"/>
      <c r="L750" s="427"/>
    </row>
    <row r="751" spans="1:12" ht="12.75">
      <c r="A751" s="433"/>
      <c r="B751" s="434"/>
      <c r="C751" s="434"/>
      <c r="D751" s="434"/>
      <c r="E751" s="424"/>
      <c r="F751" s="414"/>
      <c r="G751" s="414"/>
      <c r="H751" s="414"/>
      <c r="I751" s="414"/>
      <c r="J751" s="425"/>
      <c r="K751" s="426"/>
      <c r="L751" s="427"/>
    </row>
    <row r="752" spans="1:12" ht="12.75">
      <c r="A752" s="433"/>
      <c r="B752" s="434"/>
      <c r="C752" s="434"/>
      <c r="D752" s="434"/>
      <c r="E752" s="424"/>
      <c r="F752" s="414"/>
      <c r="G752" s="414"/>
      <c r="H752" s="414"/>
      <c r="I752" s="414"/>
      <c r="J752" s="425"/>
      <c r="K752" s="426"/>
      <c r="L752" s="427"/>
    </row>
    <row r="753" spans="1:12" ht="12.75">
      <c r="A753" s="433"/>
      <c r="B753" s="434"/>
      <c r="C753" s="434"/>
      <c r="D753" s="434"/>
      <c r="E753" s="424"/>
      <c r="F753" s="414"/>
      <c r="G753" s="414"/>
      <c r="H753" s="414"/>
      <c r="I753" s="414"/>
      <c r="J753" s="425"/>
      <c r="K753" s="426"/>
      <c r="L753" s="427"/>
    </row>
    <row r="754" spans="1:12" ht="12.75">
      <c r="A754" s="433"/>
      <c r="B754" s="434"/>
      <c r="C754" s="434"/>
      <c r="D754" s="434"/>
      <c r="E754" s="424"/>
      <c r="F754" s="414"/>
      <c r="G754" s="414"/>
      <c r="H754" s="414"/>
      <c r="I754" s="414"/>
      <c r="J754" s="425"/>
      <c r="K754" s="426"/>
      <c r="L754" s="427"/>
    </row>
    <row r="755" spans="1:12" ht="12.75">
      <c r="A755" s="433"/>
      <c r="B755" s="434"/>
      <c r="C755" s="434"/>
      <c r="D755" s="434"/>
      <c r="E755" s="424"/>
      <c r="F755" s="414"/>
      <c r="G755" s="414"/>
      <c r="H755" s="414"/>
      <c r="I755" s="414"/>
      <c r="J755" s="425"/>
      <c r="K755" s="426"/>
      <c r="L755" s="427"/>
    </row>
    <row r="756" spans="1:12" ht="12.75">
      <c r="A756" s="433"/>
      <c r="B756" s="434"/>
      <c r="C756" s="434"/>
      <c r="D756" s="434"/>
      <c r="E756" s="424"/>
      <c r="F756" s="414"/>
      <c r="G756" s="414"/>
      <c r="H756" s="414"/>
      <c r="I756" s="414"/>
      <c r="J756" s="425"/>
      <c r="K756" s="426"/>
      <c r="L756" s="427"/>
    </row>
    <row r="757" spans="1:12" ht="12.75">
      <c r="A757" s="433"/>
      <c r="B757" s="434"/>
      <c r="C757" s="434"/>
      <c r="D757" s="434"/>
      <c r="E757" s="424"/>
      <c r="F757" s="414"/>
      <c r="G757" s="414"/>
      <c r="H757" s="414"/>
      <c r="I757" s="414"/>
      <c r="J757" s="425"/>
      <c r="K757" s="426"/>
      <c r="L757" s="427"/>
    </row>
    <row r="758" spans="1:12" ht="12.75">
      <c r="A758" s="433"/>
      <c r="B758" s="434"/>
      <c r="C758" s="434"/>
      <c r="D758" s="434"/>
      <c r="E758" s="424"/>
      <c r="F758" s="414"/>
      <c r="G758" s="414"/>
      <c r="H758" s="414"/>
      <c r="I758" s="414"/>
      <c r="J758" s="425"/>
      <c r="K758" s="426"/>
      <c r="L758" s="427"/>
    </row>
    <row r="759" spans="1:12" ht="12.75">
      <c r="A759" s="433"/>
      <c r="B759" s="434"/>
      <c r="C759" s="434"/>
      <c r="D759" s="434"/>
      <c r="E759" s="424"/>
      <c r="F759" s="414"/>
      <c r="G759" s="414"/>
      <c r="H759" s="414"/>
      <c r="I759" s="414"/>
      <c r="J759" s="425"/>
      <c r="K759" s="426"/>
      <c r="L759" s="427"/>
    </row>
    <row r="760" spans="1:12" ht="12.75">
      <c r="A760" s="433"/>
      <c r="B760" s="434"/>
      <c r="C760" s="434"/>
      <c r="D760" s="434"/>
      <c r="E760" s="424"/>
      <c r="F760" s="414"/>
      <c r="G760" s="414"/>
      <c r="H760" s="414"/>
      <c r="I760" s="414"/>
      <c r="J760" s="425"/>
      <c r="K760" s="426"/>
      <c r="L760" s="427"/>
    </row>
    <row r="761" spans="1:12" ht="12.75">
      <c r="A761" s="433"/>
      <c r="B761" s="434"/>
      <c r="C761" s="434"/>
      <c r="D761" s="434"/>
      <c r="E761" s="424"/>
      <c r="F761" s="414"/>
      <c r="G761" s="414"/>
      <c r="H761" s="414"/>
      <c r="I761" s="414"/>
      <c r="J761" s="425"/>
      <c r="K761" s="426"/>
      <c r="L761" s="427"/>
    </row>
    <row r="762" spans="1:12" ht="12.75">
      <c r="A762" s="433"/>
      <c r="B762" s="434"/>
      <c r="C762" s="434"/>
      <c r="D762" s="434"/>
      <c r="E762" s="424"/>
      <c r="F762" s="414"/>
      <c r="G762" s="414"/>
      <c r="H762" s="414"/>
      <c r="I762" s="414"/>
      <c r="J762" s="425"/>
      <c r="K762" s="426"/>
      <c r="L762" s="427"/>
    </row>
    <row r="763" spans="1:12" ht="12.75">
      <c r="A763" s="433"/>
      <c r="B763" s="434"/>
      <c r="C763" s="434"/>
      <c r="D763" s="434"/>
      <c r="E763" s="424"/>
      <c r="F763" s="414"/>
      <c r="G763" s="414"/>
      <c r="H763" s="414"/>
      <c r="I763" s="414"/>
      <c r="J763" s="425"/>
      <c r="K763" s="426"/>
      <c r="L763" s="427"/>
    </row>
    <row r="764" spans="1:12" ht="12.75">
      <c r="A764" s="433"/>
      <c r="B764" s="434"/>
      <c r="C764" s="434"/>
      <c r="D764" s="434"/>
      <c r="E764" s="424"/>
      <c r="F764" s="414"/>
      <c r="G764" s="414"/>
      <c r="H764" s="414"/>
      <c r="I764" s="414"/>
      <c r="J764" s="425"/>
      <c r="K764" s="426"/>
      <c r="L764" s="427"/>
    </row>
    <row r="765" spans="1:12" ht="12.75">
      <c r="A765" s="433"/>
      <c r="B765" s="434"/>
      <c r="C765" s="434"/>
      <c r="D765" s="434"/>
      <c r="E765" s="424"/>
      <c r="F765" s="414"/>
      <c r="G765" s="414"/>
      <c r="H765" s="414"/>
      <c r="I765" s="414"/>
      <c r="J765" s="425"/>
      <c r="K765" s="426"/>
      <c r="L765" s="427"/>
    </row>
    <row r="766" spans="1:12" ht="12.75">
      <c r="A766" s="433"/>
      <c r="B766" s="434"/>
      <c r="C766" s="434"/>
      <c r="D766" s="434"/>
      <c r="E766" s="424"/>
      <c r="F766" s="414"/>
      <c r="G766" s="414"/>
      <c r="H766" s="414"/>
      <c r="I766" s="414"/>
      <c r="J766" s="425"/>
      <c r="K766" s="426"/>
      <c r="L766" s="427"/>
    </row>
    <row r="767" spans="1:12" ht="12.75">
      <c r="A767" s="433"/>
      <c r="B767" s="434"/>
      <c r="C767" s="434"/>
      <c r="D767" s="434"/>
      <c r="E767" s="424"/>
      <c r="F767" s="414"/>
      <c r="G767" s="414"/>
      <c r="H767" s="414"/>
      <c r="I767" s="414"/>
      <c r="J767" s="425"/>
      <c r="K767" s="426"/>
      <c r="L767" s="427"/>
    </row>
    <row r="768" spans="1:12" ht="12.75">
      <c r="A768" s="433"/>
      <c r="B768" s="434"/>
      <c r="C768" s="434"/>
      <c r="D768" s="434"/>
      <c r="E768" s="424"/>
      <c r="F768" s="414"/>
      <c r="G768" s="414"/>
      <c r="H768" s="414"/>
      <c r="I768" s="414"/>
      <c r="J768" s="425"/>
      <c r="K768" s="426"/>
      <c r="L768" s="427"/>
    </row>
    <row r="769" spans="1:12" ht="12.75">
      <c r="A769" s="433"/>
      <c r="B769" s="434"/>
      <c r="C769" s="434"/>
      <c r="D769" s="434"/>
      <c r="E769" s="424"/>
      <c r="F769" s="414"/>
      <c r="G769" s="414"/>
      <c r="H769" s="414"/>
      <c r="I769" s="414"/>
      <c r="J769" s="425"/>
      <c r="K769" s="426"/>
      <c r="L769" s="427"/>
    </row>
    <row r="770" spans="1:12" ht="12.75">
      <c r="A770" s="433"/>
      <c r="B770" s="434"/>
      <c r="C770" s="434"/>
      <c r="D770" s="434"/>
      <c r="E770" s="424"/>
      <c r="F770" s="414"/>
      <c r="G770" s="414"/>
      <c r="H770" s="414"/>
      <c r="I770" s="414"/>
      <c r="J770" s="425"/>
      <c r="K770" s="426"/>
      <c r="L770" s="427"/>
    </row>
    <row r="771" spans="1:12" ht="12.75">
      <c r="A771" s="433"/>
      <c r="B771" s="434"/>
      <c r="C771" s="434"/>
      <c r="D771" s="434"/>
      <c r="E771" s="424"/>
      <c r="F771" s="414"/>
      <c r="G771" s="414"/>
      <c r="H771" s="414"/>
      <c r="I771" s="414"/>
      <c r="J771" s="425"/>
      <c r="K771" s="426"/>
      <c r="L771" s="427"/>
    </row>
    <row r="772" spans="1:12" ht="12.75">
      <c r="A772" s="433"/>
      <c r="B772" s="434"/>
      <c r="C772" s="434"/>
      <c r="D772" s="434"/>
      <c r="E772" s="424"/>
      <c r="F772" s="414"/>
      <c r="G772" s="414"/>
      <c r="H772" s="414"/>
      <c r="I772" s="414"/>
      <c r="J772" s="425"/>
      <c r="K772" s="426"/>
      <c r="L772" s="427"/>
    </row>
    <row r="773" spans="1:12" ht="12.75">
      <c r="A773" s="433"/>
      <c r="B773" s="434"/>
      <c r="C773" s="434"/>
      <c r="D773" s="434"/>
      <c r="E773" s="424"/>
      <c r="F773" s="414"/>
      <c r="G773" s="414"/>
      <c r="H773" s="414"/>
      <c r="I773" s="414"/>
      <c r="J773" s="425"/>
      <c r="K773" s="426"/>
      <c r="L773" s="427"/>
    </row>
    <row r="774" spans="1:12" ht="12.75">
      <c r="A774" s="433"/>
      <c r="B774" s="434"/>
      <c r="C774" s="434"/>
      <c r="D774" s="434"/>
      <c r="E774" s="424"/>
      <c r="F774" s="414"/>
      <c r="G774" s="414"/>
      <c r="H774" s="414"/>
      <c r="I774" s="414"/>
      <c r="J774" s="425"/>
      <c r="K774" s="426"/>
      <c r="L774" s="427"/>
    </row>
    <row r="775" spans="1:12" ht="12.75">
      <c r="A775" s="433"/>
      <c r="B775" s="434"/>
      <c r="C775" s="434"/>
      <c r="D775" s="434"/>
      <c r="E775" s="424"/>
      <c r="F775" s="414"/>
      <c r="G775" s="414"/>
      <c r="H775" s="414"/>
      <c r="I775" s="414"/>
      <c r="J775" s="425"/>
      <c r="K775" s="426"/>
      <c r="L775" s="427"/>
    </row>
    <row r="776" spans="1:12" ht="12.75">
      <c r="A776" s="433"/>
      <c r="B776" s="434"/>
      <c r="C776" s="434"/>
      <c r="D776" s="434"/>
      <c r="E776" s="424"/>
      <c r="F776" s="414"/>
      <c r="G776" s="414"/>
      <c r="H776" s="414"/>
      <c r="I776" s="414"/>
      <c r="J776" s="425"/>
      <c r="K776" s="426"/>
      <c r="L776" s="427"/>
    </row>
    <row r="777" spans="1:12" ht="12.75">
      <c r="A777" s="433"/>
      <c r="B777" s="434"/>
      <c r="C777" s="434"/>
      <c r="D777" s="434"/>
      <c r="E777" s="424"/>
      <c r="F777" s="414"/>
      <c r="G777" s="414"/>
      <c r="H777" s="414"/>
      <c r="I777" s="414"/>
      <c r="J777" s="425"/>
      <c r="K777" s="426"/>
      <c r="L777" s="427"/>
    </row>
    <row r="778" spans="1:12" ht="12.75">
      <c r="A778" s="433"/>
      <c r="B778" s="434"/>
      <c r="C778" s="434"/>
      <c r="D778" s="434"/>
      <c r="E778" s="424"/>
      <c r="F778" s="414"/>
      <c r="G778" s="414"/>
      <c r="H778" s="414"/>
      <c r="I778" s="414"/>
      <c r="J778" s="425"/>
      <c r="K778" s="426"/>
      <c r="L778" s="427"/>
    </row>
    <row r="779" spans="1:12" ht="12.75">
      <c r="A779" s="433"/>
      <c r="B779" s="434"/>
      <c r="C779" s="434"/>
      <c r="D779" s="434"/>
      <c r="E779" s="424"/>
      <c r="F779" s="414"/>
      <c r="G779" s="414"/>
      <c r="H779" s="414"/>
      <c r="I779" s="414"/>
      <c r="J779" s="425"/>
      <c r="K779" s="426"/>
      <c r="L779" s="427"/>
    </row>
    <row r="780" spans="1:12" ht="12.75">
      <c r="A780" s="433"/>
      <c r="B780" s="434"/>
      <c r="C780" s="434"/>
      <c r="D780" s="434"/>
      <c r="E780" s="424"/>
      <c r="F780" s="414"/>
      <c r="G780" s="414"/>
      <c r="H780" s="414"/>
      <c r="I780" s="414"/>
      <c r="J780" s="425"/>
      <c r="K780" s="426"/>
      <c r="L780" s="427"/>
    </row>
    <row r="781" spans="1:12" ht="12.75">
      <c r="A781" s="433"/>
      <c r="B781" s="434"/>
      <c r="C781" s="434"/>
      <c r="D781" s="434"/>
      <c r="E781" s="424"/>
      <c r="F781" s="414"/>
      <c r="G781" s="414"/>
      <c r="H781" s="414"/>
      <c r="I781" s="414"/>
      <c r="J781" s="425"/>
      <c r="K781" s="426"/>
      <c r="L781" s="427"/>
    </row>
    <row r="782" spans="1:12" ht="12.75">
      <c r="A782" s="433"/>
      <c r="B782" s="434"/>
      <c r="C782" s="434"/>
      <c r="D782" s="434"/>
      <c r="E782" s="424"/>
      <c r="F782" s="414"/>
      <c r="G782" s="414"/>
      <c r="H782" s="414"/>
      <c r="I782" s="414"/>
      <c r="J782" s="425"/>
      <c r="K782" s="426"/>
      <c r="L782" s="427"/>
    </row>
    <row r="783" spans="1:12" ht="12.75">
      <c r="A783" s="433"/>
      <c r="B783" s="434"/>
      <c r="C783" s="434"/>
      <c r="D783" s="434"/>
      <c r="E783" s="424"/>
      <c r="F783" s="414"/>
      <c r="G783" s="414"/>
      <c r="H783" s="414"/>
      <c r="I783" s="414"/>
      <c r="J783" s="425"/>
      <c r="K783" s="426"/>
      <c r="L783" s="427"/>
    </row>
    <row r="784" spans="1:12" ht="12.75">
      <c r="A784" s="433"/>
      <c r="B784" s="434"/>
      <c r="C784" s="434"/>
      <c r="D784" s="434"/>
      <c r="E784" s="424"/>
      <c r="F784" s="414"/>
      <c r="G784" s="414"/>
      <c r="H784" s="414"/>
      <c r="I784" s="414"/>
      <c r="J784" s="425"/>
      <c r="K784" s="426"/>
      <c r="L784" s="427"/>
    </row>
    <row r="785" spans="1:12" ht="12.75">
      <c r="A785" s="433"/>
      <c r="B785" s="434"/>
      <c r="C785" s="434"/>
      <c r="D785" s="434"/>
      <c r="E785" s="424"/>
      <c r="F785" s="414"/>
      <c r="G785" s="414"/>
      <c r="H785" s="414"/>
      <c r="I785" s="414"/>
      <c r="J785" s="425"/>
      <c r="K785" s="426"/>
      <c r="L785" s="427"/>
    </row>
    <row r="786" spans="1:12" ht="12.75">
      <c r="A786" s="433"/>
      <c r="B786" s="434"/>
      <c r="C786" s="434"/>
      <c r="D786" s="434"/>
      <c r="E786" s="424"/>
      <c r="F786" s="414"/>
      <c r="G786" s="414"/>
      <c r="H786" s="414"/>
      <c r="I786" s="414"/>
      <c r="J786" s="425"/>
      <c r="K786" s="426"/>
      <c r="L786" s="427"/>
    </row>
    <row r="787" spans="1:12" ht="12.75">
      <c r="A787" s="433"/>
      <c r="B787" s="434"/>
      <c r="C787" s="434"/>
      <c r="D787" s="434"/>
      <c r="E787" s="424"/>
      <c r="F787" s="414"/>
      <c r="G787" s="414"/>
      <c r="H787" s="414"/>
      <c r="I787" s="414"/>
      <c r="J787" s="425"/>
      <c r="K787" s="426"/>
      <c r="L787" s="427"/>
    </row>
    <row r="788" spans="1:12" ht="12.75">
      <c r="A788" s="433"/>
      <c r="B788" s="434"/>
      <c r="C788" s="434"/>
      <c r="D788" s="434"/>
      <c r="E788" s="424"/>
      <c r="F788" s="414"/>
      <c r="G788" s="414"/>
      <c r="H788" s="414"/>
      <c r="I788" s="414"/>
      <c r="J788" s="425"/>
      <c r="K788" s="426"/>
      <c r="L788" s="427"/>
    </row>
    <row r="789" spans="1:12" ht="12.75">
      <c r="A789" s="433"/>
      <c r="B789" s="434"/>
      <c r="C789" s="434"/>
      <c r="D789" s="434"/>
      <c r="E789" s="424"/>
      <c r="F789" s="414"/>
      <c r="G789" s="414"/>
      <c r="H789" s="414"/>
      <c r="I789" s="414"/>
      <c r="J789" s="425"/>
      <c r="K789" s="426"/>
      <c r="L789" s="427"/>
    </row>
    <row r="790" spans="1:12" ht="12.75">
      <c r="A790" s="433"/>
      <c r="B790" s="434"/>
      <c r="C790" s="434"/>
      <c r="D790" s="434"/>
      <c r="E790" s="424"/>
      <c r="F790" s="414"/>
      <c r="G790" s="414"/>
      <c r="H790" s="414"/>
      <c r="I790" s="414"/>
      <c r="J790" s="425"/>
      <c r="K790" s="426"/>
      <c r="L790" s="427"/>
    </row>
    <row r="791" spans="1:12" ht="12.75">
      <c r="A791" s="433"/>
      <c r="B791" s="434"/>
      <c r="C791" s="434"/>
      <c r="D791" s="434"/>
      <c r="E791" s="424"/>
      <c r="F791" s="414"/>
      <c r="G791" s="414"/>
      <c r="H791" s="414"/>
      <c r="I791" s="414"/>
      <c r="J791" s="425"/>
      <c r="K791" s="426"/>
      <c r="L791" s="427"/>
    </row>
    <row r="792" spans="1:12" ht="12.75">
      <c r="A792" s="433"/>
      <c r="B792" s="434"/>
      <c r="C792" s="434"/>
      <c r="D792" s="434"/>
      <c r="E792" s="424"/>
      <c r="F792" s="414"/>
      <c r="G792" s="414"/>
      <c r="H792" s="414"/>
      <c r="I792" s="414"/>
      <c r="J792" s="425"/>
      <c r="K792" s="426"/>
      <c r="L792" s="427"/>
    </row>
    <row r="793" spans="1:12" ht="12.75">
      <c r="A793" s="433"/>
      <c r="B793" s="434"/>
      <c r="C793" s="434"/>
      <c r="D793" s="434"/>
      <c r="E793" s="424"/>
      <c r="F793" s="414"/>
      <c r="G793" s="414"/>
      <c r="H793" s="414"/>
      <c r="I793" s="414"/>
      <c r="J793" s="425"/>
      <c r="K793" s="426"/>
      <c r="L793" s="427"/>
    </row>
    <row r="794" spans="1:12" ht="12.75">
      <c r="A794" s="433"/>
      <c r="B794" s="434"/>
      <c r="C794" s="434"/>
      <c r="D794" s="434"/>
      <c r="E794" s="424"/>
      <c r="F794" s="414"/>
      <c r="G794" s="414"/>
      <c r="H794" s="414"/>
      <c r="I794" s="414"/>
      <c r="J794" s="425"/>
      <c r="K794" s="426"/>
      <c r="L794" s="427"/>
    </row>
    <row r="795" spans="1:12" ht="12.75">
      <c r="A795" s="433"/>
      <c r="B795" s="434"/>
      <c r="C795" s="434"/>
      <c r="D795" s="434"/>
      <c r="E795" s="424"/>
      <c r="F795" s="414"/>
      <c r="G795" s="414"/>
      <c r="H795" s="414"/>
      <c r="I795" s="414"/>
      <c r="J795" s="425"/>
      <c r="K795" s="426"/>
      <c r="L795" s="427"/>
    </row>
    <row r="796" spans="1:12" ht="12.75">
      <c r="A796" s="433"/>
      <c r="B796" s="434"/>
      <c r="C796" s="434"/>
      <c r="D796" s="434"/>
      <c r="E796" s="424"/>
      <c r="F796" s="414"/>
      <c r="G796" s="414"/>
      <c r="H796" s="414"/>
      <c r="I796" s="414"/>
      <c r="J796" s="425"/>
      <c r="K796" s="426"/>
      <c r="L796" s="427"/>
    </row>
    <row r="797" spans="1:12" ht="12.75">
      <c r="A797" s="433"/>
      <c r="B797" s="434"/>
      <c r="C797" s="434"/>
      <c r="D797" s="434"/>
      <c r="E797" s="424"/>
      <c r="F797" s="414"/>
      <c r="G797" s="414"/>
      <c r="H797" s="414"/>
      <c r="I797" s="414"/>
      <c r="J797" s="425"/>
      <c r="K797" s="426"/>
      <c r="L797" s="427"/>
    </row>
    <row r="798" spans="1:12" ht="12.75">
      <c r="A798" s="433"/>
      <c r="B798" s="434"/>
      <c r="C798" s="434"/>
      <c r="D798" s="434"/>
      <c r="E798" s="424"/>
      <c r="F798" s="414"/>
      <c r="G798" s="414"/>
      <c r="H798" s="414"/>
      <c r="I798" s="414"/>
      <c r="J798" s="425"/>
      <c r="K798" s="426"/>
      <c r="L798" s="427"/>
    </row>
    <row r="799" spans="1:12" ht="12.75">
      <c r="A799" s="433"/>
      <c r="B799" s="434"/>
      <c r="C799" s="434"/>
      <c r="D799" s="434"/>
      <c r="E799" s="424"/>
      <c r="F799" s="414"/>
      <c r="G799" s="414"/>
      <c r="H799" s="414"/>
      <c r="I799" s="414"/>
      <c r="J799" s="425"/>
      <c r="K799" s="426"/>
      <c r="L799" s="427"/>
    </row>
    <row r="800" spans="1:12" ht="12.75">
      <c r="A800" s="433"/>
      <c r="B800" s="434"/>
      <c r="C800" s="434"/>
      <c r="D800" s="434"/>
      <c r="E800" s="424"/>
      <c r="F800" s="414"/>
      <c r="G800" s="414"/>
      <c r="H800" s="414"/>
      <c r="I800" s="414"/>
      <c r="J800" s="425"/>
      <c r="K800" s="426"/>
      <c r="L800" s="427"/>
    </row>
    <row r="801" spans="1:12" ht="12.75">
      <c r="A801" s="433"/>
      <c r="B801" s="434"/>
      <c r="C801" s="434"/>
      <c r="D801" s="434"/>
      <c r="E801" s="424"/>
      <c r="F801" s="414"/>
      <c r="G801" s="414"/>
      <c r="H801" s="414"/>
      <c r="I801" s="414"/>
      <c r="J801" s="425"/>
      <c r="K801" s="426"/>
      <c r="L801" s="427"/>
    </row>
    <row r="802" spans="1:12" ht="12.75">
      <c r="A802" s="433"/>
      <c r="B802" s="434"/>
      <c r="C802" s="434"/>
      <c r="D802" s="434"/>
      <c r="E802" s="424"/>
      <c r="F802" s="414"/>
      <c r="G802" s="414"/>
      <c r="H802" s="414"/>
      <c r="I802" s="414"/>
      <c r="J802" s="425"/>
      <c r="K802" s="426"/>
      <c r="L802" s="427"/>
    </row>
    <row r="803" spans="1:12" ht="12.75">
      <c r="A803" s="433"/>
      <c r="B803" s="434"/>
      <c r="C803" s="434"/>
      <c r="D803" s="434"/>
      <c r="E803" s="424"/>
      <c r="F803" s="414"/>
      <c r="G803" s="414"/>
      <c r="H803" s="414"/>
      <c r="I803" s="414"/>
      <c r="J803" s="425"/>
      <c r="K803" s="426"/>
      <c r="L803" s="427"/>
    </row>
    <row r="804" spans="1:12" ht="12.75">
      <c r="A804" s="433"/>
      <c r="B804" s="434"/>
      <c r="C804" s="434"/>
      <c r="D804" s="434"/>
      <c r="E804" s="424"/>
      <c r="F804" s="414"/>
      <c r="G804" s="414"/>
      <c r="H804" s="414"/>
      <c r="I804" s="414"/>
      <c r="J804" s="425"/>
      <c r="K804" s="426"/>
      <c r="L804" s="427"/>
    </row>
    <row r="805" spans="1:12" ht="12.75">
      <c r="A805" s="433"/>
      <c r="B805" s="434"/>
      <c r="C805" s="434"/>
      <c r="D805" s="434"/>
      <c r="E805" s="424"/>
      <c r="F805" s="414"/>
      <c r="G805" s="414"/>
      <c r="H805" s="414"/>
      <c r="I805" s="414"/>
      <c r="J805" s="425"/>
      <c r="K805" s="426"/>
      <c r="L805" s="427"/>
    </row>
    <row r="806" spans="1:12" ht="12.75">
      <c r="A806" s="433"/>
      <c r="B806" s="434"/>
      <c r="C806" s="434"/>
      <c r="D806" s="434"/>
      <c r="E806" s="424"/>
      <c r="F806" s="414"/>
      <c r="G806" s="414"/>
      <c r="H806" s="414"/>
      <c r="I806" s="414"/>
      <c r="J806" s="425"/>
      <c r="K806" s="426"/>
      <c r="L806" s="427"/>
    </row>
    <row r="807" spans="1:12" ht="12.75">
      <c r="A807" s="433"/>
      <c r="B807" s="434"/>
      <c r="C807" s="434"/>
      <c r="D807" s="434"/>
      <c r="E807" s="424"/>
      <c r="F807" s="414"/>
      <c r="G807" s="414"/>
      <c r="H807" s="414"/>
      <c r="I807" s="414"/>
      <c r="J807" s="425"/>
      <c r="K807" s="426"/>
      <c r="L807" s="427"/>
    </row>
    <row r="808" spans="1:12" ht="12.75">
      <c r="A808" s="433"/>
      <c r="B808" s="434"/>
      <c r="C808" s="434"/>
      <c r="D808" s="434"/>
      <c r="E808" s="424"/>
      <c r="F808" s="414"/>
      <c r="G808" s="414"/>
      <c r="H808" s="414"/>
      <c r="I808" s="414"/>
      <c r="J808" s="425"/>
      <c r="K808" s="426"/>
      <c r="L808" s="427"/>
    </row>
    <row r="809" spans="1:12" ht="12.75">
      <c r="A809" s="433"/>
      <c r="B809" s="434"/>
      <c r="C809" s="434"/>
      <c r="D809" s="434"/>
      <c r="E809" s="424"/>
      <c r="F809" s="414"/>
      <c r="G809" s="414"/>
      <c r="H809" s="414"/>
      <c r="I809" s="414"/>
      <c r="J809" s="425"/>
      <c r="K809" s="426"/>
      <c r="L809" s="427"/>
    </row>
    <row r="810" spans="1:12" ht="12.75">
      <c r="A810" s="433"/>
      <c r="B810" s="434"/>
      <c r="C810" s="434"/>
      <c r="D810" s="434"/>
      <c r="E810" s="424"/>
      <c r="F810" s="414"/>
      <c r="G810" s="414"/>
      <c r="H810" s="414"/>
      <c r="I810" s="414"/>
      <c r="J810" s="425"/>
      <c r="K810" s="426"/>
      <c r="L810" s="427"/>
    </row>
    <row r="811" spans="1:12" ht="12.75">
      <c r="A811" s="433"/>
      <c r="B811" s="434"/>
      <c r="C811" s="434"/>
      <c r="D811" s="434"/>
      <c r="E811" s="424"/>
      <c r="F811" s="414"/>
      <c r="G811" s="414"/>
      <c r="H811" s="414"/>
      <c r="I811" s="414"/>
      <c r="J811" s="425"/>
      <c r="K811" s="426"/>
      <c r="L811" s="427"/>
    </row>
    <row r="812" spans="1:12" ht="12.75">
      <c r="A812" s="433"/>
      <c r="B812" s="434"/>
      <c r="C812" s="434"/>
      <c r="D812" s="434"/>
      <c r="E812" s="424"/>
      <c r="F812" s="414"/>
      <c r="G812" s="414"/>
      <c r="H812" s="414"/>
      <c r="I812" s="414"/>
      <c r="J812" s="425"/>
      <c r="K812" s="426"/>
      <c r="L812" s="427"/>
    </row>
    <row r="813" spans="1:12" ht="12.75">
      <c r="A813" s="433"/>
      <c r="B813" s="434"/>
      <c r="C813" s="434"/>
      <c r="D813" s="434"/>
      <c r="E813" s="424"/>
      <c r="F813" s="414"/>
      <c r="G813" s="414"/>
      <c r="H813" s="414"/>
      <c r="I813" s="414"/>
      <c r="J813" s="425"/>
      <c r="K813" s="426"/>
      <c r="L813" s="427"/>
    </row>
    <row r="814" spans="1:12" ht="12.75">
      <c r="A814" s="433"/>
      <c r="B814" s="434"/>
      <c r="C814" s="434"/>
      <c r="D814" s="434"/>
      <c r="E814" s="424"/>
      <c r="F814" s="414"/>
      <c r="G814" s="414"/>
      <c r="H814" s="414"/>
      <c r="I814" s="414"/>
      <c r="J814" s="425"/>
      <c r="K814" s="426"/>
      <c r="L814" s="427"/>
    </row>
    <row r="815" spans="1:12" ht="12.75">
      <c r="A815" s="433"/>
      <c r="B815" s="434"/>
      <c r="C815" s="434"/>
      <c r="D815" s="434"/>
      <c r="E815" s="424"/>
      <c r="F815" s="414"/>
      <c r="G815" s="414"/>
      <c r="H815" s="414"/>
      <c r="I815" s="414"/>
      <c r="J815" s="425"/>
      <c r="K815" s="426"/>
      <c r="L815" s="427"/>
    </row>
    <row r="816" spans="1:12" ht="12.75">
      <c r="A816" s="433"/>
      <c r="B816" s="434"/>
      <c r="C816" s="434"/>
      <c r="D816" s="434"/>
      <c r="E816" s="424"/>
      <c r="F816" s="414"/>
      <c r="G816" s="414"/>
      <c r="H816" s="414"/>
      <c r="I816" s="414"/>
      <c r="J816" s="425"/>
      <c r="K816" s="426"/>
      <c r="L816" s="427"/>
    </row>
    <row r="817" spans="1:12" ht="12.75">
      <c r="A817" s="433"/>
      <c r="B817" s="434"/>
      <c r="C817" s="434"/>
      <c r="D817" s="434"/>
      <c r="E817" s="424"/>
      <c r="F817" s="414"/>
      <c r="G817" s="414"/>
      <c r="H817" s="414"/>
      <c r="I817" s="414"/>
      <c r="J817" s="425"/>
      <c r="K817" s="426"/>
      <c r="L817" s="427"/>
    </row>
    <row r="818" spans="1:12" ht="12.75">
      <c r="A818" s="433"/>
      <c r="B818" s="434"/>
      <c r="C818" s="434"/>
      <c r="D818" s="434"/>
      <c r="E818" s="424"/>
      <c r="F818" s="414"/>
      <c r="G818" s="414"/>
      <c r="H818" s="414"/>
      <c r="I818" s="414"/>
      <c r="J818" s="425"/>
      <c r="K818" s="426"/>
      <c r="L818" s="427"/>
    </row>
    <row r="819" spans="1:12" ht="12.75">
      <c r="A819" s="433"/>
      <c r="B819" s="434"/>
      <c r="C819" s="434"/>
      <c r="D819" s="434"/>
      <c r="E819" s="424"/>
      <c r="F819" s="414"/>
      <c r="G819" s="414"/>
      <c r="H819" s="414"/>
      <c r="I819" s="414"/>
      <c r="J819" s="425"/>
      <c r="K819" s="426"/>
      <c r="L819" s="427"/>
    </row>
    <row r="820" spans="1:12" ht="12.75">
      <c r="A820" s="433"/>
      <c r="B820" s="434"/>
      <c r="C820" s="434"/>
      <c r="D820" s="434"/>
      <c r="E820" s="424"/>
      <c r="F820" s="414"/>
      <c r="G820" s="414"/>
      <c r="H820" s="414"/>
      <c r="I820" s="414"/>
      <c r="J820" s="425"/>
      <c r="K820" s="426"/>
      <c r="L820" s="427"/>
    </row>
    <row r="821" spans="1:12" ht="12.75">
      <c r="A821" s="433"/>
      <c r="B821" s="434"/>
      <c r="C821" s="434"/>
      <c r="D821" s="434"/>
      <c r="E821" s="424"/>
      <c r="F821" s="414"/>
      <c r="G821" s="414"/>
      <c r="H821" s="414"/>
      <c r="I821" s="414"/>
      <c r="J821" s="425"/>
      <c r="K821" s="426"/>
      <c r="L821" s="427"/>
    </row>
    <row r="822" spans="1:12" ht="12.75">
      <c r="A822" s="433"/>
      <c r="B822" s="434"/>
      <c r="C822" s="434"/>
      <c r="D822" s="434"/>
      <c r="E822" s="424"/>
      <c r="F822" s="414"/>
      <c r="G822" s="414"/>
      <c r="H822" s="414"/>
      <c r="I822" s="414"/>
      <c r="J822" s="425"/>
      <c r="K822" s="426"/>
      <c r="L822" s="427"/>
    </row>
    <row r="823" spans="1:12" ht="12.75">
      <c r="A823" s="433"/>
      <c r="B823" s="434"/>
      <c r="C823" s="434"/>
      <c r="D823" s="434"/>
      <c r="E823" s="424"/>
      <c r="F823" s="414"/>
      <c r="G823" s="414"/>
      <c r="H823" s="414"/>
      <c r="I823" s="414"/>
      <c r="J823" s="425"/>
      <c r="K823" s="426"/>
      <c r="L823" s="427"/>
    </row>
    <row r="824" spans="1:12" ht="12.75">
      <c r="A824" s="433"/>
      <c r="B824" s="434"/>
      <c r="C824" s="434"/>
      <c r="D824" s="434"/>
      <c r="E824" s="424"/>
      <c r="F824" s="414"/>
      <c r="G824" s="414"/>
      <c r="H824" s="414"/>
      <c r="I824" s="414"/>
      <c r="J824" s="425"/>
      <c r="K824" s="426"/>
      <c r="L824" s="427"/>
    </row>
    <row r="825" spans="1:12" ht="12.75">
      <c r="A825" s="433"/>
      <c r="B825" s="434"/>
      <c r="C825" s="434"/>
      <c r="D825" s="434"/>
      <c r="E825" s="424"/>
      <c r="F825" s="414"/>
      <c r="G825" s="414"/>
      <c r="H825" s="414"/>
      <c r="I825" s="414"/>
      <c r="J825" s="425"/>
      <c r="K825" s="426"/>
      <c r="L825" s="427"/>
    </row>
    <row r="826" spans="1:12" ht="12.75">
      <c r="A826" s="433"/>
      <c r="B826" s="434"/>
      <c r="C826" s="434"/>
      <c r="D826" s="434"/>
      <c r="E826" s="424"/>
      <c r="F826" s="414"/>
      <c r="G826" s="414"/>
      <c r="H826" s="414"/>
      <c r="I826" s="414"/>
      <c r="J826" s="425"/>
      <c r="K826" s="426"/>
      <c r="L826" s="427"/>
    </row>
    <row r="827" spans="1:12" ht="12.75">
      <c r="A827" s="433"/>
      <c r="B827" s="434"/>
      <c r="C827" s="434"/>
      <c r="D827" s="434"/>
      <c r="E827" s="424"/>
      <c r="F827" s="414"/>
      <c r="G827" s="414"/>
      <c r="H827" s="414"/>
      <c r="I827" s="414"/>
      <c r="J827" s="425"/>
      <c r="K827" s="426"/>
      <c r="L827" s="427"/>
    </row>
    <row r="828" spans="1:12" ht="12.75">
      <c r="A828" s="433"/>
      <c r="B828" s="434"/>
      <c r="C828" s="434"/>
      <c r="D828" s="434"/>
      <c r="E828" s="424"/>
      <c r="F828" s="414"/>
      <c r="G828" s="414"/>
      <c r="H828" s="414"/>
      <c r="I828" s="414"/>
      <c r="J828" s="425"/>
      <c r="K828" s="426"/>
      <c r="L828" s="427"/>
    </row>
    <row r="829" spans="1:12" ht="12.75">
      <c r="A829" s="433"/>
      <c r="B829" s="434"/>
      <c r="C829" s="434"/>
      <c r="D829" s="434"/>
      <c r="E829" s="424"/>
      <c r="F829" s="414"/>
      <c r="G829" s="414"/>
      <c r="H829" s="414"/>
      <c r="I829" s="414"/>
      <c r="J829" s="425"/>
      <c r="K829" s="426"/>
      <c r="L829" s="427"/>
    </row>
    <row r="830" spans="1:12" ht="12.75">
      <c r="A830" s="433"/>
      <c r="B830" s="434"/>
      <c r="C830" s="434"/>
      <c r="D830" s="434"/>
      <c r="E830" s="424"/>
      <c r="F830" s="414"/>
      <c r="G830" s="414"/>
      <c r="H830" s="414"/>
      <c r="I830" s="414"/>
      <c r="J830" s="425"/>
      <c r="K830" s="426"/>
      <c r="L830" s="427"/>
    </row>
    <row r="831" spans="1:12" ht="12.75">
      <c r="A831" s="433"/>
      <c r="B831" s="434"/>
      <c r="C831" s="434"/>
      <c r="D831" s="434"/>
      <c r="E831" s="424"/>
      <c r="F831" s="414"/>
      <c r="G831" s="414"/>
      <c r="H831" s="414"/>
      <c r="I831" s="414"/>
      <c r="J831" s="425"/>
      <c r="K831" s="426"/>
      <c r="L831" s="427"/>
    </row>
    <row r="832" spans="1:12" ht="12.75">
      <c r="A832" s="433"/>
      <c r="B832" s="434"/>
      <c r="C832" s="434"/>
      <c r="D832" s="434"/>
      <c r="E832" s="424"/>
      <c r="F832" s="414"/>
      <c r="G832" s="414"/>
      <c r="H832" s="414"/>
      <c r="I832" s="414"/>
      <c r="J832" s="425"/>
      <c r="K832" s="426"/>
      <c r="L832" s="427"/>
    </row>
    <row r="833" spans="1:12" ht="12.75">
      <c r="A833" s="433"/>
      <c r="B833" s="434"/>
      <c r="C833" s="434"/>
      <c r="D833" s="434"/>
      <c r="E833" s="424"/>
      <c r="F833" s="414"/>
      <c r="G833" s="414"/>
      <c r="H833" s="414"/>
      <c r="I833" s="414"/>
      <c r="J833" s="425"/>
      <c r="K833" s="426"/>
      <c r="L833" s="427"/>
    </row>
    <row r="834" spans="1:12" ht="12.75">
      <c r="A834" s="433"/>
      <c r="B834" s="434"/>
      <c r="C834" s="434"/>
      <c r="D834" s="434"/>
      <c r="E834" s="424"/>
      <c r="F834" s="414"/>
      <c r="G834" s="414"/>
      <c r="H834" s="414"/>
      <c r="I834" s="414"/>
      <c r="J834" s="425"/>
      <c r="K834" s="426"/>
      <c r="L834" s="427"/>
    </row>
    <row r="835" spans="1:12" ht="12.75">
      <c r="A835" s="433"/>
      <c r="B835" s="434"/>
      <c r="C835" s="434"/>
      <c r="D835" s="434"/>
      <c r="E835" s="424"/>
      <c r="F835" s="414"/>
      <c r="G835" s="414"/>
      <c r="H835" s="414"/>
      <c r="I835" s="414"/>
      <c r="J835" s="425"/>
      <c r="K835" s="426"/>
      <c r="L835" s="427"/>
    </row>
    <row r="836" spans="1:12" ht="12.75">
      <c r="A836" s="433"/>
      <c r="B836" s="434"/>
      <c r="C836" s="434"/>
      <c r="D836" s="434"/>
      <c r="E836" s="424"/>
      <c r="F836" s="414"/>
      <c r="G836" s="414"/>
      <c r="H836" s="414"/>
      <c r="I836" s="414"/>
      <c r="J836" s="425"/>
      <c r="K836" s="426"/>
      <c r="L836" s="427"/>
    </row>
    <row r="837" spans="1:12" ht="12.75">
      <c r="A837" s="433"/>
      <c r="B837" s="434"/>
      <c r="C837" s="434"/>
      <c r="D837" s="434"/>
      <c r="E837" s="424"/>
      <c r="F837" s="414"/>
      <c r="G837" s="414"/>
      <c r="H837" s="414"/>
      <c r="I837" s="414"/>
      <c r="J837" s="425"/>
      <c r="K837" s="426"/>
      <c r="L837" s="427"/>
    </row>
    <row r="838" spans="1:12" ht="12.75">
      <c r="A838" s="433"/>
      <c r="B838" s="434"/>
      <c r="C838" s="434"/>
      <c r="D838" s="434"/>
      <c r="E838" s="424"/>
      <c r="F838" s="414"/>
      <c r="G838" s="414"/>
      <c r="H838" s="414"/>
      <c r="I838" s="414"/>
      <c r="J838" s="425"/>
      <c r="K838" s="426"/>
      <c r="L838" s="427"/>
    </row>
    <row r="839" spans="1:12" ht="12.75">
      <c r="A839" s="433"/>
      <c r="B839" s="434"/>
      <c r="C839" s="434"/>
      <c r="D839" s="434"/>
      <c r="E839" s="424"/>
      <c r="F839" s="414"/>
      <c r="G839" s="414"/>
      <c r="H839" s="414"/>
      <c r="I839" s="414"/>
      <c r="J839" s="425"/>
      <c r="K839" s="426"/>
      <c r="L839" s="427"/>
    </row>
    <row r="840" spans="1:12" ht="12.75">
      <c r="A840" s="433"/>
      <c r="B840" s="434"/>
      <c r="C840" s="434"/>
      <c r="D840" s="434"/>
      <c r="E840" s="424"/>
      <c r="F840" s="414"/>
      <c r="G840" s="414"/>
      <c r="H840" s="414"/>
      <c r="I840" s="414"/>
      <c r="J840" s="425"/>
      <c r="K840" s="426"/>
      <c r="L840" s="427"/>
    </row>
    <row r="841" spans="1:12" ht="12.75">
      <c r="A841" s="433"/>
      <c r="B841" s="434"/>
      <c r="C841" s="434"/>
      <c r="D841" s="434"/>
      <c r="E841" s="424"/>
      <c r="F841" s="414"/>
      <c r="G841" s="414"/>
      <c r="H841" s="414"/>
      <c r="I841" s="414"/>
      <c r="J841" s="425"/>
      <c r="K841" s="426"/>
      <c r="L841" s="427"/>
    </row>
    <row r="842" spans="1:12" ht="12.75">
      <c r="A842" s="433"/>
      <c r="B842" s="434"/>
      <c r="C842" s="434"/>
      <c r="D842" s="434"/>
      <c r="E842" s="424"/>
      <c r="F842" s="414"/>
      <c r="G842" s="414"/>
      <c r="H842" s="414"/>
      <c r="I842" s="414"/>
      <c r="J842" s="425"/>
      <c r="K842" s="426"/>
      <c r="L842" s="427"/>
    </row>
    <row r="843" spans="1:12" ht="12.75">
      <c r="A843" s="433"/>
      <c r="B843" s="434"/>
      <c r="C843" s="434"/>
      <c r="D843" s="434"/>
      <c r="E843" s="424"/>
      <c r="F843" s="414"/>
      <c r="G843" s="414"/>
      <c r="H843" s="414"/>
      <c r="I843" s="414"/>
      <c r="J843" s="425"/>
      <c r="K843" s="426"/>
      <c r="L843" s="427"/>
    </row>
    <row r="844" spans="1:12" ht="12.75">
      <c r="A844" s="433"/>
      <c r="B844" s="434"/>
      <c r="C844" s="434"/>
      <c r="D844" s="434"/>
      <c r="E844" s="424"/>
      <c r="F844" s="414"/>
      <c r="G844" s="414"/>
      <c r="H844" s="414"/>
      <c r="I844" s="414"/>
      <c r="J844" s="425"/>
      <c r="K844" s="426"/>
      <c r="L844" s="427"/>
    </row>
    <row r="845" spans="1:12" ht="12.75">
      <c r="A845" s="433"/>
      <c r="B845" s="434"/>
      <c r="C845" s="434"/>
      <c r="D845" s="434"/>
      <c r="E845" s="424"/>
      <c r="F845" s="414"/>
      <c r="G845" s="414"/>
      <c r="H845" s="414"/>
      <c r="I845" s="414"/>
      <c r="J845" s="425"/>
      <c r="K845" s="426"/>
      <c r="L845" s="427"/>
    </row>
    <row r="846" spans="1:12" ht="12.75">
      <c r="A846" s="433"/>
      <c r="B846" s="434"/>
      <c r="C846" s="434"/>
      <c r="D846" s="434"/>
      <c r="E846" s="424"/>
      <c r="F846" s="414"/>
      <c r="G846" s="414"/>
      <c r="H846" s="414"/>
      <c r="I846" s="414"/>
      <c r="J846" s="425"/>
      <c r="K846" s="426"/>
      <c r="L846" s="427"/>
    </row>
    <row r="847" spans="1:12" ht="12.75">
      <c r="A847" s="433"/>
      <c r="B847" s="434"/>
      <c r="C847" s="434"/>
      <c r="D847" s="434"/>
      <c r="E847" s="424"/>
      <c r="F847" s="414"/>
      <c r="G847" s="414"/>
      <c r="H847" s="414"/>
      <c r="I847" s="414"/>
      <c r="J847" s="425"/>
      <c r="K847" s="426"/>
      <c r="L847" s="427"/>
    </row>
    <row r="848" spans="1:12" ht="12.75">
      <c r="A848" s="433"/>
      <c r="B848" s="434"/>
      <c r="C848" s="434"/>
      <c r="D848" s="434"/>
      <c r="E848" s="424"/>
      <c r="F848" s="414"/>
      <c r="G848" s="414"/>
      <c r="H848" s="414"/>
      <c r="I848" s="414"/>
      <c r="J848" s="425"/>
      <c r="K848" s="426"/>
      <c r="L848" s="427"/>
    </row>
    <row r="849" spans="1:12" ht="12.75">
      <c r="A849" s="433"/>
      <c r="B849" s="434"/>
      <c r="C849" s="434"/>
      <c r="D849" s="434"/>
      <c r="E849" s="424"/>
      <c r="F849" s="414"/>
      <c r="G849" s="414"/>
      <c r="H849" s="414"/>
      <c r="I849" s="414"/>
      <c r="J849" s="425"/>
      <c r="K849" s="426"/>
      <c r="L849" s="427"/>
    </row>
    <row r="850" spans="1:12" ht="12.75">
      <c r="A850" s="433"/>
      <c r="B850" s="434"/>
      <c r="C850" s="434"/>
      <c r="D850" s="434"/>
      <c r="E850" s="424"/>
      <c r="F850" s="414"/>
      <c r="G850" s="414"/>
      <c r="H850" s="414"/>
      <c r="I850" s="414"/>
      <c r="J850" s="425"/>
      <c r="K850" s="426"/>
      <c r="L850" s="427"/>
    </row>
    <row r="851" spans="1:12" ht="12.75">
      <c r="A851" s="433"/>
      <c r="B851" s="434"/>
      <c r="C851" s="434"/>
      <c r="D851" s="434"/>
      <c r="E851" s="424"/>
      <c r="F851" s="414"/>
      <c r="G851" s="414"/>
      <c r="H851" s="414"/>
      <c r="I851" s="414"/>
      <c r="J851" s="425"/>
      <c r="K851" s="426"/>
      <c r="L851" s="427"/>
    </row>
    <row r="852" spans="1:12" ht="12.75">
      <c r="A852" s="433"/>
      <c r="B852" s="434"/>
      <c r="C852" s="434"/>
      <c r="D852" s="434"/>
      <c r="E852" s="424"/>
      <c r="F852" s="414"/>
      <c r="G852" s="414"/>
      <c r="H852" s="414"/>
      <c r="I852" s="414"/>
      <c r="J852" s="425"/>
      <c r="K852" s="426"/>
      <c r="L852" s="427"/>
    </row>
    <row r="853" spans="1:12" ht="12.75">
      <c r="A853" s="433"/>
      <c r="B853" s="434"/>
      <c r="C853" s="434"/>
      <c r="D853" s="434"/>
      <c r="E853" s="424"/>
      <c r="F853" s="414"/>
      <c r="G853" s="414"/>
      <c r="H853" s="414"/>
      <c r="I853" s="414"/>
      <c r="J853" s="425"/>
      <c r="K853" s="426"/>
      <c r="L853" s="427"/>
    </row>
    <row r="854" spans="1:12" ht="12.75">
      <c r="A854" s="433"/>
      <c r="B854" s="434"/>
      <c r="C854" s="434"/>
      <c r="D854" s="434"/>
      <c r="E854" s="424"/>
      <c r="F854" s="414"/>
      <c r="G854" s="414"/>
      <c r="H854" s="414"/>
      <c r="I854" s="414"/>
      <c r="J854" s="425"/>
      <c r="K854" s="426"/>
      <c r="L854" s="427"/>
    </row>
    <row r="855" spans="1:12" ht="12.75">
      <c r="A855" s="433"/>
      <c r="B855" s="434"/>
      <c r="C855" s="434"/>
      <c r="D855" s="434"/>
      <c r="E855" s="424"/>
      <c r="F855" s="414"/>
      <c r="G855" s="414"/>
      <c r="H855" s="414"/>
      <c r="I855" s="414"/>
      <c r="J855" s="425"/>
      <c r="K855" s="426"/>
      <c r="L855" s="427"/>
    </row>
    <row r="856" spans="1:12" ht="12.75">
      <c r="A856" s="433"/>
      <c r="B856" s="434"/>
      <c r="C856" s="434"/>
      <c r="D856" s="434"/>
      <c r="E856" s="424"/>
      <c r="F856" s="414"/>
      <c r="G856" s="414"/>
      <c r="H856" s="414"/>
      <c r="I856" s="414"/>
      <c r="J856" s="425"/>
      <c r="K856" s="426"/>
      <c r="L856" s="427"/>
    </row>
    <row r="857" spans="1:12" ht="12.75">
      <c r="A857" s="433"/>
      <c r="B857" s="434"/>
      <c r="C857" s="434"/>
      <c r="D857" s="434"/>
      <c r="E857" s="424"/>
      <c r="F857" s="414"/>
      <c r="G857" s="414"/>
      <c r="H857" s="414"/>
      <c r="I857" s="414"/>
      <c r="J857" s="425"/>
      <c r="K857" s="426"/>
      <c r="L857" s="427"/>
    </row>
    <row r="858" spans="1:12" ht="12.75">
      <c r="A858" s="433"/>
      <c r="B858" s="434"/>
      <c r="C858" s="434"/>
      <c r="D858" s="434"/>
      <c r="E858" s="424"/>
      <c r="F858" s="414"/>
      <c r="G858" s="414"/>
      <c r="H858" s="414"/>
      <c r="I858" s="414"/>
      <c r="J858" s="425"/>
      <c r="K858" s="426"/>
      <c r="L858" s="427"/>
    </row>
    <row r="859" spans="1:12" ht="12.75">
      <c r="A859" s="433"/>
      <c r="B859" s="434"/>
      <c r="C859" s="434"/>
      <c r="D859" s="434"/>
      <c r="E859" s="424"/>
      <c r="F859" s="414"/>
      <c r="G859" s="414"/>
      <c r="H859" s="414"/>
      <c r="I859" s="414"/>
      <c r="J859" s="425"/>
      <c r="K859" s="426"/>
      <c r="L859" s="427"/>
    </row>
    <row r="860" spans="1:12" ht="12.75">
      <c r="A860" s="433"/>
      <c r="B860" s="434"/>
      <c r="C860" s="434"/>
      <c r="D860" s="434"/>
      <c r="E860" s="424"/>
      <c r="F860" s="414"/>
      <c r="G860" s="414"/>
      <c r="H860" s="414"/>
      <c r="I860" s="414"/>
      <c r="J860" s="425"/>
      <c r="K860" s="426"/>
      <c r="L860" s="427"/>
    </row>
    <row r="861" spans="1:12" ht="12.75">
      <c r="A861" s="433"/>
      <c r="B861" s="434"/>
      <c r="C861" s="434"/>
      <c r="D861" s="434"/>
      <c r="E861" s="424"/>
      <c r="F861" s="414"/>
      <c r="G861" s="414"/>
      <c r="H861" s="414"/>
      <c r="I861" s="414"/>
      <c r="J861" s="425"/>
      <c r="K861" s="426"/>
      <c r="L861" s="427"/>
    </row>
    <row r="862" spans="1:12" ht="12.75">
      <c r="A862" s="433"/>
      <c r="B862" s="434"/>
      <c r="C862" s="434"/>
      <c r="D862" s="434"/>
      <c r="E862" s="424"/>
      <c r="F862" s="414"/>
      <c r="G862" s="414"/>
      <c r="H862" s="414"/>
      <c r="I862" s="414"/>
      <c r="J862" s="425"/>
      <c r="K862" s="426"/>
      <c r="L862" s="427"/>
    </row>
    <row r="863" spans="1:12" ht="12.75">
      <c r="A863" s="433"/>
      <c r="B863" s="434"/>
      <c r="C863" s="434"/>
      <c r="D863" s="434"/>
      <c r="E863" s="424"/>
      <c r="F863" s="414"/>
      <c r="G863" s="414"/>
      <c r="H863" s="414"/>
      <c r="I863" s="414"/>
      <c r="J863" s="425"/>
      <c r="K863" s="426"/>
      <c r="L863" s="427"/>
    </row>
    <row r="864" spans="1:12" ht="12.75">
      <c r="A864" s="433"/>
      <c r="B864" s="434"/>
      <c r="C864" s="434"/>
      <c r="D864" s="434"/>
      <c r="E864" s="424"/>
      <c r="F864" s="414"/>
      <c r="G864" s="414"/>
      <c r="H864" s="414"/>
      <c r="I864" s="414"/>
      <c r="J864" s="425"/>
      <c r="K864" s="426"/>
      <c r="L864" s="427"/>
    </row>
    <row r="865" spans="1:12" ht="12.75">
      <c r="A865" s="433"/>
      <c r="B865" s="434"/>
      <c r="C865" s="434"/>
      <c r="D865" s="434"/>
      <c r="E865" s="424"/>
      <c r="F865" s="414"/>
      <c r="G865" s="414"/>
      <c r="H865" s="414"/>
      <c r="I865" s="414"/>
      <c r="J865" s="425"/>
      <c r="K865" s="426"/>
      <c r="L865" s="427"/>
    </row>
    <row r="866" spans="1:12" ht="12.75">
      <c r="A866" s="433"/>
      <c r="B866" s="434"/>
      <c r="C866" s="434"/>
      <c r="D866" s="434"/>
      <c r="E866" s="424"/>
      <c r="F866" s="414"/>
      <c r="G866" s="414"/>
      <c r="H866" s="414"/>
      <c r="I866" s="414"/>
      <c r="J866" s="425"/>
      <c r="K866" s="426"/>
      <c r="L866" s="427"/>
    </row>
    <row r="867" spans="1:12" ht="12.75">
      <c r="A867" s="433"/>
      <c r="B867" s="434"/>
      <c r="C867" s="434"/>
      <c r="D867" s="434"/>
      <c r="E867" s="424"/>
      <c r="F867" s="414"/>
      <c r="G867" s="414"/>
      <c r="H867" s="414"/>
      <c r="I867" s="414"/>
      <c r="J867" s="425"/>
      <c r="K867" s="426"/>
      <c r="L867" s="427"/>
    </row>
    <row r="868" spans="1:12" ht="12.75">
      <c r="A868" s="433"/>
      <c r="B868" s="434"/>
      <c r="C868" s="434"/>
      <c r="D868" s="434"/>
      <c r="E868" s="424"/>
      <c r="F868" s="414"/>
      <c r="G868" s="414"/>
      <c r="H868" s="414"/>
      <c r="I868" s="414"/>
      <c r="J868" s="425"/>
      <c r="K868" s="426"/>
      <c r="L868" s="427"/>
    </row>
    <row r="869" spans="1:12" ht="12.75">
      <c r="A869" s="433"/>
      <c r="B869" s="434"/>
      <c r="C869" s="434"/>
      <c r="D869" s="434"/>
      <c r="E869" s="424"/>
      <c r="F869" s="414"/>
      <c r="G869" s="414"/>
      <c r="H869" s="414"/>
      <c r="I869" s="414"/>
      <c r="J869" s="425"/>
      <c r="K869" s="426"/>
      <c r="L869" s="427"/>
    </row>
    <row r="870" spans="1:12" ht="12.75">
      <c r="A870" s="433"/>
      <c r="B870" s="434"/>
      <c r="C870" s="434"/>
      <c r="D870" s="434"/>
      <c r="E870" s="424"/>
      <c r="F870" s="414"/>
      <c r="G870" s="414"/>
      <c r="H870" s="414"/>
      <c r="I870" s="414"/>
      <c r="J870" s="425"/>
      <c r="K870" s="426"/>
      <c r="L870" s="427"/>
    </row>
    <row r="871" spans="1:12" ht="12.75">
      <c r="A871" s="433"/>
      <c r="B871" s="434"/>
      <c r="C871" s="434"/>
      <c r="D871" s="434"/>
      <c r="E871" s="424"/>
      <c r="F871" s="414"/>
      <c r="G871" s="414"/>
      <c r="H871" s="414"/>
      <c r="I871" s="414"/>
      <c r="J871" s="425"/>
      <c r="K871" s="426"/>
      <c r="L871" s="427"/>
    </row>
    <row r="872" spans="1:12" ht="12.75">
      <c r="A872" s="433"/>
      <c r="B872" s="434"/>
      <c r="C872" s="434"/>
      <c r="D872" s="434"/>
      <c r="E872" s="424"/>
      <c r="F872" s="414"/>
      <c r="G872" s="414"/>
      <c r="H872" s="414"/>
      <c r="I872" s="414"/>
      <c r="J872" s="425"/>
      <c r="K872" s="426"/>
      <c r="L872" s="427"/>
    </row>
    <row r="873" spans="1:12" ht="12.75">
      <c r="A873" s="433"/>
      <c r="B873" s="434"/>
      <c r="C873" s="434"/>
      <c r="D873" s="434"/>
      <c r="E873" s="424"/>
      <c r="F873" s="414"/>
      <c r="G873" s="414"/>
      <c r="H873" s="414"/>
      <c r="I873" s="414"/>
      <c r="J873" s="425"/>
      <c r="K873" s="426"/>
      <c r="L873" s="427"/>
    </row>
    <row r="874" spans="1:12" ht="12.75">
      <c r="A874" s="433"/>
      <c r="B874" s="434"/>
      <c r="C874" s="434"/>
      <c r="D874" s="434"/>
      <c r="E874" s="424"/>
      <c r="F874" s="414"/>
      <c r="G874" s="414"/>
      <c r="H874" s="414"/>
      <c r="I874" s="414"/>
      <c r="J874" s="425"/>
      <c r="K874" s="426"/>
      <c r="L874" s="427"/>
    </row>
    <row r="875" spans="1:12" ht="12.75">
      <c r="A875" s="433"/>
      <c r="B875" s="434"/>
      <c r="C875" s="434"/>
      <c r="D875" s="434"/>
      <c r="E875" s="424"/>
      <c r="F875" s="414"/>
      <c r="G875" s="414"/>
      <c r="H875" s="414"/>
      <c r="I875" s="414"/>
      <c r="J875" s="425"/>
      <c r="K875" s="426"/>
      <c r="L875" s="427"/>
    </row>
    <row r="876" spans="1:12" ht="12.75">
      <c r="A876" s="433"/>
      <c r="B876" s="434"/>
      <c r="C876" s="434"/>
      <c r="D876" s="434"/>
      <c r="E876" s="424"/>
      <c r="F876" s="414"/>
      <c r="G876" s="414"/>
      <c r="H876" s="414"/>
      <c r="I876" s="414"/>
      <c r="J876" s="425"/>
      <c r="K876" s="426"/>
      <c r="L876" s="427"/>
    </row>
    <row r="877" spans="1:12" ht="12.75">
      <c r="A877" s="433"/>
      <c r="B877" s="434"/>
      <c r="C877" s="434"/>
      <c r="D877" s="434"/>
      <c r="E877" s="424"/>
      <c r="F877" s="414"/>
      <c r="G877" s="414"/>
      <c r="H877" s="414"/>
      <c r="I877" s="414"/>
      <c r="J877" s="425"/>
      <c r="K877" s="426"/>
      <c r="L877" s="427"/>
    </row>
    <row r="878" spans="1:12" ht="12.75">
      <c r="A878" s="433"/>
      <c r="B878" s="434"/>
      <c r="C878" s="434"/>
      <c r="D878" s="434"/>
      <c r="E878" s="424"/>
      <c r="F878" s="414"/>
      <c r="G878" s="414"/>
      <c r="H878" s="414"/>
      <c r="I878" s="414"/>
      <c r="J878" s="425"/>
      <c r="K878" s="426"/>
      <c r="L878" s="427"/>
    </row>
    <row r="879" spans="1:12" ht="12.75">
      <c r="A879" s="433"/>
      <c r="B879" s="434"/>
      <c r="C879" s="434"/>
      <c r="D879" s="434"/>
      <c r="E879" s="424"/>
      <c r="F879" s="414"/>
      <c r="G879" s="414"/>
      <c r="H879" s="414"/>
      <c r="I879" s="414"/>
      <c r="J879" s="425"/>
      <c r="K879" s="426"/>
      <c r="L879" s="427"/>
    </row>
    <row r="880" spans="1:12" ht="12.75">
      <c r="A880" s="433"/>
      <c r="B880" s="434"/>
      <c r="C880" s="434"/>
      <c r="D880" s="434"/>
      <c r="E880" s="424"/>
      <c r="F880" s="414"/>
      <c r="G880" s="414"/>
      <c r="H880" s="414"/>
      <c r="I880" s="414"/>
      <c r="J880" s="425"/>
      <c r="K880" s="426"/>
      <c r="L880" s="427"/>
    </row>
    <row r="881" spans="1:12" ht="12.75">
      <c r="A881" s="433"/>
      <c r="B881" s="434"/>
      <c r="C881" s="434"/>
      <c r="D881" s="434"/>
      <c r="E881" s="424"/>
      <c r="F881" s="414"/>
      <c r="G881" s="414"/>
      <c r="H881" s="414"/>
      <c r="I881" s="414"/>
      <c r="J881" s="425"/>
      <c r="K881" s="426"/>
      <c r="L881" s="427"/>
    </row>
    <row r="882" spans="1:12" ht="12.75">
      <c r="A882" s="433"/>
      <c r="B882" s="434"/>
      <c r="C882" s="434"/>
      <c r="D882" s="434"/>
      <c r="E882" s="424"/>
      <c r="F882" s="414"/>
      <c r="G882" s="414"/>
      <c r="H882" s="414"/>
      <c r="I882" s="414"/>
      <c r="J882" s="425"/>
      <c r="K882" s="426"/>
      <c r="L882" s="427"/>
    </row>
    <row r="883" spans="1:12" ht="12.75">
      <c r="A883" s="433"/>
      <c r="B883" s="434"/>
      <c r="C883" s="434"/>
      <c r="D883" s="434"/>
      <c r="E883" s="424"/>
      <c r="F883" s="414"/>
      <c r="G883" s="414"/>
      <c r="H883" s="414"/>
      <c r="I883" s="414"/>
      <c r="J883" s="425"/>
      <c r="K883" s="426"/>
      <c r="L883" s="427"/>
    </row>
    <row r="884" spans="1:12" ht="12.75">
      <c r="A884" s="433"/>
      <c r="B884" s="434"/>
      <c r="C884" s="434"/>
      <c r="D884" s="434"/>
      <c r="E884" s="424"/>
      <c r="F884" s="414"/>
      <c r="G884" s="414"/>
      <c r="H884" s="414"/>
      <c r="I884" s="414"/>
      <c r="J884" s="425"/>
      <c r="K884" s="426"/>
      <c r="L884" s="427"/>
    </row>
    <row r="885" spans="1:12" ht="12.75">
      <c r="A885" s="433"/>
      <c r="B885" s="434"/>
      <c r="C885" s="434"/>
      <c r="D885" s="434"/>
      <c r="E885" s="424"/>
      <c r="F885" s="414"/>
      <c r="G885" s="414"/>
      <c r="H885" s="414"/>
      <c r="I885" s="414"/>
      <c r="J885" s="425"/>
      <c r="K885" s="426"/>
      <c r="L885" s="427"/>
    </row>
    <row r="886" spans="1:12" ht="12.75">
      <c r="A886" s="433"/>
      <c r="B886" s="434"/>
      <c r="C886" s="434"/>
      <c r="D886" s="434"/>
      <c r="E886" s="424"/>
      <c r="F886" s="414"/>
      <c r="G886" s="414"/>
      <c r="H886" s="414"/>
      <c r="I886" s="414"/>
      <c r="J886" s="425"/>
      <c r="K886" s="426"/>
      <c r="L886" s="427"/>
    </row>
    <row r="887" spans="1:12" ht="12.75">
      <c r="A887" s="433"/>
      <c r="B887" s="434"/>
      <c r="C887" s="434"/>
      <c r="D887" s="434"/>
      <c r="E887" s="424"/>
      <c r="F887" s="414"/>
      <c r="G887" s="414"/>
      <c r="H887" s="414"/>
      <c r="I887" s="414"/>
      <c r="J887" s="425"/>
      <c r="K887" s="426"/>
      <c r="L887" s="427"/>
    </row>
    <row r="888" spans="1:12" ht="12.75">
      <c r="A888" s="433"/>
      <c r="B888" s="434"/>
      <c r="C888" s="434"/>
      <c r="D888" s="434"/>
      <c r="E888" s="424"/>
      <c r="F888" s="414"/>
      <c r="G888" s="414"/>
      <c r="H888" s="414"/>
      <c r="I888" s="414"/>
      <c r="J888" s="425"/>
      <c r="K888" s="426"/>
      <c r="L888" s="427"/>
    </row>
    <row r="889" spans="1:12" ht="12.75">
      <c r="A889" s="433"/>
      <c r="B889" s="434"/>
      <c r="C889" s="434"/>
      <c r="D889" s="434"/>
      <c r="E889" s="424"/>
      <c r="F889" s="414"/>
      <c r="G889" s="414"/>
      <c r="H889" s="414"/>
      <c r="I889" s="414"/>
      <c r="J889" s="425"/>
      <c r="K889" s="426"/>
      <c r="L889" s="427"/>
    </row>
    <row r="890" spans="1:12" ht="12.75">
      <c r="A890" s="433"/>
      <c r="B890" s="434"/>
      <c r="C890" s="434"/>
      <c r="D890" s="434"/>
      <c r="E890" s="424"/>
      <c r="F890" s="414"/>
      <c r="G890" s="414"/>
      <c r="H890" s="414"/>
      <c r="I890" s="414"/>
      <c r="J890" s="425"/>
      <c r="K890" s="426"/>
      <c r="L890" s="427"/>
    </row>
    <row r="891" spans="1:12" ht="12.75">
      <c r="A891" s="433"/>
      <c r="B891" s="434"/>
      <c r="C891" s="434"/>
      <c r="D891" s="434"/>
      <c r="E891" s="424"/>
      <c r="F891" s="414"/>
      <c r="G891" s="414"/>
      <c r="H891" s="414"/>
      <c r="I891" s="414"/>
      <c r="J891" s="425"/>
      <c r="K891" s="426"/>
      <c r="L891" s="427"/>
    </row>
    <row r="892" spans="1:12" ht="12.75">
      <c r="A892" s="433"/>
      <c r="B892" s="434"/>
      <c r="C892" s="434"/>
      <c r="D892" s="434"/>
      <c r="E892" s="424"/>
      <c r="F892" s="414"/>
      <c r="G892" s="414"/>
      <c r="H892" s="414"/>
      <c r="I892" s="414"/>
      <c r="J892" s="425"/>
      <c r="K892" s="426"/>
      <c r="L892" s="427"/>
    </row>
    <row r="893" spans="1:12" ht="12.75">
      <c r="A893" s="433"/>
      <c r="B893" s="434"/>
      <c r="C893" s="434"/>
      <c r="D893" s="434"/>
      <c r="E893" s="424"/>
      <c r="F893" s="414"/>
      <c r="G893" s="414"/>
      <c r="H893" s="414"/>
      <c r="I893" s="414"/>
      <c r="J893" s="425"/>
      <c r="K893" s="426"/>
      <c r="L893" s="427"/>
    </row>
    <row r="894" spans="1:12" ht="12.75">
      <c r="A894" s="433"/>
      <c r="B894" s="434"/>
      <c r="C894" s="434"/>
      <c r="D894" s="434"/>
      <c r="E894" s="424"/>
      <c r="F894" s="414"/>
      <c r="G894" s="414"/>
      <c r="H894" s="414"/>
      <c r="I894" s="414"/>
      <c r="J894" s="425"/>
      <c r="K894" s="426"/>
      <c r="L894" s="427"/>
    </row>
    <row r="895" spans="1:12" ht="12.75">
      <c r="A895" s="433"/>
      <c r="B895" s="434"/>
      <c r="C895" s="434"/>
      <c r="D895" s="434"/>
      <c r="E895" s="424"/>
      <c r="F895" s="414"/>
      <c r="G895" s="414"/>
      <c r="H895" s="414"/>
      <c r="I895" s="414"/>
      <c r="J895" s="425"/>
      <c r="K895" s="426"/>
      <c r="L895" s="427"/>
    </row>
    <row r="896" spans="1:12" ht="12.75">
      <c r="A896" s="433"/>
      <c r="B896" s="434"/>
      <c r="C896" s="434"/>
      <c r="D896" s="434"/>
      <c r="E896" s="424"/>
      <c r="F896" s="414"/>
      <c r="G896" s="414"/>
      <c r="H896" s="414"/>
      <c r="I896" s="414"/>
      <c r="J896" s="425"/>
      <c r="K896" s="426"/>
      <c r="L896" s="427"/>
    </row>
    <row r="897" spans="1:12" ht="12.75">
      <c r="A897" s="433"/>
      <c r="B897" s="434"/>
      <c r="C897" s="434"/>
      <c r="D897" s="434"/>
      <c r="E897" s="424"/>
      <c r="F897" s="414"/>
      <c r="G897" s="414"/>
      <c r="H897" s="414"/>
      <c r="I897" s="414"/>
      <c r="J897" s="425"/>
      <c r="K897" s="426"/>
      <c r="L897" s="427"/>
    </row>
    <row r="898" spans="1:12" ht="12.75">
      <c r="A898" s="433"/>
      <c r="B898" s="434"/>
      <c r="C898" s="434"/>
      <c r="D898" s="434"/>
      <c r="E898" s="424"/>
      <c r="F898" s="414"/>
      <c r="G898" s="414"/>
      <c r="H898" s="414"/>
      <c r="I898" s="414"/>
      <c r="J898" s="425"/>
      <c r="K898" s="426"/>
      <c r="L898" s="427"/>
    </row>
    <row r="899" spans="1:12" ht="12.75">
      <c r="A899" s="433"/>
      <c r="B899" s="434"/>
      <c r="C899" s="434"/>
      <c r="D899" s="434"/>
      <c r="E899" s="424"/>
      <c r="F899" s="414"/>
      <c r="G899" s="414"/>
      <c r="H899" s="414"/>
      <c r="I899" s="414"/>
      <c r="J899" s="425"/>
      <c r="K899" s="426"/>
      <c r="L899" s="427"/>
    </row>
    <row r="900" spans="1:12" ht="12.75">
      <c r="A900" s="433"/>
      <c r="B900" s="434"/>
      <c r="C900" s="434"/>
      <c r="D900" s="434"/>
      <c r="E900" s="424"/>
      <c r="F900" s="414"/>
      <c r="G900" s="414"/>
      <c r="H900" s="414"/>
      <c r="I900" s="414"/>
      <c r="J900" s="425"/>
      <c r="K900" s="426"/>
      <c r="L900" s="427"/>
    </row>
    <row r="901" spans="1:12" ht="12.75">
      <c r="A901" s="433"/>
      <c r="B901" s="434"/>
      <c r="C901" s="434"/>
      <c r="D901" s="434"/>
      <c r="E901" s="424"/>
      <c r="F901" s="414"/>
      <c r="G901" s="414"/>
      <c r="H901" s="414"/>
      <c r="I901" s="414"/>
      <c r="J901" s="425"/>
      <c r="K901" s="426"/>
      <c r="L901" s="427"/>
    </row>
    <row r="902" spans="1:12" ht="12.75">
      <c r="A902" s="433"/>
      <c r="B902" s="434"/>
      <c r="C902" s="434"/>
      <c r="D902" s="434"/>
      <c r="E902" s="424"/>
      <c r="F902" s="414"/>
      <c r="G902" s="414"/>
      <c r="H902" s="414"/>
      <c r="I902" s="414"/>
      <c r="J902" s="425"/>
      <c r="K902" s="426"/>
      <c r="L902" s="427"/>
    </row>
    <row r="903" spans="1:12" ht="12.75">
      <c r="A903" s="433"/>
      <c r="B903" s="434"/>
      <c r="C903" s="434"/>
      <c r="D903" s="434"/>
      <c r="E903" s="424"/>
      <c r="F903" s="414"/>
      <c r="G903" s="414"/>
      <c r="H903" s="414"/>
      <c r="I903" s="414"/>
      <c r="J903" s="425"/>
      <c r="K903" s="426"/>
      <c r="L903" s="427"/>
    </row>
    <row r="904" spans="1:12" ht="12.75">
      <c r="A904" s="433"/>
      <c r="B904" s="434"/>
      <c r="C904" s="434"/>
      <c r="D904" s="434"/>
      <c r="E904" s="424"/>
      <c r="F904" s="414"/>
      <c r="G904" s="414"/>
      <c r="H904" s="414"/>
      <c r="I904" s="414"/>
      <c r="J904" s="425"/>
      <c r="K904" s="426"/>
      <c r="L904" s="427"/>
    </row>
    <row r="905" spans="1:12" ht="12.75">
      <c r="A905" s="433"/>
      <c r="B905" s="434"/>
      <c r="C905" s="434"/>
      <c r="D905" s="434"/>
      <c r="E905" s="424"/>
      <c r="F905" s="414"/>
      <c r="G905" s="414"/>
      <c r="H905" s="414"/>
      <c r="I905" s="414"/>
      <c r="J905" s="425"/>
      <c r="K905" s="426"/>
      <c r="L905" s="427"/>
    </row>
    <row r="906" spans="1:12" ht="12.75">
      <c r="A906" s="433"/>
      <c r="B906" s="434"/>
      <c r="C906" s="434"/>
      <c r="D906" s="434"/>
      <c r="E906" s="424"/>
      <c r="F906" s="414"/>
      <c r="G906" s="414"/>
      <c r="H906" s="414"/>
      <c r="I906" s="414"/>
      <c r="J906" s="425"/>
      <c r="K906" s="426"/>
      <c r="L906" s="427"/>
    </row>
    <row r="907" spans="1:12" ht="12.75">
      <c r="A907" s="433"/>
      <c r="B907" s="434"/>
      <c r="C907" s="434"/>
      <c r="D907" s="434"/>
      <c r="E907" s="424"/>
      <c r="F907" s="414"/>
      <c r="G907" s="414"/>
      <c r="H907" s="414"/>
      <c r="I907" s="414"/>
      <c r="J907" s="425"/>
      <c r="K907" s="426"/>
      <c r="L907" s="427"/>
    </row>
    <row r="908" spans="1:12" ht="12.75">
      <c r="A908" s="433"/>
      <c r="B908" s="434"/>
      <c r="C908" s="434"/>
      <c r="D908" s="434"/>
      <c r="E908" s="424"/>
      <c r="F908" s="414"/>
      <c r="G908" s="414"/>
      <c r="H908" s="414"/>
      <c r="I908" s="414"/>
      <c r="J908" s="425"/>
      <c r="K908" s="426"/>
      <c r="L908" s="427"/>
    </row>
    <row r="909" spans="1:12" ht="12.75">
      <c r="A909" s="433"/>
      <c r="B909" s="434"/>
      <c r="C909" s="434"/>
      <c r="D909" s="434"/>
      <c r="E909" s="424"/>
      <c r="F909" s="414"/>
      <c r="G909" s="414"/>
      <c r="H909" s="414"/>
      <c r="I909" s="414"/>
      <c r="J909" s="425"/>
      <c r="K909" s="426"/>
      <c r="L909" s="427"/>
    </row>
    <row r="910" spans="1:12" ht="12.75">
      <c r="A910" s="433"/>
      <c r="B910" s="434"/>
      <c r="C910" s="434"/>
      <c r="D910" s="434"/>
      <c r="E910" s="424"/>
      <c r="F910" s="414"/>
      <c r="G910" s="414"/>
      <c r="H910" s="414"/>
      <c r="I910" s="414"/>
      <c r="J910" s="425"/>
      <c r="K910" s="426"/>
      <c r="L910" s="427"/>
    </row>
    <row r="911" spans="1:12" ht="12.75">
      <c r="A911" s="433"/>
      <c r="B911" s="434"/>
      <c r="C911" s="434"/>
      <c r="D911" s="434"/>
      <c r="E911" s="424"/>
      <c r="F911" s="414"/>
      <c r="G911" s="414"/>
      <c r="H911" s="414"/>
      <c r="I911" s="414"/>
      <c r="J911" s="425"/>
      <c r="K911" s="426"/>
      <c r="L911" s="427"/>
    </row>
    <row r="912" spans="1:12" ht="12.75">
      <c r="A912" s="433"/>
      <c r="B912" s="434"/>
      <c r="C912" s="434"/>
      <c r="D912" s="434"/>
      <c r="E912" s="424"/>
      <c r="F912" s="414"/>
      <c r="G912" s="414"/>
      <c r="H912" s="414"/>
      <c r="I912" s="414"/>
      <c r="J912" s="425"/>
      <c r="K912" s="426"/>
      <c r="L912" s="427"/>
    </row>
    <row r="913" spans="1:12" ht="12.75">
      <c r="A913" s="433"/>
      <c r="B913" s="434"/>
      <c r="C913" s="434"/>
      <c r="D913" s="434"/>
      <c r="E913" s="424"/>
      <c r="F913" s="414"/>
      <c r="G913" s="414"/>
      <c r="H913" s="414"/>
      <c r="I913" s="414"/>
      <c r="J913" s="425"/>
      <c r="K913" s="426"/>
      <c r="L913" s="427"/>
    </row>
    <row r="914" spans="1:12" ht="12.75">
      <c r="A914" s="433"/>
      <c r="B914" s="434"/>
      <c r="C914" s="434"/>
      <c r="D914" s="434"/>
      <c r="E914" s="424"/>
      <c r="F914" s="414"/>
      <c r="G914" s="414"/>
      <c r="H914" s="414"/>
      <c r="I914" s="414"/>
      <c r="J914" s="425"/>
      <c r="K914" s="426"/>
      <c r="L914" s="427"/>
    </row>
    <row r="915" spans="1:12" ht="12.75">
      <c r="A915" s="433"/>
      <c r="B915" s="434"/>
      <c r="C915" s="434"/>
      <c r="D915" s="434"/>
      <c r="E915" s="424"/>
      <c r="F915" s="414"/>
      <c r="G915" s="414"/>
      <c r="H915" s="414"/>
      <c r="I915" s="414"/>
      <c r="J915" s="425"/>
      <c r="K915" s="426"/>
      <c r="L915" s="427"/>
    </row>
    <row r="916" spans="1:12" ht="12.75">
      <c r="A916" s="433"/>
      <c r="B916" s="434"/>
      <c r="C916" s="434"/>
      <c r="D916" s="434"/>
      <c r="E916" s="424"/>
      <c r="F916" s="414"/>
      <c r="G916" s="414"/>
      <c r="H916" s="414"/>
      <c r="I916" s="414"/>
      <c r="J916" s="425"/>
      <c r="K916" s="426"/>
      <c r="L916" s="427"/>
    </row>
    <row r="917" spans="1:12" ht="12.75">
      <c r="A917" s="433"/>
      <c r="B917" s="434"/>
      <c r="C917" s="434"/>
      <c r="D917" s="434"/>
      <c r="E917" s="424"/>
      <c r="F917" s="414"/>
      <c r="G917" s="414"/>
      <c r="H917" s="414"/>
      <c r="I917" s="414"/>
      <c r="J917" s="425"/>
      <c r="K917" s="426"/>
      <c r="L917" s="427"/>
    </row>
    <row r="918" spans="1:12" ht="12.75">
      <c r="A918" s="433"/>
      <c r="B918" s="434"/>
      <c r="C918" s="434"/>
      <c r="D918" s="434"/>
      <c r="E918" s="424"/>
      <c r="F918" s="414"/>
      <c r="G918" s="414"/>
      <c r="H918" s="414"/>
      <c r="I918" s="414"/>
      <c r="J918" s="425"/>
      <c r="K918" s="426"/>
      <c r="L918" s="427"/>
    </row>
    <row r="919" spans="1:12" ht="12.75">
      <c r="A919" s="433"/>
      <c r="B919" s="434"/>
      <c r="C919" s="434"/>
      <c r="D919" s="434"/>
      <c r="E919" s="424"/>
      <c r="F919" s="414"/>
      <c r="G919" s="414"/>
      <c r="H919" s="414"/>
      <c r="I919" s="414"/>
      <c r="J919" s="425"/>
      <c r="K919" s="426"/>
      <c r="L919" s="427"/>
    </row>
    <row r="920" spans="1:12" ht="12.75">
      <c r="A920" s="433"/>
      <c r="B920" s="434"/>
      <c r="C920" s="434"/>
      <c r="D920" s="434"/>
      <c r="E920" s="424"/>
      <c r="F920" s="414"/>
      <c r="G920" s="414"/>
      <c r="H920" s="414"/>
      <c r="I920" s="414"/>
      <c r="J920" s="425"/>
      <c r="K920" s="426"/>
      <c r="L920" s="427"/>
    </row>
    <row r="921" spans="1:12" ht="12.75">
      <c r="A921" s="433"/>
      <c r="B921" s="434"/>
      <c r="C921" s="434"/>
      <c r="D921" s="434"/>
      <c r="E921" s="424"/>
      <c r="F921" s="414"/>
      <c r="G921" s="414"/>
      <c r="H921" s="414"/>
      <c r="I921" s="414"/>
      <c r="J921" s="425"/>
      <c r="K921" s="426"/>
      <c r="L921" s="427"/>
    </row>
    <row r="922" spans="1:12" ht="12.75">
      <c r="A922" s="433"/>
      <c r="B922" s="434"/>
      <c r="C922" s="434"/>
      <c r="D922" s="434"/>
      <c r="E922" s="424"/>
      <c r="F922" s="414"/>
      <c r="G922" s="414"/>
      <c r="H922" s="414"/>
      <c r="I922" s="414"/>
      <c r="J922" s="425"/>
      <c r="K922" s="426"/>
      <c r="L922" s="427"/>
    </row>
    <row r="923" spans="1:12" ht="12.75">
      <c r="A923" s="433"/>
      <c r="B923" s="434"/>
      <c r="C923" s="434"/>
      <c r="D923" s="434"/>
      <c r="E923" s="424"/>
      <c r="F923" s="414"/>
      <c r="G923" s="414"/>
      <c r="H923" s="414"/>
      <c r="I923" s="414"/>
      <c r="J923" s="425"/>
      <c r="K923" s="426"/>
      <c r="L923" s="427"/>
    </row>
    <row r="924" spans="1:12" ht="12.75">
      <c r="A924" s="433"/>
      <c r="B924" s="434"/>
      <c r="C924" s="434"/>
      <c r="D924" s="434"/>
      <c r="E924" s="424"/>
      <c r="F924" s="414"/>
      <c r="G924" s="414"/>
      <c r="H924" s="414"/>
      <c r="I924" s="414"/>
      <c r="J924" s="425"/>
      <c r="K924" s="426"/>
      <c r="L924" s="427"/>
    </row>
    <row r="925" spans="1:12" ht="12.75">
      <c r="A925" s="433"/>
      <c r="B925" s="434"/>
      <c r="C925" s="434"/>
      <c r="D925" s="434"/>
      <c r="E925" s="424"/>
      <c r="F925" s="414"/>
      <c r="G925" s="414"/>
      <c r="H925" s="414"/>
      <c r="I925" s="414"/>
      <c r="J925" s="425"/>
      <c r="K925" s="426"/>
      <c r="L925" s="427"/>
    </row>
    <row r="926" spans="1:12" ht="12.75">
      <c r="A926" s="433"/>
      <c r="B926" s="434"/>
      <c r="C926" s="434"/>
      <c r="D926" s="434"/>
      <c r="E926" s="424"/>
      <c r="F926" s="414"/>
      <c r="G926" s="414"/>
      <c r="H926" s="414"/>
      <c r="I926" s="414"/>
      <c r="J926" s="425"/>
      <c r="K926" s="426"/>
      <c r="L926" s="427"/>
    </row>
    <row r="927" spans="1:12" ht="12.75">
      <c r="A927" s="433"/>
      <c r="B927" s="434"/>
      <c r="C927" s="434"/>
      <c r="D927" s="434"/>
      <c r="E927" s="424"/>
      <c r="F927" s="414"/>
      <c r="G927" s="414"/>
      <c r="H927" s="414"/>
      <c r="I927" s="414"/>
      <c r="J927" s="425"/>
      <c r="K927" s="426"/>
      <c r="L927" s="427"/>
    </row>
    <row r="928" spans="1:12" ht="12.75">
      <c r="A928" s="433"/>
      <c r="B928" s="434"/>
      <c r="C928" s="434"/>
      <c r="D928" s="434"/>
      <c r="E928" s="424"/>
      <c r="F928" s="414"/>
      <c r="G928" s="414"/>
      <c r="H928" s="414"/>
      <c r="I928" s="414"/>
      <c r="J928" s="425"/>
      <c r="K928" s="426"/>
      <c r="L928" s="427"/>
    </row>
    <row r="929" spans="1:12" ht="12.75">
      <c r="A929" s="433"/>
      <c r="B929" s="434"/>
      <c r="C929" s="434"/>
      <c r="D929" s="434"/>
      <c r="E929" s="424"/>
      <c r="F929" s="414"/>
      <c r="G929" s="414"/>
      <c r="H929" s="414"/>
      <c r="I929" s="414"/>
      <c r="J929" s="425"/>
      <c r="K929" s="426"/>
      <c r="L929" s="427"/>
    </row>
    <row r="930" spans="1:12" ht="12.75">
      <c r="A930" s="433"/>
      <c r="B930" s="434"/>
      <c r="C930" s="434"/>
      <c r="D930" s="434"/>
      <c r="E930" s="424"/>
      <c r="F930" s="414"/>
      <c r="G930" s="414"/>
      <c r="H930" s="414"/>
      <c r="I930" s="414"/>
      <c r="J930" s="425"/>
      <c r="K930" s="426"/>
      <c r="L930" s="427"/>
    </row>
    <row r="931" spans="1:12" ht="12.75">
      <c r="A931" s="433"/>
      <c r="B931" s="434"/>
      <c r="C931" s="434"/>
      <c r="D931" s="434"/>
      <c r="E931" s="424"/>
      <c r="F931" s="414"/>
      <c r="G931" s="414"/>
      <c r="H931" s="414"/>
      <c r="I931" s="414"/>
      <c r="J931" s="425"/>
      <c r="K931" s="426"/>
      <c r="L931" s="427"/>
    </row>
    <row r="932" spans="1:12" ht="12.75">
      <c r="A932" s="433"/>
      <c r="B932" s="434"/>
      <c r="C932" s="434"/>
      <c r="D932" s="434"/>
      <c r="E932" s="424"/>
      <c r="F932" s="414"/>
      <c r="G932" s="414"/>
      <c r="H932" s="414"/>
      <c r="I932" s="414"/>
      <c r="J932" s="425"/>
      <c r="K932" s="426"/>
      <c r="L932" s="427"/>
    </row>
    <row r="933" spans="1:12" ht="12.75">
      <c r="A933" s="433"/>
      <c r="B933" s="434"/>
      <c r="C933" s="434"/>
      <c r="D933" s="434"/>
      <c r="E933" s="424"/>
      <c r="F933" s="414"/>
      <c r="G933" s="414"/>
      <c r="H933" s="414"/>
      <c r="I933" s="414"/>
      <c r="J933" s="425"/>
      <c r="K933" s="426"/>
      <c r="L933" s="427"/>
    </row>
    <row r="934" spans="1:12" ht="12.75">
      <c r="A934" s="433"/>
      <c r="B934" s="434"/>
      <c r="C934" s="434"/>
      <c r="D934" s="434"/>
      <c r="E934" s="424"/>
      <c r="F934" s="414"/>
      <c r="G934" s="414"/>
      <c r="H934" s="414"/>
      <c r="I934" s="414"/>
      <c r="J934" s="425"/>
      <c r="K934" s="426"/>
      <c r="L934" s="427"/>
    </row>
    <row r="935" spans="1:12" ht="12.75">
      <c r="A935" s="433"/>
      <c r="B935" s="434"/>
      <c r="C935" s="434"/>
      <c r="D935" s="434"/>
      <c r="E935" s="424"/>
      <c r="F935" s="414"/>
      <c r="G935" s="414"/>
      <c r="H935" s="414"/>
      <c r="I935" s="414"/>
      <c r="J935" s="425"/>
      <c r="K935" s="426"/>
      <c r="L935" s="427"/>
    </row>
    <row r="936" spans="1:12" ht="12.75">
      <c r="A936" s="433"/>
      <c r="B936" s="434"/>
      <c r="C936" s="434"/>
      <c r="D936" s="434"/>
      <c r="E936" s="424"/>
      <c r="F936" s="414"/>
      <c r="G936" s="414"/>
      <c r="H936" s="414"/>
      <c r="I936" s="414"/>
      <c r="J936" s="425"/>
      <c r="K936" s="426"/>
      <c r="L936" s="427"/>
    </row>
    <row r="937" spans="1:12" ht="12.75">
      <c r="A937" s="433"/>
      <c r="B937" s="434"/>
      <c r="C937" s="434"/>
      <c r="D937" s="434"/>
      <c r="E937" s="424"/>
      <c r="F937" s="414"/>
      <c r="G937" s="414"/>
      <c r="H937" s="414"/>
      <c r="I937" s="414"/>
      <c r="J937" s="425"/>
      <c r="K937" s="426"/>
      <c r="L937" s="427"/>
    </row>
    <row r="938" spans="1:12" ht="12.75">
      <c r="A938" s="433"/>
      <c r="B938" s="434"/>
      <c r="C938" s="434"/>
      <c r="D938" s="434"/>
      <c r="E938" s="424"/>
      <c r="F938" s="414"/>
      <c r="G938" s="414"/>
      <c r="H938" s="414"/>
      <c r="I938" s="414"/>
      <c r="J938" s="425"/>
      <c r="K938" s="426"/>
      <c r="L938" s="427"/>
    </row>
    <row r="939" spans="1:12" ht="12.75">
      <c r="A939" s="433"/>
      <c r="B939" s="434"/>
      <c r="C939" s="434"/>
      <c r="D939" s="434"/>
      <c r="E939" s="424"/>
      <c r="F939" s="414"/>
      <c r="G939" s="414"/>
      <c r="H939" s="414"/>
      <c r="I939" s="414"/>
      <c r="J939" s="425"/>
      <c r="K939" s="426"/>
      <c r="L939" s="427"/>
    </row>
    <row r="940" spans="1:12" ht="12.75">
      <c r="A940" s="433"/>
      <c r="B940" s="434"/>
      <c r="C940" s="434"/>
      <c r="D940" s="434"/>
      <c r="E940" s="424"/>
      <c r="F940" s="414"/>
      <c r="G940" s="414"/>
      <c r="H940" s="414"/>
      <c r="I940" s="414"/>
      <c r="J940" s="425"/>
      <c r="K940" s="426"/>
      <c r="L940" s="427"/>
    </row>
    <row r="941" spans="1:12" ht="12.75">
      <c r="A941" s="433"/>
      <c r="B941" s="434"/>
      <c r="C941" s="434"/>
      <c r="D941" s="434"/>
      <c r="E941" s="424"/>
      <c r="F941" s="414"/>
      <c r="G941" s="414"/>
      <c r="H941" s="414"/>
      <c r="I941" s="414"/>
      <c r="J941" s="425"/>
      <c r="K941" s="426"/>
      <c r="L941" s="427"/>
    </row>
    <row r="942" spans="1:12" ht="12.75">
      <c r="A942" s="433"/>
      <c r="B942" s="434"/>
      <c r="C942" s="434"/>
      <c r="D942" s="434"/>
      <c r="E942" s="424"/>
      <c r="F942" s="414"/>
      <c r="G942" s="414"/>
      <c r="H942" s="414"/>
      <c r="I942" s="414"/>
      <c r="J942" s="425"/>
      <c r="K942" s="426"/>
      <c r="L942" s="427"/>
    </row>
    <row r="943" spans="1:12" ht="12.75">
      <c r="A943" s="433"/>
      <c r="B943" s="434"/>
      <c r="C943" s="434"/>
      <c r="D943" s="434"/>
      <c r="E943" s="424"/>
      <c r="F943" s="414"/>
      <c r="G943" s="414"/>
      <c r="H943" s="414"/>
      <c r="I943" s="414"/>
      <c r="J943" s="425"/>
      <c r="K943" s="426"/>
      <c r="L943" s="427"/>
    </row>
    <row r="944" spans="1:12" ht="12.75">
      <c r="A944" s="433"/>
      <c r="B944" s="434"/>
      <c r="C944" s="434"/>
      <c r="D944" s="434"/>
      <c r="E944" s="424"/>
      <c r="F944" s="414"/>
      <c r="G944" s="414"/>
      <c r="H944" s="414"/>
      <c r="I944" s="414"/>
      <c r="J944" s="425"/>
      <c r="K944" s="426"/>
      <c r="L944" s="427"/>
    </row>
    <row r="945" spans="1:12" ht="12.75">
      <c r="A945" s="433"/>
      <c r="B945" s="434"/>
      <c r="C945" s="434"/>
      <c r="D945" s="434"/>
      <c r="E945" s="424"/>
      <c r="F945" s="414"/>
      <c r="G945" s="414"/>
      <c r="H945" s="414"/>
      <c r="I945" s="414"/>
      <c r="J945" s="425"/>
      <c r="K945" s="426"/>
      <c r="L945" s="427"/>
    </row>
    <row r="946" spans="1:12" ht="12.75">
      <c r="A946" s="433"/>
      <c r="B946" s="434"/>
      <c r="C946" s="434"/>
      <c r="D946" s="434"/>
      <c r="E946" s="424"/>
      <c r="F946" s="414"/>
      <c r="G946" s="414"/>
      <c r="H946" s="414"/>
      <c r="I946" s="414"/>
      <c r="J946" s="425"/>
      <c r="K946" s="426"/>
      <c r="L946" s="427"/>
    </row>
    <row r="947" spans="1:12" ht="12.75">
      <c r="A947" s="433"/>
      <c r="B947" s="434"/>
      <c r="C947" s="434"/>
      <c r="D947" s="434"/>
      <c r="E947" s="424"/>
      <c r="F947" s="414"/>
      <c r="G947" s="414"/>
      <c r="H947" s="414"/>
      <c r="I947" s="414"/>
      <c r="J947" s="425"/>
      <c r="K947" s="426"/>
      <c r="L947" s="427"/>
    </row>
    <row r="948" spans="1:12" ht="12.75">
      <c r="A948" s="433"/>
      <c r="B948" s="434"/>
      <c r="C948" s="434"/>
      <c r="D948" s="434"/>
      <c r="E948" s="424"/>
      <c r="F948" s="414"/>
      <c r="G948" s="414"/>
      <c r="H948" s="414"/>
      <c r="I948" s="414"/>
      <c r="J948" s="425"/>
      <c r="K948" s="426"/>
      <c r="L948" s="427"/>
    </row>
    <row r="949" spans="1:12" ht="12.75">
      <c r="A949" s="433"/>
      <c r="B949" s="434"/>
      <c r="C949" s="434"/>
      <c r="D949" s="434"/>
      <c r="E949" s="424"/>
      <c r="F949" s="414"/>
      <c r="G949" s="414"/>
      <c r="H949" s="414"/>
      <c r="I949" s="414"/>
      <c r="J949" s="425"/>
      <c r="K949" s="426"/>
      <c r="L949" s="427"/>
    </row>
    <row r="950" spans="1:12" ht="12.75">
      <c r="A950" s="433"/>
      <c r="B950" s="434"/>
      <c r="C950" s="434"/>
      <c r="D950" s="434"/>
      <c r="E950" s="424"/>
      <c r="F950" s="414"/>
      <c r="G950" s="414"/>
      <c r="H950" s="414"/>
      <c r="I950" s="414"/>
      <c r="J950" s="425"/>
      <c r="K950" s="426"/>
      <c r="L950" s="427"/>
    </row>
    <row r="951" spans="1:12" ht="12.75">
      <c r="A951" s="433"/>
      <c r="B951" s="434"/>
      <c r="C951" s="434"/>
      <c r="D951" s="434"/>
      <c r="E951" s="424"/>
      <c r="F951" s="414"/>
      <c r="G951" s="414"/>
      <c r="H951" s="414"/>
      <c r="I951" s="414"/>
      <c r="J951" s="425"/>
      <c r="K951" s="426"/>
      <c r="L951" s="427"/>
    </row>
    <row r="952" spans="1:12" ht="12.75">
      <c r="A952" s="433"/>
      <c r="B952" s="434"/>
      <c r="C952" s="434"/>
      <c r="D952" s="434"/>
      <c r="E952" s="424"/>
      <c r="F952" s="414"/>
      <c r="G952" s="414"/>
      <c r="H952" s="414"/>
      <c r="I952" s="414"/>
      <c r="J952" s="425"/>
      <c r="K952" s="426"/>
      <c r="L952" s="427"/>
    </row>
    <row r="953" spans="1:12" ht="12.75">
      <c r="A953" s="433"/>
      <c r="B953" s="434"/>
      <c r="C953" s="434"/>
      <c r="D953" s="434"/>
      <c r="E953" s="424"/>
      <c r="F953" s="414"/>
      <c r="G953" s="414"/>
      <c r="H953" s="414"/>
      <c r="I953" s="414"/>
      <c r="J953" s="425"/>
      <c r="K953" s="426"/>
      <c r="L953" s="427"/>
    </row>
    <row r="954" spans="1:12" ht="12.75">
      <c r="A954" s="433"/>
      <c r="B954" s="434"/>
      <c r="C954" s="434"/>
      <c r="D954" s="434"/>
      <c r="E954" s="424"/>
      <c r="F954" s="414"/>
      <c r="G954" s="414"/>
      <c r="H954" s="414"/>
      <c r="I954" s="414"/>
      <c r="J954" s="425"/>
      <c r="K954" s="426"/>
      <c r="L954" s="427"/>
    </row>
    <row r="955" spans="1:12" ht="12.75">
      <c r="A955" s="433"/>
      <c r="B955" s="434"/>
      <c r="C955" s="434"/>
      <c r="D955" s="434"/>
      <c r="E955" s="424"/>
      <c r="F955" s="414"/>
      <c r="G955" s="414"/>
      <c r="H955" s="414"/>
      <c r="I955" s="414"/>
      <c r="J955" s="425"/>
      <c r="K955" s="426"/>
      <c r="L955" s="427"/>
    </row>
    <row r="956" spans="1:12" ht="12.75">
      <c r="A956" s="433"/>
      <c r="B956" s="434"/>
      <c r="C956" s="434"/>
      <c r="D956" s="434"/>
      <c r="E956" s="424"/>
      <c r="F956" s="414"/>
      <c r="G956" s="414"/>
      <c r="H956" s="414"/>
      <c r="I956" s="414"/>
      <c r="J956" s="425"/>
      <c r="K956" s="426"/>
      <c r="L956" s="427"/>
    </row>
    <row r="957" spans="1:12" ht="12.75">
      <c r="A957" s="433"/>
      <c r="B957" s="434"/>
      <c r="C957" s="434"/>
      <c r="D957" s="434"/>
      <c r="E957" s="424"/>
      <c r="F957" s="414"/>
      <c r="G957" s="414"/>
      <c r="H957" s="414"/>
      <c r="I957" s="414"/>
      <c r="J957" s="425"/>
      <c r="K957" s="426"/>
      <c r="L957" s="427"/>
    </row>
    <row r="958" spans="1:12" ht="12.75">
      <c r="A958" s="433"/>
      <c r="B958" s="434"/>
      <c r="C958" s="434"/>
      <c r="D958" s="434"/>
      <c r="E958" s="424"/>
      <c r="F958" s="414"/>
      <c r="G958" s="414"/>
      <c r="H958" s="414"/>
      <c r="I958" s="414"/>
      <c r="J958" s="425"/>
      <c r="K958" s="426"/>
      <c r="L958" s="427"/>
    </row>
    <row r="959" spans="1:12" ht="12.75">
      <c r="A959" s="433"/>
      <c r="B959" s="434"/>
      <c r="C959" s="434"/>
      <c r="D959" s="434"/>
      <c r="E959" s="424"/>
      <c r="F959" s="414"/>
      <c r="G959" s="414"/>
      <c r="H959" s="414"/>
      <c r="I959" s="414"/>
      <c r="J959" s="425"/>
      <c r="K959" s="426"/>
      <c r="L959" s="427"/>
    </row>
    <row r="960" spans="1:12" ht="12.75">
      <c r="A960" s="433"/>
      <c r="B960" s="434"/>
      <c r="C960" s="434"/>
      <c r="D960" s="434"/>
      <c r="E960" s="424"/>
      <c r="F960" s="414"/>
      <c r="G960" s="414"/>
      <c r="H960" s="414"/>
      <c r="I960" s="414"/>
      <c r="J960" s="425"/>
      <c r="K960" s="426"/>
      <c r="L960" s="427"/>
    </row>
    <row r="961" spans="1:12" ht="12.75">
      <c r="A961" s="433"/>
      <c r="B961" s="434"/>
      <c r="C961" s="434"/>
      <c r="D961" s="434"/>
      <c r="E961" s="424"/>
      <c r="F961" s="414"/>
      <c r="G961" s="414"/>
      <c r="H961" s="414"/>
      <c r="I961" s="414"/>
      <c r="J961" s="425"/>
      <c r="K961" s="426"/>
      <c r="L961" s="427"/>
    </row>
    <row r="962" spans="1:12" ht="12.75">
      <c r="A962" s="433"/>
      <c r="B962" s="434"/>
      <c r="C962" s="434"/>
      <c r="D962" s="434"/>
      <c r="E962" s="424"/>
      <c r="F962" s="414"/>
      <c r="G962" s="414"/>
      <c r="H962" s="414"/>
      <c r="I962" s="414"/>
      <c r="J962" s="425"/>
      <c r="K962" s="426"/>
      <c r="L962" s="427"/>
    </row>
    <row r="963" spans="1:12" ht="12.75">
      <c r="A963" s="433"/>
      <c r="B963" s="434"/>
      <c r="C963" s="434"/>
      <c r="D963" s="434"/>
      <c r="E963" s="424"/>
      <c r="F963" s="414"/>
      <c r="G963" s="414"/>
      <c r="H963" s="414"/>
      <c r="I963" s="414"/>
      <c r="J963" s="425"/>
      <c r="K963" s="426"/>
      <c r="L963" s="427"/>
    </row>
    <row r="964" spans="1:12" ht="12.75">
      <c r="A964" s="433"/>
      <c r="B964" s="434"/>
      <c r="C964" s="434"/>
      <c r="D964" s="434"/>
      <c r="E964" s="424"/>
      <c r="F964" s="414"/>
      <c r="G964" s="414"/>
      <c r="H964" s="414"/>
      <c r="I964" s="414"/>
      <c r="J964" s="425"/>
      <c r="K964" s="426"/>
      <c r="L964" s="427"/>
    </row>
    <row r="965" spans="1:12" ht="12.75">
      <c r="A965" s="433"/>
      <c r="B965" s="434"/>
      <c r="C965" s="434"/>
      <c r="D965" s="434"/>
      <c r="E965" s="424"/>
      <c r="F965" s="414"/>
      <c r="G965" s="414"/>
      <c r="H965" s="414"/>
      <c r="I965" s="414"/>
      <c r="J965" s="425"/>
      <c r="K965" s="426"/>
      <c r="L965" s="427"/>
    </row>
    <row r="966" spans="1:12" ht="12.75">
      <c r="A966" s="433"/>
      <c r="B966" s="434"/>
      <c r="C966" s="434"/>
      <c r="D966" s="434"/>
      <c r="E966" s="424"/>
      <c r="F966" s="414"/>
      <c r="G966" s="414"/>
      <c r="H966" s="414"/>
      <c r="I966" s="414"/>
      <c r="J966" s="425"/>
      <c r="K966" s="426"/>
      <c r="L966" s="427"/>
    </row>
    <row r="967" spans="1:12" ht="12.75">
      <c r="A967" s="433"/>
      <c r="B967" s="434"/>
      <c r="C967" s="434"/>
      <c r="D967" s="434"/>
      <c r="E967" s="424"/>
      <c r="F967" s="414"/>
      <c r="G967" s="414"/>
      <c r="H967" s="414"/>
      <c r="I967" s="414"/>
      <c r="J967" s="425"/>
      <c r="K967" s="426"/>
      <c r="L967" s="427"/>
    </row>
    <row r="968" spans="1:12" ht="12.75">
      <c r="A968" s="433"/>
      <c r="B968" s="434"/>
      <c r="C968" s="434"/>
      <c r="D968" s="434"/>
      <c r="E968" s="424"/>
      <c r="F968" s="414"/>
      <c r="G968" s="414"/>
      <c r="H968" s="414"/>
      <c r="I968" s="414"/>
      <c r="J968" s="425"/>
      <c r="K968" s="426"/>
      <c r="L968" s="427"/>
    </row>
    <row r="969" spans="1:12" ht="12.75">
      <c r="A969" s="433"/>
      <c r="B969" s="434"/>
      <c r="C969" s="434"/>
      <c r="D969" s="434"/>
      <c r="E969" s="424"/>
      <c r="F969" s="414"/>
      <c r="G969" s="414"/>
      <c r="H969" s="414"/>
      <c r="I969" s="414"/>
      <c r="J969" s="425"/>
      <c r="K969" s="426"/>
      <c r="L969" s="427"/>
    </row>
    <row r="970" spans="1:12" ht="12.75">
      <c r="A970" s="433"/>
      <c r="B970" s="434"/>
      <c r="C970" s="434"/>
      <c r="D970" s="434"/>
      <c r="E970" s="424"/>
      <c r="F970" s="414"/>
      <c r="G970" s="414"/>
      <c r="H970" s="414"/>
      <c r="I970" s="414"/>
      <c r="J970" s="425"/>
      <c r="K970" s="426"/>
      <c r="L970" s="427"/>
    </row>
    <row r="971" spans="1:12" ht="12.75">
      <c r="A971" s="433"/>
      <c r="B971" s="434"/>
      <c r="C971" s="434"/>
      <c r="D971" s="434"/>
      <c r="E971" s="424"/>
      <c r="F971" s="414"/>
      <c r="G971" s="414"/>
      <c r="H971" s="414"/>
      <c r="I971" s="414"/>
      <c r="J971" s="425"/>
      <c r="K971" s="426"/>
      <c r="L971" s="427"/>
    </row>
    <row r="972" spans="1:12" ht="12.75">
      <c r="A972" s="433"/>
      <c r="B972" s="434"/>
      <c r="C972" s="434"/>
      <c r="D972" s="434"/>
      <c r="E972" s="424"/>
      <c r="F972" s="414"/>
      <c r="G972" s="414"/>
      <c r="H972" s="414"/>
      <c r="I972" s="414"/>
      <c r="J972" s="425"/>
      <c r="K972" s="426"/>
      <c r="L972" s="427"/>
    </row>
    <row r="973" spans="1:12" ht="12.75">
      <c r="A973" s="433"/>
      <c r="B973" s="434"/>
      <c r="C973" s="434"/>
      <c r="D973" s="434"/>
      <c r="E973" s="424"/>
      <c r="F973" s="414"/>
      <c r="G973" s="414"/>
      <c r="H973" s="414"/>
      <c r="I973" s="414"/>
      <c r="J973" s="425"/>
      <c r="K973" s="426"/>
      <c r="L973" s="427"/>
    </row>
    <row r="974" spans="1:12" ht="12.75">
      <c r="A974" s="433"/>
      <c r="B974" s="434"/>
      <c r="C974" s="434"/>
      <c r="D974" s="434"/>
      <c r="E974" s="424"/>
      <c r="F974" s="414"/>
      <c r="G974" s="414"/>
      <c r="H974" s="414"/>
      <c r="I974" s="414"/>
      <c r="J974" s="425"/>
      <c r="K974" s="426"/>
      <c r="L974" s="427"/>
    </row>
    <row r="975" spans="1:12" ht="12.75">
      <c r="A975" s="433"/>
      <c r="B975" s="434"/>
      <c r="C975" s="434"/>
      <c r="D975" s="434"/>
      <c r="E975" s="424"/>
      <c r="F975" s="414"/>
      <c r="G975" s="414"/>
      <c r="H975" s="414"/>
      <c r="I975" s="414"/>
      <c r="J975" s="425"/>
      <c r="K975" s="426"/>
      <c r="L975" s="427"/>
    </row>
    <row r="976" spans="1:12" ht="12.75">
      <c r="A976" s="433"/>
      <c r="B976" s="434"/>
      <c r="C976" s="434"/>
      <c r="D976" s="434"/>
      <c r="E976" s="424"/>
      <c r="F976" s="414"/>
      <c r="G976" s="414"/>
      <c r="H976" s="414"/>
      <c r="I976" s="414"/>
      <c r="J976" s="425"/>
      <c r="K976" s="426"/>
      <c r="L976" s="427"/>
    </row>
    <row r="977" spans="1:12" ht="12.75">
      <c r="A977" s="433"/>
      <c r="B977" s="434"/>
      <c r="C977" s="434"/>
      <c r="D977" s="434"/>
      <c r="E977" s="424"/>
      <c r="F977" s="414"/>
      <c r="G977" s="414"/>
      <c r="H977" s="414"/>
      <c r="I977" s="414"/>
      <c r="J977" s="425"/>
      <c r="K977" s="426"/>
      <c r="L977" s="427"/>
    </row>
    <row r="978" spans="1:12" ht="12.75">
      <c r="A978" s="433"/>
      <c r="B978" s="434"/>
      <c r="C978" s="434"/>
      <c r="D978" s="434"/>
      <c r="E978" s="424"/>
      <c r="F978" s="414"/>
      <c r="G978" s="414"/>
      <c r="H978" s="414"/>
      <c r="I978" s="414"/>
      <c r="J978" s="425"/>
      <c r="K978" s="426"/>
      <c r="L978" s="427"/>
    </row>
    <row r="979" spans="1:12" ht="12.75">
      <c r="A979" s="433"/>
      <c r="B979" s="434"/>
      <c r="C979" s="434"/>
      <c r="D979" s="434"/>
      <c r="E979" s="424"/>
      <c r="F979" s="414"/>
      <c r="G979" s="414"/>
      <c r="H979" s="414"/>
      <c r="I979" s="414"/>
      <c r="J979" s="425"/>
      <c r="K979" s="426"/>
      <c r="L979" s="427"/>
    </row>
    <row r="980" spans="1:12" ht="12.75">
      <c r="A980" s="433"/>
      <c r="B980" s="434"/>
      <c r="C980" s="434"/>
      <c r="D980" s="434"/>
      <c r="E980" s="424"/>
      <c r="F980" s="414"/>
      <c r="G980" s="414"/>
      <c r="H980" s="414"/>
      <c r="I980" s="414"/>
      <c r="J980" s="425"/>
      <c r="K980" s="426"/>
      <c r="L980" s="427"/>
    </row>
    <row r="981" spans="1:12" ht="12.75">
      <c r="A981" s="433"/>
      <c r="B981" s="434"/>
      <c r="C981" s="434"/>
      <c r="D981" s="434"/>
      <c r="E981" s="424"/>
      <c r="F981" s="414"/>
      <c r="G981" s="414"/>
      <c r="H981" s="414"/>
      <c r="I981" s="414"/>
      <c r="J981" s="425"/>
      <c r="K981" s="426"/>
      <c r="L981" s="427"/>
    </row>
    <row r="982" spans="1:12" ht="12.75">
      <c r="A982" s="433"/>
      <c r="B982" s="434"/>
      <c r="C982" s="434"/>
      <c r="D982" s="434"/>
      <c r="E982" s="424"/>
      <c r="F982" s="414"/>
      <c r="G982" s="414"/>
      <c r="H982" s="414"/>
      <c r="I982" s="414"/>
      <c r="J982" s="425"/>
      <c r="K982" s="426"/>
      <c r="L982" s="427"/>
    </row>
    <row r="983" spans="1:12" ht="12.75">
      <c r="A983" s="433"/>
      <c r="B983" s="434"/>
      <c r="C983" s="434"/>
      <c r="D983" s="434"/>
      <c r="E983" s="424"/>
      <c r="F983" s="414"/>
      <c r="G983" s="414"/>
      <c r="H983" s="414"/>
      <c r="I983" s="414"/>
      <c r="J983" s="425"/>
      <c r="K983" s="426"/>
      <c r="L983" s="427"/>
    </row>
    <row r="984" spans="1:12" ht="12.75">
      <c r="A984" s="433"/>
      <c r="B984" s="434"/>
      <c r="C984" s="434"/>
      <c r="D984" s="434"/>
      <c r="E984" s="424"/>
      <c r="F984" s="414"/>
      <c r="G984" s="414"/>
      <c r="H984" s="414"/>
      <c r="I984" s="414"/>
      <c r="J984" s="425"/>
      <c r="K984" s="426"/>
      <c r="L984" s="427"/>
    </row>
    <row r="985" spans="1:12" ht="12.75">
      <c r="A985" s="433"/>
      <c r="B985" s="434"/>
      <c r="C985" s="434"/>
      <c r="D985" s="434"/>
      <c r="E985" s="424"/>
      <c r="F985" s="414"/>
      <c r="G985" s="414"/>
      <c r="H985" s="414"/>
      <c r="I985" s="414"/>
      <c r="J985" s="425"/>
      <c r="K985" s="426"/>
      <c r="L985" s="427"/>
    </row>
    <row r="986" spans="1:12" ht="12.75">
      <c r="A986" s="433"/>
      <c r="B986" s="434"/>
      <c r="C986" s="434"/>
      <c r="D986" s="434"/>
      <c r="E986" s="424"/>
      <c r="F986" s="414"/>
      <c r="G986" s="414"/>
      <c r="H986" s="414"/>
      <c r="I986" s="414"/>
      <c r="J986" s="425"/>
      <c r="K986" s="426"/>
      <c r="L986" s="427"/>
    </row>
    <row r="987" spans="1:12" ht="12.75">
      <c r="A987" s="433"/>
      <c r="B987" s="434"/>
      <c r="C987" s="434"/>
      <c r="D987" s="434"/>
      <c r="E987" s="424"/>
      <c r="F987" s="414"/>
      <c r="G987" s="414"/>
      <c r="H987" s="414"/>
      <c r="I987" s="414"/>
      <c r="J987" s="425"/>
      <c r="K987" s="426"/>
      <c r="L987" s="427"/>
    </row>
    <row r="988" spans="1:12" ht="12.75">
      <c r="A988" s="433"/>
      <c r="B988" s="434"/>
      <c r="C988" s="434"/>
      <c r="D988" s="434"/>
      <c r="E988" s="424"/>
      <c r="F988" s="414"/>
      <c r="G988" s="414"/>
      <c r="H988" s="414"/>
      <c r="I988" s="414"/>
      <c r="J988" s="425"/>
      <c r="K988" s="426"/>
      <c r="L988" s="427"/>
    </row>
    <row r="989" spans="1:12" ht="12.75">
      <c r="A989" s="433"/>
      <c r="B989" s="434"/>
      <c r="C989" s="434"/>
      <c r="D989" s="434"/>
      <c r="E989" s="424"/>
      <c r="F989" s="414"/>
      <c r="G989" s="414"/>
      <c r="H989" s="414"/>
      <c r="I989" s="414"/>
      <c r="J989" s="425"/>
      <c r="K989" s="426"/>
      <c r="L989" s="427"/>
    </row>
    <row r="990" spans="1:12" ht="12.75">
      <c r="A990" s="433"/>
      <c r="B990" s="434"/>
      <c r="C990" s="434"/>
      <c r="D990" s="434"/>
      <c r="E990" s="424"/>
      <c r="F990" s="414"/>
      <c r="G990" s="414"/>
      <c r="H990" s="414"/>
      <c r="I990" s="414"/>
      <c r="J990" s="425"/>
      <c r="K990" s="426"/>
      <c r="L990" s="427"/>
    </row>
    <row r="991" spans="1:12" ht="12.75">
      <c r="A991" s="433"/>
      <c r="B991" s="434"/>
      <c r="C991" s="434"/>
      <c r="D991" s="434"/>
      <c r="E991" s="424"/>
      <c r="F991" s="414"/>
      <c r="G991" s="414"/>
      <c r="H991" s="414"/>
      <c r="I991" s="414"/>
      <c r="J991" s="425"/>
      <c r="K991" s="426"/>
      <c r="L991" s="427"/>
    </row>
    <row r="992" spans="1:12" ht="12.75">
      <c r="A992" s="433"/>
      <c r="B992" s="434"/>
      <c r="C992" s="434"/>
      <c r="D992" s="434"/>
      <c r="E992" s="424"/>
      <c r="F992" s="414"/>
      <c r="G992" s="414"/>
      <c r="H992" s="414"/>
      <c r="I992" s="414"/>
      <c r="J992" s="425"/>
      <c r="K992" s="426"/>
      <c r="L992" s="427"/>
    </row>
    <row r="993" spans="1:12" ht="12.75">
      <c r="A993" s="433"/>
      <c r="B993" s="434"/>
      <c r="C993" s="434"/>
      <c r="D993" s="434"/>
      <c r="E993" s="424"/>
      <c r="F993" s="414"/>
      <c r="G993" s="414"/>
      <c r="H993" s="414"/>
      <c r="I993" s="414"/>
      <c r="J993" s="425"/>
      <c r="K993" s="426"/>
      <c r="L993" s="427"/>
    </row>
    <row r="994" spans="1:12" ht="12.75">
      <c r="A994" s="433"/>
      <c r="B994" s="434"/>
      <c r="C994" s="434"/>
      <c r="D994" s="434"/>
      <c r="E994" s="424"/>
      <c r="F994" s="414"/>
      <c r="G994" s="414"/>
      <c r="H994" s="414"/>
      <c r="I994" s="414"/>
      <c r="J994" s="425"/>
      <c r="K994" s="426"/>
      <c r="L994" s="427"/>
    </row>
    <row r="995" spans="1:12" ht="12.75">
      <c r="A995" s="433"/>
      <c r="B995" s="434"/>
      <c r="C995" s="434"/>
      <c r="D995" s="434"/>
      <c r="E995" s="424"/>
      <c r="F995" s="414"/>
      <c r="G995" s="414"/>
      <c r="H995" s="414"/>
      <c r="I995" s="414"/>
      <c r="J995" s="425"/>
      <c r="K995" s="426"/>
      <c r="L995" s="427"/>
    </row>
    <row r="996" spans="1:12" ht="12.75">
      <c r="A996" s="433"/>
      <c r="B996" s="434"/>
      <c r="C996" s="434"/>
      <c r="D996" s="434"/>
      <c r="E996" s="424"/>
      <c r="F996" s="414"/>
      <c r="G996" s="414"/>
      <c r="H996" s="414"/>
      <c r="I996" s="414"/>
      <c r="J996" s="425"/>
      <c r="K996" s="426"/>
      <c r="L996" s="427"/>
    </row>
    <row r="997" spans="1:12" ht="12.75">
      <c r="A997" s="433"/>
      <c r="B997" s="434"/>
      <c r="C997" s="434"/>
      <c r="D997" s="434"/>
      <c r="E997" s="424"/>
      <c r="F997" s="414"/>
      <c r="G997" s="414"/>
      <c r="H997" s="414"/>
      <c r="I997" s="414"/>
      <c r="J997" s="425"/>
      <c r="K997" s="426"/>
      <c r="L997" s="427"/>
    </row>
    <row r="998" spans="1:12" ht="12.75">
      <c r="A998" s="433"/>
      <c r="B998" s="434"/>
      <c r="C998" s="434"/>
      <c r="D998" s="434"/>
      <c r="E998" s="424"/>
      <c r="F998" s="414"/>
      <c r="G998" s="414"/>
      <c r="H998" s="414"/>
      <c r="I998" s="414"/>
      <c r="J998" s="425"/>
      <c r="K998" s="426"/>
      <c r="L998" s="427"/>
    </row>
    <row r="999" spans="1:12" ht="12.75">
      <c r="A999" s="433"/>
      <c r="B999" s="434"/>
      <c r="C999" s="434"/>
      <c r="D999" s="434"/>
      <c r="E999" s="424"/>
      <c r="F999" s="414"/>
      <c r="G999" s="414"/>
      <c r="H999" s="414"/>
      <c r="I999" s="414"/>
      <c r="J999" s="425"/>
      <c r="K999" s="426"/>
      <c r="L999" s="427"/>
    </row>
    <row r="1000" spans="1:12" ht="12.75">
      <c r="A1000" s="435"/>
      <c r="B1000" s="436"/>
      <c r="C1000" s="436"/>
      <c r="D1000" s="436"/>
      <c r="E1000" s="437"/>
      <c r="F1000" s="438"/>
      <c r="G1000" s="438"/>
      <c r="H1000" s="438"/>
      <c r="I1000" s="438"/>
      <c r="J1000" s="439"/>
      <c r="K1000" s="440"/>
      <c r="L1000" s="441"/>
    </row>
  </sheetData>
  <autoFilter ref="A1:AB4"/>
  <conditionalFormatting sqref="G1:G1000">
    <cfRule type="containsText" dxfId="76" priority="1" operator="containsText" text="Ternero">
      <formula>NOT(ISERROR(SEARCH(("Ternero"),(G1))))</formula>
    </cfRule>
  </conditionalFormatting>
  <conditionalFormatting sqref="G1:G1000">
    <cfRule type="containsText" dxfId="75" priority="2" operator="containsText" text="Ternera">
      <formula>NOT(ISERROR(SEARCH(("Ternera"),(G1))))</formula>
    </cfRule>
  </conditionalFormatting>
  <conditionalFormatting sqref="F1:F1000">
    <cfRule type="containsText" dxfId="74" priority="3" operator="containsText" text="7008149">
      <formula>NOT(ISERROR(SEARCH(("7008149"),(F1))))</formula>
    </cfRule>
  </conditionalFormatting>
  <conditionalFormatting sqref="F1:F1000">
    <cfRule type="containsText" dxfId="73" priority="4" operator="containsText" text="7008150">
      <formula>NOT(ISERROR(SEARCH(("7008150"),(F1))))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2D69B"/>
    <outlinePr summaryBelow="0" summaryRight="0"/>
  </sheetPr>
  <dimension ref="A1:AA1005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5703125" defaultRowHeight="15.75" customHeight="1"/>
  <cols>
    <col min="2" max="2" width="24.7109375" customWidth="1"/>
    <col min="3" max="3" width="15.7109375" customWidth="1"/>
    <col min="4" max="4" width="15.42578125" customWidth="1"/>
    <col min="5" max="5" width="25.7109375" customWidth="1"/>
  </cols>
  <sheetData>
    <row r="1" spans="1:27" ht="30" customHeight="1">
      <c r="A1" s="442" t="s">
        <v>3415</v>
      </c>
      <c r="B1" s="443" t="s">
        <v>4727</v>
      </c>
      <c r="C1" s="444" t="s">
        <v>4549</v>
      </c>
      <c r="D1" s="445" t="s">
        <v>14</v>
      </c>
      <c r="E1" s="446" t="s">
        <v>4708</v>
      </c>
      <c r="F1" s="447"/>
      <c r="G1" s="447"/>
      <c r="H1" s="447"/>
      <c r="I1" s="447"/>
      <c r="J1" s="447"/>
      <c r="K1" s="447"/>
      <c r="L1" s="447"/>
      <c r="M1" s="447"/>
      <c r="N1" s="447"/>
      <c r="O1" s="447"/>
      <c r="P1" s="447"/>
      <c r="Q1" s="447"/>
      <c r="R1" s="447"/>
      <c r="S1" s="447"/>
      <c r="T1" s="447"/>
      <c r="U1" s="447"/>
      <c r="V1" s="447"/>
      <c r="W1" s="447"/>
      <c r="X1" s="447"/>
      <c r="Y1" s="447"/>
      <c r="Z1" s="447"/>
      <c r="AA1" s="447"/>
    </row>
    <row r="2" spans="1:27">
      <c r="A2" s="448" t="s">
        <v>4659</v>
      </c>
      <c r="B2" s="449" t="s">
        <v>4728</v>
      </c>
      <c r="C2" s="450" t="s">
        <v>4729</v>
      </c>
      <c r="D2" s="451" t="s">
        <v>4730</v>
      </c>
      <c r="E2" s="447"/>
      <c r="F2" s="447"/>
      <c r="G2" s="447"/>
      <c r="H2" s="447"/>
      <c r="I2" s="447"/>
      <c r="J2" s="447"/>
      <c r="K2" s="447"/>
      <c r="L2" s="447"/>
      <c r="M2" s="447"/>
      <c r="N2" s="447"/>
      <c r="O2" s="447"/>
      <c r="P2" s="447"/>
      <c r="Q2" s="447"/>
      <c r="R2" s="447"/>
      <c r="S2" s="447"/>
      <c r="T2" s="447"/>
      <c r="U2" s="447"/>
      <c r="V2" s="447"/>
      <c r="W2" s="447"/>
      <c r="X2" s="447"/>
      <c r="Y2" s="447"/>
      <c r="Z2" s="447"/>
      <c r="AA2" s="447"/>
    </row>
    <row r="3" spans="1:27">
      <c r="A3" s="448" t="s">
        <v>4661</v>
      </c>
      <c r="B3" s="449" t="s">
        <v>4731</v>
      </c>
      <c r="C3" s="452" t="s">
        <v>4729</v>
      </c>
      <c r="D3" s="453" t="s">
        <v>4732</v>
      </c>
      <c r="E3" s="447"/>
      <c r="F3" s="447"/>
      <c r="G3" s="447"/>
      <c r="H3" s="447"/>
      <c r="I3" s="447"/>
      <c r="J3" s="447"/>
      <c r="K3" s="447"/>
      <c r="L3" s="447"/>
      <c r="M3" s="447"/>
      <c r="N3" s="447"/>
      <c r="O3" s="447"/>
      <c r="P3" s="447"/>
      <c r="Q3" s="447"/>
      <c r="R3" s="447"/>
      <c r="S3" s="447"/>
      <c r="T3" s="447"/>
      <c r="U3" s="447"/>
      <c r="V3" s="447"/>
      <c r="W3" s="447"/>
      <c r="X3" s="447"/>
      <c r="Y3" s="447"/>
      <c r="Z3" s="447"/>
      <c r="AA3" s="447"/>
    </row>
    <row r="4" spans="1:27">
      <c r="A4" s="450" t="s">
        <v>3754</v>
      </c>
      <c r="B4" s="449" t="s">
        <v>4733</v>
      </c>
      <c r="C4" s="454"/>
      <c r="D4" s="453" t="s">
        <v>4734</v>
      </c>
      <c r="E4" s="447"/>
      <c r="F4" s="447"/>
      <c r="G4" s="455"/>
      <c r="H4" s="447"/>
      <c r="I4" s="447"/>
      <c r="J4" s="447"/>
      <c r="K4" s="447"/>
      <c r="L4" s="447"/>
      <c r="M4" s="447"/>
      <c r="N4" s="447"/>
      <c r="O4" s="447"/>
      <c r="P4" s="447"/>
      <c r="Q4" s="447"/>
      <c r="R4" s="447"/>
      <c r="S4" s="447"/>
      <c r="T4" s="447"/>
      <c r="U4" s="447"/>
      <c r="V4" s="447"/>
      <c r="W4" s="447"/>
      <c r="X4" s="447"/>
      <c r="Y4" s="447"/>
      <c r="Z4" s="447"/>
      <c r="AA4" s="447"/>
    </row>
    <row r="5" spans="1:27">
      <c r="A5" s="450" t="s">
        <v>4632</v>
      </c>
      <c r="B5" s="449" t="s">
        <v>4633</v>
      </c>
      <c r="C5" s="450" t="s">
        <v>4567</v>
      </c>
      <c r="D5" s="456"/>
      <c r="E5" s="447"/>
      <c r="F5" s="447"/>
      <c r="G5" s="447"/>
      <c r="H5" s="447"/>
      <c r="I5" s="447"/>
      <c r="J5" s="447"/>
      <c r="K5" s="447"/>
      <c r="L5" s="447"/>
      <c r="M5" s="447"/>
      <c r="N5" s="447"/>
      <c r="O5" s="447"/>
      <c r="P5" s="447"/>
      <c r="Q5" s="447"/>
      <c r="R5" s="447"/>
      <c r="S5" s="447"/>
      <c r="T5" s="447"/>
      <c r="U5" s="447"/>
      <c r="V5" s="447"/>
      <c r="W5" s="447"/>
      <c r="X5" s="447"/>
      <c r="Y5" s="447"/>
      <c r="Z5" s="447"/>
      <c r="AA5" s="447"/>
    </row>
    <row r="6" spans="1:27">
      <c r="A6" s="450" t="s">
        <v>4735</v>
      </c>
      <c r="B6" s="449" t="s">
        <v>4736</v>
      </c>
      <c r="C6" s="450" t="s">
        <v>4567</v>
      </c>
      <c r="D6" s="456"/>
      <c r="E6" s="447"/>
      <c r="F6" s="447"/>
      <c r="G6" s="447"/>
      <c r="H6" s="447"/>
      <c r="I6" s="447"/>
      <c r="J6" s="447"/>
      <c r="K6" s="447"/>
      <c r="L6" s="447"/>
      <c r="M6" s="447"/>
      <c r="N6" s="447"/>
      <c r="O6" s="447"/>
      <c r="P6" s="447"/>
      <c r="Q6" s="447"/>
      <c r="R6" s="447"/>
      <c r="S6" s="447"/>
      <c r="T6" s="447"/>
      <c r="U6" s="447"/>
      <c r="V6" s="447"/>
      <c r="W6" s="447"/>
      <c r="X6" s="447"/>
      <c r="Y6" s="447"/>
      <c r="Z6" s="447"/>
      <c r="AA6" s="447"/>
    </row>
    <row r="7" spans="1:27">
      <c r="A7" s="450" t="s">
        <v>3702</v>
      </c>
      <c r="B7" s="449" t="s">
        <v>4651</v>
      </c>
      <c r="C7" s="450" t="s">
        <v>4650</v>
      </c>
      <c r="D7" s="456"/>
      <c r="E7" s="447"/>
      <c r="F7" s="447"/>
      <c r="G7" s="447"/>
      <c r="H7" s="447"/>
      <c r="I7" s="447"/>
      <c r="J7" s="447"/>
      <c r="K7" s="447"/>
      <c r="L7" s="447"/>
      <c r="M7" s="447"/>
      <c r="N7" s="447"/>
      <c r="O7" s="447"/>
      <c r="P7" s="447"/>
      <c r="Q7" s="447"/>
      <c r="R7" s="447"/>
      <c r="S7" s="447"/>
      <c r="T7" s="447"/>
      <c r="U7" s="447"/>
      <c r="V7" s="447"/>
      <c r="W7" s="447"/>
      <c r="X7" s="447"/>
      <c r="Y7" s="447"/>
      <c r="Z7" s="447"/>
      <c r="AA7" s="447"/>
    </row>
    <row r="8" spans="1:27">
      <c r="A8" s="450" t="s">
        <v>4572</v>
      </c>
      <c r="B8" s="449" t="s">
        <v>4573</v>
      </c>
      <c r="C8" s="450" t="s">
        <v>4559</v>
      </c>
      <c r="D8" s="456"/>
      <c r="E8" s="447"/>
      <c r="F8" s="447"/>
      <c r="G8" s="447"/>
      <c r="H8" s="447"/>
      <c r="I8" s="447"/>
      <c r="J8" s="447"/>
      <c r="K8" s="447"/>
      <c r="L8" s="447"/>
      <c r="M8" s="447"/>
      <c r="N8" s="447"/>
      <c r="O8" s="447"/>
      <c r="P8" s="447"/>
      <c r="Q8" s="447"/>
      <c r="R8" s="447"/>
      <c r="S8" s="447"/>
      <c r="T8" s="447"/>
      <c r="U8" s="447"/>
      <c r="V8" s="447"/>
      <c r="W8" s="447"/>
      <c r="X8" s="447"/>
      <c r="Y8" s="447"/>
      <c r="Z8" s="447"/>
      <c r="AA8" s="447"/>
    </row>
    <row r="9" spans="1:27">
      <c r="A9" s="450" t="s">
        <v>3469</v>
      </c>
      <c r="B9" s="449" t="s">
        <v>4614</v>
      </c>
      <c r="C9" s="450" t="s">
        <v>4650</v>
      </c>
      <c r="D9" s="456"/>
      <c r="E9" s="447"/>
      <c r="F9" s="447"/>
      <c r="G9" s="447"/>
      <c r="H9" s="447"/>
      <c r="I9" s="447"/>
      <c r="J9" s="447"/>
      <c r="K9" s="447"/>
      <c r="L9" s="447"/>
      <c r="M9" s="447"/>
      <c r="N9" s="447"/>
      <c r="O9" s="447"/>
      <c r="P9" s="447"/>
      <c r="Q9" s="447"/>
      <c r="R9" s="447"/>
      <c r="S9" s="447"/>
      <c r="T9" s="447"/>
      <c r="U9" s="447"/>
      <c r="V9" s="447"/>
      <c r="W9" s="447"/>
      <c r="X9" s="447"/>
      <c r="Y9" s="447"/>
      <c r="Z9" s="447"/>
      <c r="AA9" s="447"/>
    </row>
    <row r="10" spans="1:27">
      <c r="A10" s="450" t="s">
        <v>4566</v>
      </c>
      <c r="B10" s="449" t="s">
        <v>4568</v>
      </c>
      <c r="C10" s="450" t="s">
        <v>4567</v>
      </c>
      <c r="D10" s="456"/>
      <c r="E10" s="447"/>
      <c r="F10" s="447"/>
      <c r="G10" s="447"/>
      <c r="H10" s="447"/>
      <c r="I10" s="447"/>
      <c r="J10" s="447"/>
      <c r="K10" s="447"/>
      <c r="L10" s="447"/>
      <c r="M10" s="447"/>
      <c r="N10" s="447"/>
      <c r="O10" s="447"/>
      <c r="P10" s="447"/>
      <c r="Q10" s="447"/>
      <c r="R10" s="447"/>
      <c r="S10" s="447"/>
      <c r="T10" s="447"/>
      <c r="U10" s="447"/>
      <c r="V10" s="447"/>
      <c r="W10" s="447"/>
      <c r="X10" s="447"/>
      <c r="Y10" s="447"/>
      <c r="Z10" s="447"/>
      <c r="AA10" s="447"/>
    </row>
    <row r="11" spans="1:27">
      <c r="A11" s="450" t="s">
        <v>4737</v>
      </c>
      <c r="B11" s="449" t="s">
        <v>4738</v>
      </c>
      <c r="C11" s="450" t="s">
        <v>4567</v>
      </c>
      <c r="D11" s="456"/>
      <c r="E11" s="447"/>
      <c r="F11" s="447"/>
      <c r="G11" s="447"/>
      <c r="H11" s="447"/>
      <c r="I11" s="447"/>
      <c r="J11" s="447"/>
      <c r="K11" s="447"/>
      <c r="L11" s="447"/>
      <c r="M11" s="447"/>
      <c r="N11" s="447"/>
      <c r="O11" s="447"/>
      <c r="P11" s="447"/>
      <c r="Q11" s="447"/>
      <c r="R11" s="447"/>
      <c r="S11" s="447"/>
      <c r="T11" s="447"/>
      <c r="U11" s="447"/>
      <c r="V11" s="447"/>
      <c r="W11" s="447"/>
      <c r="X11" s="447"/>
      <c r="Y11" s="447"/>
      <c r="Z11" s="447"/>
      <c r="AA11" s="447"/>
    </row>
    <row r="12" spans="1:27">
      <c r="A12" s="450" t="s">
        <v>4739</v>
      </c>
      <c r="B12" s="449" t="s">
        <v>4740</v>
      </c>
      <c r="C12" s="450" t="s">
        <v>4567</v>
      </c>
      <c r="D12" s="456"/>
      <c r="E12" s="447"/>
      <c r="F12" s="447"/>
      <c r="G12" s="447"/>
      <c r="H12" s="447"/>
      <c r="I12" s="447"/>
      <c r="J12" s="447"/>
      <c r="K12" s="447"/>
      <c r="L12" s="447"/>
      <c r="M12" s="447"/>
      <c r="N12" s="447"/>
      <c r="O12" s="447"/>
      <c r="P12" s="447"/>
      <c r="Q12" s="447"/>
      <c r="R12" s="447"/>
      <c r="S12" s="447"/>
      <c r="T12" s="447"/>
      <c r="U12" s="447"/>
      <c r="V12" s="447"/>
      <c r="W12" s="447"/>
      <c r="X12" s="447"/>
      <c r="Y12" s="447"/>
      <c r="Z12" s="447"/>
      <c r="AA12" s="447"/>
    </row>
    <row r="13" spans="1:27">
      <c r="A13" s="450" t="s">
        <v>3498</v>
      </c>
      <c r="B13" s="449" t="s">
        <v>4638</v>
      </c>
      <c r="C13" s="450" t="s">
        <v>4567</v>
      </c>
      <c r="D13" s="456"/>
      <c r="E13" s="447"/>
      <c r="F13" s="447"/>
      <c r="G13" s="447"/>
      <c r="H13" s="447"/>
      <c r="I13" s="447"/>
      <c r="J13" s="447"/>
      <c r="K13" s="447"/>
      <c r="L13" s="447"/>
      <c r="M13" s="447"/>
      <c r="N13" s="447"/>
      <c r="O13" s="447"/>
      <c r="P13" s="447"/>
      <c r="Q13" s="447"/>
      <c r="R13" s="447"/>
      <c r="S13" s="447"/>
      <c r="T13" s="447"/>
      <c r="U13" s="447"/>
      <c r="V13" s="447"/>
      <c r="W13" s="447"/>
      <c r="X13" s="447"/>
      <c r="Y13" s="447"/>
      <c r="Z13" s="447"/>
      <c r="AA13" s="447"/>
    </row>
    <row r="14" spans="1:27">
      <c r="A14" s="450" t="s">
        <v>3427</v>
      </c>
      <c r="B14" s="449" t="s">
        <v>4741</v>
      </c>
      <c r="C14" s="450" t="s">
        <v>4567</v>
      </c>
      <c r="D14" s="453" t="s">
        <v>4742</v>
      </c>
      <c r="E14" s="447"/>
      <c r="F14" s="447"/>
      <c r="G14" s="447"/>
      <c r="H14" s="447"/>
      <c r="I14" s="447"/>
      <c r="J14" s="447"/>
      <c r="K14" s="447"/>
      <c r="L14" s="447"/>
      <c r="M14" s="447"/>
      <c r="N14" s="447"/>
      <c r="O14" s="447"/>
      <c r="P14" s="447"/>
      <c r="Q14" s="447"/>
      <c r="R14" s="447"/>
      <c r="S14" s="447"/>
      <c r="T14" s="447"/>
      <c r="U14" s="447"/>
      <c r="V14" s="447"/>
      <c r="W14" s="447"/>
      <c r="X14" s="447"/>
      <c r="Y14" s="447"/>
      <c r="Z14" s="447"/>
      <c r="AA14" s="447"/>
    </row>
    <row r="15" spans="1:27">
      <c r="A15" s="450" t="s">
        <v>3578</v>
      </c>
      <c r="B15" s="449" t="s">
        <v>4609</v>
      </c>
      <c r="C15" s="450" t="s">
        <v>4559</v>
      </c>
      <c r="D15" s="456"/>
      <c r="E15" s="447"/>
      <c r="F15" s="447"/>
      <c r="G15" s="447"/>
      <c r="H15" s="447"/>
      <c r="I15" s="447"/>
      <c r="J15" s="447"/>
      <c r="K15" s="447"/>
      <c r="L15" s="447"/>
      <c r="M15" s="447"/>
      <c r="N15" s="447"/>
      <c r="O15" s="447"/>
      <c r="P15" s="447"/>
      <c r="Q15" s="447"/>
      <c r="R15" s="447"/>
      <c r="S15" s="447"/>
      <c r="T15" s="447"/>
      <c r="U15" s="447"/>
      <c r="V15" s="447"/>
      <c r="W15" s="447"/>
      <c r="X15" s="447"/>
      <c r="Y15" s="447"/>
      <c r="Z15" s="447"/>
      <c r="AA15" s="447"/>
    </row>
    <row r="16" spans="1:27">
      <c r="A16" s="450" t="s">
        <v>4558</v>
      </c>
      <c r="B16" s="449" t="s">
        <v>4560</v>
      </c>
      <c r="C16" s="450" t="s">
        <v>4559</v>
      </c>
      <c r="D16" s="456"/>
      <c r="E16" s="455"/>
      <c r="F16" s="455"/>
      <c r="G16" s="447"/>
      <c r="H16" s="447"/>
      <c r="I16" s="447"/>
      <c r="J16" s="447"/>
      <c r="K16" s="447"/>
      <c r="L16" s="447"/>
      <c r="M16" s="447"/>
      <c r="N16" s="447"/>
      <c r="O16" s="447"/>
      <c r="P16" s="447"/>
      <c r="Q16" s="447"/>
      <c r="R16" s="447"/>
      <c r="S16" s="447"/>
      <c r="T16" s="447"/>
      <c r="U16" s="447"/>
      <c r="V16" s="447"/>
      <c r="W16" s="447"/>
      <c r="X16" s="447"/>
      <c r="Y16" s="447"/>
      <c r="Z16" s="447"/>
      <c r="AA16" s="447"/>
    </row>
    <row r="17" spans="1:27">
      <c r="A17" s="450" t="s">
        <v>3549</v>
      </c>
      <c r="B17" s="449" t="s">
        <v>4615</v>
      </c>
      <c r="C17" s="450" t="s">
        <v>4559</v>
      </c>
      <c r="D17" s="456"/>
      <c r="E17" s="447"/>
      <c r="F17" s="447"/>
      <c r="G17" s="447"/>
      <c r="H17" s="447"/>
      <c r="I17" s="447"/>
      <c r="J17" s="447"/>
      <c r="K17" s="447"/>
      <c r="L17" s="447"/>
      <c r="M17" s="447"/>
      <c r="N17" s="447"/>
      <c r="O17" s="447"/>
      <c r="P17" s="447"/>
      <c r="Q17" s="447"/>
      <c r="R17" s="447"/>
      <c r="S17" s="447"/>
      <c r="T17" s="447"/>
      <c r="U17" s="447"/>
      <c r="V17" s="447"/>
      <c r="W17" s="447"/>
      <c r="X17" s="447"/>
      <c r="Y17" s="447"/>
      <c r="Z17" s="447"/>
      <c r="AA17" s="447"/>
    </row>
    <row r="18" spans="1:27">
      <c r="A18" s="450" t="s">
        <v>4743</v>
      </c>
      <c r="B18" s="449" t="s">
        <v>4744</v>
      </c>
      <c r="C18" s="450" t="s">
        <v>4567</v>
      </c>
      <c r="D18" s="456"/>
      <c r="E18" s="447"/>
      <c r="F18" s="447"/>
      <c r="G18" s="447"/>
      <c r="H18" s="447"/>
      <c r="I18" s="447"/>
      <c r="J18" s="447"/>
      <c r="K18" s="447"/>
      <c r="L18" s="447"/>
      <c r="M18" s="447"/>
      <c r="N18" s="447"/>
      <c r="O18" s="447"/>
      <c r="P18" s="447"/>
      <c r="Q18" s="447"/>
      <c r="R18" s="447"/>
      <c r="S18" s="447"/>
      <c r="T18" s="447"/>
      <c r="U18" s="447"/>
      <c r="V18" s="447"/>
      <c r="W18" s="447"/>
      <c r="X18" s="447"/>
      <c r="Y18" s="447"/>
      <c r="Z18" s="447"/>
      <c r="AA18" s="447"/>
    </row>
    <row r="19" spans="1:27">
      <c r="A19" s="450" t="s">
        <v>4007</v>
      </c>
      <c r="B19" s="449" t="s">
        <v>4641</v>
      </c>
      <c r="C19" s="452" t="s">
        <v>4729</v>
      </c>
      <c r="D19" s="456"/>
      <c r="E19" s="447"/>
      <c r="F19" s="447"/>
      <c r="G19" s="447"/>
      <c r="H19" s="447"/>
      <c r="I19" s="447"/>
      <c r="J19" s="447"/>
      <c r="K19" s="447"/>
      <c r="L19" s="447"/>
      <c r="M19" s="447"/>
      <c r="N19" s="447"/>
      <c r="O19" s="447"/>
      <c r="P19" s="447"/>
      <c r="Q19" s="447"/>
      <c r="R19" s="447"/>
      <c r="S19" s="447"/>
      <c r="T19" s="447"/>
      <c r="U19" s="447"/>
      <c r="V19" s="447"/>
      <c r="W19" s="447"/>
      <c r="X19" s="447"/>
      <c r="Y19" s="447"/>
      <c r="Z19" s="447"/>
      <c r="AA19" s="447"/>
    </row>
    <row r="20" spans="1:27">
      <c r="A20" s="450" t="s">
        <v>3636</v>
      </c>
      <c r="B20" s="449" t="s">
        <v>4745</v>
      </c>
      <c r="C20" s="452" t="s">
        <v>4729</v>
      </c>
      <c r="D20" s="457" t="s">
        <v>4742</v>
      </c>
      <c r="E20" s="447"/>
      <c r="F20" s="447"/>
      <c r="G20" s="447"/>
      <c r="H20" s="447"/>
      <c r="I20" s="447"/>
      <c r="J20" s="447"/>
      <c r="K20" s="447"/>
      <c r="L20" s="447"/>
      <c r="M20" s="447"/>
      <c r="N20" s="447"/>
      <c r="O20" s="447"/>
      <c r="P20" s="447"/>
      <c r="Q20" s="447"/>
      <c r="R20" s="447"/>
      <c r="S20" s="447"/>
      <c r="T20" s="447"/>
      <c r="U20" s="447"/>
      <c r="V20" s="447"/>
      <c r="W20" s="447"/>
      <c r="X20" s="447"/>
      <c r="Y20" s="447"/>
      <c r="Z20" s="447"/>
      <c r="AA20" s="447"/>
    </row>
    <row r="21" spans="1:27">
      <c r="A21" s="450" t="s">
        <v>4630</v>
      </c>
      <c r="B21" s="449" t="s">
        <v>4631</v>
      </c>
      <c r="C21" s="450" t="s">
        <v>4559</v>
      </c>
      <c r="D21" s="456"/>
      <c r="E21" s="447"/>
      <c r="F21" s="447"/>
      <c r="G21" s="447"/>
      <c r="H21" s="447"/>
      <c r="I21" s="447"/>
      <c r="J21" s="447"/>
      <c r="K21" s="447"/>
      <c r="L21" s="447"/>
      <c r="M21" s="447"/>
      <c r="N21" s="447"/>
      <c r="O21" s="447"/>
      <c r="P21" s="447"/>
      <c r="Q21" s="447"/>
      <c r="R21" s="447"/>
      <c r="S21" s="447"/>
      <c r="T21" s="447"/>
      <c r="U21" s="447"/>
      <c r="V21" s="447"/>
      <c r="W21" s="447"/>
      <c r="X21" s="447"/>
      <c r="Y21" s="447"/>
      <c r="Z21" s="447"/>
      <c r="AA21" s="447"/>
    </row>
    <row r="22" spans="1:27">
      <c r="A22" s="450" t="s">
        <v>3449</v>
      </c>
      <c r="B22" s="449" t="s">
        <v>4670</v>
      </c>
      <c r="C22" s="452" t="s">
        <v>4729</v>
      </c>
      <c r="D22" s="456"/>
      <c r="E22" s="447"/>
      <c r="F22" s="447"/>
      <c r="G22" s="447"/>
      <c r="H22" s="447"/>
      <c r="I22" s="447"/>
      <c r="J22" s="447"/>
      <c r="K22" s="447"/>
      <c r="L22" s="447"/>
      <c r="M22" s="447"/>
      <c r="N22" s="447"/>
      <c r="O22" s="447"/>
      <c r="P22" s="447"/>
      <c r="Q22" s="447"/>
      <c r="R22" s="447"/>
      <c r="S22" s="447"/>
      <c r="T22" s="447"/>
      <c r="U22" s="447"/>
      <c r="V22" s="447"/>
      <c r="W22" s="447"/>
      <c r="X22" s="447"/>
      <c r="Y22" s="447"/>
      <c r="Z22" s="447"/>
      <c r="AA22" s="447"/>
    </row>
    <row r="23" spans="1:27">
      <c r="A23" s="450" t="s">
        <v>4616</v>
      </c>
      <c r="B23" s="449" t="s">
        <v>4617</v>
      </c>
      <c r="C23" s="450" t="s">
        <v>4559</v>
      </c>
      <c r="D23" s="456"/>
      <c r="E23" s="447"/>
      <c r="F23" s="447"/>
      <c r="G23" s="447"/>
      <c r="H23" s="447"/>
      <c r="I23" s="447"/>
      <c r="J23" s="447"/>
      <c r="K23" s="447"/>
      <c r="L23" s="447"/>
      <c r="M23" s="447"/>
      <c r="N23" s="447"/>
      <c r="O23" s="447"/>
      <c r="P23" s="447"/>
      <c r="Q23" s="447"/>
      <c r="R23" s="447"/>
      <c r="S23" s="447"/>
      <c r="T23" s="447"/>
      <c r="U23" s="447"/>
      <c r="V23" s="447"/>
      <c r="W23" s="447"/>
      <c r="X23" s="447"/>
      <c r="Y23" s="447"/>
      <c r="Z23" s="447"/>
      <c r="AA23" s="447"/>
    </row>
    <row r="24" spans="1:27">
      <c r="A24" s="450" t="s">
        <v>4561</v>
      </c>
      <c r="B24" s="449" t="s">
        <v>4562</v>
      </c>
      <c r="C24" s="450" t="s">
        <v>4559</v>
      </c>
      <c r="D24" s="456"/>
      <c r="E24" s="447"/>
      <c r="F24" s="447"/>
      <c r="G24" s="447"/>
      <c r="H24" s="447"/>
      <c r="I24" s="447"/>
      <c r="J24" s="447"/>
      <c r="K24" s="447"/>
      <c r="L24" s="447"/>
      <c r="M24" s="447"/>
      <c r="N24" s="447"/>
      <c r="O24" s="447"/>
      <c r="P24" s="447"/>
      <c r="Q24" s="447"/>
      <c r="R24" s="447"/>
      <c r="S24" s="447"/>
      <c r="T24" s="447"/>
      <c r="U24" s="447"/>
      <c r="V24" s="447"/>
      <c r="W24" s="447"/>
      <c r="X24" s="447"/>
      <c r="Y24" s="447"/>
      <c r="Z24" s="447"/>
      <c r="AA24" s="447"/>
    </row>
    <row r="25" spans="1:27">
      <c r="A25" s="450" t="s">
        <v>3587</v>
      </c>
      <c r="B25" s="449" t="s">
        <v>4589</v>
      </c>
      <c r="C25" s="450" t="s">
        <v>4567</v>
      </c>
      <c r="D25" s="456"/>
      <c r="E25" s="447"/>
      <c r="F25" s="447"/>
      <c r="G25" s="447"/>
      <c r="H25" s="447"/>
      <c r="I25" s="447"/>
      <c r="J25" s="447"/>
      <c r="K25" s="447"/>
      <c r="L25" s="447"/>
      <c r="M25" s="447"/>
      <c r="N25" s="447"/>
      <c r="O25" s="447"/>
      <c r="P25" s="447"/>
      <c r="Q25" s="447"/>
      <c r="R25" s="447"/>
      <c r="S25" s="447"/>
      <c r="T25" s="447"/>
      <c r="U25" s="447"/>
      <c r="V25" s="447"/>
      <c r="W25" s="447"/>
      <c r="X25" s="447"/>
      <c r="Y25" s="447"/>
      <c r="Z25" s="447"/>
      <c r="AA25" s="447"/>
    </row>
    <row r="26" spans="1:27">
      <c r="A26" s="450" t="s">
        <v>3985</v>
      </c>
      <c r="B26" s="449" t="s">
        <v>4579</v>
      </c>
      <c r="C26" s="452" t="s">
        <v>4729</v>
      </c>
      <c r="D26" s="456"/>
      <c r="E26" s="447"/>
      <c r="F26" s="447"/>
      <c r="G26" s="447"/>
      <c r="H26" s="447"/>
      <c r="I26" s="447"/>
      <c r="J26" s="447"/>
      <c r="K26" s="447"/>
      <c r="L26" s="447"/>
      <c r="M26" s="447"/>
      <c r="N26" s="447"/>
      <c r="O26" s="447"/>
      <c r="P26" s="447"/>
      <c r="Q26" s="447"/>
      <c r="R26" s="447"/>
      <c r="S26" s="447"/>
      <c r="T26" s="447"/>
      <c r="U26" s="447"/>
      <c r="V26" s="447"/>
      <c r="W26" s="447"/>
      <c r="X26" s="447"/>
      <c r="Y26" s="447"/>
      <c r="Z26" s="447"/>
      <c r="AA26" s="447"/>
    </row>
    <row r="27" spans="1:27">
      <c r="A27" s="450" t="s">
        <v>4746</v>
      </c>
      <c r="B27" s="449" t="s">
        <v>4747</v>
      </c>
      <c r="C27" s="450" t="s">
        <v>4567</v>
      </c>
      <c r="D27" s="456"/>
      <c r="E27" s="447"/>
      <c r="F27" s="447"/>
      <c r="G27" s="447"/>
      <c r="H27" s="447"/>
      <c r="I27" s="447"/>
      <c r="J27" s="447"/>
      <c r="K27" s="447"/>
      <c r="L27" s="447"/>
      <c r="M27" s="447"/>
      <c r="N27" s="447"/>
      <c r="O27" s="447"/>
      <c r="P27" s="447"/>
      <c r="Q27" s="447"/>
      <c r="R27" s="447"/>
      <c r="S27" s="447"/>
      <c r="T27" s="447"/>
      <c r="U27" s="447"/>
      <c r="V27" s="447"/>
      <c r="W27" s="447"/>
      <c r="X27" s="447"/>
      <c r="Y27" s="447"/>
      <c r="Z27" s="447"/>
      <c r="AA27" s="447"/>
    </row>
    <row r="28" spans="1:27">
      <c r="A28" s="450" t="s">
        <v>4748</v>
      </c>
      <c r="B28" s="449" t="s">
        <v>4749</v>
      </c>
      <c r="C28" s="452" t="s">
        <v>4729</v>
      </c>
      <c r="D28" s="456"/>
      <c r="E28" s="447"/>
      <c r="F28" s="447"/>
      <c r="G28" s="447"/>
      <c r="H28" s="447"/>
      <c r="I28" s="447"/>
      <c r="J28" s="447"/>
      <c r="K28" s="447"/>
      <c r="L28" s="447"/>
      <c r="M28" s="447"/>
      <c r="N28" s="447"/>
      <c r="O28" s="447"/>
      <c r="P28" s="447"/>
      <c r="Q28" s="447"/>
      <c r="R28" s="447"/>
      <c r="S28" s="447"/>
      <c r="T28" s="447"/>
      <c r="U28" s="447"/>
      <c r="V28" s="447"/>
      <c r="W28" s="447"/>
      <c r="X28" s="447"/>
      <c r="Y28" s="447"/>
      <c r="Z28" s="447"/>
      <c r="AA28" s="447"/>
    </row>
    <row r="29" spans="1:27">
      <c r="A29" s="450" t="s">
        <v>3658</v>
      </c>
      <c r="B29" s="449" t="s">
        <v>4581</v>
      </c>
      <c r="C29" s="450" t="s">
        <v>4567</v>
      </c>
      <c r="D29" s="456"/>
      <c r="E29" s="447"/>
      <c r="F29" s="447"/>
      <c r="G29" s="447"/>
      <c r="H29" s="447"/>
      <c r="I29" s="447"/>
      <c r="J29" s="447"/>
      <c r="K29" s="447"/>
      <c r="L29" s="447"/>
      <c r="M29" s="447"/>
      <c r="N29" s="447"/>
      <c r="O29" s="447"/>
      <c r="P29" s="447"/>
      <c r="Q29" s="447"/>
      <c r="R29" s="447"/>
      <c r="S29" s="447"/>
      <c r="T29" s="447"/>
      <c r="U29" s="447"/>
      <c r="V29" s="447"/>
      <c r="W29" s="447"/>
      <c r="X29" s="447"/>
      <c r="Y29" s="447"/>
      <c r="Z29" s="447"/>
      <c r="AA29" s="447"/>
    </row>
    <row r="30" spans="1:27">
      <c r="A30" s="450" t="s">
        <v>4611</v>
      </c>
      <c r="B30" s="449" t="s">
        <v>4612</v>
      </c>
      <c r="C30" s="450" t="s">
        <v>4559</v>
      </c>
      <c r="D30" s="456"/>
      <c r="E30" s="447"/>
      <c r="F30" s="447"/>
      <c r="G30" s="447"/>
      <c r="H30" s="447"/>
      <c r="I30" s="447"/>
      <c r="J30" s="447"/>
      <c r="K30" s="447"/>
      <c r="L30" s="447"/>
      <c r="M30" s="447"/>
      <c r="N30" s="447"/>
      <c r="O30" s="447"/>
      <c r="P30" s="447"/>
      <c r="Q30" s="447"/>
      <c r="R30" s="447"/>
      <c r="S30" s="447"/>
      <c r="T30" s="447"/>
      <c r="U30" s="447"/>
      <c r="V30" s="447"/>
      <c r="W30" s="447"/>
      <c r="X30" s="447"/>
      <c r="Y30" s="447"/>
      <c r="Z30" s="447"/>
      <c r="AA30" s="447"/>
    </row>
    <row r="31" spans="1:27">
      <c r="A31" s="450" t="s">
        <v>4750</v>
      </c>
      <c r="B31" s="449" t="s">
        <v>4751</v>
      </c>
      <c r="C31" s="450" t="s">
        <v>4563</v>
      </c>
      <c r="D31" s="456"/>
      <c r="E31" s="447"/>
      <c r="F31" s="447"/>
      <c r="G31" s="447"/>
      <c r="H31" s="447"/>
      <c r="I31" s="447"/>
      <c r="J31" s="447"/>
      <c r="K31" s="447"/>
      <c r="L31" s="447"/>
      <c r="M31" s="447"/>
      <c r="N31" s="447"/>
      <c r="O31" s="447"/>
      <c r="P31" s="447"/>
      <c r="Q31" s="447"/>
      <c r="R31" s="447"/>
      <c r="S31" s="447"/>
      <c r="T31" s="447"/>
      <c r="U31" s="447"/>
      <c r="V31" s="447"/>
      <c r="W31" s="447"/>
      <c r="X31" s="447"/>
      <c r="Y31" s="447"/>
      <c r="Z31" s="447"/>
      <c r="AA31" s="447"/>
    </row>
    <row r="32" spans="1:27">
      <c r="A32" s="450" t="s">
        <v>3696</v>
      </c>
      <c r="B32" s="449" t="s">
        <v>4618</v>
      </c>
      <c r="C32" s="452" t="s">
        <v>4729</v>
      </c>
      <c r="D32" s="456"/>
      <c r="E32" s="447"/>
      <c r="F32" s="447"/>
      <c r="G32" s="447"/>
      <c r="H32" s="447"/>
      <c r="I32" s="447"/>
      <c r="J32" s="447"/>
      <c r="K32" s="447"/>
      <c r="L32" s="447"/>
      <c r="M32" s="447"/>
      <c r="N32" s="447"/>
      <c r="O32" s="447"/>
      <c r="P32" s="447"/>
      <c r="Q32" s="447"/>
      <c r="R32" s="447"/>
      <c r="S32" s="447"/>
      <c r="T32" s="447"/>
      <c r="U32" s="447"/>
      <c r="V32" s="447"/>
      <c r="W32" s="447"/>
      <c r="X32" s="447"/>
      <c r="Y32" s="447"/>
      <c r="Z32" s="447"/>
      <c r="AA32" s="447"/>
    </row>
    <row r="33" spans="1:27">
      <c r="A33" s="450" t="s">
        <v>3489</v>
      </c>
      <c r="B33" s="449" t="s">
        <v>4613</v>
      </c>
      <c r="C33" s="452" t="s">
        <v>4729</v>
      </c>
      <c r="D33" s="456"/>
      <c r="E33" s="447"/>
      <c r="F33" s="447"/>
      <c r="G33" s="447"/>
      <c r="H33" s="447"/>
      <c r="I33" s="447"/>
      <c r="J33" s="447"/>
      <c r="K33" s="447"/>
      <c r="L33" s="447"/>
      <c r="M33" s="447"/>
      <c r="N33" s="447"/>
      <c r="O33" s="447"/>
      <c r="P33" s="447"/>
      <c r="Q33" s="447"/>
      <c r="R33" s="447"/>
      <c r="S33" s="447"/>
      <c r="T33" s="447"/>
      <c r="U33" s="447"/>
      <c r="V33" s="447"/>
      <c r="W33" s="447"/>
      <c r="X33" s="447"/>
      <c r="Y33" s="447"/>
      <c r="Z33" s="447"/>
      <c r="AA33" s="447"/>
    </row>
    <row r="34" spans="1:27">
      <c r="A34" s="450" t="s">
        <v>3825</v>
      </c>
      <c r="B34" s="449" t="s">
        <v>4649</v>
      </c>
      <c r="C34" s="452" t="s">
        <v>4729</v>
      </c>
      <c r="D34" s="456"/>
      <c r="E34" s="447"/>
      <c r="F34" s="447"/>
      <c r="G34" s="447"/>
      <c r="H34" s="447"/>
      <c r="I34" s="447"/>
      <c r="J34" s="447"/>
      <c r="K34" s="447"/>
      <c r="L34" s="447"/>
      <c r="M34" s="447"/>
      <c r="N34" s="447"/>
      <c r="O34" s="447"/>
      <c r="P34" s="447"/>
      <c r="Q34" s="447"/>
      <c r="R34" s="447"/>
      <c r="S34" s="447"/>
      <c r="T34" s="447"/>
      <c r="U34" s="447"/>
      <c r="V34" s="447"/>
      <c r="W34" s="447"/>
      <c r="X34" s="447"/>
      <c r="Y34" s="447"/>
      <c r="Z34" s="447"/>
      <c r="AA34" s="447"/>
    </row>
    <row r="35" spans="1:27">
      <c r="A35" s="450" t="s">
        <v>3600</v>
      </c>
      <c r="B35" s="449" t="s">
        <v>4587</v>
      </c>
      <c r="C35" s="450" t="s">
        <v>4567</v>
      </c>
      <c r="D35" s="456"/>
      <c r="E35" s="447"/>
      <c r="F35" s="447"/>
      <c r="G35" s="447"/>
      <c r="H35" s="447"/>
      <c r="I35" s="447"/>
      <c r="J35" s="447"/>
      <c r="K35" s="447"/>
      <c r="L35" s="447"/>
      <c r="M35" s="447"/>
      <c r="N35" s="447"/>
      <c r="O35" s="447"/>
      <c r="P35" s="447"/>
      <c r="Q35" s="447"/>
      <c r="R35" s="447"/>
      <c r="S35" s="447"/>
      <c r="T35" s="447"/>
      <c r="U35" s="447"/>
      <c r="V35" s="447"/>
      <c r="W35" s="447"/>
      <c r="X35" s="447"/>
      <c r="Y35" s="447"/>
      <c r="Z35" s="447"/>
      <c r="AA35" s="447"/>
    </row>
    <row r="36" spans="1:27">
      <c r="A36" s="450" t="s">
        <v>4752</v>
      </c>
      <c r="B36" s="449" t="s">
        <v>4753</v>
      </c>
      <c r="C36" s="450" t="s">
        <v>4559</v>
      </c>
      <c r="D36" s="456"/>
      <c r="E36" s="447"/>
      <c r="F36" s="447"/>
      <c r="G36" s="447"/>
      <c r="H36" s="447"/>
      <c r="I36" s="447"/>
      <c r="J36" s="447"/>
      <c r="K36" s="447"/>
      <c r="L36" s="447"/>
      <c r="M36" s="447"/>
      <c r="N36" s="447"/>
      <c r="O36" s="447"/>
      <c r="P36" s="447"/>
      <c r="Q36" s="447"/>
      <c r="R36" s="447"/>
      <c r="S36" s="447"/>
      <c r="T36" s="447"/>
      <c r="U36" s="447"/>
      <c r="V36" s="447"/>
      <c r="W36" s="447"/>
      <c r="X36" s="447"/>
      <c r="Y36" s="447"/>
      <c r="Z36" s="447"/>
      <c r="AA36" s="447"/>
    </row>
    <row r="37" spans="1:27">
      <c r="A37" s="450" t="s">
        <v>4584</v>
      </c>
      <c r="B37" s="449" t="s">
        <v>4585</v>
      </c>
      <c r="C37" s="452" t="s">
        <v>4729</v>
      </c>
      <c r="D37" s="456"/>
      <c r="E37" s="447"/>
      <c r="F37" s="447"/>
      <c r="G37" s="447"/>
      <c r="H37" s="447"/>
      <c r="I37" s="447"/>
      <c r="J37" s="447"/>
      <c r="K37" s="447"/>
      <c r="L37" s="447"/>
      <c r="M37" s="447"/>
      <c r="N37" s="447"/>
      <c r="O37" s="447"/>
      <c r="P37" s="447"/>
      <c r="Q37" s="447"/>
      <c r="R37" s="447"/>
      <c r="S37" s="447"/>
      <c r="T37" s="447"/>
      <c r="U37" s="447"/>
      <c r="V37" s="447"/>
      <c r="W37" s="447"/>
      <c r="X37" s="447"/>
      <c r="Y37" s="447"/>
      <c r="Z37" s="447"/>
      <c r="AA37" s="447"/>
    </row>
    <row r="38" spans="1:27">
      <c r="A38" s="450" t="s">
        <v>3476</v>
      </c>
      <c r="B38" s="449" t="s">
        <v>4586</v>
      </c>
      <c r="C38" s="450" t="s">
        <v>4567</v>
      </c>
      <c r="D38" s="456"/>
      <c r="E38" s="447"/>
      <c r="F38" s="447"/>
      <c r="G38" s="447"/>
      <c r="H38" s="447"/>
      <c r="I38" s="447"/>
      <c r="J38" s="447"/>
      <c r="K38" s="447"/>
      <c r="L38" s="447"/>
      <c r="M38" s="447"/>
      <c r="N38" s="447"/>
      <c r="O38" s="447"/>
      <c r="P38" s="447"/>
      <c r="Q38" s="447"/>
      <c r="R38" s="447"/>
      <c r="S38" s="447"/>
      <c r="T38" s="447"/>
      <c r="U38" s="447"/>
      <c r="V38" s="447"/>
      <c r="W38" s="447"/>
      <c r="X38" s="447"/>
      <c r="Y38" s="447"/>
      <c r="Z38" s="447"/>
      <c r="AA38" s="447"/>
    </row>
    <row r="39" spans="1:27">
      <c r="A39" s="450" t="s">
        <v>3617</v>
      </c>
      <c r="B39" s="449" t="s">
        <v>4621</v>
      </c>
      <c r="C39" s="450" t="s">
        <v>4567</v>
      </c>
      <c r="D39" s="456"/>
      <c r="E39" s="447"/>
      <c r="F39" s="447"/>
      <c r="G39" s="447"/>
      <c r="H39" s="447"/>
      <c r="I39" s="447"/>
      <c r="J39" s="447"/>
      <c r="K39" s="447"/>
      <c r="L39" s="447"/>
      <c r="M39" s="447"/>
      <c r="N39" s="447"/>
      <c r="O39" s="447"/>
      <c r="P39" s="447"/>
      <c r="Q39" s="447"/>
      <c r="R39" s="447"/>
      <c r="S39" s="447"/>
      <c r="T39" s="447"/>
      <c r="U39" s="447"/>
      <c r="V39" s="447"/>
      <c r="W39" s="447"/>
      <c r="X39" s="447"/>
      <c r="Y39" s="447"/>
      <c r="Z39" s="447"/>
      <c r="AA39" s="447"/>
    </row>
    <row r="40" spans="1:27">
      <c r="A40" s="450" t="s">
        <v>3493</v>
      </c>
      <c r="B40" s="449" t="s">
        <v>4626</v>
      </c>
      <c r="C40" s="450" t="s">
        <v>4559</v>
      </c>
      <c r="D40" s="456"/>
      <c r="E40" s="447"/>
      <c r="F40" s="447"/>
      <c r="G40" s="447"/>
      <c r="H40" s="447"/>
      <c r="I40" s="447"/>
      <c r="J40" s="447"/>
      <c r="K40" s="447"/>
      <c r="L40" s="447"/>
      <c r="M40" s="447"/>
      <c r="N40" s="447"/>
      <c r="O40" s="447"/>
      <c r="P40" s="447"/>
      <c r="Q40" s="447"/>
      <c r="R40" s="447"/>
      <c r="S40" s="447"/>
      <c r="T40" s="447"/>
      <c r="U40" s="447"/>
      <c r="V40" s="447"/>
      <c r="W40" s="447"/>
      <c r="X40" s="447"/>
      <c r="Y40" s="447"/>
      <c r="Z40" s="447"/>
      <c r="AA40" s="447"/>
    </row>
    <row r="41" spans="1:27">
      <c r="A41" s="450" t="s">
        <v>4552</v>
      </c>
      <c r="B41" s="449" t="s">
        <v>4554</v>
      </c>
      <c r="C41" s="452" t="s">
        <v>4729</v>
      </c>
      <c r="D41" s="456"/>
      <c r="E41" s="447"/>
      <c r="F41" s="447"/>
      <c r="G41" s="447"/>
      <c r="H41" s="447"/>
      <c r="I41" s="447"/>
      <c r="J41" s="447"/>
      <c r="K41" s="447"/>
      <c r="L41" s="447"/>
      <c r="M41" s="447"/>
      <c r="N41" s="447"/>
      <c r="O41" s="447"/>
      <c r="P41" s="447"/>
      <c r="Q41" s="447"/>
      <c r="R41" s="447"/>
      <c r="S41" s="447"/>
      <c r="T41" s="447"/>
      <c r="U41" s="447"/>
      <c r="V41" s="447"/>
      <c r="W41" s="447"/>
      <c r="X41" s="447"/>
      <c r="Y41" s="447"/>
      <c r="Z41" s="447"/>
      <c r="AA41" s="447"/>
    </row>
    <row r="42" spans="1:27">
      <c r="A42" s="450" t="s">
        <v>3464</v>
      </c>
      <c r="B42" s="449" t="s">
        <v>4648</v>
      </c>
      <c r="C42" s="450" t="s">
        <v>4559</v>
      </c>
      <c r="D42" s="456"/>
      <c r="E42" s="447"/>
      <c r="F42" s="447"/>
      <c r="G42" s="447"/>
      <c r="H42" s="447"/>
      <c r="I42" s="447"/>
      <c r="J42" s="447"/>
      <c r="K42" s="447"/>
      <c r="L42" s="447"/>
      <c r="M42" s="447"/>
      <c r="N42" s="447"/>
      <c r="O42" s="447"/>
      <c r="P42" s="447"/>
      <c r="Q42" s="447"/>
      <c r="R42" s="447"/>
      <c r="S42" s="447"/>
      <c r="T42" s="447"/>
      <c r="U42" s="447"/>
      <c r="V42" s="447"/>
      <c r="W42" s="447"/>
      <c r="X42" s="447"/>
      <c r="Y42" s="447"/>
      <c r="Z42" s="447"/>
      <c r="AA42" s="447"/>
    </row>
    <row r="43" spans="1:27">
      <c r="A43" s="450" t="s">
        <v>4657</v>
      </c>
      <c r="B43" s="449" t="s">
        <v>4658</v>
      </c>
      <c r="C43" s="452" t="s">
        <v>4729</v>
      </c>
      <c r="D43" s="456"/>
      <c r="E43" s="447"/>
      <c r="F43" s="447"/>
      <c r="G43" s="447"/>
      <c r="H43" s="447"/>
      <c r="I43" s="447"/>
      <c r="J43" s="447"/>
      <c r="K43" s="447"/>
      <c r="L43" s="447"/>
      <c r="M43" s="447"/>
      <c r="N43" s="447"/>
      <c r="O43" s="447"/>
      <c r="P43" s="447"/>
      <c r="Q43" s="447"/>
      <c r="R43" s="447"/>
      <c r="S43" s="447"/>
      <c r="T43" s="447"/>
      <c r="U43" s="447"/>
      <c r="V43" s="447"/>
      <c r="W43" s="447"/>
      <c r="X43" s="447"/>
      <c r="Y43" s="447"/>
      <c r="Z43" s="447"/>
      <c r="AA43" s="447"/>
    </row>
    <row r="44" spans="1:27">
      <c r="A44" s="450" t="s">
        <v>3849</v>
      </c>
      <c r="B44" s="449" t="s">
        <v>4564</v>
      </c>
      <c r="C44" s="450" t="s">
        <v>4563</v>
      </c>
      <c r="D44" s="456"/>
      <c r="E44" s="447"/>
      <c r="F44" s="447"/>
      <c r="G44" s="447"/>
      <c r="H44" s="447"/>
      <c r="I44" s="447"/>
      <c r="J44" s="447"/>
      <c r="K44" s="447"/>
      <c r="L44" s="447"/>
      <c r="M44" s="447"/>
      <c r="N44" s="447"/>
      <c r="O44" s="447"/>
      <c r="P44" s="447"/>
      <c r="Q44" s="447"/>
      <c r="R44" s="447"/>
      <c r="S44" s="447"/>
      <c r="T44" s="447"/>
      <c r="U44" s="447"/>
      <c r="V44" s="447"/>
      <c r="W44" s="447"/>
      <c r="X44" s="447"/>
      <c r="Y44" s="447"/>
      <c r="Z44" s="447"/>
      <c r="AA44" s="447"/>
    </row>
    <row r="45" spans="1:27">
      <c r="A45" s="450" t="s">
        <v>3826</v>
      </c>
      <c r="B45" s="449" t="s">
        <v>4652</v>
      </c>
      <c r="C45" s="452" t="s">
        <v>4729</v>
      </c>
      <c r="D45" s="456"/>
      <c r="E45" s="447"/>
      <c r="F45" s="447"/>
      <c r="G45" s="447"/>
      <c r="H45" s="447"/>
      <c r="I45" s="447"/>
      <c r="J45" s="447"/>
      <c r="K45" s="447"/>
      <c r="L45" s="447"/>
      <c r="M45" s="447"/>
      <c r="N45" s="447"/>
      <c r="O45" s="447"/>
      <c r="P45" s="447"/>
      <c r="Q45" s="447"/>
      <c r="R45" s="447"/>
      <c r="S45" s="447"/>
      <c r="T45" s="447"/>
      <c r="U45" s="447"/>
      <c r="V45" s="447"/>
      <c r="W45" s="447"/>
      <c r="X45" s="447"/>
      <c r="Y45" s="447"/>
      <c r="Z45" s="447"/>
      <c r="AA45" s="447"/>
    </row>
    <row r="46" spans="1:27">
      <c r="A46" s="450" t="s">
        <v>3786</v>
      </c>
      <c r="B46" s="449" t="s">
        <v>4637</v>
      </c>
      <c r="C46" s="450" t="s">
        <v>4563</v>
      </c>
      <c r="D46" s="456"/>
      <c r="E46" s="447"/>
      <c r="F46" s="447"/>
      <c r="G46" s="447"/>
      <c r="H46" s="447"/>
      <c r="I46" s="447"/>
      <c r="J46" s="447"/>
      <c r="K46" s="447"/>
      <c r="L46" s="447"/>
      <c r="M46" s="447"/>
      <c r="N46" s="447"/>
      <c r="O46" s="447"/>
      <c r="P46" s="447"/>
      <c r="Q46" s="447"/>
      <c r="R46" s="447"/>
      <c r="S46" s="447"/>
      <c r="T46" s="447"/>
      <c r="U46" s="447"/>
      <c r="V46" s="447"/>
      <c r="W46" s="447"/>
      <c r="X46" s="447"/>
      <c r="Y46" s="447"/>
      <c r="Z46" s="447"/>
      <c r="AA46" s="447"/>
    </row>
    <row r="47" spans="1:27">
      <c r="A47" s="450" t="s">
        <v>4754</v>
      </c>
      <c r="B47" s="449" t="s">
        <v>4755</v>
      </c>
      <c r="C47" s="450" t="s">
        <v>4563</v>
      </c>
      <c r="D47" s="456"/>
      <c r="E47" s="447"/>
      <c r="F47" s="447"/>
      <c r="G47" s="447"/>
      <c r="H47" s="447"/>
      <c r="I47" s="447"/>
      <c r="J47" s="447"/>
      <c r="K47" s="447"/>
      <c r="L47" s="447"/>
      <c r="M47" s="447"/>
      <c r="N47" s="447"/>
      <c r="O47" s="447"/>
      <c r="P47" s="447"/>
      <c r="Q47" s="447"/>
      <c r="R47" s="447"/>
      <c r="S47" s="447"/>
      <c r="T47" s="447"/>
      <c r="U47" s="447"/>
      <c r="V47" s="447"/>
      <c r="W47" s="447"/>
      <c r="X47" s="447"/>
      <c r="Y47" s="447"/>
      <c r="Z47" s="447"/>
      <c r="AA47" s="447"/>
    </row>
    <row r="48" spans="1:27">
      <c r="A48" s="450" t="s">
        <v>3483</v>
      </c>
      <c r="B48" s="449" t="s">
        <v>4597</v>
      </c>
      <c r="C48" s="452" t="s">
        <v>4563</v>
      </c>
      <c r="D48" s="456"/>
      <c r="E48" s="447"/>
      <c r="F48" s="447"/>
      <c r="G48" s="447"/>
      <c r="H48" s="447"/>
      <c r="I48" s="447"/>
      <c r="J48" s="447"/>
      <c r="K48" s="447"/>
      <c r="L48" s="447"/>
      <c r="M48" s="447"/>
      <c r="N48" s="447"/>
      <c r="O48" s="447"/>
      <c r="P48" s="447"/>
      <c r="Q48" s="447"/>
      <c r="R48" s="447"/>
      <c r="S48" s="447"/>
      <c r="T48" s="447"/>
      <c r="U48" s="447"/>
      <c r="V48" s="447"/>
      <c r="W48" s="447"/>
      <c r="X48" s="447"/>
      <c r="Y48" s="447"/>
      <c r="Z48" s="447"/>
      <c r="AA48" s="447"/>
    </row>
    <row r="49" spans="1:27">
      <c r="A49" s="450" t="s">
        <v>3790</v>
      </c>
      <c r="B49" s="449" t="s">
        <v>4627</v>
      </c>
      <c r="C49" s="452" t="s">
        <v>4729</v>
      </c>
      <c r="D49" s="456"/>
      <c r="E49" s="447"/>
      <c r="F49" s="447"/>
      <c r="G49" s="447"/>
      <c r="H49" s="447"/>
      <c r="I49" s="447"/>
      <c r="J49" s="447"/>
      <c r="K49" s="447"/>
      <c r="L49" s="447"/>
      <c r="M49" s="447"/>
      <c r="N49" s="447"/>
      <c r="O49" s="447"/>
      <c r="P49" s="447"/>
      <c r="Q49" s="447"/>
      <c r="R49" s="447"/>
      <c r="S49" s="447"/>
      <c r="T49" s="447"/>
      <c r="U49" s="447"/>
      <c r="V49" s="447"/>
      <c r="W49" s="447"/>
      <c r="X49" s="447"/>
      <c r="Y49" s="447"/>
      <c r="Z49" s="447"/>
      <c r="AA49" s="447"/>
    </row>
    <row r="50" spans="1:27">
      <c r="A50" s="450" t="s">
        <v>4756</v>
      </c>
      <c r="B50" s="449" t="s">
        <v>4757</v>
      </c>
      <c r="C50" s="450" t="s">
        <v>4563</v>
      </c>
      <c r="D50" s="456"/>
      <c r="E50" s="447"/>
      <c r="F50" s="447"/>
      <c r="G50" s="447"/>
      <c r="H50" s="447"/>
      <c r="I50" s="447"/>
      <c r="J50" s="447"/>
      <c r="K50" s="447"/>
      <c r="L50" s="447"/>
      <c r="M50" s="447"/>
      <c r="N50" s="447"/>
      <c r="O50" s="447"/>
      <c r="P50" s="447"/>
      <c r="Q50" s="447"/>
      <c r="R50" s="447"/>
      <c r="S50" s="447"/>
      <c r="T50" s="447"/>
      <c r="U50" s="447"/>
      <c r="V50" s="447"/>
      <c r="W50" s="447"/>
      <c r="X50" s="447"/>
      <c r="Y50" s="447"/>
      <c r="Z50" s="447"/>
      <c r="AA50" s="447"/>
    </row>
    <row r="51" spans="1:27">
      <c r="A51" s="450" t="s">
        <v>3915</v>
      </c>
      <c r="B51" s="449" t="s">
        <v>4588</v>
      </c>
      <c r="C51" s="450" t="s">
        <v>4563</v>
      </c>
      <c r="D51" s="456"/>
      <c r="E51" s="447"/>
      <c r="F51" s="447"/>
      <c r="G51" s="447"/>
      <c r="H51" s="447"/>
      <c r="I51" s="447"/>
      <c r="J51" s="447"/>
      <c r="K51" s="447"/>
      <c r="L51" s="447"/>
      <c r="M51" s="447"/>
      <c r="N51" s="447"/>
      <c r="O51" s="447"/>
      <c r="P51" s="447"/>
      <c r="Q51" s="447"/>
      <c r="R51" s="447"/>
      <c r="S51" s="447"/>
      <c r="T51" s="447"/>
      <c r="U51" s="447"/>
      <c r="V51" s="447"/>
      <c r="W51" s="447"/>
      <c r="X51" s="447"/>
      <c r="Y51" s="447"/>
      <c r="Z51" s="447"/>
      <c r="AA51" s="447"/>
    </row>
    <row r="52" spans="1:27">
      <c r="A52" s="450" t="s">
        <v>4758</v>
      </c>
      <c r="B52" s="449" t="s">
        <v>4759</v>
      </c>
      <c r="C52" s="450" t="s">
        <v>4563</v>
      </c>
      <c r="D52" s="456"/>
      <c r="E52" s="447"/>
      <c r="F52" s="447"/>
      <c r="G52" s="447"/>
      <c r="H52" s="447"/>
      <c r="I52" s="447"/>
      <c r="J52" s="447"/>
      <c r="K52" s="447"/>
      <c r="L52" s="447"/>
      <c r="M52" s="447"/>
      <c r="N52" s="447"/>
      <c r="O52" s="447"/>
      <c r="P52" s="447"/>
      <c r="Q52" s="447"/>
      <c r="R52" s="447"/>
      <c r="S52" s="447"/>
      <c r="T52" s="447"/>
      <c r="U52" s="447"/>
      <c r="V52" s="447"/>
      <c r="W52" s="447"/>
      <c r="X52" s="447"/>
      <c r="Y52" s="447"/>
      <c r="Z52" s="447"/>
      <c r="AA52" s="447"/>
    </row>
    <row r="53" spans="1:27">
      <c r="A53" s="450" t="s">
        <v>4624</v>
      </c>
      <c r="B53" s="449" t="s">
        <v>4625</v>
      </c>
      <c r="C53" s="452" t="s">
        <v>4729</v>
      </c>
      <c r="D53" s="456"/>
      <c r="E53" s="447"/>
      <c r="F53" s="447"/>
      <c r="G53" s="447"/>
      <c r="H53" s="447"/>
      <c r="I53" s="447"/>
      <c r="J53" s="447"/>
      <c r="K53" s="447"/>
      <c r="L53" s="447"/>
      <c r="M53" s="447"/>
      <c r="N53" s="447"/>
      <c r="O53" s="447"/>
      <c r="P53" s="447"/>
      <c r="Q53" s="447"/>
      <c r="R53" s="447"/>
      <c r="S53" s="447"/>
      <c r="T53" s="447"/>
      <c r="U53" s="447"/>
      <c r="V53" s="447"/>
      <c r="W53" s="447"/>
      <c r="X53" s="447"/>
      <c r="Y53" s="447"/>
      <c r="Z53" s="447"/>
      <c r="AA53" s="447"/>
    </row>
    <row r="54" spans="1:27">
      <c r="A54" s="450" t="s">
        <v>3551</v>
      </c>
      <c r="B54" s="449" t="s">
        <v>4604</v>
      </c>
      <c r="C54" s="452" t="s">
        <v>4729</v>
      </c>
      <c r="D54" s="456"/>
      <c r="E54" s="447"/>
      <c r="F54" s="447"/>
      <c r="G54" s="447"/>
      <c r="H54" s="447"/>
      <c r="I54" s="447"/>
      <c r="J54" s="447"/>
      <c r="K54" s="447"/>
      <c r="L54" s="447"/>
      <c r="M54" s="447"/>
      <c r="N54" s="447"/>
      <c r="O54" s="447"/>
      <c r="P54" s="447"/>
      <c r="Q54" s="447"/>
      <c r="R54" s="447"/>
      <c r="S54" s="447"/>
      <c r="T54" s="447"/>
      <c r="U54" s="447"/>
      <c r="V54" s="447"/>
      <c r="W54" s="447"/>
      <c r="X54" s="447"/>
      <c r="Y54" s="447"/>
      <c r="Z54" s="447"/>
      <c r="AA54" s="447"/>
    </row>
    <row r="55" spans="1:27">
      <c r="A55" s="450" t="s">
        <v>4635</v>
      </c>
      <c r="B55" s="449" t="s">
        <v>4636</v>
      </c>
      <c r="C55" s="452" t="s">
        <v>4729</v>
      </c>
      <c r="D55" s="456"/>
      <c r="E55" s="447"/>
      <c r="F55" s="447"/>
      <c r="G55" s="447"/>
      <c r="H55" s="447"/>
      <c r="I55" s="447"/>
      <c r="J55" s="447"/>
      <c r="K55" s="447"/>
      <c r="L55" s="447"/>
      <c r="M55" s="447"/>
      <c r="N55" s="447"/>
      <c r="O55" s="447"/>
      <c r="P55" s="447"/>
      <c r="Q55" s="447"/>
      <c r="R55" s="447"/>
      <c r="S55" s="447"/>
      <c r="T55" s="447"/>
      <c r="U55" s="447"/>
      <c r="V55" s="447"/>
      <c r="W55" s="447"/>
      <c r="X55" s="447"/>
      <c r="Y55" s="447"/>
      <c r="Z55" s="447"/>
      <c r="AA55" s="447"/>
    </row>
    <row r="56" spans="1:27">
      <c r="A56" s="450" t="s">
        <v>3854</v>
      </c>
      <c r="B56" s="449" t="s">
        <v>4629</v>
      </c>
      <c r="C56" s="452" t="s">
        <v>4729</v>
      </c>
      <c r="D56" s="456"/>
      <c r="E56" s="447"/>
      <c r="F56" s="447"/>
      <c r="G56" s="447"/>
      <c r="H56" s="447"/>
      <c r="I56" s="447"/>
      <c r="J56" s="447"/>
      <c r="K56" s="447"/>
      <c r="L56" s="447"/>
      <c r="M56" s="447"/>
      <c r="N56" s="447"/>
      <c r="O56" s="447"/>
      <c r="P56" s="447"/>
      <c r="Q56" s="447"/>
      <c r="R56" s="447"/>
      <c r="S56" s="447"/>
      <c r="T56" s="447"/>
      <c r="U56" s="447"/>
      <c r="V56" s="447"/>
      <c r="W56" s="447"/>
      <c r="X56" s="447"/>
      <c r="Y56" s="447"/>
      <c r="Z56" s="447"/>
      <c r="AA56" s="447"/>
    </row>
    <row r="57" spans="1:27">
      <c r="A57" s="450" t="s">
        <v>4760</v>
      </c>
      <c r="B57" s="449" t="s">
        <v>4761</v>
      </c>
      <c r="C57" s="450" t="s">
        <v>4563</v>
      </c>
      <c r="D57" s="456"/>
      <c r="E57" s="447"/>
      <c r="F57" s="447"/>
      <c r="G57" s="447"/>
      <c r="H57" s="447"/>
      <c r="I57" s="447"/>
      <c r="J57" s="447"/>
      <c r="K57" s="447"/>
      <c r="L57" s="447"/>
      <c r="M57" s="447"/>
      <c r="N57" s="447"/>
      <c r="O57" s="447"/>
      <c r="P57" s="447"/>
      <c r="Q57" s="447"/>
      <c r="R57" s="447"/>
      <c r="S57" s="447"/>
      <c r="T57" s="447"/>
      <c r="U57" s="447"/>
      <c r="V57" s="447"/>
      <c r="W57" s="447"/>
      <c r="X57" s="447"/>
      <c r="Y57" s="447"/>
      <c r="Z57" s="447"/>
      <c r="AA57" s="447"/>
    </row>
    <row r="58" spans="1:27">
      <c r="A58" s="450" t="s">
        <v>4570</v>
      </c>
      <c r="B58" s="449" t="s">
        <v>4571</v>
      </c>
      <c r="C58" s="452" t="s">
        <v>4729</v>
      </c>
      <c r="D58" s="456"/>
      <c r="E58" s="447"/>
      <c r="F58" s="447"/>
      <c r="G58" s="447"/>
      <c r="H58" s="447"/>
      <c r="I58" s="447"/>
      <c r="J58" s="447"/>
      <c r="K58" s="447"/>
      <c r="L58" s="447"/>
      <c r="M58" s="447"/>
      <c r="N58" s="447"/>
      <c r="O58" s="447"/>
      <c r="P58" s="447"/>
      <c r="Q58" s="447"/>
      <c r="R58" s="447"/>
      <c r="S58" s="447"/>
      <c r="T58" s="447"/>
      <c r="U58" s="447"/>
      <c r="V58" s="447"/>
      <c r="W58" s="447"/>
      <c r="X58" s="447"/>
      <c r="Y58" s="447"/>
      <c r="Z58" s="447"/>
      <c r="AA58" s="447"/>
    </row>
    <row r="59" spans="1:27">
      <c r="A59" s="450" t="s">
        <v>3442</v>
      </c>
      <c r="B59" s="449" t="s">
        <v>4578</v>
      </c>
      <c r="C59" s="450" t="s">
        <v>4563</v>
      </c>
      <c r="D59" s="456"/>
      <c r="E59" s="447"/>
      <c r="F59" s="447"/>
      <c r="G59" s="447"/>
      <c r="H59" s="447"/>
      <c r="I59" s="447"/>
      <c r="J59" s="447"/>
      <c r="K59" s="447"/>
      <c r="L59" s="447"/>
      <c r="M59" s="447"/>
      <c r="N59" s="447"/>
      <c r="O59" s="447"/>
      <c r="P59" s="447"/>
      <c r="Q59" s="447"/>
      <c r="R59" s="447"/>
      <c r="S59" s="447"/>
      <c r="T59" s="447"/>
      <c r="U59" s="447"/>
      <c r="V59" s="447"/>
      <c r="W59" s="447"/>
      <c r="X59" s="447"/>
      <c r="Y59" s="447"/>
      <c r="Z59" s="447"/>
      <c r="AA59" s="447"/>
    </row>
    <row r="60" spans="1:27">
      <c r="A60" s="450" t="s">
        <v>3446</v>
      </c>
      <c r="B60" s="449" t="s">
        <v>4576</v>
      </c>
      <c r="C60" s="450" t="s">
        <v>4563</v>
      </c>
      <c r="D60" s="456"/>
      <c r="E60" s="447"/>
      <c r="F60" s="447"/>
      <c r="G60" s="447"/>
      <c r="H60" s="447"/>
      <c r="I60" s="447"/>
      <c r="J60" s="447"/>
      <c r="K60" s="447"/>
      <c r="L60" s="447"/>
      <c r="M60" s="447"/>
      <c r="N60" s="447"/>
      <c r="O60" s="447"/>
      <c r="P60" s="447"/>
      <c r="Q60" s="447"/>
      <c r="R60" s="447"/>
      <c r="S60" s="447"/>
      <c r="T60" s="447"/>
      <c r="U60" s="447"/>
      <c r="V60" s="447"/>
      <c r="W60" s="447"/>
      <c r="X60" s="447"/>
      <c r="Y60" s="447"/>
      <c r="Z60" s="447"/>
      <c r="AA60" s="447"/>
    </row>
    <row r="61" spans="1:27">
      <c r="A61" s="450" t="s">
        <v>1737</v>
      </c>
      <c r="B61" s="449" t="s">
        <v>4580</v>
      </c>
      <c r="C61" s="450" t="s">
        <v>4559</v>
      </c>
      <c r="D61" s="456"/>
      <c r="E61" s="447"/>
      <c r="F61" s="447"/>
      <c r="G61" s="447"/>
      <c r="H61" s="447"/>
      <c r="I61" s="447"/>
      <c r="J61" s="447"/>
      <c r="K61" s="447"/>
      <c r="L61" s="447"/>
      <c r="M61" s="447"/>
      <c r="N61" s="447"/>
      <c r="O61" s="447"/>
      <c r="P61" s="447"/>
      <c r="Q61" s="447"/>
      <c r="R61" s="447"/>
      <c r="S61" s="447"/>
      <c r="T61" s="447"/>
      <c r="U61" s="447"/>
      <c r="V61" s="447"/>
      <c r="W61" s="447"/>
      <c r="X61" s="447"/>
      <c r="Y61" s="447"/>
      <c r="Z61" s="447"/>
      <c r="AA61" s="447"/>
    </row>
    <row r="62" spans="1:27">
      <c r="A62" s="450" t="s">
        <v>2340</v>
      </c>
      <c r="B62" s="449" t="s">
        <v>4762</v>
      </c>
      <c r="C62" s="450" t="s">
        <v>4563</v>
      </c>
      <c r="D62" s="456"/>
      <c r="E62" s="447"/>
      <c r="F62" s="447"/>
      <c r="G62" s="447"/>
      <c r="H62" s="447"/>
      <c r="I62" s="447"/>
      <c r="J62" s="447"/>
      <c r="K62" s="447"/>
      <c r="L62" s="447"/>
      <c r="M62" s="447"/>
      <c r="N62" s="447"/>
      <c r="O62" s="447"/>
      <c r="P62" s="447"/>
      <c r="Q62" s="447"/>
      <c r="R62" s="447"/>
      <c r="S62" s="447"/>
      <c r="T62" s="447"/>
      <c r="U62" s="447"/>
      <c r="V62" s="447"/>
      <c r="W62" s="447"/>
      <c r="X62" s="447"/>
      <c r="Y62" s="447"/>
      <c r="Z62" s="447"/>
      <c r="AA62" s="447"/>
    </row>
    <row r="63" spans="1:27">
      <c r="A63" s="450" t="s">
        <v>2535</v>
      </c>
      <c r="B63" s="449" t="s">
        <v>4569</v>
      </c>
      <c r="C63" s="452" t="s">
        <v>4729</v>
      </c>
      <c r="D63" s="456"/>
      <c r="E63" s="447"/>
      <c r="F63" s="447"/>
      <c r="G63" s="447"/>
      <c r="H63" s="447"/>
      <c r="I63" s="447"/>
      <c r="J63" s="447"/>
      <c r="K63" s="447"/>
      <c r="L63" s="447"/>
      <c r="M63" s="447"/>
      <c r="N63" s="447"/>
      <c r="O63" s="447"/>
      <c r="P63" s="447"/>
      <c r="Q63" s="447"/>
      <c r="R63" s="447"/>
      <c r="S63" s="447"/>
      <c r="T63" s="447"/>
      <c r="U63" s="447"/>
      <c r="V63" s="447"/>
      <c r="W63" s="447"/>
      <c r="X63" s="447"/>
      <c r="Y63" s="447"/>
      <c r="Z63" s="447"/>
      <c r="AA63" s="447"/>
    </row>
    <row r="64" spans="1:27">
      <c r="A64" s="450" t="s">
        <v>2979</v>
      </c>
      <c r="B64" s="449" t="s">
        <v>4763</v>
      </c>
      <c r="C64" s="450" t="s">
        <v>4567</v>
      </c>
      <c r="D64" s="456"/>
      <c r="E64" s="447"/>
      <c r="F64" s="447"/>
      <c r="G64" s="447"/>
      <c r="H64" s="447"/>
      <c r="I64" s="447"/>
      <c r="J64" s="447"/>
      <c r="K64" s="447"/>
      <c r="L64" s="447"/>
      <c r="M64" s="447"/>
      <c r="N64" s="447"/>
      <c r="O64" s="447"/>
      <c r="P64" s="447"/>
      <c r="Q64" s="447"/>
      <c r="R64" s="447"/>
      <c r="S64" s="447"/>
      <c r="T64" s="447"/>
      <c r="U64" s="447"/>
      <c r="V64" s="447"/>
      <c r="W64" s="447"/>
      <c r="X64" s="447"/>
      <c r="Y64" s="447"/>
      <c r="Z64" s="447"/>
      <c r="AA64" s="447"/>
    </row>
    <row r="65" spans="1:27">
      <c r="A65" s="450" t="s">
        <v>3474</v>
      </c>
      <c r="B65" s="449" t="s">
        <v>4605</v>
      </c>
      <c r="C65" s="450" t="s">
        <v>4563</v>
      </c>
      <c r="D65" s="456"/>
      <c r="E65" s="447"/>
      <c r="F65" s="447"/>
      <c r="G65" s="447"/>
      <c r="H65" s="447"/>
      <c r="I65" s="447"/>
      <c r="J65" s="447"/>
      <c r="K65" s="447"/>
      <c r="L65" s="447"/>
      <c r="M65" s="447"/>
      <c r="N65" s="447"/>
      <c r="O65" s="447"/>
      <c r="P65" s="447"/>
      <c r="Q65" s="447"/>
      <c r="R65" s="447"/>
      <c r="S65" s="447"/>
      <c r="T65" s="447"/>
      <c r="U65" s="447"/>
      <c r="V65" s="447"/>
      <c r="W65" s="447"/>
      <c r="X65" s="447"/>
      <c r="Y65" s="447"/>
      <c r="Z65" s="447"/>
      <c r="AA65" s="447"/>
    </row>
    <row r="66" spans="1:27">
      <c r="A66" s="450" t="s">
        <v>4764</v>
      </c>
      <c r="B66" s="449" t="s">
        <v>4765</v>
      </c>
      <c r="C66" s="452" t="s">
        <v>4729</v>
      </c>
      <c r="D66" s="456"/>
      <c r="E66" s="447"/>
      <c r="F66" s="447"/>
      <c r="G66" s="447"/>
      <c r="H66" s="447"/>
      <c r="I66" s="447"/>
      <c r="J66" s="447"/>
      <c r="K66" s="447"/>
      <c r="L66" s="447"/>
      <c r="M66" s="447"/>
      <c r="N66" s="447"/>
      <c r="O66" s="447"/>
      <c r="P66" s="447"/>
      <c r="Q66" s="447"/>
      <c r="R66" s="447"/>
      <c r="S66" s="447"/>
      <c r="T66" s="447"/>
      <c r="U66" s="447"/>
      <c r="V66" s="447"/>
      <c r="W66" s="447"/>
      <c r="X66" s="447"/>
      <c r="Y66" s="447"/>
      <c r="Z66" s="447"/>
      <c r="AA66" s="447"/>
    </row>
    <row r="67" spans="1:27">
      <c r="A67" s="450" t="s">
        <v>4766</v>
      </c>
      <c r="B67" s="449" t="s">
        <v>4767</v>
      </c>
      <c r="C67" s="450" t="s">
        <v>4559</v>
      </c>
      <c r="D67" s="456"/>
      <c r="E67" s="447"/>
      <c r="F67" s="447"/>
      <c r="G67" s="447"/>
      <c r="H67" s="447"/>
      <c r="I67" s="447"/>
      <c r="J67" s="447"/>
      <c r="K67" s="447"/>
      <c r="L67" s="447"/>
      <c r="M67" s="447"/>
      <c r="N67" s="447"/>
      <c r="O67" s="447"/>
      <c r="P67" s="447"/>
      <c r="Q67" s="447"/>
      <c r="R67" s="447"/>
      <c r="S67" s="447"/>
      <c r="T67" s="447"/>
      <c r="U67" s="447"/>
      <c r="V67" s="447"/>
      <c r="W67" s="447"/>
      <c r="X67" s="447"/>
      <c r="Y67" s="447"/>
      <c r="Z67" s="447"/>
      <c r="AA67" s="447"/>
    </row>
    <row r="68" spans="1:27">
      <c r="A68" s="450" t="s">
        <v>3568</v>
      </c>
      <c r="B68" s="449" t="s">
        <v>4628</v>
      </c>
      <c r="C68" s="450" t="s">
        <v>4563</v>
      </c>
      <c r="D68" s="456"/>
      <c r="E68" s="447"/>
      <c r="F68" s="447"/>
      <c r="G68" s="447"/>
      <c r="H68" s="447"/>
      <c r="I68" s="447"/>
      <c r="J68" s="447"/>
      <c r="K68" s="447"/>
      <c r="L68" s="447"/>
      <c r="M68" s="447"/>
      <c r="N68" s="447"/>
      <c r="O68" s="447"/>
      <c r="P68" s="447"/>
      <c r="Q68" s="447"/>
      <c r="R68" s="447"/>
      <c r="S68" s="447"/>
      <c r="T68" s="447"/>
      <c r="U68" s="447"/>
      <c r="V68" s="447"/>
      <c r="W68" s="447"/>
      <c r="X68" s="447"/>
      <c r="Y68" s="447"/>
      <c r="Z68" s="447"/>
      <c r="AA68" s="447"/>
    </row>
    <row r="69" spans="1:27">
      <c r="A69" s="450" t="s">
        <v>3642</v>
      </c>
      <c r="B69" s="449" t="s">
        <v>4603</v>
      </c>
      <c r="C69" s="450" t="s">
        <v>4563</v>
      </c>
      <c r="D69" s="456"/>
      <c r="E69" s="447"/>
      <c r="F69" s="447"/>
      <c r="G69" s="447"/>
      <c r="H69" s="447"/>
      <c r="I69" s="447"/>
      <c r="J69" s="447"/>
      <c r="K69" s="447"/>
      <c r="L69" s="447"/>
      <c r="M69" s="447"/>
      <c r="N69" s="447"/>
      <c r="O69" s="447"/>
      <c r="P69" s="447"/>
      <c r="Q69" s="447"/>
      <c r="R69" s="447"/>
      <c r="S69" s="447"/>
      <c r="T69" s="447"/>
      <c r="U69" s="447"/>
      <c r="V69" s="447"/>
      <c r="W69" s="447"/>
      <c r="X69" s="447"/>
      <c r="Y69" s="447"/>
      <c r="Z69" s="447"/>
      <c r="AA69" s="447"/>
    </row>
    <row r="70" spans="1:27">
      <c r="A70" s="450" t="s">
        <v>4001</v>
      </c>
      <c r="B70" s="449" t="s">
        <v>4768</v>
      </c>
      <c r="C70" s="450" t="s">
        <v>4563</v>
      </c>
      <c r="D70" s="456"/>
      <c r="E70" s="447"/>
      <c r="F70" s="447"/>
      <c r="G70" s="447"/>
      <c r="H70" s="447"/>
      <c r="I70" s="447"/>
      <c r="J70" s="447"/>
      <c r="K70" s="447"/>
      <c r="L70" s="447"/>
      <c r="M70" s="447"/>
      <c r="N70" s="447"/>
      <c r="O70" s="447"/>
      <c r="P70" s="447"/>
      <c r="Q70" s="447"/>
      <c r="R70" s="447"/>
      <c r="S70" s="447"/>
      <c r="T70" s="447"/>
      <c r="U70" s="447"/>
      <c r="V70" s="447"/>
      <c r="W70" s="447"/>
      <c r="X70" s="447"/>
      <c r="Y70" s="447"/>
      <c r="Z70" s="447"/>
      <c r="AA70" s="447"/>
    </row>
    <row r="71" spans="1:27">
      <c r="A71" s="450" t="s">
        <v>4769</v>
      </c>
      <c r="B71" s="449" t="s">
        <v>4770</v>
      </c>
      <c r="C71" s="450" t="s">
        <v>4559</v>
      </c>
      <c r="D71" s="456"/>
      <c r="E71" s="447"/>
      <c r="F71" s="447"/>
      <c r="G71" s="447"/>
      <c r="H71" s="447"/>
      <c r="I71" s="447"/>
      <c r="J71" s="447"/>
      <c r="K71" s="447"/>
      <c r="L71" s="447"/>
      <c r="M71" s="447"/>
      <c r="N71" s="447"/>
      <c r="O71" s="447"/>
      <c r="P71" s="447"/>
      <c r="Q71" s="447"/>
      <c r="R71" s="447"/>
      <c r="S71" s="447"/>
      <c r="T71" s="447"/>
      <c r="U71" s="447"/>
      <c r="V71" s="447"/>
      <c r="W71" s="447"/>
      <c r="X71" s="447"/>
      <c r="Y71" s="447"/>
      <c r="Z71" s="447"/>
      <c r="AA71" s="447"/>
    </row>
    <row r="72" spans="1:27">
      <c r="A72" s="450" t="s">
        <v>3591</v>
      </c>
      <c r="B72" s="449" t="s">
        <v>4610</v>
      </c>
      <c r="C72" s="452" t="s">
        <v>4729</v>
      </c>
      <c r="D72" s="456"/>
      <c r="E72" s="447"/>
      <c r="F72" s="447"/>
      <c r="G72" s="447"/>
      <c r="H72" s="447"/>
      <c r="I72" s="447"/>
      <c r="J72" s="447"/>
      <c r="K72" s="447"/>
      <c r="L72" s="447"/>
      <c r="M72" s="447"/>
      <c r="N72" s="447"/>
      <c r="O72" s="447"/>
      <c r="P72" s="447"/>
      <c r="Q72" s="447"/>
      <c r="R72" s="447"/>
      <c r="S72" s="447"/>
      <c r="T72" s="447"/>
      <c r="U72" s="447"/>
      <c r="V72" s="447"/>
      <c r="W72" s="447"/>
      <c r="X72" s="447"/>
      <c r="Y72" s="447"/>
      <c r="Z72" s="447"/>
      <c r="AA72" s="447"/>
    </row>
    <row r="73" spans="1:27">
      <c r="A73" s="450" t="s">
        <v>4771</v>
      </c>
      <c r="B73" s="449" t="s">
        <v>4772</v>
      </c>
      <c r="C73" s="450" t="s">
        <v>4563</v>
      </c>
      <c r="D73" s="456"/>
      <c r="E73" s="447"/>
      <c r="F73" s="447"/>
      <c r="G73" s="447"/>
      <c r="H73" s="447"/>
      <c r="I73" s="447"/>
      <c r="J73" s="447"/>
      <c r="K73" s="447"/>
      <c r="L73" s="447"/>
      <c r="M73" s="447"/>
      <c r="N73" s="447"/>
      <c r="O73" s="447"/>
      <c r="P73" s="447"/>
      <c r="Q73" s="447"/>
      <c r="R73" s="447"/>
      <c r="S73" s="447"/>
      <c r="T73" s="447"/>
      <c r="U73" s="447"/>
      <c r="V73" s="447"/>
      <c r="W73" s="447"/>
      <c r="X73" s="447"/>
      <c r="Y73" s="447"/>
      <c r="Z73" s="447"/>
      <c r="AA73" s="447"/>
    </row>
    <row r="74" spans="1:27">
      <c r="A74" s="450" t="s">
        <v>3457</v>
      </c>
      <c r="B74" s="449" t="s">
        <v>4583</v>
      </c>
      <c r="C74" s="450" t="s">
        <v>4563</v>
      </c>
      <c r="D74" s="456"/>
      <c r="E74" s="447"/>
      <c r="F74" s="447"/>
      <c r="G74" s="447"/>
      <c r="H74" s="447"/>
      <c r="I74" s="447"/>
      <c r="J74" s="447"/>
      <c r="K74" s="447"/>
      <c r="L74" s="447"/>
      <c r="M74" s="447"/>
      <c r="N74" s="447"/>
      <c r="O74" s="447"/>
      <c r="P74" s="447"/>
      <c r="Q74" s="447"/>
      <c r="R74" s="447"/>
      <c r="S74" s="447"/>
      <c r="T74" s="447"/>
      <c r="U74" s="447"/>
      <c r="V74" s="447"/>
      <c r="W74" s="447"/>
      <c r="X74" s="447"/>
      <c r="Y74" s="447"/>
      <c r="Z74" s="447"/>
      <c r="AA74" s="447"/>
    </row>
    <row r="75" spans="1:27">
      <c r="A75" s="450" t="s">
        <v>4646</v>
      </c>
      <c r="B75" s="449" t="s">
        <v>4647</v>
      </c>
      <c r="C75" s="450" t="s">
        <v>4559</v>
      </c>
      <c r="D75" s="456"/>
      <c r="E75" s="447"/>
      <c r="F75" s="447"/>
      <c r="G75" s="447"/>
      <c r="H75" s="447"/>
      <c r="I75" s="447"/>
      <c r="J75" s="447"/>
      <c r="K75" s="447"/>
      <c r="L75" s="447"/>
      <c r="M75" s="447"/>
      <c r="N75" s="447"/>
      <c r="O75" s="447"/>
      <c r="P75" s="447"/>
      <c r="Q75" s="447"/>
      <c r="R75" s="447"/>
      <c r="S75" s="447"/>
      <c r="T75" s="447"/>
      <c r="U75" s="447"/>
      <c r="V75" s="447"/>
      <c r="W75" s="447"/>
      <c r="X75" s="447"/>
      <c r="Y75" s="447"/>
      <c r="Z75" s="447"/>
      <c r="AA75" s="447"/>
    </row>
    <row r="76" spans="1:27">
      <c r="A76" s="450" t="s">
        <v>3598</v>
      </c>
      <c r="B76" s="449" t="s">
        <v>4577</v>
      </c>
      <c r="C76" s="450" t="s">
        <v>4567</v>
      </c>
      <c r="D76" s="456"/>
      <c r="E76" s="447"/>
      <c r="F76" s="447"/>
      <c r="G76" s="447"/>
      <c r="H76" s="447"/>
      <c r="I76" s="447"/>
      <c r="J76" s="447"/>
      <c r="K76" s="447"/>
      <c r="L76" s="447"/>
      <c r="M76" s="447"/>
      <c r="N76" s="447"/>
      <c r="O76" s="447"/>
      <c r="P76" s="447"/>
      <c r="Q76" s="447"/>
      <c r="R76" s="447"/>
      <c r="S76" s="447"/>
      <c r="T76" s="447"/>
      <c r="U76" s="447"/>
      <c r="V76" s="447"/>
      <c r="W76" s="447"/>
      <c r="X76" s="447"/>
      <c r="Y76" s="447"/>
      <c r="Z76" s="447"/>
      <c r="AA76" s="447"/>
    </row>
    <row r="77" spans="1:27">
      <c r="A77" s="450" t="s">
        <v>3518</v>
      </c>
      <c r="B77" s="449" t="s">
        <v>4602</v>
      </c>
      <c r="C77" s="450" t="s">
        <v>4559</v>
      </c>
      <c r="D77" s="456"/>
      <c r="E77" s="447"/>
      <c r="F77" s="447"/>
      <c r="G77" s="447"/>
      <c r="H77" s="447"/>
      <c r="I77" s="447"/>
      <c r="J77" s="447"/>
      <c r="K77" s="447"/>
      <c r="L77" s="447"/>
      <c r="M77" s="447"/>
      <c r="N77" s="447"/>
      <c r="O77" s="447"/>
      <c r="P77" s="447"/>
      <c r="Q77" s="447"/>
      <c r="R77" s="447"/>
      <c r="S77" s="447"/>
      <c r="T77" s="447"/>
      <c r="U77" s="447"/>
      <c r="V77" s="447"/>
      <c r="W77" s="447"/>
      <c r="X77" s="447"/>
      <c r="Y77" s="447"/>
      <c r="Z77" s="447"/>
      <c r="AA77" s="447"/>
    </row>
    <row r="78" spans="1:27">
      <c r="A78" s="450" t="s">
        <v>4028</v>
      </c>
      <c r="B78" s="449" t="s">
        <v>4622</v>
      </c>
      <c r="C78" s="450" t="s">
        <v>4563</v>
      </c>
      <c r="D78" s="456"/>
      <c r="E78" s="447"/>
      <c r="F78" s="447"/>
      <c r="G78" s="447"/>
      <c r="H78" s="447"/>
      <c r="I78" s="447"/>
      <c r="J78" s="447"/>
      <c r="K78" s="447"/>
      <c r="L78" s="447"/>
      <c r="M78" s="447"/>
      <c r="N78" s="447"/>
      <c r="O78" s="447"/>
      <c r="P78" s="447"/>
      <c r="Q78" s="447"/>
      <c r="R78" s="447"/>
      <c r="S78" s="447"/>
      <c r="T78" s="447"/>
      <c r="U78" s="447"/>
      <c r="V78" s="447"/>
      <c r="W78" s="447"/>
      <c r="X78" s="447"/>
      <c r="Y78" s="447"/>
      <c r="Z78" s="447"/>
      <c r="AA78" s="447"/>
    </row>
    <row r="79" spans="1:27">
      <c r="A79" s="450" t="s">
        <v>4592</v>
      </c>
      <c r="B79" s="449" t="s">
        <v>4593</v>
      </c>
      <c r="C79" s="450" t="s">
        <v>4567</v>
      </c>
      <c r="D79" s="456"/>
      <c r="E79" s="447"/>
      <c r="F79" s="447"/>
      <c r="G79" s="447"/>
      <c r="H79" s="447"/>
      <c r="I79" s="447"/>
      <c r="J79" s="447"/>
      <c r="K79" s="447"/>
      <c r="L79" s="447"/>
      <c r="M79" s="447"/>
      <c r="N79" s="447"/>
      <c r="O79" s="447"/>
      <c r="P79" s="447"/>
      <c r="Q79" s="447"/>
      <c r="R79" s="447"/>
      <c r="S79" s="447"/>
      <c r="T79" s="447"/>
      <c r="U79" s="447"/>
      <c r="V79" s="447"/>
      <c r="W79" s="447"/>
      <c r="X79" s="447"/>
      <c r="Y79" s="447"/>
      <c r="Z79" s="447"/>
      <c r="AA79" s="447"/>
    </row>
    <row r="80" spans="1:27">
      <c r="A80" s="450" t="s">
        <v>4590</v>
      </c>
      <c r="B80" s="449" t="s">
        <v>4591</v>
      </c>
      <c r="C80" s="450" t="s">
        <v>4567</v>
      </c>
      <c r="D80" s="456"/>
      <c r="E80" s="447"/>
      <c r="F80" s="447"/>
      <c r="G80" s="447"/>
      <c r="H80" s="447"/>
      <c r="I80" s="447"/>
      <c r="J80" s="447"/>
      <c r="K80" s="447"/>
      <c r="L80" s="447"/>
      <c r="M80" s="447"/>
      <c r="N80" s="447"/>
      <c r="O80" s="447"/>
      <c r="P80" s="447"/>
      <c r="Q80" s="447"/>
      <c r="R80" s="447"/>
      <c r="S80" s="447"/>
      <c r="T80" s="447"/>
      <c r="U80" s="447"/>
      <c r="V80" s="447"/>
      <c r="W80" s="447"/>
      <c r="X80" s="447"/>
      <c r="Y80" s="447"/>
      <c r="Z80" s="447"/>
      <c r="AA80" s="447"/>
    </row>
    <row r="81" spans="1:27">
      <c r="A81" s="450" t="s">
        <v>4619</v>
      </c>
      <c r="B81" s="449" t="s">
        <v>4620</v>
      </c>
      <c r="C81" s="450" t="s">
        <v>4563</v>
      </c>
      <c r="D81" s="456"/>
      <c r="E81" s="447"/>
      <c r="F81" s="447"/>
      <c r="G81" s="447"/>
      <c r="H81" s="447"/>
      <c r="I81" s="447"/>
      <c r="J81" s="447"/>
      <c r="K81" s="447"/>
      <c r="L81" s="447"/>
      <c r="M81" s="447"/>
      <c r="N81" s="447"/>
      <c r="O81" s="447"/>
      <c r="P81" s="447"/>
      <c r="Q81" s="447"/>
      <c r="R81" s="447"/>
      <c r="S81" s="447"/>
      <c r="T81" s="447"/>
      <c r="U81" s="447"/>
      <c r="V81" s="447"/>
      <c r="W81" s="447"/>
      <c r="X81" s="447"/>
      <c r="Y81" s="447"/>
      <c r="Z81" s="447"/>
      <c r="AA81" s="447"/>
    </row>
    <row r="82" spans="1:27">
      <c r="A82" s="450" t="s">
        <v>4030</v>
      </c>
      <c r="B82" s="449" t="s">
        <v>4656</v>
      </c>
      <c r="C82" s="450" t="s">
        <v>4563</v>
      </c>
      <c r="D82" s="456"/>
      <c r="E82" s="447"/>
      <c r="F82" s="447"/>
      <c r="G82" s="447"/>
      <c r="H82" s="447"/>
      <c r="I82" s="447"/>
      <c r="J82" s="447"/>
      <c r="K82" s="447"/>
      <c r="L82" s="447"/>
      <c r="M82" s="447"/>
      <c r="N82" s="447"/>
      <c r="O82" s="447"/>
      <c r="P82" s="447"/>
      <c r="Q82" s="447"/>
      <c r="R82" s="447"/>
      <c r="S82" s="447"/>
      <c r="T82" s="447"/>
      <c r="U82" s="447"/>
      <c r="V82" s="447"/>
      <c r="W82" s="447"/>
      <c r="X82" s="447"/>
      <c r="Y82" s="447"/>
      <c r="Z82" s="447"/>
      <c r="AA82" s="447"/>
    </row>
    <row r="83" spans="1:27">
      <c r="A83" s="450" t="s">
        <v>4555</v>
      </c>
      <c r="B83" s="449" t="s">
        <v>4556</v>
      </c>
      <c r="C83" s="452" t="s">
        <v>4729</v>
      </c>
      <c r="D83" s="456"/>
      <c r="E83" s="447"/>
      <c r="F83" s="447"/>
      <c r="G83" s="447"/>
      <c r="H83" s="447"/>
      <c r="I83" s="447"/>
      <c r="J83" s="447"/>
      <c r="K83" s="447"/>
      <c r="L83" s="447"/>
      <c r="M83" s="447"/>
      <c r="N83" s="447"/>
      <c r="O83" s="447"/>
      <c r="P83" s="447"/>
      <c r="Q83" s="447"/>
      <c r="R83" s="447"/>
      <c r="S83" s="447"/>
      <c r="T83" s="447"/>
      <c r="U83" s="447"/>
      <c r="V83" s="447"/>
      <c r="W83" s="447"/>
      <c r="X83" s="447"/>
      <c r="Y83" s="447"/>
      <c r="Z83" s="447"/>
      <c r="AA83" s="447"/>
    </row>
    <row r="84" spans="1:27">
      <c r="A84" s="450" t="s">
        <v>4639</v>
      </c>
      <c r="B84" s="449" t="s">
        <v>4640</v>
      </c>
      <c r="C84" s="450" t="s">
        <v>4563</v>
      </c>
      <c r="D84" s="456"/>
      <c r="E84" s="447"/>
      <c r="F84" s="447"/>
      <c r="G84" s="447"/>
      <c r="H84" s="447"/>
      <c r="I84" s="447"/>
      <c r="J84" s="447"/>
      <c r="K84" s="447"/>
      <c r="L84" s="447"/>
      <c r="M84" s="447"/>
      <c r="N84" s="447"/>
      <c r="O84" s="447"/>
      <c r="P84" s="447"/>
      <c r="Q84" s="447"/>
      <c r="R84" s="447"/>
      <c r="S84" s="447"/>
      <c r="T84" s="447"/>
      <c r="U84" s="447"/>
      <c r="V84" s="447"/>
      <c r="W84" s="447"/>
      <c r="X84" s="447"/>
      <c r="Y84" s="447"/>
      <c r="Z84" s="447"/>
      <c r="AA84" s="447"/>
    </row>
    <row r="85" spans="1:27">
      <c r="A85" s="450" t="s">
        <v>4664</v>
      </c>
      <c r="B85" s="449" t="s">
        <v>4773</v>
      </c>
      <c r="C85" s="450" t="s">
        <v>4567</v>
      </c>
      <c r="D85" s="456"/>
      <c r="E85" s="447"/>
      <c r="F85" s="447"/>
      <c r="G85" s="447"/>
      <c r="H85" s="447"/>
      <c r="I85" s="447"/>
      <c r="J85" s="447"/>
      <c r="K85" s="447"/>
      <c r="L85" s="447"/>
      <c r="M85" s="447"/>
      <c r="N85" s="447"/>
      <c r="O85" s="447"/>
      <c r="P85" s="447"/>
      <c r="Q85" s="447"/>
      <c r="R85" s="447"/>
      <c r="S85" s="447"/>
      <c r="T85" s="447"/>
      <c r="U85" s="447"/>
      <c r="V85" s="447"/>
      <c r="W85" s="447"/>
      <c r="X85" s="447"/>
      <c r="Y85" s="447"/>
      <c r="Z85" s="447"/>
      <c r="AA85" s="447"/>
    </row>
    <row r="86" spans="1:27">
      <c r="A86" s="450" t="s">
        <v>3531</v>
      </c>
      <c r="B86" s="449" t="s">
        <v>4598</v>
      </c>
      <c r="C86" s="450" t="s">
        <v>4567</v>
      </c>
      <c r="D86" s="456"/>
      <c r="E86" s="447"/>
      <c r="F86" s="447"/>
      <c r="G86" s="447"/>
      <c r="H86" s="447"/>
      <c r="I86" s="447"/>
      <c r="J86" s="447"/>
      <c r="K86" s="447"/>
      <c r="L86" s="447"/>
      <c r="M86" s="447"/>
      <c r="N86" s="447"/>
      <c r="O86" s="447"/>
      <c r="P86" s="447"/>
      <c r="Q86" s="447"/>
      <c r="R86" s="447"/>
      <c r="S86" s="447"/>
      <c r="T86" s="447"/>
      <c r="U86" s="447"/>
      <c r="V86" s="447"/>
      <c r="W86" s="447"/>
      <c r="X86" s="447"/>
      <c r="Y86" s="447"/>
      <c r="Z86" s="447"/>
      <c r="AA86" s="447"/>
    </row>
    <row r="87" spans="1:27">
      <c r="A87" s="458" t="s">
        <v>3705</v>
      </c>
      <c r="B87" s="459" t="s">
        <v>4634</v>
      </c>
      <c r="C87" s="452" t="s">
        <v>4729</v>
      </c>
      <c r="D87" s="456"/>
      <c r="E87" s="447"/>
      <c r="F87" s="447"/>
      <c r="G87" s="447"/>
      <c r="H87" s="447"/>
      <c r="I87" s="447"/>
      <c r="J87" s="447"/>
      <c r="K87" s="447"/>
      <c r="L87" s="447"/>
      <c r="M87" s="447"/>
      <c r="N87" s="447"/>
      <c r="O87" s="447"/>
      <c r="P87" s="447"/>
      <c r="Q87" s="447"/>
      <c r="R87" s="447"/>
      <c r="S87" s="447"/>
      <c r="T87" s="447"/>
      <c r="U87" s="447"/>
      <c r="V87" s="447"/>
      <c r="W87" s="447"/>
      <c r="X87" s="447"/>
      <c r="Y87" s="447"/>
      <c r="Z87" s="447"/>
      <c r="AA87" s="447"/>
    </row>
    <row r="88" spans="1:27">
      <c r="A88" s="452" t="s">
        <v>4774</v>
      </c>
      <c r="B88" s="460" t="s">
        <v>4775</v>
      </c>
      <c r="C88" s="450" t="s">
        <v>4563</v>
      </c>
      <c r="D88" s="456"/>
      <c r="E88" s="447"/>
      <c r="F88" s="447"/>
      <c r="G88" s="447"/>
      <c r="H88" s="447"/>
      <c r="I88" s="447"/>
      <c r="J88" s="447"/>
      <c r="K88" s="447"/>
      <c r="L88" s="447"/>
      <c r="M88" s="447"/>
      <c r="N88" s="447"/>
      <c r="O88" s="447"/>
      <c r="P88" s="447"/>
      <c r="Q88" s="447"/>
      <c r="R88" s="447"/>
      <c r="S88" s="447"/>
      <c r="T88" s="447"/>
      <c r="U88" s="447"/>
      <c r="V88" s="447"/>
      <c r="W88" s="447"/>
      <c r="X88" s="447"/>
      <c r="Y88" s="447"/>
      <c r="Z88" s="447"/>
      <c r="AA88" s="447"/>
    </row>
    <row r="89" spans="1:27">
      <c r="A89" s="450" t="s">
        <v>4606</v>
      </c>
      <c r="B89" s="449" t="s">
        <v>4607</v>
      </c>
      <c r="C89" s="452" t="s">
        <v>4729</v>
      </c>
      <c r="D89" s="456"/>
      <c r="E89" s="447"/>
      <c r="F89" s="447"/>
      <c r="G89" s="447"/>
      <c r="H89" s="447"/>
      <c r="I89" s="447"/>
      <c r="J89" s="447"/>
      <c r="K89" s="447"/>
      <c r="L89" s="447"/>
      <c r="M89" s="447"/>
      <c r="N89" s="447"/>
      <c r="O89" s="447"/>
      <c r="P89" s="447"/>
      <c r="Q89" s="447"/>
      <c r="R89" s="447"/>
      <c r="S89" s="447"/>
      <c r="T89" s="447"/>
      <c r="U89" s="447"/>
      <c r="V89" s="447"/>
      <c r="W89" s="447"/>
      <c r="X89" s="447"/>
      <c r="Y89" s="447"/>
      <c r="Z89" s="447"/>
      <c r="AA89" s="447"/>
    </row>
    <row r="90" spans="1:27">
      <c r="A90" s="450" t="s">
        <v>3728</v>
      </c>
      <c r="B90" s="449" t="s">
        <v>4596</v>
      </c>
      <c r="C90" s="452" t="s">
        <v>4729</v>
      </c>
      <c r="D90" s="456"/>
      <c r="E90" s="447"/>
      <c r="F90" s="447"/>
      <c r="G90" s="447"/>
      <c r="H90" s="447"/>
      <c r="I90" s="447"/>
      <c r="J90" s="447"/>
      <c r="K90" s="447"/>
      <c r="L90" s="447"/>
      <c r="M90" s="447"/>
      <c r="N90" s="447"/>
      <c r="O90" s="447"/>
      <c r="P90" s="447"/>
      <c r="Q90" s="447"/>
      <c r="R90" s="447"/>
      <c r="S90" s="447"/>
      <c r="T90" s="447"/>
      <c r="U90" s="447"/>
      <c r="V90" s="447"/>
      <c r="W90" s="447"/>
      <c r="X90" s="447"/>
      <c r="Y90" s="447"/>
      <c r="Z90" s="447"/>
      <c r="AA90" s="447"/>
    </row>
    <row r="91" spans="1:27">
      <c r="A91" s="450" t="s">
        <v>3663</v>
      </c>
      <c r="B91" s="449" t="s">
        <v>4623</v>
      </c>
      <c r="C91" s="450" t="s">
        <v>4563</v>
      </c>
      <c r="D91" s="456"/>
      <c r="E91" s="447"/>
      <c r="F91" s="447"/>
      <c r="G91" s="447"/>
      <c r="H91" s="447"/>
      <c r="I91" s="447"/>
      <c r="J91" s="447"/>
      <c r="K91" s="447"/>
      <c r="L91" s="447"/>
      <c r="M91" s="447"/>
      <c r="N91" s="447"/>
      <c r="O91" s="447"/>
      <c r="P91" s="447"/>
      <c r="Q91" s="447"/>
      <c r="R91" s="447"/>
      <c r="S91" s="447"/>
      <c r="T91" s="447"/>
      <c r="U91" s="447"/>
      <c r="V91" s="447"/>
      <c r="W91" s="447"/>
      <c r="X91" s="447"/>
      <c r="Y91" s="447"/>
      <c r="Z91" s="447"/>
      <c r="AA91" s="447"/>
    </row>
    <row r="92" spans="1:27">
      <c r="A92" s="450" t="s">
        <v>4653</v>
      </c>
      <c r="B92" s="449" t="s">
        <v>4654</v>
      </c>
      <c r="C92" s="450" t="s">
        <v>4559</v>
      </c>
      <c r="D92" s="456"/>
      <c r="E92" s="447"/>
      <c r="F92" s="447"/>
      <c r="G92" s="447"/>
      <c r="H92" s="447"/>
      <c r="I92" s="447"/>
      <c r="J92" s="447"/>
      <c r="K92" s="447"/>
      <c r="L92" s="447"/>
      <c r="M92" s="447"/>
      <c r="N92" s="447"/>
      <c r="O92" s="447"/>
      <c r="P92" s="447"/>
      <c r="Q92" s="447"/>
      <c r="R92" s="447"/>
      <c r="S92" s="447"/>
      <c r="T92" s="447"/>
      <c r="U92" s="447"/>
      <c r="V92" s="447"/>
      <c r="W92" s="447"/>
      <c r="X92" s="447"/>
      <c r="Y92" s="447"/>
      <c r="Z92" s="447"/>
      <c r="AA92" s="447"/>
    </row>
    <row r="93" spans="1:27">
      <c r="A93" s="450" t="s">
        <v>4574</v>
      </c>
      <c r="B93" s="449" t="s">
        <v>4575</v>
      </c>
      <c r="C93" s="452" t="s">
        <v>4729</v>
      </c>
      <c r="D93" s="456"/>
      <c r="E93" s="447"/>
      <c r="F93" s="447"/>
      <c r="G93" s="447"/>
      <c r="H93" s="447"/>
      <c r="I93" s="447"/>
      <c r="J93" s="447"/>
      <c r="K93" s="447"/>
      <c r="L93" s="447"/>
      <c r="M93" s="447"/>
      <c r="N93" s="447"/>
      <c r="O93" s="447"/>
      <c r="P93" s="447"/>
      <c r="Q93" s="447"/>
      <c r="R93" s="447"/>
      <c r="S93" s="447"/>
      <c r="T93" s="447"/>
      <c r="U93" s="447"/>
      <c r="V93" s="447"/>
      <c r="W93" s="447"/>
      <c r="X93" s="447"/>
      <c r="Y93" s="447"/>
      <c r="Z93" s="447"/>
      <c r="AA93" s="447"/>
    </row>
    <row r="94" spans="1:27">
      <c r="A94" s="450" t="s">
        <v>4644</v>
      </c>
      <c r="B94" s="449" t="s">
        <v>4645</v>
      </c>
      <c r="C94" s="452" t="s">
        <v>4729</v>
      </c>
      <c r="D94" s="456"/>
      <c r="E94" s="447"/>
      <c r="F94" s="447"/>
      <c r="G94" s="447"/>
      <c r="H94" s="447"/>
      <c r="I94" s="447"/>
      <c r="J94" s="447"/>
      <c r="K94" s="447"/>
      <c r="L94" s="447"/>
      <c r="M94" s="447"/>
      <c r="N94" s="447"/>
      <c r="O94" s="447"/>
      <c r="P94" s="447"/>
      <c r="Q94" s="447"/>
      <c r="R94" s="447"/>
      <c r="S94" s="447"/>
      <c r="T94" s="447"/>
      <c r="U94" s="447"/>
      <c r="V94" s="447"/>
      <c r="W94" s="447"/>
      <c r="X94" s="447"/>
      <c r="Y94" s="447"/>
      <c r="Z94" s="447"/>
      <c r="AA94" s="447"/>
    </row>
    <row r="95" spans="1:27">
      <c r="A95" s="450" t="s">
        <v>4599</v>
      </c>
      <c r="B95" s="449" t="s">
        <v>4600</v>
      </c>
      <c r="C95" s="450" t="s">
        <v>4567</v>
      </c>
      <c r="D95" s="456"/>
      <c r="E95" s="447"/>
      <c r="F95" s="447"/>
      <c r="G95" s="447"/>
      <c r="H95" s="447"/>
      <c r="I95" s="447"/>
      <c r="J95" s="447"/>
      <c r="K95" s="447"/>
      <c r="L95" s="447"/>
      <c r="M95" s="447"/>
      <c r="N95" s="447"/>
      <c r="O95" s="447"/>
      <c r="P95" s="447"/>
      <c r="Q95" s="447"/>
      <c r="R95" s="447"/>
      <c r="S95" s="447"/>
      <c r="T95" s="447"/>
      <c r="U95" s="447"/>
      <c r="V95" s="447"/>
      <c r="W95" s="447"/>
      <c r="X95" s="447"/>
      <c r="Y95" s="447"/>
      <c r="Z95" s="447"/>
      <c r="AA95" s="447"/>
    </row>
    <row r="96" spans="1:27">
      <c r="A96" s="450" t="s">
        <v>3718</v>
      </c>
      <c r="B96" s="449" t="s">
        <v>4582</v>
      </c>
      <c r="C96" s="450" t="s">
        <v>4563</v>
      </c>
      <c r="D96" s="456"/>
      <c r="E96" s="447"/>
      <c r="F96" s="447"/>
      <c r="G96" s="447"/>
      <c r="H96" s="447"/>
      <c r="I96" s="447"/>
      <c r="J96" s="447"/>
      <c r="K96" s="447"/>
      <c r="L96" s="447"/>
      <c r="M96" s="447"/>
      <c r="N96" s="447"/>
      <c r="O96" s="447"/>
      <c r="P96" s="447"/>
      <c r="Q96" s="447"/>
      <c r="R96" s="447"/>
      <c r="S96" s="447"/>
      <c r="T96" s="447"/>
      <c r="U96" s="447"/>
      <c r="V96" s="447"/>
      <c r="W96" s="447"/>
      <c r="X96" s="447"/>
      <c r="Y96" s="447"/>
      <c r="Z96" s="447"/>
      <c r="AA96" s="447"/>
    </row>
    <row r="97" spans="1:27">
      <c r="A97" s="450" t="s">
        <v>4776</v>
      </c>
      <c r="B97" s="449" t="s">
        <v>4777</v>
      </c>
      <c r="C97" s="450" t="s">
        <v>4563</v>
      </c>
      <c r="D97" s="456"/>
      <c r="E97" s="447"/>
      <c r="F97" s="447"/>
      <c r="G97" s="447"/>
      <c r="H97" s="447"/>
      <c r="I97" s="447"/>
      <c r="J97" s="447"/>
      <c r="K97" s="447"/>
      <c r="L97" s="447"/>
      <c r="M97" s="447"/>
      <c r="N97" s="447"/>
      <c r="O97" s="447"/>
      <c r="P97" s="447"/>
      <c r="Q97" s="447"/>
      <c r="R97" s="447"/>
      <c r="S97" s="447"/>
      <c r="T97" s="447"/>
      <c r="U97" s="447"/>
      <c r="V97" s="447"/>
      <c r="W97" s="447"/>
      <c r="X97" s="447"/>
      <c r="Y97" s="447"/>
      <c r="Z97" s="447"/>
      <c r="AA97" s="447"/>
    </row>
    <row r="98" spans="1:27">
      <c r="A98" s="450" t="s">
        <v>4069</v>
      </c>
      <c r="B98" s="449" t="s">
        <v>4655</v>
      </c>
      <c r="C98" s="450" t="s">
        <v>4563</v>
      </c>
      <c r="D98" s="456"/>
      <c r="E98" s="447"/>
      <c r="F98" s="447"/>
      <c r="G98" s="447"/>
      <c r="H98" s="447"/>
      <c r="I98" s="447"/>
      <c r="J98" s="447"/>
      <c r="K98" s="447"/>
      <c r="L98" s="447"/>
      <c r="M98" s="447"/>
      <c r="N98" s="447"/>
      <c r="O98" s="447"/>
      <c r="P98" s="447"/>
      <c r="Q98" s="447"/>
      <c r="R98" s="447"/>
      <c r="S98" s="447"/>
      <c r="T98" s="447"/>
      <c r="U98" s="447"/>
      <c r="V98" s="447"/>
      <c r="W98" s="447"/>
      <c r="X98" s="447"/>
      <c r="Y98" s="447"/>
      <c r="Z98" s="447"/>
      <c r="AA98" s="447"/>
    </row>
    <row r="99" spans="1:27">
      <c r="A99" s="450" t="s">
        <v>4594</v>
      </c>
      <c r="B99" s="449" t="s">
        <v>4595</v>
      </c>
      <c r="C99" s="450" t="s">
        <v>4567</v>
      </c>
      <c r="D99" s="456"/>
      <c r="E99" s="447"/>
      <c r="F99" s="447"/>
      <c r="G99" s="447"/>
      <c r="H99" s="447"/>
      <c r="I99" s="447"/>
      <c r="J99" s="447"/>
      <c r="K99" s="447"/>
      <c r="L99" s="447"/>
      <c r="M99" s="447"/>
      <c r="N99" s="447"/>
      <c r="O99" s="447"/>
      <c r="P99" s="447"/>
      <c r="Q99" s="447"/>
      <c r="R99" s="447"/>
      <c r="S99" s="447"/>
      <c r="T99" s="447"/>
      <c r="U99" s="447"/>
      <c r="V99" s="447"/>
      <c r="W99" s="447"/>
      <c r="X99" s="447"/>
      <c r="Y99" s="447"/>
      <c r="Z99" s="447"/>
      <c r="AA99" s="447"/>
    </row>
    <row r="100" spans="1:27">
      <c r="A100" s="450" t="s">
        <v>4642</v>
      </c>
      <c r="B100" s="449" t="s">
        <v>4643</v>
      </c>
      <c r="C100" s="450" t="s">
        <v>4567</v>
      </c>
      <c r="D100" s="456"/>
      <c r="E100" s="447"/>
      <c r="F100" s="447"/>
      <c r="G100" s="447"/>
      <c r="H100" s="447"/>
      <c r="I100" s="447"/>
      <c r="J100" s="447"/>
      <c r="K100" s="447"/>
      <c r="L100" s="447"/>
      <c r="M100" s="447"/>
      <c r="N100" s="447"/>
      <c r="O100" s="447"/>
      <c r="P100" s="447"/>
      <c r="Q100" s="447"/>
      <c r="R100" s="447"/>
      <c r="S100" s="447"/>
      <c r="T100" s="447"/>
      <c r="U100" s="447"/>
      <c r="V100" s="447"/>
      <c r="W100" s="447"/>
      <c r="X100" s="447"/>
      <c r="Y100" s="447"/>
      <c r="Z100" s="447"/>
      <c r="AA100" s="447"/>
    </row>
    <row r="101" spans="1:27">
      <c r="A101" s="450" t="s">
        <v>3507</v>
      </c>
      <c r="B101" s="449" t="s">
        <v>4608</v>
      </c>
      <c r="C101" s="450" t="s">
        <v>4567</v>
      </c>
      <c r="D101" s="456"/>
      <c r="E101" s="447"/>
      <c r="F101" s="447"/>
      <c r="G101" s="447"/>
      <c r="H101" s="447"/>
      <c r="I101" s="447"/>
      <c r="J101" s="447"/>
      <c r="K101" s="447"/>
      <c r="L101" s="447"/>
      <c r="M101" s="447"/>
      <c r="N101" s="447"/>
      <c r="O101" s="447"/>
      <c r="P101" s="447"/>
      <c r="Q101" s="447"/>
      <c r="R101" s="447"/>
      <c r="S101" s="447"/>
      <c r="T101" s="447"/>
      <c r="U101" s="447"/>
      <c r="V101" s="447"/>
      <c r="W101" s="447"/>
      <c r="X101" s="447"/>
      <c r="Y101" s="447"/>
      <c r="Z101" s="447"/>
      <c r="AA101" s="447"/>
    </row>
    <row r="102" spans="1:27">
      <c r="A102" s="450" t="s">
        <v>3431</v>
      </c>
      <c r="B102" s="449" t="s">
        <v>4686</v>
      </c>
      <c r="C102" s="450" t="s">
        <v>4567</v>
      </c>
      <c r="D102" s="456"/>
      <c r="E102" s="447"/>
      <c r="F102" s="447"/>
      <c r="G102" s="447"/>
      <c r="H102" s="447"/>
      <c r="I102" s="447"/>
      <c r="J102" s="447"/>
      <c r="K102" s="447"/>
      <c r="L102" s="447"/>
      <c r="M102" s="447"/>
      <c r="N102" s="447"/>
      <c r="O102" s="447"/>
      <c r="P102" s="447"/>
      <c r="Q102" s="447"/>
      <c r="R102" s="447"/>
      <c r="S102" s="447"/>
      <c r="T102" s="447"/>
      <c r="U102" s="447"/>
      <c r="V102" s="447"/>
      <c r="W102" s="447"/>
      <c r="X102" s="447"/>
      <c r="Y102" s="447"/>
      <c r="Z102" s="447"/>
      <c r="AA102" s="447"/>
    </row>
    <row r="103" spans="1:27">
      <c r="A103" s="450" t="s">
        <v>3737</v>
      </c>
      <c r="B103" s="449" t="s">
        <v>4700</v>
      </c>
      <c r="C103" s="450" t="s">
        <v>4563</v>
      </c>
      <c r="D103" s="456"/>
      <c r="E103" s="447"/>
      <c r="F103" s="447"/>
      <c r="G103" s="447"/>
      <c r="H103" s="447"/>
      <c r="I103" s="447"/>
      <c r="J103" s="447"/>
      <c r="K103" s="447"/>
      <c r="L103" s="447"/>
      <c r="M103" s="447"/>
      <c r="N103" s="447"/>
      <c r="O103" s="447"/>
      <c r="P103" s="447"/>
      <c r="Q103" s="447"/>
      <c r="R103" s="447"/>
      <c r="S103" s="447"/>
      <c r="T103" s="447"/>
      <c r="U103" s="447"/>
      <c r="V103" s="447"/>
      <c r="W103" s="447"/>
      <c r="X103" s="447"/>
      <c r="Y103" s="447"/>
      <c r="Z103" s="447"/>
      <c r="AA103" s="447"/>
    </row>
    <row r="104" spans="1:27">
      <c r="A104" s="450" t="s">
        <v>3630</v>
      </c>
      <c r="B104" s="449" t="s">
        <v>4666</v>
      </c>
      <c r="C104" s="450" t="s">
        <v>4559</v>
      </c>
      <c r="D104" s="456"/>
      <c r="E104" s="447"/>
      <c r="F104" s="447"/>
      <c r="G104" s="447"/>
      <c r="H104" s="447"/>
      <c r="I104" s="447"/>
      <c r="J104" s="447"/>
      <c r="K104" s="447"/>
      <c r="L104" s="447"/>
      <c r="M104" s="447"/>
      <c r="N104" s="447"/>
      <c r="O104" s="447"/>
      <c r="P104" s="447"/>
      <c r="Q104" s="447"/>
      <c r="R104" s="447"/>
      <c r="S104" s="447"/>
      <c r="T104" s="447"/>
      <c r="U104" s="447"/>
      <c r="V104" s="447"/>
      <c r="W104" s="447"/>
      <c r="X104" s="447"/>
      <c r="Y104" s="447"/>
      <c r="Z104" s="447"/>
      <c r="AA104" s="447"/>
    </row>
    <row r="105" spans="1:27">
      <c r="A105" s="450" t="s">
        <v>4672</v>
      </c>
      <c r="B105" s="449" t="s">
        <v>4673</v>
      </c>
      <c r="C105" s="450" t="s">
        <v>4650</v>
      </c>
      <c r="D105" s="456"/>
      <c r="E105" s="447"/>
      <c r="F105" s="447"/>
      <c r="G105" s="447"/>
      <c r="H105" s="447"/>
      <c r="I105" s="447"/>
      <c r="J105" s="447"/>
      <c r="K105" s="447"/>
      <c r="L105" s="447"/>
      <c r="M105" s="447"/>
      <c r="N105" s="447"/>
      <c r="O105" s="447"/>
      <c r="P105" s="447"/>
      <c r="Q105" s="447"/>
      <c r="R105" s="447"/>
      <c r="S105" s="447"/>
      <c r="T105" s="447"/>
      <c r="U105" s="447"/>
      <c r="V105" s="447"/>
      <c r="W105" s="447"/>
      <c r="X105" s="447"/>
      <c r="Y105" s="447"/>
      <c r="Z105" s="447"/>
      <c r="AA105" s="447"/>
    </row>
    <row r="106" spans="1:27">
      <c r="A106" s="450" t="s">
        <v>3486</v>
      </c>
      <c r="B106" s="449" t="s">
        <v>4668</v>
      </c>
      <c r="C106" s="450" t="s">
        <v>4563</v>
      </c>
      <c r="D106" s="456"/>
      <c r="E106" s="447"/>
      <c r="F106" s="447"/>
      <c r="G106" s="447"/>
      <c r="H106" s="447"/>
      <c r="I106" s="447"/>
      <c r="J106" s="447"/>
      <c r="K106" s="447"/>
      <c r="L106" s="447"/>
      <c r="M106" s="447"/>
      <c r="N106" s="447"/>
      <c r="O106" s="447"/>
      <c r="P106" s="447"/>
      <c r="Q106" s="447"/>
      <c r="R106" s="447"/>
      <c r="S106" s="447"/>
      <c r="T106" s="447"/>
      <c r="U106" s="447"/>
      <c r="V106" s="447"/>
      <c r="W106" s="447"/>
      <c r="X106" s="447"/>
      <c r="Y106" s="447"/>
      <c r="Z106" s="447"/>
      <c r="AA106" s="447"/>
    </row>
    <row r="107" spans="1:27">
      <c r="A107" s="458" t="s">
        <v>3557</v>
      </c>
      <c r="B107" s="459" t="s">
        <v>4690</v>
      </c>
      <c r="C107" s="450" t="s">
        <v>4567</v>
      </c>
      <c r="D107" s="456"/>
      <c r="E107" s="447"/>
      <c r="F107" s="447"/>
      <c r="G107" s="447"/>
      <c r="H107" s="447"/>
      <c r="I107" s="447"/>
      <c r="J107" s="447"/>
      <c r="K107" s="447"/>
      <c r="L107" s="447"/>
      <c r="M107" s="447"/>
      <c r="N107" s="447"/>
      <c r="O107" s="447"/>
      <c r="P107" s="447"/>
      <c r="Q107" s="447"/>
      <c r="R107" s="447"/>
      <c r="S107" s="447"/>
      <c r="T107" s="447"/>
      <c r="U107" s="447"/>
      <c r="V107" s="447"/>
      <c r="W107" s="447"/>
      <c r="X107" s="447"/>
      <c r="Y107" s="447"/>
      <c r="Z107" s="447"/>
      <c r="AA107" s="447"/>
    </row>
    <row r="108" spans="1:27">
      <c r="A108" s="452" t="s">
        <v>3437</v>
      </c>
      <c r="B108" s="460" t="s">
        <v>4671</v>
      </c>
      <c r="C108" s="450" t="s">
        <v>4563</v>
      </c>
      <c r="D108" s="456"/>
      <c r="E108" s="447"/>
      <c r="F108" s="447"/>
      <c r="G108" s="447"/>
      <c r="H108" s="447"/>
      <c r="I108" s="447"/>
      <c r="J108" s="447"/>
      <c r="K108" s="447"/>
      <c r="L108" s="447"/>
      <c r="M108" s="447"/>
      <c r="N108" s="447"/>
      <c r="O108" s="447"/>
      <c r="P108" s="447"/>
      <c r="Q108" s="447"/>
      <c r="R108" s="447"/>
      <c r="S108" s="447"/>
      <c r="T108" s="447"/>
      <c r="U108" s="447"/>
      <c r="V108" s="447"/>
      <c r="W108" s="447"/>
      <c r="X108" s="447"/>
      <c r="Y108" s="447"/>
      <c r="Z108" s="447"/>
      <c r="AA108" s="447"/>
    </row>
    <row r="109" spans="1:27">
      <c r="A109" s="450" t="s">
        <v>3460</v>
      </c>
      <c r="B109" s="449" t="s">
        <v>4691</v>
      </c>
      <c r="C109" s="450" t="s">
        <v>4650</v>
      </c>
      <c r="D109" s="456"/>
      <c r="E109" s="447"/>
      <c r="F109" s="447"/>
      <c r="G109" s="447"/>
      <c r="H109" s="447"/>
      <c r="I109" s="447"/>
      <c r="J109" s="447"/>
      <c r="K109" s="447"/>
      <c r="L109" s="447"/>
      <c r="M109" s="447"/>
      <c r="N109" s="447"/>
      <c r="O109" s="447"/>
      <c r="P109" s="447"/>
      <c r="Q109" s="447"/>
      <c r="R109" s="447"/>
      <c r="S109" s="447"/>
      <c r="T109" s="447"/>
      <c r="U109" s="447"/>
      <c r="V109" s="447"/>
      <c r="W109" s="447"/>
      <c r="X109" s="447"/>
      <c r="Y109" s="447"/>
      <c r="Z109" s="447"/>
      <c r="AA109" s="447"/>
    </row>
    <row r="110" spans="1:27">
      <c r="A110" s="450" t="s">
        <v>4695</v>
      </c>
      <c r="B110" s="449" t="s">
        <v>4696</v>
      </c>
      <c r="C110" s="450" t="s">
        <v>4650</v>
      </c>
      <c r="D110" s="456"/>
      <c r="E110" s="447"/>
      <c r="F110" s="447"/>
      <c r="G110" s="447"/>
      <c r="H110" s="447"/>
      <c r="I110" s="447"/>
      <c r="J110" s="447"/>
      <c r="K110" s="447"/>
      <c r="L110" s="447"/>
      <c r="M110" s="447"/>
      <c r="N110" s="447"/>
      <c r="O110" s="447"/>
      <c r="P110" s="447"/>
      <c r="Q110" s="447"/>
      <c r="R110" s="447"/>
      <c r="S110" s="447"/>
      <c r="T110" s="447"/>
      <c r="U110" s="447"/>
      <c r="V110" s="447"/>
      <c r="W110" s="447"/>
      <c r="X110" s="447"/>
      <c r="Y110" s="447"/>
      <c r="Z110" s="447"/>
      <c r="AA110" s="447"/>
    </row>
    <row r="111" spans="1:27">
      <c r="A111" s="450" t="s">
        <v>3467</v>
      </c>
      <c r="B111" s="449" t="s">
        <v>4669</v>
      </c>
      <c r="C111" s="450" t="s">
        <v>4563</v>
      </c>
      <c r="D111" s="456"/>
      <c r="E111" s="447"/>
      <c r="F111" s="447"/>
      <c r="G111" s="447"/>
      <c r="H111" s="447"/>
      <c r="I111" s="447"/>
      <c r="J111" s="447"/>
      <c r="K111" s="447"/>
      <c r="L111" s="447"/>
      <c r="M111" s="447"/>
      <c r="N111" s="447"/>
      <c r="O111" s="447"/>
      <c r="P111" s="447"/>
      <c r="Q111" s="447"/>
      <c r="R111" s="447"/>
      <c r="S111" s="447"/>
      <c r="T111" s="447"/>
      <c r="U111" s="447"/>
      <c r="V111" s="447"/>
      <c r="W111" s="447"/>
      <c r="X111" s="447"/>
      <c r="Y111" s="447"/>
      <c r="Z111" s="447"/>
      <c r="AA111" s="447"/>
    </row>
    <row r="112" spans="1:27">
      <c r="A112" s="450" t="s">
        <v>3858</v>
      </c>
      <c r="B112" s="449" t="s">
        <v>4778</v>
      </c>
      <c r="C112" s="450" t="s">
        <v>4563</v>
      </c>
      <c r="D112" s="456"/>
      <c r="E112" s="447"/>
      <c r="F112" s="447"/>
      <c r="G112" s="447"/>
      <c r="H112" s="447"/>
      <c r="I112" s="447"/>
      <c r="J112" s="447"/>
      <c r="K112" s="447"/>
      <c r="L112" s="447"/>
      <c r="M112" s="447"/>
      <c r="N112" s="447"/>
      <c r="O112" s="447"/>
      <c r="P112" s="447"/>
      <c r="Q112" s="447"/>
      <c r="R112" s="447"/>
      <c r="S112" s="447"/>
      <c r="T112" s="447"/>
      <c r="U112" s="447"/>
      <c r="V112" s="447"/>
      <c r="W112" s="447"/>
      <c r="X112" s="447"/>
      <c r="Y112" s="447"/>
      <c r="Z112" s="447"/>
      <c r="AA112" s="447"/>
    </row>
    <row r="113" spans="1:27">
      <c r="A113" s="450" t="s">
        <v>3434</v>
      </c>
      <c r="B113" s="449" t="s">
        <v>4685</v>
      </c>
      <c r="C113" s="450" t="s">
        <v>4681</v>
      </c>
      <c r="D113" s="456"/>
      <c r="E113" s="455"/>
      <c r="F113" s="447"/>
      <c r="G113" s="447"/>
      <c r="H113" s="447"/>
      <c r="I113" s="447"/>
      <c r="J113" s="447"/>
      <c r="K113" s="447"/>
      <c r="L113" s="447"/>
      <c r="M113" s="447"/>
      <c r="N113" s="447"/>
      <c r="O113" s="447"/>
      <c r="P113" s="447"/>
      <c r="Q113" s="447"/>
      <c r="R113" s="447"/>
      <c r="S113" s="447"/>
      <c r="T113" s="447"/>
      <c r="U113" s="447"/>
      <c r="V113" s="447"/>
      <c r="W113" s="447"/>
      <c r="X113" s="447"/>
      <c r="Y113" s="447"/>
      <c r="Z113" s="447"/>
      <c r="AA113" s="447"/>
    </row>
    <row r="114" spans="1:27">
      <c r="A114" s="450" t="s">
        <v>3480</v>
      </c>
      <c r="B114" s="449" t="s">
        <v>4779</v>
      </c>
      <c r="C114" s="450" t="s">
        <v>4681</v>
      </c>
      <c r="D114" s="456"/>
      <c r="E114" s="447"/>
      <c r="F114" s="447"/>
      <c r="G114" s="447"/>
      <c r="H114" s="447"/>
      <c r="I114" s="447"/>
      <c r="J114" s="447"/>
      <c r="K114" s="447"/>
      <c r="L114" s="447"/>
      <c r="M114" s="447"/>
      <c r="N114" s="447"/>
      <c r="O114" s="447"/>
      <c r="P114" s="447"/>
      <c r="Q114" s="447"/>
      <c r="R114" s="447"/>
      <c r="S114" s="447"/>
      <c r="T114" s="447"/>
      <c r="U114" s="447"/>
      <c r="V114" s="447"/>
      <c r="W114" s="447"/>
      <c r="X114" s="447"/>
      <c r="Y114" s="447"/>
      <c r="Z114" s="447"/>
      <c r="AA114" s="447"/>
    </row>
    <row r="115" spans="1:27">
      <c r="A115" s="450" t="s">
        <v>4780</v>
      </c>
      <c r="B115" s="449" t="s">
        <v>4781</v>
      </c>
      <c r="C115" s="452" t="s">
        <v>4729</v>
      </c>
      <c r="D115" s="453" t="s">
        <v>4742</v>
      </c>
      <c r="E115" s="447"/>
      <c r="F115" s="447"/>
      <c r="G115" s="447"/>
      <c r="H115" s="447"/>
      <c r="I115" s="447"/>
      <c r="J115" s="447"/>
      <c r="K115" s="447"/>
      <c r="L115" s="447"/>
      <c r="M115" s="447"/>
      <c r="N115" s="447"/>
      <c r="O115" s="447"/>
      <c r="P115" s="447"/>
      <c r="Q115" s="447"/>
      <c r="R115" s="447"/>
      <c r="S115" s="447"/>
      <c r="T115" s="447"/>
      <c r="U115" s="447"/>
      <c r="V115" s="447"/>
      <c r="W115" s="447"/>
      <c r="X115" s="447"/>
      <c r="Y115" s="447"/>
      <c r="Z115" s="447"/>
      <c r="AA115" s="447"/>
    </row>
    <row r="116" spans="1:27">
      <c r="A116" s="450" t="s">
        <v>3496</v>
      </c>
      <c r="B116" s="449" t="s">
        <v>4601</v>
      </c>
      <c r="C116" s="450" t="s">
        <v>4567</v>
      </c>
      <c r="D116" s="453" t="s">
        <v>4742</v>
      </c>
      <c r="E116" s="447"/>
      <c r="F116" s="447"/>
      <c r="G116" s="447"/>
      <c r="H116" s="447"/>
      <c r="I116" s="447"/>
      <c r="J116" s="447"/>
      <c r="K116" s="447"/>
      <c r="L116" s="447"/>
      <c r="M116" s="447"/>
      <c r="N116" s="447"/>
      <c r="O116" s="447"/>
      <c r="P116" s="447"/>
      <c r="Q116" s="447"/>
      <c r="R116" s="447"/>
      <c r="S116" s="447"/>
      <c r="T116" s="447"/>
      <c r="U116" s="447"/>
      <c r="V116" s="447"/>
      <c r="W116" s="447"/>
      <c r="X116" s="447"/>
      <c r="Y116" s="447"/>
      <c r="Z116" s="447"/>
      <c r="AA116" s="447"/>
    </row>
    <row r="117" spans="1:27">
      <c r="A117" s="450" t="s">
        <v>4782</v>
      </c>
      <c r="B117" s="449" t="s">
        <v>4783</v>
      </c>
      <c r="C117" s="450" t="s">
        <v>4567</v>
      </c>
      <c r="D117" s="457" t="s">
        <v>4742</v>
      </c>
      <c r="E117" s="447"/>
      <c r="F117" s="447"/>
      <c r="G117" s="447"/>
      <c r="H117" s="447"/>
      <c r="I117" s="447"/>
      <c r="J117" s="447"/>
      <c r="K117" s="447"/>
      <c r="L117" s="447"/>
      <c r="M117" s="447"/>
      <c r="N117" s="447"/>
      <c r="O117" s="447"/>
      <c r="P117" s="447"/>
      <c r="Q117" s="447"/>
      <c r="R117" s="447"/>
      <c r="S117" s="447"/>
      <c r="T117" s="447"/>
      <c r="U117" s="447"/>
      <c r="V117" s="447"/>
      <c r="W117" s="447"/>
      <c r="X117" s="447"/>
      <c r="Y117" s="447"/>
      <c r="Z117" s="447"/>
      <c r="AA117" s="447"/>
    </row>
    <row r="118" spans="1:27">
      <c r="A118" s="450" t="s">
        <v>4784</v>
      </c>
      <c r="B118" s="449" t="s">
        <v>4785</v>
      </c>
      <c r="C118" s="452" t="s">
        <v>4729</v>
      </c>
      <c r="D118" s="456"/>
      <c r="E118" s="447"/>
      <c r="F118" s="447"/>
      <c r="G118" s="447"/>
      <c r="H118" s="447"/>
      <c r="I118" s="447"/>
      <c r="J118" s="447"/>
      <c r="K118" s="447"/>
      <c r="L118" s="447"/>
      <c r="M118" s="447"/>
      <c r="N118" s="447"/>
      <c r="O118" s="447"/>
      <c r="P118" s="447"/>
      <c r="Q118" s="447"/>
      <c r="R118" s="447"/>
      <c r="S118" s="447"/>
      <c r="T118" s="447"/>
      <c r="U118" s="447"/>
      <c r="V118" s="447"/>
      <c r="W118" s="447"/>
      <c r="X118" s="447"/>
      <c r="Y118" s="447"/>
      <c r="Z118" s="447"/>
      <c r="AA118" s="447"/>
    </row>
    <row r="119" spans="1:27">
      <c r="A119" s="450" t="s">
        <v>3694</v>
      </c>
      <c r="B119" s="449" t="s">
        <v>4698</v>
      </c>
      <c r="C119" s="452" t="s">
        <v>4729</v>
      </c>
      <c r="D119" s="456"/>
      <c r="E119" s="447"/>
      <c r="F119" s="447"/>
      <c r="G119" s="447"/>
      <c r="H119" s="447"/>
      <c r="I119" s="447"/>
      <c r="J119" s="447"/>
      <c r="K119" s="447"/>
      <c r="L119" s="447"/>
      <c r="M119" s="447"/>
      <c r="N119" s="447"/>
      <c r="O119" s="447"/>
      <c r="P119" s="447"/>
      <c r="Q119" s="447"/>
      <c r="R119" s="447"/>
      <c r="S119" s="447"/>
      <c r="T119" s="447"/>
      <c r="U119" s="447"/>
      <c r="V119" s="447"/>
      <c r="W119" s="447"/>
      <c r="X119" s="447"/>
      <c r="Y119" s="447"/>
      <c r="Z119" s="447"/>
      <c r="AA119" s="447"/>
    </row>
    <row r="120" spans="1:27">
      <c r="A120" s="450" t="s">
        <v>3661</v>
      </c>
      <c r="B120" s="449" t="s">
        <v>4694</v>
      </c>
      <c r="C120" s="450" t="s">
        <v>4563</v>
      </c>
      <c r="D120" s="456"/>
      <c r="E120" s="447"/>
      <c r="F120" s="447"/>
      <c r="G120" s="447"/>
      <c r="H120" s="447"/>
      <c r="I120" s="447"/>
      <c r="J120" s="447"/>
      <c r="K120" s="447"/>
      <c r="L120" s="447"/>
      <c r="M120" s="447"/>
      <c r="N120" s="447"/>
      <c r="O120" s="447"/>
      <c r="P120" s="447"/>
      <c r="Q120" s="447"/>
      <c r="R120" s="447"/>
      <c r="S120" s="447"/>
      <c r="T120" s="447"/>
      <c r="U120" s="447"/>
      <c r="V120" s="447"/>
      <c r="W120" s="447"/>
      <c r="X120" s="447"/>
      <c r="Y120" s="447"/>
      <c r="Z120" s="447"/>
      <c r="AA120" s="447"/>
    </row>
    <row r="121" spans="1:27">
      <c r="A121" s="450" t="s">
        <v>3897</v>
      </c>
      <c r="B121" s="449" t="s">
        <v>4786</v>
      </c>
      <c r="C121" s="450" t="s">
        <v>4567</v>
      </c>
      <c r="D121" s="456"/>
      <c r="E121" s="447"/>
      <c r="F121" s="447"/>
      <c r="G121" s="447"/>
      <c r="H121" s="447"/>
      <c r="I121" s="447"/>
      <c r="J121" s="447"/>
      <c r="K121" s="447"/>
      <c r="L121" s="447"/>
      <c r="M121" s="447"/>
      <c r="N121" s="447"/>
      <c r="O121" s="447"/>
      <c r="P121" s="447"/>
      <c r="Q121" s="447"/>
      <c r="R121" s="447"/>
      <c r="S121" s="447"/>
      <c r="T121" s="447"/>
      <c r="U121" s="447"/>
      <c r="V121" s="447"/>
      <c r="W121" s="447"/>
      <c r="X121" s="447"/>
      <c r="Y121" s="447"/>
      <c r="Z121" s="447"/>
      <c r="AA121" s="447"/>
    </row>
    <row r="122" spans="1:27">
      <c r="A122" s="450" t="s">
        <v>3583</v>
      </c>
      <c r="B122" s="449" t="s">
        <v>4682</v>
      </c>
      <c r="C122" s="450" t="s">
        <v>4681</v>
      </c>
      <c r="D122" s="456"/>
      <c r="E122" s="447"/>
      <c r="F122" s="447"/>
      <c r="G122" s="447"/>
      <c r="H122" s="447"/>
      <c r="I122" s="447"/>
      <c r="J122" s="447"/>
      <c r="K122" s="447"/>
      <c r="L122" s="447"/>
      <c r="M122" s="447"/>
      <c r="N122" s="447"/>
      <c r="O122" s="447"/>
      <c r="P122" s="447"/>
      <c r="Q122" s="447"/>
      <c r="R122" s="447"/>
      <c r="S122" s="447"/>
      <c r="T122" s="447"/>
      <c r="U122" s="447"/>
      <c r="V122" s="447"/>
      <c r="W122" s="447"/>
      <c r="X122" s="447"/>
      <c r="Y122" s="447"/>
      <c r="Z122" s="447"/>
      <c r="AA122" s="447"/>
    </row>
    <row r="123" spans="1:27">
      <c r="A123" s="450" t="s">
        <v>4678</v>
      </c>
      <c r="B123" s="449" t="s">
        <v>4679</v>
      </c>
      <c r="C123" s="450" t="s">
        <v>4563</v>
      </c>
      <c r="D123" s="456"/>
      <c r="E123" s="447"/>
      <c r="F123" s="447"/>
      <c r="G123" s="447"/>
      <c r="H123" s="447"/>
      <c r="I123" s="447"/>
      <c r="J123" s="447"/>
      <c r="K123" s="447"/>
      <c r="L123" s="447"/>
      <c r="M123" s="447"/>
      <c r="N123" s="447"/>
      <c r="O123" s="447"/>
      <c r="P123" s="447"/>
      <c r="Q123" s="447"/>
      <c r="R123" s="447"/>
      <c r="S123" s="447"/>
      <c r="T123" s="447"/>
      <c r="U123" s="447"/>
      <c r="V123" s="447"/>
      <c r="W123" s="447"/>
      <c r="X123" s="447"/>
      <c r="Y123" s="447"/>
      <c r="Z123" s="447"/>
      <c r="AA123" s="447"/>
    </row>
    <row r="124" spans="1:27">
      <c r="A124" s="450" t="s">
        <v>4676</v>
      </c>
      <c r="B124" s="449" t="s">
        <v>4677</v>
      </c>
      <c r="C124" s="454" t="s">
        <v>4553</v>
      </c>
      <c r="D124" s="456"/>
      <c r="E124" s="447"/>
      <c r="F124" s="447"/>
      <c r="G124" s="447"/>
      <c r="H124" s="447"/>
      <c r="I124" s="447"/>
      <c r="J124" s="447"/>
      <c r="K124" s="447"/>
      <c r="L124" s="447"/>
      <c r="M124" s="447"/>
      <c r="N124" s="447"/>
      <c r="O124" s="447"/>
      <c r="P124" s="447"/>
      <c r="Q124" s="447"/>
      <c r="R124" s="447"/>
      <c r="S124" s="447"/>
      <c r="T124" s="447"/>
      <c r="U124" s="447"/>
      <c r="V124" s="447"/>
      <c r="W124" s="447"/>
      <c r="X124" s="447"/>
      <c r="Y124" s="447"/>
      <c r="Z124" s="447"/>
      <c r="AA124" s="447"/>
    </row>
    <row r="125" spans="1:27">
      <c r="A125" s="450" t="s">
        <v>3523</v>
      </c>
      <c r="B125" s="449" t="s">
        <v>4787</v>
      </c>
      <c r="C125" s="450"/>
      <c r="D125" s="456"/>
      <c r="E125" s="447"/>
      <c r="F125" s="447"/>
      <c r="G125" s="447"/>
      <c r="H125" s="447"/>
      <c r="I125" s="447"/>
      <c r="J125" s="447"/>
      <c r="K125" s="447"/>
      <c r="L125" s="447"/>
      <c r="M125" s="447"/>
      <c r="N125" s="447"/>
      <c r="O125" s="447"/>
      <c r="P125" s="447"/>
      <c r="Q125" s="447"/>
      <c r="R125" s="447"/>
      <c r="S125" s="447"/>
      <c r="T125" s="447"/>
      <c r="U125" s="447"/>
      <c r="V125" s="447"/>
      <c r="W125" s="447"/>
      <c r="X125" s="447"/>
      <c r="Y125" s="447"/>
      <c r="Z125" s="447"/>
      <c r="AA125" s="447"/>
    </row>
    <row r="126" spans="1:27">
      <c r="A126" s="450" t="s">
        <v>4674</v>
      </c>
      <c r="B126" s="449" t="s">
        <v>4675</v>
      </c>
      <c r="C126" s="454" t="s">
        <v>4567</v>
      </c>
      <c r="D126" s="456"/>
      <c r="E126" s="447"/>
      <c r="F126" s="447"/>
      <c r="G126" s="447"/>
      <c r="H126" s="447"/>
      <c r="I126" s="447"/>
      <c r="J126" s="447"/>
      <c r="K126" s="447"/>
      <c r="L126" s="447"/>
      <c r="M126" s="447"/>
      <c r="N126" s="447"/>
      <c r="O126" s="447"/>
      <c r="P126" s="447"/>
      <c r="Q126" s="447"/>
      <c r="R126" s="447"/>
      <c r="S126" s="447"/>
      <c r="T126" s="447"/>
      <c r="U126" s="447"/>
      <c r="V126" s="447"/>
      <c r="W126" s="447"/>
      <c r="X126" s="447"/>
      <c r="Y126" s="447"/>
      <c r="Z126" s="447"/>
      <c r="AA126" s="447"/>
    </row>
    <row r="127" spans="1:27">
      <c r="A127" s="450" t="s">
        <v>3603</v>
      </c>
      <c r="B127" s="449" t="s">
        <v>4683</v>
      </c>
      <c r="C127" s="450"/>
      <c r="D127" s="456"/>
      <c r="E127" s="447"/>
      <c r="F127" s="447"/>
      <c r="G127" s="447"/>
      <c r="H127" s="447"/>
      <c r="I127" s="447"/>
      <c r="J127" s="447"/>
      <c r="K127" s="447"/>
      <c r="L127" s="447"/>
      <c r="M127" s="447"/>
      <c r="N127" s="447"/>
      <c r="O127" s="447"/>
      <c r="P127" s="447"/>
      <c r="Q127" s="447"/>
      <c r="R127" s="447"/>
      <c r="S127" s="447"/>
      <c r="T127" s="447"/>
      <c r="U127" s="447"/>
      <c r="V127" s="447"/>
      <c r="W127" s="447"/>
      <c r="X127" s="447"/>
      <c r="Y127" s="447"/>
      <c r="Z127" s="447"/>
      <c r="AA127" s="447"/>
    </row>
    <row r="128" spans="1:27">
      <c r="A128" s="450" t="s">
        <v>3623</v>
      </c>
      <c r="B128" s="449" t="s">
        <v>4684</v>
      </c>
      <c r="C128" s="450"/>
      <c r="D128" s="456"/>
      <c r="E128" s="447"/>
      <c r="F128" s="447"/>
      <c r="G128" s="447"/>
      <c r="H128" s="447"/>
      <c r="I128" s="447"/>
      <c r="J128" s="447"/>
      <c r="K128" s="447"/>
      <c r="L128" s="447"/>
      <c r="M128" s="447"/>
      <c r="N128" s="447"/>
      <c r="O128" s="447"/>
      <c r="P128" s="447"/>
      <c r="Q128" s="447"/>
      <c r="R128" s="447"/>
      <c r="S128" s="447"/>
      <c r="T128" s="447"/>
      <c r="U128" s="447"/>
      <c r="V128" s="447"/>
      <c r="W128" s="447"/>
      <c r="X128" s="447"/>
      <c r="Y128" s="447"/>
      <c r="Z128" s="447"/>
      <c r="AA128" s="447"/>
    </row>
    <row r="129" spans="1:27">
      <c r="A129" s="450" t="s">
        <v>3515</v>
      </c>
      <c r="B129" s="449" t="s">
        <v>4687</v>
      </c>
      <c r="C129" s="454" t="s">
        <v>4553</v>
      </c>
      <c r="D129" s="456"/>
      <c r="E129" s="447"/>
      <c r="F129" s="447"/>
      <c r="G129" s="447"/>
      <c r="H129" s="447"/>
      <c r="I129" s="447"/>
      <c r="J129" s="447"/>
      <c r="K129" s="447"/>
      <c r="L129" s="447"/>
      <c r="M129" s="447"/>
      <c r="N129" s="447"/>
      <c r="O129" s="447"/>
      <c r="P129" s="447"/>
      <c r="Q129" s="447"/>
      <c r="R129" s="447"/>
      <c r="S129" s="447"/>
      <c r="T129" s="447"/>
      <c r="U129" s="447"/>
      <c r="V129" s="447"/>
      <c r="W129" s="447"/>
      <c r="X129" s="447"/>
      <c r="Y129" s="447"/>
      <c r="Z129" s="447"/>
      <c r="AA129" s="447"/>
    </row>
    <row r="130" spans="1:27">
      <c r="A130" s="450" t="s">
        <v>3534</v>
      </c>
      <c r="B130" s="449" t="s">
        <v>4688</v>
      </c>
      <c r="C130" s="454" t="s">
        <v>4553</v>
      </c>
      <c r="D130" s="456"/>
      <c r="E130" s="447"/>
      <c r="F130" s="447"/>
      <c r="G130" s="447"/>
      <c r="H130" s="447"/>
      <c r="I130" s="447"/>
      <c r="J130" s="447"/>
      <c r="K130" s="447"/>
      <c r="L130" s="447"/>
      <c r="M130" s="447"/>
      <c r="N130" s="447"/>
      <c r="O130" s="447"/>
      <c r="P130" s="447"/>
      <c r="Q130" s="447"/>
      <c r="R130" s="447"/>
      <c r="S130" s="447"/>
      <c r="T130" s="447"/>
      <c r="U130" s="447"/>
      <c r="V130" s="447"/>
      <c r="W130" s="447"/>
      <c r="X130" s="447"/>
      <c r="Y130" s="447"/>
      <c r="Z130" s="447"/>
      <c r="AA130" s="447"/>
    </row>
    <row r="131" spans="1:27">
      <c r="A131" s="450" t="s">
        <v>3540</v>
      </c>
      <c r="B131" s="449" t="s">
        <v>4689</v>
      </c>
      <c r="C131" s="454" t="s">
        <v>4788</v>
      </c>
      <c r="D131" s="456"/>
      <c r="E131" s="447"/>
      <c r="F131" s="447"/>
      <c r="G131" s="447"/>
      <c r="H131" s="447"/>
      <c r="I131" s="447"/>
      <c r="J131" s="447"/>
      <c r="K131" s="447"/>
      <c r="L131" s="447"/>
      <c r="M131" s="447"/>
      <c r="N131" s="447"/>
      <c r="O131" s="447"/>
      <c r="P131" s="447"/>
      <c r="Q131" s="447"/>
      <c r="R131" s="447"/>
      <c r="S131" s="447"/>
      <c r="T131" s="447"/>
      <c r="U131" s="447"/>
      <c r="V131" s="447"/>
      <c r="W131" s="447"/>
      <c r="X131" s="447"/>
      <c r="Y131" s="447"/>
      <c r="Z131" s="447"/>
      <c r="AA131" s="447"/>
    </row>
    <row r="132" spans="1:27">
      <c r="A132" s="450" t="s">
        <v>3555</v>
      </c>
      <c r="B132" s="449" t="s">
        <v>4789</v>
      </c>
      <c r="C132" s="454"/>
      <c r="D132" s="456"/>
      <c r="E132" s="447"/>
      <c r="F132" s="447"/>
      <c r="G132" s="447"/>
      <c r="H132" s="447"/>
      <c r="I132" s="447"/>
      <c r="J132" s="447"/>
      <c r="K132" s="447"/>
      <c r="L132" s="447"/>
      <c r="M132" s="447"/>
      <c r="N132" s="447"/>
      <c r="O132" s="447"/>
      <c r="P132" s="447"/>
      <c r="Q132" s="447"/>
      <c r="R132" s="447"/>
      <c r="S132" s="447"/>
      <c r="T132" s="447"/>
      <c r="U132" s="447"/>
      <c r="V132" s="447"/>
      <c r="W132" s="447"/>
      <c r="X132" s="447"/>
      <c r="Y132" s="447"/>
      <c r="Z132" s="447"/>
      <c r="AA132" s="447"/>
    </row>
    <row r="133" spans="1:27">
      <c r="A133" s="450" t="s">
        <v>3603</v>
      </c>
      <c r="B133" s="449" t="s">
        <v>4683</v>
      </c>
      <c r="C133" s="454"/>
      <c r="D133" s="456"/>
      <c r="E133" s="447"/>
      <c r="F133" s="447"/>
      <c r="G133" s="447"/>
      <c r="H133" s="447"/>
      <c r="I133" s="447"/>
      <c r="J133" s="447"/>
      <c r="K133" s="447"/>
      <c r="L133" s="447"/>
      <c r="M133" s="447"/>
      <c r="N133" s="447"/>
      <c r="O133" s="447"/>
      <c r="P133" s="447"/>
      <c r="Q133" s="447"/>
      <c r="R133" s="447"/>
      <c r="S133" s="447"/>
      <c r="T133" s="447"/>
      <c r="U133" s="447"/>
      <c r="V133" s="447"/>
      <c r="W133" s="447"/>
      <c r="X133" s="447"/>
      <c r="Y133" s="447"/>
      <c r="Z133" s="447"/>
      <c r="AA133" s="447"/>
    </row>
    <row r="134" spans="1:27">
      <c r="A134" s="450" t="s">
        <v>3699</v>
      </c>
      <c r="B134" s="449" t="s">
        <v>4697</v>
      </c>
      <c r="C134" s="454"/>
      <c r="D134" s="456"/>
      <c r="E134" s="447"/>
      <c r="F134" s="447"/>
      <c r="G134" s="447"/>
      <c r="H134" s="447"/>
      <c r="I134" s="447"/>
      <c r="J134" s="447"/>
      <c r="K134" s="447"/>
      <c r="L134" s="447"/>
      <c r="M134" s="447"/>
      <c r="N134" s="447"/>
      <c r="O134" s="447"/>
      <c r="P134" s="447"/>
      <c r="Q134" s="447"/>
      <c r="R134" s="447"/>
      <c r="S134" s="447"/>
      <c r="T134" s="447"/>
      <c r="U134" s="447"/>
      <c r="V134" s="447"/>
      <c r="W134" s="447"/>
      <c r="X134" s="447"/>
      <c r="Y134" s="447"/>
      <c r="Z134" s="447"/>
      <c r="AA134" s="447"/>
    </row>
    <row r="135" spans="1:27">
      <c r="A135" s="450" t="s">
        <v>3708</v>
      </c>
      <c r="B135" s="449" t="s">
        <v>4790</v>
      </c>
      <c r="C135" s="454"/>
      <c r="D135" s="456"/>
      <c r="E135" s="447"/>
      <c r="F135" s="447"/>
      <c r="G135" s="447"/>
      <c r="H135" s="447"/>
      <c r="I135" s="447"/>
      <c r="J135" s="447"/>
      <c r="K135" s="447"/>
      <c r="L135" s="447"/>
      <c r="M135" s="447"/>
      <c r="N135" s="447"/>
      <c r="O135" s="447"/>
      <c r="P135" s="447"/>
      <c r="Q135" s="447"/>
      <c r="R135" s="447"/>
      <c r="S135" s="447"/>
      <c r="T135" s="447"/>
      <c r="U135" s="447"/>
      <c r="V135" s="447"/>
      <c r="W135" s="447"/>
      <c r="X135" s="447"/>
      <c r="Y135" s="447"/>
      <c r="Z135" s="447"/>
      <c r="AA135" s="447"/>
    </row>
    <row r="136" spans="1:27">
      <c r="A136" s="450" t="s">
        <v>3710</v>
      </c>
      <c r="B136" s="449" t="s">
        <v>4791</v>
      </c>
      <c r="C136" s="454"/>
      <c r="D136" s="457" t="s">
        <v>4742</v>
      </c>
      <c r="E136" s="447"/>
      <c r="F136" s="447"/>
      <c r="G136" s="447"/>
      <c r="H136" s="447"/>
      <c r="I136" s="447"/>
      <c r="J136" s="447"/>
      <c r="K136" s="447"/>
      <c r="L136" s="447"/>
      <c r="M136" s="447"/>
      <c r="N136" s="447"/>
      <c r="O136" s="447"/>
      <c r="P136" s="447"/>
      <c r="Q136" s="447"/>
      <c r="R136" s="447"/>
      <c r="S136" s="447"/>
      <c r="T136" s="447"/>
      <c r="U136" s="447"/>
      <c r="V136" s="447"/>
      <c r="W136" s="447"/>
      <c r="X136" s="447"/>
      <c r="Y136" s="447"/>
      <c r="Z136" s="447"/>
      <c r="AA136" s="447"/>
    </row>
    <row r="137" spans="1:27">
      <c r="A137" s="450" t="s">
        <v>3732</v>
      </c>
      <c r="B137" s="449" t="s">
        <v>4792</v>
      </c>
      <c r="C137" s="454"/>
      <c r="D137" s="456"/>
      <c r="E137" s="447"/>
      <c r="F137" s="447"/>
      <c r="G137" s="447"/>
      <c r="H137" s="447"/>
      <c r="I137" s="447"/>
      <c r="J137" s="447"/>
      <c r="K137" s="447"/>
      <c r="L137" s="447"/>
      <c r="M137" s="447"/>
      <c r="N137" s="447"/>
      <c r="O137" s="447"/>
      <c r="P137" s="447"/>
      <c r="Q137" s="447"/>
      <c r="R137" s="447"/>
      <c r="S137" s="447"/>
      <c r="T137" s="447"/>
      <c r="U137" s="447"/>
      <c r="V137" s="447"/>
      <c r="W137" s="447"/>
      <c r="X137" s="447"/>
      <c r="Y137" s="447"/>
      <c r="Z137" s="447"/>
      <c r="AA137" s="447"/>
    </row>
    <row r="138" spans="1:27">
      <c r="A138" s="450" t="s">
        <v>3756</v>
      </c>
      <c r="B138" s="449" t="s">
        <v>4699</v>
      </c>
      <c r="C138" s="454"/>
      <c r="D138" s="456"/>
      <c r="E138" s="447"/>
      <c r="F138" s="447"/>
      <c r="G138" s="447"/>
      <c r="H138" s="447"/>
      <c r="I138" s="447"/>
      <c r="J138" s="447"/>
      <c r="K138" s="447"/>
      <c r="L138" s="447"/>
      <c r="M138" s="447"/>
      <c r="N138" s="447"/>
      <c r="O138" s="447"/>
      <c r="P138" s="447"/>
      <c r="Q138" s="447"/>
      <c r="R138" s="447"/>
      <c r="S138" s="447"/>
      <c r="T138" s="447"/>
      <c r="U138" s="447"/>
      <c r="V138" s="447"/>
      <c r="W138" s="447"/>
      <c r="X138" s="447"/>
      <c r="Y138" s="447"/>
      <c r="Z138" s="447"/>
      <c r="AA138" s="447"/>
    </row>
    <row r="139" spans="1:27">
      <c r="A139" s="450" t="s">
        <v>3769</v>
      </c>
      <c r="B139" s="449" t="s">
        <v>4793</v>
      </c>
      <c r="C139" s="454"/>
      <c r="D139" s="456"/>
      <c r="E139" s="447"/>
      <c r="F139" s="447"/>
      <c r="G139" s="447"/>
      <c r="H139" s="447"/>
      <c r="I139" s="447"/>
      <c r="J139" s="447"/>
      <c r="K139" s="447"/>
      <c r="L139" s="447"/>
      <c r="M139" s="447"/>
      <c r="N139" s="447"/>
      <c r="O139" s="447"/>
      <c r="P139" s="447"/>
      <c r="Q139" s="447"/>
      <c r="R139" s="447"/>
      <c r="S139" s="447"/>
      <c r="T139" s="447"/>
      <c r="U139" s="447"/>
      <c r="V139" s="447"/>
      <c r="W139" s="447"/>
      <c r="X139" s="447"/>
      <c r="Y139" s="447"/>
      <c r="Z139" s="447"/>
      <c r="AA139" s="447"/>
    </row>
    <row r="140" spans="1:27">
      <c r="A140" s="450" t="s">
        <v>3772</v>
      </c>
      <c r="B140" s="449" t="s">
        <v>4794</v>
      </c>
      <c r="C140" s="454"/>
      <c r="D140" s="456"/>
      <c r="E140" s="447"/>
      <c r="F140" s="447"/>
      <c r="G140" s="447"/>
      <c r="H140" s="447"/>
      <c r="I140" s="447"/>
      <c r="J140" s="447"/>
      <c r="K140" s="447"/>
      <c r="L140" s="447"/>
      <c r="M140" s="447"/>
      <c r="N140" s="447"/>
      <c r="O140" s="447"/>
      <c r="P140" s="447"/>
      <c r="Q140" s="447"/>
      <c r="R140" s="447"/>
      <c r="S140" s="447"/>
      <c r="T140" s="447"/>
      <c r="U140" s="447"/>
      <c r="V140" s="447"/>
      <c r="W140" s="447"/>
      <c r="X140" s="447"/>
      <c r="Y140" s="447"/>
      <c r="Z140" s="447"/>
      <c r="AA140" s="447"/>
    </row>
    <row r="141" spans="1:27">
      <c r="A141" s="450" t="s">
        <v>3779</v>
      </c>
      <c r="B141" s="449" t="s">
        <v>4795</v>
      </c>
      <c r="C141" s="454"/>
      <c r="D141" s="456"/>
      <c r="E141" s="447"/>
      <c r="F141" s="447"/>
      <c r="G141" s="447"/>
      <c r="H141" s="447"/>
      <c r="I141" s="447"/>
      <c r="J141" s="447"/>
      <c r="K141" s="447"/>
      <c r="L141" s="447"/>
      <c r="M141" s="447"/>
      <c r="N141" s="447"/>
      <c r="O141" s="447"/>
      <c r="P141" s="447"/>
      <c r="Q141" s="447"/>
      <c r="R141" s="447"/>
      <c r="S141" s="447"/>
      <c r="T141" s="447"/>
      <c r="U141" s="447"/>
      <c r="V141" s="447"/>
      <c r="W141" s="447"/>
      <c r="X141" s="447"/>
      <c r="Y141" s="447"/>
      <c r="Z141" s="447"/>
      <c r="AA141" s="447"/>
    </row>
    <row r="142" spans="1:27">
      <c r="A142" s="450" t="s">
        <v>3798</v>
      </c>
      <c r="B142" s="449" t="s">
        <v>4796</v>
      </c>
      <c r="C142" s="454"/>
      <c r="D142" s="456"/>
      <c r="E142" s="447"/>
      <c r="F142" s="447"/>
      <c r="G142" s="447"/>
      <c r="H142" s="447"/>
      <c r="I142" s="447"/>
      <c r="J142" s="447"/>
      <c r="K142" s="447"/>
      <c r="L142" s="447"/>
      <c r="M142" s="447"/>
      <c r="N142" s="447"/>
      <c r="O142" s="447"/>
      <c r="P142" s="447"/>
      <c r="Q142" s="447"/>
      <c r="R142" s="447"/>
      <c r="S142" s="447"/>
      <c r="T142" s="447"/>
      <c r="U142" s="447"/>
      <c r="V142" s="447"/>
      <c r="W142" s="447"/>
      <c r="X142" s="447"/>
      <c r="Y142" s="447"/>
      <c r="Z142" s="447"/>
      <c r="AA142" s="447"/>
    </row>
    <row r="143" spans="1:27">
      <c r="A143" s="450" t="s">
        <v>3801</v>
      </c>
      <c r="B143" s="449" t="s">
        <v>4797</v>
      </c>
      <c r="C143" s="454"/>
      <c r="D143" s="456"/>
      <c r="E143" s="447"/>
      <c r="F143" s="447"/>
      <c r="G143" s="447"/>
      <c r="H143" s="447"/>
      <c r="I143" s="447"/>
      <c r="J143" s="447"/>
      <c r="K143" s="447"/>
      <c r="L143" s="447"/>
      <c r="M143" s="447"/>
      <c r="N143" s="447"/>
      <c r="O143" s="447"/>
      <c r="P143" s="447"/>
      <c r="Q143" s="447"/>
      <c r="R143" s="447"/>
      <c r="S143" s="447"/>
      <c r="T143" s="447"/>
      <c r="U143" s="447"/>
      <c r="V143" s="447"/>
      <c r="W143" s="447"/>
      <c r="X143" s="447"/>
      <c r="Y143" s="447"/>
      <c r="Z143" s="447"/>
      <c r="AA143" s="447"/>
    </row>
    <row r="144" spans="1:27">
      <c r="A144" s="450" t="s">
        <v>3841</v>
      </c>
      <c r="B144" s="449" t="s">
        <v>4701</v>
      </c>
      <c r="C144" s="454"/>
      <c r="D144" s="456"/>
      <c r="E144" s="447"/>
      <c r="F144" s="447"/>
      <c r="G144" s="447"/>
      <c r="H144" s="447"/>
      <c r="I144" s="447"/>
      <c r="J144" s="447"/>
      <c r="K144" s="447"/>
      <c r="L144" s="447"/>
      <c r="M144" s="447"/>
      <c r="N144" s="447"/>
      <c r="O144" s="447"/>
      <c r="P144" s="447"/>
      <c r="Q144" s="447"/>
      <c r="R144" s="447"/>
      <c r="S144" s="447"/>
      <c r="T144" s="447"/>
      <c r="U144" s="447"/>
      <c r="V144" s="447"/>
      <c r="W144" s="447"/>
      <c r="X144" s="447"/>
      <c r="Y144" s="447"/>
      <c r="Z144" s="447"/>
      <c r="AA144" s="447"/>
    </row>
    <row r="145" spans="1:27">
      <c r="A145" s="450" t="s">
        <v>3894</v>
      </c>
      <c r="B145" s="449" t="s">
        <v>4793</v>
      </c>
      <c r="C145" s="454"/>
      <c r="D145" s="456"/>
      <c r="E145" s="447"/>
      <c r="F145" s="447"/>
      <c r="G145" s="447"/>
      <c r="H145" s="447"/>
      <c r="I145" s="447"/>
      <c r="J145" s="447"/>
      <c r="K145" s="447"/>
      <c r="L145" s="447"/>
      <c r="M145" s="447"/>
      <c r="N145" s="447"/>
      <c r="O145" s="447"/>
      <c r="P145" s="447"/>
      <c r="Q145" s="447"/>
      <c r="R145" s="447"/>
      <c r="S145" s="447"/>
      <c r="T145" s="447"/>
      <c r="U145" s="447"/>
      <c r="V145" s="447"/>
      <c r="W145" s="447"/>
      <c r="X145" s="447"/>
      <c r="Y145" s="447"/>
      <c r="Z145" s="447"/>
      <c r="AA145" s="447"/>
    </row>
    <row r="146" spans="1:27">
      <c r="A146" s="450" t="s">
        <v>3919</v>
      </c>
      <c r="B146" s="449" t="s">
        <v>4798</v>
      </c>
      <c r="C146" s="454"/>
      <c r="D146" s="456"/>
      <c r="E146" s="447"/>
      <c r="F146" s="447"/>
      <c r="G146" s="447"/>
      <c r="H146" s="447"/>
      <c r="I146" s="447"/>
      <c r="J146" s="447"/>
      <c r="K146" s="447"/>
      <c r="L146" s="447"/>
      <c r="M146" s="447"/>
      <c r="N146" s="447"/>
      <c r="O146" s="447"/>
      <c r="P146" s="447"/>
      <c r="Q146" s="447"/>
      <c r="R146" s="447"/>
      <c r="S146" s="447"/>
      <c r="T146" s="447"/>
      <c r="U146" s="447"/>
      <c r="V146" s="447"/>
      <c r="W146" s="447"/>
      <c r="X146" s="447"/>
      <c r="Y146" s="447"/>
      <c r="Z146" s="447"/>
      <c r="AA146" s="447"/>
    </row>
    <row r="147" spans="1:27">
      <c r="A147" s="450" t="s">
        <v>3939</v>
      </c>
      <c r="B147" s="449" t="s">
        <v>4799</v>
      </c>
      <c r="C147" s="454"/>
      <c r="D147" s="456"/>
      <c r="E147" s="447"/>
      <c r="F147" s="447"/>
      <c r="G147" s="447"/>
      <c r="H147" s="447"/>
      <c r="I147" s="447"/>
      <c r="J147" s="447"/>
      <c r="K147" s="447"/>
      <c r="L147" s="447"/>
      <c r="M147" s="447"/>
      <c r="N147" s="447"/>
      <c r="O147" s="447"/>
      <c r="P147" s="447"/>
      <c r="Q147" s="447"/>
      <c r="R147" s="447"/>
      <c r="S147" s="447"/>
      <c r="T147" s="447"/>
      <c r="U147" s="447"/>
      <c r="V147" s="447"/>
      <c r="W147" s="447"/>
      <c r="X147" s="447"/>
      <c r="Y147" s="447"/>
      <c r="Z147" s="447"/>
      <c r="AA147" s="447"/>
    </row>
    <row r="148" spans="1:27">
      <c r="A148" s="450" t="s">
        <v>3946</v>
      </c>
      <c r="B148" s="449" t="s">
        <v>4800</v>
      </c>
      <c r="C148" s="454"/>
      <c r="D148" s="456"/>
      <c r="E148" s="447"/>
      <c r="F148" s="447"/>
      <c r="G148" s="447"/>
      <c r="H148" s="447"/>
      <c r="I148" s="447"/>
      <c r="J148" s="447"/>
      <c r="K148" s="447"/>
      <c r="L148" s="447"/>
      <c r="M148" s="447"/>
      <c r="N148" s="447"/>
      <c r="O148" s="447"/>
      <c r="P148" s="447"/>
      <c r="Q148" s="447"/>
      <c r="R148" s="447"/>
      <c r="S148" s="447"/>
      <c r="T148" s="447"/>
      <c r="U148" s="447"/>
      <c r="V148" s="447"/>
      <c r="W148" s="447"/>
      <c r="X148" s="447"/>
      <c r="Y148" s="447"/>
      <c r="Z148" s="447"/>
      <c r="AA148" s="447"/>
    </row>
    <row r="149" spans="1:27">
      <c r="A149" s="450" t="s">
        <v>3965</v>
      </c>
      <c r="B149" s="449" t="s">
        <v>4801</v>
      </c>
      <c r="C149" s="454"/>
      <c r="D149" s="456"/>
      <c r="E149" s="447"/>
      <c r="F149" s="447"/>
      <c r="G149" s="447"/>
      <c r="H149" s="447"/>
      <c r="I149" s="447"/>
      <c r="J149" s="447"/>
      <c r="K149" s="447"/>
      <c r="L149" s="447"/>
      <c r="M149" s="447"/>
      <c r="N149" s="447"/>
      <c r="O149" s="447"/>
      <c r="P149" s="447"/>
      <c r="Q149" s="447"/>
      <c r="R149" s="447"/>
      <c r="S149" s="447"/>
      <c r="T149" s="447"/>
      <c r="U149" s="447"/>
      <c r="V149" s="447"/>
      <c r="W149" s="447"/>
      <c r="X149" s="447"/>
      <c r="Y149" s="447"/>
      <c r="Z149" s="447"/>
      <c r="AA149" s="447"/>
    </row>
    <row r="150" spans="1:27">
      <c r="A150" s="450" t="s">
        <v>3971</v>
      </c>
      <c r="B150" s="449" t="s">
        <v>4802</v>
      </c>
      <c r="C150" s="454"/>
      <c r="D150" s="456"/>
      <c r="E150" s="447"/>
      <c r="F150" s="447"/>
      <c r="G150" s="447"/>
      <c r="H150" s="447"/>
      <c r="I150" s="447"/>
      <c r="J150" s="447"/>
      <c r="K150" s="447"/>
      <c r="L150" s="447"/>
      <c r="M150" s="447"/>
      <c r="N150" s="447"/>
      <c r="O150" s="447"/>
      <c r="P150" s="447"/>
      <c r="Q150" s="447"/>
      <c r="R150" s="447"/>
      <c r="S150" s="447"/>
      <c r="T150" s="447"/>
      <c r="U150" s="447"/>
      <c r="V150" s="447"/>
      <c r="W150" s="447"/>
      <c r="X150" s="447"/>
      <c r="Y150" s="447"/>
      <c r="Z150" s="447"/>
      <c r="AA150" s="447"/>
    </row>
    <row r="151" spans="1:27">
      <c r="A151" s="450" t="s">
        <v>4803</v>
      </c>
      <c r="B151" s="449" t="s">
        <v>4804</v>
      </c>
      <c r="C151" s="454"/>
      <c r="D151" s="456"/>
      <c r="E151" s="447"/>
      <c r="F151" s="447"/>
      <c r="G151" s="447"/>
      <c r="H151" s="447"/>
      <c r="I151" s="447"/>
      <c r="J151" s="447"/>
      <c r="K151" s="447"/>
      <c r="L151" s="447"/>
      <c r="M151" s="447"/>
      <c r="N151" s="447"/>
      <c r="O151" s="447"/>
      <c r="P151" s="447"/>
      <c r="Q151" s="447"/>
      <c r="R151" s="447"/>
      <c r="S151" s="447"/>
      <c r="T151" s="447"/>
      <c r="U151" s="447"/>
      <c r="V151" s="447"/>
      <c r="W151" s="447"/>
      <c r="X151" s="447"/>
      <c r="Y151" s="447"/>
      <c r="Z151" s="447"/>
      <c r="AA151" s="447"/>
    </row>
    <row r="152" spans="1:27">
      <c r="A152" s="450" t="s">
        <v>3977</v>
      </c>
      <c r="B152" s="449" t="s">
        <v>4805</v>
      </c>
      <c r="C152" s="454"/>
      <c r="D152" s="456"/>
      <c r="E152" s="447"/>
      <c r="F152" s="447"/>
      <c r="G152" s="447"/>
      <c r="H152" s="447"/>
      <c r="I152" s="447"/>
      <c r="J152" s="447"/>
      <c r="K152" s="447"/>
      <c r="L152" s="447"/>
      <c r="M152" s="447"/>
      <c r="N152" s="447"/>
      <c r="O152" s="447"/>
      <c r="P152" s="447"/>
      <c r="Q152" s="447"/>
      <c r="R152" s="447"/>
      <c r="S152" s="447"/>
      <c r="T152" s="447"/>
      <c r="U152" s="447"/>
      <c r="V152" s="447"/>
      <c r="W152" s="447"/>
      <c r="X152" s="447"/>
      <c r="Y152" s="447"/>
      <c r="Z152" s="447"/>
      <c r="AA152" s="447"/>
    </row>
    <row r="153" spans="1:27">
      <c r="A153" s="450" t="s">
        <v>3973</v>
      </c>
      <c r="B153" s="449" t="s">
        <v>4806</v>
      </c>
      <c r="C153" s="454"/>
      <c r="D153" s="456"/>
      <c r="E153" s="447"/>
      <c r="F153" s="447"/>
      <c r="G153" s="447"/>
      <c r="H153" s="447"/>
      <c r="I153" s="447"/>
      <c r="J153" s="447"/>
      <c r="K153" s="447"/>
      <c r="L153" s="447"/>
      <c r="M153" s="447"/>
      <c r="N153" s="447"/>
      <c r="O153" s="447"/>
      <c r="P153" s="447"/>
      <c r="Q153" s="447"/>
      <c r="R153" s="447"/>
      <c r="S153" s="447"/>
      <c r="T153" s="447"/>
      <c r="U153" s="447"/>
      <c r="V153" s="447"/>
      <c r="W153" s="447"/>
      <c r="X153" s="447"/>
      <c r="Y153" s="447"/>
      <c r="Z153" s="447"/>
      <c r="AA153" s="447"/>
    </row>
    <row r="154" spans="1:27">
      <c r="A154" s="450" t="s">
        <v>3980</v>
      </c>
      <c r="B154" s="449" t="s">
        <v>4807</v>
      </c>
      <c r="C154" s="454"/>
      <c r="D154" s="456"/>
      <c r="E154" s="447"/>
      <c r="F154" s="447"/>
      <c r="G154" s="447"/>
      <c r="H154" s="447"/>
      <c r="I154" s="447"/>
      <c r="J154" s="447"/>
      <c r="K154" s="447"/>
      <c r="L154" s="447"/>
      <c r="M154" s="447"/>
      <c r="N154" s="447"/>
      <c r="O154" s="447"/>
      <c r="P154" s="447"/>
      <c r="Q154" s="447"/>
      <c r="R154" s="447"/>
      <c r="S154" s="447"/>
      <c r="T154" s="447"/>
      <c r="U154" s="447"/>
      <c r="V154" s="447"/>
      <c r="W154" s="447"/>
      <c r="X154" s="447"/>
      <c r="Y154" s="447"/>
      <c r="Z154" s="447"/>
      <c r="AA154" s="447"/>
    </row>
    <row r="155" spans="1:27">
      <c r="A155" s="450" t="s">
        <v>3982</v>
      </c>
      <c r="B155" s="449" t="s">
        <v>4808</v>
      </c>
      <c r="C155" s="454"/>
      <c r="D155" s="456"/>
      <c r="E155" s="447"/>
      <c r="F155" s="447"/>
      <c r="G155" s="447"/>
      <c r="H155" s="447"/>
      <c r="I155" s="447"/>
      <c r="J155" s="447"/>
      <c r="K155" s="447"/>
      <c r="L155" s="447"/>
      <c r="M155" s="447"/>
      <c r="N155" s="447"/>
      <c r="O155" s="447"/>
      <c r="P155" s="447"/>
      <c r="Q155" s="447"/>
      <c r="R155" s="447"/>
      <c r="S155" s="447"/>
      <c r="T155" s="447"/>
      <c r="U155" s="447"/>
      <c r="V155" s="447"/>
      <c r="W155" s="447"/>
      <c r="X155" s="447"/>
      <c r="Y155" s="447"/>
      <c r="Z155" s="447"/>
      <c r="AA155" s="447"/>
    </row>
    <row r="156" spans="1:27">
      <c r="A156" s="450" t="s">
        <v>3983</v>
      </c>
      <c r="B156" s="449" t="s">
        <v>4809</v>
      </c>
      <c r="C156" s="454"/>
      <c r="D156" s="456"/>
      <c r="E156" s="447"/>
      <c r="F156" s="447"/>
      <c r="G156" s="447"/>
      <c r="H156" s="447"/>
      <c r="I156" s="447"/>
      <c r="J156" s="447"/>
      <c r="K156" s="447"/>
      <c r="L156" s="447"/>
      <c r="M156" s="447"/>
      <c r="N156" s="447"/>
      <c r="O156" s="447"/>
      <c r="P156" s="447"/>
      <c r="Q156" s="447"/>
      <c r="R156" s="447"/>
      <c r="S156" s="447"/>
      <c r="T156" s="447"/>
      <c r="U156" s="447"/>
      <c r="V156" s="447"/>
      <c r="W156" s="447"/>
      <c r="X156" s="447"/>
      <c r="Y156" s="447"/>
      <c r="Z156" s="447"/>
      <c r="AA156" s="447"/>
    </row>
    <row r="157" spans="1:27">
      <c r="A157" s="450" t="s">
        <v>4011</v>
      </c>
      <c r="B157" s="449" t="s">
        <v>4810</v>
      </c>
      <c r="C157" s="454"/>
      <c r="D157" s="456"/>
      <c r="E157" s="447"/>
      <c r="F157" s="447"/>
      <c r="G157" s="447"/>
      <c r="H157" s="447"/>
      <c r="I157" s="447"/>
      <c r="J157" s="447"/>
      <c r="K157" s="447"/>
      <c r="L157" s="447"/>
      <c r="M157" s="447"/>
      <c r="N157" s="447"/>
      <c r="O157" s="447"/>
      <c r="P157" s="447"/>
      <c r="Q157" s="447"/>
      <c r="R157" s="447"/>
      <c r="S157" s="447"/>
      <c r="T157" s="447"/>
      <c r="U157" s="447"/>
      <c r="V157" s="447"/>
      <c r="W157" s="447"/>
      <c r="X157" s="447"/>
      <c r="Y157" s="447"/>
      <c r="Z157" s="447"/>
      <c r="AA157" s="447"/>
    </row>
    <row r="158" spans="1:27">
      <c r="A158" s="450" t="s">
        <v>4023</v>
      </c>
      <c r="B158" s="449" t="s">
        <v>4811</v>
      </c>
      <c r="C158" s="454"/>
      <c r="D158" s="456"/>
      <c r="E158" s="447"/>
      <c r="F158" s="447"/>
      <c r="G158" s="447"/>
      <c r="H158" s="447"/>
      <c r="I158" s="447"/>
      <c r="J158" s="447"/>
      <c r="K158" s="447"/>
      <c r="L158" s="447"/>
      <c r="M158" s="447"/>
      <c r="N158" s="447"/>
      <c r="O158" s="447"/>
      <c r="P158" s="447"/>
      <c r="Q158" s="447"/>
      <c r="R158" s="447"/>
      <c r="S158" s="447"/>
      <c r="T158" s="447"/>
      <c r="U158" s="447"/>
      <c r="V158" s="447"/>
      <c r="W158" s="447"/>
      <c r="X158" s="447"/>
      <c r="Y158" s="447"/>
      <c r="Z158" s="447"/>
      <c r="AA158" s="447"/>
    </row>
    <row r="159" spans="1:27">
      <c r="A159" s="450" t="s">
        <v>4027</v>
      </c>
      <c r="B159" s="449" t="s">
        <v>4812</v>
      </c>
      <c r="C159" s="454"/>
      <c r="D159" s="456"/>
      <c r="E159" s="447"/>
      <c r="F159" s="447"/>
      <c r="G159" s="447"/>
      <c r="H159" s="447"/>
      <c r="I159" s="447"/>
      <c r="J159" s="447"/>
      <c r="K159" s="447"/>
      <c r="L159" s="447"/>
      <c r="M159" s="447"/>
      <c r="N159" s="447"/>
      <c r="O159" s="447"/>
      <c r="P159" s="447"/>
      <c r="Q159" s="447"/>
      <c r="R159" s="447"/>
      <c r="S159" s="447"/>
      <c r="T159" s="447"/>
      <c r="U159" s="447"/>
      <c r="V159" s="447"/>
      <c r="W159" s="447"/>
      <c r="X159" s="447"/>
      <c r="Y159" s="447"/>
      <c r="Z159" s="447"/>
      <c r="AA159" s="447"/>
    </row>
    <row r="160" spans="1:27">
      <c r="A160" s="450" t="s">
        <v>4813</v>
      </c>
      <c r="B160" s="449" t="s">
        <v>4814</v>
      </c>
      <c r="C160" s="454"/>
      <c r="D160" s="456"/>
      <c r="E160" s="447"/>
      <c r="F160" s="447"/>
      <c r="G160" s="447"/>
      <c r="H160" s="447"/>
      <c r="I160" s="447"/>
      <c r="J160" s="447"/>
      <c r="K160" s="447"/>
      <c r="L160" s="447"/>
      <c r="M160" s="447"/>
      <c r="N160" s="447"/>
      <c r="O160" s="447"/>
      <c r="P160" s="447"/>
      <c r="Q160" s="447"/>
      <c r="R160" s="447"/>
      <c r="S160" s="447"/>
      <c r="T160" s="447"/>
      <c r="U160" s="447"/>
      <c r="V160" s="447"/>
      <c r="W160" s="447"/>
      <c r="X160" s="447"/>
      <c r="Y160" s="447"/>
      <c r="Z160" s="447"/>
      <c r="AA160" s="447"/>
    </row>
    <row r="161" spans="1:27">
      <c r="A161" s="450" t="s">
        <v>4037</v>
      </c>
      <c r="B161" s="449" t="s">
        <v>4815</v>
      </c>
      <c r="C161" s="454"/>
      <c r="D161" s="456"/>
      <c r="E161" s="447"/>
      <c r="F161" s="447"/>
      <c r="G161" s="447"/>
      <c r="H161" s="447"/>
      <c r="I161" s="447"/>
      <c r="J161" s="447"/>
      <c r="K161" s="447"/>
      <c r="L161" s="447"/>
      <c r="M161" s="447"/>
      <c r="N161" s="447"/>
      <c r="O161" s="447"/>
      <c r="P161" s="447"/>
      <c r="Q161" s="447"/>
      <c r="R161" s="447"/>
      <c r="S161" s="447"/>
      <c r="T161" s="447"/>
      <c r="U161" s="447"/>
      <c r="V161" s="447"/>
      <c r="W161" s="447"/>
      <c r="X161" s="447"/>
      <c r="Y161" s="447"/>
      <c r="Z161" s="447"/>
      <c r="AA161" s="447"/>
    </row>
    <row r="162" spans="1:27">
      <c r="A162" s="450" t="s">
        <v>4034</v>
      </c>
      <c r="B162" s="449" t="s">
        <v>4816</v>
      </c>
      <c r="C162" s="454"/>
      <c r="D162" s="456"/>
      <c r="E162" s="447"/>
      <c r="F162" s="447"/>
      <c r="G162" s="447"/>
      <c r="H162" s="447"/>
      <c r="I162" s="447"/>
      <c r="J162" s="447"/>
      <c r="K162" s="447"/>
      <c r="L162" s="447"/>
      <c r="M162" s="447"/>
      <c r="N162" s="447"/>
      <c r="O162" s="447"/>
      <c r="P162" s="447"/>
      <c r="Q162" s="447"/>
      <c r="R162" s="447"/>
      <c r="S162" s="447"/>
      <c r="T162" s="447"/>
      <c r="U162" s="447"/>
      <c r="V162" s="447"/>
      <c r="W162" s="447"/>
      <c r="X162" s="447"/>
      <c r="Y162" s="447"/>
      <c r="Z162" s="447"/>
      <c r="AA162" s="447"/>
    </row>
    <row r="163" spans="1:27">
      <c r="A163" s="450" t="s">
        <v>4083</v>
      </c>
      <c r="B163" s="449" t="s">
        <v>4817</v>
      </c>
      <c r="C163" s="454"/>
      <c r="D163" s="456"/>
      <c r="E163" s="447"/>
      <c r="F163" s="447"/>
      <c r="G163" s="447"/>
      <c r="H163" s="447"/>
      <c r="I163" s="447"/>
      <c r="J163" s="447"/>
      <c r="K163" s="447"/>
      <c r="L163" s="447"/>
      <c r="M163" s="447"/>
      <c r="N163" s="447"/>
      <c r="O163" s="447"/>
      <c r="P163" s="447"/>
      <c r="Q163" s="447"/>
      <c r="R163" s="447"/>
      <c r="S163" s="447"/>
      <c r="T163" s="447"/>
      <c r="U163" s="447"/>
      <c r="V163" s="447"/>
      <c r="W163" s="447"/>
      <c r="X163" s="447"/>
      <c r="Y163" s="447"/>
      <c r="Z163" s="447"/>
      <c r="AA163" s="447"/>
    </row>
    <row r="164" spans="1:27">
      <c r="A164" s="450" t="s">
        <v>4093</v>
      </c>
      <c r="B164" s="449" t="s">
        <v>4818</v>
      </c>
      <c r="C164" s="454"/>
      <c r="D164" s="456"/>
      <c r="E164" s="447"/>
      <c r="F164" s="447"/>
      <c r="G164" s="447"/>
      <c r="H164" s="447"/>
      <c r="I164" s="447"/>
      <c r="J164" s="447"/>
      <c r="K164" s="447"/>
      <c r="L164" s="447"/>
      <c r="M164" s="447"/>
      <c r="N164" s="447"/>
      <c r="O164" s="447"/>
      <c r="P164" s="447"/>
      <c r="Q164" s="447"/>
      <c r="R164" s="447"/>
      <c r="S164" s="447"/>
      <c r="T164" s="447"/>
      <c r="U164" s="447"/>
      <c r="V164" s="447"/>
      <c r="W164" s="447"/>
      <c r="X164" s="447"/>
      <c r="Y164" s="447"/>
      <c r="Z164" s="447"/>
      <c r="AA164" s="447"/>
    </row>
    <row r="165" spans="1:27">
      <c r="A165" s="450" t="s">
        <v>4095</v>
      </c>
      <c r="B165" s="449" t="s">
        <v>4819</v>
      </c>
      <c r="C165" s="450" t="s">
        <v>4563</v>
      </c>
      <c r="D165" s="456"/>
      <c r="E165" s="447"/>
      <c r="F165" s="447"/>
      <c r="G165" s="447"/>
      <c r="H165" s="447"/>
      <c r="I165" s="447"/>
      <c r="J165" s="447"/>
      <c r="K165" s="447"/>
      <c r="L165" s="447"/>
      <c r="M165" s="447"/>
      <c r="N165" s="447"/>
      <c r="O165" s="447"/>
      <c r="P165" s="447"/>
      <c r="Q165" s="447"/>
      <c r="R165" s="447"/>
      <c r="S165" s="447"/>
      <c r="T165" s="447"/>
      <c r="U165" s="447"/>
      <c r="V165" s="447"/>
      <c r="W165" s="447"/>
      <c r="X165" s="447"/>
      <c r="Y165" s="447"/>
      <c r="Z165" s="447"/>
      <c r="AA165" s="447"/>
    </row>
    <row r="166" spans="1:27">
      <c r="A166" s="450" t="s">
        <v>4113</v>
      </c>
      <c r="B166" s="449" t="s">
        <v>4820</v>
      </c>
      <c r="C166" s="454"/>
      <c r="D166" s="456"/>
      <c r="E166" s="447"/>
      <c r="F166" s="447"/>
      <c r="G166" s="447"/>
      <c r="H166" s="447"/>
      <c r="I166" s="447"/>
      <c r="J166" s="447"/>
      <c r="K166" s="447"/>
      <c r="L166" s="447"/>
      <c r="M166" s="447"/>
      <c r="N166" s="447"/>
      <c r="O166" s="447"/>
      <c r="P166" s="447"/>
      <c r="Q166" s="447"/>
      <c r="R166" s="447"/>
      <c r="S166" s="447"/>
      <c r="T166" s="447"/>
      <c r="U166" s="447"/>
      <c r="V166" s="447"/>
      <c r="W166" s="447"/>
      <c r="X166" s="447"/>
      <c r="Y166" s="447"/>
      <c r="Z166" s="447"/>
      <c r="AA166" s="447"/>
    </row>
    <row r="167" spans="1:27">
      <c r="A167" s="450" t="s">
        <v>4123</v>
      </c>
      <c r="B167" s="449" t="s">
        <v>4821</v>
      </c>
      <c r="C167" s="454"/>
      <c r="D167" s="456"/>
      <c r="E167" s="447"/>
      <c r="F167" s="447"/>
      <c r="G167" s="447"/>
      <c r="H167" s="447"/>
      <c r="I167" s="447"/>
      <c r="J167" s="447"/>
      <c r="K167" s="447"/>
      <c r="L167" s="447"/>
      <c r="M167" s="447"/>
      <c r="N167" s="447"/>
      <c r="O167" s="447"/>
      <c r="P167" s="447"/>
      <c r="Q167" s="447"/>
      <c r="R167" s="447"/>
      <c r="S167" s="447"/>
      <c r="T167" s="447"/>
      <c r="U167" s="447"/>
      <c r="V167" s="447"/>
      <c r="W167" s="447"/>
      <c r="X167" s="447"/>
      <c r="Y167" s="447"/>
      <c r="Z167" s="447"/>
      <c r="AA167" s="447"/>
    </row>
    <row r="168" spans="1:27">
      <c r="A168" s="450" t="s">
        <v>4127</v>
      </c>
      <c r="B168" s="449" t="s">
        <v>4822</v>
      </c>
      <c r="C168" s="454"/>
      <c r="D168" s="456"/>
      <c r="E168" s="447"/>
      <c r="F168" s="447"/>
      <c r="G168" s="447"/>
      <c r="H168" s="447"/>
      <c r="I168" s="447"/>
      <c r="J168" s="447"/>
      <c r="K168" s="447"/>
      <c r="L168" s="447"/>
      <c r="M168" s="447"/>
      <c r="N168" s="447"/>
      <c r="O168" s="447"/>
      <c r="P168" s="447"/>
      <c r="Q168" s="447"/>
      <c r="R168" s="447"/>
      <c r="S168" s="447"/>
      <c r="T168" s="447"/>
      <c r="U168" s="447"/>
      <c r="V168" s="447"/>
      <c r="W168" s="447"/>
      <c r="X168" s="447"/>
      <c r="Y168" s="447"/>
      <c r="Z168" s="447"/>
      <c r="AA168" s="447"/>
    </row>
    <row r="169" spans="1:27">
      <c r="A169" s="450" t="s">
        <v>4147</v>
      </c>
      <c r="B169" s="449" t="s">
        <v>4823</v>
      </c>
      <c r="C169" s="454"/>
      <c r="D169" s="456"/>
      <c r="E169" s="447"/>
      <c r="F169" s="447"/>
      <c r="G169" s="447"/>
      <c r="H169" s="447"/>
      <c r="I169" s="447"/>
      <c r="J169" s="447"/>
      <c r="K169" s="447"/>
      <c r="L169" s="447"/>
      <c r="M169" s="447"/>
      <c r="N169" s="447"/>
      <c r="O169" s="447"/>
      <c r="P169" s="447"/>
      <c r="Q169" s="447"/>
      <c r="R169" s="447"/>
      <c r="S169" s="447"/>
      <c r="T169" s="447"/>
      <c r="U169" s="447"/>
      <c r="V169" s="447"/>
      <c r="W169" s="447"/>
      <c r="X169" s="447"/>
      <c r="Y169" s="447"/>
      <c r="Z169" s="447"/>
      <c r="AA169" s="447"/>
    </row>
    <row r="170" spans="1:27">
      <c r="A170" s="461" t="s">
        <v>4159</v>
      </c>
      <c r="B170" s="461" t="s">
        <v>4824</v>
      </c>
      <c r="C170" s="462"/>
      <c r="D170" s="463"/>
      <c r="E170" s="447"/>
      <c r="F170" s="447"/>
      <c r="G170" s="447"/>
      <c r="H170" s="447"/>
      <c r="I170" s="447"/>
      <c r="J170" s="447"/>
      <c r="K170" s="447"/>
      <c r="L170" s="447"/>
      <c r="M170" s="447"/>
      <c r="N170" s="447"/>
      <c r="O170" s="447"/>
      <c r="P170" s="447"/>
      <c r="Q170" s="447"/>
      <c r="R170" s="447"/>
      <c r="S170" s="447"/>
      <c r="T170" s="447"/>
      <c r="U170" s="447"/>
      <c r="V170" s="447"/>
      <c r="W170" s="447"/>
      <c r="X170" s="447"/>
      <c r="Y170" s="447"/>
      <c r="Z170" s="447"/>
      <c r="AA170" s="447"/>
    </row>
    <row r="171" spans="1:27">
      <c r="A171" s="464" t="s">
        <v>4181</v>
      </c>
      <c r="B171" s="464" t="s">
        <v>4825</v>
      </c>
      <c r="C171" s="463"/>
      <c r="D171" s="463"/>
      <c r="E171" s="447"/>
      <c r="F171" s="447"/>
      <c r="G171" s="447"/>
      <c r="H171" s="447"/>
      <c r="I171" s="447"/>
      <c r="J171" s="447"/>
      <c r="K171" s="447"/>
      <c r="L171" s="447"/>
      <c r="M171" s="447"/>
      <c r="N171" s="447"/>
      <c r="O171" s="447"/>
      <c r="P171" s="447"/>
      <c r="Q171" s="447"/>
      <c r="R171" s="447"/>
      <c r="S171" s="447"/>
      <c r="T171" s="447"/>
      <c r="U171" s="447"/>
      <c r="V171" s="447"/>
      <c r="W171" s="447"/>
      <c r="X171" s="447"/>
      <c r="Y171" s="447"/>
      <c r="Z171" s="447"/>
      <c r="AA171" s="447"/>
    </row>
    <row r="172" spans="1:27">
      <c r="A172" s="464" t="s">
        <v>4197</v>
      </c>
      <c r="B172" s="464" t="s">
        <v>4826</v>
      </c>
      <c r="C172" s="463"/>
      <c r="D172" s="463"/>
      <c r="E172" s="447"/>
      <c r="F172" s="447"/>
      <c r="G172" s="447"/>
      <c r="H172" s="447"/>
      <c r="I172" s="447"/>
      <c r="J172" s="447"/>
      <c r="K172" s="447"/>
      <c r="L172" s="447"/>
      <c r="M172" s="447"/>
      <c r="N172" s="447"/>
      <c r="O172" s="447"/>
      <c r="P172" s="447"/>
      <c r="Q172" s="447"/>
      <c r="R172" s="447"/>
      <c r="S172" s="447"/>
      <c r="T172" s="447"/>
      <c r="U172" s="447"/>
      <c r="V172" s="447"/>
      <c r="W172" s="447"/>
      <c r="X172" s="447"/>
      <c r="Y172" s="447"/>
      <c r="Z172" s="447"/>
      <c r="AA172" s="447"/>
    </row>
    <row r="173" spans="1:27">
      <c r="A173" s="464" t="s">
        <v>4200</v>
      </c>
      <c r="B173" s="464" t="s">
        <v>4626</v>
      </c>
      <c r="C173" s="463"/>
      <c r="D173" s="463"/>
      <c r="E173" s="447"/>
      <c r="F173" s="447"/>
      <c r="G173" s="447"/>
      <c r="H173" s="447"/>
      <c r="I173" s="447"/>
      <c r="J173" s="447"/>
      <c r="K173" s="447"/>
      <c r="L173" s="447"/>
      <c r="M173" s="447"/>
      <c r="N173" s="447"/>
      <c r="O173" s="447"/>
      <c r="P173" s="447"/>
      <c r="Q173" s="447"/>
      <c r="R173" s="447"/>
      <c r="S173" s="447"/>
      <c r="T173" s="447"/>
      <c r="U173" s="447"/>
      <c r="V173" s="447"/>
      <c r="W173" s="447"/>
      <c r="X173" s="447"/>
      <c r="Y173" s="447"/>
      <c r="Z173" s="447"/>
      <c r="AA173" s="447"/>
    </row>
    <row r="174" spans="1:27">
      <c r="A174" s="465"/>
      <c r="B174" s="466"/>
      <c r="C174" s="465"/>
      <c r="D174" s="467"/>
      <c r="E174" s="447"/>
      <c r="F174" s="447"/>
      <c r="G174" s="447"/>
      <c r="H174" s="447"/>
      <c r="I174" s="447"/>
      <c r="J174" s="447"/>
      <c r="K174" s="447"/>
      <c r="L174" s="447"/>
      <c r="M174" s="447"/>
      <c r="N174" s="447"/>
      <c r="O174" s="447"/>
      <c r="P174" s="447"/>
      <c r="Q174" s="447"/>
      <c r="R174" s="447"/>
      <c r="S174" s="447"/>
      <c r="T174" s="447"/>
      <c r="U174" s="447"/>
      <c r="V174" s="447"/>
      <c r="W174" s="447"/>
      <c r="X174" s="447"/>
      <c r="Y174" s="447"/>
      <c r="Z174" s="447"/>
      <c r="AA174" s="447"/>
    </row>
    <row r="175" spans="1:27">
      <c r="A175" s="465"/>
      <c r="B175" s="466"/>
      <c r="C175" s="465"/>
      <c r="D175" s="467"/>
      <c r="E175" s="447"/>
      <c r="F175" s="447"/>
      <c r="G175" s="447"/>
      <c r="H175" s="447"/>
      <c r="I175" s="447"/>
      <c r="J175" s="447"/>
      <c r="K175" s="447"/>
      <c r="L175" s="447"/>
      <c r="M175" s="447"/>
      <c r="N175" s="447"/>
      <c r="O175" s="447"/>
      <c r="P175" s="447"/>
      <c r="Q175" s="447"/>
      <c r="R175" s="447"/>
      <c r="S175" s="447"/>
      <c r="T175" s="447"/>
      <c r="U175" s="447"/>
      <c r="V175" s="447"/>
      <c r="W175" s="447"/>
      <c r="X175" s="447"/>
      <c r="Y175" s="447"/>
      <c r="Z175" s="447"/>
      <c r="AA175" s="447"/>
    </row>
    <row r="176" spans="1:27">
      <c r="A176" s="465"/>
      <c r="B176" s="461"/>
      <c r="C176" s="461"/>
      <c r="D176" s="462"/>
      <c r="E176" s="463"/>
      <c r="F176" s="447"/>
      <c r="G176" s="447"/>
      <c r="H176" s="447"/>
      <c r="I176" s="447"/>
      <c r="J176" s="447"/>
      <c r="K176" s="447"/>
      <c r="L176" s="447"/>
      <c r="M176" s="447"/>
      <c r="N176" s="447"/>
      <c r="O176" s="447"/>
      <c r="P176" s="447"/>
      <c r="Q176" s="447"/>
      <c r="R176" s="447"/>
      <c r="S176" s="447"/>
      <c r="T176" s="447"/>
      <c r="U176" s="447"/>
      <c r="V176" s="447"/>
      <c r="W176" s="447"/>
      <c r="X176" s="447"/>
      <c r="Y176" s="447"/>
      <c r="Z176" s="447"/>
      <c r="AA176" s="447"/>
    </row>
    <row r="177" spans="1:27">
      <c r="A177" s="465"/>
      <c r="B177" s="466"/>
      <c r="C177" s="465"/>
      <c r="D177" s="467"/>
      <c r="E177" s="447"/>
      <c r="F177" s="447"/>
      <c r="G177" s="447"/>
      <c r="H177" s="447"/>
      <c r="I177" s="447"/>
      <c r="J177" s="447"/>
      <c r="K177" s="447"/>
      <c r="L177" s="447"/>
      <c r="M177" s="447"/>
      <c r="N177" s="447"/>
      <c r="O177" s="447"/>
      <c r="P177" s="447"/>
      <c r="Q177" s="447"/>
      <c r="R177" s="447"/>
      <c r="S177" s="447"/>
      <c r="T177" s="447"/>
      <c r="U177" s="447"/>
      <c r="V177" s="447"/>
      <c r="W177" s="447"/>
      <c r="X177" s="447"/>
      <c r="Y177" s="447"/>
      <c r="Z177" s="447"/>
      <c r="AA177" s="447"/>
    </row>
    <row r="178" spans="1:27">
      <c r="A178" s="465"/>
      <c r="B178" s="466"/>
      <c r="C178" s="465"/>
      <c r="D178" s="467"/>
      <c r="E178" s="447"/>
      <c r="F178" s="447"/>
      <c r="G178" s="447"/>
      <c r="H178" s="447"/>
      <c r="I178" s="447"/>
      <c r="J178" s="447"/>
      <c r="K178" s="447"/>
      <c r="L178" s="447"/>
      <c r="M178" s="447"/>
      <c r="N178" s="447"/>
      <c r="O178" s="447"/>
      <c r="P178" s="447"/>
      <c r="Q178" s="447"/>
      <c r="R178" s="447"/>
      <c r="S178" s="447"/>
      <c r="T178" s="447"/>
      <c r="U178" s="447"/>
      <c r="V178" s="447"/>
      <c r="W178" s="447"/>
      <c r="X178" s="447"/>
      <c r="Y178" s="447"/>
      <c r="Z178" s="447"/>
      <c r="AA178" s="447"/>
    </row>
    <row r="179" spans="1:27">
      <c r="A179" s="465"/>
      <c r="B179" s="466"/>
      <c r="C179" s="465"/>
      <c r="D179" s="467"/>
      <c r="E179" s="447"/>
      <c r="F179" s="447"/>
      <c r="G179" s="447"/>
      <c r="H179" s="447"/>
      <c r="I179" s="447"/>
      <c r="J179" s="447"/>
      <c r="K179" s="447"/>
      <c r="L179" s="447"/>
      <c r="M179" s="447"/>
      <c r="N179" s="447"/>
      <c r="O179" s="447"/>
      <c r="P179" s="447"/>
      <c r="Q179" s="447"/>
      <c r="R179" s="447"/>
      <c r="S179" s="447"/>
      <c r="T179" s="447"/>
      <c r="U179" s="447"/>
      <c r="V179" s="447"/>
      <c r="W179" s="447"/>
      <c r="X179" s="447"/>
      <c r="Y179" s="447"/>
      <c r="Z179" s="447"/>
      <c r="AA179" s="447"/>
    </row>
    <row r="180" spans="1:27">
      <c r="A180" s="465"/>
      <c r="B180" s="466"/>
      <c r="C180" s="465"/>
      <c r="D180" s="467"/>
      <c r="E180" s="447"/>
      <c r="F180" s="447"/>
      <c r="G180" s="447"/>
      <c r="H180" s="447"/>
      <c r="I180" s="447"/>
      <c r="J180" s="447"/>
      <c r="K180" s="447"/>
      <c r="L180" s="447"/>
      <c r="M180" s="447"/>
      <c r="N180" s="447"/>
      <c r="O180" s="447"/>
      <c r="P180" s="447"/>
      <c r="Q180" s="447"/>
      <c r="R180" s="447"/>
      <c r="S180" s="447"/>
      <c r="T180" s="447"/>
      <c r="U180" s="447"/>
      <c r="V180" s="447"/>
      <c r="W180" s="447"/>
      <c r="X180" s="447"/>
      <c r="Y180" s="447"/>
      <c r="Z180" s="447"/>
      <c r="AA180" s="447"/>
    </row>
    <row r="181" spans="1:27">
      <c r="A181" s="465"/>
      <c r="B181" s="466"/>
      <c r="C181" s="465"/>
      <c r="D181" s="467"/>
      <c r="E181" s="447"/>
      <c r="F181" s="447"/>
      <c r="G181" s="447"/>
      <c r="H181" s="447"/>
      <c r="I181" s="447"/>
      <c r="J181" s="447"/>
      <c r="K181" s="447"/>
      <c r="L181" s="447"/>
      <c r="M181" s="447"/>
      <c r="N181" s="447"/>
      <c r="O181" s="447"/>
      <c r="P181" s="447"/>
      <c r="Q181" s="447"/>
      <c r="R181" s="447"/>
      <c r="S181" s="447"/>
      <c r="T181" s="447"/>
      <c r="U181" s="447"/>
      <c r="V181" s="447"/>
      <c r="W181" s="447"/>
      <c r="X181" s="447"/>
      <c r="Y181" s="447"/>
      <c r="Z181" s="447"/>
      <c r="AA181" s="447"/>
    </row>
    <row r="182" spans="1:27">
      <c r="A182" s="465"/>
      <c r="B182" s="466"/>
      <c r="C182" s="465"/>
      <c r="D182" s="467"/>
      <c r="E182" s="447"/>
      <c r="F182" s="447"/>
      <c r="G182" s="447"/>
      <c r="H182" s="447"/>
      <c r="I182" s="447"/>
      <c r="J182" s="447"/>
      <c r="K182" s="447"/>
      <c r="L182" s="447"/>
      <c r="M182" s="447"/>
      <c r="N182" s="447"/>
      <c r="O182" s="447"/>
      <c r="P182" s="447"/>
      <c r="Q182" s="447"/>
      <c r="R182" s="447"/>
      <c r="S182" s="447"/>
      <c r="T182" s="447"/>
      <c r="U182" s="447"/>
      <c r="V182" s="447"/>
      <c r="W182" s="447"/>
      <c r="X182" s="447"/>
      <c r="Y182" s="447"/>
      <c r="Z182" s="447"/>
      <c r="AA182" s="447"/>
    </row>
    <row r="183" spans="1:27">
      <c r="A183" s="465"/>
      <c r="B183" s="466"/>
      <c r="C183" s="465"/>
      <c r="D183" s="467"/>
      <c r="E183" s="447"/>
      <c r="F183" s="447"/>
      <c r="G183" s="447"/>
      <c r="H183" s="447"/>
      <c r="I183" s="447"/>
      <c r="J183" s="447"/>
      <c r="K183" s="447"/>
      <c r="L183" s="447"/>
      <c r="M183" s="447"/>
      <c r="N183" s="447"/>
      <c r="O183" s="447"/>
      <c r="P183" s="447"/>
      <c r="Q183" s="447"/>
      <c r="R183" s="447"/>
      <c r="S183" s="447"/>
      <c r="T183" s="447"/>
      <c r="U183" s="447"/>
      <c r="V183" s="447"/>
      <c r="W183" s="447"/>
      <c r="X183" s="447"/>
      <c r="Y183" s="447"/>
      <c r="Z183" s="447"/>
      <c r="AA183" s="447"/>
    </row>
    <row r="184" spans="1:27">
      <c r="A184" s="465"/>
      <c r="B184" s="466"/>
      <c r="C184" s="465"/>
      <c r="D184" s="467"/>
      <c r="E184" s="447"/>
      <c r="F184" s="447"/>
      <c r="G184" s="447"/>
      <c r="H184" s="447"/>
      <c r="I184" s="447"/>
      <c r="J184" s="447"/>
      <c r="K184" s="447"/>
      <c r="L184" s="447"/>
      <c r="M184" s="447"/>
      <c r="N184" s="447"/>
      <c r="O184" s="447"/>
      <c r="P184" s="447"/>
      <c r="Q184" s="447"/>
      <c r="R184" s="447"/>
      <c r="S184" s="447"/>
      <c r="T184" s="447"/>
      <c r="U184" s="447"/>
      <c r="V184" s="447"/>
      <c r="W184" s="447"/>
      <c r="X184" s="447"/>
      <c r="Y184" s="447"/>
      <c r="Z184" s="447"/>
      <c r="AA184" s="447"/>
    </row>
    <row r="185" spans="1:27">
      <c r="A185" s="465"/>
      <c r="B185" s="466"/>
      <c r="C185" s="465"/>
      <c r="D185" s="467"/>
      <c r="E185" s="447"/>
      <c r="F185" s="447"/>
      <c r="G185" s="447"/>
      <c r="H185" s="447"/>
      <c r="I185" s="447"/>
      <c r="J185" s="447"/>
      <c r="K185" s="447"/>
      <c r="L185" s="447"/>
      <c r="M185" s="447"/>
      <c r="N185" s="447"/>
      <c r="O185" s="447"/>
      <c r="P185" s="447"/>
      <c r="Q185" s="447"/>
      <c r="R185" s="447"/>
      <c r="S185" s="447"/>
      <c r="T185" s="447"/>
      <c r="U185" s="447"/>
      <c r="V185" s="447"/>
      <c r="W185" s="447"/>
      <c r="X185" s="447"/>
      <c r="Y185" s="447"/>
      <c r="Z185" s="447"/>
      <c r="AA185" s="447"/>
    </row>
    <row r="186" spans="1:27">
      <c r="A186" s="465"/>
      <c r="B186" s="466"/>
      <c r="C186" s="465"/>
      <c r="D186" s="467"/>
      <c r="E186" s="447"/>
      <c r="F186" s="447"/>
      <c r="G186" s="447"/>
      <c r="H186" s="447"/>
      <c r="I186" s="447"/>
      <c r="J186" s="447"/>
      <c r="K186" s="447"/>
      <c r="L186" s="447"/>
      <c r="M186" s="447"/>
      <c r="N186" s="447"/>
      <c r="O186" s="447"/>
      <c r="P186" s="447"/>
      <c r="Q186" s="447"/>
      <c r="R186" s="447"/>
      <c r="S186" s="447"/>
      <c r="T186" s="447"/>
      <c r="U186" s="447"/>
      <c r="V186" s="447"/>
      <c r="W186" s="447"/>
      <c r="X186" s="447"/>
      <c r="Y186" s="447"/>
      <c r="Z186" s="447"/>
      <c r="AA186" s="447"/>
    </row>
    <row r="187" spans="1:27">
      <c r="A187" s="465"/>
      <c r="B187" s="466"/>
      <c r="C187" s="465"/>
      <c r="D187" s="467"/>
      <c r="E187" s="447"/>
      <c r="F187" s="447"/>
      <c r="G187" s="447"/>
      <c r="H187" s="447"/>
      <c r="I187" s="447"/>
      <c r="J187" s="447"/>
      <c r="K187" s="447"/>
      <c r="L187" s="447"/>
      <c r="M187" s="447"/>
      <c r="N187" s="447"/>
      <c r="O187" s="447"/>
      <c r="P187" s="447"/>
      <c r="Q187" s="447"/>
      <c r="R187" s="447"/>
      <c r="S187" s="447"/>
      <c r="T187" s="447"/>
      <c r="U187" s="447"/>
      <c r="V187" s="447"/>
      <c r="W187" s="447"/>
      <c r="X187" s="447"/>
      <c r="Y187" s="447"/>
      <c r="Z187" s="447"/>
      <c r="AA187" s="447"/>
    </row>
    <row r="188" spans="1:27">
      <c r="A188" s="465"/>
      <c r="B188" s="466"/>
      <c r="C188" s="465"/>
      <c r="D188" s="467"/>
      <c r="E188" s="447"/>
      <c r="F188" s="447"/>
      <c r="G188" s="447"/>
      <c r="H188" s="447"/>
      <c r="I188" s="447"/>
      <c r="J188" s="447"/>
      <c r="K188" s="447"/>
      <c r="L188" s="447"/>
      <c r="M188" s="447"/>
      <c r="N188" s="447"/>
      <c r="O188" s="447"/>
      <c r="P188" s="447"/>
      <c r="Q188" s="447"/>
      <c r="R188" s="447"/>
      <c r="S188" s="447"/>
      <c r="T188" s="447"/>
      <c r="U188" s="447"/>
      <c r="V188" s="447"/>
      <c r="W188" s="447"/>
      <c r="X188" s="447"/>
      <c r="Y188" s="447"/>
      <c r="Z188" s="447"/>
      <c r="AA188" s="447"/>
    </row>
    <row r="189" spans="1:27">
      <c r="A189" s="465"/>
      <c r="B189" s="466"/>
      <c r="C189" s="465"/>
      <c r="D189" s="467"/>
      <c r="E189" s="447"/>
      <c r="F189" s="447"/>
      <c r="G189" s="447"/>
      <c r="H189" s="447"/>
      <c r="I189" s="447"/>
      <c r="J189" s="447"/>
      <c r="K189" s="447"/>
      <c r="L189" s="447"/>
      <c r="M189" s="447"/>
      <c r="N189" s="447"/>
      <c r="O189" s="447"/>
      <c r="P189" s="447"/>
      <c r="Q189" s="447"/>
      <c r="R189" s="447"/>
      <c r="S189" s="447"/>
      <c r="T189" s="447"/>
      <c r="U189" s="447"/>
      <c r="V189" s="447"/>
      <c r="W189" s="447"/>
      <c r="X189" s="447"/>
      <c r="Y189" s="447"/>
      <c r="Z189" s="447"/>
      <c r="AA189" s="447"/>
    </row>
    <row r="190" spans="1:27">
      <c r="A190" s="465"/>
      <c r="B190" s="466"/>
      <c r="C190" s="465"/>
      <c r="D190" s="467"/>
      <c r="E190" s="447"/>
      <c r="F190" s="447"/>
      <c r="G190" s="447"/>
      <c r="H190" s="447"/>
      <c r="I190" s="447"/>
      <c r="J190" s="447"/>
      <c r="K190" s="447"/>
      <c r="L190" s="447"/>
      <c r="M190" s="447"/>
      <c r="N190" s="447"/>
      <c r="O190" s="447"/>
      <c r="P190" s="447"/>
      <c r="Q190" s="447"/>
      <c r="R190" s="447"/>
      <c r="S190" s="447"/>
      <c r="T190" s="447"/>
      <c r="U190" s="447"/>
      <c r="V190" s="447"/>
      <c r="W190" s="447"/>
      <c r="X190" s="447"/>
      <c r="Y190" s="447"/>
      <c r="Z190" s="447"/>
      <c r="AA190" s="447"/>
    </row>
    <row r="191" spans="1:27">
      <c r="A191" s="465"/>
      <c r="B191" s="466"/>
      <c r="C191" s="465"/>
      <c r="D191" s="467"/>
      <c r="E191" s="447"/>
      <c r="F191" s="447"/>
      <c r="G191" s="447"/>
      <c r="H191" s="447"/>
      <c r="I191" s="447"/>
      <c r="J191" s="447"/>
      <c r="K191" s="447"/>
      <c r="L191" s="447"/>
      <c r="M191" s="447"/>
      <c r="N191" s="447"/>
      <c r="O191" s="447"/>
      <c r="P191" s="447"/>
      <c r="Q191" s="447"/>
      <c r="R191" s="447"/>
      <c r="S191" s="447"/>
      <c r="T191" s="447"/>
      <c r="U191" s="447"/>
      <c r="V191" s="447"/>
      <c r="W191" s="447"/>
      <c r="X191" s="447"/>
      <c r="Y191" s="447"/>
      <c r="Z191" s="447"/>
      <c r="AA191" s="447"/>
    </row>
    <row r="192" spans="1:27">
      <c r="A192" s="465"/>
      <c r="B192" s="466"/>
      <c r="C192" s="465"/>
      <c r="D192" s="467"/>
      <c r="E192" s="447"/>
      <c r="F192" s="447"/>
      <c r="G192" s="447"/>
      <c r="H192" s="447"/>
      <c r="I192" s="447"/>
      <c r="J192" s="447"/>
      <c r="K192" s="447"/>
      <c r="L192" s="447"/>
      <c r="M192" s="447"/>
      <c r="N192" s="447"/>
      <c r="O192" s="447"/>
      <c r="P192" s="447"/>
      <c r="Q192" s="447"/>
      <c r="R192" s="447"/>
      <c r="S192" s="447"/>
      <c r="T192" s="447"/>
      <c r="U192" s="447"/>
      <c r="V192" s="447"/>
      <c r="W192" s="447"/>
      <c r="X192" s="447"/>
      <c r="Y192" s="447"/>
      <c r="Z192" s="447"/>
      <c r="AA192" s="447"/>
    </row>
    <row r="193" spans="1:27">
      <c r="A193" s="465"/>
      <c r="B193" s="466"/>
      <c r="C193" s="465"/>
      <c r="D193" s="467"/>
      <c r="E193" s="447"/>
      <c r="F193" s="447"/>
      <c r="G193" s="447"/>
      <c r="H193" s="447"/>
      <c r="I193" s="447"/>
      <c r="J193" s="447"/>
      <c r="K193" s="447"/>
      <c r="L193" s="447"/>
      <c r="M193" s="447"/>
      <c r="N193" s="447"/>
      <c r="O193" s="447"/>
      <c r="P193" s="447"/>
      <c r="Q193" s="447"/>
      <c r="R193" s="447"/>
      <c r="S193" s="447"/>
      <c r="T193" s="447"/>
      <c r="U193" s="447"/>
      <c r="V193" s="447"/>
      <c r="W193" s="447"/>
      <c r="X193" s="447"/>
      <c r="Y193" s="447"/>
      <c r="Z193" s="447"/>
      <c r="AA193" s="447"/>
    </row>
    <row r="194" spans="1:27">
      <c r="A194" s="465"/>
      <c r="B194" s="466"/>
      <c r="C194" s="465"/>
      <c r="D194" s="467"/>
      <c r="E194" s="447"/>
      <c r="F194" s="447"/>
      <c r="G194" s="447"/>
      <c r="H194" s="447"/>
      <c r="I194" s="447"/>
      <c r="J194" s="447"/>
      <c r="K194" s="447"/>
      <c r="L194" s="447"/>
      <c r="M194" s="447"/>
      <c r="N194" s="447"/>
      <c r="O194" s="447"/>
      <c r="P194" s="447"/>
      <c r="Q194" s="447"/>
      <c r="R194" s="447"/>
      <c r="S194" s="447"/>
      <c r="T194" s="447"/>
      <c r="U194" s="447"/>
      <c r="V194" s="447"/>
      <c r="W194" s="447"/>
      <c r="X194" s="447"/>
      <c r="Y194" s="447"/>
      <c r="Z194" s="447"/>
      <c r="AA194" s="447"/>
    </row>
    <row r="195" spans="1:27">
      <c r="A195" s="465"/>
      <c r="B195" s="466"/>
      <c r="C195" s="465"/>
      <c r="D195" s="467"/>
      <c r="E195" s="447"/>
      <c r="F195" s="447"/>
      <c r="G195" s="447"/>
      <c r="H195" s="447"/>
      <c r="I195" s="447"/>
      <c r="J195" s="447"/>
      <c r="K195" s="447"/>
      <c r="L195" s="447"/>
      <c r="M195" s="447"/>
      <c r="N195" s="447"/>
      <c r="O195" s="447"/>
      <c r="P195" s="447"/>
      <c r="Q195" s="447"/>
      <c r="R195" s="447"/>
      <c r="S195" s="447"/>
      <c r="T195" s="447"/>
      <c r="U195" s="447"/>
      <c r="V195" s="447"/>
      <c r="W195" s="447"/>
      <c r="X195" s="447"/>
      <c r="Y195" s="447"/>
      <c r="Z195" s="447"/>
      <c r="AA195" s="447"/>
    </row>
    <row r="196" spans="1:27">
      <c r="A196" s="465"/>
      <c r="B196" s="466"/>
      <c r="C196" s="465"/>
      <c r="D196" s="467"/>
      <c r="E196" s="447"/>
      <c r="F196" s="447"/>
      <c r="G196" s="447"/>
      <c r="H196" s="447"/>
      <c r="I196" s="447"/>
      <c r="J196" s="447"/>
      <c r="K196" s="447"/>
      <c r="L196" s="447"/>
      <c r="M196" s="447"/>
      <c r="N196" s="447"/>
      <c r="O196" s="447"/>
      <c r="P196" s="447"/>
      <c r="Q196" s="447"/>
      <c r="R196" s="447"/>
      <c r="S196" s="447"/>
      <c r="T196" s="447"/>
      <c r="U196" s="447"/>
      <c r="V196" s="447"/>
      <c r="W196" s="447"/>
      <c r="X196" s="447"/>
      <c r="Y196" s="447"/>
      <c r="Z196" s="447"/>
      <c r="AA196" s="447"/>
    </row>
    <row r="197" spans="1:27">
      <c r="A197" s="465"/>
      <c r="B197" s="466"/>
      <c r="C197" s="465"/>
      <c r="D197" s="467"/>
      <c r="E197" s="447"/>
      <c r="F197" s="447"/>
      <c r="G197" s="447"/>
      <c r="H197" s="447"/>
      <c r="I197" s="447"/>
      <c r="J197" s="447"/>
      <c r="K197" s="447"/>
      <c r="L197" s="447"/>
      <c r="M197" s="447"/>
      <c r="N197" s="447"/>
      <c r="O197" s="447"/>
      <c r="P197" s="447"/>
      <c r="Q197" s="447"/>
      <c r="R197" s="447"/>
      <c r="S197" s="447"/>
      <c r="T197" s="447"/>
      <c r="U197" s="447"/>
      <c r="V197" s="447"/>
      <c r="W197" s="447"/>
      <c r="X197" s="447"/>
      <c r="Y197" s="447"/>
      <c r="Z197" s="447"/>
      <c r="AA197" s="447"/>
    </row>
    <row r="198" spans="1:27">
      <c r="A198" s="465"/>
      <c r="B198" s="466"/>
      <c r="C198" s="465"/>
      <c r="D198" s="467"/>
      <c r="E198" s="447"/>
      <c r="F198" s="447"/>
      <c r="G198" s="447"/>
      <c r="H198" s="447"/>
      <c r="I198" s="447"/>
      <c r="J198" s="447"/>
      <c r="K198" s="447"/>
      <c r="L198" s="447"/>
      <c r="M198" s="447"/>
      <c r="N198" s="447"/>
      <c r="O198" s="447"/>
      <c r="P198" s="447"/>
      <c r="Q198" s="447"/>
      <c r="R198" s="447"/>
      <c r="S198" s="447"/>
      <c r="T198" s="447"/>
      <c r="U198" s="447"/>
      <c r="V198" s="447"/>
      <c r="W198" s="447"/>
      <c r="X198" s="447"/>
      <c r="Y198" s="447"/>
      <c r="Z198" s="447"/>
      <c r="AA198" s="447"/>
    </row>
    <row r="199" spans="1:27">
      <c r="A199" s="465"/>
      <c r="B199" s="466"/>
      <c r="C199" s="465"/>
      <c r="D199" s="467"/>
      <c r="E199" s="447"/>
      <c r="F199" s="447"/>
      <c r="G199" s="447"/>
      <c r="H199" s="447"/>
      <c r="I199" s="447"/>
      <c r="J199" s="447"/>
      <c r="K199" s="447"/>
      <c r="L199" s="447"/>
      <c r="M199" s="447"/>
      <c r="N199" s="447"/>
      <c r="O199" s="447"/>
      <c r="P199" s="447"/>
      <c r="Q199" s="447"/>
      <c r="R199" s="447"/>
      <c r="S199" s="447"/>
      <c r="T199" s="447"/>
      <c r="U199" s="447"/>
      <c r="V199" s="447"/>
      <c r="W199" s="447"/>
      <c r="X199" s="447"/>
      <c r="Y199" s="447"/>
      <c r="Z199" s="447"/>
      <c r="AA199" s="447"/>
    </row>
    <row r="200" spans="1:27">
      <c r="A200" s="465"/>
      <c r="B200" s="466"/>
      <c r="C200" s="465"/>
      <c r="D200" s="467"/>
      <c r="E200" s="447"/>
      <c r="F200" s="447"/>
      <c r="G200" s="447"/>
      <c r="H200" s="447"/>
      <c r="I200" s="447"/>
      <c r="J200" s="447"/>
      <c r="K200" s="447"/>
      <c r="L200" s="447"/>
      <c r="M200" s="447"/>
      <c r="N200" s="447"/>
      <c r="O200" s="447"/>
      <c r="P200" s="447"/>
      <c r="Q200" s="447"/>
      <c r="R200" s="447"/>
      <c r="S200" s="447"/>
      <c r="T200" s="447"/>
      <c r="U200" s="447"/>
      <c r="V200" s="447"/>
      <c r="W200" s="447"/>
      <c r="X200" s="447"/>
      <c r="Y200" s="447"/>
      <c r="Z200" s="447"/>
      <c r="AA200" s="447"/>
    </row>
    <row r="201" spans="1:27">
      <c r="A201" s="465"/>
      <c r="B201" s="466"/>
      <c r="C201" s="465"/>
      <c r="D201" s="467"/>
      <c r="E201" s="447"/>
      <c r="F201" s="447"/>
      <c r="G201" s="447"/>
      <c r="H201" s="447"/>
      <c r="I201" s="447"/>
      <c r="J201" s="447"/>
      <c r="K201" s="447"/>
      <c r="L201" s="447"/>
      <c r="M201" s="447"/>
      <c r="N201" s="447"/>
      <c r="O201" s="447"/>
      <c r="P201" s="447"/>
      <c r="Q201" s="447"/>
      <c r="R201" s="447"/>
      <c r="S201" s="447"/>
      <c r="T201" s="447"/>
      <c r="U201" s="447"/>
      <c r="V201" s="447"/>
      <c r="W201" s="447"/>
      <c r="X201" s="447"/>
      <c r="Y201" s="447"/>
      <c r="Z201" s="447"/>
      <c r="AA201" s="447"/>
    </row>
    <row r="202" spans="1:27">
      <c r="A202" s="465"/>
      <c r="B202" s="466"/>
      <c r="C202" s="465"/>
      <c r="D202" s="467"/>
      <c r="E202" s="447"/>
      <c r="F202" s="447"/>
      <c r="G202" s="447"/>
      <c r="H202" s="447"/>
      <c r="I202" s="447"/>
      <c r="J202" s="447"/>
      <c r="K202" s="447"/>
      <c r="L202" s="447"/>
      <c r="M202" s="447"/>
      <c r="N202" s="447"/>
      <c r="O202" s="447"/>
      <c r="P202" s="447"/>
      <c r="Q202" s="447"/>
      <c r="R202" s="447"/>
      <c r="S202" s="447"/>
      <c r="T202" s="447"/>
      <c r="U202" s="447"/>
      <c r="V202" s="447"/>
      <c r="W202" s="447"/>
      <c r="X202" s="447"/>
      <c r="Y202" s="447"/>
      <c r="Z202" s="447"/>
      <c r="AA202" s="447"/>
    </row>
    <row r="203" spans="1:27">
      <c r="A203" s="465"/>
      <c r="B203" s="466"/>
      <c r="C203" s="465"/>
      <c r="D203" s="467"/>
      <c r="E203" s="447"/>
      <c r="F203" s="447"/>
      <c r="G203" s="447"/>
      <c r="H203" s="447"/>
      <c r="I203" s="447"/>
      <c r="J203" s="447"/>
      <c r="K203" s="447"/>
      <c r="L203" s="447"/>
      <c r="M203" s="447"/>
      <c r="N203" s="447"/>
      <c r="O203" s="447"/>
      <c r="P203" s="447"/>
      <c r="Q203" s="447"/>
      <c r="R203" s="447"/>
      <c r="S203" s="447"/>
      <c r="T203" s="447"/>
      <c r="U203" s="447"/>
      <c r="V203" s="447"/>
      <c r="W203" s="447"/>
      <c r="X203" s="447"/>
      <c r="Y203" s="447"/>
      <c r="Z203" s="447"/>
      <c r="AA203" s="447"/>
    </row>
    <row r="204" spans="1:27">
      <c r="A204" s="465"/>
      <c r="B204" s="466"/>
      <c r="C204" s="465"/>
      <c r="D204" s="467"/>
      <c r="E204" s="447"/>
      <c r="F204" s="447"/>
      <c r="G204" s="447"/>
      <c r="H204" s="447"/>
      <c r="I204" s="447"/>
      <c r="J204" s="447"/>
      <c r="K204" s="447"/>
      <c r="L204" s="447"/>
      <c r="M204" s="447"/>
      <c r="N204" s="447"/>
      <c r="O204" s="447"/>
      <c r="P204" s="447"/>
      <c r="Q204" s="447"/>
      <c r="R204" s="447"/>
      <c r="S204" s="447"/>
      <c r="T204" s="447"/>
      <c r="U204" s="447"/>
      <c r="V204" s="447"/>
      <c r="W204" s="447"/>
      <c r="X204" s="447"/>
      <c r="Y204" s="447"/>
      <c r="Z204" s="447"/>
      <c r="AA204" s="447"/>
    </row>
    <row r="205" spans="1:27">
      <c r="A205" s="465"/>
      <c r="B205" s="466"/>
      <c r="C205" s="465"/>
      <c r="D205" s="467"/>
      <c r="E205" s="447"/>
      <c r="F205" s="447"/>
      <c r="G205" s="447"/>
      <c r="H205" s="447"/>
      <c r="I205" s="447"/>
      <c r="J205" s="447"/>
      <c r="K205" s="447"/>
      <c r="L205" s="447"/>
      <c r="M205" s="447"/>
      <c r="N205" s="447"/>
      <c r="O205" s="447"/>
      <c r="P205" s="447"/>
      <c r="Q205" s="447"/>
      <c r="R205" s="447"/>
      <c r="S205" s="447"/>
      <c r="T205" s="447"/>
      <c r="U205" s="447"/>
      <c r="V205" s="447"/>
      <c r="W205" s="447"/>
      <c r="X205" s="447"/>
      <c r="Y205" s="447"/>
      <c r="Z205" s="447"/>
      <c r="AA205" s="447"/>
    </row>
    <row r="206" spans="1:27">
      <c r="A206" s="465"/>
      <c r="B206" s="466"/>
      <c r="C206" s="465"/>
      <c r="D206" s="467"/>
      <c r="E206" s="447"/>
      <c r="F206" s="447"/>
      <c r="G206" s="447"/>
      <c r="H206" s="447"/>
      <c r="I206" s="447"/>
      <c r="J206" s="447"/>
      <c r="K206" s="447"/>
      <c r="L206" s="447"/>
      <c r="M206" s="447"/>
      <c r="N206" s="447"/>
      <c r="O206" s="447"/>
      <c r="P206" s="447"/>
      <c r="Q206" s="447"/>
      <c r="R206" s="447"/>
      <c r="S206" s="447"/>
      <c r="T206" s="447"/>
      <c r="U206" s="447"/>
      <c r="V206" s="447"/>
      <c r="W206" s="447"/>
      <c r="X206" s="447"/>
      <c r="Y206" s="447"/>
      <c r="Z206" s="447"/>
      <c r="AA206" s="447"/>
    </row>
    <row r="207" spans="1:27">
      <c r="A207" s="465"/>
      <c r="B207" s="466"/>
      <c r="C207" s="465"/>
      <c r="D207" s="467"/>
      <c r="E207" s="447"/>
      <c r="F207" s="447"/>
      <c r="G207" s="447"/>
      <c r="H207" s="447"/>
      <c r="I207" s="447"/>
      <c r="J207" s="447"/>
      <c r="K207" s="447"/>
      <c r="L207" s="447"/>
      <c r="M207" s="447"/>
      <c r="N207" s="447"/>
      <c r="O207" s="447"/>
      <c r="P207" s="447"/>
      <c r="Q207" s="447"/>
      <c r="R207" s="447"/>
      <c r="S207" s="447"/>
      <c r="T207" s="447"/>
      <c r="U207" s="447"/>
      <c r="V207" s="447"/>
      <c r="W207" s="447"/>
      <c r="X207" s="447"/>
      <c r="Y207" s="447"/>
      <c r="Z207" s="447"/>
      <c r="AA207" s="447"/>
    </row>
    <row r="208" spans="1:27">
      <c r="A208" s="465"/>
      <c r="B208" s="466"/>
      <c r="C208" s="465"/>
      <c r="D208" s="467"/>
      <c r="E208" s="447"/>
      <c r="F208" s="447"/>
      <c r="G208" s="447"/>
      <c r="H208" s="447"/>
      <c r="I208" s="447"/>
      <c r="J208" s="447"/>
      <c r="K208" s="447"/>
      <c r="L208" s="447"/>
      <c r="M208" s="447"/>
      <c r="N208" s="447"/>
      <c r="O208" s="447"/>
      <c r="P208" s="447"/>
      <c r="Q208" s="447"/>
      <c r="R208" s="447"/>
      <c r="S208" s="447"/>
      <c r="T208" s="447"/>
      <c r="U208" s="447"/>
      <c r="V208" s="447"/>
      <c r="W208" s="447"/>
      <c r="X208" s="447"/>
      <c r="Y208" s="447"/>
      <c r="Z208" s="447"/>
      <c r="AA208" s="447"/>
    </row>
    <row r="209" spans="1:27">
      <c r="A209" s="465"/>
      <c r="B209" s="466"/>
      <c r="C209" s="465"/>
      <c r="D209" s="467"/>
      <c r="E209" s="447"/>
      <c r="F209" s="447"/>
      <c r="G209" s="447"/>
      <c r="H209" s="447"/>
      <c r="I209" s="447"/>
      <c r="J209" s="447"/>
      <c r="K209" s="447"/>
      <c r="L209" s="447"/>
      <c r="M209" s="447"/>
      <c r="N209" s="447"/>
      <c r="O209" s="447"/>
      <c r="P209" s="447"/>
      <c r="Q209" s="447"/>
      <c r="R209" s="447"/>
      <c r="S209" s="447"/>
      <c r="T209" s="447"/>
      <c r="U209" s="447"/>
      <c r="V209" s="447"/>
      <c r="W209" s="447"/>
      <c r="X209" s="447"/>
      <c r="Y209" s="447"/>
      <c r="Z209" s="447"/>
      <c r="AA209" s="447"/>
    </row>
    <row r="210" spans="1:27">
      <c r="A210" s="465"/>
      <c r="B210" s="466"/>
      <c r="C210" s="465"/>
      <c r="D210" s="467"/>
      <c r="E210" s="447"/>
      <c r="F210" s="447"/>
      <c r="G210" s="447"/>
      <c r="H210" s="447"/>
      <c r="I210" s="447"/>
      <c r="J210" s="447"/>
      <c r="K210" s="447"/>
      <c r="L210" s="447"/>
      <c r="M210" s="447"/>
      <c r="N210" s="447"/>
      <c r="O210" s="447"/>
      <c r="P210" s="447"/>
      <c r="Q210" s="447"/>
      <c r="R210" s="447"/>
      <c r="S210" s="447"/>
      <c r="T210" s="447"/>
      <c r="U210" s="447"/>
      <c r="V210" s="447"/>
      <c r="W210" s="447"/>
      <c r="X210" s="447"/>
      <c r="Y210" s="447"/>
      <c r="Z210" s="447"/>
      <c r="AA210" s="447"/>
    </row>
    <row r="211" spans="1:27">
      <c r="A211" s="465"/>
      <c r="B211" s="466"/>
      <c r="C211" s="465"/>
      <c r="D211" s="467"/>
      <c r="E211" s="447"/>
      <c r="F211" s="447"/>
      <c r="G211" s="447"/>
      <c r="H211" s="447"/>
      <c r="I211" s="447"/>
      <c r="J211" s="447"/>
      <c r="K211" s="447"/>
      <c r="L211" s="447"/>
      <c r="M211" s="447"/>
      <c r="N211" s="447"/>
      <c r="O211" s="447"/>
      <c r="P211" s="447"/>
      <c r="Q211" s="447"/>
      <c r="R211" s="447"/>
      <c r="S211" s="447"/>
      <c r="T211" s="447"/>
      <c r="U211" s="447"/>
      <c r="V211" s="447"/>
      <c r="W211" s="447"/>
      <c r="X211" s="447"/>
      <c r="Y211" s="447"/>
      <c r="Z211" s="447"/>
      <c r="AA211" s="447"/>
    </row>
    <row r="212" spans="1:27">
      <c r="A212" s="465"/>
      <c r="B212" s="466"/>
      <c r="C212" s="465"/>
      <c r="D212" s="467"/>
      <c r="E212" s="447"/>
      <c r="F212" s="447"/>
      <c r="G212" s="447"/>
      <c r="H212" s="447"/>
      <c r="I212" s="447"/>
      <c r="J212" s="447"/>
      <c r="K212" s="447"/>
      <c r="L212" s="447"/>
      <c r="M212" s="447"/>
      <c r="N212" s="447"/>
      <c r="O212" s="447"/>
      <c r="P212" s="447"/>
      <c r="Q212" s="447"/>
      <c r="R212" s="447"/>
      <c r="S212" s="447"/>
      <c r="T212" s="447"/>
      <c r="U212" s="447"/>
      <c r="V212" s="447"/>
      <c r="W212" s="447"/>
      <c r="X212" s="447"/>
      <c r="Y212" s="447"/>
      <c r="Z212" s="447"/>
      <c r="AA212" s="447"/>
    </row>
    <row r="213" spans="1:27">
      <c r="A213" s="465"/>
      <c r="B213" s="466"/>
      <c r="C213" s="465"/>
      <c r="D213" s="467"/>
      <c r="E213" s="447"/>
      <c r="F213" s="447"/>
      <c r="G213" s="447"/>
      <c r="H213" s="447"/>
      <c r="I213" s="447"/>
      <c r="J213" s="447"/>
      <c r="K213" s="447"/>
      <c r="L213" s="447"/>
      <c r="M213" s="447"/>
      <c r="N213" s="447"/>
      <c r="O213" s="447"/>
      <c r="P213" s="447"/>
      <c r="Q213" s="447"/>
      <c r="R213" s="447"/>
      <c r="S213" s="447"/>
      <c r="T213" s="447"/>
      <c r="U213" s="447"/>
      <c r="V213" s="447"/>
      <c r="W213" s="447"/>
      <c r="X213" s="447"/>
      <c r="Y213" s="447"/>
      <c r="Z213" s="447"/>
      <c r="AA213" s="447"/>
    </row>
    <row r="214" spans="1:27">
      <c r="A214" s="465"/>
      <c r="B214" s="466"/>
      <c r="C214" s="465"/>
      <c r="D214" s="467"/>
      <c r="E214" s="447"/>
      <c r="F214" s="447"/>
      <c r="G214" s="447"/>
      <c r="H214" s="447"/>
      <c r="I214" s="447"/>
      <c r="J214" s="447"/>
      <c r="K214" s="447"/>
      <c r="L214" s="447"/>
      <c r="M214" s="447"/>
      <c r="N214" s="447"/>
      <c r="O214" s="447"/>
      <c r="P214" s="447"/>
      <c r="Q214" s="447"/>
      <c r="R214" s="447"/>
      <c r="S214" s="447"/>
      <c r="T214" s="447"/>
      <c r="U214" s="447"/>
      <c r="V214" s="447"/>
      <c r="W214" s="447"/>
      <c r="X214" s="447"/>
      <c r="Y214" s="447"/>
      <c r="Z214" s="447"/>
      <c r="AA214" s="447"/>
    </row>
    <row r="215" spans="1:27">
      <c r="A215" s="465"/>
      <c r="B215" s="466"/>
      <c r="C215" s="465"/>
      <c r="D215" s="467"/>
      <c r="E215" s="447"/>
      <c r="F215" s="447"/>
      <c r="G215" s="447"/>
      <c r="H215" s="447"/>
      <c r="I215" s="447"/>
      <c r="J215" s="447"/>
      <c r="K215" s="447"/>
      <c r="L215" s="447"/>
      <c r="M215" s="447"/>
      <c r="N215" s="447"/>
      <c r="O215" s="447"/>
      <c r="P215" s="447"/>
      <c r="Q215" s="447"/>
      <c r="R215" s="447"/>
      <c r="S215" s="447"/>
      <c r="T215" s="447"/>
      <c r="U215" s="447"/>
      <c r="V215" s="447"/>
      <c r="W215" s="447"/>
      <c r="X215" s="447"/>
      <c r="Y215" s="447"/>
      <c r="Z215" s="447"/>
      <c r="AA215" s="447"/>
    </row>
    <row r="216" spans="1:27">
      <c r="A216" s="465"/>
      <c r="B216" s="466"/>
      <c r="C216" s="465"/>
      <c r="D216" s="467"/>
      <c r="E216" s="447"/>
      <c r="F216" s="447"/>
      <c r="G216" s="447"/>
      <c r="H216" s="447"/>
      <c r="I216" s="447"/>
      <c r="J216" s="447"/>
      <c r="K216" s="447"/>
      <c r="L216" s="447"/>
      <c r="M216" s="447"/>
      <c r="N216" s="447"/>
      <c r="O216" s="447"/>
      <c r="P216" s="447"/>
      <c r="Q216" s="447"/>
      <c r="R216" s="447"/>
      <c r="S216" s="447"/>
      <c r="T216" s="447"/>
      <c r="U216" s="447"/>
      <c r="V216" s="447"/>
      <c r="W216" s="447"/>
      <c r="X216" s="447"/>
      <c r="Y216" s="447"/>
      <c r="Z216" s="447"/>
      <c r="AA216" s="447"/>
    </row>
    <row r="217" spans="1:27">
      <c r="A217" s="465"/>
      <c r="B217" s="466"/>
      <c r="C217" s="465"/>
      <c r="D217" s="467"/>
      <c r="E217" s="447"/>
      <c r="F217" s="447"/>
      <c r="G217" s="447"/>
      <c r="H217" s="447"/>
      <c r="I217" s="447"/>
      <c r="J217" s="447"/>
      <c r="K217" s="447"/>
      <c r="L217" s="447"/>
      <c r="M217" s="447"/>
      <c r="N217" s="447"/>
      <c r="O217" s="447"/>
      <c r="P217" s="447"/>
      <c r="Q217" s="447"/>
      <c r="R217" s="447"/>
      <c r="S217" s="447"/>
      <c r="T217" s="447"/>
      <c r="U217" s="447"/>
      <c r="V217" s="447"/>
      <c r="W217" s="447"/>
      <c r="X217" s="447"/>
      <c r="Y217" s="447"/>
      <c r="Z217" s="447"/>
      <c r="AA217" s="447"/>
    </row>
    <row r="218" spans="1:27">
      <c r="A218" s="465"/>
      <c r="B218" s="466"/>
      <c r="C218" s="465"/>
      <c r="D218" s="467"/>
      <c r="E218" s="447"/>
      <c r="F218" s="447"/>
      <c r="G218" s="447"/>
      <c r="H218" s="447"/>
      <c r="I218" s="447"/>
      <c r="J218" s="447"/>
      <c r="K218" s="447"/>
      <c r="L218" s="447"/>
      <c r="M218" s="447"/>
      <c r="N218" s="447"/>
      <c r="O218" s="447"/>
      <c r="P218" s="447"/>
      <c r="Q218" s="447"/>
      <c r="R218" s="447"/>
      <c r="S218" s="447"/>
      <c r="T218" s="447"/>
      <c r="U218" s="447"/>
      <c r="V218" s="447"/>
      <c r="W218" s="447"/>
      <c r="X218" s="447"/>
      <c r="Y218" s="447"/>
      <c r="Z218" s="447"/>
      <c r="AA218" s="447"/>
    </row>
    <row r="219" spans="1:27">
      <c r="A219" s="465"/>
      <c r="B219" s="466"/>
      <c r="C219" s="465"/>
      <c r="D219" s="467"/>
      <c r="E219" s="447"/>
      <c r="F219" s="447"/>
      <c r="G219" s="447"/>
      <c r="H219" s="447"/>
      <c r="I219" s="447"/>
      <c r="J219" s="447"/>
      <c r="K219" s="447"/>
      <c r="L219" s="447"/>
      <c r="M219" s="447"/>
      <c r="N219" s="447"/>
      <c r="O219" s="447"/>
      <c r="P219" s="447"/>
      <c r="Q219" s="447"/>
      <c r="R219" s="447"/>
      <c r="S219" s="447"/>
      <c r="T219" s="447"/>
      <c r="U219" s="447"/>
      <c r="V219" s="447"/>
      <c r="W219" s="447"/>
      <c r="X219" s="447"/>
      <c r="Y219" s="447"/>
      <c r="Z219" s="447"/>
      <c r="AA219" s="447"/>
    </row>
    <row r="220" spans="1:27">
      <c r="A220" s="465"/>
      <c r="B220" s="466"/>
      <c r="C220" s="465"/>
      <c r="D220" s="467"/>
      <c r="E220" s="447"/>
      <c r="F220" s="447"/>
      <c r="G220" s="447"/>
      <c r="H220" s="447"/>
      <c r="I220" s="447"/>
      <c r="J220" s="447"/>
      <c r="K220" s="447"/>
      <c r="L220" s="447"/>
      <c r="M220" s="447"/>
      <c r="N220" s="447"/>
      <c r="O220" s="447"/>
      <c r="P220" s="447"/>
      <c r="Q220" s="447"/>
      <c r="R220" s="447"/>
      <c r="S220" s="447"/>
      <c r="T220" s="447"/>
      <c r="U220" s="447"/>
      <c r="V220" s="447"/>
      <c r="W220" s="447"/>
      <c r="X220" s="447"/>
      <c r="Y220" s="447"/>
      <c r="Z220" s="447"/>
      <c r="AA220" s="447"/>
    </row>
    <row r="221" spans="1:27">
      <c r="A221" s="465"/>
      <c r="B221" s="466"/>
      <c r="C221" s="465"/>
      <c r="D221" s="467"/>
      <c r="E221" s="447"/>
      <c r="F221" s="447"/>
      <c r="G221" s="447"/>
      <c r="H221" s="447"/>
      <c r="I221" s="447"/>
      <c r="J221" s="447"/>
      <c r="K221" s="447"/>
      <c r="L221" s="447"/>
      <c r="M221" s="447"/>
      <c r="N221" s="447"/>
      <c r="O221" s="447"/>
      <c r="P221" s="447"/>
      <c r="Q221" s="447"/>
      <c r="R221" s="447"/>
      <c r="S221" s="447"/>
      <c r="T221" s="447"/>
      <c r="U221" s="447"/>
      <c r="V221" s="447"/>
      <c r="W221" s="447"/>
      <c r="X221" s="447"/>
      <c r="Y221" s="447"/>
      <c r="Z221" s="447"/>
      <c r="AA221" s="447"/>
    </row>
    <row r="222" spans="1:27">
      <c r="A222" s="465"/>
      <c r="B222" s="466"/>
      <c r="C222" s="465"/>
      <c r="D222" s="467"/>
      <c r="E222" s="447"/>
      <c r="F222" s="447"/>
      <c r="G222" s="447"/>
      <c r="H222" s="447"/>
      <c r="I222" s="447"/>
      <c r="J222" s="447"/>
      <c r="K222" s="447"/>
      <c r="L222" s="447"/>
      <c r="M222" s="447"/>
      <c r="N222" s="447"/>
      <c r="O222" s="447"/>
      <c r="P222" s="447"/>
      <c r="Q222" s="447"/>
      <c r="R222" s="447"/>
      <c r="S222" s="447"/>
      <c r="T222" s="447"/>
      <c r="U222" s="447"/>
      <c r="V222" s="447"/>
      <c r="W222" s="447"/>
      <c r="X222" s="447"/>
      <c r="Y222" s="447"/>
      <c r="Z222" s="447"/>
      <c r="AA222" s="447"/>
    </row>
    <row r="223" spans="1:27">
      <c r="A223" s="465"/>
      <c r="B223" s="466"/>
      <c r="C223" s="465"/>
      <c r="D223" s="467"/>
      <c r="E223" s="447"/>
      <c r="F223" s="447"/>
      <c r="G223" s="447"/>
      <c r="H223" s="447"/>
      <c r="I223" s="447"/>
      <c r="J223" s="447"/>
      <c r="K223" s="447"/>
      <c r="L223" s="447"/>
      <c r="M223" s="447"/>
      <c r="N223" s="447"/>
      <c r="O223" s="447"/>
      <c r="P223" s="447"/>
      <c r="Q223" s="447"/>
      <c r="R223" s="447"/>
      <c r="S223" s="447"/>
      <c r="T223" s="447"/>
      <c r="U223" s="447"/>
      <c r="V223" s="447"/>
      <c r="W223" s="447"/>
      <c r="X223" s="447"/>
      <c r="Y223" s="447"/>
      <c r="Z223" s="447"/>
      <c r="AA223" s="447"/>
    </row>
    <row r="224" spans="1:27">
      <c r="A224" s="465"/>
      <c r="B224" s="466"/>
      <c r="C224" s="465"/>
      <c r="D224" s="467"/>
      <c r="E224" s="447"/>
      <c r="F224" s="447"/>
      <c r="G224" s="447"/>
      <c r="H224" s="447"/>
      <c r="I224" s="447"/>
      <c r="J224" s="447"/>
      <c r="K224" s="447"/>
      <c r="L224" s="447"/>
      <c r="M224" s="447"/>
      <c r="N224" s="447"/>
      <c r="O224" s="447"/>
      <c r="P224" s="447"/>
      <c r="Q224" s="447"/>
      <c r="R224" s="447"/>
      <c r="S224" s="447"/>
      <c r="T224" s="447"/>
      <c r="U224" s="447"/>
      <c r="V224" s="447"/>
      <c r="W224" s="447"/>
      <c r="X224" s="447"/>
      <c r="Y224" s="447"/>
      <c r="Z224" s="447"/>
      <c r="AA224" s="447"/>
    </row>
    <row r="225" spans="1:27">
      <c r="A225" s="465"/>
      <c r="B225" s="466"/>
      <c r="C225" s="465"/>
      <c r="D225" s="467"/>
      <c r="E225" s="447"/>
      <c r="F225" s="447"/>
      <c r="G225" s="447"/>
      <c r="H225" s="447"/>
      <c r="I225" s="447"/>
      <c r="J225" s="447"/>
      <c r="K225" s="447"/>
      <c r="L225" s="447"/>
      <c r="M225" s="447"/>
      <c r="N225" s="447"/>
      <c r="O225" s="447"/>
      <c r="P225" s="447"/>
      <c r="Q225" s="447"/>
      <c r="R225" s="447"/>
      <c r="S225" s="447"/>
      <c r="T225" s="447"/>
      <c r="U225" s="447"/>
      <c r="V225" s="447"/>
      <c r="W225" s="447"/>
      <c r="X225" s="447"/>
      <c r="Y225" s="447"/>
      <c r="Z225" s="447"/>
      <c r="AA225" s="447"/>
    </row>
    <row r="226" spans="1:27">
      <c r="A226" s="465"/>
      <c r="B226" s="466"/>
      <c r="C226" s="465"/>
      <c r="D226" s="467"/>
      <c r="E226" s="447"/>
      <c r="F226" s="447"/>
      <c r="G226" s="447"/>
      <c r="H226" s="447"/>
      <c r="I226" s="447"/>
      <c r="J226" s="447"/>
      <c r="K226" s="447"/>
      <c r="L226" s="447"/>
      <c r="M226" s="447"/>
      <c r="N226" s="447"/>
      <c r="O226" s="447"/>
      <c r="P226" s="447"/>
      <c r="Q226" s="447"/>
      <c r="R226" s="447"/>
      <c r="S226" s="447"/>
      <c r="T226" s="447"/>
      <c r="U226" s="447"/>
      <c r="V226" s="447"/>
      <c r="W226" s="447"/>
      <c r="X226" s="447"/>
      <c r="Y226" s="447"/>
      <c r="Z226" s="447"/>
      <c r="AA226" s="447"/>
    </row>
    <row r="227" spans="1:27">
      <c r="A227" s="465"/>
      <c r="B227" s="466"/>
      <c r="C227" s="465"/>
      <c r="D227" s="467"/>
      <c r="E227" s="447"/>
      <c r="F227" s="447"/>
      <c r="G227" s="447"/>
      <c r="H227" s="447"/>
      <c r="I227" s="447"/>
      <c r="J227" s="447"/>
      <c r="K227" s="447"/>
      <c r="L227" s="447"/>
      <c r="M227" s="447"/>
      <c r="N227" s="447"/>
      <c r="O227" s="447"/>
      <c r="P227" s="447"/>
      <c r="Q227" s="447"/>
      <c r="R227" s="447"/>
      <c r="S227" s="447"/>
      <c r="T227" s="447"/>
      <c r="U227" s="447"/>
      <c r="V227" s="447"/>
      <c r="W227" s="447"/>
      <c r="X227" s="447"/>
      <c r="Y227" s="447"/>
      <c r="Z227" s="447"/>
      <c r="AA227" s="447"/>
    </row>
    <row r="228" spans="1:27">
      <c r="A228" s="465"/>
      <c r="B228" s="466"/>
      <c r="C228" s="465"/>
      <c r="D228" s="467"/>
      <c r="E228" s="447"/>
      <c r="F228" s="447"/>
      <c r="G228" s="447"/>
      <c r="H228" s="447"/>
      <c r="I228" s="447"/>
      <c r="J228" s="447"/>
      <c r="K228" s="447"/>
      <c r="L228" s="447"/>
      <c r="M228" s="447"/>
      <c r="N228" s="447"/>
      <c r="O228" s="447"/>
      <c r="P228" s="447"/>
      <c r="Q228" s="447"/>
      <c r="R228" s="447"/>
      <c r="S228" s="447"/>
      <c r="T228" s="447"/>
      <c r="U228" s="447"/>
      <c r="V228" s="447"/>
      <c r="W228" s="447"/>
      <c r="X228" s="447"/>
      <c r="Y228" s="447"/>
      <c r="Z228" s="447"/>
      <c r="AA228" s="447"/>
    </row>
    <row r="229" spans="1:27">
      <c r="A229" s="465"/>
      <c r="B229" s="466"/>
      <c r="C229" s="465"/>
      <c r="D229" s="467"/>
      <c r="E229" s="447"/>
      <c r="F229" s="447"/>
      <c r="G229" s="447"/>
      <c r="H229" s="447"/>
      <c r="I229" s="447"/>
      <c r="J229" s="447"/>
      <c r="K229" s="447"/>
      <c r="L229" s="447"/>
      <c r="M229" s="447"/>
      <c r="N229" s="447"/>
      <c r="O229" s="447"/>
      <c r="P229" s="447"/>
      <c r="Q229" s="447"/>
      <c r="R229" s="447"/>
      <c r="S229" s="447"/>
      <c r="T229" s="447"/>
      <c r="U229" s="447"/>
      <c r="V229" s="447"/>
      <c r="W229" s="447"/>
      <c r="X229" s="447"/>
      <c r="Y229" s="447"/>
      <c r="Z229" s="447"/>
      <c r="AA229" s="447"/>
    </row>
    <row r="230" spans="1:27">
      <c r="A230" s="465"/>
      <c r="B230" s="466"/>
      <c r="C230" s="465"/>
      <c r="D230" s="467"/>
      <c r="E230" s="447"/>
      <c r="F230" s="447"/>
      <c r="G230" s="447"/>
      <c r="H230" s="447"/>
      <c r="I230" s="447"/>
      <c r="J230" s="447"/>
      <c r="K230" s="447"/>
      <c r="L230" s="447"/>
      <c r="M230" s="447"/>
      <c r="N230" s="447"/>
      <c r="O230" s="447"/>
      <c r="P230" s="447"/>
      <c r="Q230" s="447"/>
      <c r="R230" s="447"/>
      <c r="S230" s="447"/>
      <c r="T230" s="447"/>
      <c r="U230" s="447"/>
      <c r="V230" s="447"/>
      <c r="W230" s="447"/>
      <c r="X230" s="447"/>
      <c r="Y230" s="447"/>
      <c r="Z230" s="447"/>
      <c r="AA230" s="447"/>
    </row>
    <row r="231" spans="1:27">
      <c r="A231" s="465"/>
      <c r="B231" s="466"/>
      <c r="C231" s="465"/>
      <c r="D231" s="467"/>
      <c r="E231" s="447"/>
      <c r="F231" s="447"/>
      <c r="G231" s="447"/>
      <c r="H231" s="447"/>
      <c r="I231" s="447"/>
      <c r="J231" s="447"/>
      <c r="K231" s="447"/>
      <c r="L231" s="447"/>
      <c r="M231" s="447"/>
      <c r="N231" s="447"/>
      <c r="O231" s="447"/>
      <c r="P231" s="447"/>
      <c r="Q231" s="447"/>
      <c r="R231" s="447"/>
      <c r="S231" s="447"/>
      <c r="T231" s="447"/>
      <c r="U231" s="447"/>
      <c r="V231" s="447"/>
      <c r="W231" s="447"/>
      <c r="X231" s="447"/>
      <c r="Y231" s="447"/>
      <c r="Z231" s="447"/>
      <c r="AA231" s="447"/>
    </row>
    <row r="232" spans="1:27">
      <c r="A232" s="465"/>
      <c r="B232" s="466"/>
      <c r="C232" s="465"/>
      <c r="D232" s="467"/>
      <c r="E232" s="447"/>
      <c r="F232" s="447"/>
      <c r="G232" s="447"/>
      <c r="H232" s="447"/>
      <c r="I232" s="447"/>
      <c r="J232" s="447"/>
      <c r="K232" s="447"/>
      <c r="L232" s="447"/>
      <c r="M232" s="447"/>
      <c r="N232" s="447"/>
      <c r="O232" s="447"/>
      <c r="P232" s="447"/>
      <c r="Q232" s="447"/>
      <c r="R232" s="447"/>
      <c r="S232" s="447"/>
      <c r="T232" s="447"/>
      <c r="U232" s="447"/>
      <c r="V232" s="447"/>
      <c r="W232" s="447"/>
      <c r="X232" s="447"/>
      <c r="Y232" s="447"/>
      <c r="Z232" s="447"/>
      <c r="AA232" s="447"/>
    </row>
    <row r="233" spans="1:27">
      <c r="A233" s="465"/>
      <c r="B233" s="466"/>
      <c r="C233" s="465"/>
      <c r="D233" s="467"/>
      <c r="E233" s="447"/>
      <c r="F233" s="447"/>
      <c r="G233" s="447"/>
      <c r="H233" s="447"/>
      <c r="I233" s="447"/>
      <c r="J233" s="447"/>
      <c r="K233" s="447"/>
      <c r="L233" s="447"/>
      <c r="M233" s="447"/>
      <c r="N233" s="447"/>
      <c r="O233" s="447"/>
      <c r="P233" s="447"/>
      <c r="Q233" s="447"/>
      <c r="R233" s="447"/>
      <c r="S233" s="447"/>
      <c r="T233" s="447"/>
      <c r="U233" s="447"/>
      <c r="V233" s="447"/>
      <c r="W233" s="447"/>
      <c r="X233" s="447"/>
      <c r="Y233" s="447"/>
      <c r="Z233" s="447"/>
      <c r="AA233" s="447"/>
    </row>
    <row r="234" spans="1:27">
      <c r="A234" s="465"/>
      <c r="B234" s="466"/>
      <c r="C234" s="465"/>
      <c r="D234" s="467"/>
      <c r="E234" s="447"/>
      <c r="F234" s="447"/>
      <c r="G234" s="447"/>
      <c r="H234" s="447"/>
      <c r="I234" s="447"/>
      <c r="J234" s="447"/>
      <c r="K234" s="447"/>
      <c r="L234" s="447"/>
      <c r="M234" s="447"/>
      <c r="N234" s="447"/>
      <c r="O234" s="447"/>
      <c r="P234" s="447"/>
      <c r="Q234" s="447"/>
      <c r="R234" s="447"/>
      <c r="S234" s="447"/>
      <c r="T234" s="447"/>
      <c r="U234" s="447"/>
      <c r="V234" s="447"/>
      <c r="W234" s="447"/>
      <c r="X234" s="447"/>
      <c r="Y234" s="447"/>
      <c r="Z234" s="447"/>
      <c r="AA234" s="447"/>
    </row>
    <row r="235" spans="1:27">
      <c r="A235" s="465"/>
      <c r="B235" s="466"/>
      <c r="C235" s="465"/>
      <c r="D235" s="467"/>
      <c r="E235" s="447"/>
      <c r="F235" s="447"/>
      <c r="G235" s="447"/>
      <c r="H235" s="447"/>
      <c r="I235" s="447"/>
      <c r="J235" s="447"/>
      <c r="K235" s="447"/>
      <c r="L235" s="447"/>
      <c r="M235" s="447"/>
      <c r="N235" s="447"/>
      <c r="O235" s="447"/>
      <c r="P235" s="447"/>
      <c r="Q235" s="447"/>
      <c r="R235" s="447"/>
      <c r="S235" s="447"/>
      <c r="T235" s="447"/>
      <c r="U235" s="447"/>
      <c r="V235" s="447"/>
      <c r="W235" s="447"/>
      <c r="X235" s="447"/>
      <c r="Y235" s="447"/>
      <c r="Z235" s="447"/>
      <c r="AA235" s="447"/>
    </row>
    <row r="236" spans="1:27">
      <c r="A236" s="465"/>
      <c r="B236" s="466"/>
      <c r="C236" s="465"/>
      <c r="D236" s="467"/>
      <c r="E236" s="447"/>
      <c r="F236" s="447"/>
      <c r="G236" s="447"/>
      <c r="H236" s="447"/>
      <c r="I236" s="447"/>
      <c r="J236" s="447"/>
      <c r="K236" s="447"/>
      <c r="L236" s="447"/>
      <c r="M236" s="447"/>
      <c r="N236" s="447"/>
      <c r="O236" s="447"/>
      <c r="P236" s="447"/>
      <c r="Q236" s="447"/>
      <c r="R236" s="447"/>
      <c r="S236" s="447"/>
      <c r="T236" s="447"/>
      <c r="U236" s="447"/>
      <c r="V236" s="447"/>
      <c r="W236" s="447"/>
      <c r="X236" s="447"/>
      <c r="Y236" s="447"/>
      <c r="Z236" s="447"/>
      <c r="AA236" s="447"/>
    </row>
    <row r="237" spans="1:27">
      <c r="A237" s="465"/>
      <c r="B237" s="466"/>
      <c r="C237" s="465"/>
      <c r="D237" s="467"/>
      <c r="E237" s="447"/>
      <c r="F237" s="447"/>
      <c r="G237" s="447"/>
      <c r="H237" s="447"/>
      <c r="I237" s="447"/>
      <c r="J237" s="447"/>
      <c r="K237" s="447"/>
      <c r="L237" s="447"/>
      <c r="M237" s="447"/>
      <c r="N237" s="447"/>
      <c r="O237" s="447"/>
      <c r="P237" s="447"/>
      <c r="Q237" s="447"/>
      <c r="R237" s="447"/>
      <c r="S237" s="447"/>
      <c r="T237" s="447"/>
      <c r="U237" s="447"/>
      <c r="V237" s="447"/>
      <c r="W237" s="447"/>
      <c r="X237" s="447"/>
      <c r="Y237" s="447"/>
      <c r="Z237" s="447"/>
      <c r="AA237" s="447"/>
    </row>
    <row r="238" spans="1:27">
      <c r="A238" s="465"/>
      <c r="B238" s="466"/>
      <c r="C238" s="465"/>
      <c r="D238" s="467"/>
      <c r="E238" s="447"/>
      <c r="F238" s="447"/>
      <c r="G238" s="447"/>
      <c r="H238" s="447"/>
      <c r="I238" s="447"/>
      <c r="J238" s="447"/>
      <c r="K238" s="447"/>
      <c r="L238" s="447"/>
      <c r="M238" s="447"/>
      <c r="N238" s="447"/>
      <c r="O238" s="447"/>
      <c r="P238" s="447"/>
      <c r="Q238" s="447"/>
      <c r="R238" s="447"/>
      <c r="S238" s="447"/>
      <c r="T238" s="447"/>
      <c r="U238" s="447"/>
      <c r="V238" s="447"/>
      <c r="W238" s="447"/>
      <c r="X238" s="447"/>
      <c r="Y238" s="447"/>
      <c r="Z238" s="447"/>
      <c r="AA238" s="447"/>
    </row>
    <row r="239" spans="1:27">
      <c r="A239" s="465"/>
      <c r="B239" s="466"/>
      <c r="C239" s="465"/>
      <c r="D239" s="467"/>
      <c r="E239" s="447"/>
      <c r="F239" s="447"/>
      <c r="G239" s="447"/>
      <c r="H239" s="447"/>
      <c r="I239" s="447"/>
      <c r="J239" s="447"/>
      <c r="K239" s="447"/>
      <c r="L239" s="447"/>
      <c r="M239" s="447"/>
      <c r="N239" s="447"/>
      <c r="O239" s="447"/>
      <c r="P239" s="447"/>
      <c r="Q239" s="447"/>
      <c r="R239" s="447"/>
      <c r="S239" s="447"/>
      <c r="T239" s="447"/>
      <c r="U239" s="447"/>
      <c r="V239" s="447"/>
      <c r="W239" s="447"/>
      <c r="X239" s="447"/>
      <c r="Y239" s="447"/>
      <c r="Z239" s="447"/>
      <c r="AA239" s="447"/>
    </row>
    <row r="240" spans="1:27">
      <c r="A240" s="465"/>
      <c r="B240" s="466"/>
      <c r="C240" s="465"/>
      <c r="D240" s="467"/>
      <c r="E240" s="447"/>
      <c r="F240" s="447"/>
      <c r="G240" s="447"/>
      <c r="H240" s="447"/>
      <c r="I240" s="447"/>
      <c r="J240" s="447"/>
      <c r="K240" s="447"/>
      <c r="L240" s="447"/>
      <c r="M240" s="447"/>
      <c r="N240" s="447"/>
      <c r="O240" s="447"/>
      <c r="P240" s="447"/>
      <c r="Q240" s="447"/>
      <c r="R240" s="447"/>
      <c r="S240" s="447"/>
      <c r="T240" s="447"/>
      <c r="U240" s="447"/>
      <c r="V240" s="447"/>
      <c r="W240" s="447"/>
      <c r="X240" s="447"/>
      <c r="Y240" s="447"/>
      <c r="Z240" s="447"/>
      <c r="AA240" s="447"/>
    </row>
    <row r="241" spans="1:27">
      <c r="A241" s="465"/>
      <c r="B241" s="466"/>
      <c r="C241" s="465"/>
      <c r="D241" s="467"/>
      <c r="E241" s="447"/>
      <c r="F241" s="447"/>
      <c r="G241" s="447"/>
      <c r="H241" s="447"/>
      <c r="I241" s="447"/>
      <c r="J241" s="447"/>
      <c r="K241" s="447"/>
      <c r="L241" s="447"/>
      <c r="M241" s="447"/>
      <c r="N241" s="447"/>
      <c r="O241" s="447"/>
      <c r="P241" s="447"/>
      <c r="Q241" s="447"/>
      <c r="R241" s="447"/>
      <c r="S241" s="447"/>
      <c r="T241" s="447"/>
      <c r="U241" s="447"/>
      <c r="V241" s="447"/>
      <c r="W241" s="447"/>
      <c r="X241" s="447"/>
      <c r="Y241" s="447"/>
      <c r="Z241" s="447"/>
      <c r="AA241" s="447"/>
    </row>
    <row r="242" spans="1:27">
      <c r="A242" s="465"/>
      <c r="B242" s="466"/>
      <c r="C242" s="465"/>
      <c r="D242" s="467"/>
      <c r="E242" s="447"/>
      <c r="F242" s="447"/>
      <c r="G242" s="447"/>
      <c r="H242" s="447"/>
      <c r="I242" s="447"/>
      <c r="J242" s="447"/>
      <c r="K242" s="447"/>
      <c r="L242" s="447"/>
      <c r="M242" s="447"/>
      <c r="N242" s="447"/>
      <c r="O242" s="447"/>
      <c r="P242" s="447"/>
      <c r="Q242" s="447"/>
      <c r="R242" s="447"/>
      <c r="S242" s="447"/>
      <c r="T242" s="447"/>
      <c r="U242" s="447"/>
      <c r="V242" s="447"/>
      <c r="W242" s="447"/>
      <c r="X242" s="447"/>
      <c r="Y242" s="447"/>
      <c r="Z242" s="447"/>
      <c r="AA242" s="447"/>
    </row>
    <row r="243" spans="1:27">
      <c r="A243" s="465"/>
      <c r="B243" s="466"/>
      <c r="C243" s="465"/>
      <c r="D243" s="467"/>
      <c r="E243" s="447"/>
      <c r="F243" s="447"/>
      <c r="G243" s="447"/>
      <c r="H243" s="447"/>
      <c r="I243" s="447"/>
      <c r="J243" s="447"/>
      <c r="K243" s="447"/>
      <c r="L243" s="447"/>
      <c r="M243" s="447"/>
      <c r="N243" s="447"/>
      <c r="O243" s="447"/>
      <c r="P243" s="447"/>
      <c r="Q243" s="447"/>
      <c r="R243" s="447"/>
      <c r="S243" s="447"/>
      <c r="T243" s="447"/>
      <c r="U243" s="447"/>
      <c r="V243" s="447"/>
      <c r="W243" s="447"/>
      <c r="X243" s="447"/>
      <c r="Y243" s="447"/>
      <c r="Z243" s="447"/>
      <c r="AA243" s="447"/>
    </row>
    <row r="244" spans="1:27">
      <c r="A244" s="465"/>
      <c r="B244" s="466"/>
      <c r="C244" s="465"/>
      <c r="D244" s="467"/>
      <c r="E244" s="447"/>
      <c r="F244" s="447"/>
      <c r="G244" s="447"/>
      <c r="H244" s="447"/>
      <c r="I244" s="447"/>
      <c r="J244" s="447"/>
      <c r="K244" s="447"/>
      <c r="L244" s="447"/>
      <c r="M244" s="447"/>
      <c r="N244" s="447"/>
      <c r="O244" s="447"/>
      <c r="P244" s="447"/>
      <c r="Q244" s="447"/>
      <c r="R244" s="447"/>
      <c r="S244" s="447"/>
      <c r="T244" s="447"/>
      <c r="U244" s="447"/>
      <c r="V244" s="447"/>
      <c r="W244" s="447"/>
      <c r="X244" s="447"/>
      <c r="Y244" s="447"/>
      <c r="Z244" s="447"/>
      <c r="AA244" s="447"/>
    </row>
    <row r="245" spans="1:27">
      <c r="A245" s="465"/>
      <c r="B245" s="466"/>
      <c r="C245" s="465"/>
      <c r="D245" s="467"/>
      <c r="E245" s="447"/>
      <c r="F245" s="447"/>
      <c r="G245" s="447"/>
      <c r="H245" s="447"/>
      <c r="I245" s="447"/>
      <c r="J245" s="447"/>
      <c r="K245" s="447"/>
      <c r="L245" s="447"/>
      <c r="M245" s="447"/>
      <c r="N245" s="447"/>
      <c r="O245" s="447"/>
      <c r="P245" s="447"/>
      <c r="Q245" s="447"/>
      <c r="R245" s="447"/>
      <c r="S245" s="447"/>
      <c r="T245" s="447"/>
      <c r="U245" s="447"/>
      <c r="V245" s="447"/>
      <c r="W245" s="447"/>
      <c r="X245" s="447"/>
      <c r="Y245" s="447"/>
      <c r="Z245" s="447"/>
      <c r="AA245" s="447"/>
    </row>
    <row r="246" spans="1:27">
      <c r="A246" s="465"/>
      <c r="B246" s="466"/>
      <c r="C246" s="465"/>
      <c r="D246" s="467"/>
      <c r="E246" s="447"/>
      <c r="F246" s="447"/>
      <c r="G246" s="447"/>
      <c r="H246" s="447"/>
      <c r="I246" s="447"/>
      <c r="J246" s="447"/>
      <c r="K246" s="447"/>
      <c r="L246" s="447"/>
      <c r="M246" s="447"/>
      <c r="N246" s="447"/>
      <c r="O246" s="447"/>
      <c r="P246" s="447"/>
      <c r="Q246" s="447"/>
      <c r="R246" s="447"/>
      <c r="S246" s="447"/>
      <c r="T246" s="447"/>
      <c r="U246" s="447"/>
      <c r="V246" s="447"/>
      <c r="W246" s="447"/>
      <c r="X246" s="447"/>
      <c r="Y246" s="447"/>
      <c r="Z246" s="447"/>
      <c r="AA246" s="447"/>
    </row>
    <row r="247" spans="1:27">
      <c r="A247" s="465"/>
      <c r="B247" s="466"/>
      <c r="C247" s="465"/>
      <c r="D247" s="467"/>
      <c r="E247" s="447"/>
      <c r="F247" s="447"/>
      <c r="G247" s="447"/>
      <c r="H247" s="447"/>
      <c r="I247" s="447"/>
      <c r="J247" s="447"/>
      <c r="K247" s="447"/>
      <c r="L247" s="447"/>
      <c r="M247" s="447"/>
      <c r="N247" s="447"/>
      <c r="O247" s="447"/>
      <c r="P247" s="447"/>
      <c r="Q247" s="447"/>
      <c r="R247" s="447"/>
      <c r="S247" s="447"/>
      <c r="T247" s="447"/>
      <c r="U247" s="447"/>
      <c r="V247" s="447"/>
      <c r="W247" s="447"/>
      <c r="X247" s="447"/>
      <c r="Y247" s="447"/>
      <c r="Z247" s="447"/>
      <c r="AA247" s="447"/>
    </row>
    <row r="248" spans="1:27">
      <c r="A248" s="465"/>
      <c r="B248" s="466"/>
      <c r="C248" s="465"/>
      <c r="D248" s="467"/>
      <c r="E248" s="447"/>
      <c r="F248" s="447"/>
      <c r="G248" s="447"/>
      <c r="H248" s="447"/>
      <c r="I248" s="447"/>
      <c r="J248" s="447"/>
      <c r="K248" s="447"/>
      <c r="L248" s="447"/>
      <c r="M248" s="447"/>
      <c r="N248" s="447"/>
      <c r="O248" s="447"/>
      <c r="P248" s="447"/>
      <c r="Q248" s="447"/>
      <c r="R248" s="447"/>
      <c r="S248" s="447"/>
      <c r="T248" s="447"/>
      <c r="U248" s="447"/>
      <c r="V248" s="447"/>
      <c r="W248" s="447"/>
      <c r="X248" s="447"/>
      <c r="Y248" s="447"/>
      <c r="Z248" s="447"/>
      <c r="AA248" s="447"/>
    </row>
    <row r="249" spans="1:27">
      <c r="A249" s="465"/>
      <c r="B249" s="466"/>
      <c r="C249" s="465"/>
      <c r="D249" s="467"/>
      <c r="E249" s="447"/>
      <c r="F249" s="447"/>
      <c r="G249" s="447"/>
      <c r="H249" s="447"/>
      <c r="I249" s="447"/>
      <c r="J249" s="447"/>
      <c r="K249" s="447"/>
      <c r="L249" s="447"/>
      <c r="M249" s="447"/>
      <c r="N249" s="447"/>
      <c r="O249" s="447"/>
      <c r="P249" s="447"/>
      <c r="Q249" s="447"/>
      <c r="R249" s="447"/>
      <c r="S249" s="447"/>
      <c r="T249" s="447"/>
      <c r="U249" s="447"/>
      <c r="V249" s="447"/>
      <c r="W249" s="447"/>
      <c r="X249" s="447"/>
      <c r="Y249" s="447"/>
      <c r="Z249" s="447"/>
      <c r="AA249" s="447"/>
    </row>
    <row r="250" spans="1:27">
      <c r="A250" s="465"/>
      <c r="B250" s="466"/>
      <c r="C250" s="465"/>
      <c r="D250" s="467"/>
      <c r="E250" s="447"/>
      <c r="F250" s="447"/>
      <c r="G250" s="447"/>
      <c r="H250" s="447"/>
      <c r="I250" s="447"/>
      <c r="J250" s="447"/>
      <c r="K250" s="447"/>
      <c r="L250" s="447"/>
      <c r="M250" s="447"/>
      <c r="N250" s="447"/>
      <c r="O250" s="447"/>
      <c r="P250" s="447"/>
      <c r="Q250" s="447"/>
      <c r="R250" s="447"/>
      <c r="S250" s="447"/>
      <c r="T250" s="447"/>
      <c r="U250" s="447"/>
      <c r="V250" s="447"/>
      <c r="W250" s="447"/>
      <c r="X250" s="447"/>
      <c r="Y250" s="447"/>
      <c r="Z250" s="447"/>
      <c r="AA250" s="447"/>
    </row>
    <row r="251" spans="1:27">
      <c r="A251" s="465"/>
      <c r="B251" s="466"/>
      <c r="C251" s="465"/>
      <c r="D251" s="467"/>
      <c r="E251" s="447"/>
      <c r="F251" s="447"/>
      <c r="G251" s="447"/>
      <c r="H251" s="447"/>
      <c r="I251" s="447"/>
      <c r="J251" s="447"/>
      <c r="K251" s="447"/>
      <c r="L251" s="447"/>
      <c r="M251" s="447"/>
      <c r="N251" s="447"/>
      <c r="O251" s="447"/>
      <c r="P251" s="447"/>
      <c r="Q251" s="447"/>
      <c r="R251" s="447"/>
      <c r="S251" s="447"/>
      <c r="T251" s="447"/>
      <c r="U251" s="447"/>
      <c r="V251" s="447"/>
      <c r="W251" s="447"/>
      <c r="X251" s="447"/>
      <c r="Y251" s="447"/>
      <c r="Z251" s="447"/>
      <c r="AA251" s="447"/>
    </row>
    <row r="252" spans="1:27">
      <c r="A252" s="465"/>
      <c r="B252" s="466"/>
      <c r="C252" s="465"/>
      <c r="D252" s="467"/>
      <c r="E252" s="447"/>
      <c r="F252" s="447"/>
      <c r="G252" s="447"/>
      <c r="H252" s="447"/>
      <c r="I252" s="447"/>
      <c r="J252" s="447"/>
      <c r="K252" s="447"/>
      <c r="L252" s="447"/>
      <c r="M252" s="447"/>
      <c r="N252" s="447"/>
      <c r="O252" s="447"/>
      <c r="P252" s="447"/>
      <c r="Q252" s="447"/>
      <c r="R252" s="447"/>
      <c r="S252" s="447"/>
      <c r="T252" s="447"/>
      <c r="U252" s="447"/>
      <c r="V252" s="447"/>
      <c r="W252" s="447"/>
      <c r="X252" s="447"/>
      <c r="Y252" s="447"/>
      <c r="Z252" s="447"/>
      <c r="AA252" s="447"/>
    </row>
    <row r="253" spans="1:27">
      <c r="A253" s="465"/>
      <c r="B253" s="466"/>
      <c r="C253" s="465"/>
      <c r="D253" s="467"/>
      <c r="E253" s="447"/>
      <c r="F253" s="447"/>
      <c r="G253" s="447"/>
      <c r="H253" s="447"/>
      <c r="I253" s="447"/>
      <c r="J253" s="447"/>
      <c r="K253" s="447"/>
      <c r="L253" s="447"/>
      <c r="M253" s="447"/>
      <c r="N253" s="447"/>
      <c r="O253" s="447"/>
      <c r="P253" s="447"/>
      <c r="Q253" s="447"/>
      <c r="R253" s="447"/>
      <c r="S253" s="447"/>
      <c r="T253" s="447"/>
      <c r="U253" s="447"/>
      <c r="V253" s="447"/>
      <c r="W253" s="447"/>
      <c r="X253" s="447"/>
      <c r="Y253" s="447"/>
      <c r="Z253" s="447"/>
      <c r="AA253" s="447"/>
    </row>
    <row r="254" spans="1:27">
      <c r="A254" s="465"/>
      <c r="B254" s="466"/>
      <c r="C254" s="465"/>
      <c r="D254" s="467"/>
      <c r="E254" s="447"/>
      <c r="F254" s="447"/>
      <c r="G254" s="447"/>
      <c r="H254" s="447"/>
      <c r="I254" s="447"/>
      <c r="J254" s="447"/>
      <c r="K254" s="447"/>
      <c r="L254" s="447"/>
      <c r="M254" s="447"/>
      <c r="N254" s="447"/>
      <c r="O254" s="447"/>
      <c r="P254" s="447"/>
      <c r="Q254" s="447"/>
      <c r="R254" s="447"/>
      <c r="S254" s="447"/>
      <c r="T254" s="447"/>
      <c r="U254" s="447"/>
      <c r="V254" s="447"/>
      <c r="W254" s="447"/>
      <c r="X254" s="447"/>
      <c r="Y254" s="447"/>
      <c r="Z254" s="447"/>
      <c r="AA254" s="447"/>
    </row>
    <row r="255" spans="1:27">
      <c r="A255" s="465"/>
      <c r="B255" s="466"/>
      <c r="C255" s="465"/>
      <c r="D255" s="467"/>
      <c r="E255" s="447"/>
      <c r="F255" s="447"/>
      <c r="G255" s="447"/>
      <c r="H255" s="447"/>
      <c r="I255" s="447"/>
      <c r="J255" s="447"/>
      <c r="K255" s="447"/>
      <c r="L255" s="447"/>
      <c r="M255" s="447"/>
      <c r="N255" s="447"/>
      <c r="O255" s="447"/>
      <c r="P255" s="447"/>
      <c r="Q255" s="447"/>
      <c r="R255" s="447"/>
      <c r="S255" s="447"/>
      <c r="T255" s="447"/>
      <c r="U255" s="447"/>
      <c r="V255" s="447"/>
      <c r="W255" s="447"/>
      <c r="X255" s="447"/>
      <c r="Y255" s="447"/>
      <c r="Z255" s="447"/>
      <c r="AA255" s="447"/>
    </row>
    <row r="256" spans="1:27">
      <c r="A256" s="465"/>
      <c r="B256" s="466"/>
      <c r="C256" s="465"/>
      <c r="D256" s="467"/>
      <c r="E256" s="447"/>
      <c r="F256" s="447"/>
      <c r="G256" s="447"/>
      <c r="H256" s="447"/>
      <c r="I256" s="447"/>
      <c r="J256" s="447"/>
      <c r="K256" s="447"/>
      <c r="L256" s="447"/>
      <c r="M256" s="447"/>
      <c r="N256" s="447"/>
      <c r="O256" s="447"/>
      <c r="P256" s="447"/>
      <c r="Q256" s="447"/>
      <c r="R256" s="447"/>
      <c r="S256" s="447"/>
      <c r="T256" s="447"/>
      <c r="U256" s="447"/>
      <c r="V256" s="447"/>
      <c r="W256" s="447"/>
      <c r="X256" s="447"/>
      <c r="Y256" s="447"/>
      <c r="Z256" s="447"/>
      <c r="AA256" s="447"/>
    </row>
    <row r="257" spans="1:27">
      <c r="A257" s="465"/>
      <c r="B257" s="466"/>
      <c r="C257" s="465"/>
      <c r="D257" s="467"/>
      <c r="E257" s="447"/>
      <c r="F257" s="447"/>
      <c r="G257" s="447"/>
      <c r="H257" s="447"/>
      <c r="I257" s="447"/>
      <c r="J257" s="447"/>
      <c r="K257" s="447"/>
      <c r="L257" s="447"/>
      <c r="M257" s="447"/>
      <c r="N257" s="447"/>
      <c r="O257" s="447"/>
      <c r="P257" s="447"/>
      <c r="Q257" s="447"/>
      <c r="R257" s="447"/>
      <c r="S257" s="447"/>
      <c r="T257" s="447"/>
      <c r="U257" s="447"/>
      <c r="V257" s="447"/>
      <c r="W257" s="447"/>
      <c r="X257" s="447"/>
      <c r="Y257" s="447"/>
      <c r="Z257" s="447"/>
      <c r="AA257" s="447"/>
    </row>
    <row r="258" spans="1:27">
      <c r="A258" s="465"/>
      <c r="B258" s="466"/>
      <c r="C258" s="465"/>
      <c r="D258" s="467"/>
      <c r="E258" s="447"/>
      <c r="F258" s="447"/>
      <c r="G258" s="447"/>
      <c r="H258" s="447"/>
      <c r="I258" s="447"/>
      <c r="J258" s="447"/>
      <c r="K258" s="447"/>
      <c r="L258" s="447"/>
      <c r="M258" s="447"/>
      <c r="N258" s="447"/>
      <c r="O258" s="447"/>
      <c r="P258" s="447"/>
      <c r="Q258" s="447"/>
      <c r="R258" s="447"/>
      <c r="S258" s="447"/>
      <c r="T258" s="447"/>
      <c r="U258" s="447"/>
      <c r="V258" s="447"/>
      <c r="W258" s="447"/>
      <c r="X258" s="447"/>
      <c r="Y258" s="447"/>
      <c r="Z258" s="447"/>
      <c r="AA258" s="447"/>
    </row>
    <row r="259" spans="1:27">
      <c r="A259" s="465"/>
      <c r="B259" s="466"/>
      <c r="C259" s="465"/>
      <c r="D259" s="467"/>
      <c r="E259" s="447"/>
      <c r="F259" s="447"/>
      <c r="G259" s="447"/>
      <c r="H259" s="447"/>
      <c r="I259" s="447"/>
      <c r="J259" s="447"/>
      <c r="K259" s="447"/>
      <c r="L259" s="447"/>
      <c r="M259" s="447"/>
      <c r="N259" s="447"/>
      <c r="O259" s="447"/>
      <c r="P259" s="447"/>
      <c r="Q259" s="447"/>
      <c r="R259" s="447"/>
      <c r="S259" s="447"/>
      <c r="T259" s="447"/>
      <c r="U259" s="447"/>
      <c r="V259" s="447"/>
      <c r="W259" s="447"/>
      <c r="X259" s="447"/>
      <c r="Y259" s="447"/>
      <c r="Z259" s="447"/>
      <c r="AA259" s="447"/>
    </row>
    <row r="260" spans="1:27">
      <c r="A260" s="465"/>
      <c r="B260" s="466"/>
      <c r="C260" s="465"/>
      <c r="D260" s="467"/>
      <c r="E260" s="447"/>
      <c r="F260" s="447"/>
      <c r="G260" s="447"/>
      <c r="H260" s="447"/>
      <c r="I260" s="447"/>
      <c r="J260" s="447"/>
      <c r="K260" s="447"/>
      <c r="L260" s="447"/>
      <c r="M260" s="447"/>
      <c r="N260" s="447"/>
      <c r="O260" s="447"/>
      <c r="P260" s="447"/>
      <c r="Q260" s="447"/>
      <c r="R260" s="447"/>
      <c r="S260" s="447"/>
      <c r="T260" s="447"/>
      <c r="U260" s="447"/>
      <c r="V260" s="447"/>
      <c r="W260" s="447"/>
      <c r="X260" s="447"/>
      <c r="Y260" s="447"/>
      <c r="Z260" s="447"/>
      <c r="AA260" s="447"/>
    </row>
    <row r="261" spans="1:27">
      <c r="A261" s="465"/>
      <c r="B261" s="466"/>
      <c r="C261" s="465"/>
      <c r="D261" s="467"/>
      <c r="E261" s="447"/>
      <c r="F261" s="447"/>
      <c r="G261" s="447"/>
      <c r="H261" s="447"/>
      <c r="I261" s="447"/>
      <c r="J261" s="447"/>
      <c r="K261" s="447"/>
      <c r="L261" s="447"/>
      <c r="M261" s="447"/>
      <c r="N261" s="447"/>
      <c r="O261" s="447"/>
      <c r="P261" s="447"/>
      <c r="Q261" s="447"/>
      <c r="R261" s="447"/>
      <c r="S261" s="447"/>
      <c r="T261" s="447"/>
      <c r="U261" s="447"/>
      <c r="V261" s="447"/>
      <c r="W261" s="447"/>
      <c r="X261" s="447"/>
      <c r="Y261" s="447"/>
      <c r="Z261" s="447"/>
      <c r="AA261" s="447"/>
    </row>
    <row r="262" spans="1:27">
      <c r="A262" s="465"/>
      <c r="B262" s="466"/>
      <c r="C262" s="465"/>
      <c r="D262" s="467"/>
      <c r="E262" s="447"/>
      <c r="F262" s="447"/>
      <c r="G262" s="447"/>
      <c r="H262" s="447"/>
      <c r="I262" s="447"/>
      <c r="J262" s="447"/>
      <c r="K262" s="447"/>
      <c r="L262" s="447"/>
      <c r="M262" s="447"/>
      <c r="N262" s="447"/>
      <c r="O262" s="447"/>
      <c r="P262" s="447"/>
      <c r="Q262" s="447"/>
      <c r="R262" s="447"/>
      <c r="S262" s="447"/>
      <c r="T262" s="447"/>
      <c r="U262" s="447"/>
      <c r="V262" s="447"/>
      <c r="W262" s="447"/>
      <c r="X262" s="447"/>
      <c r="Y262" s="447"/>
      <c r="Z262" s="447"/>
      <c r="AA262" s="447"/>
    </row>
    <row r="263" spans="1:27">
      <c r="A263" s="465"/>
      <c r="B263" s="466"/>
      <c r="C263" s="465"/>
      <c r="D263" s="467"/>
      <c r="E263" s="447"/>
      <c r="F263" s="447"/>
      <c r="G263" s="447"/>
      <c r="H263" s="447"/>
      <c r="I263" s="447"/>
      <c r="J263" s="447"/>
      <c r="K263" s="447"/>
      <c r="L263" s="447"/>
      <c r="M263" s="447"/>
      <c r="N263" s="447"/>
      <c r="O263" s="447"/>
      <c r="P263" s="447"/>
      <c r="Q263" s="447"/>
      <c r="R263" s="447"/>
      <c r="S263" s="447"/>
      <c r="T263" s="447"/>
      <c r="U263" s="447"/>
      <c r="V263" s="447"/>
      <c r="W263" s="447"/>
      <c r="X263" s="447"/>
      <c r="Y263" s="447"/>
      <c r="Z263" s="447"/>
      <c r="AA263" s="447"/>
    </row>
    <row r="264" spans="1:27">
      <c r="A264" s="465"/>
      <c r="B264" s="466"/>
      <c r="C264" s="465"/>
      <c r="D264" s="467"/>
      <c r="E264" s="447"/>
      <c r="F264" s="447"/>
      <c r="G264" s="447"/>
      <c r="H264" s="447"/>
      <c r="I264" s="447"/>
      <c r="J264" s="447"/>
      <c r="K264" s="447"/>
      <c r="L264" s="447"/>
      <c r="M264" s="447"/>
      <c r="N264" s="447"/>
      <c r="O264" s="447"/>
      <c r="P264" s="447"/>
      <c r="Q264" s="447"/>
      <c r="R264" s="447"/>
      <c r="S264" s="447"/>
      <c r="T264" s="447"/>
      <c r="U264" s="447"/>
      <c r="V264" s="447"/>
      <c r="W264" s="447"/>
      <c r="X264" s="447"/>
      <c r="Y264" s="447"/>
      <c r="Z264" s="447"/>
      <c r="AA264" s="447"/>
    </row>
    <row r="265" spans="1:27">
      <c r="A265" s="465"/>
      <c r="B265" s="466"/>
      <c r="C265" s="465"/>
      <c r="D265" s="467"/>
      <c r="E265" s="447"/>
      <c r="F265" s="447"/>
      <c r="G265" s="447"/>
      <c r="H265" s="447"/>
      <c r="I265" s="447"/>
      <c r="J265" s="447"/>
      <c r="K265" s="447"/>
      <c r="L265" s="447"/>
      <c r="M265" s="447"/>
      <c r="N265" s="447"/>
      <c r="O265" s="447"/>
      <c r="P265" s="447"/>
      <c r="Q265" s="447"/>
      <c r="R265" s="447"/>
      <c r="S265" s="447"/>
      <c r="T265" s="447"/>
      <c r="U265" s="447"/>
      <c r="V265" s="447"/>
      <c r="W265" s="447"/>
      <c r="X265" s="447"/>
      <c r="Y265" s="447"/>
      <c r="Z265" s="447"/>
      <c r="AA265" s="447"/>
    </row>
    <row r="266" spans="1:27">
      <c r="A266" s="465"/>
      <c r="B266" s="466"/>
      <c r="C266" s="465"/>
      <c r="D266" s="467"/>
      <c r="E266" s="447"/>
      <c r="F266" s="447"/>
      <c r="G266" s="447"/>
      <c r="H266" s="447"/>
      <c r="I266" s="447"/>
      <c r="J266" s="447"/>
      <c r="K266" s="447"/>
      <c r="L266" s="447"/>
      <c r="M266" s="447"/>
      <c r="N266" s="447"/>
      <c r="O266" s="447"/>
      <c r="P266" s="447"/>
      <c r="Q266" s="447"/>
      <c r="R266" s="447"/>
      <c r="S266" s="447"/>
      <c r="T266" s="447"/>
      <c r="U266" s="447"/>
      <c r="V266" s="447"/>
      <c r="W266" s="447"/>
      <c r="X266" s="447"/>
      <c r="Y266" s="447"/>
      <c r="Z266" s="447"/>
      <c r="AA266" s="447"/>
    </row>
    <row r="267" spans="1:27">
      <c r="A267" s="465"/>
      <c r="B267" s="466"/>
      <c r="C267" s="465"/>
      <c r="D267" s="467"/>
      <c r="E267" s="447"/>
      <c r="F267" s="447"/>
      <c r="G267" s="447"/>
      <c r="H267" s="447"/>
      <c r="I267" s="447"/>
      <c r="J267" s="447"/>
      <c r="K267" s="447"/>
      <c r="L267" s="447"/>
      <c r="M267" s="447"/>
      <c r="N267" s="447"/>
      <c r="O267" s="447"/>
      <c r="P267" s="447"/>
      <c r="Q267" s="447"/>
      <c r="R267" s="447"/>
      <c r="S267" s="447"/>
      <c r="T267" s="447"/>
      <c r="U267" s="447"/>
      <c r="V267" s="447"/>
      <c r="W267" s="447"/>
      <c r="X267" s="447"/>
      <c r="Y267" s="447"/>
      <c r="Z267" s="447"/>
      <c r="AA267" s="447"/>
    </row>
    <row r="268" spans="1:27">
      <c r="A268" s="465"/>
      <c r="B268" s="466"/>
      <c r="C268" s="465"/>
      <c r="D268" s="467"/>
      <c r="E268" s="447"/>
      <c r="F268" s="447"/>
      <c r="G268" s="447"/>
      <c r="H268" s="447"/>
      <c r="I268" s="447"/>
      <c r="J268" s="447"/>
      <c r="K268" s="447"/>
      <c r="L268" s="447"/>
      <c r="M268" s="447"/>
      <c r="N268" s="447"/>
      <c r="O268" s="447"/>
      <c r="P268" s="447"/>
      <c r="Q268" s="447"/>
      <c r="R268" s="447"/>
      <c r="S268" s="447"/>
      <c r="T268" s="447"/>
      <c r="U268" s="447"/>
      <c r="V268" s="447"/>
      <c r="W268" s="447"/>
      <c r="X268" s="447"/>
      <c r="Y268" s="447"/>
      <c r="Z268" s="447"/>
      <c r="AA268" s="447"/>
    </row>
    <row r="269" spans="1:27">
      <c r="A269" s="465"/>
      <c r="B269" s="466"/>
      <c r="C269" s="465"/>
      <c r="D269" s="467"/>
      <c r="E269" s="447"/>
      <c r="F269" s="447"/>
      <c r="G269" s="447"/>
      <c r="H269" s="447"/>
      <c r="I269" s="447"/>
      <c r="J269" s="447"/>
      <c r="K269" s="447"/>
      <c r="L269" s="447"/>
      <c r="M269" s="447"/>
      <c r="N269" s="447"/>
      <c r="O269" s="447"/>
      <c r="P269" s="447"/>
      <c r="Q269" s="447"/>
      <c r="R269" s="447"/>
      <c r="S269" s="447"/>
      <c r="T269" s="447"/>
      <c r="U269" s="447"/>
      <c r="V269" s="447"/>
      <c r="W269" s="447"/>
      <c r="X269" s="447"/>
      <c r="Y269" s="447"/>
      <c r="Z269" s="447"/>
      <c r="AA269" s="447"/>
    </row>
    <row r="270" spans="1:27">
      <c r="A270" s="465"/>
      <c r="B270" s="466"/>
      <c r="C270" s="465"/>
      <c r="D270" s="467"/>
      <c r="E270" s="447"/>
      <c r="F270" s="447"/>
      <c r="G270" s="447"/>
      <c r="H270" s="447"/>
      <c r="I270" s="447"/>
      <c r="J270" s="447"/>
      <c r="K270" s="447"/>
      <c r="L270" s="447"/>
      <c r="M270" s="447"/>
      <c r="N270" s="447"/>
      <c r="O270" s="447"/>
      <c r="P270" s="447"/>
      <c r="Q270" s="447"/>
      <c r="R270" s="447"/>
      <c r="S270" s="447"/>
      <c r="T270" s="447"/>
      <c r="U270" s="447"/>
      <c r="V270" s="447"/>
      <c r="W270" s="447"/>
      <c r="X270" s="447"/>
      <c r="Y270" s="447"/>
      <c r="Z270" s="447"/>
      <c r="AA270" s="447"/>
    </row>
    <row r="271" spans="1:27">
      <c r="A271" s="465"/>
      <c r="B271" s="466"/>
      <c r="C271" s="465"/>
      <c r="D271" s="467"/>
      <c r="E271" s="447"/>
      <c r="F271" s="447"/>
      <c r="G271" s="447"/>
      <c r="H271" s="447"/>
      <c r="I271" s="447"/>
      <c r="J271" s="447"/>
      <c r="K271" s="447"/>
      <c r="L271" s="447"/>
      <c r="M271" s="447"/>
      <c r="N271" s="447"/>
      <c r="O271" s="447"/>
      <c r="P271" s="447"/>
      <c r="Q271" s="447"/>
      <c r="R271" s="447"/>
      <c r="S271" s="447"/>
      <c r="T271" s="447"/>
      <c r="U271" s="447"/>
      <c r="V271" s="447"/>
      <c r="W271" s="447"/>
      <c r="X271" s="447"/>
      <c r="Y271" s="447"/>
      <c r="Z271" s="447"/>
      <c r="AA271" s="447"/>
    </row>
    <row r="272" spans="1:27">
      <c r="A272" s="465"/>
      <c r="B272" s="466"/>
      <c r="C272" s="465"/>
      <c r="D272" s="467"/>
      <c r="E272" s="447"/>
      <c r="F272" s="447"/>
      <c r="G272" s="447"/>
      <c r="H272" s="447"/>
      <c r="I272" s="447"/>
      <c r="J272" s="447"/>
      <c r="K272" s="447"/>
      <c r="L272" s="447"/>
      <c r="M272" s="447"/>
      <c r="N272" s="447"/>
      <c r="O272" s="447"/>
      <c r="P272" s="447"/>
      <c r="Q272" s="447"/>
      <c r="R272" s="447"/>
      <c r="S272" s="447"/>
      <c r="T272" s="447"/>
      <c r="U272" s="447"/>
      <c r="V272" s="447"/>
      <c r="W272" s="447"/>
      <c r="X272" s="447"/>
      <c r="Y272" s="447"/>
      <c r="Z272" s="447"/>
      <c r="AA272" s="447"/>
    </row>
    <row r="273" spans="1:27">
      <c r="A273" s="465"/>
      <c r="B273" s="466"/>
      <c r="C273" s="465"/>
      <c r="D273" s="467"/>
      <c r="E273" s="447"/>
      <c r="F273" s="447"/>
      <c r="G273" s="447"/>
      <c r="H273" s="447"/>
      <c r="I273" s="447"/>
      <c r="J273" s="447"/>
      <c r="K273" s="447"/>
      <c r="L273" s="447"/>
      <c r="M273" s="447"/>
      <c r="N273" s="447"/>
      <c r="O273" s="447"/>
      <c r="P273" s="447"/>
      <c r="Q273" s="447"/>
      <c r="R273" s="447"/>
      <c r="S273" s="447"/>
      <c r="T273" s="447"/>
      <c r="U273" s="447"/>
      <c r="V273" s="447"/>
      <c r="W273" s="447"/>
      <c r="X273" s="447"/>
      <c r="Y273" s="447"/>
      <c r="Z273" s="447"/>
      <c r="AA273" s="447"/>
    </row>
    <row r="274" spans="1:27">
      <c r="A274" s="465"/>
      <c r="B274" s="466"/>
      <c r="C274" s="465"/>
      <c r="D274" s="467"/>
      <c r="E274" s="447"/>
      <c r="F274" s="447"/>
      <c r="G274" s="447"/>
      <c r="H274" s="447"/>
      <c r="I274" s="447"/>
      <c r="J274" s="447"/>
      <c r="K274" s="447"/>
      <c r="L274" s="447"/>
      <c r="M274" s="447"/>
      <c r="N274" s="447"/>
      <c r="O274" s="447"/>
      <c r="P274" s="447"/>
      <c r="Q274" s="447"/>
      <c r="R274" s="447"/>
      <c r="S274" s="447"/>
      <c r="T274" s="447"/>
      <c r="U274" s="447"/>
      <c r="V274" s="447"/>
      <c r="W274" s="447"/>
      <c r="X274" s="447"/>
      <c r="Y274" s="447"/>
      <c r="Z274" s="447"/>
      <c r="AA274" s="447"/>
    </row>
    <row r="275" spans="1:27">
      <c r="A275" s="465"/>
      <c r="B275" s="466"/>
      <c r="C275" s="465"/>
      <c r="D275" s="467"/>
      <c r="E275" s="447"/>
      <c r="F275" s="447"/>
      <c r="G275" s="447"/>
      <c r="H275" s="447"/>
      <c r="I275" s="447"/>
      <c r="J275" s="447"/>
      <c r="K275" s="447"/>
      <c r="L275" s="447"/>
      <c r="M275" s="447"/>
      <c r="N275" s="447"/>
      <c r="O275" s="447"/>
      <c r="P275" s="447"/>
      <c r="Q275" s="447"/>
      <c r="R275" s="447"/>
      <c r="S275" s="447"/>
      <c r="T275" s="447"/>
      <c r="U275" s="447"/>
      <c r="V275" s="447"/>
      <c r="W275" s="447"/>
      <c r="X275" s="447"/>
      <c r="Y275" s="447"/>
      <c r="Z275" s="447"/>
      <c r="AA275" s="447"/>
    </row>
    <row r="276" spans="1:27">
      <c r="A276" s="465"/>
      <c r="B276" s="466"/>
      <c r="C276" s="465"/>
      <c r="D276" s="467"/>
      <c r="E276" s="447"/>
      <c r="F276" s="447"/>
      <c r="G276" s="447"/>
      <c r="H276" s="447"/>
      <c r="I276" s="447"/>
      <c r="J276" s="447"/>
      <c r="K276" s="447"/>
      <c r="L276" s="447"/>
      <c r="M276" s="447"/>
      <c r="N276" s="447"/>
      <c r="O276" s="447"/>
      <c r="P276" s="447"/>
      <c r="Q276" s="447"/>
      <c r="R276" s="447"/>
      <c r="S276" s="447"/>
      <c r="T276" s="447"/>
      <c r="U276" s="447"/>
      <c r="V276" s="447"/>
      <c r="W276" s="447"/>
      <c r="X276" s="447"/>
      <c r="Y276" s="447"/>
      <c r="Z276" s="447"/>
      <c r="AA276" s="447"/>
    </row>
    <row r="277" spans="1:27">
      <c r="A277" s="465"/>
      <c r="B277" s="466"/>
      <c r="C277" s="465"/>
      <c r="D277" s="467"/>
      <c r="E277" s="447"/>
      <c r="F277" s="447"/>
      <c r="G277" s="447"/>
      <c r="H277" s="447"/>
      <c r="I277" s="447"/>
      <c r="J277" s="447"/>
      <c r="K277" s="447"/>
      <c r="L277" s="447"/>
      <c r="M277" s="447"/>
      <c r="N277" s="447"/>
      <c r="O277" s="447"/>
      <c r="P277" s="447"/>
      <c r="Q277" s="447"/>
      <c r="R277" s="447"/>
      <c r="S277" s="447"/>
      <c r="T277" s="447"/>
      <c r="U277" s="447"/>
      <c r="V277" s="447"/>
      <c r="W277" s="447"/>
      <c r="X277" s="447"/>
      <c r="Y277" s="447"/>
      <c r="Z277" s="447"/>
      <c r="AA277" s="447"/>
    </row>
    <row r="278" spans="1:27">
      <c r="A278" s="465"/>
      <c r="B278" s="466"/>
      <c r="C278" s="465"/>
      <c r="D278" s="467"/>
      <c r="E278" s="447"/>
      <c r="F278" s="447"/>
      <c r="G278" s="447"/>
      <c r="H278" s="447"/>
      <c r="I278" s="447"/>
      <c r="J278" s="447"/>
      <c r="K278" s="447"/>
      <c r="L278" s="447"/>
      <c r="M278" s="447"/>
      <c r="N278" s="447"/>
      <c r="O278" s="447"/>
      <c r="P278" s="447"/>
      <c r="Q278" s="447"/>
      <c r="R278" s="447"/>
      <c r="S278" s="447"/>
      <c r="T278" s="447"/>
      <c r="U278" s="447"/>
      <c r="V278" s="447"/>
      <c r="W278" s="447"/>
      <c r="X278" s="447"/>
      <c r="Y278" s="447"/>
      <c r="Z278" s="447"/>
      <c r="AA278" s="447"/>
    </row>
    <row r="279" spans="1:27">
      <c r="A279" s="465"/>
      <c r="B279" s="466"/>
      <c r="C279" s="465"/>
      <c r="D279" s="467"/>
      <c r="E279" s="447"/>
      <c r="F279" s="447"/>
      <c r="G279" s="447"/>
      <c r="H279" s="447"/>
      <c r="I279" s="447"/>
      <c r="J279" s="447"/>
      <c r="K279" s="447"/>
      <c r="L279" s="447"/>
      <c r="M279" s="447"/>
      <c r="N279" s="447"/>
      <c r="O279" s="447"/>
      <c r="P279" s="447"/>
      <c r="Q279" s="447"/>
      <c r="R279" s="447"/>
      <c r="S279" s="447"/>
      <c r="T279" s="447"/>
      <c r="U279" s="447"/>
      <c r="V279" s="447"/>
      <c r="W279" s="447"/>
      <c r="X279" s="447"/>
      <c r="Y279" s="447"/>
      <c r="Z279" s="447"/>
      <c r="AA279" s="447"/>
    </row>
    <row r="280" spans="1:27">
      <c r="A280" s="465"/>
      <c r="B280" s="466"/>
      <c r="C280" s="465"/>
      <c r="D280" s="467"/>
      <c r="E280" s="447"/>
      <c r="F280" s="447"/>
      <c r="G280" s="447"/>
      <c r="H280" s="447"/>
      <c r="I280" s="447"/>
      <c r="J280" s="447"/>
      <c r="K280" s="447"/>
      <c r="L280" s="447"/>
      <c r="M280" s="447"/>
      <c r="N280" s="447"/>
      <c r="O280" s="447"/>
      <c r="P280" s="447"/>
      <c r="Q280" s="447"/>
      <c r="R280" s="447"/>
      <c r="S280" s="447"/>
      <c r="T280" s="447"/>
      <c r="U280" s="447"/>
      <c r="V280" s="447"/>
      <c r="W280" s="447"/>
      <c r="X280" s="447"/>
      <c r="Y280" s="447"/>
      <c r="Z280" s="447"/>
      <c r="AA280" s="447"/>
    </row>
    <row r="281" spans="1:27">
      <c r="A281" s="465"/>
      <c r="B281" s="466"/>
      <c r="C281" s="465"/>
      <c r="D281" s="467"/>
      <c r="E281" s="447"/>
      <c r="F281" s="447"/>
      <c r="G281" s="447"/>
      <c r="H281" s="447"/>
      <c r="I281" s="447"/>
      <c r="J281" s="447"/>
      <c r="K281" s="447"/>
      <c r="L281" s="447"/>
      <c r="M281" s="447"/>
      <c r="N281" s="447"/>
      <c r="O281" s="447"/>
      <c r="P281" s="447"/>
      <c r="Q281" s="447"/>
      <c r="R281" s="447"/>
      <c r="S281" s="447"/>
      <c r="T281" s="447"/>
      <c r="U281" s="447"/>
      <c r="V281" s="447"/>
      <c r="W281" s="447"/>
      <c r="X281" s="447"/>
      <c r="Y281" s="447"/>
      <c r="Z281" s="447"/>
      <c r="AA281" s="447"/>
    </row>
    <row r="282" spans="1:27">
      <c r="A282" s="465"/>
      <c r="B282" s="466"/>
      <c r="C282" s="465"/>
      <c r="D282" s="467"/>
      <c r="E282" s="447"/>
      <c r="F282" s="447"/>
      <c r="G282" s="447"/>
      <c r="H282" s="447"/>
      <c r="I282" s="447"/>
      <c r="J282" s="447"/>
      <c r="K282" s="447"/>
      <c r="L282" s="447"/>
      <c r="M282" s="447"/>
      <c r="N282" s="447"/>
      <c r="O282" s="447"/>
      <c r="P282" s="447"/>
      <c r="Q282" s="447"/>
      <c r="R282" s="447"/>
      <c r="S282" s="447"/>
      <c r="T282" s="447"/>
      <c r="U282" s="447"/>
      <c r="V282" s="447"/>
      <c r="W282" s="447"/>
      <c r="X282" s="447"/>
      <c r="Y282" s="447"/>
      <c r="Z282" s="447"/>
      <c r="AA282" s="447"/>
    </row>
    <row r="283" spans="1:27">
      <c r="A283" s="465"/>
      <c r="B283" s="466"/>
      <c r="C283" s="465"/>
      <c r="D283" s="467"/>
      <c r="E283" s="447"/>
      <c r="F283" s="447"/>
      <c r="G283" s="447"/>
      <c r="H283" s="447"/>
      <c r="I283" s="447"/>
      <c r="J283" s="447"/>
      <c r="K283" s="447"/>
      <c r="L283" s="447"/>
      <c r="M283" s="447"/>
      <c r="N283" s="447"/>
      <c r="O283" s="447"/>
      <c r="P283" s="447"/>
      <c r="Q283" s="447"/>
      <c r="R283" s="447"/>
      <c r="S283" s="447"/>
      <c r="T283" s="447"/>
      <c r="U283" s="447"/>
      <c r="V283" s="447"/>
      <c r="W283" s="447"/>
      <c r="X283" s="447"/>
      <c r="Y283" s="447"/>
      <c r="Z283" s="447"/>
      <c r="AA283" s="447"/>
    </row>
    <row r="284" spans="1:27">
      <c r="A284" s="465"/>
      <c r="B284" s="466"/>
      <c r="C284" s="465"/>
      <c r="D284" s="467"/>
      <c r="E284" s="447"/>
      <c r="F284" s="447"/>
      <c r="G284" s="447"/>
      <c r="H284" s="447"/>
      <c r="I284" s="447"/>
      <c r="J284" s="447"/>
      <c r="K284" s="447"/>
      <c r="L284" s="447"/>
      <c r="M284" s="447"/>
      <c r="N284" s="447"/>
      <c r="O284" s="447"/>
      <c r="P284" s="447"/>
      <c r="Q284" s="447"/>
      <c r="R284" s="447"/>
      <c r="S284" s="447"/>
      <c r="T284" s="447"/>
      <c r="U284" s="447"/>
      <c r="V284" s="447"/>
      <c r="W284" s="447"/>
      <c r="X284" s="447"/>
      <c r="Y284" s="447"/>
      <c r="Z284" s="447"/>
      <c r="AA284" s="447"/>
    </row>
    <row r="285" spans="1:27">
      <c r="A285" s="465"/>
      <c r="B285" s="466"/>
      <c r="C285" s="465"/>
      <c r="D285" s="467"/>
      <c r="E285" s="447"/>
      <c r="F285" s="447"/>
      <c r="G285" s="447"/>
      <c r="H285" s="447"/>
      <c r="I285" s="447"/>
      <c r="J285" s="447"/>
      <c r="K285" s="447"/>
      <c r="L285" s="447"/>
      <c r="M285" s="447"/>
      <c r="N285" s="447"/>
      <c r="O285" s="447"/>
      <c r="P285" s="447"/>
      <c r="Q285" s="447"/>
      <c r="R285" s="447"/>
      <c r="S285" s="447"/>
      <c r="T285" s="447"/>
      <c r="U285" s="447"/>
      <c r="V285" s="447"/>
      <c r="W285" s="447"/>
      <c r="X285" s="447"/>
      <c r="Y285" s="447"/>
      <c r="Z285" s="447"/>
      <c r="AA285" s="447"/>
    </row>
    <row r="286" spans="1:27">
      <c r="A286" s="465"/>
      <c r="B286" s="466"/>
      <c r="C286" s="465"/>
      <c r="D286" s="467"/>
      <c r="E286" s="447"/>
      <c r="F286" s="447"/>
      <c r="G286" s="447"/>
      <c r="H286" s="447"/>
      <c r="I286" s="447"/>
      <c r="J286" s="447"/>
      <c r="K286" s="447"/>
      <c r="L286" s="447"/>
      <c r="M286" s="447"/>
      <c r="N286" s="447"/>
      <c r="O286" s="447"/>
      <c r="P286" s="447"/>
      <c r="Q286" s="447"/>
      <c r="R286" s="447"/>
      <c r="S286" s="447"/>
      <c r="T286" s="447"/>
      <c r="U286" s="447"/>
      <c r="V286" s="447"/>
      <c r="W286" s="447"/>
      <c r="X286" s="447"/>
      <c r="Y286" s="447"/>
      <c r="Z286" s="447"/>
      <c r="AA286" s="447"/>
    </row>
    <row r="287" spans="1:27">
      <c r="A287" s="465"/>
      <c r="B287" s="466"/>
      <c r="C287" s="465"/>
      <c r="D287" s="467"/>
      <c r="E287" s="447"/>
      <c r="F287" s="447"/>
      <c r="G287" s="447"/>
      <c r="H287" s="447"/>
      <c r="I287" s="447"/>
      <c r="J287" s="447"/>
      <c r="K287" s="447"/>
      <c r="L287" s="447"/>
      <c r="M287" s="447"/>
      <c r="N287" s="447"/>
      <c r="O287" s="447"/>
      <c r="P287" s="447"/>
      <c r="Q287" s="447"/>
      <c r="R287" s="447"/>
      <c r="S287" s="447"/>
      <c r="T287" s="447"/>
      <c r="U287" s="447"/>
      <c r="V287" s="447"/>
      <c r="W287" s="447"/>
      <c r="X287" s="447"/>
      <c r="Y287" s="447"/>
      <c r="Z287" s="447"/>
      <c r="AA287" s="447"/>
    </row>
    <row r="288" spans="1:27">
      <c r="A288" s="465"/>
      <c r="B288" s="466"/>
      <c r="C288" s="465"/>
      <c r="D288" s="467"/>
      <c r="E288" s="447"/>
      <c r="F288" s="447"/>
      <c r="G288" s="447"/>
      <c r="H288" s="447"/>
      <c r="I288" s="447"/>
      <c r="J288" s="447"/>
      <c r="K288" s="447"/>
      <c r="L288" s="447"/>
      <c r="M288" s="447"/>
      <c r="N288" s="447"/>
      <c r="O288" s="447"/>
      <c r="P288" s="447"/>
      <c r="Q288" s="447"/>
      <c r="R288" s="447"/>
      <c r="S288" s="447"/>
      <c r="T288" s="447"/>
      <c r="U288" s="447"/>
      <c r="V288" s="447"/>
      <c r="W288" s="447"/>
      <c r="X288" s="447"/>
      <c r="Y288" s="447"/>
      <c r="Z288" s="447"/>
      <c r="AA288" s="447"/>
    </row>
    <row r="289" spans="1:27">
      <c r="A289" s="465"/>
      <c r="B289" s="466"/>
      <c r="C289" s="465"/>
      <c r="D289" s="467"/>
      <c r="E289" s="447"/>
      <c r="F289" s="447"/>
      <c r="G289" s="447"/>
      <c r="H289" s="447"/>
      <c r="I289" s="447"/>
      <c r="J289" s="447"/>
      <c r="K289" s="447"/>
      <c r="L289" s="447"/>
      <c r="M289" s="447"/>
      <c r="N289" s="447"/>
      <c r="O289" s="447"/>
      <c r="P289" s="447"/>
      <c r="Q289" s="447"/>
      <c r="R289" s="447"/>
      <c r="S289" s="447"/>
      <c r="T289" s="447"/>
      <c r="U289" s="447"/>
      <c r="V289" s="447"/>
      <c r="W289" s="447"/>
      <c r="X289" s="447"/>
      <c r="Y289" s="447"/>
      <c r="Z289" s="447"/>
      <c r="AA289" s="447"/>
    </row>
    <row r="290" spans="1:27">
      <c r="A290" s="465"/>
      <c r="B290" s="466"/>
      <c r="C290" s="465"/>
      <c r="D290" s="467"/>
      <c r="E290" s="447"/>
      <c r="F290" s="447"/>
      <c r="G290" s="447"/>
      <c r="H290" s="447"/>
      <c r="I290" s="447"/>
      <c r="J290" s="447"/>
      <c r="K290" s="447"/>
      <c r="L290" s="447"/>
      <c r="M290" s="447"/>
      <c r="N290" s="447"/>
      <c r="O290" s="447"/>
      <c r="P290" s="447"/>
      <c r="Q290" s="447"/>
      <c r="R290" s="447"/>
      <c r="S290" s="447"/>
      <c r="T290" s="447"/>
      <c r="U290" s="447"/>
      <c r="V290" s="447"/>
      <c r="W290" s="447"/>
      <c r="X290" s="447"/>
      <c r="Y290" s="447"/>
      <c r="Z290" s="447"/>
      <c r="AA290" s="447"/>
    </row>
    <row r="291" spans="1:27">
      <c r="A291" s="465"/>
      <c r="B291" s="466"/>
      <c r="C291" s="465"/>
      <c r="D291" s="467"/>
      <c r="E291" s="447"/>
      <c r="F291" s="447"/>
      <c r="G291" s="447"/>
      <c r="H291" s="447"/>
      <c r="I291" s="447"/>
      <c r="J291" s="447"/>
      <c r="K291" s="447"/>
      <c r="L291" s="447"/>
      <c r="M291" s="447"/>
      <c r="N291" s="447"/>
      <c r="O291" s="447"/>
      <c r="P291" s="447"/>
      <c r="Q291" s="447"/>
      <c r="R291" s="447"/>
      <c r="S291" s="447"/>
      <c r="T291" s="447"/>
      <c r="U291" s="447"/>
      <c r="V291" s="447"/>
      <c r="W291" s="447"/>
      <c r="X291" s="447"/>
      <c r="Y291" s="447"/>
      <c r="Z291" s="447"/>
      <c r="AA291" s="447"/>
    </row>
    <row r="292" spans="1:27">
      <c r="A292" s="465"/>
      <c r="B292" s="466"/>
      <c r="C292" s="465"/>
      <c r="D292" s="467"/>
      <c r="E292" s="447"/>
      <c r="F292" s="447"/>
      <c r="G292" s="447"/>
      <c r="H292" s="447"/>
      <c r="I292" s="447"/>
      <c r="J292" s="447"/>
      <c r="K292" s="447"/>
      <c r="L292" s="447"/>
      <c r="M292" s="447"/>
      <c r="N292" s="447"/>
      <c r="O292" s="447"/>
      <c r="P292" s="447"/>
      <c r="Q292" s="447"/>
      <c r="R292" s="447"/>
      <c r="S292" s="447"/>
      <c r="T292" s="447"/>
      <c r="U292" s="447"/>
      <c r="V292" s="447"/>
      <c r="W292" s="447"/>
      <c r="X292" s="447"/>
      <c r="Y292" s="447"/>
      <c r="Z292" s="447"/>
      <c r="AA292" s="447"/>
    </row>
    <row r="293" spans="1:27">
      <c r="A293" s="465"/>
      <c r="B293" s="466"/>
      <c r="C293" s="465"/>
      <c r="D293" s="467"/>
      <c r="E293" s="447"/>
      <c r="F293" s="447"/>
      <c r="G293" s="447"/>
      <c r="H293" s="447"/>
      <c r="I293" s="447"/>
      <c r="J293" s="447"/>
      <c r="K293" s="447"/>
      <c r="L293" s="447"/>
      <c r="M293" s="447"/>
      <c r="N293" s="447"/>
      <c r="O293" s="447"/>
      <c r="P293" s="447"/>
      <c r="Q293" s="447"/>
      <c r="R293" s="447"/>
      <c r="S293" s="447"/>
      <c r="T293" s="447"/>
      <c r="U293" s="447"/>
      <c r="V293" s="447"/>
      <c r="W293" s="447"/>
      <c r="X293" s="447"/>
      <c r="Y293" s="447"/>
      <c r="Z293" s="447"/>
      <c r="AA293" s="447"/>
    </row>
    <row r="294" spans="1:27">
      <c r="A294" s="465"/>
      <c r="B294" s="466"/>
      <c r="C294" s="465"/>
      <c r="D294" s="467"/>
      <c r="E294" s="447"/>
      <c r="F294" s="447"/>
      <c r="G294" s="447"/>
      <c r="H294" s="447"/>
      <c r="I294" s="447"/>
      <c r="J294" s="447"/>
      <c r="K294" s="447"/>
      <c r="L294" s="447"/>
      <c r="M294" s="447"/>
      <c r="N294" s="447"/>
      <c r="O294" s="447"/>
      <c r="P294" s="447"/>
      <c r="Q294" s="447"/>
      <c r="R294" s="447"/>
      <c r="S294" s="447"/>
      <c r="T294" s="447"/>
      <c r="U294" s="447"/>
      <c r="V294" s="447"/>
      <c r="W294" s="447"/>
      <c r="X294" s="447"/>
      <c r="Y294" s="447"/>
      <c r="Z294" s="447"/>
      <c r="AA294" s="447"/>
    </row>
    <row r="295" spans="1:27">
      <c r="A295" s="465"/>
      <c r="B295" s="466"/>
      <c r="C295" s="465"/>
      <c r="D295" s="467"/>
      <c r="E295" s="447"/>
      <c r="F295" s="447"/>
      <c r="G295" s="447"/>
      <c r="H295" s="447"/>
      <c r="I295" s="447"/>
      <c r="J295" s="447"/>
      <c r="K295" s="447"/>
      <c r="L295" s="447"/>
      <c r="M295" s="447"/>
      <c r="N295" s="447"/>
      <c r="O295" s="447"/>
      <c r="P295" s="447"/>
      <c r="Q295" s="447"/>
      <c r="R295" s="447"/>
      <c r="S295" s="447"/>
      <c r="T295" s="447"/>
      <c r="U295" s="447"/>
      <c r="V295" s="447"/>
      <c r="W295" s="447"/>
      <c r="X295" s="447"/>
      <c r="Y295" s="447"/>
      <c r="Z295" s="447"/>
      <c r="AA295" s="447"/>
    </row>
    <row r="296" spans="1:27">
      <c r="A296" s="465"/>
      <c r="B296" s="466"/>
      <c r="C296" s="465"/>
      <c r="D296" s="467"/>
      <c r="E296" s="447"/>
      <c r="F296" s="447"/>
      <c r="G296" s="447"/>
      <c r="H296" s="447"/>
      <c r="I296" s="447"/>
      <c r="J296" s="447"/>
      <c r="K296" s="447"/>
      <c r="L296" s="447"/>
      <c r="M296" s="447"/>
      <c r="N296" s="447"/>
      <c r="O296" s="447"/>
      <c r="P296" s="447"/>
      <c r="Q296" s="447"/>
      <c r="R296" s="447"/>
      <c r="S296" s="447"/>
      <c r="T296" s="447"/>
      <c r="U296" s="447"/>
      <c r="V296" s="447"/>
      <c r="W296" s="447"/>
      <c r="X296" s="447"/>
      <c r="Y296" s="447"/>
      <c r="Z296" s="447"/>
      <c r="AA296" s="447"/>
    </row>
    <row r="297" spans="1:27">
      <c r="A297" s="465"/>
      <c r="B297" s="466"/>
      <c r="C297" s="465"/>
      <c r="D297" s="467"/>
      <c r="E297" s="447"/>
      <c r="F297" s="447"/>
      <c r="G297" s="447"/>
      <c r="H297" s="447"/>
      <c r="I297" s="447"/>
      <c r="J297" s="447"/>
      <c r="K297" s="447"/>
      <c r="L297" s="447"/>
      <c r="M297" s="447"/>
      <c r="N297" s="447"/>
      <c r="O297" s="447"/>
      <c r="P297" s="447"/>
      <c r="Q297" s="447"/>
      <c r="R297" s="447"/>
      <c r="S297" s="447"/>
      <c r="T297" s="447"/>
      <c r="U297" s="447"/>
      <c r="V297" s="447"/>
      <c r="W297" s="447"/>
      <c r="X297" s="447"/>
      <c r="Y297" s="447"/>
      <c r="Z297" s="447"/>
      <c r="AA297" s="447"/>
    </row>
    <row r="298" spans="1:27">
      <c r="A298" s="465"/>
      <c r="B298" s="466"/>
      <c r="C298" s="465"/>
      <c r="D298" s="467"/>
      <c r="E298" s="447"/>
      <c r="F298" s="447"/>
      <c r="G298" s="447"/>
      <c r="H298" s="447"/>
      <c r="I298" s="447"/>
      <c r="J298" s="447"/>
      <c r="K298" s="447"/>
      <c r="L298" s="447"/>
      <c r="M298" s="447"/>
      <c r="N298" s="447"/>
      <c r="O298" s="447"/>
      <c r="P298" s="447"/>
      <c r="Q298" s="447"/>
      <c r="R298" s="447"/>
      <c r="S298" s="447"/>
      <c r="T298" s="447"/>
      <c r="U298" s="447"/>
      <c r="V298" s="447"/>
      <c r="W298" s="447"/>
      <c r="X298" s="447"/>
      <c r="Y298" s="447"/>
      <c r="Z298" s="447"/>
      <c r="AA298" s="447"/>
    </row>
    <row r="299" spans="1:27">
      <c r="A299" s="465"/>
      <c r="B299" s="466"/>
      <c r="C299" s="465"/>
      <c r="D299" s="467"/>
      <c r="E299" s="447"/>
      <c r="F299" s="447"/>
      <c r="G299" s="447"/>
      <c r="H299" s="447"/>
      <c r="I299" s="447"/>
      <c r="J299" s="447"/>
      <c r="K299" s="447"/>
      <c r="L299" s="447"/>
      <c r="M299" s="447"/>
      <c r="N299" s="447"/>
      <c r="O299" s="447"/>
      <c r="P299" s="447"/>
      <c r="Q299" s="447"/>
      <c r="R299" s="447"/>
      <c r="S299" s="447"/>
      <c r="T299" s="447"/>
      <c r="U299" s="447"/>
      <c r="V299" s="447"/>
      <c r="W299" s="447"/>
      <c r="X299" s="447"/>
      <c r="Y299" s="447"/>
      <c r="Z299" s="447"/>
      <c r="AA299" s="447"/>
    </row>
    <row r="300" spans="1:27">
      <c r="A300" s="465"/>
      <c r="B300" s="466"/>
      <c r="C300" s="465"/>
      <c r="D300" s="467"/>
      <c r="E300" s="447"/>
      <c r="F300" s="447"/>
      <c r="G300" s="447"/>
      <c r="H300" s="447"/>
      <c r="I300" s="447"/>
      <c r="J300" s="447"/>
      <c r="K300" s="447"/>
      <c r="L300" s="447"/>
      <c r="M300" s="447"/>
      <c r="N300" s="447"/>
      <c r="O300" s="447"/>
      <c r="P300" s="447"/>
      <c r="Q300" s="447"/>
      <c r="R300" s="447"/>
      <c r="S300" s="447"/>
      <c r="T300" s="447"/>
      <c r="U300" s="447"/>
      <c r="V300" s="447"/>
      <c r="W300" s="447"/>
      <c r="X300" s="447"/>
      <c r="Y300" s="447"/>
      <c r="Z300" s="447"/>
      <c r="AA300" s="447"/>
    </row>
    <row r="301" spans="1:27">
      <c r="A301" s="465"/>
      <c r="B301" s="466"/>
      <c r="C301" s="465"/>
      <c r="D301" s="467"/>
      <c r="E301" s="447"/>
      <c r="F301" s="447"/>
      <c r="G301" s="447"/>
      <c r="H301" s="447"/>
      <c r="I301" s="447"/>
      <c r="J301" s="447"/>
      <c r="K301" s="447"/>
      <c r="L301" s="447"/>
      <c r="M301" s="447"/>
      <c r="N301" s="447"/>
      <c r="O301" s="447"/>
      <c r="P301" s="447"/>
      <c r="Q301" s="447"/>
      <c r="R301" s="447"/>
      <c r="S301" s="447"/>
      <c r="T301" s="447"/>
      <c r="U301" s="447"/>
      <c r="V301" s="447"/>
      <c r="W301" s="447"/>
      <c r="X301" s="447"/>
      <c r="Y301" s="447"/>
      <c r="Z301" s="447"/>
      <c r="AA301" s="447"/>
    </row>
    <row r="302" spans="1:27">
      <c r="A302" s="465"/>
      <c r="B302" s="466"/>
      <c r="C302" s="465"/>
      <c r="D302" s="467"/>
      <c r="E302" s="447"/>
      <c r="F302" s="447"/>
      <c r="G302" s="447"/>
      <c r="H302" s="447"/>
      <c r="I302" s="447"/>
      <c r="J302" s="447"/>
      <c r="K302" s="447"/>
      <c r="L302" s="447"/>
      <c r="M302" s="447"/>
      <c r="N302" s="447"/>
      <c r="O302" s="447"/>
      <c r="P302" s="447"/>
      <c r="Q302" s="447"/>
      <c r="R302" s="447"/>
      <c r="S302" s="447"/>
      <c r="T302" s="447"/>
      <c r="U302" s="447"/>
      <c r="V302" s="447"/>
      <c r="W302" s="447"/>
      <c r="X302" s="447"/>
      <c r="Y302" s="447"/>
      <c r="Z302" s="447"/>
      <c r="AA302" s="447"/>
    </row>
    <row r="303" spans="1:27">
      <c r="A303" s="465"/>
      <c r="B303" s="466"/>
      <c r="C303" s="465"/>
      <c r="D303" s="467"/>
      <c r="E303" s="447"/>
      <c r="F303" s="447"/>
      <c r="G303" s="447"/>
      <c r="H303" s="447"/>
      <c r="I303" s="447"/>
      <c r="J303" s="447"/>
      <c r="K303" s="447"/>
      <c r="L303" s="447"/>
      <c r="M303" s="447"/>
      <c r="N303" s="447"/>
      <c r="O303" s="447"/>
      <c r="P303" s="447"/>
      <c r="Q303" s="447"/>
      <c r="R303" s="447"/>
      <c r="S303" s="447"/>
      <c r="T303" s="447"/>
      <c r="U303" s="447"/>
      <c r="V303" s="447"/>
      <c r="W303" s="447"/>
      <c r="X303" s="447"/>
      <c r="Y303" s="447"/>
      <c r="Z303" s="447"/>
      <c r="AA303" s="447"/>
    </row>
    <row r="304" spans="1:27">
      <c r="A304" s="465"/>
      <c r="B304" s="466"/>
      <c r="C304" s="465"/>
      <c r="D304" s="467"/>
      <c r="E304" s="447"/>
      <c r="F304" s="447"/>
      <c r="G304" s="447"/>
      <c r="H304" s="447"/>
      <c r="I304" s="447"/>
      <c r="J304" s="447"/>
      <c r="K304" s="447"/>
      <c r="L304" s="447"/>
      <c r="M304" s="447"/>
      <c r="N304" s="447"/>
      <c r="O304" s="447"/>
      <c r="P304" s="447"/>
      <c r="Q304" s="447"/>
      <c r="R304" s="447"/>
      <c r="S304" s="447"/>
      <c r="T304" s="447"/>
      <c r="U304" s="447"/>
      <c r="V304" s="447"/>
      <c r="W304" s="447"/>
      <c r="X304" s="447"/>
      <c r="Y304" s="447"/>
      <c r="Z304" s="447"/>
      <c r="AA304" s="447"/>
    </row>
    <row r="305" spans="1:27">
      <c r="A305" s="465"/>
      <c r="B305" s="466"/>
      <c r="C305" s="465"/>
      <c r="D305" s="467"/>
      <c r="E305" s="447"/>
      <c r="F305" s="447"/>
      <c r="G305" s="447"/>
      <c r="H305" s="447"/>
      <c r="I305" s="447"/>
      <c r="J305" s="447"/>
      <c r="K305" s="447"/>
      <c r="L305" s="447"/>
      <c r="M305" s="447"/>
      <c r="N305" s="447"/>
      <c r="O305" s="447"/>
      <c r="P305" s="447"/>
      <c r="Q305" s="447"/>
      <c r="R305" s="447"/>
      <c r="S305" s="447"/>
      <c r="T305" s="447"/>
      <c r="U305" s="447"/>
      <c r="V305" s="447"/>
      <c r="W305" s="447"/>
      <c r="X305" s="447"/>
      <c r="Y305" s="447"/>
      <c r="Z305" s="447"/>
      <c r="AA305" s="447"/>
    </row>
    <row r="306" spans="1:27">
      <c r="A306" s="465"/>
      <c r="B306" s="466"/>
      <c r="C306" s="465"/>
      <c r="D306" s="467"/>
      <c r="E306" s="447"/>
      <c r="F306" s="447"/>
      <c r="G306" s="447"/>
      <c r="H306" s="447"/>
      <c r="I306" s="447"/>
      <c r="J306" s="447"/>
      <c r="K306" s="447"/>
      <c r="L306" s="447"/>
      <c r="M306" s="447"/>
      <c r="N306" s="447"/>
      <c r="O306" s="447"/>
      <c r="P306" s="447"/>
      <c r="Q306" s="447"/>
      <c r="R306" s="447"/>
      <c r="S306" s="447"/>
      <c r="T306" s="447"/>
      <c r="U306" s="447"/>
      <c r="V306" s="447"/>
      <c r="W306" s="447"/>
      <c r="X306" s="447"/>
      <c r="Y306" s="447"/>
      <c r="Z306" s="447"/>
      <c r="AA306" s="447"/>
    </row>
    <row r="307" spans="1:27">
      <c r="A307" s="465"/>
      <c r="B307" s="466"/>
      <c r="C307" s="465"/>
      <c r="D307" s="467"/>
      <c r="E307" s="447"/>
      <c r="F307" s="447"/>
      <c r="G307" s="447"/>
      <c r="H307" s="447"/>
      <c r="I307" s="447"/>
      <c r="J307" s="447"/>
      <c r="K307" s="447"/>
      <c r="L307" s="447"/>
      <c r="M307" s="447"/>
      <c r="N307" s="447"/>
      <c r="O307" s="447"/>
      <c r="P307" s="447"/>
      <c r="Q307" s="447"/>
      <c r="R307" s="447"/>
      <c r="S307" s="447"/>
      <c r="T307" s="447"/>
      <c r="U307" s="447"/>
      <c r="V307" s="447"/>
      <c r="W307" s="447"/>
      <c r="X307" s="447"/>
      <c r="Y307" s="447"/>
      <c r="Z307" s="447"/>
      <c r="AA307" s="447"/>
    </row>
    <row r="308" spans="1:27">
      <c r="A308" s="465"/>
      <c r="B308" s="466"/>
      <c r="C308" s="465"/>
      <c r="D308" s="467"/>
      <c r="E308" s="447"/>
      <c r="F308" s="447"/>
      <c r="G308" s="447"/>
      <c r="H308" s="447"/>
      <c r="I308" s="447"/>
      <c r="J308" s="447"/>
      <c r="K308" s="447"/>
      <c r="L308" s="447"/>
      <c r="M308" s="447"/>
      <c r="N308" s="447"/>
      <c r="O308" s="447"/>
      <c r="P308" s="447"/>
      <c r="Q308" s="447"/>
      <c r="R308" s="447"/>
      <c r="S308" s="447"/>
      <c r="T308" s="447"/>
      <c r="U308" s="447"/>
      <c r="V308" s="447"/>
      <c r="W308" s="447"/>
      <c r="X308" s="447"/>
      <c r="Y308" s="447"/>
      <c r="Z308" s="447"/>
      <c r="AA308" s="447"/>
    </row>
    <row r="309" spans="1:27">
      <c r="A309" s="465"/>
      <c r="B309" s="466"/>
      <c r="C309" s="465"/>
      <c r="D309" s="467"/>
      <c r="E309" s="447"/>
      <c r="F309" s="447"/>
      <c r="G309" s="447"/>
      <c r="H309" s="447"/>
      <c r="I309" s="447"/>
      <c r="J309" s="447"/>
      <c r="K309" s="447"/>
      <c r="L309" s="447"/>
      <c r="M309" s="447"/>
      <c r="N309" s="447"/>
      <c r="O309" s="447"/>
      <c r="P309" s="447"/>
      <c r="Q309" s="447"/>
      <c r="R309" s="447"/>
      <c r="S309" s="447"/>
      <c r="T309" s="447"/>
      <c r="U309" s="447"/>
      <c r="V309" s="447"/>
      <c r="W309" s="447"/>
      <c r="X309" s="447"/>
      <c r="Y309" s="447"/>
      <c r="Z309" s="447"/>
      <c r="AA309" s="447"/>
    </row>
    <row r="310" spans="1:27">
      <c r="A310" s="465"/>
      <c r="B310" s="466"/>
      <c r="C310" s="465"/>
      <c r="D310" s="467"/>
      <c r="E310" s="447"/>
      <c r="F310" s="447"/>
      <c r="G310" s="447"/>
      <c r="H310" s="447"/>
      <c r="I310" s="447"/>
      <c r="J310" s="447"/>
      <c r="K310" s="447"/>
      <c r="L310" s="447"/>
      <c r="M310" s="447"/>
      <c r="N310" s="447"/>
      <c r="O310" s="447"/>
      <c r="P310" s="447"/>
      <c r="Q310" s="447"/>
      <c r="R310" s="447"/>
      <c r="S310" s="447"/>
      <c r="T310" s="447"/>
      <c r="U310" s="447"/>
      <c r="V310" s="447"/>
      <c r="W310" s="447"/>
      <c r="X310" s="447"/>
      <c r="Y310" s="447"/>
      <c r="Z310" s="447"/>
      <c r="AA310" s="447"/>
    </row>
    <row r="311" spans="1:27">
      <c r="A311" s="465"/>
      <c r="B311" s="466"/>
      <c r="C311" s="465"/>
      <c r="D311" s="467"/>
      <c r="E311" s="447"/>
      <c r="F311" s="447"/>
      <c r="G311" s="447"/>
      <c r="H311" s="447"/>
      <c r="I311" s="447"/>
      <c r="J311" s="447"/>
      <c r="K311" s="447"/>
      <c r="L311" s="447"/>
      <c r="M311" s="447"/>
      <c r="N311" s="447"/>
      <c r="O311" s="447"/>
      <c r="P311" s="447"/>
      <c r="Q311" s="447"/>
      <c r="R311" s="447"/>
      <c r="S311" s="447"/>
      <c r="T311" s="447"/>
      <c r="U311" s="447"/>
      <c r="V311" s="447"/>
      <c r="W311" s="447"/>
      <c r="X311" s="447"/>
      <c r="Y311" s="447"/>
      <c r="Z311" s="447"/>
      <c r="AA311" s="447"/>
    </row>
    <row r="312" spans="1:27">
      <c r="A312" s="465"/>
      <c r="B312" s="466"/>
      <c r="C312" s="465"/>
      <c r="D312" s="467"/>
      <c r="E312" s="447"/>
      <c r="F312" s="447"/>
      <c r="G312" s="447"/>
      <c r="H312" s="447"/>
      <c r="I312" s="447"/>
      <c r="J312" s="447"/>
      <c r="K312" s="447"/>
      <c r="L312" s="447"/>
      <c r="M312" s="447"/>
      <c r="N312" s="447"/>
      <c r="O312" s="447"/>
      <c r="P312" s="447"/>
      <c r="Q312" s="447"/>
      <c r="R312" s="447"/>
      <c r="S312" s="447"/>
      <c r="T312" s="447"/>
      <c r="U312" s="447"/>
      <c r="V312" s="447"/>
      <c r="W312" s="447"/>
      <c r="X312" s="447"/>
      <c r="Y312" s="447"/>
      <c r="Z312" s="447"/>
      <c r="AA312" s="447"/>
    </row>
    <row r="313" spans="1:27">
      <c r="A313" s="465"/>
      <c r="B313" s="466"/>
      <c r="C313" s="465"/>
      <c r="D313" s="467"/>
      <c r="E313" s="447"/>
      <c r="F313" s="447"/>
      <c r="G313" s="447"/>
      <c r="H313" s="447"/>
      <c r="I313" s="447"/>
      <c r="J313" s="447"/>
      <c r="K313" s="447"/>
      <c r="L313" s="447"/>
      <c r="M313" s="447"/>
      <c r="N313" s="447"/>
      <c r="O313" s="447"/>
      <c r="P313" s="447"/>
      <c r="Q313" s="447"/>
      <c r="R313" s="447"/>
      <c r="S313" s="447"/>
      <c r="T313" s="447"/>
      <c r="U313" s="447"/>
      <c r="V313" s="447"/>
      <c r="W313" s="447"/>
      <c r="X313" s="447"/>
      <c r="Y313" s="447"/>
      <c r="Z313" s="447"/>
      <c r="AA313" s="447"/>
    </row>
    <row r="314" spans="1:27">
      <c r="A314" s="465"/>
      <c r="B314" s="466"/>
      <c r="C314" s="465"/>
      <c r="D314" s="467"/>
      <c r="E314" s="447"/>
      <c r="F314" s="447"/>
      <c r="G314" s="447"/>
      <c r="H314" s="447"/>
      <c r="I314" s="447"/>
      <c r="J314" s="447"/>
      <c r="K314" s="447"/>
      <c r="L314" s="447"/>
      <c r="M314" s="447"/>
      <c r="N314" s="447"/>
      <c r="O314" s="447"/>
      <c r="P314" s="447"/>
      <c r="Q314" s="447"/>
      <c r="R314" s="447"/>
      <c r="S314" s="447"/>
      <c r="T314" s="447"/>
      <c r="U314" s="447"/>
      <c r="V314" s="447"/>
      <c r="W314" s="447"/>
      <c r="X314" s="447"/>
      <c r="Y314" s="447"/>
      <c r="Z314" s="447"/>
      <c r="AA314" s="447"/>
    </row>
    <row r="315" spans="1:27">
      <c r="A315" s="465"/>
      <c r="B315" s="466"/>
      <c r="C315" s="465"/>
      <c r="D315" s="467"/>
      <c r="E315" s="447"/>
      <c r="F315" s="447"/>
      <c r="G315" s="447"/>
      <c r="H315" s="447"/>
      <c r="I315" s="447"/>
      <c r="J315" s="447"/>
      <c r="K315" s="447"/>
      <c r="L315" s="447"/>
      <c r="M315" s="447"/>
      <c r="N315" s="447"/>
      <c r="O315" s="447"/>
      <c r="P315" s="447"/>
      <c r="Q315" s="447"/>
      <c r="R315" s="447"/>
      <c r="S315" s="447"/>
      <c r="T315" s="447"/>
      <c r="U315" s="447"/>
      <c r="V315" s="447"/>
      <c r="W315" s="447"/>
      <c r="X315" s="447"/>
      <c r="Y315" s="447"/>
      <c r="Z315" s="447"/>
      <c r="AA315" s="447"/>
    </row>
    <row r="316" spans="1:27">
      <c r="A316" s="465"/>
      <c r="B316" s="466"/>
      <c r="C316" s="465"/>
      <c r="D316" s="467"/>
      <c r="E316" s="447"/>
      <c r="F316" s="447"/>
      <c r="G316" s="447"/>
      <c r="H316" s="447"/>
      <c r="I316" s="447"/>
      <c r="J316" s="447"/>
      <c r="K316" s="447"/>
      <c r="L316" s="447"/>
      <c r="M316" s="447"/>
      <c r="N316" s="447"/>
      <c r="O316" s="447"/>
      <c r="P316" s="447"/>
      <c r="Q316" s="447"/>
      <c r="R316" s="447"/>
      <c r="S316" s="447"/>
      <c r="T316" s="447"/>
      <c r="U316" s="447"/>
      <c r="V316" s="447"/>
      <c r="W316" s="447"/>
      <c r="X316" s="447"/>
      <c r="Y316" s="447"/>
      <c r="Z316" s="447"/>
      <c r="AA316" s="447"/>
    </row>
    <row r="317" spans="1:27">
      <c r="A317" s="465"/>
      <c r="B317" s="466"/>
      <c r="C317" s="465"/>
      <c r="D317" s="467"/>
      <c r="E317" s="447"/>
      <c r="F317" s="447"/>
      <c r="G317" s="447"/>
      <c r="H317" s="447"/>
      <c r="I317" s="447"/>
      <c r="J317" s="447"/>
      <c r="K317" s="447"/>
      <c r="L317" s="447"/>
      <c r="M317" s="447"/>
      <c r="N317" s="447"/>
      <c r="O317" s="447"/>
      <c r="P317" s="447"/>
      <c r="Q317" s="447"/>
      <c r="R317" s="447"/>
      <c r="S317" s="447"/>
      <c r="T317" s="447"/>
      <c r="U317" s="447"/>
      <c r="V317" s="447"/>
      <c r="W317" s="447"/>
      <c r="X317" s="447"/>
      <c r="Y317" s="447"/>
      <c r="Z317" s="447"/>
      <c r="AA317" s="447"/>
    </row>
    <row r="318" spans="1:27">
      <c r="A318" s="465"/>
      <c r="B318" s="466"/>
      <c r="C318" s="465"/>
      <c r="D318" s="467"/>
      <c r="E318" s="447"/>
      <c r="F318" s="447"/>
      <c r="G318" s="447"/>
      <c r="H318" s="447"/>
      <c r="I318" s="447"/>
      <c r="J318" s="447"/>
      <c r="K318" s="447"/>
      <c r="L318" s="447"/>
      <c r="M318" s="447"/>
      <c r="N318" s="447"/>
      <c r="O318" s="447"/>
      <c r="P318" s="447"/>
      <c r="Q318" s="447"/>
      <c r="R318" s="447"/>
      <c r="S318" s="447"/>
      <c r="T318" s="447"/>
      <c r="U318" s="447"/>
      <c r="V318" s="447"/>
      <c r="W318" s="447"/>
      <c r="X318" s="447"/>
      <c r="Y318" s="447"/>
      <c r="Z318" s="447"/>
      <c r="AA318" s="447"/>
    </row>
    <row r="319" spans="1:27">
      <c r="A319" s="465"/>
      <c r="B319" s="466"/>
      <c r="C319" s="465"/>
      <c r="D319" s="467"/>
      <c r="E319" s="447"/>
      <c r="F319" s="447"/>
      <c r="G319" s="447"/>
      <c r="H319" s="447"/>
      <c r="I319" s="447"/>
      <c r="J319" s="447"/>
      <c r="K319" s="447"/>
      <c r="L319" s="447"/>
      <c r="M319" s="447"/>
      <c r="N319" s="447"/>
      <c r="O319" s="447"/>
      <c r="P319" s="447"/>
      <c r="Q319" s="447"/>
      <c r="R319" s="447"/>
      <c r="S319" s="447"/>
      <c r="T319" s="447"/>
      <c r="U319" s="447"/>
      <c r="V319" s="447"/>
      <c r="W319" s="447"/>
      <c r="X319" s="447"/>
      <c r="Y319" s="447"/>
      <c r="Z319" s="447"/>
      <c r="AA319" s="447"/>
    </row>
    <row r="320" spans="1:27">
      <c r="A320" s="465"/>
      <c r="B320" s="466"/>
      <c r="C320" s="465"/>
      <c r="D320" s="467"/>
      <c r="E320" s="447"/>
      <c r="F320" s="447"/>
      <c r="G320" s="447"/>
      <c r="H320" s="447"/>
      <c r="I320" s="447"/>
      <c r="J320" s="447"/>
      <c r="K320" s="447"/>
      <c r="L320" s="447"/>
      <c r="M320" s="447"/>
      <c r="N320" s="447"/>
      <c r="O320" s="447"/>
      <c r="P320" s="447"/>
      <c r="Q320" s="447"/>
      <c r="R320" s="447"/>
      <c r="S320" s="447"/>
      <c r="T320" s="447"/>
      <c r="U320" s="447"/>
      <c r="V320" s="447"/>
      <c r="W320" s="447"/>
      <c r="X320" s="447"/>
      <c r="Y320" s="447"/>
      <c r="Z320" s="447"/>
      <c r="AA320" s="447"/>
    </row>
    <row r="321" spans="1:27">
      <c r="A321" s="465"/>
      <c r="B321" s="466"/>
      <c r="C321" s="465"/>
      <c r="D321" s="467"/>
      <c r="E321" s="447"/>
      <c r="F321" s="447"/>
      <c r="G321" s="447"/>
      <c r="H321" s="447"/>
      <c r="I321" s="447"/>
      <c r="J321" s="447"/>
      <c r="K321" s="447"/>
      <c r="L321" s="447"/>
      <c r="M321" s="447"/>
      <c r="N321" s="447"/>
      <c r="O321" s="447"/>
      <c r="P321" s="447"/>
      <c r="Q321" s="447"/>
      <c r="R321" s="447"/>
      <c r="S321" s="447"/>
      <c r="T321" s="447"/>
      <c r="U321" s="447"/>
      <c r="V321" s="447"/>
      <c r="W321" s="447"/>
      <c r="X321" s="447"/>
      <c r="Y321" s="447"/>
      <c r="Z321" s="447"/>
      <c r="AA321" s="447"/>
    </row>
    <row r="322" spans="1:27">
      <c r="A322" s="465"/>
      <c r="B322" s="466"/>
      <c r="C322" s="465"/>
      <c r="D322" s="467"/>
      <c r="E322" s="447"/>
      <c r="F322" s="447"/>
      <c r="G322" s="447"/>
      <c r="H322" s="447"/>
      <c r="I322" s="447"/>
      <c r="J322" s="447"/>
      <c r="K322" s="447"/>
      <c r="L322" s="447"/>
      <c r="M322" s="447"/>
      <c r="N322" s="447"/>
      <c r="O322" s="447"/>
      <c r="P322" s="447"/>
      <c r="Q322" s="447"/>
      <c r="R322" s="447"/>
      <c r="S322" s="447"/>
      <c r="T322" s="447"/>
      <c r="U322" s="447"/>
      <c r="V322" s="447"/>
      <c r="W322" s="447"/>
      <c r="X322" s="447"/>
      <c r="Y322" s="447"/>
      <c r="Z322" s="447"/>
      <c r="AA322" s="447"/>
    </row>
    <row r="323" spans="1:27">
      <c r="A323" s="465"/>
      <c r="B323" s="466"/>
      <c r="C323" s="465"/>
      <c r="D323" s="467"/>
      <c r="E323" s="447"/>
      <c r="F323" s="447"/>
      <c r="G323" s="447"/>
      <c r="H323" s="447"/>
      <c r="I323" s="447"/>
      <c r="J323" s="447"/>
      <c r="K323" s="447"/>
      <c r="L323" s="447"/>
      <c r="M323" s="447"/>
      <c r="N323" s="447"/>
      <c r="O323" s="447"/>
      <c r="P323" s="447"/>
      <c r="Q323" s="447"/>
      <c r="R323" s="447"/>
      <c r="S323" s="447"/>
      <c r="T323" s="447"/>
      <c r="U323" s="447"/>
      <c r="V323" s="447"/>
      <c r="W323" s="447"/>
      <c r="X323" s="447"/>
      <c r="Y323" s="447"/>
      <c r="Z323" s="447"/>
      <c r="AA323" s="447"/>
    </row>
    <row r="324" spans="1:27">
      <c r="A324" s="465"/>
      <c r="B324" s="466"/>
      <c r="C324" s="465"/>
      <c r="D324" s="467"/>
      <c r="E324" s="447"/>
      <c r="F324" s="447"/>
      <c r="G324" s="447"/>
      <c r="H324" s="447"/>
      <c r="I324" s="447"/>
      <c r="J324" s="447"/>
      <c r="K324" s="447"/>
      <c r="L324" s="447"/>
      <c r="M324" s="447"/>
      <c r="N324" s="447"/>
      <c r="O324" s="447"/>
      <c r="P324" s="447"/>
      <c r="Q324" s="447"/>
      <c r="R324" s="447"/>
      <c r="S324" s="447"/>
      <c r="T324" s="447"/>
      <c r="U324" s="447"/>
      <c r="V324" s="447"/>
      <c r="W324" s="447"/>
      <c r="X324" s="447"/>
      <c r="Y324" s="447"/>
      <c r="Z324" s="447"/>
      <c r="AA324" s="447"/>
    </row>
    <row r="325" spans="1:27">
      <c r="A325" s="465"/>
      <c r="B325" s="466"/>
      <c r="C325" s="465"/>
      <c r="D325" s="467"/>
      <c r="E325" s="447"/>
      <c r="F325" s="447"/>
      <c r="G325" s="447"/>
      <c r="H325" s="447"/>
      <c r="I325" s="447"/>
      <c r="J325" s="447"/>
      <c r="K325" s="447"/>
      <c r="L325" s="447"/>
      <c r="M325" s="447"/>
      <c r="N325" s="447"/>
      <c r="O325" s="447"/>
      <c r="P325" s="447"/>
      <c r="Q325" s="447"/>
      <c r="R325" s="447"/>
      <c r="S325" s="447"/>
      <c r="T325" s="447"/>
      <c r="U325" s="447"/>
      <c r="V325" s="447"/>
      <c r="W325" s="447"/>
      <c r="X325" s="447"/>
      <c r="Y325" s="447"/>
      <c r="Z325" s="447"/>
      <c r="AA325" s="447"/>
    </row>
    <row r="326" spans="1:27">
      <c r="A326" s="465"/>
      <c r="B326" s="466"/>
      <c r="C326" s="465"/>
      <c r="D326" s="467"/>
      <c r="E326" s="447"/>
      <c r="F326" s="447"/>
      <c r="G326" s="447"/>
      <c r="H326" s="447"/>
      <c r="I326" s="447"/>
      <c r="J326" s="447"/>
      <c r="K326" s="447"/>
      <c r="L326" s="447"/>
      <c r="M326" s="447"/>
      <c r="N326" s="447"/>
      <c r="O326" s="447"/>
      <c r="P326" s="447"/>
      <c r="Q326" s="447"/>
      <c r="R326" s="447"/>
      <c r="S326" s="447"/>
      <c r="T326" s="447"/>
      <c r="U326" s="447"/>
      <c r="V326" s="447"/>
      <c r="W326" s="447"/>
      <c r="X326" s="447"/>
      <c r="Y326" s="447"/>
      <c r="Z326" s="447"/>
      <c r="AA326" s="447"/>
    </row>
    <row r="327" spans="1:27">
      <c r="A327" s="465"/>
      <c r="B327" s="466"/>
      <c r="C327" s="465"/>
      <c r="D327" s="467"/>
      <c r="E327" s="447"/>
      <c r="F327" s="447"/>
      <c r="G327" s="447"/>
      <c r="H327" s="447"/>
      <c r="I327" s="447"/>
      <c r="J327" s="447"/>
      <c r="K327" s="447"/>
      <c r="L327" s="447"/>
      <c r="M327" s="447"/>
      <c r="N327" s="447"/>
      <c r="O327" s="447"/>
      <c r="P327" s="447"/>
      <c r="Q327" s="447"/>
      <c r="R327" s="447"/>
      <c r="S327" s="447"/>
      <c r="T327" s="447"/>
      <c r="U327" s="447"/>
      <c r="V327" s="447"/>
      <c r="W327" s="447"/>
      <c r="X327" s="447"/>
      <c r="Y327" s="447"/>
      <c r="Z327" s="447"/>
      <c r="AA327" s="447"/>
    </row>
    <row r="328" spans="1:27">
      <c r="A328" s="465"/>
      <c r="B328" s="466"/>
      <c r="C328" s="465"/>
      <c r="D328" s="467"/>
      <c r="E328" s="447"/>
      <c r="F328" s="447"/>
      <c r="G328" s="447"/>
      <c r="H328" s="447"/>
      <c r="I328" s="447"/>
      <c r="J328" s="447"/>
      <c r="K328" s="447"/>
      <c r="L328" s="447"/>
      <c r="M328" s="447"/>
      <c r="N328" s="447"/>
      <c r="O328" s="447"/>
      <c r="P328" s="447"/>
      <c r="Q328" s="447"/>
      <c r="R328" s="447"/>
      <c r="S328" s="447"/>
      <c r="T328" s="447"/>
      <c r="U328" s="447"/>
      <c r="V328" s="447"/>
      <c r="W328" s="447"/>
      <c r="X328" s="447"/>
      <c r="Y328" s="447"/>
      <c r="Z328" s="447"/>
      <c r="AA328" s="447"/>
    </row>
    <row r="329" spans="1:27">
      <c r="A329" s="465"/>
      <c r="B329" s="466"/>
      <c r="C329" s="465"/>
      <c r="D329" s="467"/>
      <c r="E329" s="447"/>
      <c r="F329" s="447"/>
      <c r="G329" s="447"/>
      <c r="H329" s="447"/>
      <c r="I329" s="447"/>
      <c r="J329" s="447"/>
      <c r="K329" s="447"/>
      <c r="L329" s="447"/>
      <c r="M329" s="447"/>
      <c r="N329" s="447"/>
      <c r="O329" s="447"/>
      <c r="P329" s="447"/>
      <c r="Q329" s="447"/>
      <c r="R329" s="447"/>
      <c r="S329" s="447"/>
      <c r="T329" s="447"/>
      <c r="U329" s="447"/>
      <c r="V329" s="447"/>
      <c r="W329" s="447"/>
      <c r="X329" s="447"/>
      <c r="Y329" s="447"/>
      <c r="Z329" s="447"/>
      <c r="AA329" s="447"/>
    </row>
    <row r="330" spans="1:27">
      <c r="A330" s="465"/>
      <c r="B330" s="466"/>
      <c r="C330" s="465"/>
      <c r="D330" s="467"/>
      <c r="E330" s="447"/>
      <c r="F330" s="447"/>
      <c r="G330" s="447"/>
      <c r="H330" s="447"/>
      <c r="I330" s="447"/>
      <c r="J330" s="447"/>
      <c r="K330" s="447"/>
      <c r="L330" s="447"/>
      <c r="M330" s="447"/>
      <c r="N330" s="447"/>
      <c r="O330" s="447"/>
      <c r="P330" s="447"/>
      <c r="Q330" s="447"/>
      <c r="R330" s="447"/>
      <c r="S330" s="447"/>
      <c r="T330" s="447"/>
      <c r="U330" s="447"/>
      <c r="V330" s="447"/>
      <c r="W330" s="447"/>
      <c r="X330" s="447"/>
      <c r="Y330" s="447"/>
      <c r="Z330" s="447"/>
      <c r="AA330" s="447"/>
    </row>
    <row r="331" spans="1:27">
      <c r="A331" s="465"/>
      <c r="B331" s="466"/>
      <c r="C331" s="465"/>
      <c r="D331" s="467"/>
      <c r="E331" s="447"/>
      <c r="F331" s="447"/>
      <c r="G331" s="447"/>
      <c r="H331" s="447"/>
      <c r="I331" s="447"/>
      <c r="J331" s="447"/>
      <c r="K331" s="447"/>
      <c r="L331" s="447"/>
      <c r="M331" s="447"/>
      <c r="N331" s="447"/>
      <c r="O331" s="447"/>
      <c r="P331" s="447"/>
      <c r="Q331" s="447"/>
      <c r="R331" s="447"/>
      <c r="S331" s="447"/>
      <c r="T331" s="447"/>
      <c r="U331" s="447"/>
      <c r="V331" s="447"/>
      <c r="W331" s="447"/>
      <c r="X331" s="447"/>
      <c r="Y331" s="447"/>
      <c r="Z331" s="447"/>
      <c r="AA331" s="447"/>
    </row>
    <row r="332" spans="1:27">
      <c r="A332" s="465"/>
      <c r="B332" s="466"/>
      <c r="C332" s="465"/>
      <c r="D332" s="467"/>
      <c r="E332" s="447"/>
      <c r="F332" s="447"/>
      <c r="G332" s="447"/>
      <c r="H332" s="447"/>
      <c r="I332" s="447"/>
      <c r="J332" s="447"/>
      <c r="K332" s="447"/>
      <c r="L332" s="447"/>
      <c r="M332" s="447"/>
      <c r="N332" s="447"/>
      <c r="O332" s="447"/>
      <c r="P332" s="447"/>
      <c r="Q332" s="447"/>
      <c r="R332" s="447"/>
      <c r="S332" s="447"/>
      <c r="T332" s="447"/>
      <c r="U332" s="447"/>
      <c r="V332" s="447"/>
      <c r="W332" s="447"/>
      <c r="X332" s="447"/>
      <c r="Y332" s="447"/>
      <c r="Z332" s="447"/>
      <c r="AA332" s="447"/>
    </row>
    <row r="333" spans="1:27">
      <c r="A333" s="465"/>
      <c r="B333" s="466"/>
      <c r="C333" s="465"/>
      <c r="D333" s="467"/>
      <c r="E333" s="447"/>
      <c r="F333" s="447"/>
      <c r="G333" s="447"/>
      <c r="H333" s="447"/>
      <c r="I333" s="447"/>
      <c r="J333" s="447"/>
      <c r="K333" s="447"/>
      <c r="L333" s="447"/>
      <c r="M333" s="447"/>
      <c r="N333" s="447"/>
      <c r="O333" s="447"/>
      <c r="P333" s="447"/>
      <c r="Q333" s="447"/>
      <c r="R333" s="447"/>
      <c r="S333" s="447"/>
      <c r="T333" s="447"/>
      <c r="U333" s="447"/>
      <c r="V333" s="447"/>
      <c r="W333" s="447"/>
      <c r="X333" s="447"/>
      <c r="Y333" s="447"/>
      <c r="Z333" s="447"/>
      <c r="AA333" s="447"/>
    </row>
    <row r="334" spans="1:27">
      <c r="A334" s="465"/>
      <c r="B334" s="466"/>
      <c r="C334" s="465"/>
      <c r="D334" s="467"/>
      <c r="E334" s="447"/>
      <c r="F334" s="447"/>
      <c r="G334" s="447"/>
      <c r="H334" s="447"/>
      <c r="I334" s="447"/>
      <c r="J334" s="447"/>
      <c r="K334" s="447"/>
      <c r="L334" s="447"/>
      <c r="M334" s="447"/>
      <c r="N334" s="447"/>
      <c r="O334" s="447"/>
      <c r="P334" s="447"/>
      <c r="Q334" s="447"/>
      <c r="R334" s="447"/>
      <c r="S334" s="447"/>
      <c r="T334" s="447"/>
      <c r="U334" s="447"/>
      <c r="V334" s="447"/>
      <c r="W334" s="447"/>
      <c r="X334" s="447"/>
      <c r="Y334" s="447"/>
      <c r="Z334" s="447"/>
      <c r="AA334" s="447"/>
    </row>
    <row r="335" spans="1:27">
      <c r="A335" s="465"/>
      <c r="B335" s="466"/>
      <c r="C335" s="465"/>
      <c r="D335" s="467"/>
      <c r="E335" s="447"/>
      <c r="F335" s="447"/>
      <c r="G335" s="447"/>
      <c r="H335" s="447"/>
      <c r="I335" s="447"/>
      <c r="J335" s="447"/>
      <c r="K335" s="447"/>
      <c r="L335" s="447"/>
      <c r="M335" s="447"/>
      <c r="N335" s="447"/>
      <c r="O335" s="447"/>
      <c r="P335" s="447"/>
      <c r="Q335" s="447"/>
      <c r="R335" s="447"/>
      <c r="S335" s="447"/>
      <c r="T335" s="447"/>
      <c r="U335" s="447"/>
      <c r="V335" s="447"/>
      <c r="W335" s="447"/>
      <c r="X335" s="447"/>
      <c r="Y335" s="447"/>
      <c r="Z335" s="447"/>
      <c r="AA335" s="447"/>
    </row>
    <row r="336" spans="1:27">
      <c r="A336" s="465"/>
      <c r="B336" s="466"/>
      <c r="C336" s="465"/>
      <c r="D336" s="467"/>
      <c r="E336" s="447"/>
      <c r="F336" s="447"/>
      <c r="G336" s="447"/>
      <c r="H336" s="447"/>
      <c r="I336" s="447"/>
      <c r="J336" s="447"/>
      <c r="K336" s="447"/>
      <c r="L336" s="447"/>
      <c r="M336" s="447"/>
      <c r="N336" s="447"/>
      <c r="O336" s="447"/>
      <c r="P336" s="447"/>
      <c r="Q336" s="447"/>
      <c r="R336" s="447"/>
      <c r="S336" s="447"/>
      <c r="T336" s="447"/>
      <c r="U336" s="447"/>
      <c r="V336" s="447"/>
      <c r="W336" s="447"/>
      <c r="X336" s="447"/>
      <c r="Y336" s="447"/>
      <c r="Z336" s="447"/>
      <c r="AA336" s="447"/>
    </row>
    <row r="337" spans="1:27">
      <c r="A337" s="465"/>
      <c r="B337" s="466"/>
      <c r="C337" s="465"/>
      <c r="D337" s="467"/>
      <c r="E337" s="447"/>
      <c r="F337" s="447"/>
      <c r="G337" s="447"/>
      <c r="H337" s="447"/>
      <c r="I337" s="447"/>
      <c r="J337" s="447"/>
      <c r="K337" s="447"/>
      <c r="L337" s="447"/>
      <c r="M337" s="447"/>
      <c r="N337" s="447"/>
      <c r="O337" s="447"/>
      <c r="P337" s="447"/>
      <c r="Q337" s="447"/>
      <c r="R337" s="447"/>
      <c r="S337" s="447"/>
      <c r="T337" s="447"/>
      <c r="U337" s="447"/>
      <c r="V337" s="447"/>
      <c r="W337" s="447"/>
      <c r="X337" s="447"/>
      <c r="Y337" s="447"/>
      <c r="Z337" s="447"/>
      <c r="AA337" s="447"/>
    </row>
    <row r="338" spans="1:27">
      <c r="A338" s="465"/>
      <c r="B338" s="466"/>
      <c r="C338" s="465"/>
      <c r="D338" s="467"/>
      <c r="E338" s="447"/>
      <c r="F338" s="447"/>
      <c r="G338" s="447"/>
      <c r="H338" s="447"/>
      <c r="I338" s="447"/>
      <c r="J338" s="447"/>
      <c r="K338" s="447"/>
      <c r="L338" s="447"/>
      <c r="M338" s="447"/>
      <c r="N338" s="447"/>
      <c r="O338" s="447"/>
      <c r="P338" s="447"/>
      <c r="Q338" s="447"/>
      <c r="R338" s="447"/>
      <c r="S338" s="447"/>
      <c r="T338" s="447"/>
      <c r="U338" s="447"/>
      <c r="V338" s="447"/>
      <c r="W338" s="447"/>
      <c r="X338" s="447"/>
      <c r="Y338" s="447"/>
      <c r="Z338" s="447"/>
      <c r="AA338" s="447"/>
    </row>
    <row r="339" spans="1:27">
      <c r="A339" s="465"/>
      <c r="B339" s="466"/>
      <c r="C339" s="465"/>
      <c r="D339" s="467"/>
      <c r="E339" s="447"/>
      <c r="F339" s="447"/>
      <c r="G339" s="447"/>
      <c r="H339" s="447"/>
      <c r="I339" s="447"/>
      <c r="J339" s="447"/>
      <c r="K339" s="447"/>
      <c r="L339" s="447"/>
      <c r="M339" s="447"/>
      <c r="N339" s="447"/>
      <c r="O339" s="447"/>
      <c r="P339" s="447"/>
      <c r="Q339" s="447"/>
      <c r="R339" s="447"/>
      <c r="S339" s="447"/>
      <c r="T339" s="447"/>
      <c r="U339" s="447"/>
      <c r="V339" s="447"/>
      <c r="W339" s="447"/>
      <c r="X339" s="447"/>
      <c r="Y339" s="447"/>
      <c r="Z339" s="447"/>
      <c r="AA339" s="447"/>
    </row>
    <row r="340" spans="1:27">
      <c r="A340" s="465"/>
      <c r="B340" s="466"/>
      <c r="C340" s="465"/>
      <c r="D340" s="467"/>
      <c r="E340" s="447"/>
      <c r="F340" s="447"/>
      <c r="G340" s="447"/>
      <c r="H340" s="447"/>
      <c r="I340" s="447"/>
      <c r="J340" s="447"/>
      <c r="K340" s="447"/>
      <c r="L340" s="447"/>
      <c r="M340" s="447"/>
      <c r="N340" s="447"/>
      <c r="O340" s="447"/>
      <c r="P340" s="447"/>
      <c r="Q340" s="447"/>
      <c r="R340" s="447"/>
      <c r="S340" s="447"/>
      <c r="T340" s="447"/>
      <c r="U340" s="447"/>
      <c r="V340" s="447"/>
      <c r="W340" s="447"/>
      <c r="X340" s="447"/>
      <c r="Y340" s="447"/>
      <c r="Z340" s="447"/>
      <c r="AA340" s="447"/>
    </row>
    <row r="341" spans="1:27">
      <c r="A341" s="465"/>
      <c r="B341" s="466"/>
      <c r="C341" s="465"/>
      <c r="D341" s="467"/>
      <c r="E341" s="447"/>
      <c r="F341" s="447"/>
      <c r="G341" s="447"/>
      <c r="H341" s="447"/>
      <c r="I341" s="447"/>
      <c r="J341" s="447"/>
      <c r="K341" s="447"/>
      <c r="L341" s="447"/>
      <c r="M341" s="447"/>
      <c r="N341" s="447"/>
      <c r="O341" s="447"/>
      <c r="P341" s="447"/>
      <c r="Q341" s="447"/>
      <c r="R341" s="447"/>
      <c r="S341" s="447"/>
      <c r="T341" s="447"/>
      <c r="U341" s="447"/>
      <c r="V341" s="447"/>
      <c r="W341" s="447"/>
      <c r="X341" s="447"/>
      <c r="Y341" s="447"/>
      <c r="Z341" s="447"/>
      <c r="AA341" s="447"/>
    </row>
    <row r="342" spans="1:27">
      <c r="A342" s="465"/>
      <c r="B342" s="466"/>
      <c r="C342" s="465"/>
      <c r="D342" s="467"/>
      <c r="E342" s="447"/>
      <c r="F342" s="447"/>
      <c r="G342" s="447"/>
      <c r="H342" s="447"/>
      <c r="I342" s="447"/>
      <c r="J342" s="447"/>
      <c r="K342" s="447"/>
      <c r="L342" s="447"/>
      <c r="M342" s="447"/>
      <c r="N342" s="447"/>
      <c r="O342" s="447"/>
      <c r="P342" s="447"/>
      <c r="Q342" s="447"/>
      <c r="R342" s="447"/>
      <c r="S342" s="447"/>
      <c r="T342" s="447"/>
      <c r="U342" s="447"/>
      <c r="V342" s="447"/>
      <c r="W342" s="447"/>
      <c r="X342" s="447"/>
      <c r="Y342" s="447"/>
      <c r="Z342" s="447"/>
      <c r="AA342" s="447"/>
    </row>
    <row r="343" spans="1:27">
      <c r="A343" s="465"/>
      <c r="B343" s="466"/>
      <c r="C343" s="465"/>
      <c r="D343" s="467"/>
      <c r="E343" s="447"/>
      <c r="F343" s="447"/>
      <c r="G343" s="447"/>
      <c r="H343" s="447"/>
      <c r="I343" s="447"/>
      <c r="J343" s="447"/>
      <c r="K343" s="447"/>
      <c r="L343" s="447"/>
      <c r="M343" s="447"/>
      <c r="N343" s="447"/>
      <c r="O343" s="447"/>
      <c r="P343" s="447"/>
      <c r="Q343" s="447"/>
      <c r="R343" s="447"/>
      <c r="S343" s="447"/>
      <c r="T343" s="447"/>
      <c r="U343" s="447"/>
      <c r="V343" s="447"/>
      <c r="W343" s="447"/>
      <c r="X343" s="447"/>
      <c r="Y343" s="447"/>
      <c r="Z343" s="447"/>
      <c r="AA343" s="447"/>
    </row>
    <row r="344" spans="1:27">
      <c r="A344" s="465"/>
      <c r="B344" s="466"/>
      <c r="C344" s="465"/>
      <c r="D344" s="467"/>
      <c r="E344" s="447"/>
      <c r="F344" s="447"/>
      <c r="G344" s="447"/>
      <c r="H344" s="447"/>
      <c r="I344" s="447"/>
      <c r="J344" s="447"/>
      <c r="K344" s="447"/>
      <c r="L344" s="447"/>
      <c r="M344" s="447"/>
      <c r="N344" s="447"/>
      <c r="O344" s="447"/>
      <c r="P344" s="447"/>
      <c r="Q344" s="447"/>
      <c r="R344" s="447"/>
      <c r="S344" s="447"/>
      <c r="T344" s="447"/>
      <c r="U344" s="447"/>
      <c r="V344" s="447"/>
      <c r="W344" s="447"/>
      <c r="X344" s="447"/>
      <c r="Y344" s="447"/>
      <c r="Z344" s="447"/>
      <c r="AA344" s="447"/>
    </row>
    <row r="345" spans="1:27">
      <c r="A345" s="465"/>
      <c r="B345" s="466"/>
      <c r="C345" s="465"/>
      <c r="D345" s="467"/>
      <c r="E345" s="447"/>
      <c r="F345" s="447"/>
      <c r="G345" s="447"/>
      <c r="H345" s="447"/>
      <c r="I345" s="447"/>
      <c r="J345" s="447"/>
      <c r="K345" s="447"/>
      <c r="L345" s="447"/>
      <c r="M345" s="447"/>
      <c r="N345" s="447"/>
      <c r="O345" s="447"/>
      <c r="P345" s="447"/>
      <c r="Q345" s="447"/>
      <c r="R345" s="447"/>
      <c r="S345" s="447"/>
      <c r="T345" s="447"/>
      <c r="U345" s="447"/>
      <c r="V345" s="447"/>
      <c r="W345" s="447"/>
      <c r="X345" s="447"/>
      <c r="Y345" s="447"/>
      <c r="Z345" s="447"/>
      <c r="AA345" s="447"/>
    </row>
    <row r="346" spans="1:27">
      <c r="A346" s="465"/>
      <c r="B346" s="466"/>
      <c r="C346" s="465"/>
      <c r="D346" s="467"/>
      <c r="E346" s="447"/>
      <c r="F346" s="447"/>
      <c r="G346" s="447"/>
      <c r="H346" s="447"/>
      <c r="I346" s="447"/>
      <c r="J346" s="447"/>
      <c r="K346" s="447"/>
      <c r="L346" s="447"/>
      <c r="M346" s="447"/>
      <c r="N346" s="447"/>
      <c r="O346" s="447"/>
      <c r="P346" s="447"/>
      <c r="Q346" s="447"/>
      <c r="R346" s="447"/>
      <c r="S346" s="447"/>
      <c r="T346" s="447"/>
      <c r="U346" s="447"/>
      <c r="V346" s="447"/>
      <c r="W346" s="447"/>
      <c r="X346" s="447"/>
      <c r="Y346" s="447"/>
      <c r="Z346" s="447"/>
      <c r="AA346" s="447"/>
    </row>
    <row r="347" spans="1:27">
      <c r="A347" s="465"/>
      <c r="B347" s="466"/>
      <c r="C347" s="465"/>
      <c r="D347" s="467"/>
      <c r="E347" s="447"/>
      <c r="F347" s="447"/>
      <c r="G347" s="447"/>
      <c r="H347" s="447"/>
      <c r="I347" s="447"/>
      <c r="J347" s="447"/>
      <c r="K347" s="447"/>
      <c r="L347" s="447"/>
      <c r="M347" s="447"/>
      <c r="N347" s="447"/>
      <c r="O347" s="447"/>
      <c r="P347" s="447"/>
      <c r="Q347" s="447"/>
      <c r="R347" s="447"/>
      <c r="S347" s="447"/>
      <c r="T347" s="447"/>
      <c r="U347" s="447"/>
      <c r="V347" s="447"/>
      <c r="W347" s="447"/>
      <c r="X347" s="447"/>
      <c r="Y347" s="447"/>
      <c r="Z347" s="447"/>
      <c r="AA347" s="447"/>
    </row>
    <row r="348" spans="1:27">
      <c r="A348" s="465"/>
      <c r="B348" s="466"/>
      <c r="C348" s="465"/>
      <c r="D348" s="467"/>
      <c r="E348" s="447"/>
      <c r="F348" s="447"/>
      <c r="G348" s="447"/>
      <c r="H348" s="447"/>
      <c r="I348" s="447"/>
      <c r="J348" s="447"/>
      <c r="K348" s="447"/>
      <c r="L348" s="447"/>
      <c r="M348" s="447"/>
      <c r="N348" s="447"/>
      <c r="O348" s="447"/>
      <c r="P348" s="447"/>
      <c r="Q348" s="447"/>
      <c r="R348" s="447"/>
      <c r="S348" s="447"/>
      <c r="T348" s="447"/>
      <c r="U348" s="447"/>
      <c r="V348" s="447"/>
      <c r="W348" s="447"/>
      <c r="X348" s="447"/>
      <c r="Y348" s="447"/>
      <c r="Z348" s="447"/>
      <c r="AA348" s="447"/>
    </row>
    <row r="349" spans="1:27">
      <c r="A349" s="465"/>
      <c r="B349" s="466"/>
      <c r="C349" s="465"/>
      <c r="D349" s="467"/>
      <c r="E349" s="447"/>
      <c r="F349" s="447"/>
      <c r="G349" s="447"/>
      <c r="H349" s="447"/>
      <c r="I349" s="447"/>
      <c r="J349" s="447"/>
      <c r="K349" s="447"/>
      <c r="L349" s="447"/>
      <c r="M349" s="447"/>
      <c r="N349" s="447"/>
      <c r="O349" s="447"/>
      <c r="P349" s="447"/>
      <c r="Q349" s="447"/>
      <c r="R349" s="447"/>
      <c r="S349" s="447"/>
      <c r="T349" s="447"/>
      <c r="U349" s="447"/>
      <c r="V349" s="447"/>
      <c r="W349" s="447"/>
      <c r="X349" s="447"/>
      <c r="Y349" s="447"/>
      <c r="Z349" s="447"/>
      <c r="AA349" s="447"/>
    </row>
    <row r="350" spans="1:27">
      <c r="A350" s="465"/>
      <c r="B350" s="466"/>
      <c r="C350" s="465"/>
      <c r="D350" s="467"/>
      <c r="E350" s="447"/>
      <c r="F350" s="447"/>
      <c r="G350" s="447"/>
      <c r="H350" s="447"/>
      <c r="I350" s="447"/>
      <c r="J350" s="447"/>
      <c r="K350" s="447"/>
      <c r="L350" s="447"/>
      <c r="M350" s="447"/>
      <c r="N350" s="447"/>
      <c r="O350" s="447"/>
      <c r="P350" s="447"/>
      <c r="Q350" s="447"/>
      <c r="R350" s="447"/>
      <c r="S350" s="447"/>
      <c r="T350" s="447"/>
      <c r="U350" s="447"/>
      <c r="V350" s="447"/>
      <c r="W350" s="447"/>
      <c r="X350" s="447"/>
      <c r="Y350" s="447"/>
      <c r="Z350" s="447"/>
      <c r="AA350" s="447"/>
    </row>
    <row r="351" spans="1:27">
      <c r="A351" s="465"/>
      <c r="B351" s="466"/>
      <c r="C351" s="465"/>
      <c r="D351" s="467"/>
      <c r="E351" s="447"/>
      <c r="F351" s="447"/>
      <c r="G351" s="447"/>
      <c r="H351" s="447"/>
      <c r="I351" s="447"/>
      <c r="J351" s="447"/>
      <c r="K351" s="447"/>
      <c r="L351" s="447"/>
      <c r="M351" s="447"/>
      <c r="N351" s="447"/>
      <c r="O351" s="447"/>
      <c r="P351" s="447"/>
      <c r="Q351" s="447"/>
      <c r="R351" s="447"/>
      <c r="S351" s="447"/>
      <c r="T351" s="447"/>
      <c r="U351" s="447"/>
      <c r="V351" s="447"/>
      <c r="W351" s="447"/>
      <c r="X351" s="447"/>
      <c r="Y351" s="447"/>
      <c r="Z351" s="447"/>
      <c r="AA351" s="447"/>
    </row>
    <row r="352" spans="1:27">
      <c r="A352" s="465"/>
      <c r="B352" s="466"/>
      <c r="C352" s="465"/>
      <c r="D352" s="467"/>
      <c r="E352" s="447"/>
      <c r="F352" s="447"/>
      <c r="G352" s="447"/>
      <c r="H352" s="447"/>
      <c r="I352" s="447"/>
      <c r="J352" s="447"/>
      <c r="K352" s="447"/>
      <c r="L352" s="447"/>
      <c r="M352" s="447"/>
      <c r="N352" s="447"/>
      <c r="O352" s="447"/>
      <c r="P352" s="447"/>
      <c r="Q352" s="447"/>
      <c r="R352" s="447"/>
      <c r="S352" s="447"/>
      <c r="T352" s="447"/>
      <c r="U352" s="447"/>
      <c r="V352" s="447"/>
      <c r="W352" s="447"/>
      <c r="X352" s="447"/>
      <c r="Y352" s="447"/>
      <c r="Z352" s="447"/>
      <c r="AA352" s="447"/>
    </row>
    <row r="353" spans="1:27">
      <c r="A353" s="465"/>
      <c r="B353" s="466"/>
      <c r="C353" s="465"/>
      <c r="D353" s="467"/>
      <c r="E353" s="447"/>
      <c r="F353" s="447"/>
      <c r="G353" s="447"/>
      <c r="H353" s="447"/>
      <c r="I353" s="447"/>
      <c r="J353" s="447"/>
      <c r="K353" s="447"/>
      <c r="L353" s="447"/>
      <c r="M353" s="447"/>
      <c r="N353" s="447"/>
      <c r="O353" s="447"/>
      <c r="P353" s="447"/>
      <c r="Q353" s="447"/>
      <c r="R353" s="447"/>
      <c r="S353" s="447"/>
      <c r="T353" s="447"/>
      <c r="U353" s="447"/>
      <c r="V353" s="447"/>
      <c r="W353" s="447"/>
      <c r="X353" s="447"/>
      <c r="Y353" s="447"/>
      <c r="Z353" s="447"/>
      <c r="AA353" s="447"/>
    </row>
    <row r="354" spans="1:27">
      <c r="A354" s="465"/>
      <c r="B354" s="466"/>
      <c r="C354" s="465"/>
      <c r="D354" s="467"/>
      <c r="E354" s="447"/>
      <c r="F354" s="447"/>
      <c r="G354" s="447"/>
      <c r="H354" s="447"/>
      <c r="I354" s="447"/>
      <c r="J354" s="447"/>
      <c r="K354" s="447"/>
      <c r="L354" s="447"/>
      <c r="M354" s="447"/>
      <c r="N354" s="447"/>
      <c r="O354" s="447"/>
      <c r="P354" s="447"/>
      <c r="Q354" s="447"/>
      <c r="R354" s="447"/>
      <c r="S354" s="447"/>
      <c r="T354" s="447"/>
      <c r="U354" s="447"/>
      <c r="V354" s="447"/>
      <c r="W354" s="447"/>
      <c r="X354" s="447"/>
      <c r="Y354" s="447"/>
      <c r="Z354" s="447"/>
      <c r="AA354" s="447"/>
    </row>
    <row r="355" spans="1:27">
      <c r="A355" s="465"/>
      <c r="B355" s="466"/>
      <c r="C355" s="465"/>
      <c r="D355" s="467"/>
      <c r="E355" s="447"/>
      <c r="F355" s="447"/>
      <c r="G355" s="447"/>
      <c r="H355" s="447"/>
      <c r="I355" s="447"/>
      <c r="J355" s="447"/>
      <c r="K355" s="447"/>
      <c r="L355" s="447"/>
      <c r="M355" s="447"/>
      <c r="N355" s="447"/>
      <c r="O355" s="447"/>
      <c r="P355" s="447"/>
      <c r="Q355" s="447"/>
      <c r="R355" s="447"/>
      <c r="S355" s="447"/>
      <c r="T355" s="447"/>
      <c r="U355" s="447"/>
      <c r="V355" s="447"/>
      <c r="W355" s="447"/>
      <c r="X355" s="447"/>
      <c r="Y355" s="447"/>
      <c r="Z355" s="447"/>
      <c r="AA355" s="447"/>
    </row>
    <row r="356" spans="1:27">
      <c r="A356" s="465"/>
      <c r="B356" s="466"/>
      <c r="C356" s="465"/>
      <c r="D356" s="467"/>
      <c r="E356" s="447"/>
      <c r="F356" s="447"/>
      <c r="G356" s="447"/>
      <c r="H356" s="447"/>
      <c r="I356" s="447"/>
      <c r="J356" s="447"/>
      <c r="K356" s="447"/>
      <c r="L356" s="447"/>
      <c r="M356" s="447"/>
      <c r="N356" s="447"/>
      <c r="O356" s="447"/>
      <c r="P356" s="447"/>
      <c r="Q356" s="447"/>
      <c r="R356" s="447"/>
      <c r="S356" s="447"/>
      <c r="T356" s="447"/>
      <c r="U356" s="447"/>
      <c r="V356" s="447"/>
      <c r="W356" s="447"/>
      <c r="X356" s="447"/>
      <c r="Y356" s="447"/>
      <c r="Z356" s="447"/>
      <c r="AA356" s="447"/>
    </row>
    <row r="357" spans="1:27">
      <c r="A357" s="465"/>
      <c r="B357" s="466"/>
      <c r="C357" s="465"/>
      <c r="D357" s="467"/>
      <c r="E357" s="447"/>
      <c r="F357" s="447"/>
      <c r="G357" s="447"/>
      <c r="H357" s="447"/>
      <c r="I357" s="447"/>
      <c r="J357" s="447"/>
      <c r="K357" s="447"/>
      <c r="L357" s="447"/>
      <c r="M357" s="447"/>
      <c r="N357" s="447"/>
      <c r="O357" s="447"/>
      <c r="P357" s="447"/>
      <c r="Q357" s="447"/>
      <c r="R357" s="447"/>
      <c r="S357" s="447"/>
      <c r="T357" s="447"/>
      <c r="U357" s="447"/>
      <c r="V357" s="447"/>
      <c r="W357" s="447"/>
      <c r="X357" s="447"/>
      <c r="Y357" s="447"/>
      <c r="Z357" s="447"/>
      <c r="AA357" s="447"/>
    </row>
    <row r="358" spans="1:27">
      <c r="A358" s="465"/>
      <c r="B358" s="466"/>
      <c r="C358" s="465"/>
      <c r="D358" s="467"/>
      <c r="E358" s="447"/>
      <c r="F358" s="447"/>
      <c r="G358" s="447"/>
      <c r="H358" s="447"/>
      <c r="I358" s="447"/>
      <c r="J358" s="447"/>
      <c r="K358" s="447"/>
      <c r="L358" s="447"/>
      <c r="M358" s="447"/>
      <c r="N358" s="447"/>
      <c r="O358" s="447"/>
      <c r="P358" s="447"/>
      <c r="Q358" s="447"/>
      <c r="R358" s="447"/>
      <c r="S358" s="447"/>
      <c r="T358" s="447"/>
      <c r="U358" s="447"/>
      <c r="V358" s="447"/>
      <c r="W358" s="447"/>
      <c r="X358" s="447"/>
      <c r="Y358" s="447"/>
      <c r="Z358" s="447"/>
      <c r="AA358" s="447"/>
    </row>
    <row r="359" spans="1:27">
      <c r="A359" s="465"/>
      <c r="B359" s="466"/>
      <c r="C359" s="465"/>
      <c r="D359" s="467"/>
      <c r="E359" s="447"/>
      <c r="F359" s="447"/>
      <c r="G359" s="447"/>
      <c r="H359" s="447"/>
      <c r="I359" s="447"/>
      <c r="J359" s="447"/>
      <c r="K359" s="447"/>
      <c r="L359" s="447"/>
      <c r="M359" s="447"/>
      <c r="N359" s="447"/>
      <c r="O359" s="447"/>
      <c r="P359" s="447"/>
      <c r="Q359" s="447"/>
      <c r="R359" s="447"/>
      <c r="S359" s="447"/>
      <c r="T359" s="447"/>
      <c r="U359" s="447"/>
      <c r="V359" s="447"/>
      <c r="W359" s="447"/>
      <c r="X359" s="447"/>
      <c r="Y359" s="447"/>
      <c r="Z359" s="447"/>
      <c r="AA359" s="447"/>
    </row>
    <row r="360" spans="1:27">
      <c r="A360" s="465"/>
      <c r="B360" s="466"/>
      <c r="C360" s="465"/>
      <c r="D360" s="467"/>
      <c r="E360" s="447"/>
      <c r="F360" s="447"/>
      <c r="G360" s="447"/>
      <c r="H360" s="447"/>
      <c r="I360" s="447"/>
      <c r="J360" s="447"/>
      <c r="K360" s="447"/>
      <c r="L360" s="447"/>
      <c r="M360" s="447"/>
      <c r="N360" s="447"/>
      <c r="O360" s="447"/>
      <c r="P360" s="447"/>
      <c r="Q360" s="447"/>
      <c r="R360" s="447"/>
      <c r="S360" s="447"/>
      <c r="T360" s="447"/>
      <c r="U360" s="447"/>
      <c r="V360" s="447"/>
      <c r="W360" s="447"/>
      <c r="X360" s="447"/>
      <c r="Y360" s="447"/>
      <c r="Z360" s="447"/>
      <c r="AA360" s="447"/>
    </row>
    <row r="361" spans="1:27">
      <c r="A361" s="465"/>
      <c r="B361" s="466"/>
      <c r="C361" s="465"/>
      <c r="D361" s="467"/>
      <c r="E361" s="447"/>
      <c r="F361" s="447"/>
      <c r="G361" s="447"/>
      <c r="H361" s="447"/>
      <c r="I361" s="447"/>
      <c r="J361" s="447"/>
      <c r="K361" s="447"/>
      <c r="L361" s="447"/>
      <c r="M361" s="447"/>
      <c r="N361" s="447"/>
      <c r="O361" s="447"/>
      <c r="P361" s="447"/>
      <c r="Q361" s="447"/>
      <c r="R361" s="447"/>
      <c r="S361" s="447"/>
      <c r="T361" s="447"/>
      <c r="U361" s="447"/>
      <c r="V361" s="447"/>
      <c r="W361" s="447"/>
      <c r="X361" s="447"/>
      <c r="Y361" s="447"/>
      <c r="Z361" s="447"/>
      <c r="AA361" s="447"/>
    </row>
    <row r="362" spans="1:27">
      <c r="A362" s="465"/>
      <c r="B362" s="466"/>
      <c r="C362" s="465"/>
      <c r="D362" s="467"/>
      <c r="E362" s="447"/>
      <c r="F362" s="447"/>
      <c r="G362" s="447"/>
      <c r="H362" s="447"/>
      <c r="I362" s="447"/>
      <c r="J362" s="447"/>
      <c r="K362" s="447"/>
      <c r="L362" s="447"/>
      <c r="M362" s="447"/>
      <c r="N362" s="447"/>
      <c r="O362" s="447"/>
      <c r="P362" s="447"/>
      <c r="Q362" s="447"/>
      <c r="R362" s="447"/>
      <c r="S362" s="447"/>
      <c r="T362" s="447"/>
      <c r="U362" s="447"/>
      <c r="V362" s="447"/>
      <c r="W362" s="447"/>
      <c r="X362" s="447"/>
      <c r="Y362" s="447"/>
      <c r="Z362" s="447"/>
      <c r="AA362" s="447"/>
    </row>
    <row r="363" spans="1:27">
      <c r="A363" s="465"/>
      <c r="B363" s="466"/>
      <c r="C363" s="465"/>
      <c r="D363" s="467"/>
      <c r="E363" s="447"/>
      <c r="F363" s="447"/>
      <c r="G363" s="447"/>
      <c r="H363" s="447"/>
      <c r="I363" s="447"/>
      <c r="J363" s="447"/>
      <c r="K363" s="447"/>
      <c r="L363" s="447"/>
      <c r="M363" s="447"/>
      <c r="N363" s="447"/>
      <c r="O363" s="447"/>
      <c r="P363" s="447"/>
      <c r="Q363" s="447"/>
      <c r="R363" s="447"/>
      <c r="S363" s="447"/>
      <c r="T363" s="447"/>
      <c r="U363" s="447"/>
      <c r="V363" s="447"/>
      <c r="W363" s="447"/>
      <c r="X363" s="447"/>
      <c r="Y363" s="447"/>
      <c r="Z363" s="447"/>
      <c r="AA363" s="447"/>
    </row>
    <row r="364" spans="1:27">
      <c r="A364" s="465"/>
      <c r="B364" s="466"/>
      <c r="C364" s="465"/>
      <c r="D364" s="467"/>
      <c r="E364" s="447"/>
      <c r="F364" s="447"/>
      <c r="G364" s="447"/>
      <c r="H364" s="447"/>
      <c r="I364" s="447"/>
      <c r="J364" s="447"/>
      <c r="K364" s="447"/>
      <c r="L364" s="447"/>
      <c r="M364" s="447"/>
      <c r="N364" s="447"/>
      <c r="O364" s="447"/>
      <c r="P364" s="447"/>
      <c r="Q364" s="447"/>
      <c r="R364" s="447"/>
      <c r="S364" s="447"/>
      <c r="T364" s="447"/>
      <c r="U364" s="447"/>
      <c r="V364" s="447"/>
      <c r="W364" s="447"/>
      <c r="X364" s="447"/>
      <c r="Y364" s="447"/>
      <c r="Z364" s="447"/>
      <c r="AA364" s="447"/>
    </row>
    <row r="365" spans="1:27">
      <c r="A365" s="465"/>
      <c r="B365" s="466"/>
      <c r="C365" s="465"/>
      <c r="D365" s="467"/>
      <c r="E365" s="447"/>
      <c r="F365" s="447"/>
      <c r="G365" s="447"/>
      <c r="H365" s="447"/>
      <c r="I365" s="447"/>
      <c r="J365" s="447"/>
      <c r="K365" s="447"/>
      <c r="L365" s="447"/>
      <c r="M365" s="447"/>
      <c r="N365" s="447"/>
      <c r="O365" s="447"/>
      <c r="P365" s="447"/>
      <c r="Q365" s="447"/>
      <c r="R365" s="447"/>
      <c r="S365" s="447"/>
      <c r="T365" s="447"/>
      <c r="U365" s="447"/>
      <c r="V365" s="447"/>
      <c r="W365" s="447"/>
      <c r="X365" s="447"/>
      <c r="Y365" s="447"/>
      <c r="Z365" s="447"/>
      <c r="AA365" s="447"/>
    </row>
    <row r="366" spans="1:27">
      <c r="A366" s="465"/>
      <c r="B366" s="466"/>
      <c r="C366" s="465"/>
      <c r="D366" s="467"/>
      <c r="E366" s="447"/>
      <c r="F366" s="447"/>
      <c r="G366" s="447"/>
      <c r="H366" s="447"/>
      <c r="I366" s="447"/>
      <c r="J366" s="447"/>
      <c r="K366" s="447"/>
      <c r="L366" s="447"/>
      <c r="M366" s="447"/>
      <c r="N366" s="447"/>
      <c r="O366" s="447"/>
      <c r="P366" s="447"/>
      <c r="Q366" s="447"/>
      <c r="R366" s="447"/>
      <c r="S366" s="447"/>
      <c r="T366" s="447"/>
      <c r="U366" s="447"/>
      <c r="V366" s="447"/>
      <c r="W366" s="447"/>
      <c r="X366" s="447"/>
      <c r="Y366" s="447"/>
      <c r="Z366" s="447"/>
      <c r="AA366" s="447"/>
    </row>
    <row r="367" spans="1:27">
      <c r="A367" s="465"/>
      <c r="B367" s="466"/>
      <c r="C367" s="465"/>
      <c r="D367" s="467"/>
      <c r="E367" s="447"/>
      <c r="F367" s="447"/>
      <c r="G367" s="447"/>
      <c r="H367" s="447"/>
      <c r="I367" s="447"/>
      <c r="J367" s="447"/>
      <c r="K367" s="447"/>
      <c r="L367" s="447"/>
      <c r="M367" s="447"/>
      <c r="N367" s="447"/>
      <c r="O367" s="447"/>
      <c r="P367" s="447"/>
      <c r="Q367" s="447"/>
      <c r="R367" s="447"/>
      <c r="S367" s="447"/>
      <c r="T367" s="447"/>
      <c r="U367" s="447"/>
      <c r="V367" s="447"/>
      <c r="W367" s="447"/>
      <c r="X367" s="447"/>
      <c r="Y367" s="447"/>
      <c r="Z367" s="447"/>
      <c r="AA367" s="447"/>
    </row>
    <row r="368" spans="1:27">
      <c r="A368" s="465"/>
      <c r="B368" s="466"/>
      <c r="C368" s="465"/>
      <c r="D368" s="467"/>
      <c r="E368" s="447"/>
      <c r="F368" s="447"/>
      <c r="G368" s="447"/>
      <c r="H368" s="447"/>
      <c r="I368" s="447"/>
      <c r="J368" s="447"/>
      <c r="K368" s="447"/>
      <c r="L368" s="447"/>
      <c r="M368" s="447"/>
      <c r="N368" s="447"/>
      <c r="O368" s="447"/>
      <c r="P368" s="447"/>
      <c r="Q368" s="447"/>
      <c r="R368" s="447"/>
      <c r="S368" s="447"/>
      <c r="T368" s="447"/>
      <c r="U368" s="447"/>
      <c r="V368" s="447"/>
      <c r="W368" s="447"/>
      <c r="X368" s="447"/>
      <c r="Y368" s="447"/>
      <c r="Z368" s="447"/>
      <c r="AA368" s="447"/>
    </row>
    <row r="369" spans="1:27">
      <c r="A369" s="465"/>
      <c r="B369" s="466"/>
      <c r="C369" s="465"/>
      <c r="D369" s="467"/>
      <c r="E369" s="447"/>
      <c r="F369" s="447"/>
      <c r="G369" s="447"/>
      <c r="H369" s="447"/>
      <c r="I369" s="447"/>
      <c r="J369" s="447"/>
      <c r="K369" s="447"/>
      <c r="L369" s="447"/>
      <c r="M369" s="447"/>
      <c r="N369" s="447"/>
      <c r="O369" s="447"/>
      <c r="P369" s="447"/>
      <c r="Q369" s="447"/>
      <c r="R369" s="447"/>
      <c r="S369" s="447"/>
      <c r="T369" s="447"/>
      <c r="U369" s="447"/>
      <c r="V369" s="447"/>
      <c r="W369" s="447"/>
      <c r="X369" s="447"/>
      <c r="Y369" s="447"/>
      <c r="Z369" s="447"/>
      <c r="AA369" s="447"/>
    </row>
    <row r="370" spans="1:27">
      <c r="A370" s="465"/>
      <c r="B370" s="466"/>
      <c r="C370" s="465"/>
      <c r="D370" s="467"/>
      <c r="E370" s="447"/>
      <c r="F370" s="447"/>
      <c r="G370" s="447"/>
      <c r="H370" s="447"/>
      <c r="I370" s="447"/>
      <c r="J370" s="447"/>
      <c r="K370" s="447"/>
      <c r="L370" s="447"/>
      <c r="M370" s="447"/>
      <c r="N370" s="447"/>
      <c r="O370" s="447"/>
      <c r="P370" s="447"/>
      <c r="Q370" s="447"/>
      <c r="R370" s="447"/>
      <c r="S370" s="447"/>
      <c r="T370" s="447"/>
      <c r="U370" s="447"/>
      <c r="V370" s="447"/>
      <c r="W370" s="447"/>
      <c r="X370" s="447"/>
      <c r="Y370" s="447"/>
      <c r="Z370" s="447"/>
      <c r="AA370" s="447"/>
    </row>
    <row r="371" spans="1:27">
      <c r="A371" s="465"/>
      <c r="B371" s="466"/>
      <c r="C371" s="465"/>
      <c r="D371" s="467"/>
      <c r="E371" s="447"/>
      <c r="F371" s="447"/>
      <c r="G371" s="447"/>
      <c r="H371" s="447"/>
      <c r="I371" s="447"/>
      <c r="J371" s="447"/>
      <c r="K371" s="447"/>
      <c r="L371" s="447"/>
      <c r="M371" s="447"/>
      <c r="N371" s="447"/>
      <c r="O371" s="447"/>
      <c r="P371" s="447"/>
      <c r="Q371" s="447"/>
      <c r="R371" s="447"/>
      <c r="S371" s="447"/>
      <c r="T371" s="447"/>
      <c r="U371" s="447"/>
      <c r="V371" s="447"/>
      <c r="W371" s="447"/>
      <c r="X371" s="447"/>
      <c r="Y371" s="447"/>
      <c r="Z371" s="447"/>
      <c r="AA371" s="447"/>
    </row>
    <row r="372" spans="1:27">
      <c r="A372" s="465"/>
      <c r="B372" s="466"/>
      <c r="C372" s="465"/>
      <c r="D372" s="467"/>
      <c r="E372" s="447"/>
      <c r="F372" s="447"/>
      <c r="G372" s="447"/>
      <c r="H372" s="447"/>
      <c r="I372" s="447"/>
      <c r="J372" s="447"/>
      <c r="K372" s="447"/>
      <c r="L372" s="447"/>
      <c r="M372" s="447"/>
      <c r="N372" s="447"/>
      <c r="O372" s="447"/>
      <c r="P372" s="447"/>
      <c r="Q372" s="447"/>
      <c r="R372" s="447"/>
      <c r="S372" s="447"/>
      <c r="T372" s="447"/>
      <c r="U372" s="447"/>
      <c r="V372" s="447"/>
      <c r="W372" s="447"/>
      <c r="X372" s="447"/>
      <c r="Y372" s="447"/>
      <c r="Z372" s="447"/>
      <c r="AA372" s="447"/>
    </row>
    <row r="373" spans="1:27">
      <c r="A373" s="465"/>
      <c r="B373" s="466"/>
      <c r="C373" s="465"/>
      <c r="D373" s="467"/>
      <c r="E373" s="447"/>
      <c r="F373" s="447"/>
      <c r="G373" s="447"/>
      <c r="H373" s="447"/>
      <c r="I373" s="447"/>
      <c r="J373" s="447"/>
      <c r="K373" s="447"/>
      <c r="L373" s="447"/>
      <c r="M373" s="447"/>
      <c r="N373" s="447"/>
      <c r="O373" s="447"/>
      <c r="P373" s="447"/>
      <c r="Q373" s="447"/>
      <c r="R373" s="447"/>
      <c r="S373" s="447"/>
      <c r="T373" s="447"/>
      <c r="U373" s="447"/>
      <c r="V373" s="447"/>
      <c r="W373" s="447"/>
      <c r="X373" s="447"/>
      <c r="Y373" s="447"/>
      <c r="Z373" s="447"/>
      <c r="AA373" s="447"/>
    </row>
    <row r="374" spans="1:27">
      <c r="A374" s="465"/>
      <c r="B374" s="466"/>
      <c r="C374" s="465"/>
      <c r="D374" s="467"/>
      <c r="E374" s="447"/>
      <c r="F374" s="447"/>
      <c r="G374" s="447"/>
      <c r="H374" s="447"/>
      <c r="I374" s="447"/>
      <c r="J374" s="447"/>
      <c r="K374" s="447"/>
      <c r="L374" s="447"/>
      <c r="M374" s="447"/>
      <c r="N374" s="447"/>
      <c r="O374" s="447"/>
      <c r="P374" s="447"/>
      <c r="Q374" s="447"/>
      <c r="R374" s="447"/>
      <c r="S374" s="447"/>
      <c r="T374" s="447"/>
      <c r="U374" s="447"/>
      <c r="V374" s="447"/>
      <c r="W374" s="447"/>
      <c r="X374" s="447"/>
      <c r="Y374" s="447"/>
      <c r="Z374" s="447"/>
      <c r="AA374" s="447"/>
    </row>
    <row r="375" spans="1:27">
      <c r="A375" s="465"/>
      <c r="B375" s="466"/>
      <c r="C375" s="465"/>
      <c r="D375" s="467"/>
      <c r="E375" s="447"/>
      <c r="F375" s="447"/>
      <c r="G375" s="447"/>
      <c r="H375" s="447"/>
      <c r="I375" s="447"/>
      <c r="J375" s="447"/>
      <c r="K375" s="447"/>
      <c r="L375" s="447"/>
      <c r="M375" s="447"/>
      <c r="N375" s="447"/>
      <c r="O375" s="447"/>
      <c r="P375" s="447"/>
      <c r="Q375" s="447"/>
      <c r="R375" s="447"/>
      <c r="S375" s="447"/>
      <c r="T375" s="447"/>
      <c r="U375" s="447"/>
      <c r="V375" s="447"/>
      <c r="W375" s="447"/>
      <c r="X375" s="447"/>
      <c r="Y375" s="447"/>
      <c r="Z375" s="447"/>
      <c r="AA375" s="447"/>
    </row>
    <row r="376" spans="1:27">
      <c r="A376" s="465"/>
      <c r="B376" s="466"/>
      <c r="C376" s="465"/>
      <c r="D376" s="467"/>
      <c r="E376" s="447"/>
      <c r="F376" s="447"/>
      <c r="G376" s="447"/>
      <c r="H376" s="447"/>
      <c r="I376" s="447"/>
      <c r="J376" s="447"/>
      <c r="K376" s="447"/>
      <c r="L376" s="447"/>
      <c r="M376" s="447"/>
      <c r="N376" s="447"/>
      <c r="O376" s="447"/>
      <c r="P376" s="447"/>
      <c r="Q376" s="447"/>
      <c r="R376" s="447"/>
      <c r="S376" s="447"/>
      <c r="T376" s="447"/>
      <c r="U376" s="447"/>
      <c r="V376" s="447"/>
      <c r="W376" s="447"/>
      <c r="X376" s="447"/>
      <c r="Y376" s="447"/>
      <c r="Z376" s="447"/>
      <c r="AA376" s="447"/>
    </row>
    <row r="377" spans="1:27">
      <c r="A377" s="465"/>
      <c r="B377" s="466"/>
      <c r="C377" s="465"/>
      <c r="D377" s="467"/>
      <c r="E377" s="447"/>
      <c r="F377" s="447"/>
      <c r="G377" s="447"/>
      <c r="H377" s="447"/>
      <c r="I377" s="447"/>
      <c r="J377" s="447"/>
      <c r="K377" s="447"/>
      <c r="L377" s="447"/>
      <c r="M377" s="447"/>
      <c r="N377" s="447"/>
      <c r="O377" s="447"/>
      <c r="P377" s="447"/>
      <c r="Q377" s="447"/>
      <c r="R377" s="447"/>
      <c r="S377" s="447"/>
      <c r="T377" s="447"/>
      <c r="U377" s="447"/>
      <c r="V377" s="447"/>
      <c r="W377" s="447"/>
      <c r="X377" s="447"/>
      <c r="Y377" s="447"/>
      <c r="Z377" s="447"/>
      <c r="AA377" s="447"/>
    </row>
    <row r="378" spans="1:27">
      <c r="A378" s="465"/>
      <c r="B378" s="466"/>
      <c r="C378" s="465"/>
      <c r="D378" s="467"/>
      <c r="E378" s="447"/>
      <c r="F378" s="447"/>
      <c r="G378" s="447"/>
      <c r="H378" s="447"/>
      <c r="I378" s="447"/>
      <c r="J378" s="447"/>
      <c r="K378" s="447"/>
      <c r="L378" s="447"/>
      <c r="M378" s="447"/>
      <c r="N378" s="447"/>
      <c r="O378" s="447"/>
      <c r="P378" s="447"/>
      <c r="Q378" s="447"/>
      <c r="R378" s="447"/>
      <c r="S378" s="447"/>
      <c r="T378" s="447"/>
      <c r="U378" s="447"/>
      <c r="V378" s="447"/>
      <c r="W378" s="447"/>
      <c r="X378" s="447"/>
      <c r="Y378" s="447"/>
      <c r="Z378" s="447"/>
      <c r="AA378" s="447"/>
    </row>
    <row r="379" spans="1:27">
      <c r="A379" s="465"/>
      <c r="B379" s="466"/>
      <c r="C379" s="465"/>
      <c r="D379" s="467"/>
      <c r="E379" s="447"/>
      <c r="F379" s="447"/>
      <c r="G379" s="447"/>
      <c r="H379" s="447"/>
      <c r="I379" s="447"/>
      <c r="J379" s="447"/>
      <c r="K379" s="447"/>
      <c r="L379" s="447"/>
      <c r="M379" s="447"/>
      <c r="N379" s="447"/>
      <c r="O379" s="447"/>
      <c r="P379" s="447"/>
      <c r="Q379" s="447"/>
      <c r="R379" s="447"/>
      <c r="S379" s="447"/>
      <c r="T379" s="447"/>
      <c r="U379" s="447"/>
      <c r="V379" s="447"/>
      <c r="W379" s="447"/>
      <c r="X379" s="447"/>
      <c r="Y379" s="447"/>
      <c r="Z379" s="447"/>
      <c r="AA379" s="447"/>
    </row>
    <row r="380" spans="1:27">
      <c r="A380" s="465"/>
      <c r="B380" s="466"/>
      <c r="C380" s="465"/>
      <c r="D380" s="467"/>
      <c r="E380" s="447"/>
      <c r="F380" s="447"/>
      <c r="G380" s="447"/>
      <c r="H380" s="447"/>
      <c r="I380" s="447"/>
      <c r="J380" s="447"/>
      <c r="K380" s="447"/>
      <c r="L380" s="447"/>
      <c r="M380" s="447"/>
      <c r="N380" s="447"/>
      <c r="O380" s="447"/>
      <c r="P380" s="447"/>
      <c r="Q380" s="447"/>
      <c r="R380" s="447"/>
      <c r="S380" s="447"/>
      <c r="T380" s="447"/>
      <c r="U380" s="447"/>
      <c r="V380" s="447"/>
      <c r="W380" s="447"/>
      <c r="X380" s="447"/>
      <c r="Y380" s="447"/>
      <c r="Z380" s="447"/>
      <c r="AA380" s="447"/>
    </row>
    <row r="381" spans="1:27">
      <c r="A381" s="465"/>
      <c r="B381" s="466"/>
      <c r="C381" s="465"/>
      <c r="D381" s="467"/>
      <c r="E381" s="447"/>
      <c r="F381" s="447"/>
      <c r="G381" s="447"/>
      <c r="H381" s="447"/>
      <c r="I381" s="447"/>
      <c r="J381" s="447"/>
      <c r="K381" s="447"/>
      <c r="L381" s="447"/>
      <c r="M381" s="447"/>
      <c r="N381" s="447"/>
      <c r="O381" s="447"/>
      <c r="P381" s="447"/>
      <c r="Q381" s="447"/>
      <c r="R381" s="447"/>
      <c r="S381" s="447"/>
      <c r="T381" s="447"/>
      <c r="U381" s="447"/>
      <c r="V381" s="447"/>
      <c r="W381" s="447"/>
      <c r="X381" s="447"/>
      <c r="Y381" s="447"/>
      <c r="Z381" s="447"/>
      <c r="AA381" s="447"/>
    </row>
    <row r="382" spans="1:27">
      <c r="A382" s="465"/>
      <c r="B382" s="466"/>
      <c r="C382" s="465"/>
      <c r="D382" s="467"/>
      <c r="E382" s="447"/>
      <c r="F382" s="447"/>
      <c r="G382" s="447"/>
      <c r="H382" s="447"/>
      <c r="I382" s="447"/>
      <c r="J382" s="447"/>
      <c r="K382" s="447"/>
      <c r="L382" s="447"/>
      <c r="M382" s="447"/>
      <c r="N382" s="447"/>
      <c r="O382" s="447"/>
      <c r="P382" s="447"/>
      <c r="Q382" s="447"/>
      <c r="R382" s="447"/>
      <c r="S382" s="447"/>
      <c r="T382" s="447"/>
      <c r="U382" s="447"/>
      <c r="V382" s="447"/>
      <c r="W382" s="447"/>
      <c r="X382" s="447"/>
      <c r="Y382" s="447"/>
      <c r="Z382" s="447"/>
      <c r="AA382" s="447"/>
    </row>
    <row r="383" spans="1:27">
      <c r="A383" s="465"/>
      <c r="B383" s="466"/>
      <c r="C383" s="465"/>
      <c r="D383" s="467"/>
      <c r="E383" s="447"/>
      <c r="F383" s="447"/>
      <c r="G383" s="447"/>
      <c r="H383" s="447"/>
      <c r="I383" s="447"/>
      <c r="J383" s="447"/>
      <c r="K383" s="447"/>
      <c r="L383" s="447"/>
      <c r="M383" s="447"/>
      <c r="N383" s="447"/>
      <c r="O383" s="447"/>
      <c r="P383" s="447"/>
      <c r="Q383" s="447"/>
      <c r="R383" s="447"/>
      <c r="S383" s="447"/>
      <c r="T383" s="447"/>
      <c r="U383" s="447"/>
      <c r="V383" s="447"/>
      <c r="W383" s="447"/>
      <c r="X383" s="447"/>
      <c r="Y383" s="447"/>
      <c r="Z383" s="447"/>
      <c r="AA383" s="447"/>
    </row>
    <row r="384" spans="1:27">
      <c r="A384" s="465"/>
      <c r="B384" s="466"/>
      <c r="C384" s="465"/>
      <c r="D384" s="467"/>
      <c r="E384" s="447"/>
      <c r="F384" s="447"/>
      <c r="G384" s="447"/>
      <c r="H384" s="447"/>
      <c r="I384" s="447"/>
      <c r="J384" s="447"/>
      <c r="K384" s="447"/>
      <c r="L384" s="447"/>
      <c r="M384" s="447"/>
      <c r="N384" s="447"/>
      <c r="O384" s="447"/>
      <c r="P384" s="447"/>
      <c r="Q384" s="447"/>
      <c r="R384" s="447"/>
      <c r="S384" s="447"/>
      <c r="T384" s="447"/>
      <c r="U384" s="447"/>
      <c r="V384" s="447"/>
      <c r="W384" s="447"/>
      <c r="X384" s="447"/>
      <c r="Y384" s="447"/>
      <c r="Z384" s="447"/>
      <c r="AA384" s="447"/>
    </row>
    <row r="385" spans="1:27">
      <c r="A385" s="465"/>
      <c r="B385" s="466"/>
      <c r="C385" s="465"/>
      <c r="D385" s="467"/>
      <c r="E385" s="447"/>
      <c r="F385" s="447"/>
      <c r="G385" s="447"/>
      <c r="H385" s="447"/>
      <c r="I385" s="447"/>
      <c r="J385" s="447"/>
      <c r="K385" s="447"/>
      <c r="L385" s="447"/>
      <c r="M385" s="447"/>
      <c r="N385" s="447"/>
      <c r="O385" s="447"/>
      <c r="P385" s="447"/>
      <c r="Q385" s="447"/>
      <c r="R385" s="447"/>
      <c r="S385" s="447"/>
      <c r="T385" s="447"/>
      <c r="U385" s="447"/>
      <c r="V385" s="447"/>
      <c r="W385" s="447"/>
      <c r="X385" s="447"/>
      <c r="Y385" s="447"/>
      <c r="Z385" s="447"/>
      <c r="AA385" s="447"/>
    </row>
    <row r="386" spans="1:27">
      <c r="A386" s="465"/>
      <c r="B386" s="466"/>
      <c r="C386" s="465"/>
      <c r="D386" s="467"/>
      <c r="E386" s="447"/>
      <c r="F386" s="447"/>
      <c r="G386" s="447"/>
      <c r="H386" s="447"/>
      <c r="I386" s="447"/>
      <c r="J386" s="447"/>
      <c r="K386" s="447"/>
      <c r="L386" s="447"/>
      <c r="M386" s="447"/>
      <c r="N386" s="447"/>
      <c r="O386" s="447"/>
      <c r="P386" s="447"/>
      <c r="Q386" s="447"/>
      <c r="R386" s="447"/>
      <c r="S386" s="447"/>
      <c r="T386" s="447"/>
      <c r="U386" s="447"/>
      <c r="V386" s="447"/>
      <c r="W386" s="447"/>
      <c r="X386" s="447"/>
      <c r="Y386" s="447"/>
      <c r="Z386" s="447"/>
      <c r="AA386" s="447"/>
    </row>
    <row r="387" spans="1:27">
      <c r="A387" s="465"/>
      <c r="B387" s="466"/>
      <c r="C387" s="465"/>
      <c r="D387" s="467"/>
      <c r="E387" s="447"/>
      <c r="F387" s="447"/>
      <c r="G387" s="447"/>
      <c r="H387" s="447"/>
      <c r="I387" s="447"/>
      <c r="J387" s="447"/>
      <c r="K387" s="447"/>
      <c r="L387" s="447"/>
      <c r="M387" s="447"/>
      <c r="N387" s="447"/>
      <c r="O387" s="447"/>
      <c r="P387" s="447"/>
      <c r="Q387" s="447"/>
      <c r="R387" s="447"/>
      <c r="S387" s="447"/>
      <c r="T387" s="447"/>
      <c r="U387" s="447"/>
      <c r="V387" s="447"/>
      <c r="W387" s="447"/>
      <c r="X387" s="447"/>
      <c r="Y387" s="447"/>
      <c r="Z387" s="447"/>
      <c r="AA387" s="447"/>
    </row>
    <row r="388" spans="1:27">
      <c r="A388" s="465"/>
      <c r="B388" s="466"/>
      <c r="C388" s="465"/>
      <c r="D388" s="467"/>
      <c r="E388" s="447"/>
      <c r="F388" s="447"/>
      <c r="G388" s="447"/>
      <c r="H388" s="447"/>
      <c r="I388" s="447"/>
      <c r="J388" s="447"/>
      <c r="K388" s="447"/>
      <c r="L388" s="447"/>
      <c r="M388" s="447"/>
      <c r="N388" s="447"/>
      <c r="O388" s="447"/>
      <c r="P388" s="447"/>
      <c r="Q388" s="447"/>
      <c r="R388" s="447"/>
      <c r="S388" s="447"/>
      <c r="T388" s="447"/>
      <c r="U388" s="447"/>
      <c r="V388" s="447"/>
      <c r="W388" s="447"/>
      <c r="X388" s="447"/>
      <c r="Y388" s="447"/>
      <c r="Z388" s="447"/>
      <c r="AA388" s="447"/>
    </row>
    <row r="389" spans="1:27">
      <c r="A389" s="465"/>
      <c r="B389" s="466"/>
      <c r="C389" s="465"/>
      <c r="D389" s="467"/>
      <c r="E389" s="447"/>
      <c r="F389" s="447"/>
      <c r="G389" s="447"/>
      <c r="H389" s="447"/>
      <c r="I389" s="447"/>
      <c r="J389" s="447"/>
      <c r="K389" s="447"/>
      <c r="L389" s="447"/>
      <c r="M389" s="447"/>
      <c r="N389" s="447"/>
      <c r="O389" s="447"/>
      <c r="P389" s="447"/>
      <c r="Q389" s="447"/>
      <c r="R389" s="447"/>
      <c r="S389" s="447"/>
      <c r="T389" s="447"/>
      <c r="U389" s="447"/>
      <c r="V389" s="447"/>
      <c r="W389" s="447"/>
      <c r="X389" s="447"/>
      <c r="Y389" s="447"/>
      <c r="Z389" s="447"/>
      <c r="AA389" s="447"/>
    </row>
    <row r="390" spans="1:27">
      <c r="A390" s="465"/>
      <c r="B390" s="466"/>
      <c r="C390" s="465"/>
      <c r="D390" s="467"/>
      <c r="E390" s="447"/>
      <c r="F390" s="447"/>
      <c r="G390" s="447"/>
      <c r="H390" s="447"/>
      <c r="I390" s="447"/>
      <c r="J390" s="447"/>
      <c r="K390" s="447"/>
      <c r="L390" s="447"/>
      <c r="M390" s="447"/>
      <c r="N390" s="447"/>
      <c r="O390" s="447"/>
      <c r="P390" s="447"/>
      <c r="Q390" s="447"/>
      <c r="R390" s="447"/>
      <c r="S390" s="447"/>
      <c r="T390" s="447"/>
      <c r="U390" s="447"/>
      <c r="V390" s="447"/>
      <c r="W390" s="447"/>
      <c r="X390" s="447"/>
      <c r="Y390" s="447"/>
      <c r="Z390" s="447"/>
      <c r="AA390" s="447"/>
    </row>
    <row r="391" spans="1:27">
      <c r="A391" s="465"/>
      <c r="B391" s="466"/>
      <c r="C391" s="465"/>
      <c r="D391" s="467"/>
      <c r="E391" s="447"/>
      <c r="F391" s="447"/>
      <c r="G391" s="447"/>
      <c r="H391" s="447"/>
      <c r="I391" s="447"/>
      <c r="J391" s="447"/>
      <c r="K391" s="447"/>
      <c r="L391" s="447"/>
      <c r="M391" s="447"/>
      <c r="N391" s="447"/>
      <c r="O391" s="447"/>
      <c r="P391" s="447"/>
      <c r="Q391" s="447"/>
      <c r="R391" s="447"/>
      <c r="S391" s="447"/>
      <c r="T391" s="447"/>
      <c r="U391" s="447"/>
      <c r="V391" s="447"/>
      <c r="W391" s="447"/>
      <c r="X391" s="447"/>
      <c r="Y391" s="447"/>
      <c r="Z391" s="447"/>
      <c r="AA391" s="447"/>
    </row>
    <row r="392" spans="1:27">
      <c r="A392" s="465"/>
      <c r="B392" s="466"/>
      <c r="C392" s="465"/>
      <c r="D392" s="467"/>
      <c r="E392" s="447"/>
      <c r="F392" s="447"/>
      <c r="G392" s="447"/>
      <c r="H392" s="447"/>
      <c r="I392" s="447"/>
      <c r="J392" s="447"/>
      <c r="K392" s="447"/>
      <c r="L392" s="447"/>
      <c r="M392" s="447"/>
      <c r="N392" s="447"/>
      <c r="O392" s="447"/>
      <c r="P392" s="447"/>
      <c r="Q392" s="447"/>
      <c r="R392" s="447"/>
      <c r="S392" s="447"/>
      <c r="T392" s="447"/>
      <c r="U392" s="447"/>
      <c r="V392" s="447"/>
      <c r="W392" s="447"/>
      <c r="X392" s="447"/>
      <c r="Y392" s="447"/>
      <c r="Z392" s="447"/>
      <c r="AA392" s="447"/>
    </row>
    <row r="393" spans="1:27">
      <c r="A393" s="465"/>
      <c r="B393" s="466"/>
      <c r="C393" s="465"/>
      <c r="D393" s="467"/>
      <c r="E393" s="447"/>
      <c r="F393" s="447"/>
      <c r="G393" s="447"/>
      <c r="H393" s="447"/>
      <c r="I393" s="447"/>
      <c r="J393" s="447"/>
      <c r="K393" s="447"/>
      <c r="L393" s="447"/>
      <c r="M393" s="447"/>
      <c r="N393" s="447"/>
      <c r="O393" s="447"/>
      <c r="P393" s="447"/>
      <c r="Q393" s="447"/>
      <c r="R393" s="447"/>
      <c r="S393" s="447"/>
      <c r="T393" s="447"/>
      <c r="U393" s="447"/>
      <c r="V393" s="447"/>
      <c r="W393" s="447"/>
      <c r="X393" s="447"/>
      <c r="Y393" s="447"/>
      <c r="Z393" s="447"/>
      <c r="AA393" s="447"/>
    </row>
    <row r="394" spans="1:27">
      <c r="A394" s="465"/>
      <c r="B394" s="466"/>
      <c r="C394" s="465"/>
      <c r="D394" s="467"/>
      <c r="E394" s="447"/>
      <c r="F394" s="447"/>
      <c r="G394" s="447"/>
      <c r="H394" s="447"/>
      <c r="I394" s="447"/>
      <c r="J394" s="447"/>
      <c r="K394" s="447"/>
      <c r="L394" s="447"/>
      <c r="M394" s="447"/>
      <c r="N394" s="447"/>
      <c r="O394" s="447"/>
      <c r="P394" s="447"/>
      <c r="Q394" s="447"/>
      <c r="R394" s="447"/>
      <c r="S394" s="447"/>
      <c r="T394" s="447"/>
      <c r="U394" s="447"/>
      <c r="V394" s="447"/>
      <c r="W394" s="447"/>
      <c r="X394" s="447"/>
      <c r="Y394" s="447"/>
      <c r="Z394" s="447"/>
      <c r="AA394" s="447"/>
    </row>
    <row r="395" spans="1:27">
      <c r="A395" s="465"/>
      <c r="B395" s="466"/>
      <c r="C395" s="465"/>
      <c r="D395" s="467"/>
      <c r="E395" s="447"/>
      <c r="F395" s="447"/>
      <c r="G395" s="447"/>
      <c r="H395" s="447"/>
      <c r="I395" s="447"/>
      <c r="J395" s="447"/>
      <c r="K395" s="447"/>
      <c r="L395" s="447"/>
      <c r="M395" s="447"/>
      <c r="N395" s="447"/>
      <c r="O395" s="447"/>
      <c r="P395" s="447"/>
      <c r="Q395" s="447"/>
      <c r="R395" s="447"/>
      <c r="S395" s="447"/>
      <c r="T395" s="447"/>
      <c r="U395" s="447"/>
      <c r="V395" s="447"/>
      <c r="W395" s="447"/>
      <c r="X395" s="447"/>
      <c r="Y395" s="447"/>
      <c r="Z395" s="447"/>
      <c r="AA395" s="447"/>
    </row>
    <row r="396" spans="1:27">
      <c r="A396" s="465"/>
      <c r="B396" s="466"/>
      <c r="C396" s="465"/>
      <c r="D396" s="467"/>
      <c r="E396" s="447"/>
      <c r="F396" s="447"/>
      <c r="G396" s="447"/>
      <c r="H396" s="447"/>
      <c r="I396" s="447"/>
      <c r="J396" s="447"/>
      <c r="K396" s="447"/>
      <c r="L396" s="447"/>
      <c r="M396" s="447"/>
      <c r="N396" s="447"/>
      <c r="O396" s="447"/>
      <c r="P396" s="447"/>
      <c r="Q396" s="447"/>
      <c r="R396" s="447"/>
      <c r="S396" s="447"/>
      <c r="T396" s="447"/>
      <c r="U396" s="447"/>
      <c r="V396" s="447"/>
      <c r="W396" s="447"/>
      <c r="X396" s="447"/>
      <c r="Y396" s="447"/>
      <c r="Z396" s="447"/>
      <c r="AA396" s="447"/>
    </row>
    <row r="397" spans="1:27">
      <c r="A397" s="465"/>
      <c r="B397" s="466"/>
      <c r="C397" s="465"/>
      <c r="D397" s="467"/>
      <c r="E397" s="447"/>
      <c r="F397" s="447"/>
      <c r="G397" s="447"/>
      <c r="H397" s="447"/>
      <c r="I397" s="447"/>
      <c r="J397" s="447"/>
      <c r="K397" s="447"/>
      <c r="L397" s="447"/>
      <c r="M397" s="447"/>
      <c r="N397" s="447"/>
      <c r="O397" s="447"/>
      <c r="P397" s="447"/>
      <c r="Q397" s="447"/>
      <c r="R397" s="447"/>
      <c r="S397" s="447"/>
      <c r="T397" s="447"/>
      <c r="U397" s="447"/>
      <c r="V397" s="447"/>
      <c r="W397" s="447"/>
      <c r="X397" s="447"/>
      <c r="Y397" s="447"/>
      <c r="Z397" s="447"/>
      <c r="AA397" s="447"/>
    </row>
    <row r="398" spans="1:27">
      <c r="A398" s="465"/>
      <c r="B398" s="466"/>
      <c r="C398" s="465"/>
      <c r="D398" s="467"/>
      <c r="E398" s="447"/>
      <c r="F398" s="447"/>
      <c r="G398" s="447"/>
      <c r="H398" s="447"/>
      <c r="I398" s="447"/>
      <c r="J398" s="447"/>
      <c r="K398" s="447"/>
      <c r="L398" s="447"/>
      <c r="M398" s="447"/>
      <c r="N398" s="447"/>
      <c r="O398" s="447"/>
      <c r="P398" s="447"/>
      <c r="Q398" s="447"/>
      <c r="R398" s="447"/>
      <c r="S398" s="447"/>
      <c r="T398" s="447"/>
      <c r="U398" s="447"/>
      <c r="V398" s="447"/>
      <c r="W398" s="447"/>
      <c r="X398" s="447"/>
      <c r="Y398" s="447"/>
      <c r="Z398" s="447"/>
      <c r="AA398" s="447"/>
    </row>
    <row r="399" spans="1:27">
      <c r="A399" s="465"/>
      <c r="B399" s="466"/>
      <c r="C399" s="465"/>
      <c r="D399" s="467"/>
      <c r="E399" s="447"/>
      <c r="F399" s="447"/>
      <c r="G399" s="447"/>
      <c r="H399" s="447"/>
      <c r="I399" s="447"/>
      <c r="J399" s="447"/>
      <c r="K399" s="447"/>
      <c r="L399" s="447"/>
      <c r="M399" s="447"/>
      <c r="N399" s="447"/>
      <c r="O399" s="447"/>
      <c r="P399" s="447"/>
      <c r="Q399" s="447"/>
      <c r="R399" s="447"/>
      <c r="S399" s="447"/>
      <c r="T399" s="447"/>
      <c r="U399" s="447"/>
      <c r="V399" s="447"/>
      <c r="W399" s="447"/>
      <c r="X399" s="447"/>
      <c r="Y399" s="447"/>
      <c r="Z399" s="447"/>
      <c r="AA399" s="447"/>
    </row>
    <row r="400" spans="1:27">
      <c r="A400" s="465"/>
      <c r="B400" s="466"/>
      <c r="C400" s="465"/>
      <c r="D400" s="467"/>
      <c r="E400" s="447"/>
      <c r="F400" s="447"/>
      <c r="G400" s="447"/>
      <c r="H400" s="447"/>
      <c r="I400" s="447"/>
      <c r="J400" s="447"/>
      <c r="K400" s="447"/>
      <c r="L400" s="447"/>
      <c r="M400" s="447"/>
      <c r="N400" s="447"/>
      <c r="O400" s="447"/>
      <c r="P400" s="447"/>
      <c r="Q400" s="447"/>
      <c r="R400" s="447"/>
      <c r="S400" s="447"/>
      <c r="T400" s="447"/>
      <c r="U400" s="447"/>
      <c r="V400" s="447"/>
      <c r="W400" s="447"/>
      <c r="X400" s="447"/>
      <c r="Y400" s="447"/>
      <c r="Z400" s="447"/>
      <c r="AA400" s="447"/>
    </row>
    <row r="401" spans="1:27">
      <c r="A401" s="465"/>
      <c r="B401" s="466"/>
      <c r="C401" s="465"/>
      <c r="D401" s="467"/>
      <c r="E401" s="447"/>
      <c r="F401" s="447"/>
      <c r="G401" s="447"/>
      <c r="H401" s="447"/>
      <c r="I401" s="447"/>
      <c r="J401" s="447"/>
      <c r="K401" s="447"/>
      <c r="L401" s="447"/>
      <c r="M401" s="447"/>
      <c r="N401" s="447"/>
      <c r="O401" s="447"/>
      <c r="P401" s="447"/>
      <c r="Q401" s="447"/>
      <c r="R401" s="447"/>
      <c r="S401" s="447"/>
      <c r="T401" s="447"/>
      <c r="U401" s="447"/>
      <c r="V401" s="447"/>
      <c r="W401" s="447"/>
      <c r="X401" s="447"/>
      <c r="Y401" s="447"/>
      <c r="Z401" s="447"/>
      <c r="AA401" s="447"/>
    </row>
    <row r="402" spans="1:27">
      <c r="A402" s="465"/>
      <c r="B402" s="466"/>
      <c r="C402" s="465"/>
      <c r="D402" s="467"/>
      <c r="E402" s="447"/>
      <c r="F402" s="447"/>
      <c r="G402" s="447"/>
      <c r="H402" s="447"/>
      <c r="I402" s="447"/>
      <c r="J402" s="447"/>
      <c r="K402" s="447"/>
      <c r="L402" s="447"/>
      <c r="M402" s="447"/>
      <c r="N402" s="447"/>
      <c r="O402" s="447"/>
      <c r="P402" s="447"/>
      <c r="Q402" s="447"/>
      <c r="R402" s="447"/>
      <c r="S402" s="447"/>
      <c r="T402" s="447"/>
      <c r="U402" s="447"/>
      <c r="V402" s="447"/>
      <c r="W402" s="447"/>
      <c r="X402" s="447"/>
      <c r="Y402" s="447"/>
      <c r="Z402" s="447"/>
      <c r="AA402" s="447"/>
    </row>
    <row r="403" spans="1:27">
      <c r="A403" s="465"/>
      <c r="B403" s="466"/>
      <c r="C403" s="465"/>
      <c r="D403" s="467"/>
      <c r="E403" s="447"/>
      <c r="F403" s="447"/>
      <c r="G403" s="447"/>
      <c r="H403" s="447"/>
      <c r="I403" s="447"/>
      <c r="J403" s="447"/>
      <c r="K403" s="447"/>
      <c r="L403" s="447"/>
      <c r="M403" s="447"/>
      <c r="N403" s="447"/>
      <c r="O403" s="447"/>
      <c r="P403" s="447"/>
      <c r="Q403" s="447"/>
      <c r="R403" s="447"/>
      <c r="S403" s="447"/>
      <c r="T403" s="447"/>
      <c r="U403" s="447"/>
      <c r="V403" s="447"/>
      <c r="W403" s="447"/>
      <c r="X403" s="447"/>
      <c r="Y403" s="447"/>
      <c r="Z403" s="447"/>
      <c r="AA403" s="447"/>
    </row>
    <row r="404" spans="1:27">
      <c r="A404" s="465"/>
      <c r="B404" s="466"/>
      <c r="C404" s="465"/>
      <c r="D404" s="467"/>
      <c r="E404" s="447"/>
      <c r="F404" s="447"/>
      <c r="G404" s="447"/>
      <c r="H404" s="447"/>
      <c r="I404" s="447"/>
      <c r="J404" s="447"/>
      <c r="K404" s="447"/>
      <c r="L404" s="447"/>
      <c r="M404" s="447"/>
      <c r="N404" s="447"/>
      <c r="O404" s="447"/>
      <c r="P404" s="447"/>
      <c r="Q404" s="447"/>
      <c r="R404" s="447"/>
      <c r="S404" s="447"/>
      <c r="T404" s="447"/>
      <c r="U404" s="447"/>
      <c r="V404" s="447"/>
      <c r="W404" s="447"/>
      <c r="X404" s="447"/>
      <c r="Y404" s="447"/>
      <c r="Z404" s="447"/>
      <c r="AA404" s="447"/>
    </row>
    <row r="405" spans="1:27">
      <c r="A405" s="465"/>
      <c r="B405" s="466"/>
      <c r="C405" s="465"/>
      <c r="D405" s="467"/>
      <c r="E405" s="447"/>
      <c r="F405" s="447"/>
      <c r="G405" s="447"/>
      <c r="H405" s="447"/>
      <c r="I405" s="447"/>
      <c r="J405" s="447"/>
      <c r="K405" s="447"/>
      <c r="L405" s="447"/>
      <c r="M405" s="447"/>
      <c r="N405" s="447"/>
      <c r="O405" s="447"/>
      <c r="P405" s="447"/>
      <c r="Q405" s="447"/>
      <c r="R405" s="447"/>
      <c r="S405" s="447"/>
      <c r="T405" s="447"/>
      <c r="U405" s="447"/>
      <c r="V405" s="447"/>
      <c r="W405" s="447"/>
      <c r="X405" s="447"/>
      <c r="Y405" s="447"/>
      <c r="Z405" s="447"/>
      <c r="AA405" s="447"/>
    </row>
    <row r="406" spans="1:27">
      <c r="A406" s="465"/>
      <c r="B406" s="466"/>
      <c r="C406" s="465"/>
      <c r="D406" s="467"/>
      <c r="E406" s="447"/>
      <c r="F406" s="447"/>
      <c r="G406" s="447"/>
      <c r="H406" s="447"/>
      <c r="I406" s="447"/>
      <c r="J406" s="447"/>
      <c r="K406" s="447"/>
      <c r="L406" s="447"/>
      <c r="M406" s="447"/>
      <c r="N406" s="447"/>
      <c r="O406" s="447"/>
      <c r="P406" s="447"/>
      <c r="Q406" s="447"/>
      <c r="R406" s="447"/>
      <c r="S406" s="447"/>
      <c r="T406" s="447"/>
      <c r="U406" s="447"/>
      <c r="V406" s="447"/>
      <c r="W406" s="447"/>
      <c r="X406" s="447"/>
      <c r="Y406" s="447"/>
      <c r="Z406" s="447"/>
      <c r="AA406" s="447"/>
    </row>
    <row r="407" spans="1:27">
      <c r="A407" s="465"/>
      <c r="B407" s="466"/>
      <c r="C407" s="465"/>
      <c r="D407" s="467"/>
      <c r="E407" s="447"/>
      <c r="F407" s="447"/>
      <c r="G407" s="447"/>
      <c r="H407" s="447"/>
      <c r="I407" s="447"/>
      <c r="J407" s="447"/>
      <c r="K407" s="447"/>
      <c r="L407" s="447"/>
      <c r="M407" s="447"/>
      <c r="N407" s="447"/>
      <c r="O407" s="447"/>
      <c r="P407" s="447"/>
      <c r="Q407" s="447"/>
      <c r="R407" s="447"/>
      <c r="S407" s="447"/>
      <c r="T407" s="447"/>
      <c r="U407" s="447"/>
      <c r="V407" s="447"/>
      <c r="W407" s="447"/>
      <c r="X407" s="447"/>
      <c r="Y407" s="447"/>
      <c r="Z407" s="447"/>
      <c r="AA407" s="447"/>
    </row>
    <row r="408" spans="1:27">
      <c r="A408" s="465"/>
      <c r="B408" s="466"/>
      <c r="C408" s="465"/>
      <c r="D408" s="467"/>
      <c r="E408" s="447"/>
      <c r="F408" s="447"/>
      <c r="G408" s="447"/>
      <c r="H408" s="447"/>
      <c r="I408" s="447"/>
      <c r="J408" s="447"/>
      <c r="K408" s="447"/>
      <c r="L408" s="447"/>
      <c r="M408" s="447"/>
      <c r="N408" s="447"/>
      <c r="O408" s="447"/>
      <c r="P408" s="447"/>
      <c r="Q408" s="447"/>
      <c r="R408" s="447"/>
      <c r="S408" s="447"/>
      <c r="T408" s="447"/>
      <c r="U408" s="447"/>
      <c r="V408" s="447"/>
      <c r="W408" s="447"/>
      <c r="X408" s="447"/>
      <c r="Y408" s="447"/>
      <c r="Z408" s="447"/>
      <c r="AA408" s="447"/>
    </row>
    <row r="409" spans="1:27">
      <c r="A409" s="465"/>
      <c r="B409" s="466"/>
      <c r="C409" s="465"/>
      <c r="D409" s="467"/>
      <c r="E409" s="447"/>
      <c r="F409" s="447"/>
      <c r="G409" s="447"/>
      <c r="H409" s="447"/>
      <c r="I409" s="447"/>
      <c r="J409" s="447"/>
      <c r="K409" s="447"/>
      <c r="L409" s="447"/>
      <c r="M409" s="447"/>
      <c r="N409" s="447"/>
      <c r="O409" s="447"/>
      <c r="P409" s="447"/>
      <c r="Q409" s="447"/>
      <c r="R409" s="447"/>
      <c r="S409" s="447"/>
      <c r="T409" s="447"/>
      <c r="U409" s="447"/>
      <c r="V409" s="447"/>
      <c r="W409" s="447"/>
      <c r="X409" s="447"/>
      <c r="Y409" s="447"/>
      <c r="Z409" s="447"/>
      <c r="AA409" s="447"/>
    </row>
    <row r="410" spans="1:27">
      <c r="A410" s="465"/>
      <c r="B410" s="466"/>
      <c r="C410" s="465"/>
      <c r="D410" s="467"/>
      <c r="E410" s="447"/>
      <c r="F410" s="447"/>
      <c r="G410" s="447"/>
      <c r="H410" s="447"/>
      <c r="I410" s="447"/>
      <c r="J410" s="447"/>
      <c r="K410" s="447"/>
      <c r="L410" s="447"/>
      <c r="M410" s="447"/>
      <c r="N410" s="447"/>
      <c r="O410" s="447"/>
      <c r="P410" s="447"/>
      <c r="Q410" s="447"/>
      <c r="R410" s="447"/>
      <c r="S410" s="447"/>
      <c r="T410" s="447"/>
      <c r="U410" s="447"/>
      <c r="V410" s="447"/>
      <c r="W410" s="447"/>
      <c r="X410" s="447"/>
      <c r="Y410" s="447"/>
      <c r="Z410" s="447"/>
      <c r="AA410" s="447"/>
    </row>
    <row r="411" spans="1:27">
      <c r="A411" s="465"/>
      <c r="B411" s="466"/>
      <c r="C411" s="465"/>
      <c r="D411" s="467"/>
      <c r="E411" s="447"/>
      <c r="F411" s="447"/>
      <c r="G411" s="447"/>
      <c r="H411" s="447"/>
      <c r="I411" s="447"/>
      <c r="J411" s="447"/>
      <c r="K411" s="447"/>
      <c r="L411" s="447"/>
      <c r="M411" s="447"/>
      <c r="N411" s="447"/>
      <c r="O411" s="447"/>
      <c r="P411" s="447"/>
      <c r="Q411" s="447"/>
      <c r="R411" s="447"/>
      <c r="S411" s="447"/>
      <c r="T411" s="447"/>
      <c r="U411" s="447"/>
      <c r="V411" s="447"/>
      <c r="W411" s="447"/>
      <c r="X411" s="447"/>
      <c r="Y411" s="447"/>
      <c r="Z411" s="447"/>
      <c r="AA411" s="447"/>
    </row>
    <row r="412" spans="1:27">
      <c r="A412" s="465"/>
      <c r="B412" s="466"/>
      <c r="C412" s="465"/>
      <c r="D412" s="467"/>
      <c r="E412" s="447"/>
      <c r="F412" s="447"/>
      <c r="G412" s="447"/>
      <c r="H412" s="447"/>
      <c r="I412" s="447"/>
      <c r="J412" s="447"/>
      <c r="K412" s="447"/>
      <c r="L412" s="447"/>
      <c r="M412" s="447"/>
      <c r="N412" s="447"/>
      <c r="O412" s="447"/>
      <c r="P412" s="447"/>
      <c r="Q412" s="447"/>
      <c r="R412" s="447"/>
      <c r="S412" s="447"/>
      <c r="T412" s="447"/>
      <c r="U412" s="447"/>
      <c r="V412" s="447"/>
      <c r="W412" s="447"/>
      <c r="X412" s="447"/>
      <c r="Y412" s="447"/>
      <c r="Z412" s="447"/>
      <c r="AA412" s="447"/>
    </row>
    <row r="413" spans="1:27">
      <c r="A413" s="465"/>
      <c r="B413" s="466"/>
      <c r="C413" s="465"/>
      <c r="D413" s="467"/>
      <c r="E413" s="447"/>
      <c r="F413" s="447"/>
      <c r="G413" s="447"/>
      <c r="H413" s="447"/>
      <c r="I413" s="447"/>
      <c r="J413" s="447"/>
      <c r="K413" s="447"/>
      <c r="L413" s="447"/>
      <c r="M413" s="447"/>
      <c r="N413" s="447"/>
      <c r="O413" s="447"/>
      <c r="P413" s="447"/>
      <c r="Q413" s="447"/>
      <c r="R413" s="447"/>
      <c r="S413" s="447"/>
      <c r="T413" s="447"/>
      <c r="U413" s="447"/>
      <c r="V413" s="447"/>
      <c r="W413" s="447"/>
      <c r="X413" s="447"/>
      <c r="Y413" s="447"/>
      <c r="Z413" s="447"/>
      <c r="AA413" s="447"/>
    </row>
    <row r="414" spans="1:27">
      <c r="A414" s="465"/>
      <c r="B414" s="466"/>
      <c r="C414" s="465"/>
      <c r="D414" s="467"/>
      <c r="E414" s="447"/>
      <c r="F414" s="447"/>
      <c r="G414" s="447"/>
      <c r="H414" s="447"/>
      <c r="I414" s="447"/>
      <c r="J414" s="447"/>
      <c r="K414" s="447"/>
      <c r="L414" s="447"/>
      <c r="M414" s="447"/>
      <c r="N414" s="447"/>
      <c r="O414" s="447"/>
      <c r="P414" s="447"/>
      <c r="Q414" s="447"/>
      <c r="R414" s="447"/>
      <c r="S414" s="447"/>
      <c r="T414" s="447"/>
      <c r="U414" s="447"/>
      <c r="V414" s="447"/>
      <c r="W414" s="447"/>
      <c r="X414" s="447"/>
      <c r="Y414" s="447"/>
      <c r="Z414" s="447"/>
      <c r="AA414" s="447"/>
    </row>
    <row r="415" spans="1:27">
      <c r="A415" s="465"/>
      <c r="B415" s="466"/>
      <c r="C415" s="465"/>
      <c r="D415" s="467"/>
      <c r="E415" s="447"/>
      <c r="F415" s="447"/>
      <c r="G415" s="447"/>
      <c r="H415" s="447"/>
      <c r="I415" s="447"/>
      <c r="J415" s="447"/>
      <c r="K415" s="447"/>
      <c r="L415" s="447"/>
      <c r="M415" s="447"/>
      <c r="N415" s="447"/>
      <c r="O415" s="447"/>
      <c r="P415" s="447"/>
      <c r="Q415" s="447"/>
      <c r="R415" s="447"/>
      <c r="S415" s="447"/>
      <c r="T415" s="447"/>
      <c r="U415" s="447"/>
      <c r="V415" s="447"/>
      <c r="W415" s="447"/>
      <c r="X415" s="447"/>
      <c r="Y415" s="447"/>
      <c r="Z415" s="447"/>
      <c r="AA415" s="447"/>
    </row>
    <row r="416" spans="1:27">
      <c r="A416" s="465"/>
      <c r="B416" s="466"/>
      <c r="C416" s="465"/>
      <c r="D416" s="467"/>
      <c r="E416" s="447"/>
      <c r="F416" s="447"/>
      <c r="G416" s="447"/>
      <c r="H416" s="447"/>
      <c r="I416" s="447"/>
      <c r="J416" s="447"/>
      <c r="K416" s="447"/>
      <c r="L416" s="447"/>
      <c r="M416" s="447"/>
      <c r="N416" s="447"/>
      <c r="O416" s="447"/>
      <c r="P416" s="447"/>
      <c r="Q416" s="447"/>
      <c r="R416" s="447"/>
      <c r="S416" s="447"/>
      <c r="T416" s="447"/>
      <c r="U416" s="447"/>
      <c r="V416" s="447"/>
      <c r="W416" s="447"/>
      <c r="X416" s="447"/>
      <c r="Y416" s="447"/>
      <c r="Z416" s="447"/>
      <c r="AA416" s="447"/>
    </row>
    <row r="417" spans="1:27">
      <c r="A417" s="465"/>
      <c r="B417" s="466"/>
      <c r="C417" s="465"/>
      <c r="D417" s="467"/>
      <c r="E417" s="447"/>
      <c r="F417" s="447"/>
      <c r="G417" s="447"/>
      <c r="H417" s="447"/>
      <c r="I417" s="447"/>
      <c r="J417" s="447"/>
      <c r="K417" s="447"/>
      <c r="L417" s="447"/>
      <c r="M417" s="447"/>
      <c r="N417" s="447"/>
      <c r="O417" s="447"/>
      <c r="P417" s="447"/>
      <c r="Q417" s="447"/>
      <c r="R417" s="447"/>
      <c r="S417" s="447"/>
      <c r="T417" s="447"/>
      <c r="U417" s="447"/>
      <c r="V417" s="447"/>
      <c r="W417" s="447"/>
      <c r="X417" s="447"/>
      <c r="Y417" s="447"/>
      <c r="Z417" s="447"/>
      <c r="AA417" s="447"/>
    </row>
    <row r="418" spans="1:27">
      <c r="A418" s="465"/>
      <c r="B418" s="466"/>
      <c r="C418" s="465"/>
      <c r="D418" s="467"/>
      <c r="E418" s="447"/>
      <c r="F418" s="447"/>
      <c r="G418" s="447"/>
      <c r="H418" s="447"/>
      <c r="I418" s="447"/>
      <c r="J418" s="447"/>
      <c r="K418" s="447"/>
      <c r="L418" s="447"/>
      <c r="M418" s="447"/>
      <c r="N418" s="447"/>
      <c r="O418" s="447"/>
      <c r="P418" s="447"/>
      <c r="Q418" s="447"/>
      <c r="R418" s="447"/>
      <c r="S418" s="447"/>
      <c r="T418" s="447"/>
      <c r="U418" s="447"/>
      <c r="V418" s="447"/>
      <c r="W418" s="447"/>
      <c r="X418" s="447"/>
      <c r="Y418" s="447"/>
      <c r="Z418" s="447"/>
      <c r="AA418" s="447"/>
    </row>
    <row r="419" spans="1:27">
      <c r="A419" s="465"/>
      <c r="B419" s="466"/>
      <c r="C419" s="465"/>
      <c r="D419" s="467"/>
      <c r="E419" s="447"/>
      <c r="F419" s="447"/>
      <c r="G419" s="447"/>
      <c r="H419" s="447"/>
      <c r="I419" s="447"/>
      <c r="J419" s="447"/>
      <c r="K419" s="447"/>
      <c r="L419" s="447"/>
      <c r="M419" s="447"/>
      <c r="N419" s="447"/>
      <c r="O419" s="447"/>
      <c r="P419" s="447"/>
      <c r="Q419" s="447"/>
      <c r="R419" s="447"/>
      <c r="S419" s="447"/>
      <c r="T419" s="447"/>
      <c r="U419" s="447"/>
      <c r="V419" s="447"/>
      <c r="W419" s="447"/>
      <c r="X419" s="447"/>
      <c r="Y419" s="447"/>
      <c r="Z419" s="447"/>
      <c r="AA419" s="447"/>
    </row>
    <row r="420" spans="1:27">
      <c r="A420" s="465"/>
      <c r="B420" s="466"/>
      <c r="C420" s="465"/>
      <c r="D420" s="467"/>
      <c r="E420" s="447"/>
      <c r="F420" s="447"/>
      <c r="G420" s="447"/>
      <c r="H420" s="447"/>
      <c r="I420" s="447"/>
      <c r="J420" s="447"/>
      <c r="K420" s="447"/>
      <c r="L420" s="447"/>
      <c r="M420" s="447"/>
      <c r="N420" s="447"/>
      <c r="O420" s="447"/>
      <c r="P420" s="447"/>
      <c r="Q420" s="447"/>
      <c r="R420" s="447"/>
      <c r="S420" s="447"/>
      <c r="T420" s="447"/>
      <c r="U420" s="447"/>
      <c r="V420" s="447"/>
      <c r="W420" s="447"/>
      <c r="X420" s="447"/>
      <c r="Y420" s="447"/>
      <c r="Z420" s="447"/>
      <c r="AA420" s="447"/>
    </row>
    <row r="421" spans="1:27">
      <c r="A421" s="465"/>
      <c r="B421" s="466"/>
      <c r="C421" s="465"/>
      <c r="D421" s="467"/>
      <c r="E421" s="447"/>
      <c r="F421" s="447"/>
      <c r="G421" s="447"/>
      <c r="H421" s="447"/>
      <c r="I421" s="447"/>
      <c r="J421" s="447"/>
      <c r="K421" s="447"/>
      <c r="L421" s="447"/>
      <c r="M421" s="447"/>
      <c r="N421" s="447"/>
      <c r="O421" s="447"/>
      <c r="P421" s="447"/>
      <c r="Q421" s="447"/>
      <c r="R421" s="447"/>
      <c r="S421" s="447"/>
      <c r="T421" s="447"/>
      <c r="U421" s="447"/>
      <c r="V421" s="447"/>
      <c r="W421" s="447"/>
      <c r="X421" s="447"/>
      <c r="Y421" s="447"/>
      <c r="Z421" s="447"/>
      <c r="AA421" s="447"/>
    </row>
    <row r="422" spans="1:27">
      <c r="A422" s="465"/>
      <c r="B422" s="466"/>
      <c r="C422" s="465"/>
      <c r="D422" s="467"/>
      <c r="E422" s="447"/>
      <c r="F422" s="447"/>
      <c r="G422" s="447"/>
      <c r="H422" s="447"/>
      <c r="I422" s="447"/>
      <c r="J422" s="447"/>
      <c r="K422" s="447"/>
      <c r="L422" s="447"/>
      <c r="M422" s="447"/>
      <c r="N422" s="447"/>
      <c r="O422" s="447"/>
      <c r="P422" s="447"/>
      <c r="Q422" s="447"/>
      <c r="R422" s="447"/>
      <c r="S422" s="447"/>
      <c r="T422" s="447"/>
      <c r="U422" s="447"/>
      <c r="V422" s="447"/>
      <c r="W422" s="447"/>
      <c r="X422" s="447"/>
      <c r="Y422" s="447"/>
      <c r="Z422" s="447"/>
      <c r="AA422" s="447"/>
    </row>
    <row r="423" spans="1:27">
      <c r="A423" s="465"/>
      <c r="B423" s="466"/>
      <c r="C423" s="465"/>
      <c r="D423" s="467"/>
      <c r="E423" s="447"/>
      <c r="F423" s="447"/>
      <c r="G423" s="447"/>
      <c r="H423" s="447"/>
      <c r="I423" s="447"/>
      <c r="J423" s="447"/>
      <c r="K423" s="447"/>
      <c r="L423" s="447"/>
      <c r="M423" s="447"/>
      <c r="N423" s="447"/>
      <c r="O423" s="447"/>
      <c r="P423" s="447"/>
      <c r="Q423" s="447"/>
      <c r="R423" s="447"/>
      <c r="S423" s="447"/>
      <c r="T423" s="447"/>
      <c r="U423" s="447"/>
      <c r="V423" s="447"/>
      <c r="W423" s="447"/>
      <c r="X423" s="447"/>
      <c r="Y423" s="447"/>
      <c r="Z423" s="447"/>
      <c r="AA423" s="447"/>
    </row>
    <row r="424" spans="1:27">
      <c r="A424" s="465"/>
      <c r="B424" s="466"/>
      <c r="C424" s="465"/>
      <c r="D424" s="467"/>
      <c r="E424" s="447"/>
      <c r="F424" s="447"/>
      <c r="G424" s="447"/>
      <c r="H424" s="447"/>
      <c r="I424" s="447"/>
      <c r="J424" s="447"/>
      <c r="K424" s="447"/>
      <c r="L424" s="447"/>
      <c r="M424" s="447"/>
      <c r="N424" s="447"/>
      <c r="O424" s="447"/>
      <c r="P424" s="447"/>
      <c r="Q424" s="447"/>
      <c r="R424" s="447"/>
      <c r="S424" s="447"/>
      <c r="T424" s="447"/>
      <c r="U424" s="447"/>
      <c r="V424" s="447"/>
      <c r="W424" s="447"/>
      <c r="X424" s="447"/>
      <c r="Y424" s="447"/>
      <c r="Z424" s="447"/>
      <c r="AA424" s="447"/>
    </row>
    <row r="425" spans="1:27">
      <c r="A425" s="465"/>
      <c r="B425" s="466"/>
      <c r="C425" s="465"/>
      <c r="D425" s="467"/>
      <c r="E425" s="447"/>
      <c r="F425" s="447"/>
      <c r="G425" s="447"/>
      <c r="H425" s="447"/>
      <c r="I425" s="447"/>
      <c r="J425" s="447"/>
      <c r="K425" s="447"/>
      <c r="L425" s="447"/>
      <c r="M425" s="447"/>
      <c r="N425" s="447"/>
      <c r="O425" s="447"/>
      <c r="P425" s="447"/>
      <c r="Q425" s="447"/>
      <c r="R425" s="447"/>
      <c r="S425" s="447"/>
      <c r="T425" s="447"/>
      <c r="U425" s="447"/>
      <c r="V425" s="447"/>
      <c r="W425" s="447"/>
      <c r="X425" s="447"/>
      <c r="Y425" s="447"/>
      <c r="Z425" s="447"/>
      <c r="AA425" s="447"/>
    </row>
    <row r="426" spans="1:27">
      <c r="A426" s="465"/>
      <c r="B426" s="466"/>
      <c r="C426" s="465"/>
      <c r="D426" s="467"/>
      <c r="E426" s="447"/>
      <c r="F426" s="447"/>
      <c r="G426" s="447"/>
      <c r="H426" s="447"/>
      <c r="I426" s="447"/>
      <c r="J426" s="447"/>
      <c r="K426" s="447"/>
      <c r="L426" s="447"/>
      <c r="M426" s="447"/>
      <c r="N426" s="447"/>
      <c r="O426" s="447"/>
      <c r="P426" s="447"/>
      <c r="Q426" s="447"/>
      <c r="R426" s="447"/>
      <c r="S426" s="447"/>
      <c r="T426" s="447"/>
      <c r="U426" s="447"/>
      <c r="V426" s="447"/>
      <c r="W426" s="447"/>
      <c r="X426" s="447"/>
      <c r="Y426" s="447"/>
      <c r="Z426" s="447"/>
      <c r="AA426" s="447"/>
    </row>
    <row r="427" spans="1:27">
      <c r="A427" s="465"/>
      <c r="B427" s="466"/>
      <c r="C427" s="465"/>
      <c r="D427" s="467"/>
      <c r="E427" s="447"/>
      <c r="F427" s="447"/>
      <c r="G427" s="447"/>
      <c r="H427" s="447"/>
      <c r="I427" s="447"/>
      <c r="J427" s="447"/>
      <c r="K427" s="447"/>
      <c r="L427" s="447"/>
      <c r="M427" s="447"/>
      <c r="N427" s="447"/>
      <c r="O427" s="447"/>
      <c r="P427" s="447"/>
      <c r="Q427" s="447"/>
      <c r="R427" s="447"/>
      <c r="S427" s="447"/>
      <c r="T427" s="447"/>
      <c r="U427" s="447"/>
      <c r="V427" s="447"/>
      <c r="W427" s="447"/>
      <c r="X427" s="447"/>
      <c r="Y427" s="447"/>
      <c r="Z427" s="447"/>
      <c r="AA427" s="447"/>
    </row>
    <row r="428" spans="1:27">
      <c r="A428" s="465"/>
      <c r="B428" s="466"/>
      <c r="C428" s="465"/>
      <c r="D428" s="467"/>
      <c r="E428" s="447"/>
      <c r="F428" s="447"/>
      <c r="G428" s="447"/>
      <c r="H428" s="447"/>
      <c r="I428" s="447"/>
      <c r="J428" s="447"/>
      <c r="K428" s="447"/>
      <c r="L428" s="447"/>
      <c r="M428" s="447"/>
      <c r="N428" s="447"/>
      <c r="O428" s="447"/>
      <c r="P428" s="447"/>
      <c r="Q428" s="447"/>
      <c r="R428" s="447"/>
      <c r="S428" s="447"/>
      <c r="T428" s="447"/>
      <c r="U428" s="447"/>
      <c r="V428" s="447"/>
      <c r="W428" s="447"/>
      <c r="X428" s="447"/>
      <c r="Y428" s="447"/>
      <c r="Z428" s="447"/>
      <c r="AA428" s="447"/>
    </row>
    <row r="429" spans="1:27">
      <c r="A429" s="465"/>
      <c r="B429" s="466"/>
      <c r="C429" s="465"/>
      <c r="D429" s="467"/>
      <c r="E429" s="447"/>
      <c r="F429" s="447"/>
      <c r="G429" s="447"/>
      <c r="H429" s="447"/>
      <c r="I429" s="447"/>
      <c r="J429" s="447"/>
      <c r="K429" s="447"/>
      <c r="L429" s="447"/>
      <c r="M429" s="447"/>
      <c r="N429" s="447"/>
      <c r="O429" s="447"/>
      <c r="P429" s="447"/>
      <c r="Q429" s="447"/>
      <c r="R429" s="447"/>
      <c r="S429" s="447"/>
      <c r="T429" s="447"/>
      <c r="U429" s="447"/>
      <c r="V429" s="447"/>
      <c r="W429" s="447"/>
      <c r="X429" s="447"/>
      <c r="Y429" s="447"/>
      <c r="Z429" s="447"/>
      <c r="AA429" s="447"/>
    </row>
    <row r="430" spans="1:27">
      <c r="A430" s="465"/>
      <c r="B430" s="466"/>
      <c r="C430" s="465"/>
      <c r="D430" s="467"/>
      <c r="E430" s="447"/>
      <c r="F430" s="447"/>
      <c r="G430" s="447"/>
      <c r="H430" s="447"/>
      <c r="I430" s="447"/>
      <c r="J430" s="447"/>
      <c r="K430" s="447"/>
      <c r="L430" s="447"/>
      <c r="M430" s="447"/>
      <c r="N430" s="447"/>
      <c r="O430" s="447"/>
      <c r="P430" s="447"/>
      <c r="Q430" s="447"/>
      <c r="R430" s="447"/>
      <c r="S430" s="447"/>
      <c r="T430" s="447"/>
      <c r="U430" s="447"/>
      <c r="V430" s="447"/>
      <c r="W430" s="447"/>
      <c r="X430" s="447"/>
      <c r="Y430" s="447"/>
      <c r="Z430" s="447"/>
      <c r="AA430" s="447"/>
    </row>
    <row r="431" spans="1:27">
      <c r="A431" s="465"/>
      <c r="B431" s="466"/>
      <c r="C431" s="465"/>
      <c r="D431" s="467"/>
      <c r="E431" s="447"/>
      <c r="F431" s="447"/>
      <c r="G431" s="447"/>
      <c r="H431" s="447"/>
      <c r="I431" s="447"/>
      <c r="J431" s="447"/>
      <c r="K431" s="447"/>
      <c r="L431" s="447"/>
      <c r="M431" s="447"/>
      <c r="N431" s="447"/>
      <c r="O431" s="447"/>
      <c r="P431" s="447"/>
      <c r="Q431" s="447"/>
      <c r="R431" s="447"/>
      <c r="S431" s="447"/>
      <c r="T431" s="447"/>
      <c r="U431" s="447"/>
      <c r="V431" s="447"/>
      <c r="W431" s="447"/>
      <c r="X431" s="447"/>
      <c r="Y431" s="447"/>
      <c r="Z431" s="447"/>
      <c r="AA431" s="447"/>
    </row>
    <row r="432" spans="1:27">
      <c r="A432" s="465"/>
      <c r="B432" s="466"/>
      <c r="C432" s="465"/>
      <c r="D432" s="467"/>
      <c r="E432" s="447"/>
      <c r="F432" s="447"/>
      <c r="G432" s="447"/>
      <c r="H432" s="447"/>
      <c r="I432" s="447"/>
      <c r="J432" s="447"/>
      <c r="K432" s="447"/>
      <c r="L432" s="447"/>
      <c r="M432" s="447"/>
      <c r="N432" s="447"/>
      <c r="O432" s="447"/>
      <c r="P432" s="447"/>
      <c r="Q432" s="447"/>
      <c r="R432" s="447"/>
      <c r="S432" s="447"/>
      <c r="T432" s="447"/>
      <c r="U432" s="447"/>
      <c r="V432" s="447"/>
      <c r="W432" s="447"/>
      <c r="X432" s="447"/>
      <c r="Y432" s="447"/>
      <c r="Z432" s="447"/>
      <c r="AA432" s="447"/>
    </row>
    <row r="433" spans="1:27">
      <c r="A433" s="465"/>
      <c r="B433" s="466"/>
      <c r="C433" s="465"/>
      <c r="D433" s="467"/>
      <c r="E433" s="447"/>
      <c r="F433" s="447"/>
      <c r="G433" s="447"/>
      <c r="H433" s="447"/>
      <c r="I433" s="447"/>
      <c r="J433" s="447"/>
      <c r="K433" s="447"/>
      <c r="L433" s="447"/>
      <c r="M433" s="447"/>
      <c r="N433" s="447"/>
      <c r="O433" s="447"/>
      <c r="P433" s="447"/>
      <c r="Q433" s="447"/>
      <c r="R433" s="447"/>
      <c r="S433" s="447"/>
      <c r="T433" s="447"/>
      <c r="U433" s="447"/>
      <c r="V433" s="447"/>
      <c r="W433" s="447"/>
      <c r="X433" s="447"/>
      <c r="Y433" s="447"/>
      <c r="Z433" s="447"/>
      <c r="AA433" s="447"/>
    </row>
    <row r="434" spans="1:27">
      <c r="A434" s="465"/>
      <c r="B434" s="466"/>
      <c r="C434" s="465"/>
      <c r="D434" s="467"/>
      <c r="E434" s="447"/>
      <c r="F434" s="447"/>
      <c r="G434" s="447"/>
      <c r="H434" s="447"/>
      <c r="I434" s="447"/>
      <c r="J434" s="447"/>
      <c r="K434" s="447"/>
      <c r="L434" s="447"/>
      <c r="M434" s="447"/>
      <c r="N434" s="447"/>
      <c r="O434" s="447"/>
      <c r="P434" s="447"/>
      <c r="Q434" s="447"/>
      <c r="R434" s="447"/>
      <c r="S434" s="447"/>
      <c r="T434" s="447"/>
      <c r="U434" s="447"/>
      <c r="V434" s="447"/>
      <c r="W434" s="447"/>
      <c r="X434" s="447"/>
      <c r="Y434" s="447"/>
      <c r="Z434" s="447"/>
      <c r="AA434" s="447"/>
    </row>
    <row r="435" spans="1:27">
      <c r="A435" s="465"/>
      <c r="B435" s="466"/>
      <c r="C435" s="465"/>
      <c r="D435" s="467"/>
      <c r="E435" s="447"/>
      <c r="F435" s="447"/>
      <c r="G435" s="447"/>
      <c r="H435" s="447"/>
      <c r="I435" s="447"/>
      <c r="J435" s="447"/>
      <c r="K435" s="447"/>
      <c r="L435" s="447"/>
      <c r="M435" s="447"/>
      <c r="N435" s="447"/>
      <c r="O435" s="447"/>
      <c r="P435" s="447"/>
      <c r="Q435" s="447"/>
      <c r="R435" s="447"/>
      <c r="S435" s="447"/>
      <c r="T435" s="447"/>
      <c r="U435" s="447"/>
      <c r="V435" s="447"/>
      <c r="W435" s="447"/>
      <c r="X435" s="447"/>
      <c r="Y435" s="447"/>
      <c r="Z435" s="447"/>
      <c r="AA435" s="447"/>
    </row>
    <row r="436" spans="1:27">
      <c r="A436" s="465"/>
      <c r="B436" s="466"/>
      <c r="C436" s="465"/>
      <c r="D436" s="467"/>
      <c r="E436" s="447"/>
      <c r="F436" s="447"/>
      <c r="G436" s="447"/>
      <c r="H436" s="447"/>
      <c r="I436" s="447"/>
      <c r="J436" s="447"/>
      <c r="K436" s="447"/>
      <c r="L436" s="447"/>
      <c r="M436" s="447"/>
      <c r="N436" s="447"/>
      <c r="O436" s="447"/>
      <c r="P436" s="447"/>
      <c r="Q436" s="447"/>
      <c r="R436" s="447"/>
      <c r="S436" s="447"/>
      <c r="T436" s="447"/>
      <c r="U436" s="447"/>
      <c r="V436" s="447"/>
      <c r="W436" s="447"/>
      <c r="X436" s="447"/>
      <c r="Y436" s="447"/>
      <c r="Z436" s="447"/>
      <c r="AA436" s="447"/>
    </row>
    <row r="437" spans="1:27">
      <c r="A437" s="465"/>
      <c r="B437" s="466"/>
      <c r="C437" s="465"/>
      <c r="D437" s="467"/>
      <c r="E437" s="447"/>
      <c r="F437" s="447"/>
      <c r="G437" s="447"/>
      <c r="H437" s="447"/>
      <c r="I437" s="447"/>
      <c r="J437" s="447"/>
      <c r="K437" s="447"/>
      <c r="L437" s="447"/>
      <c r="M437" s="447"/>
      <c r="N437" s="447"/>
      <c r="O437" s="447"/>
      <c r="P437" s="447"/>
      <c r="Q437" s="447"/>
      <c r="R437" s="447"/>
      <c r="S437" s="447"/>
      <c r="T437" s="447"/>
      <c r="U437" s="447"/>
      <c r="V437" s="447"/>
      <c r="W437" s="447"/>
      <c r="X437" s="447"/>
      <c r="Y437" s="447"/>
      <c r="Z437" s="447"/>
      <c r="AA437" s="447"/>
    </row>
    <row r="438" spans="1:27">
      <c r="A438" s="465"/>
      <c r="B438" s="466"/>
      <c r="C438" s="465"/>
      <c r="D438" s="467"/>
      <c r="E438" s="447"/>
      <c r="F438" s="447"/>
      <c r="G438" s="447"/>
      <c r="H438" s="447"/>
      <c r="I438" s="447"/>
      <c r="J438" s="447"/>
      <c r="K438" s="447"/>
      <c r="L438" s="447"/>
      <c r="M438" s="447"/>
      <c r="N438" s="447"/>
      <c r="O438" s="447"/>
      <c r="P438" s="447"/>
      <c r="Q438" s="447"/>
      <c r="R438" s="447"/>
      <c r="S438" s="447"/>
      <c r="T438" s="447"/>
      <c r="U438" s="447"/>
      <c r="V438" s="447"/>
      <c r="W438" s="447"/>
      <c r="X438" s="447"/>
      <c r="Y438" s="447"/>
      <c r="Z438" s="447"/>
      <c r="AA438" s="447"/>
    </row>
    <row r="439" spans="1:27">
      <c r="A439" s="465"/>
      <c r="B439" s="466"/>
      <c r="C439" s="465"/>
      <c r="D439" s="467"/>
      <c r="E439" s="447"/>
      <c r="F439" s="447"/>
      <c r="G439" s="447"/>
      <c r="H439" s="447"/>
      <c r="I439" s="447"/>
      <c r="J439" s="447"/>
      <c r="K439" s="447"/>
      <c r="L439" s="447"/>
      <c r="M439" s="447"/>
      <c r="N439" s="447"/>
      <c r="O439" s="447"/>
      <c r="P439" s="447"/>
      <c r="Q439" s="447"/>
      <c r="R439" s="447"/>
      <c r="S439" s="447"/>
      <c r="T439" s="447"/>
      <c r="U439" s="447"/>
      <c r="V439" s="447"/>
      <c r="W439" s="447"/>
      <c r="X439" s="447"/>
      <c r="Y439" s="447"/>
      <c r="Z439" s="447"/>
      <c r="AA439" s="447"/>
    </row>
    <row r="440" spans="1:27">
      <c r="A440" s="465"/>
      <c r="B440" s="466"/>
      <c r="C440" s="465"/>
      <c r="D440" s="467"/>
      <c r="E440" s="447"/>
      <c r="F440" s="447"/>
      <c r="G440" s="447"/>
      <c r="H440" s="447"/>
      <c r="I440" s="447"/>
      <c r="J440" s="447"/>
      <c r="K440" s="447"/>
      <c r="L440" s="447"/>
      <c r="M440" s="447"/>
      <c r="N440" s="447"/>
      <c r="O440" s="447"/>
      <c r="P440" s="447"/>
      <c r="Q440" s="447"/>
      <c r="R440" s="447"/>
      <c r="S440" s="447"/>
      <c r="T440" s="447"/>
      <c r="U440" s="447"/>
      <c r="V440" s="447"/>
      <c r="W440" s="447"/>
      <c r="X440" s="447"/>
      <c r="Y440" s="447"/>
      <c r="Z440" s="447"/>
      <c r="AA440" s="447"/>
    </row>
    <row r="441" spans="1:27">
      <c r="A441" s="465"/>
      <c r="B441" s="466"/>
      <c r="C441" s="465"/>
      <c r="D441" s="467"/>
      <c r="E441" s="447"/>
      <c r="F441" s="447"/>
      <c r="G441" s="447"/>
      <c r="H441" s="447"/>
      <c r="I441" s="447"/>
      <c r="J441" s="447"/>
      <c r="K441" s="447"/>
      <c r="L441" s="447"/>
      <c r="M441" s="447"/>
      <c r="N441" s="447"/>
      <c r="O441" s="447"/>
      <c r="P441" s="447"/>
      <c r="Q441" s="447"/>
      <c r="R441" s="447"/>
      <c r="S441" s="447"/>
      <c r="T441" s="447"/>
      <c r="U441" s="447"/>
      <c r="V441" s="447"/>
      <c r="W441" s="447"/>
      <c r="X441" s="447"/>
      <c r="Y441" s="447"/>
      <c r="Z441" s="447"/>
      <c r="AA441" s="447"/>
    </row>
    <row r="442" spans="1:27">
      <c r="A442" s="465"/>
      <c r="B442" s="466"/>
      <c r="C442" s="465"/>
      <c r="D442" s="467"/>
      <c r="E442" s="447"/>
      <c r="F442" s="447"/>
      <c r="G442" s="447"/>
      <c r="H442" s="447"/>
      <c r="I442" s="447"/>
      <c r="J442" s="447"/>
      <c r="K442" s="447"/>
      <c r="L442" s="447"/>
      <c r="M442" s="447"/>
      <c r="N442" s="447"/>
      <c r="O442" s="447"/>
      <c r="P442" s="447"/>
      <c r="Q442" s="447"/>
      <c r="R442" s="447"/>
      <c r="S442" s="447"/>
      <c r="T442" s="447"/>
      <c r="U442" s="447"/>
      <c r="V442" s="447"/>
      <c r="W442" s="447"/>
      <c r="X442" s="447"/>
      <c r="Y442" s="447"/>
      <c r="Z442" s="447"/>
      <c r="AA442" s="447"/>
    </row>
    <row r="443" spans="1:27">
      <c r="A443" s="465"/>
      <c r="B443" s="466"/>
      <c r="C443" s="465"/>
      <c r="D443" s="467"/>
      <c r="E443" s="447"/>
      <c r="F443" s="447"/>
      <c r="G443" s="447"/>
      <c r="H443" s="447"/>
      <c r="I443" s="447"/>
      <c r="J443" s="447"/>
      <c r="K443" s="447"/>
      <c r="L443" s="447"/>
      <c r="M443" s="447"/>
      <c r="N443" s="447"/>
      <c r="O443" s="447"/>
      <c r="P443" s="447"/>
      <c r="Q443" s="447"/>
      <c r="R443" s="447"/>
      <c r="S443" s="447"/>
      <c r="T443" s="447"/>
      <c r="U443" s="447"/>
      <c r="V443" s="447"/>
      <c r="W443" s="447"/>
      <c r="X443" s="447"/>
      <c r="Y443" s="447"/>
      <c r="Z443" s="447"/>
      <c r="AA443" s="447"/>
    </row>
    <row r="444" spans="1:27">
      <c r="A444" s="465"/>
      <c r="B444" s="466"/>
      <c r="C444" s="465"/>
      <c r="D444" s="467"/>
      <c r="E444" s="447"/>
      <c r="F444" s="447"/>
      <c r="G444" s="447"/>
      <c r="H444" s="447"/>
      <c r="I444" s="447"/>
      <c r="J444" s="447"/>
      <c r="K444" s="447"/>
      <c r="L444" s="447"/>
      <c r="M444" s="447"/>
      <c r="N444" s="447"/>
      <c r="O444" s="447"/>
      <c r="P444" s="447"/>
      <c r="Q444" s="447"/>
      <c r="R444" s="447"/>
      <c r="S444" s="447"/>
      <c r="T444" s="447"/>
      <c r="U444" s="447"/>
      <c r="V444" s="447"/>
      <c r="W444" s="447"/>
      <c r="X444" s="447"/>
      <c r="Y444" s="447"/>
      <c r="Z444" s="447"/>
      <c r="AA444" s="447"/>
    </row>
    <row r="445" spans="1:27">
      <c r="A445" s="465"/>
      <c r="B445" s="466"/>
      <c r="C445" s="465"/>
      <c r="D445" s="467"/>
      <c r="E445" s="447"/>
      <c r="F445" s="447"/>
      <c r="G445" s="447"/>
      <c r="H445" s="447"/>
      <c r="I445" s="447"/>
      <c r="J445" s="447"/>
      <c r="K445" s="447"/>
      <c r="L445" s="447"/>
      <c r="M445" s="447"/>
      <c r="N445" s="447"/>
      <c r="O445" s="447"/>
      <c r="P445" s="447"/>
      <c r="Q445" s="447"/>
      <c r="R445" s="447"/>
      <c r="S445" s="447"/>
      <c r="T445" s="447"/>
      <c r="U445" s="447"/>
      <c r="V445" s="447"/>
      <c r="W445" s="447"/>
      <c r="X445" s="447"/>
      <c r="Y445" s="447"/>
      <c r="Z445" s="447"/>
      <c r="AA445" s="447"/>
    </row>
    <row r="446" spans="1:27">
      <c r="A446" s="465"/>
      <c r="B446" s="466"/>
      <c r="C446" s="465"/>
      <c r="D446" s="467"/>
      <c r="E446" s="447"/>
      <c r="F446" s="447"/>
      <c r="G446" s="447"/>
      <c r="H446" s="447"/>
      <c r="I446" s="447"/>
      <c r="J446" s="447"/>
      <c r="K446" s="447"/>
      <c r="L446" s="447"/>
      <c r="M446" s="447"/>
      <c r="N446" s="447"/>
      <c r="O446" s="447"/>
      <c r="P446" s="447"/>
      <c r="Q446" s="447"/>
      <c r="R446" s="447"/>
      <c r="S446" s="447"/>
      <c r="T446" s="447"/>
      <c r="U446" s="447"/>
      <c r="V446" s="447"/>
      <c r="W446" s="447"/>
      <c r="X446" s="447"/>
      <c r="Y446" s="447"/>
      <c r="Z446" s="447"/>
      <c r="AA446" s="447"/>
    </row>
    <row r="447" spans="1:27">
      <c r="A447" s="465"/>
      <c r="B447" s="466"/>
      <c r="C447" s="465"/>
      <c r="D447" s="467"/>
      <c r="E447" s="447"/>
      <c r="F447" s="447"/>
      <c r="G447" s="447"/>
      <c r="H447" s="447"/>
      <c r="I447" s="447"/>
      <c r="J447" s="447"/>
      <c r="K447" s="447"/>
      <c r="L447" s="447"/>
      <c r="M447" s="447"/>
      <c r="N447" s="447"/>
      <c r="O447" s="447"/>
      <c r="P447" s="447"/>
      <c r="Q447" s="447"/>
      <c r="R447" s="447"/>
      <c r="S447" s="447"/>
      <c r="T447" s="447"/>
      <c r="U447" s="447"/>
      <c r="V447" s="447"/>
      <c r="W447" s="447"/>
      <c r="X447" s="447"/>
      <c r="Y447" s="447"/>
      <c r="Z447" s="447"/>
      <c r="AA447" s="447"/>
    </row>
    <row r="448" spans="1:27">
      <c r="A448" s="465"/>
      <c r="B448" s="466"/>
      <c r="C448" s="465"/>
      <c r="D448" s="467"/>
      <c r="E448" s="447"/>
      <c r="F448" s="447"/>
      <c r="G448" s="447"/>
      <c r="H448" s="447"/>
      <c r="I448" s="447"/>
      <c r="J448" s="447"/>
      <c r="K448" s="447"/>
      <c r="L448" s="447"/>
      <c r="M448" s="447"/>
      <c r="N448" s="447"/>
      <c r="O448" s="447"/>
      <c r="P448" s="447"/>
      <c r="Q448" s="447"/>
      <c r="R448" s="447"/>
      <c r="S448" s="447"/>
      <c r="T448" s="447"/>
      <c r="U448" s="447"/>
      <c r="V448" s="447"/>
      <c r="W448" s="447"/>
      <c r="X448" s="447"/>
      <c r="Y448" s="447"/>
      <c r="Z448" s="447"/>
      <c r="AA448" s="447"/>
    </row>
    <row r="449" spans="1:27">
      <c r="A449" s="465"/>
      <c r="B449" s="466"/>
      <c r="C449" s="465"/>
      <c r="D449" s="467"/>
      <c r="E449" s="447"/>
      <c r="F449" s="447"/>
      <c r="G449" s="447"/>
      <c r="H449" s="447"/>
      <c r="I449" s="447"/>
      <c r="J449" s="447"/>
      <c r="K449" s="447"/>
      <c r="L449" s="447"/>
      <c r="M449" s="447"/>
      <c r="N449" s="447"/>
      <c r="O449" s="447"/>
      <c r="P449" s="447"/>
      <c r="Q449" s="447"/>
      <c r="R449" s="447"/>
      <c r="S449" s="447"/>
      <c r="T449" s="447"/>
      <c r="U449" s="447"/>
      <c r="V449" s="447"/>
      <c r="W449" s="447"/>
      <c r="X449" s="447"/>
      <c r="Y449" s="447"/>
      <c r="Z449" s="447"/>
      <c r="AA449" s="447"/>
    </row>
    <row r="450" spans="1:27">
      <c r="A450" s="465"/>
      <c r="B450" s="466"/>
      <c r="C450" s="465"/>
      <c r="D450" s="467"/>
      <c r="E450" s="447"/>
      <c r="F450" s="447"/>
      <c r="G450" s="447"/>
      <c r="H450" s="447"/>
      <c r="I450" s="447"/>
      <c r="J450" s="447"/>
      <c r="K450" s="447"/>
      <c r="L450" s="447"/>
      <c r="M450" s="447"/>
      <c r="N450" s="447"/>
      <c r="O450" s="447"/>
      <c r="P450" s="447"/>
      <c r="Q450" s="447"/>
      <c r="R450" s="447"/>
      <c r="S450" s="447"/>
      <c r="T450" s="447"/>
      <c r="U450" s="447"/>
      <c r="V450" s="447"/>
      <c r="W450" s="447"/>
      <c r="X450" s="447"/>
      <c r="Y450" s="447"/>
      <c r="Z450" s="447"/>
      <c r="AA450" s="447"/>
    </row>
    <row r="451" spans="1:27">
      <c r="A451" s="465"/>
      <c r="B451" s="466"/>
      <c r="C451" s="465"/>
      <c r="D451" s="467"/>
      <c r="E451" s="447"/>
      <c r="F451" s="447"/>
      <c r="G451" s="447"/>
      <c r="H451" s="447"/>
      <c r="I451" s="447"/>
      <c r="J451" s="447"/>
      <c r="K451" s="447"/>
      <c r="L451" s="447"/>
      <c r="M451" s="447"/>
      <c r="N451" s="447"/>
      <c r="O451" s="447"/>
      <c r="P451" s="447"/>
      <c r="Q451" s="447"/>
      <c r="R451" s="447"/>
      <c r="S451" s="447"/>
      <c r="T451" s="447"/>
      <c r="U451" s="447"/>
      <c r="V451" s="447"/>
      <c r="W451" s="447"/>
      <c r="X451" s="447"/>
      <c r="Y451" s="447"/>
      <c r="Z451" s="447"/>
      <c r="AA451" s="447"/>
    </row>
    <row r="452" spans="1:27">
      <c r="A452" s="465"/>
      <c r="B452" s="466"/>
      <c r="C452" s="465"/>
      <c r="D452" s="467"/>
      <c r="E452" s="447"/>
      <c r="F452" s="447"/>
      <c r="G452" s="447"/>
      <c r="H452" s="447"/>
      <c r="I452" s="447"/>
      <c r="J452" s="447"/>
      <c r="K452" s="447"/>
      <c r="L452" s="447"/>
      <c r="M452" s="447"/>
      <c r="N452" s="447"/>
      <c r="O452" s="447"/>
      <c r="P452" s="447"/>
      <c r="Q452" s="447"/>
      <c r="R452" s="447"/>
      <c r="S452" s="447"/>
      <c r="T452" s="447"/>
      <c r="U452" s="447"/>
      <c r="V452" s="447"/>
      <c r="W452" s="447"/>
      <c r="X452" s="447"/>
      <c r="Y452" s="447"/>
      <c r="Z452" s="447"/>
      <c r="AA452" s="447"/>
    </row>
    <row r="453" spans="1:27">
      <c r="A453" s="465"/>
      <c r="B453" s="466"/>
      <c r="C453" s="465"/>
      <c r="D453" s="467"/>
      <c r="E453" s="447"/>
      <c r="F453" s="447"/>
      <c r="G453" s="447"/>
      <c r="H453" s="447"/>
      <c r="I453" s="447"/>
      <c r="J453" s="447"/>
      <c r="K453" s="447"/>
      <c r="L453" s="447"/>
      <c r="M453" s="447"/>
      <c r="N453" s="447"/>
      <c r="O453" s="447"/>
      <c r="P453" s="447"/>
      <c r="Q453" s="447"/>
      <c r="R453" s="447"/>
      <c r="S453" s="447"/>
      <c r="T453" s="447"/>
      <c r="U453" s="447"/>
      <c r="V453" s="447"/>
      <c r="W453" s="447"/>
      <c r="X453" s="447"/>
      <c r="Y453" s="447"/>
      <c r="Z453" s="447"/>
      <c r="AA453" s="447"/>
    </row>
    <row r="454" spans="1:27">
      <c r="A454" s="465"/>
      <c r="B454" s="466"/>
      <c r="C454" s="465"/>
      <c r="D454" s="467"/>
      <c r="E454" s="447"/>
      <c r="F454" s="447"/>
      <c r="G454" s="447"/>
      <c r="H454" s="447"/>
      <c r="I454" s="447"/>
      <c r="J454" s="447"/>
      <c r="K454" s="447"/>
      <c r="L454" s="447"/>
      <c r="M454" s="447"/>
      <c r="N454" s="447"/>
      <c r="O454" s="447"/>
      <c r="P454" s="447"/>
      <c r="Q454" s="447"/>
      <c r="R454" s="447"/>
      <c r="S454" s="447"/>
      <c r="T454" s="447"/>
      <c r="U454" s="447"/>
      <c r="V454" s="447"/>
      <c r="W454" s="447"/>
      <c r="X454" s="447"/>
      <c r="Y454" s="447"/>
      <c r="Z454" s="447"/>
      <c r="AA454" s="447"/>
    </row>
    <row r="455" spans="1:27">
      <c r="A455" s="465"/>
      <c r="B455" s="466"/>
      <c r="C455" s="465"/>
      <c r="D455" s="467"/>
      <c r="E455" s="447"/>
      <c r="F455" s="447"/>
      <c r="G455" s="447"/>
      <c r="H455" s="447"/>
      <c r="I455" s="447"/>
      <c r="J455" s="447"/>
      <c r="K455" s="447"/>
      <c r="L455" s="447"/>
      <c r="M455" s="447"/>
      <c r="N455" s="447"/>
      <c r="O455" s="447"/>
      <c r="P455" s="447"/>
      <c r="Q455" s="447"/>
      <c r="R455" s="447"/>
      <c r="S455" s="447"/>
      <c r="T455" s="447"/>
      <c r="U455" s="447"/>
      <c r="V455" s="447"/>
      <c r="W455" s="447"/>
      <c r="X455" s="447"/>
      <c r="Y455" s="447"/>
      <c r="Z455" s="447"/>
      <c r="AA455" s="447"/>
    </row>
    <row r="456" spans="1:27">
      <c r="A456" s="465"/>
      <c r="B456" s="466"/>
      <c r="C456" s="465"/>
      <c r="D456" s="467"/>
      <c r="E456" s="447"/>
      <c r="F456" s="447"/>
      <c r="G456" s="447"/>
      <c r="H456" s="447"/>
      <c r="I456" s="447"/>
      <c r="J456" s="447"/>
      <c r="K456" s="447"/>
      <c r="L456" s="447"/>
      <c r="M456" s="447"/>
      <c r="N456" s="447"/>
      <c r="O456" s="447"/>
      <c r="P456" s="447"/>
      <c r="Q456" s="447"/>
      <c r="R456" s="447"/>
      <c r="S456" s="447"/>
      <c r="T456" s="447"/>
      <c r="U456" s="447"/>
      <c r="V456" s="447"/>
      <c r="W456" s="447"/>
      <c r="X456" s="447"/>
      <c r="Y456" s="447"/>
      <c r="Z456" s="447"/>
      <c r="AA456" s="447"/>
    </row>
    <row r="457" spans="1:27">
      <c r="A457" s="465"/>
      <c r="B457" s="466"/>
      <c r="C457" s="465"/>
      <c r="D457" s="467"/>
      <c r="E457" s="447"/>
      <c r="F457" s="447"/>
      <c r="G457" s="447"/>
      <c r="H457" s="447"/>
      <c r="I457" s="447"/>
      <c r="J457" s="447"/>
      <c r="K457" s="447"/>
      <c r="L457" s="447"/>
      <c r="M457" s="447"/>
      <c r="N457" s="447"/>
      <c r="O457" s="447"/>
      <c r="P457" s="447"/>
      <c r="Q457" s="447"/>
      <c r="R457" s="447"/>
      <c r="S457" s="447"/>
      <c r="T457" s="447"/>
      <c r="U457" s="447"/>
      <c r="V457" s="447"/>
      <c r="W457" s="447"/>
      <c r="X457" s="447"/>
      <c r="Y457" s="447"/>
      <c r="Z457" s="447"/>
      <c r="AA457" s="447"/>
    </row>
    <row r="458" spans="1:27">
      <c r="A458" s="465"/>
      <c r="B458" s="466"/>
      <c r="C458" s="465"/>
      <c r="D458" s="467"/>
      <c r="E458" s="447"/>
      <c r="F458" s="447"/>
      <c r="G458" s="447"/>
      <c r="H458" s="447"/>
      <c r="I458" s="447"/>
      <c r="J458" s="447"/>
      <c r="K458" s="447"/>
      <c r="L458" s="447"/>
      <c r="M458" s="447"/>
      <c r="N458" s="447"/>
      <c r="O458" s="447"/>
      <c r="P458" s="447"/>
      <c r="Q458" s="447"/>
      <c r="R458" s="447"/>
      <c r="S458" s="447"/>
      <c r="T458" s="447"/>
      <c r="U458" s="447"/>
      <c r="V458" s="447"/>
      <c r="W458" s="447"/>
      <c r="X458" s="447"/>
      <c r="Y458" s="447"/>
      <c r="Z458" s="447"/>
      <c r="AA458" s="447"/>
    </row>
    <row r="459" spans="1:27">
      <c r="A459" s="465"/>
      <c r="B459" s="466"/>
      <c r="C459" s="465"/>
      <c r="D459" s="467"/>
      <c r="E459" s="447"/>
      <c r="F459" s="447"/>
      <c r="G459" s="447"/>
      <c r="H459" s="447"/>
      <c r="I459" s="447"/>
      <c r="J459" s="447"/>
      <c r="K459" s="447"/>
      <c r="L459" s="447"/>
      <c r="M459" s="447"/>
      <c r="N459" s="447"/>
      <c r="O459" s="447"/>
      <c r="P459" s="447"/>
      <c r="Q459" s="447"/>
      <c r="R459" s="447"/>
      <c r="S459" s="447"/>
      <c r="T459" s="447"/>
      <c r="U459" s="447"/>
      <c r="V459" s="447"/>
      <c r="W459" s="447"/>
      <c r="X459" s="447"/>
      <c r="Y459" s="447"/>
      <c r="Z459" s="447"/>
      <c r="AA459" s="447"/>
    </row>
    <row r="460" spans="1:27">
      <c r="A460" s="465"/>
      <c r="B460" s="466"/>
      <c r="C460" s="465"/>
      <c r="D460" s="467"/>
      <c r="E460" s="447"/>
      <c r="F460" s="447"/>
      <c r="G460" s="447"/>
      <c r="H460" s="447"/>
      <c r="I460" s="447"/>
      <c r="J460" s="447"/>
      <c r="K460" s="447"/>
      <c r="L460" s="447"/>
      <c r="M460" s="447"/>
      <c r="N460" s="447"/>
      <c r="O460" s="447"/>
      <c r="P460" s="447"/>
      <c r="Q460" s="447"/>
      <c r="R460" s="447"/>
      <c r="S460" s="447"/>
      <c r="T460" s="447"/>
      <c r="U460" s="447"/>
      <c r="V460" s="447"/>
      <c r="W460" s="447"/>
      <c r="X460" s="447"/>
      <c r="Y460" s="447"/>
      <c r="Z460" s="447"/>
      <c r="AA460" s="447"/>
    </row>
    <row r="461" spans="1:27">
      <c r="A461" s="465"/>
      <c r="B461" s="466"/>
      <c r="C461" s="465"/>
      <c r="D461" s="467"/>
      <c r="E461" s="447"/>
      <c r="F461" s="447"/>
      <c r="G461" s="447"/>
      <c r="H461" s="447"/>
      <c r="I461" s="447"/>
      <c r="J461" s="447"/>
      <c r="K461" s="447"/>
      <c r="L461" s="447"/>
      <c r="M461" s="447"/>
      <c r="N461" s="447"/>
      <c r="O461" s="447"/>
      <c r="P461" s="447"/>
      <c r="Q461" s="447"/>
      <c r="R461" s="447"/>
      <c r="S461" s="447"/>
      <c r="T461" s="447"/>
      <c r="U461" s="447"/>
      <c r="V461" s="447"/>
      <c r="W461" s="447"/>
      <c r="X461" s="447"/>
      <c r="Y461" s="447"/>
      <c r="Z461" s="447"/>
      <c r="AA461" s="447"/>
    </row>
    <row r="462" spans="1:27">
      <c r="A462" s="465"/>
      <c r="B462" s="466"/>
      <c r="C462" s="465"/>
      <c r="D462" s="467"/>
      <c r="E462" s="447"/>
      <c r="F462" s="447"/>
      <c r="G462" s="447"/>
      <c r="H462" s="447"/>
      <c r="I462" s="447"/>
      <c r="J462" s="447"/>
      <c r="K462" s="447"/>
      <c r="L462" s="447"/>
      <c r="M462" s="447"/>
      <c r="N462" s="447"/>
      <c r="O462" s="447"/>
      <c r="P462" s="447"/>
      <c r="Q462" s="447"/>
      <c r="R462" s="447"/>
      <c r="S462" s="447"/>
      <c r="T462" s="447"/>
      <c r="U462" s="447"/>
      <c r="V462" s="447"/>
      <c r="W462" s="447"/>
      <c r="X462" s="447"/>
      <c r="Y462" s="447"/>
      <c r="Z462" s="447"/>
      <c r="AA462" s="447"/>
    </row>
    <row r="463" spans="1:27">
      <c r="A463" s="465"/>
      <c r="B463" s="466"/>
      <c r="C463" s="465"/>
      <c r="D463" s="467"/>
      <c r="E463" s="447"/>
      <c r="F463" s="447"/>
      <c r="G463" s="447"/>
      <c r="H463" s="447"/>
      <c r="I463" s="447"/>
      <c r="J463" s="447"/>
      <c r="K463" s="447"/>
      <c r="L463" s="447"/>
      <c r="M463" s="447"/>
      <c r="N463" s="447"/>
      <c r="O463" s="447"/>
      <c r="P463" s="447"/>
      <c r="Q463" s="447"/>
      <c r="R463" s="447"/>
      <c r="S463" s="447"/>
      <c r="T463" s="447"/>
      <c r="U463" s="447"/>
      <c r="V463" s="447"/>
      <c r="W463" s="447"/>
      <c r="X463" s="447"/>
      <c r="Y463" s="447"/>
      <c r="Z463" s="447"/>
      <c r="AA463" s="447"/>
    </row>
    <row r="464" spans="1:27">
      <c r="A464" s="465"/>
      <c r="B464" s="466"/>
      <c r="C464" s="465"/>
      <c r="D464" s="467"/>
      <c r="E464" s="447"/>
      <c r="F464" s="447"/>
      <c r="G464" s="447"/>
      <c r="H464" s="447"/>
      <c r="I464" s="447"/>
      <c r="J464" s="447"/>
      <c r="K464" s="447"/>
      <c r="L464" s="447"/>
      <c r="M464" s="447"/>
      <c r="N464" s="447"/>
      <c r="O464" s="447"/>
      <c r="P464" s="447"/>
      <c r="Q464" s="447"/>
      <c r="R464" s="447"/>
      <c r="S464" s="447"/>
      <c r="T464" s="447"/>
      <c r="U464" s="447"/>
      <c r="V464" s="447"/>
      <c r="W464" s="447"/>
      <c r="X464" s="447"/>
      <c r="Y464" s="447"/>
      <c r="Z464" s="447"/>
      <c r="AA464" s="447"/>
    </row>
    <row r="465" spans="1:27">
      <c r="A465" s="465"/>
      <c r="B465" s="466"/>
      <c r="C465" s="465"/>
      <c r="D465" s="467"/>
      <c r="E465" s="447"/>
      <c r="F465" s="447"/>
      <c r="G465" s="447"/>
      <c r="H465" s="447"/>
      <c r="I465" s="447"/>
      <c r="J465" s="447"/>
      <c r="K465" s="447"/>
      <c r="L465" s="447"/>
      <c r="M465" s="447"/>
      <c r="N465" s="447"/>
      <c r="O465" s="447"/>
      <c r="P465" s="447"/>
      <c r="Q465" s="447"/>
      <c r="R465" s="447"/>
      <c r="S465" s="447"/>
      <c r="T465" s="447"/>
      <c r="U465" s="447"/>
      <c r="V465" s="447"/>
      <c r="W465" s="447"/>
      <c r="X465" s="447"/>
      <c r="Y465" s="447"/>
      <c r="Z465" s="447"/>
      <c r="AA465" s="447"/>
    </row>
    <row r="466" spans="1:27">
      <c r="A466" s="465"/>
      <c r="B466" s="466"/>
      <c r="C466" s="465"/>
      <c r="D466" s="467"/>
      <c r="E466" s="447"/>
      <c r="F466" s="447"/>
      <c r="G466" s="447"/>
      <c r="H466" s="447"/>
      <c r="I466" s="447"/>
      <c r="J466" s="447"/>
      <c r="K466" s="447"/>
      <c r="L466" s="447"/>
      <c r="M466" s="447"/>
      <c r="N466" s="447"/>
      <c r="O466" s="447"/>
      <c r="P466" s="447"/>
      <c r="Q466" s="447"/>
      <c r="R466" s="447"/>
      <c r="S466" s="447"/>
      <c r="T466" s="447"/>
      <c r="U466" s="447"/>
      <c r="V466" s="447"/>
      <c r="W466" s="447"/>
      <c r="X466" s="447"/>
      <c r="Y466" s="447"/>
      <c r="Z466" s="447"/>
      <c r="AA466" s="447"/>
    </row>
    <row r="467" spans="1:27">
      <c r="A467" s="465"/>
      <c r="B467" s="466"/>
      <c r="C467" s="465"/>
      <c r="D467" s="467"/>
      <c r="E467" s="447"/>
      <c r="F467" s="447"/>
      <c r="G467" s="447"/>
      <c r="H467" s="447"/>
      <c r="I467" s="447"/>
      <c r="J467" s="447"/>
      <c r="K467" s="447"/>
      <c r="L467" s="447"/>
      <c r="M467" s="447"/>
      <c r="N467" s="447"/>
      <c r="O467" s="447"/>
      <c r="P467" s="447"/>
      <c r="Q467" s="447"/>
      <c r="R467" s="447"/>
      <c r="S467" s="447"/>
      <c r="T467" s="447"/>
      <c r="U467" s="447"/>
      <c r="V467" s="447"/>
      <c r="W467" s="447"/>
      <c r="X467" s="447"/>
      <c r="Y467" s="447"/>
      <c r="Z467" s="447"/>
      <c r="AA467" s="447"/>
    </row>
    <row r="468" spans="1:27">
      <c r="A468" s="465"/>
      <c r="B468" s="466"/>
      <c r="C468" s="465"/>
      <c r="D468" s="467"/>
      <c r="E468" s="447"/>
      <c r="F468" s="447"/>
      <c r="G468" s="447"/>
      <c r="H468" s="447"/>
      <c r="I468" s="447"/>
      <c r="J468" s="447"/>
      <c r="K468" s="447"/>
      <c r="L468" s="447"/>
      <c r="M468" s="447"/>
      <c r="N468" s="447"/>
      <c r="O468" s="447"/>
      <c r="P468" s="447"/>
      <c r="Q468" s="447"/>
      <c r="R468" s="447"/>
      <c r="S468" s="447"/>
      <c r="T468" s="447"/>
      <c r="U468" s="447"/>
      <c r="V468" s="447"/>
      <c r="W468" s="447"/>
      <c r="X468" s="447"/>
      <c r="Y468" s="447"/>
      <c r="Z468" s="447"/>
      <c r="AA468" s="447"/>
    </row>
    <row r="469" spans="1:27">
      <c r="A469" s="465"/>
      <c r="B469" s="466"/>
      <c r="C469" s="465"/>
      <c r="D469" s="467"/>
      <c r="E469" s="447"/>
      <c r="F469" s="447"/>
      <c r="G469" s="447"/>
      <c r="H469" s="447"/>
      <c r="I469" s="447"/>
      <c r="J469" s="447"/>
      <c r="K469" s="447"/>
      <c r="L469" s="447"/>
      <c r="M469" s="447"/>
      <c r="N469" s="447"/>
      <c r="O469" s="447"/>
      <c r="P469" s="447"/>
      <c r="Q469" s="447"/>
      <c r="R469" s="447"/>
      <c r="S469" s="447"/>
      <c r="T469" s="447"/>
      <c r="U469" s="447"/>
      <c r="V469" s="447"/>
      <c r="W469" s="447"/>
      <c r="X469" s="447"/>
      <c r="Y469" s="447"/>
      <c r="Z469" s="447"/>
      <c r="AA469" s="447"/>
    </row>
    <row r="470" spans="1:27">
      <c r="A470" s="465"/>
      <c r="B470" s="466"/>
      <c r="C470" s="465"/>
      <c r="D470" s="467"/>
      <c r="E470" s="447"/>
      <c r="F470" s="447"/>
      <c r="G470" s="447"/>
      <c r="H470" s="447"/>
      <c r="I470" s="447"/>
      <c r="J470" s="447"/>
      <c r="K470" s="447"/>
      <c r="L470" s="447"/>
      <c r="M470" s="447"/>
      <c r="N470" s="447"/>
      <c r="O470" s="447"/>
      <c r="P470" s="447"/>
      <c r="Q470" s="447"/>
      <c r="R470" s="447"/>
      <c r="S470" s="447"/>
      <c r="T470" s="447"/>
      <c r="U470" s="447"/>
      <c r="V470" s="447"/>
      <c r="W470" s="447"/>
      <c r="X470" s="447"/>
      <c r="Y470" s="447"/>
      <c r="Z470" s="447"/>
      <c r="AA470" s="447"/>
    </row>
    <row r="471" spans="1:27">
      <c r="A471" s="465"/>
      <c r="B471" s="466"/>
      <c r="C471" s="465"/>
      <c r="D471" s="467"/>
      <c r="E471" s="447"/>
      <c r="F471" s="447"/>
      <c r="G471" s="447"/>
      <c r="H471" s="447"/>
      <c r="I471" s="447"/>
      <c r="J471" s="447"/>
      <c r="K471" s="447"/>
      <c r="L471" s="447"/>
      <c r="M471" s="447"/>
      <c r="N471" s="447"/>
      <c r="O471" s="447"/>
      <c r="P471" s="447"/>
      <c r="Q471" s="447"/>
      <c r="R471" s="447"/>
      <c r="S471" s="447"/>
      <c r="T471" s="447"/>
      <c r="U471" s="447"/>
      <c r="V471" s="447"/>
      <c r="W471" s="447"/>
      <c r="X471" s="447"/>
      <c r="Y471" s="447"/>
      <c r="Z471" s="447"/>
      <c r="AA471" s="447"/>
    </row>
    <row r="472" spans="1:27">
      <c r="A472" s="465"/>
      <c r="B472" s="466"/>
      <c r="C472" s="465"/>
      <c r="D472" s="467"/>
      <c r="E472" s="447"/>
      <c r="F472" s="447"/>
      <c r="G472" s="447"/>
      <c r="H472" s="447"/>
      <c r="I472" s="447"/>
      <c r="J472" s="447"/>
      <c r="K472" s="447"/>
      <c r="L472" s="447"/>
      <c r="M472" s="447"/>
      <c r="N472" s="447"/>
      <c r="O472" s="447"/>
      <c r="P472" s="447"/>
      <c r="Q472" s="447"/>
      <c r="R472" s="447"/>
      <c r="S472" s="447"/>
      <c r="T472" s="447"/>
      <c r="U472" s="447"/>
      <c r="V472" s="447"/>
      <c r="W472" s="447"/>
      <c r="X472" s="447"/>
      <c r="Y472" s="447"/>
      <c r="Z472" s="447"/>
      <c r="AA472" s="447"/>
    </row>
    <row r="473" spans="1:27">
      <c r="A473" s="465"/>
      <c r="B473" s="466"/>
      <c r="C473" s="465"/>
      <c r="D473" s="467"/>
      <c r="E473" s="447"/>
      <c r="F473" s="447"/>
      <c r="G473" s="447"/>
      <c r="H473" s="447"/>
      <c r="I473" s="447"/>
      <c r="J473" s="447"/>
      <c r="K473" s="447"/>
      <c r="L473" s="447"/>
      <c r="M473" s="447"/>
      <c r="N473" s="447"/>
      <c r="O473" s="447"/>
      <c r="P473" s="447"/>
      <c r="Q473" s="447"/>
      <c r="R473" s="447"/>
      <c r="S473" s="447"/>
      <c r="T473" s="447"/>
      <c r="U473" s="447"/>
      <c r="V473" s="447"/>
      <c r="W473" s="447"/>
      <c r="X473" s="447"/>
      <c r="Y473" s="447"/>
      <c r="Z473" s="447"/>
      <c r="AA473" s="447"/>
    </row>
    <row r="474" spans="1:27">
      <c r="A474" s="465"/>
      <c r="B474" s="466"/>
      <c r="C474" s="465"/>
      <c r="D474" s="467"/>
      <c r="E474" s="447"/>
      <c r="F474" s="447"/>
      <c r="G474" s="447"/>
      <c r="H474" s="447"/>
      <c r="I474" s="447"/>
      <c r="J474" s="447"/>
      <c r="K474" s="447"/>
      <c r="L474" s="447"/>
      <c r="M474" s="447"/>
      <c r="N474" s="447"/>
      <c r="O474" s="447"/>
      <c r="P474" s="447"/>
      <c r="Q474" s="447"/>
      <c r="R474" s="447"/>
      <c r="S474" s="447"/>
      <c r="T474" s="447"/>
      <c r="U474" s="447"/>
      <c r="V474" s="447"/>
      <c r="W474" s="447"/>
      <c r="X474" s="447"/>
      <c r="Y474" s="447"/>
      <c r="Z474" s="447"/>
      <c r="AA474" s="447"/>
    </row>
    <row r="475" spans="1:27">
      <c r="A475" s="465"/>
      <c r="B475" s="466"/>
      <c r="C475" s="465"/>
      <c r="D475" s="467"/>
      <c r="E475" s="447"/>
      <c r="F475" s="447"/>
      <c r="G475" s="447"/>
      <c r="H475" s="447"/>
      <c r="I475" s="447"/>
      <c r="J475" s="447"/>
      <c r="K475" s="447"/>
      <c r="L475" s="447"/>
      <c r="M475" s="447"/>
      <c r="N475" s="447"/>
      <c r="O475" s="447"/>
      <c r="P475" s="447"/>
      <c r="Q475" s="447"/>
      <c r="R475" s="447"/>
      <c r="S475" s="447"/>
      <c r="T475" s="447"/>
      <c r="U475" s="447"/>
      <c r="V475" s="447"/>
      <c r="W475" s="447"/>
      <c r="X475" s="447"/>
      <c r="Y475" s="447"/>
      <c r="Z475" s="447"/>
      <c r="AA475" s="447"/>
    </row>
    <row r="476" spans="1:27">
      <c r="A476" s="465"/>
      <c r="B476" s="466"/>
      <c r="C476" s="465"/>
      <c r="D476" s="467"/>
      <c r="E476" s="447"/>
      <c r="F476" s="447"/>
      <c r="G476" s="447"/>
      <c r="H476" s="447"/>
      <c r="I476" s="447"/>
      <c r="J476" s="447"/>
      <c r="K476" s="447"/>
      <c r="L476" s="447"/>
      <c r="M476" s="447"/>
      <c r="N476" s="447"/>
      <c r="O476" s="447"/>
      <c r="P476" s="447"/>
      <c r="Q476" s="447"/>
      <c r="R476" s="447"/>
      <c r="S476" s="447"/>
      <c r="T476" s="447"/>
      <c r="U476" s="447"/>
      <c r="V476" s="447"/>
      <c r="W476" s="447"/>
      <c r="X476" s="447"/>
      <c r="Y476" s="447"/>
      <c r="Z476" s="447"/>
      <c r="AA476" s="447"/>
    </row>
    <row r="477" spans="1:27">
      <c r="A477" s="465"/>
      <c r="B477" s="466"/>
      <c r="C477" s="465"/>
      <c r="D477" s="467"/>
      <c r="E477" s="447"/>
      <c r="F477" s="447"/>
      <c r="G477" s="447"/>
      <c r="H477" s="447"/>
      <c r="I477" s="447"/>
      <c r="J477" s="447"/>
      <c r="K477" s="447"/>
      <c r="L477" s="447"/>
      <c r="M477" s="447"/>
      <c r="N477" s="447"/>
      <c r="O477" s="447"/>
      <c r="P477" s="447"/>
      <c r="Q477" s="447"/>
      <c r="R477" s="447"/>
      <c r="S477" s="447"/>
      <c r="T477" s="447"/>
      <c r="U477" s="447"/>
      <c r="V477" s="447"/>
      <c r="W477" s="447"/>
      <c r="X477" s="447"/>
      <c r="Y477" s="447"/>
      <c r="Z477" s="447"/>
      <c r="AA477" s="447"/>
    </row>
    <row r="478" spans="1:27">
      <c r="A478" s="465"/>
      <c r="B478" s="466"/>
      <c r="C478" s="465"/>
      <c r="D478" s="467"/>
      <c r="E478" s="447"/>
      <c r="F478" s="447"/>
      <c r="G478" s="447"/>
      <c r="H478" s="447"/>
      <c r="I478" s="447"/>
      <c r="J478" s="447"/>
      <c r="K478" s="447"/>
      <c r="L478" s="447"/>
      <c r="M478" s="447"/>
      <c r="N478" s="447"/>
      <c r="O478" s="447"/>
      <c r="P478" s="447"/>
      <c r="Q478" s="447"/>
      <c r="R478" s="447"/>
      <c r="S478" s="447"/>
      <c r="T478" s="447"/>
      <c r="U478" s="447"/>
      <c r="V478" s="447"/>
      <c r="W478" s="447"/>
      <c r="X478" s="447"/>
      <c r="Y478" s="447"/>
      <c r="Z478" s="447"/>
      <c r="AA478" s="447"/>
    </row>
    <row r="479" spans="1:27">
      <c r="A479" s="465"/>
      <c r="B479" s="466"/>
      <c r="C479" s="465"/>
      <c r="D479" s="467"/>
      <c r="E479" s="447"/>
      <c r="F479" s="447"/>
      <c r="G479" s="447"/>
      <c r="H479" s="447"/>
      <c r="I479" s="447"/>
      <c r="J479" s="447"/>
      <c r="K479" s="447"/>
      <c r="L479" s="447"/>
      <c r="M479" s="447"/>
      <c r="N479" s="447"/>
      <c r="O479" s="447"/>
      <c r="P479" s="447"/>
      <c r="Q479" s="447"/>
      <c r="R479" s="447"/>
      <c r="S479" s="447"/>
      <c r="T479" s="447"/>
      <c r="U479" s="447"/>
      <c r="V479" s="447"/>
      <c r="W479" s="447"/>
      <c r="X479" s="447"/>
      <c r="Y479" s="447"/>
      <c r="Z479" s="447"/>
      <c r="AA479" s="447"/>
    </row>
    <row r="480" spans="1:27">
      <c r="A480" s="465"/>
      <c r="B480" s="466"/>
      <c r="C480" s="465"/>
      <c r="D480" s="467"/>
      <c r="E480" s="447"/>
      <c r="F480" s="447"/>
      <c r="G480" s="447"/>
      <c r="H480" s="447"/>
      <c r="I480" s="447"/>
      <c r="J480" s="447"/>
      <c r="K480" s="447"/>
      <c r="L480" s="447"/>
      <c r="M480" s="447"/>
      <c r="N480" s="447"/>
      <c r="O480" s="447"/>
      <c r="P480" s="447"/>
      <c r="Q480" s="447"/>
      <c r="R480" s="447"/>
      <c r="S480" s="447"/>
      <c r="T480" s="447"/>
      <c r="U480" s="447"/>
      <c r="V480" s="447"/>
      <c r="W480" s="447"/>
      <c r="X480" s="447"/>
      <c r="Y480" s="447"/>
      <c r="Z480" s="447"/>
      <c r="AA480" s="447"/>
    </row>
    <row r="481" spans="1:27">
      <c r="A481" s="465"/>
      <c r="B481" s="466"/>
      <c r="C481" s="465"/>
      <c r="D481" s="467"/>
      <c r="E481" s="447"/>
      <c r="F481" s="447"/>
      <c r="G481" s="447"/>
      <c r="H481" s="447"/>
      <c r="I481" s="447"/>
      <c r="J481" s="447"/>
      <c r="K481" s="447"/>
      <c r="L481" s="447"/>
      <c r="M481" s="447"/>
      <c r="N481" s="447"/>
      <c r="O481" s="447"/>
      <c r="P481" s="447"/>
      <c r="Q481" s="447"/>
      <c r="R481" s="447"/>
      <c r="S481" s="447"/>
      <c r="T481" s="447"/>
      <c r="U481" s="447"/>
      <c r="V481" s="447"/>
      <c r="W481" s="447"/>
      <c r="X481" s="447"/>
      <c r="Y481" s="447"/>
      <c r="Z481" s="447"/>
      <c r="AA481" s="447"/>
    </row>
    <row r="482" spans="1:27">
      <c r="A482" s="465"/>
      <c r="B482" s="466"/>
      <c r="C482" s="465"/>
      <c r="D482" s="467"/>
      <c r="E482" s="447"/>
      <c r="F482" s="447"/>
      <c r="G482" s="447"/>
      <c r="H482" s="447"/>
      <c r="I482" s="447"/>
      <c r="J482" s="447"/>
      <c r="K482" s="447"/>
      <c r="L482" s="447"/>
      <c r="M482" s="447"/>
      <c r="N482" s="447"/>
      <c r="O482" s="447"/>
      <c r="P482" s="447"/>
      <c r="Q482" s="447"/>
      <c r="R482" s="447"/>
      <c r="S482" s="447"/>
      <c r="T482" s="447"/>
      <c r="U482" s="447"/>
      <c r="V482" s="447"/>
      <c r="W482" s="447"/>
      <c r="X482" s="447"/>
      <c r="Y482" s="447"/>
      <c r="Z482" s="447"/>
      <c r="AA482" s="447"/>
    </row>
    <row r="483" spans="1:27">
      <c r="A483" s="465"/>
      <c r="B483" s="466"/>
      <c r="C483" s="465"/>
      <c r="D483" s="467"/>
      <c r="E483" s="447"/>
      <c r="F483" s="447"/>
      <c r="G483" s="447"/>
      <c r="H483" s="447"/>
      <c r="I483" s="447"/>
      <c r="J483" s="447"/>
      <c r="K483" s="447"/>
      <c r="L483" s="447"/>
      <c r="M483" s="447"/>
      <c r="N483" s="447"/>
      <c r="O483" s="447"/>
      <c r="P483" s="447"/>
      <c r="Q483" s="447"/>
      <c r="R483" s="447"/>
      <c r="S483" s="447"/>
      <c r="T483" s="447"/>
      <c r="U483" s="447"/>
      <c r="V483" s="447"/>
      <c r="W483" s="447"/>
      <c r="X483" s="447"/>
      <c r="Y483" s="447"/>
      <c r="Z483" s="447"/>
      <c r="AA483" s="447"/>
    </row>
    <row r="484" spans="1:27">
      <c r="A484" s="465"/>
      <c r="B484" s="466"/>
      <c r="C484" s="465"/>
      <c r="D484" s="467"/>
      <c r="E484" s="447"/>
      <c r="F484" s="447"/>
      <c r="G484" s="447"/>
      <c r="H484" s="447"/>
      <c r="I484" s="447"/>
      <c r="J484" s="447"/>
      <c r="K484" s="447"/>
      <c r="L484" s="447"/>
      <c r="M484" s="447"/>
      <c r="N484" s="447"/>
      <c r="O484" s="447"/>
      <c r="P484" s="447"/>
      <c r="Q484" s="447"/>
      <c r="R484" s="447"/>
      <c r="S484" s="447"/>
      <c r="T484" s="447"/>
      <c r="U484" s="447"/>
      <c r="V484" s="447"/>
      <c r="W484" s="447"/>
      <c r="X484" s="447"/>
      <c r="Y484" s="447"/>
      <c r="Z484" s="447"/>
      <c r="AA484" s="447"/>
    </row>
    <row r="485" spans="1:27">
      <c r="A485" s="465"/>
      <c r="B485" s="466"/>
      <c r="C485" s="465"/>
      <c r="D485" s="467"/>
      <c r="E485" s="447"/>
      <c r="F485" s="447"/>
      <c r="G485" s="447"/>
      <c r="H485" s="447"/>
      <c r="I485" s="447"/>
      <c r="J485" s="447"/>
      <c r="K485" s="447"/>
      <c r="L485" s="447"/>
      <c r="M485" s="447"/>
      <c r="N485" s="447"/>
      <c r="O485" s="447"/>
      <c r="P485" s="447"/>
      <c r="Q485" s="447"/>
      <c r="R485" s="447"/>
      <c r="S485" s="447"/>
      <c r="T485" s="447"/>
      <c r="U485" s="447"/>
      <c r="V485" s="447"/>
      <c r="W485" s="447"/>
      <c r="X485" s="447"/>
      <c r="Y485" s="447"/>
      <c r="Z485" s="447"/>
      <c r="AA485" s="447"/>
    </row>
    <row r="486" spans="1:27">
      <c r="A486" s="465"/>
      <c r="B486" s="466"/>
      <c r="C486" s="465"/>
      <c r="D486" s="467"/>
      <c r="E486" s="447"/>
      <c r="F486" s="447"/>
      <c r="G486" s="447"/>
      <c r="H486" s="447"/>
      <c r="I486" s="447"/>
      <c r="J486" s="447"/>
      <c r="K486" s="447"/>
      <c r="L486" s="447"/>
      <c r="M486" s="447"/>
      <c r="N486" s="447"/>
      <c r="O486" s="447"/>
      <c r="P486" s="447"/>
      <c r="Q486" s="447"/>
      <c r="R486" s="447"/>
      <c r="S486" s="447"/>
      <c r="T486" s="447"/>
      <c r="U486" s="447"/>
      <c r="V486" s="447"/>
      <c r="W486" s="447"/>
      <c r="X486" s="447"/>
      <c r="Y486" s="447"/>
      <c r="Z486" s="447"/>
      <c r="AA486" s="447"/>
    </row>
    <row r="487" spans="1:27">
      <c r="A487" s="465"/>
      <c r="B487" s="466"/>
      <c r="C487" s="465"/>
      <c r="D487" s="467"/>
      <c r="E487" s="447"/>
      <c r="F487" s="447"/>
      <c r="G487" s="447"/>
      <c r="H487" s="447"/>
      <c r="I487" s="447"/>
      <c r="J487" s="447"/>
      <c r="K487" s="447"/>
      <c r="L487" s="447"/>
      <c r="M487" s="447"/>
      <c r="N487" s="447"/>
      <c r="O487" s="447"/>
      <c r="P487" s="447"/>
      <c r="Q487" s="447"/>
      <c r="R487" s="447"/>
      <c r="S487" s="447"/>
      <c r="T487" s="447"/>
      <c r="U487" s="447"/>
      <c r="V487" s="447"/>
      <c r="W487" s="447"/>
      <c r="X487" s="447"/>
      <c r="Y487" s="447"/>
      <c r="Z487" s="447"/>
      <c r="AA487" s="447"/>
    </row>
    <row r="488" spans="1:27">
      <c r="A488" s="465"/>
      <c r="B488" s="466"/>
      <c r="C488" s="465"/>
      <c r="D488" s="467"/>
      <c r="E488" s="447"/>
      <c r="F488" s="447"/>
      <c r="G488" s="447"/>
      <c r="H488" s="447"/>
      <c r="I488" s="447"/>
      <c r="J488" s="447"/>
      <c r="K488" s="447"/>
      <c r="L488" s="447"/>
      <c r="M488" s="447"/>
      <c r="N488" s="447"/>
      <c r="O488" s="447"/>
      <c r="P488" s="447"/>
      <c r="Q488" s="447"/>
      <c r="R488" s="447"/>
      <c r="S488" s="447"/>
      <c r="T488" s="447"/>
      <c r="U488" s="447"/>
      <c r="V488" s="447"/>
      <c r="W488" s="447"/>
      <c r="X488" s="447"/>
      <c r="Y488" s="447"/>
      <c r="Z488" s="447"/>
      <c r="AA488" s="447"/>
    </row>
    <row r="489" spans="1:27">
      <c r="A489" s="465"/>
      <c r="B489" s="466"/>
      <c r="C489" s="465"/>
      <c r="D489" s="467"/>
      <c r="E489" s="447"/>
      <c r="F489" s="447"/>
      <c r="G489" s="447"/>
      <c r="H489" s="447"/>
      <c r="I489" s="447"/>
      <c r="J489" s="447"/>
      <c r="K489" s="447"/>
      <c r="L489" s="447"/>
      <c r="M489" s="447"/>
      <c r="N489" s="447"/>
      <c r="O489" s="447"/>
      <c r="P489" s="447"/>
      <c r="Q489" s="447"/>
      <c r="R489" s="447"/>
      <c r="S489" s="447"/>
      <c r="T489" s="447"/>
      <c r="U489" s="447"/>
      <c r="V489" s="447"/>
      <c r="W489" s="447"/>
      <c r="X489" s="447"/>
      <c r="Y489" s="447"/>
      <c r="Z489" s="447"/>
      <c r="AA489" s="447"/>
    </row>
    <row r="490" spans="1:27">
      <c r="A490" s="465"/>
      <c r="B490" s="466"/>
      <c r="C490" s="465"/>
      <c r="D490" s="467"/>
      <c r="E490" s="447"/>
      <c r="F490" s="447"/>
      <c r="G490" s="447"/>
      <c r="H490" s="447"/>
      <c r="I490" s="447"/>
      <c r="J490" s="447"/>
      <c r="K490" s="447"/>
      <c r="L490" s="447"/>
      <c r="M490" s="447"/>
      <c r="N490" s="447"/>
      <c r="O490" s="447"/>
      <c r="P490" s="447"/>
      <c r="Q490" s="447"/>
      <c r="R490" s="447"/>
      <c r="S490" s="447"/>
      <c r="T490" s="447"/>
      <c r="U490" s="447"/>
      <c r="V490" s="447"/>
      <c r="W490" s="447"/>
      <c r="X490" s="447"/>
      <c r="Y490" s="447"/>
      <c r="Z490" s="447"/>
      <c r="AA490" s="447"/>
    </row>
    <row r="491" spans="1:27">
      <c r="A491" s="465"/>
      <c r="B491" s="466"/>
      <c r="C491" s="465"/>
      <c r="D491" s="467"/>
      <c r="E491" s="447"/>
      <c r="F491" s="447"/>
      <c r="G491" s="447"/>
      <c r="H491" s="447"/>
      <c r="I491" s="447"/>
      <c r="J491" s="447"/>
      <c r="K491" s="447"/>
      <c r="L491" s="447"/>
      <c r="M491" s="447"/>
      <c r="N491" s="447"/>
      <c r="O491" s="447"/>
      <c r="P491" s="447"/>
      <c r="Q491" s="447"/>
      <c r="R491" s="447"/>
      <c r="S491" s="447"/>
      <c r="T491" s="447"/>
      <c r="U491" s="447"/>
      <c r="V491" s="447"/>
      <c r="W491" s="447"/>
      <c r="X491" s="447"/>
      <c r="Y491" s="447"/>
      <c r="Z491" s="447"/>
      <c r="AA491" s="447"/>
    </row>
    <row r="492" spans="1:27">
      <c r="A492" s="465"/>
      <c r="B492" s="466"/>
      <c r="C492" s="465"/>
      <c r="D492" s="467"/>
      <c r="E492" s="447"/>
      <c r="F492" s="447"/>
      <c r="G492" s="447"/>
      <c r="H492" s="447"/>
      <c r="I492" s="447"/>
      <c r="J492" s="447"/>
      <c r="K492" s="447"/>
      <c r="L492" s="447"/>
      <c r="M492" s="447"/>
      <c r="N492" s="447"/>
      <c r="O492" s="447"/>
      <c r="P492" s="447"/>
      <c r="Q492" s="447"/>
      <c r="R492" s="447"/>
      <c r="S492" s="447"/>
      <c r="T492" s="447"/>
      <c r="U492" s="447"/>
      <c r="V492" s="447"/>
      <c r="W492" s="447"/>
      <c r="X492" s="447"/>
      <c r="Y492" s="447"/>
      <c r="Z492" s="447"/>
      <c r="AA492" s="447"/>
    </row>
    <row r="493" spans="1:27">
      <c r="A493" s="465"/>
      <c r="B493" s="466"/>
      <c r="C493" s="465"/>
      <c r="D493" s="467"/>
      <c r="E493" s="447"/>
      <c r="F493" s="447"/>
      <c r="G493" s="447"/>
      <c r="H493" s="447"/>
      <c r="I493" s="447"/>
      <c r="J493" s="447"/>
      <c r="K493" s="447"/>
      <c r="L493" s="447"/>
      <c r="M493" s="447"/>
      <c r="N493" s="447"/>
      <c r="O493" s="447"/>
      <c r="P493" s="447"/>
      <c r="Q493" s="447"/>
      <c r="R493" s="447"/>
      <c r="S493" s="447"/>
      <c r="T493" s="447"/>
      <c r="U493" s="447"/>
      <c r="V493" s="447"/>
      <c r="W493" s="447"/>
      <c r="X493" s="447"/>
      <c r="Y493" s="447"/>
      <c r="Z493" s="447"/>
      <c r="AA493" s="447"/>
    </row>
    <row r="494" spans="1:27">
      <c r="A494" s="465"/>
      <c r="B494" s="466"/>
      <c r="C494" s="465"/>
      <c r="D494" s="467"/>
      <c r="E494" s="447"/>
      <c r="F494" s="447"/>
      <c r="G494" s="447"/>
      <c r="H494" s="447"/>
      <c r="I494" s="447"/>
      <c r="J494" s="447"/>
      <c r="K494" s="447"/>
      <c r="L494" s="447"/>
      <c r="M494" s="447"/>
      <c r="N494" s="447"/>
      <c r="O494" s="447"/>
      <c r="P494" s="447"/>
      <c r="Q494" s="447"/>
      <c r="R494" s="447"/>
      <c r="S494" s="447"/>
      <c r="T494" s="447"/>
      <c r="U494" s="447"/>
      <c r="V494" s="447"/>
      <c r="W494" s="447"/>
      <c r="X494" s="447"/>
      <c r="Y494" s="447"/>
      <c r="Z494" s="447"/>
      <c r="AA494" s="447"/>
    </row>
    <row r="495" spans="1:27">
      <c r="A495" s="465"/>
      <c r="B495" s="466"/>
      <c r="C495" s="465"/>
      <c r="D495" s="467"/>
      <c r="E495" s="447"/>
      <c r="F495" s="447"/>
      <c r="G495" s="447"/>
      <c r="H495" s="447"/>
      <c r="I495" s="447"/>
      <c r="J495" s="447"/>
      <c r="K495" s="447"/>
      <c r="L495" s="447"/>
      <c r="M495" s="447"/>
      <c r="N495" s="447"/>
      <c r="O495" s="447"/>
      <c r="P495" s="447"/>
      <c r="Q495" s="447"/>
      <c r="R495" s="447"/>
      <c r="S495" s="447"/>
      <c r="T495" s="447"/>
      <c r="U495" s="447"/>
      <c r="V495" s="447"/>
      <c r="W495" s="447"/>
      <c r="X495" s="447"/>
      <c r="Y495" s="447"/>
      <c r="Z495" s="447"/>
      <c r="AA495" s="447"/>
    </row>
    <row r="496" spans="1:27">
      <c r="A496" s="465"/>
      <c r="B496" s="466"/>
      <c r="C496" s="465"/>
      <c r="D496" s="467"/>
      <c r="E496" s="447"/>
      <c r="F496" s="447"/>
      <c r="G496" s="447"/>
      <c r="H496" s="447"/>
      <c r="I496" s="447"/>
      <c r="J496" s="447"/>
      <c r="K496" s="447"/>
      <c r="L496" s="447"/>
      <c r="M496" s="447"/>
      <c r="N496" s="447"/>
      <c r="O496" s="447"/>
      <c r="P496" s="447"/>
      <c r="Q496" s="447"/>
      <c r="R496" s="447"/>
      <c r="S496" s="447"/>
      <c r="T496" s="447"/>
      <c r="U496" s="447"/>
      <c r="V496" s="447"/>
      <c r="W496" s="447"/>
      <c r="X496" s="447"/>
      <c r="Y496" s="447"/>
      <c r="Z496" s="447"/>
      <c r="AA496" s="447"/>
    </row>
    <row r="497" spans="1:27">
      <c r="A497" s="465"/>
      <c r="B497" s="466"/>
      <c r="C497" s="465"/>
      <c r="D497" s="467"/>
      <c r="E497" s="447"/>
      <c r="F497" s="447"/>
      <c r="G497" s="447"/>
      <c r="H497" s="447"/>
      <c r="I497" s="447"/>
      <c r="J497" s="447"/>
      <c r="K497" s="447"/>
      <c r="L497" s="447"/>
      <c r="M497" s="447"/>
      <c r="N497" s="447"/>
      <c r="O497" s="447"/>
      <c r="P497" s="447"/>
      <c r="Q497" s="447"/>
      <c r="R497" s="447"/>
      <c r="S497" s="447"/>
      <c r="T497" s="447"/>
      <c r="U497" s="447"/>
      <c r="V497" s="447"/>
      <c r="W497" s="447"/>
      <c r="X497" s="447"/>
      <c r="Y497" s="447"/>
      <c r="Z497" s="447"/>
      <c r="AA497" s="447"/>
    </row>
    <row r="498" spans="1:27">
      <c r="A498" s="465"/>
      <c r="B498" s="466"/>
      <c r="C498" s="465"/>
      <c r="D498" s="467"/>
      <c r="E498" s="447"/>
      <c r="F498" s="447"/>
      <c r="G498" s="447"/>
      <c r="H498" s="447"/>
      <c r="I498" s="447"/>
      <c r="J498" s="447"/>
      <c r="K498" s="447"/>
      <c r="L498" s="447"/>
      <c r="M498" s="447"/>
      <c r="N498" s="447"/>
      <c r="O498" s="447"/>
      <c r="P498" s="447"/>
      <c r="Q498" s="447"/>
      <c r="R498" s="447"/>
      <c r="S498" s="447"/>
      <c r="T498" s="447"/>
      <c r="U498" s="447"/>
      <c r="V498" s="447"/>
      <c r="W498" s="447"/>
      <c r="X498" s="447"/>
      <c r="Y498" s="447"/>
      <c r="Z498" s="447"/>
      <c r="AA498" s="447"/>
    </row>
    <row r="499" spans="1:27">
      <c r="A499" s="465"/>
      <c r="B499" s="466"/>
      <c r="C499" s="465"/>
      <c r="D499" s="467"/>
      <c r="E499" s="447"/>
      <c r="F499" s="447"/>
      <c r="G499" s="447"/>
      <c r="H499" s="447"/>
      <c r="I499" s="447"/>
      <c r="J499" s="447"/>
      <c r="K499" s="447"/>
      <c r="L499" s="447"/>
      <c r="M499" s="447"/>
      <c r="N499" s="447"/>
      <c r="O499" s="447"/>
      <c r="P499" s="447"/>
      <c r="Q499" s="447"/>
      <c r="R499" s="447"/>
      <c r="S499" s="447"/>
      <c r="T499" s="447"/>
      <c r="U499" s="447"/>
      <c r="V499" s="447"/>
      <c r="W499" s="447"/>
      <c r="X499" s="447"/>
      <c r="Y499" s="447"/>
      <c r="Z499" s="447"/>
      <c r="AA499" s="447"/>
    </row>
    <row r="500" spans="1:27">
      <c r="A500" s="465"/>
      <c r="B500" s="466"/>
      <c r="C500" s="465"/>
      <c r="D500" s="467"/>
      <c r="E500" s="447"/>
      <c r="F500" s="447"/>
      <c r="G500" s="447"/>
      <c r="H500" s="447"/>
      <c r="I500" s="447"/>
      <c r="J500" s="447"/>
      <c r="K500" s="447"/>
      <c r="L500" s="447"/>
      <c r="M500" s="447"/>
      <c r="N500" s="447"/>
      <c r="O500" s="447"/>
      <c r="P500" s="447"/>
      <c r="Q500" s="447"/>
      <c r="R500" s="447"/>
      <c r="S500" s="447"/>
      <c r="T500" s="447"/>
      <c r="U500" s="447"/>
      <c r="V500" s="447"/>
      <c r="W500" s="447"/>
      <c r="X500" s="447"/>
      <c r="Y500" s="447"/>
      <c r="Z500" s="447"/>
      <c r="AA500" s="447"/>
    </row>
    <row r="501" spans="1:27">
      <c r="A501" s="465"/>
      <c r="B501" s="466"/>
      <c r="C501" s="465"/>
      <c r="D501" s="467"/>
      <c r="E501" s="447"/>
      <c r="F501" s="447"/>
      <c r="G501" s="447"/>
      <c r="H501" s="447"/>
      <c r="I501" s="447"/>
      <c r="J501" s="447"/>
      <c r="K501" s="447"/>
      <c r="L501" s="447"/>
      <c r="M501" s="447"/>
      <c r="N501" s="447"/>
      <c r="O501" s="447"/>
      <c r="P501" s="447"/>
      <c r="Q501" s="447"/>
      <c r="R501" s="447"/>
      <c r="S501" s="447"/>
      <c r="T501" s="447"/>
      <c r="U501" s="447"/>
      <c r="V501" s="447"/>
      <c r="W501" s="447"/>
      <c r="X501" s="447"/>
      <c r="Y501" s="447"/>
      <c r="Z501" s="447"/>
      <c r="AA501" s="447"/>
    </row>
    <row r="502" spans="1:27">
      <c r="A502" s="465"/>
      <c r="B502" s="466"/>
      <c r="C502" s="465"/>
      <c r="D502" s="467"/>
      <c r="E502" s="447"/>
      <c r="F502" s="447"/>
      <c r="G502" s="447"/>
      <c r="H502" s="447"/>
      <c r="I502" s="447"/>
      <c r="J502" s="447"/>
      <c r="K502" s="447"/>
      <c r="L502" s="447"/>
      <c r="M502" s="447"/>
      <c r="N502" s="447"/>
      <c r="O502" s="447"/>
      <c r="P502" s="447"/>
      <c r="Q502" s="447"/>
      <c r="R502" s="447"/>
      <c r="S502" s="447"/>
      <c r="T502" s="447"/>
      <c r="U502" s="447"/>
      <c r="V502" s="447"/>
      <c r="W502" s="447"/>
      <c r="X502" s="447"/>
      <c r="Y502" s="447"/>
      <c r="Z502" s="447"/>
      <c r="AA502" s="447"/>
    </row>
    <row r="503" spans="1:27">
      <c r="A503" s="465"/>
      <c r="B503" s="466"/>
      <c r="C503" s="465"/>
      <c r="D503" s="467"/>
      <c r="E503" s="447"/>
      <c r="F503" s="447"/>
      <c r="G503" s="447"/>
      <c r="H503" s="447"/>
      <c r="I503" s="447"/>
      <c r="J503" s="447"/>
      <c r="K503" s="447"/>
      <c r="L503" s="447"/>
      <c r="M503" s="447"/>
      <c r="N503" s="447"/>
      <c r="O503" s="447"/>
      <c r="P503" s="447"/>
      <c r="Q503" s="447"/>
      <c r="R503" s="447"/>
      <c r="S503" s="447"/>
      <c r="T503" s="447"/>
      <c r="U503" s="447"/>
      <c r="V503" s="447"/>
      <c r="W503" s="447"/>
      <c r="X503" s="447"/>
      <c r="Y503" s="447"/>
      <c r="Z503" s="447"/>
      <c r="AA503" s="447"/>
    </row>
    <row r="504" spans="1:27">
      <c r="A504" s="465"/>
      <c r="B504" s="466"/>
      <c r="C504" s="465"/>
      <c r="D504" s="467"/>
      <c r="E504" s="447"/>
      <c r="F504" s="447"/>
      <c r="G504" s="447"/>
      <c r="H504" s="447"/>
      <c r="I504" s="447"/>
      <c r="J504" s="447"/>
      <c r="K504" s="447"/>
      <c r="L504" s="447"/>
      <c r="M504" s="447"/>
      <c r="N504" s="447"/>
      <c r="O504" s="447"/>
      <c r="P504" s="447"/>
      <c r="Q504" s="447"/>
      <c r="R504" s="447"/>
      <c r="S504" s="447"/>
      <c r="T504" s="447"/>
      <c r="U504" s="447"/>
      <c r="V504" s="447"/>
      <c r="W504" s="447"/>
      <c r="X504" s="447"/>
      <c r="Y504" s="447"/>
      <c r="Z504" s="447"/>
      <c r="AA504" s="447"/>
    </row>
    <row r="505" spans="1:27">
      <c r="A505" s="465"/>
      <c r="B505" s="466"/>
      <c r="C505" s="465"/>
      <c r="D505" s="467"/>
      <c r="E505" s="447"/>
      <c r="F505" s="447"/>
      <c r="G505" s="447"/>
      <c r="H505" s="447"/>
      <c r="I505" s="447"/>
      <c r="J505" s="447"/>
      <c r="K505" s="447"/>
      <c r="L505" s="447"/>
      <c r="M505" s="447"/>
      <c r="N505" s="447"/>
      <c r="O505" s="447"/>
      <c r="P505" s="447"/>
      <c r="Q505" s="447"/>
      <c r="R505" s="447"/>
      <c r="S505" s="447"/>
      <c r="T505" s="447"/>
      <c r="U505" s="447"/>
      <c r="V505" s="447"/>
      <c r="W505" s="447"/>
      <c r="X505" s="447"/>
      <c r="Y505" s="447"/>
      <c r="Z505" s="447"/>
      <c r="AA505" s="447"/>
    </row>
    <row r="506" spans="1:27">
      <c r="A506" s="465"/>
      <c r="B506" s="466"/>
      <c r="C506" s="465"/>
      <c r="D506" s="467"/>
      <c r="E506" s="447"/>
      <c r="F506" s="447"/>
      <c r="G506" s="447"/>
      <c r="H506" s="447"/>
      <c r="I506" s="447"/>
      <c r="J506" s="447"/>
      <c r="K506" s="447"/>
      <c r="L506" s="447"/>
      <c r="M506" s="447"/>
      <c r="N506" s="447"/>
      <c r="O506" s="447"/>
      <c r="P506" s="447"/>
      <c r="Q506" s="447"/>
      <c r="R506" s="447"/>
      <c r="S506" s="447"/>
      <c r="T506" s="447"/>
      <c r="U506" s="447"/>
      <c r="V506" s="447"/>
      <c r="W506" s="447"/>
      <c r="X506" s="447"/>
      <c r="Y506" s="447"/>
      <c r="Z506" s="447"/>
      <c r="AA506" s="447"/>
    </row>
    <row r="507" spans="1:27">
      <c r="A507" s="465"/>
      <c r="B507" s="466"/>
      <c r="C507" s="465"/>
      <c r="D507" s="467"/>
      <c r="E507" s="447"/>
      <c r="F507" s="447"/>
      <c r="G507" s="447"/>
      <c r="H507" s="447"/>
      <c r="I507" s="447"/>
      <c r="J507" s="447"/>
      <c r="K507" s="447"/>
      <c r="L507" s="447"/>
      <c r="M507" s="447"/>
      <c r="N507" s="447"/>
      <c r="O507" s="447"/>
      <c r="P507" s="447"/>
      <c r="Q507" s="447"/>
      <c r="R507" s="447"/>
      <c r="S507" s="447"/>
      <c r="T507" s="447"/>
      <c r="U507" s="447"/>
      <c r="V507" s="447"/>
      <c r="W507" s="447"/>
      <c r="X507" s="447"/>
      <c r="Y507" s="447"/>
      <c r="Z507" s="447"/>
      <c r="AA507" s="447"/>
    </row>
    <row r="508" spans="1:27">
      <c r="A508" s="465"/>
      <c r="B508" s="466"/>
      <c r="C508" s="465"/>
      <c r="D508" s="467"/>
      <c r="E508" s="447"/>
      <c r="F508" s="447"/>
      <c r="G508" s="447"/>
      <c r="H508" s="447"/>
      <c r="I508" s="447"/>
      <c r="J508" s="447"/>
      <c r="K508" s="447"/>
      <c r="L508" s="447"/>
      <c r="M508" s="447"/>
      <c r="N508" s="447"/>
      <c r="O508" s="447"/>
      <c r="P508" s="447"/>
      <c r="Q508" s="447"/>
      <c r="R508" s="447"/>
      <c r="S508" s="447"/>
      <c r="T508" s="447"/>
      <c r="U508" s="447"/>
      <c r="V508" s="447"/>
      <c r="W508" s="447"/>
      <c r="X508" s="447"/>
      <c r="Y508" s="447"/>
      <c r="Z508" s="447"/>
      <c r="AA508" s="447"/>
    </row>
    <row r="509" spans="1:27">
      <c r="A509" s="465"/>
      <c r="B509" s="466"/>
      <c r="C509" s="465"/>
      <c r="D509" s="467"/>
      <c r="E509" s="447"/>
      <c r="F509" s="447"/>
      <c r="G509" s="447"/>
      <c r="H509" s="447"/>
      <c r="I509" s="447"/>
      <c r="J509" s="447"/>
      <c r="K509" s="447"/>
      <c r="L509" s="447"/>
      <c r="M509" s="447"/>
      <c r="N509" s="447"/>
      <c r="O509" s="447"/>
      <c r="P509" s="447"/>
      <c r="Q509" s="447"/>
      <c r="R509" s="447"/>
      <c r="S509" s="447"/>
      <c r="T509" s="447"/>
      <c r="U509" s="447"/>
      <c r="V509" s="447"/>
      <c r="W509" s="447"/>
      <c r="X509" s="447"/>
      <c r="Y509" s="447"/>
      <c r="Z509" s="447"/>
      <c r="AA509" s="447"/>
    </row>
    <row r="510" spans="1:27">
      <c r="A510" s="465"/>
      <c r="B510" s="466"/>
      <c r="C510" s="465"/>
      <c r="D510" s="467"/>
      <c r="E510" s="447"/>
      <c r="F510" s="447"/>
      <c r="G510" s="447"/>
      <c r="H510" s="447"/>
      <c r="I510" s="447"/>
      <c r="J510" s="447"/>
      <c r="K510" s="447"/>
      <c r="L510" s="447"/>
      <c r="M510" s="447"/>
      <c r="N510" s="447"/>
      <c r="O510" s="447"/>
      <c r="P510" s="447"/>
      <c r="Q510" s="447"/>
      <c r="R510" s="447"/>
      <c r="S510" s="447"/>
      <c r="T510" s="447"/>
      <c r="U510" s="447"/>
      <c r="V510" s="447"/>
      <c r="W510" s="447"/>
      <c r="X510" s="447"/>
      <c r="Y510" s="447"/>
      <c r="Z510" s="447"/>
      <c r="AA510" s="447"/>
    </row>
    <row r="511" spans="1:27">
      <c r="A511" s="465"/>
      <c r="B511" s="466"/>
      <c r="C511" s="465"/>
      <c r="D511" s="467"/>
      <c r="E511" s="447"/>
      <c r="F511" s="447"/>
      <c r="G511" s="447"/>
      <c r="H511" s="447"/>
      <c r="I511" s="447"/>
      <c r="J511" s="447"/>
      <c r="K511" s="447"/>
      <c r="L511" s="447"/>
      <c r="M511" s="447"/>
      <c r="N511" s="447"/>
      <c r="O511" s="447"/>
      <c r="P511" s="447"/>
      <c r="Q511" s="447"/>
      <c r="R511" s="447"/>
      <c r="S511" s="447"/>
      <c r="T511" s="447"/>
      <c r="U511" s="447"/>
      <c r="V511" s="447"/>
      <c r="W511" s="447"/>
      <c r="X511" s="447"/>
      <c r="Y511" s="447"/>
      <c r="Z511" s="447"/>
      <c r="AA511" s="447"/>
    </row>
    <row r="512" spans="1:27">
      <c r="A512" s="465"/>
      <c r="B512" s="466"/>
      <c r="C512" s="465"/>
      <c r="D512" s="467"/>
      <c r="E512" s="447"/>
      <c r="F512" s="447"/>
      <c r="G512" s="447"/>
      <c r="H512" s="447"/>
      <c r="I512" s="447"/>
      <c r="J512" s="447"/>
      <c r="K512" s="447"/>
      <c r="L512" s="447"/>
      <c r="M512" s="447"/>
      <c r="N512" s="447"/>
      <c r="O512" s="447"/>
      <c r="P512" s="447"/>
      <c r="Q512" s="447"/>
      <c r="R512" s="447"/>
      <c r="S512" s="447"/>
      <c r="T512" s="447"/>
      <c r="U512" s="447"/>
      <c r="V512" s="447"/>
      <c r="W512" s="447"/>
      <c r="X512" s="447"/>
      <c r="Y512" s="447"/>
      <c r="Z512" s="447"/>
      <c r="AA512" s="447"/>
    </row>
    <row r="513" spans="1:27">
      <c r="A513" s="465"/>
      <c r="B513" s="466"/>
      <c r="C513" s="465"/>
      <c r="D513" s="467"/>
      <c r="E513" s="447"/>
      <c r="F513" s="447"/>
      <c r="G513" s="447"/>
      <c r="H513" s="447"/>
      <c r="I513" s="447"/>
      <c r="J513" s="447"/>
      <c r="K513" s="447"/>
      <c r="L513" s="447"/>
      <c r="M513" s="447"/>
      <c r="N513" s="447"/>
      <c r="O513" s="447"/>
      <c r="P513" s="447"/>
      <c r="Q513" s="447"/>
      <c r="R513" s="447"/>
      <c r="S513" s="447"/>
      <c r="T513" s="447"/>
      <c r="U513" s="447"/>
      <c r="V513" s="447"/>
      <c r="W513" s="447"/>
      <c r="X513" s="447"/>
      <c r="Y513" s="447"/>
      <c r="Z513" s="447"/>
      <c r="AA513" s="447"/>
    </row>
    <row r="514" spans="1:27">
      <c r="A514" s="465"/>
      <c r="B514" s="466"/>
      <c r="C514" s="465"/>
      <c r="D514" s="467"/>
      <c r="E514" s="447"/>
      <c r="F514" s="447"/>
      <c r="G514" s="447"/>
      <c r="H514" s="447"/>
      <c r="I514" s="447"/>
      <c r="J514" s="447"/>
      <c r="K514" s="447"/>
      <c r="L514" s="447"/>
      <c r="M514" s="447"/>
      <c r="N514" s="447"/>
      <c r="O514" s="447"/>
      <c r="P514" s="447"/>
      <c r="Q514" s="447"/>
      <c r="R514" s="447"/>
      <c r="S514" s="447"/>
      <c r="T514" s="447"/>
      <c r="U514" s="447"/>
      <c r="V514" s="447"/>
      <c r="W514" s="447"/>
      <c r="X514" s="447"/>
      <c r="Y514" s="447"/>
      <c r="Z514" s="447"/>
      <c r="AA514" s="447"/>
    </row>
    <row r="515" spans="1:27">
      <c r="A515" s="465"/>
      <c r="B515" s="466"/>
      <c r="C515" s="465"/>
      <c r="D515" s="467"/>
      <c r="E515" s="447"/>
      <c r="F515" s="447"/>
      <c r="G515" s="447"/>
      <c r="H515" s="447"/>
      <c r="I515" s="447"/>
      <c r="J515" s="447"/>
      <c r="K515" s="447"/>
      <c r="L515" s="447"/>
      <c r="M515" s="447"/>
      <c r="N515" s="447"/>
      <c r="O515" s="447"/>
      <c r="P515" s="447"/>
      <c r="Q515" s="447"/>
      <c r="R515" s="447"/>
      <c r="S515" s="447"/>
      <c r="T515" s="447"/>
      <c r="U515" s="447"/>
      <c r="V515" s="447"/>
      <c r="W515" s="447"/>
      <c r="X515" s="447"/>
      <c r="Y515" s="447"/>
      <c r="Z515" s="447"/>
      <c r="AA515" s="447"/>
    </row>
    <row r="516" spans="1:27">
      <c r="A516" s="465"/>
      <c r="B516" s="466"/>
      <c r="C516" s="465"/>
      <c r="D516" s="467"/>
      <c r="E516" s="447"/>
      <c r="F516" s="447"/>
      <c r="G516" s="447"/>
      <c r="H516" s="447"/>
      <c r="I516" s="447"/>
      <c r="J516" s="447"/>
      <c r="K516" s="447"/>
      <c r="L516" s="447"/>
      <c r="M516" s="447"/>
      <c r="N516" s="447"/>
      <c r="O516" s="447"/>
      <c r="P516" s="447"/>
      <c r="Q516" s="447"/>
      <c r="R516" s="447"/>
      <c r="S516" s="447"/>
      <c r="T516" s="447"/>
      <c r="U516" s="447"/>
      <c r="V516" s="447"/>
      <c r="W516" s="447"/>
      <c r="X516" s="447"/>
      <c r="Y516" s="447"/>
      <c r="Z516" s="447"/>
      <c r="AA516" s="447"/>
    </row>
    <row r="517" spans="1:27">
      <c r="A517" s="465"/>
      <c r="B517" s="466"/>
      <c r="C517" s="465"/>
      <c r="D517" s="467"/>
      <c r="E517" s="447"/>
      <c r="F517" s="447"/>
      <c r="G517" s="447"/>
      <c r="H517" s="447"/>
      <c r="I517" s="447"/>
      <c r="J517" s="447"/>
      <c r="K517" s="447"/>
      <c r="L517" s="447"/>
      <c r="M517" s="447"/>
      <c r="N517" s="447"/>
      <c r="O517" s="447"/>
      <c r="P517" s="447"/>
      <c r="Q517" s="447"/>
      <c r="R517" s="447"/>
      <c r="S517" s="447"/>
      <c r="T517" s="447"/>
      <c r="U517" s="447"/>
      <c r="V517" s="447"/>
      <c r="W517" s="447"/>
      <c r="X517" s="447"/>
      <c r="Y517" s="447"/>
      <c r="Z517" s="447"/>
      <c r="AA517" s="447"/>
    </row>
    <row r="518" spans="1:27">
      <c r="A518" s="465"/>
      <c r="B518" s="466"/>
      <c r="C518" s="465"/>
      <c r="D518" s="467"/>
      <c r="E518" s="447"/>
      <c r="F518" s="447"/>
      <c r="G518" s="447"/>
      <c r="H518" s="447"/>
      <c r="I518" s="447"/>
      <c r="J518" s="447"/>
      <c r="K518" s="447"/>
      <c r="L518" s="447"/>
      <c r="M518" s="447"/>
      <c r="N518" s="447"/>
      <c r="O518" s="447"/>
      <c r="P518" s="447"/>
      <c r="Q518" s="447"/>
      <c r="R518" s="447"/>
      <c r="S518" s="447"/>
      <c r="T518" s="447"/>
      <c r="U518" s="447"/>
      <c r="V518" s="447"/>
      <c r="W518" s="447"/>
      <c r="X518" s="447"/>
      <c r="Y518" s="447"/>
      <c r="Z518" s="447"/>
      <c r="AA518" s="447"/>
    </row>
    <row r="519" spans="1:27">
      <c r="A519" s="465"/>
      <c r="B519" s="466"/>
      <c r="C519" s="465"/>
      <c r="D519" s="467"/>
      <c r="E519" s="447"/>
      <c r="F519" s="447"/>
      <c r="G519" s="447"/>
      <c r="H519" s="447"/>
      <c r="I519" s="447"/>
      <c r="J519" s="447"/>
      <c r="K519" s="447"/>
      <c r="L519" s="447"/>
      <c r="M519" s="447"/>
      <c r="N519" s="447"/>
      <c r="O519" s="447"/>
      <c r="P519" s="447"/>
      <c r="Q519" s="447"/>
      <c r="R519" s="447"/>
      <c r="S519" s="447"/>
      <c r="T519" s="447"/>
      <c r="U519" s="447"/>
      <c r="V519" s="447"/>
      <c r="W519" s="447"/>
      <c r="X519" s="447"/>
      <c r="Y519" s="447"/>
      <c r="Z519" s="447"/>
      <c r="AA519" s="447"/>
    </row>
    <row r="520" spans="1:27">
      <c r="A520" s="465"/>
      <c r="B520" s="466"/>
      <c r="C520" s="465"/>
      <c r="D520" s="467"/>
      <c r="E520" s="447"/>
      <c r="F520" s="447"/>
      <c r="G520" s="447"/>
      <c r="H520" s="447"/>
      <c r="I520" s="447"/>
      <c r="J520" s="447"/>
      <c r="K520" s="447"/>
      <c r="L520" s="447"/>
      <c r="M520" s="447"/>
      <c r="N520" s="447"/>
      <c r="O520" s="447"/>
      <c r="P520" s="447"/>
      <c r="Q520" s="447"/>
      <c r="R520" s="447"/>
      <c r="S520" s="447"/>
      <c r="T520" s="447"/>
      <c r="U520" s="447"/>
      <c r="V520" s="447"/>
      <c r="W520" s="447"/>
      <c r="X520" s="447"/>
      <c r="Y520" s="447"/>
      <c r="Z520" s="447"/>
      <c r="AA520" s="447"/>
    </row>
    <row r="521" spans="1:27">
      <c r="A521" s="465"/>
      <c r="B521" s="466"/>
      <c r="C521" s="465"/>
      <c r="D521" s="467"/>
      <c r="E521" s="447"/>
      <c r="F521" s="447"/>
      <c r="G521" s="447"/>
      <c r="H521" s="447"/>
      <c r="I521" s="447"/>
      <c r="J521" s="447"/>
      <c r="K521" s="447"/>
      <c r="L521" s="447"/>
      <c r="M521" s="447"/>
      <c r="N521" s="447"/>
      <c r="O521" s="447"/>
      <c r="P521" s="447"/>
      <c r="Q521" s="447"/>
      <c r="R521" s="447"/>
      <c r="S521" s="447"/>
      <c r="T521" s="447"/>
      <c r="U521" s="447"/>
      <c r="V521" s="447"/>
      <c r="W521" s="447"/>
      <c r="X521" s="447"/>
      <c r="Y521" s="447"/>
      <c r="Z521" s="447"/>
      <c r="AA521" s="447"/>
    </row>
    <row r="522" spans="1:27">
      <c r="A522" s="465"/>
      <c r="B522" s="466"/>
      <c r="C522" s="465"/>
      <c r="D522" s="467"/>
      <c r="E522" s="447"/>
      <c r="F522" s="447"/>
      <c r="G522" s="447"/>
      <c r="H522" s="447"/>
      <c r="I522" s="447"/>
      <c r="J522" s="447"/>
      <c r="K522" s="447"/>
      <c r="L522" s="447"/>
      <c r="M522" s="447"/>
      <c r="N522" s="447"/>
      <c r="O522" s="447"/>
      <c r="P522" s="447"/>
      <c r="Q522" s="447"/>
      <c r="R522" s="447"/>
      <c r="S522" s="447"/>
      <c r="T522" s="447"/>
      <c r="U522" s="447"/>
      <c r="V522" s="447"/>
      <c r="W522" s="447"/>
      <c r="X522" s="447"/>
      <c r="Y522" s="447"/>
      <c r="Z522" s="447"/>
      <c r="AA522" s="447"/>
    </row>
    <row r="523" spans="1:27">
      <c r="A523" s="465"/>
      <c r="B523" s="466"/>
      <c r="C523" s="465"/>
      <c r="D523" s="467"/>
      <c r="E523" s="447"/>
      <c r="F523" s="447"/>
      <c r="G523" s="447"/>
      <c r="H523" s="447"/>
      <c r="I523" s="447"/>
      <c r="J523" s="447"/>
      <c r="K523" s="447"/>
      <c r="L523" s="447"/>
      <c r="M523" s="447"/>
      <c r="N523" s="447"/>
      <c r="O523" s="447"/>
      <c r="P523" s="447"/>
      <c r="Q523" s="447"/>
      <c r="R523" s="447"/>
      <c r="S523" s="447"/>
      <c r="T523" s="447"/>
      <c r="U523" s="447"/>
      <c r="V523" s="447"/>
      <c r="W523" s="447"/>
      <c r="X523" s="447"/>
      <c r="Y523" s="447"/>
      <c r="Z523" s="447"/>
      <c r="AA523" s="447"/>
    </row>
    <row r="524" spans="1:27">
      <c r="A524" s="465"/>
      <c r="B524" s="466"/>
      <c r="C524" s="465"/>
      <c r="D524" s="467"/>
      <c r="E524" s="447"/>
      <c r="F524" s="447"/>
      <c r="G524" s="447"/>
      <c r="H524" s="447"/>
      <c r="I524" s="447"/>
      <c r="J524" s="447"/>
      <c r="K524" s="447"/>
      <c r="L524" s="447"/>
      <c r="M524" s="447"/>
      <c r="N524" s="447"/>
      <c r="O524" s="447"/>
      <c r="P524" s="447"/>
      <c r="Q524" s="447"/>
      <c r="R524" s="447"/>
      <c r="S524" s="447"/>
      <c r="T524" s="447"/>
      <c r="U524" s="447"/>
      <c r="V524" s="447"/>
      <c r="W524" s="447"/>
      <c r="X524" s="447"/>
      <c r="Y524" s="447"/>
      <c r="Z524" s="447"/>
      <c r="AA524" s="447"/>
    </row>
    <row r="525" spans="1:27">
      <c r="A525" s="465"/>
      <c r="B525" s="466"/>
      <c r="C525" s="465"/>
      <c r="D525" s="467"/>
      <c r="E525" s="447"/>
      <c r="F525" s="447"/>
      <c r="G525" s="447"/>
      <c r="H525" s="447"/>
      <c r="I525" s="447"/>
      <c r="J525" s="447"/>
      <c r="K525" s="447"/>
      <c r="L525" s="447"/>
      <c r="M525" s="447"/>
      <c r="N525" s="447"/>
      <c r="O525" s="447"/>
      <c r="P525" s="447"/>
      <c r="Q525" s="447"/>
      <c r="R525" s="447"/>
      <c r="S525" s="447"/>
      <c r="T525" s="447"/>
      <c r="U525" s="447"/>
      <c r="V525" s="447"/>
      <c r="W525" s="447"/>
      <c r="X525" s="447"/>
      <c r="Y525" s="447"/>
      <c r="Z525" s="447"/>
      <c r="AA525" s="447"/>
    </row>
    <row r="526" spans="1:27">
      <c r="A526" s="465"/>
      <c r="B526" s="466"/>
      <c r="C526" s="465"/>
      <c r="D526" s="467"/>
      <c r="E526" s="447"/>
      <c r="F526" s="447"/>
      <c r="G526" s="447"/>
      <c r="H526" s="447"/>
      <c r="I526" s="447"/>
      <c r="J526" s="447"/>
      <c r="K526" s="447"/>
      <c r="L526" s="447"/>
      <c r="M526" s="447"/>
      <c r="N526" s="447"/>
      <c r="O526" s="447"/>
      <c r="P526" s="447"/>
      <c r="Q526" s="447"/>
      <c r="R526" s="447"/>
      <c r="S526" s="447"/>
      <c r="T526" s="447"/>
      <c r="U526" s="447"/>
      <c r="V526" s="447"/>
      <c r="W526" s="447"/>
      <c r="X526" s="447"/>
      <c r="Y526" s="447"/>
      <c r="Z526" s="447"/>
      <c r="AA526" s="447"/>
    </row>
    <row r="527" spans="1:27">
      <c r="A527" s="465"/>
      <c r="B527" s="466"/>
      <c r="C527" s="465"/>
      <c r="D527" s="467"/>
      <c r="E527" s="447"/>
      <c r="F527" s="447"/>
      <c r="G527" s="447"/>
      <c r="H527" s="447"/>
      <c r="I527" s="447"/>
      <c r="J527" s="447"/>
      <c r="K527" s="447"/>
      <c r="L527" s="447"/>
      <c r="M527" s="447"/>
      <c r="N527" s="447"/>
      <c r="O527" s="447"/>
      <c r="P527" s="447"/>
      <c r="Q527" s="447"/>
      <c r="R527" s="447"/>
      <c r="S527" s="447"/>
      <c r="T527" s="447"/>
      <c r="U527" s="447"/>
      <c r="V527" s="447"/>
      <c r="W527" s="447"/>
      <c r="X527" s="447"/>
      <c r="Y527" s="447"/>
      <c r="Z527" s="447"/>
      <c r="AA527" s="447"/>
    </row>
    <row r="528" spans="1:27">
      <c r="A528" s="465"/>
      <c r="B528" s="466"/>
      <c r="C528" s="465"/>
      <c r="D528" s="467"/>
      <c r="E528" s="447"/>
      <c r="F528" s="447"/>
      <c r="G528" s="447"/>
      <c r="H528" s="447"/>
      <c r="I528" s="447"/>
      <c r="J528" s="447"/>
      <c r="K528" s="447"/>
      <c r="L528" s="447"/>
      <c r="M528" s="447"/>
      <c r="N528" s="447"/>
      <c r="O528" s="447"/>
      <c r="P528" s="447"/>
      <c r="Q528" s="447"/>
      <c r="R528" s="447"/>
      <c r="S528" s="447"/>
      <c r="T528" s="447"/>
      <c r="U528" s="447"/>
      <c r="V528" s="447"/>
      <c r="W528" s="447"/>
      <c r="X528" s="447"/>
      <c r="Y528" s="447"/>
      <c r="Z528" s="447"/>
      <c r="AA528" s="447"/>
    </row>
    <row r="529" spans="1:27">
      <c r="A529" s="465"/>
      <c r="B529" s="466"/>
      <c r="C529" s="465"/>
      <c r="D529" s="467"/>
      <c r="E529" s="447"/>
      <c r="F529" s="447"/>
      <c r="G529" s="447"/>
      <c r="H529" s="447"/>
      <c r="I529" s="447"/>
      <c r="J529" s="447"/>
      <c r="K529" s="447"/>
      <c r="L529" s="447"/>
      <c r="M529" s="447"/>
      <c r="N529" s="447"/>
      <c r="O529" s="447"/>
      <c r="P529" s="447"/>
      <c r="Q529" s="447"/>
      <c r="R529" s="447"/>
      <c r="S529" s="447"/>
      <c r="T529" s="447"/>
      <c r="U529" s="447"/>
      <c r="V529" s="447"/>
      <c r="W529" s="447"/>
      <c r="X529" s="447"/>
      <c r="Y529" s="447"/>
      <c r="Z529" s="447"/>
      <c r="AA529" s="447"/>
    </row>
    <row r="530" spans="1:27">
      <c r="A530" s="465"/>
      <c r="B530" s="466"/>
      <c r="C530" s="465"/>
      <c r="D530" s="467"/>
      <c r="E530" s="447"/>
      <c r="F530" s="447"/>
      <c r="G530" s="447"/>
      <c r="H530" s="447"/>
      <c r="I530" s="447"/>
      <c r="J530" s="447"/>
      <c r="K530" s="447"/>
      <c r="L530" s="447"/>
      <c r="M530" s="447"/>
      <c r="N530" s="447"/>
      <c r="O530" s="447"/>
      <c r="P530" s="447"/>
      <c r="Q530" s="447"/>
      <c r="R530" s="447"/>
      <c r="S530" s="447"/>
      <c r="T530" s="447"/>
      <c r="U530" s="447"/>
      <c r="V530" s="447"/>
      <c r="W530" s="447"/>
      <c r="X530" s="447"/>
      <c r="Y530" s="447"/>
      <c r="Z530" s="447"/>
      <c r="AA530" s="447"/>
    </row>
    <row r="531" spans="1:27">
      <c r="A531" s="465"/>
      <c r="B531" s="466"/>
      <c r="C531" s="465"/>
      <c r="D531" s="467"/>
      <c r="E531" s="447"/>
      <c r="F531" s="447"/>
      <c r="G531" s="447"/>
      <c r="H531" s="447"/>
      <c r="I531" s="447"/>
      <c r="J531" s="447"/>
      <c r="K531" s="447"/>
      <c r="L531" s="447"/>
      <c r="M531" s="447"/>
      <c r="N531" s="447"/>
      <c r="O531" s="447"/>
      <c r="P531" s="447"/>
      <c r="Q531" s="447"/>
      <c r="R531" s="447"/>
      <c r="S531" s="447"/>
      <c r="T531" s="447"/>
      <c r="U531" s="447"/>
      <c r="V531" s="447"/>
      <c r="W531" s="447"/>
      <c r="X531" s="447"/>
      <c r="Y531" s="447"/>
      <c r="Z531" s="447"/>
      <c r="AA531" s="447"/>
    </row>
    <row r="532" spans="1:27">
      <c r="A532" s="465"/>
      <c r="B532" s="466"/>
      <c r="C532" s="465"/>
      <c r="D532" s="467"/>
      <c r="E532" s="447"/>
      <c r="F532" s="447"/>
      <c r="G532" s="447"/>
      <c r="H532" s="447"/>
      <c r="I532" s="447"/>
      <c r="J532" s="447"/>
      <c r="K532" s="447"/>
      <c r="L532" s="447"/>
      <c r="M532" s="447"/>
      <c r="N532" s="447"/>
      <c r="O532" s="447"/>
      <c r="P532" s="447"/>
      <c r="Q532" s="447"/>
      <c r="R532" s="447"/>
      <c r="S532" s="447"/>
      <c r="T532" s="447"/>
      <c r="U532" s="447"/>
      <c r="V532" s="447"/>
      <c r="W532" s="447"/>
      <c r="X532" s="447"/>
      <c r="Y532" s="447"/>
      <c r="Z532" s="447"/>
      <c r="AA532" s="447"/>
    </row>
    <row r="533" spans="1:27">
      <c r="A533" s="465"/>
      <c r="B533" s="466"/>
      <c r="C533" s="465"/>
      <c r="D533" s="467"/>
      <c r="E533" s="447"/>
      <c r="F533" s="447"/>
      <c r="G533" s="447"/>
      <c r="H533" s="447"/>
      <c r="I533" s="447"/>
      <c r="J533" s="447"/>
      <c r="K533" s="447"/>
      <c r="L533" s="447"/>
      <c r="M533" s="447"/>
      <c r="N533" s="447"/>
      <c r="O533" s="447"/>
      <c r="P533" s="447"/>
      <c r="Q533" s="447"/>
      <c r="R533" s="447"/>
      <c r="S533" s="447"/>
      <c r="T533" s="447"/>
      <c r="U533" s="447"/>
      <c r="V533" s="447"/>
      <c r="W533" s="447"/>
      <c r="X533" s="447"/>
      <c r="Y533" s="447"/>
      <c r="Z533" s="447"/>
      <c r="AA533" s="447"/>
    </row>
    <row r="534" spans="1:27">
      <c r="A534" s="465"/>
      <c r="B534" s="466"/>
      <c r="C534" s="465"/>
      <c r="D534" s="467"/>
      <c r="E534" s="447"/>
      <c r="F534" s="447"/>
      <c r="G534" s="447"/>
      <c r="H534" s="447"/>
      <c r="I534" s="447"/>
      <c r="J534" s="447"/>
      <c r="K534" s="447"/>
      <c r="L534" s="447"/>
      <c r="M534" s="447"/>
      <c r="N534" s="447"/>
      <c r="O534" s="447"/>
      <c r="P534" s="447"/>
      <c r="Q534" s="447"/>
      <c r="R534" s="447"/>
      <c r="S534" s="447"/>
      <c r="T534" s="447"/>
      <c r="U534" s="447"/>
      <c r="V534" s="447"/>
      <c r="W534" s="447"/>
      <c r="X534" s="447"/>
      <c r="Y534" s="447"/>
      <c r="Z534" s="447"/>
      <c r="AA534" s="447"/>
    </row>
    <row r="535" spans="1:27">
      <c r="A535" s="465"/>
      <c r="B535" s="466"/>
      <c r="C535" s="465"/>
      <c r="D535" s="467"/>
      <c r="E535" s="447"/>
      <c r="F535" s="447"/>
      <c r="G535" s="447"/>
      <c r="H535" s="447"/>
      <c r="I535" s="447"/>
      <c r="J535" s="447"/>
      <c r="K535" s="447"/>
      <c r="L535" s="447"/>
      <c r="M535" s="447"/>
      <c r="N535" s="447"/>
      <c r="O535" s="447"/>
      <c r="P535" s="447"/>
      <c r="Q535" s="447"/>
      <c r="R535" s="447"/>
      <c r="S535" s="447"/>
      <c r="T535" s="447"/>
      <c r="U535" s="447"/>
      <c r="V535" s="447"/>
      <c r="W535" s="447"/>
      <c r="X535" s="447"/>
      <c r="Y535" s="447"/>
      <c r="Z535" s="447"/>
      <c r="AA535" s="447"/>
    </row>
    <row r="536" spans="1:27">
      <c r="A536" s="465"/>
      <c r="B536" s="466"/>
      <c r="C536" s="465"/>
      <c r="D536" s="467"/>
      <c r="E536" s="447"/>
      <c r="F536" s="447"/>
      <c r="G536" s="447"/>
      <c r="H536" s="447"/>
      <c r="I536" s="447"/>
      <c r="J536" s="447"/>
      <c r="K536" s="447"/>
      <c r="L536" s="447"/>
      <c r="M536" s="447"/>
      <c r="N536" s="447"/>
      <c r="O536" s="447"/>
      <c r="P536" s="447"/>
      <c r="Q536" s="447"/>
      <c r="R536" s="447"/>
      <c r="S536" s="447"/>
      <c r="T536" s="447"/>
      <c r="U536" s="447"/>
      <c r="V536" s="447"/>
      <c r="W536" s="447"/>
      <c r="X536" s="447"/>
      <c r="Y536" s="447"/>
      <c r="Z536" s="447"/>
      <c r="AA536" s="447"/>
    </row>
    <row r="537" spans="1:27">
      <c r="A537" s="465"/>
      <c r="B537" s="466"/>
      <c r="C537" s="465"/>
      <c r="D537" s="467"/>
      <c r="E537" s="447"/>
      <c r="F537" s="447"/>
      <c r="G537" s="447"/>
      <c r="H537" s="447"/>
      <c r="I537" s="447"/>
      <c r="J537" s="447"/>
      <c r="K537" s="447"/>
      <c r="L537" s="447"/>
      <c r="M537" s="447"/>
      <c r="N537" s="447"/>
      <c r="O537" s="447"/>
      <c r="P537" s="447"/>
      <c r="Q537" s="447"/>
      <c r="R537" s="447"/>
      <c r="S537" s="447"/>
      <c r="T537" s="447"/>
      <c r="U537" s="447"/>
      <c r="V537" s="447"/>
      <c r="W537" s="447"/>
      <c r="X537" s="447"/>
      <c r="Y537" s="447"/>
      <c r="Z537" s="447"/>
      <c r="AA537" s="447"/>
    </row>
    <row r="538" spans="1:27">
      <c r="A538" s="465"/>
      <c r="B538" s="466"/>
      <c r="C538" s="465"/>
      <c r="D538" s="467"/>
      <c r="E538" s="447"/>
      <c r="F538" s="447"/>
      <c r="G538" s="447"/>
      <c r="H538" s="447"/>
      <c r="I538" s="447"/>
      <c r="J538" s="447"/>
      <c r="K538" s="447"/>
      <c r="L538" s="447"/>
      <c r="M538" s="447"/>
      <c r="N538" s="447"/>
      <c r="O538" s="447"/>
      <c r="P538" s="447"/>
      <c r="Q538" s="447"/>
      <c r="R538" s="447"/>
      <c r="S538" s="447"/>
      <c r="T538" s="447"/>
      <c r="U538" s="447"/>
      <c r="V538" s="447"/>
      <c r="W538" s="447"/>
      <c r="X538" s="447"/>
      <c r="Y538" s="447"/>
      <c r="Z538" s="447"/>
      <c r="AA538" s="447"/>
    </row>
    <row r="539" spans="1:27">
      <c r="A539" s="465"/>
      <c r="B539" s="466"/>
      <c r="C539" s="465"/>
      <c r="D539" s="467"/>
      <c r="E539" s="447"/>
      <c r="F539" s="447"/>
      <c r="G539" s="447"/>
      <c r="H539" s="447"/>
      <c r="I539" s="447"/>
      <c r="J539" s="447"/>
      <c r="K539" s="447"/>
      <c r="L539" s="447"/>
      <c r="M539" s="447"/>
      <c r="N539" s="447"/>
      <c r="O539" s="447"/>
      <c r="P539" s="447"/>
      <c r="Q539" s="447"/>
      <c r="R539" s="447"/>
      <c r="S539" s="447"/>
      <c r="T539" s="447"/>
      <c r="U539" s="447"/>
      <c r="V539" s="447"/>
      <c r="W539" s="447"/>
      <c r="X539" s="447"/>
      <c r="Y539" s="447"/>
      <c r="Z539" s="447"/>
      <c r="AA539" s="447"/>
    </row>
    <row r="540" spans="1:27">
      <c r="A540" s="465"/>
      <c r="B540" s="466"/>
      <c r="C540" s="465"/>
      <c r="D540" s="467"/>
      <c r="E540" s="447"/>
      <c r="F540" s="447"/>
      <c r="G540" s="447"/>
      <c r="H540" s="447"/>
      <c r="I540" s="447"/>
      <c r="J540" s="447"/>
      <c r="K540" s="447"/>
      <c r="L540" s="447"/>
      <c r="M540" s="447"/>
      <c r="N540" s="447"/>
      <c r="O540" s="447"/>
      <c r="P540" s="447"/>
      <c r="Q540" s="447"/>
      <c r="R540" s="447"/>
      <c r="S540" s="447"/>
      <c r="T540" s="447"/>
      <c r="U540" s="447"/>
      <c r="V540" s="447"/>
      <c r="W540" s="447"/>
      <c r="X540" s="447"/>
      <c r="Y540" s="447"/>
      <c r="Z540" s="447"/>
      <c r="AA540" s="447"/>
    </row>
    <row r="541" spans="1:27">
      <c r="A541" s="465"/>
      <c r="B541" s="466"/>
      <c r="C541" s="465"/>
      <c r="D541" s="467"/>
      <c r="E541" s="447"/>
      <c r="F541" s="447"/>
      <c r="G541" s="447"/>
      <c r="H541" s="447"/>
      <c r="I541" s="447"/>
      <c r="J541" s="447"/>
      <c r="K541" s="447"/>
      <c r="L541" s="447"/>
      <c r="M541" s="447"/>
      <c r="N541" s="447"/>
      <c r="O541" s="447"/>
      <c r="P541" s="447"/>
      <c r="Q541" s="447"/>
      <c r="R541" s="447"/>
      <c r="S541" s="447"/>
      <c r="T541" s="447"/>
      <c r="U541" s="447"/>
      <c r="V541" s="447"/>
      <c r="W541" s="447"/>
      <c r="X541" s="447"/>
      <c r="Y541" s="447"/>
      <c r="Z541" s="447"/>
      <c r="AA541" s="447"/>
    </row>
    <row r="542" spans="1:27">
      <c r="A542" s="465"/>
      <c r="B542" s="466"/>
      <c r="C542" s="465"/>
      <c r="D542" s="467"/>
      <c r="E542" s="447"/>
      <c r="F542" s="447"/>
      <c r="G542" s="447"/>
      <c r="H542" s="447"/>
      <c r="I542" s="447"/>
      <c r="J542" s="447"/>
      <c r="K542" s="447"/>
      <c r="L542" s="447"/>
      <c r="M542" s="447"/>
      <c r="N542" s="447"/>
      <c r="O542" s="447"/>
      <c r="P542" s="447"/>
      <c r="Q542" s="447"/>
      <c r="R542" s="447"/>
      <c r="S542" s="447"/>
      <c r="T542" s="447"/>
      <c r="U542" s="447"/>
      <c r="V542" s="447"/>
      <c r="W542" s="447"/>
      <c r="X542" s="447"/>
      <c r="Y542" s="447"/>
      <c r="Z542" s="447"/>
      <c r="AA542" s="447"/>
    </row>
    <row r="543" spans="1:27">
      <c r="A543" s="465"/>
      <c r="B543" s="466"/>
      <c r="C543" s="465"/>
      <c r="D543" s="467"/>
      <c r="E543" s="447"/>
      <c r="F543" s="447"/>
      <c r="G543" s="447"/>
      <c r="H543" s="447"/>
      <c r="I543" s="447"/>
      <c r="J543" s="447"/>
      <c r="K543" s="447"/>
      <c r="L543" s="447"/>
      <c r="M543" s="447"/>
      <c r="N543" s="447"/>
      <c r="O543" s="447"/>
      <c r="P543" s="447"/>
      <c r="Q543" s="447"/>
      <c r="R543" s="447"/>
      <c r="S543" s="447"/>
      <c r="T543" s="447"/>
      <c r="U543" s="447"/>
      <c r="V543" s="447"/>
      <c r="W543" s="447"/>
      <c r="X543" s="447"/>
      <c r="Y543" s="447"/>
      <c r="Z543" s="447"/>
      <c r="AA543" s="447"/>
    </row>
    <row r="544" spans="1:27">
      <c r="A544" s="465"/>
      <c r="B544" s="466"/>
      <c r="C544" s="465"/>
      <c r="D544" s="467"/>
      <c r="E544" s="447"/>
      <c r="F544" s="447"/>
      <c r="G544" s="447"/>
      <c r="H544" s="447"/>
      <c r="I544" s="447"/>
      <c r="J544" s="447"/>
      <c r="K544" s="447"/>
      <c r="L544" s="447"/>
      <c r="M544" s="447"/>
      <c r="N544" s="447"/>
      <c r="O544" s="447"/>
      <c r="P544" s="447"/>
      <c r="Q544" s="447"/>
      <c r="R544" s="447"/>
      <c r="S544" s="447"/>
      <c r="T544" s="447"/>
      <c r="U544" s="447"/>
      <c r="V544" s="447"/>
      <c r="W544" s="447"/>
      <c r="X544" s="447"/>
      <c r="Y544" s="447"/>
      <c r="Z544" s="447"/>
      <c r="AA544" s="447"/>
    </row>
    <row r="545" spans="1:27">
      <c r="A545" s="465"/>
      <c r="B545" s="466"/>
      <c r="C545" s="465"/>
      <c r="D545" s="467"/>
      <c r="E545" s="447"/>
      <c r="F545" s="447"/>
      <c r="G545" s="447"/>
      <c r="H545" s="447"/>
      <c r="I545" s="447"/>
      <c r="J545" s="447"/>
      <c r="K545" s="447"/>
      <c r="L545" s="447"/>
      <c r="M545" s="447"/>
      <c r="N545" s="447"/>
      <c r="O545" s="447"/>
      <c r="P545" s="447"/>
      <c r="Q545" s="447"/>
      <c r="R545" s="447"/>
      <c r="S545" s="447"/>
      <c r="T545" s="447"/>
      <c r="U545" s="447"/>
      <c r="V545" s="447"/>
      <c r="W545" s="447"/>
      <c r="X545" s="447"/>
      <c r="Y545" s="447"/>
      <c r="Z545" s="447"/>
      <c r="AA545" s="447"/>
    </row>
    <row r="546" spans="1:27">
      <c r="A546" s="465"/>
      <c r="B546" s="466"/>
      <c r="C546" s="465"/>
      <c r="D546" s="467"/>
      <c r="E546" s="447"/>
      <c r="F546" s="447"/>
      <c r="G546" s="447"/>
      <c r="H546" s="447"/>
      <c r="I546" s="447"/>
      <c r="J546" s="447"/>
      <c r="K546" s="447"/>
      <c r="L546" s="447"/>
      <c r="M546" s="447"/>
      <c r="N546" s="447"/>
      <c r="O546" s="447"/>
      <c r="P546" s="447"/>
      <c r="Q546" s="447"/>
      <c r="R546" s="447"/>
      <c r="S546" s="447"/>
      <c r="T546" s="447"/>
      <c r="U546" s="447"/>
      <c r="V546" s="447"/>
      <c r="W546" s="447"/>
      <c r="X546" s="447"/>
      <c r="Y546" s="447"/>
      <c r="Z546" s="447"/>
      <c r="AA546" s="447"/>
    </row>
    <row r="547" spans="1:27">
      <c r="A547" s="465"/>
      <c r="B547" s="466"/>
      <c r="C547" s="465"/>
      <c r="D547" s="467"/>
      <c r="E547" s="447"/>
      <c r="F547" s="447"/>
      <c r="G547" s="447"/>
      <c r="H547" s="447"/>
      <c r="I547" s="447"/>
      <c r="J547" s="447"/>
      <c r="K547" s="447"/>
      <c r="L547" s="447"/>
      <c r="M547" s="447"/>
      <c r="N547" s="447"/>
      <c r="O547" s="447"/>
      <c r="P547" s="447"/>
      <c r="Q547" s="447"/>
      <c r="R547" s="447"/>
      <c r="S547" s="447"/>
      <c r="T547" s="447"/>
      <c r="U547" s="447"/>
      <c r="V547" s="447"/>
      <c r="W547" s="447"/>
      <c r="X547" s="447"/>
      <c r="Y547" s="447"/>
      <c r="Z547" s="447"/>
      <c r="AA547" s="447"/>
    </row>
    <row r="548" spans="1:27">
      <c r="A548" s="465"/>
      <c r="B548" s="466"/>
      <c r="C548" s="465"/>
      <c r="D548" s="467"/>
      <c r="E548" s="447"/>
      <c r="F548" s="447"/>
      <c r="G548" s="447"/>
      <c r="H548" s="447"/>
      <c r="I548" s="447"/>
      <c r="J548" s="447"/>
      <c r="K548" s="447"/>
      <c r="L548" s="447"/>
      <c r="M548" s="447"/>
      <c r="N548" s="447"/>
      <c r="O548" s="447"/>
      <c r="P548" s="447"/>
      <c r="Q548" s="447"/>
      <c r="R548" s="447"/>
      <c r="S548" s="447"/>
      <c r="T548" s="447"/>
      <c r="U548" s="447"/>
      <c r="V548" s="447"/>
      <c r="W548" s="447"/>
      <c r="X548" s="447"/>
      <c r="Y548" s="447"/>
      <c r="Z548" s="447"/>
      <c r="AA548" s="447"/>
    </row>
    <row r="549" spans="1:27">
      <c r="A549" s="465"/>
      <c r="B549" s="466"/>
      <c r="C549" s="465"/>
      <c r="D549" s="467"/>
      <c r="E549" s="447"/>
      <c r="F549" s="447"/>
      <c r="G549" s="447"/>
      <c r="H549" s="447"/>
      <c r="I549" s="447"/>
      <c r="J549" s="447"/>
      <c r="K549" s="447"/>
      <c r="L549" s="447"/>
      <c r="M549" s="447"/>
      <c r="N549" s="447"/>
      <c r="O549" s="447"/>
      <c r="P549" s="447"/>
      <c r="Q549" s="447"/>
      <c r="R549" s="447"/>
      <c r="S549" s="447"/>
      <c r="T549" s="447"/>
      <c r="U549" s="447"/>
      <c r="V549" s="447"/>
      <c r="W549" s="447"/>
      <c r="X549" s="447"/>
      <c r="Y549" s="447"/>
      <c r="Z549" s="447"/>
      <c r="AA549" s="447"/>
    </row>
    <row r="550" spans="1:27">
      <c r="A550" s="465"/>
      <c r="B550" s="466"/>
      <c r="C550" s="465"/>
      <c r="D550" s="467"/>
      <c r="E550" s="447"/>
      <c r="F550" s="447"/>
      <c r="G550" s="447"/>
      <c r="H550" s="447"/>
      <c r="I550" s="447"/>
      <c r="J550" s="447"/>
      <c r="K550" s="447"/>
      <c r="L550" s="447"/>
      <c r="M550" s="447"/>
      <c r="N550" s="447"/>
      <c r="O550" s="447"/>
      <c r="P550" s="447"/>
      <c r="Q550" s="447"/>
      <c r="R550" s="447"/>
      <c r="S550" s="447"/>
      <c r="T550" s="447"/>
      <c r="U550" s="447"/>
      <c r="V550" s="447"/>
      <c r="W550" s="447"/>
      <c r="X550" s="447"/>
      <c r="Y550" s="447"/>
      <c r="Z550" s="447"/>
      <c r="AA550" s="447"/>
    </row>
    <row r="551" spans="1:27">
      <c r="A551" s="465"/>
      <c r="B551" s="466"/>
      <c r="C551" s="465"/>
      <c r="D551" s="467"/>
      <c r="E551" s="447"/>
      <c r="F551" s="447"/>
      <c r="G551" s="447"/>
      <c r="H551" s="447"/>
      <c r="I551" s="447"/>
      <c r="J551" s="447"/>
      <c r="K551" s="447"/>
      <c r="L551" s="447"/>
      <c r="M551" s="447"/>
      <c r="N551" s="447"/>
      <c r="O551" s="447"/>
      <c r="P551" s="447"/>
      <c r="Q551" s="447"/>
      <c r="R551" s="447"/>
      <c r="S551" s="447"/>
      <c r="T551" s="447"/>
      <c r="U551" s="447"/>
      <c r="V551" s="447"/>
      <c r="W551" s="447"/>
      <c r="X551" s="447"/>
      <c r="Y551" s="447"/>
      <c r="Z551" s="447"/>
      <c r="AA551" s="447"/>
    </row>
    <row r="552" spans="1:27">
      <c r="A552" s="465"/>
      <c r="B552" s="466"/>
      <c r="C552" s="465"/>
      <c r="D552" s="467"/>
      <c r="E552" s="447"/>
      <c r="F552" s="447"/>
      <c r="G552" s="447"/>
      <c r="H552" s="447"/>
      <c r="I552" s="447"/>
      <c r="J552" s="447"/>
      <c r="K552" s="447"/>
      <c r="L552" s="447"/>
      <c r="M552" s="447"/>
      <c r="N552" s="447"/>
      <c r="O552" s="447"/>
      <c r="P552" s="447"/>
      <c r="Q552" s="447"/>
      <c r="R552" s="447"/>
      <c r="S552" s="447"/>
      <c r="T552" s="447"/>
      <c r="U552" s="447"/>
      <c r="V552" s="447"/>
      <c r="W552" s="447"/>
      <c r="X552" s="447"/>
      <c r="Y552" s="447"/>
      <c r="Z552" s="447"/>
      <c r="AA552" s="447"/>
    </row>
    <row r="553" spans="1:27">
      <c r="A553" s="465"/>
      <c r="B553" s="466"/>
      <c r="C553" s="465"/>
      <c r="D553" s="467"/>
      <c r="E553" s="447"/>
      <c r="F553" s="447"/>
      <c r="G553" s="447"/>
      <c r="H553" s="447"/>
      <c r="I553" s="447"/>
      <c r="J553" s="447"/>
      <c r="K553" s="447"/>
      <c r="L553" s="447"/>
      <c r="M553" s="447"/>
      <c r="N553" s="447"/>
      <c r="O553" s="447"/>
      <c r="P553" s="447"/>
      <c r="Q553" s="447"/>
      <c r="R553" s="447"/>
      <c r="S553" s="447"/>
      <c r="T553" s="447"/>
      <c r="U553" s="447"/>
      <c r="V553" s="447"/>
      <c r="W553" s="447"/>
      <c r="X553" s="447"/>
      <c r="Y553" s="447"/>
      <c r="Z553" s="447"/>
      <c r="AA553" s="447"/>
    </row>
    <row r="554" spans="1:27">
      <c r="A554" s="465"/>
      <c r="B554" s="466"/>
      <c r="C554" s="465"/>
      <c r="D554" s="467"/>
      <c r="E554" s="447"/>
      <c r="F554" s="447"/>
      <c r="G554" s="447"/>
      <c r="H554" s="447"/>
      <c r="I554" s="447"/>
      <c r="J554" s="447"/>
      <c r="K554" s="447"/>
      <c r="L554" s="447"/>
      <c r="M554" s="447"/>
      <c r="N554" s="447"/>
      <c r="O554" s="447"/>
      <c r="P554" s="447"/>
      <c r="Q554" s="447"/>
      <c r="R554" s="447"/>
      <c r="S554" s="447"/>
      <c r="T554" s="447"/>
      <c r="U554" s="447"/>
      <c r="V554" s="447"/>
      <c r="W554" s="447"/>
      <c r="X554" s="447"/>
      <c r="Y554" s="447"/>
      <c r="Z554" s="447"/>
      <c r="AA554" s="447"/>
    </row>
    <row r="555" spans="1:27">
      <c r="A555" s="465"/>
      <c r="B555" s="466"/>
      <c r="C555" s="465"/>
      <c r="D555" s="467"/>
      <c r="E555" s="447"/>
      <c r="F555" s="447"/>
      <c r="G555" s="447"/>
      <c r="H555" s="447"/>
      <c r="I555" s="447"/>
      <c r="J555" s="447"/>
      <c r="K555" s="447"/>
      <c r="L555" s="447"/>
      <c r="M555" s="447"/>
      <c r="N555" s="447"/>
      <c r="O555" s="447"/>
      <c r="P555" s="447"/>
      <c r="Q555" s="447"/>
      <c r="R555" s="447"/>
      <c r="S555" s="447"/>
      <c r="T555" s="447"/>
      <c r="U555" s="447"/>
      <c r="V555" s="447"/>
      <c r="W555" s="447"/>
      <c r="X555" s="447"/>
      <c r="Y555" s="447"/>
      <c r="Z555" s="447"/>
      <c r="AA555" s="447"/>
    </row>
    <row r="556" spans="1:27">
      <c r="A556" s="465"/>
      <c r="B556" s="466"/>
      <c r="C556" s="465"/>
      <c r="D556" s="467"/>
      <c r="E556" s="447"/>
      <c r="F556" s="447"/>
      <c r="G556" s="447"/>
      <c r="H556" s="447"/>
      <c r="I556" s="447"/>
      <c r="J556" s="447"/>
      <c r="K556" s="447"/>
      <c r="L556" s="447"/>
      <c r="M556" s="447"/>
      <c r="N556" s="447"/>
      <c r="O556" s="447"/>
      <c r="P556" s="447"/>
      <c r="Q556" s="447"/>
      <c r="R556" s="447"/>
      <c r="S556" s="447"/>
      <c r="T556" s="447"/>
      <c r="U556" s="447"/>
      <c r="V556" s="447"/>
      <c r="W556" s="447"/>
      <c r="X556" s="447"/>
      <c r="Y556" s="447"/>
      <c r="Z556" s="447"/>
      <c r="AA556" s="447"/>
    </row>
    <row r="557" spans="1:27">
      <c r="A557" s="465"/>
      <c r="B557" s="466"/>
      <c r="C557" s="465"/>
      <c r="D557" s="467"/>
      <c r="E557" s="447"/>
      <c r="F557" s="447"/>
      <c r="G557" s="447"/>
      <c r="H557" s="447"/>
      <c r="I557" s="447"/>
      <c r="J557" s="447"/>
      <c r="K557" s="447"/>
      <c r="L557" s="447"/>
      <c r="M557" s="447"/>
      <c r="N557" s="447"/>
      <c r="O557" s="447"/>
      <c r="P557" s="447"/>
      <c r="Q557" s="447"/>
      <c r="R557" s="447"/>
      <c r="S557" s="447"/>
      <c r="T557" s="447"/>
      <c r="U557" s="447"/>
      <c r="V557" s="447"/>
      <c r="W557" s="447"/>
      <c r="X557" s="447"/>
      <c r="Y557" s="447"/>
      <c r="Z557" s="447"/>
      <c r="AA557" s="447"/>
    </row>
    <row r="558" spans="1:27">
      <c r="A558" s="465"/>
      <c r="B558" s="466"/>
      <c r="C558" s="465"/>
      <c r="D558" s="467"/>
      <c r="E558" s="447"/>
      <c r="F558" s="447"/>
      <c r="G558" s="447"/>
      <c r="H558" s="447"/>
      <c r="I558" s="447"/>
      <c r="J558" s="447"/>
      <c r="K558" s="447"/>
      <c r="L558" s="447"/>
      <c r="M558" s="447"/>
      <c r="N558" s="447"/>
      <c r="O558" s="447"/>
      <c r="P558" s="447"/>
      <c r="Q558" s="447"/>
      <c r="R558" s="447"/>
      <c r="S558" s="447"/>
      <c r="T558" s="447"/>
      <c r="U558" s="447"/>
      <c r="V558" s="447"/>
      <c r="W558" s="447"/>
      <c r="X558" s="447"/>
      <c r="Y558" s="447"/>
      <c r="Z558" s="447"/>
      <c r="AA558" s="447"/>
    </row>
    <row r="559" spans="1:27">
      <c r="A559" s="465"/>
      <c r="B559" s="466"/>
      <c r="C559" s="465"/>
      <c r="D559" s="467"/>
      <c r="E559" s="447"/>
      <c r="F559" s="447"/>
      <c r="G559" s="447"/>
      <c r="H559" s="447"/>
      <c r="I559" s="447"/>
      <c r="J559" s="447"/>
      <c r="K559" s="447"/>
      <c r="L559" s="447"/>
      <c r="M559" s="447"/>
      <c r="N559" s="447"/>
      <c r="O559" s="447"/>
      <c r="P559" s="447"/>
      <c r="Q559" s="447"/>
      <c r="R559" s="447"/>
      <c r="S559" s="447"/>
      <c r="T559" s="447"/>
      <c r="U559" s="447"/>
      <c r="V559" s="447"/>
      <c r="W559" s="447"/>
      <c r="X559" s="447"/>
      <c r="Y559" s="447"/>
      <c r="Z559" s="447"/>
      <c r="AA559" s="447"/>
    </row>
    <row r="560" spans="1:27">
      <c r="A560" s="465"/>
      <c r="B560" s="466"/>
      <c r="C560" s="465"/>
      <c r="D560" s="467"/>
      <c r="E560" s="447"/>
      <c r="F560" s="447"/>
      <c r="G560" s="447"/>
      <c r="H560" s="447"/>
      <c r="I560" s="447"/>
      <c r="J560" s="447"/>
      <c r="K560" s="447"/>
      <c r="L560" s="447"/>
      <c r="M560" s="447"/>
      <c r="N560" s="447"/>
      <c r="O560" s="447"/>
      <c r="P560" s="447"/>
      <c r="Q560" s="447"/>
      <c r="R560" s="447"/>
      <c r="S560" s="447"/>
      <c r="T560" s="447"/>
      <c r="U560" s="447"/>
      <c r="V560" s="447"/>
      <c r="W560" s="447"/>
      <c r="X560" s="447"/>
      <c r="Y560" s="447"/>
      <c r="Z560" s="447"/>
      <c r="AA560" s="447"/>
    </row>
    <row r="561" spans="1:27">
      <c r="A561" s="465"/>
      <c r="B561" s="466"/>
      <c r="C561" s="465"/>
      <c r="D561" s="467"/>
      <c r="E561" s="447"/>
      <c r="F561" s="447"/>
      <c r="G561" s="447"/>
      <c r="H561" s="447"/>
      <c r="I561" s="447"/>
      <c r="J561" s="447"/>
      <c r="K561" s="447"/>
      <c r="L561" s="447"/>
      <c r="M561" s="447"/>
      <c r="N561" s="447"/>
      <c r="O561" s="447"/>
      <c r="P561" s="447"/>
      <c r="Q561" s="447"/>
      <c r="R561" s="447"/>
      <c r="S561" s="447"/>
      <c r="T561" s="447"/>
      <c r="U561" s="447"/>
      <c r="V561" s="447"/>
      <c r="W561" s="447"/>
      <c r="X561" s="447"/>
      <c r="Y561" s="447"/>
      <c r="Z561" s="447"/>
      <c r="AA561" s="447"/>
    </row>
    <row r="562" spans="1:27">
      <c r="A562" s="465"/>
      <c r="B562" s="466"/>
      <c r="C562" s="465"/>
      <c r="D562" s="467"/>
      <c r="E562" s="447"/>
      <c r="F562" s="447"/>
      <c r="G562" s="447"/>
      <c r="H562" s="447"/>
      <c r="I562" s="447"/>
      <c r="J562" s="447"/>
      <c r="K562" s="447"/>
      <c r="L562" s="447"/>
      <c r="M562" s="447"/>
      <c r="N562" s="447"/>
      <c r="O562" s="447"/>
      <c r="P562" s="447"/>
      <c r="Q562" s="447"/>
      <c r="R562" s="447"/>
      <c r="S562" s="447"/>
      <c r="T562" s="447"/>
      <c r="U562" s="447"/>
      <c r="V562" s="447"/>
      <c r="W562" s="447"/>
      <c r="X562" s="447"/>
      <c r="Y562" s="447"/>
      <c r="Z562" s="447"/>
      <c r="AA562" s="447"/>
    </row>
    <row r="563" spans="1:27">
      <c r="A563" s="465"/>
      <c r="B563" s="466"/>
      <c r="C563" s="465"/>
      <c r="D563" s="467"/>
      <c r="E563" s="447"/>
      <c r="F563" s="447"/>
      <c r="G563" s="447"/>
      <c r="H563" s="447"/>
      <c r="I563" s="447"/>
      <c r="J563" s="447"/>
      <c r="K563" s="447"/>
      <c r="L563" s="447"/>
      <c r="M563" s="447"/>
      <c r="N563" s="447"/>
      <c r="O563" s="447"/>
      <c r="P563" s="447"/>
      <c r="Q563" s="447"/>
      <c r="R563" s="447"/>
      <c r="S563" s="447"/>
      <c r="T563" s="447"/>
      <c r="U563" s="447"/>
      <c r="V563" s="447"/>
      <c r="W563" s="447"/>
      <c r="X563" s="447"/>
      <c r="Y563" s="447"/>
      <c r="Z563" s="447"/>
      <c r="AA563" s="447"/>
    </row>
    <row r="564" spans="1:27">
      <c r="A564" s="465"/>
      <c r="B564" s="466"/>
      <c r="C564" s="465"/>
      <c r="D564" s="467"/>
      <c r="E564" s="447"/>
      <c r="F564" s="447"/>
      <c r="G564" s="447"/>
      <c r="H564" s="447"/>
      <c r="I564" s="447"/>
      <c r="J564" s="447"/>
      <c r="K564" s="447"/>
      <c r="L564" s="447"/>
      <c r="M564" s="447"/>
      <c r="N564" s="447"/>
      <c r="O564" s="447"/>
      <c r="P564" s="447"/>
      <c r="Q564" s="447"/>
      <c r="R564" s="447"/>
      <c r="S564" s="447"/>
      <c r="T564" s="447"/>
      <c r="U564" s="447"/>
      <c r="V564" s="447"/>
      <c r="W564" s="447"/>
      <c r="X564" s="447"/>
      <c r="Y564" s="447"/>
      <c r="Z564" s="447"/>
      <c r="AA564" s="447"/>
    </row>
    <row r="565" spans="1:27">
      <c r="A565" s="465"/>
      <c r="B565" s="466"/>
      <c r="C565" s="465"/>
      <c r="D565" s="467"/>
      <c r="E565" s="447"/>
      <c r="F565" s="447"/>
      <c r="G565" s="447"/>
      <c r="H565" s="447"/>
      <c r="I565" s="447"/>
      <c r="J565" s="447"/>
      <c r="K565" s="447"/>
      <c r="L565" s="447"/>
      <c r="M565" s="447"/>
      <c r="N565" s="447"/>
      <c r="O565" s="447"/>
      <c r="P565" s="447"/>
      <c r="Q565" s="447"/>
      <c r="R565" s="447"/>
      <c r="S565" s="447"/>
      <c r="T565" s="447"/>
      <c r="U565" s="447"/>
      <c r="V565" s="447"/>
      <c r="W565" s="447"/>
      <c r="X565" s="447"/>
      <c r="Y565" s="447"/>
      <c r="Z565" s="447"/>
      <c r="AA565" s="447"/>
    </row>
    <row r="566" spans="1:27">
      <c r="A566" s="465"/>
      <c r="B566" s="466"/>
      <c r="C566" s="465"/>
      <c r="D566" s="467"/>
      <c r="E566" s="447"/>
      <c r="F566" s="447"/>
      <c r="G566" s="447"/>
      <c r="H566" s="447"/>
      <c r="I566" s="447"/>
      <c r="J566" s="447"/>
      <c r="K566" s="447"/>
      <c r="L566" s="447"/>
      <c r="M566" s="447"/>
      <c r="N566" s="447"/>
      <c r="O566" s="447"/>
      <c r="P566" s="447"/>
      <c r="Q566" s="447"/>
      <c r="R566" s="447"/>
      <c r="S566" s="447"/>
      <c r="T566" s="447"/>
      <c r="U566" s="447"/>
      <c r="V566" s="447"/>
      <c r="W566" s="447"/>
      <c r="X566" s="447"/>
      <c r="Y566" s="447"/>
      <c r="Z566" s="447"/>
      <c r="AA566" s="447"/>
    </row>
    <row r="567" spans="1:27">
      <c r="A567" s="465"/>
      <c r="B567" s="466"/>
      <c r="C567" s="465"/>
      <c r="D567" s="467"/>
      <c r="E567" s="447"/>
      <c r="F567" s="447"/>
      <c r="G567" s="447"/>
      <c r="H567" s="447"/>
      <c r="I567" s="447"/>
      <c r="J567" s="447"/>
      <c r="K567" s="447"/>
      <c r="L567" s="447"/>
      <c r="M567" s="447"/>
      <c r="N567" s="447"/>
      <c r="O567" s="447"/>
      <c r="P567" s="447"/>
      <c r="Q567" s="447"/>
      <c r="R567" s="447"/>
      <c r="S567" s="447"/>
      <c r="T567" s="447"/>
      <c r="U567" s="447"/>
      <c r="V567" s="447"/>
      <c r="W567" s="447"/>
      <c r="X567" s="447"/>
      <c r="Y567" s="447"/>
      <c r="Z567" s="447"/>
      <c r="AA567" s="447"/>
    </row>
    <row r="568" spans="1:27">
      <c r="A568" s="465"/>
      <c r="B568" s="466"/>
      <c r="C568" s="465"/>
      <c r="D568" s="467"/>
      <c r="E568" s="447"/>
      <c r="F568" s="447"/>
      <c r="G568" s="447"/>
      <c r="H568" s="447"/>
      <c r="I568" s="447"/>
      <c r="J568" s="447"/>
      <c r="K568" s="447"/>
      <c r="L568" s="447"/>
      <c r="M568" s="447"/>
      <c r="N568" s="447"/>
      <c r="O568" s="447"/>
      <c r="P568" s="447"/>
      <c r="Q568" s="447"/>
      <c r="R568" s="447"/>
      <c r="S568" s="447"/>
      <c r="T568" s="447"/>
      <c r="U568" s="447"/>
      <c r="V568" s="447"/>
      <c r="W568" s="447"/>
      <c r="X568" s="447"/>
      <c r="Y568" s="447"/>
      <c r="Z568" s="447"/>
      <c r="AA568" s="447"/>
    </row>
    <row r="569" spans="1:27">
      <c r="A569" s="465"/>
      <c r="B569" s="466"/>
      <c r="C569" s="465"/>
      <c r="D569" s="467"/>
      <c r="E569" s="447"/>
      <c r="F569" s="447"/>
      <c r="G569" s="447"/>
      <c r="H569" s="447"/>
      <c r="I569" s="447"/>
      <c r="J569" s="447"/>
      <c r="K569" s="447"/>
      <c r="L569" s="447"/>
      <c r="M569" s="447"/>
      <c r="N569" s="447"/>
      <c r="O569" s="447"/>
      <c r="P569" s="447"/>
      <c r="Q569" s="447"/>
      <c r="R569" s="447"/>
      <c r="S569" s="447"/>
      <c r="T569" s="447"/>
      <c r="U569" s="447"/>
      <c r="V569" s="447"/>
      <c r="W569" s="447"/>
      <c r="X569" s="447"/>
      <c r="Y569" s="447"/>
      <c r="Z569" s="447"/>
      <c r="AA569" s="447"/>
    </row>
    <row r="570" spans="1:27">
      <c r="A570" s="465"/>
      <c r="B570" s="466"/>
      <c r="C570" s="465"/>
      <c r="D570" s="467"/>
      <c r="E570" s="447"/>
      <c r="F570" s="447"/>
      <c r="G570" s="447"/>
      <c r="H570" s="447"/>
      <c r="I570" s="447"/>
      <c r="J570" s="447"/>
      <c r="K570" s="447"/>
      <c r="L570" s="447"/>
      <c r="M570" s="447"/>
      <c r="N570" s="447"/>
      <c r="O570" s="447"/>
      <c r="P570" s="447"/>
      <c r="Q570" s="447"/>
      <c r="R570" s="447"/>
      <c r="S570" s="447"/>
      <c r="T570" s="447"/>
      <c r="U570" s="447"/>
      <c r="V570" s="447"/>
      <c r="W570" s="447"/>
      <c r="X570" s="447"/>
      <c r="Y570" s="447"/>
      <c r="Z570" s="447"/>
      <c r="AA570" s="447"/>
    </row>
    <row r="571" spans="1:27">
      <c r="A571" s="465"/>
      <c r="B571" s="466"/>
      <c r="C571" s="465"/>
      <c r="D571" s="467"/>
      <c r="E571" s="447"/>
      <c r="F571" s="447"/>
      <c r="G571" s="447"/>
      <c r="H571" s="447"/>
      <c r="I571" s="447"/>
      <c r="J571" s="447"/>
      <c r="K571" s="447"/>
      <c r="L571" s="447"/>
      <c r="M571" s="447"/>
      <c r="N571" s="447"/>
      <c r="O571" s="447"/>
      <c r="P571" s="447"/>
      <c r="Q571" s="447"/>
      <c r="R571" s="447"/>
      <c r="S571" s="447"/>
      <c r="T571" s="447"/>
      <c r="U571" s="447"/>
      <c r="V571" s="447"/>
      <c r="W571" s="447"/>
      <c r="X571" s="447"/>
      <c r="Y571" s="447"/>
      <c r="Z571" s="447"/>
      <c r="AA571" s="447"/>
    </row>
    <row r="572" spans="1:27">
      <c r="A572" s="465"/>
      <c r="B572" s="466"/>
      <c r="C572" s="465"/>
      <c r="D572" s="467"/>
      <c r="E572" s="447"/>
      <c r="F572" s="447"/>
      <c r="G572" s="447"/>
      <c r="H572" s="447"/>
      <c r="I572" s="447"/>
      <c r="J572" s="447"/>
      <c r="K572" s="447"/>
      <c r="L572" s="447"/>
      <c r="M572" s="447"/>
      <c r="N572" s="447"/>
      <c r="O572" s="447"/>
      <c r="P572" s="447"/>
      <c r="Q572" s="447"/>
      <c r="R572" s="447"/>
      <c r="S572" s="447"/>
      <c r="T572" s="447"/>
      <c r="U572" s="447"/>
      <c r="V572" s="447"/>
      <c r="W572" s="447"/>
      <c r="X572" s="447"/>
      <c r="Y572" s="447"/>
      <c r="Z572" s="447"/>
      <c r="AA572" s="447"/>
    </row>
    <row r="573" spans="1:27">
      <c r="A573" s="465"/>
      <c r="B573" s="466"/>
      <c r="C573" s="465"/>
      <c r="D573" s="467"/>
      <c r="E573" s="447"/>
      <c r="F573" s="447"/>
      <c r="G573" s="447"/>
      <c r="H573" s="447"/>
      <c r="I573" s="447"/>
      <c r="J573" s="447"/>
      <c r="K573" s="447"/>
      <c r="L573" s="447"/>
      <c r="M573" s="447"/>
      <c r="N573" s="447"/>
      <c r="O573" s="447"/>
      <c r="P573" s="447"/>
      <c r="Q573" s="447"/>
      <c r="R573" s="447"/>
      <c r="S573" s="447"/>
      <c r="T573" s="447"/>
      <c r="U573" s="447"/>
      <c r="V573" s="447"/>
      <c r="W573" s="447"/>
      <c r="X573" s="447"/>
      <c r="Y573" s="447"/>
      <c r="Z573" s="447"/>
      <c r="AA573" s="447"/>
    </row>
    <row r="574" spans="1:27">
      <c r="A574" s="465"/>
      <c r="B574" s="466"/>
      <c r="C574" s="465"/>
      <c r="D574" s="467"/>
      <c r="E574" s="447"/>
      <c r="F574" s="447"/>
      <c r="G574" s="447"/>
      <c r="H574" s="447"/>
      <c r="I574" s="447"/>
      <c r="J574" s="447"/>
      <c r="K574" s="447"/>
      <c r="L574" s="447"/>
      <c r="M574" s="447"/>
      <c r="N574" s="447"/>
      <c r="O574" s="447"/>
      <c r="P574" s="447"/>
      <c r="Q574" s="447"/>
      <c r="R574" s="447"/>
      <c r="S574" s="447"/>
      <c r="T574" s="447"/>
      <c r="U574" s="447"/>
      <c r="V574" s="447"/>
      <c r="W574" s="447"/>
      <c r="X574" s="447"/>
      <c r="Y574" s="447"/>
      <c r="Z574" s="447"/>
      <c r="AA574" s="447"/>
    </row>
    <row r="575" spans="1:27">
      <c r="A575" s="465"/>
      <c r="B575" s="466"/>
      <c r="C575" s="465"/>
      <c r="D575" s="467"/>
      <c r="E575" s="447"/>
      <c r="F575" s="447"/>
      <c r="G575" s="447"/>
      <c r="H575" s="447"/>
      <c r="I575" s="447"/>
      <c r="J575" s="447"/>
      <c r="K575" s="447"/>
      <c r="L575" s="447"/>
      <c r="M575" s="447"/>
      <c r="N575" s="447"/>
      <c r="O575" s="447"/>
      <c r="P575" s="447"/>
      <c r="Q575" s="447"/>
      <c r="R575" s="447"/>
      <c r="S575" s="447"/>
      <c r="T575" s="447"/>
      <c r="U575" s="447"/>
      <c r="V575" s="447"/>
      <c r="W575" s="447"/>
      <c r="X575" s="447"/>
      <c r="Y575" s="447"/>
      <c r="Z575" s="447"/>
      <c r="AA575" s="447"/>
    </row>
    <row r="576" spans="1:27">
      <c r="A576" s="465"/>
      <c r="B576" s="466"/>
      <c r="C576" s="465"/>
      <c r="D576" s="467"/>
      <c r="E576" s="447"/>
      <c r="F576" s="447"/>
      <c r="G576" s="447"/>
      <c r="H576" s="447"/>
      <c r="I576" s="447"/>
      <c r="J576" s="447"/>
      <c r="K576" s="447"/>
      <c r="L576" s="447"/>
      <c r="M576" s="447"/>
      <c r="N576" s="447"/>
      <c r="O576" s="447"/>
      <c r="P576" s="447"/>
      <c r="Q576" s="447"/>
      <c r="R576" s="447"/>
      <c r="S576" s="447"/>
      <c r="T576" s="447"/>
      <c r="U576" s="447"/>
      <c r="V576" s="447"/>
      <c r="W576" s="447"/>
      <c r="X576" s="447"/>
      <c r="Y576" s="447"/>
      <c r="Z576" s="447"/>
      <c r="AA576" s="447"/>
    </row>
    <row r="577" spans="1:27">
      <c r="A577" s="465"/>
      <c r="B577" s="466"/>
      <c r="C577" s="465"/>
      <c r="D577" s="467"/>
      <c r="E577" s="447"/>
      <c r="F577" s="447"/>
      <c r="G577" s="447"/>
      <c r="H577" s="447"/>
      <c r="I577" s="447"/>
      <c r="J577" s="447"/>
      <c r="K577" s="447"/>
      <c r="L577" s="447"/>
      <c r="M577" s="447"/>
      <c r="N577" s="447"/>
      <c r="O577" s="447"/>
      <c r="P577" s="447"/>
      <c r="Q577" s="447"/>
      <c r="R577" s="447"/>
      <c r="S577" s="447"/>
      <c r="T577" s="447"/>
      <c r="U577" s="447"/>
      <c r="V577" s="447"/>
      <c r="W577" s="447"/>
      <c r="X577" s="447"/>
      <c r="Y577" s="447"/>
      <c r="Z577" s="447"/>
      <c r="AA577" s="447"/>
    </row>
    <row r="578" spans="1:27">
      <c r="A578" s="465"/>
      <c r="B578" s="466"/>
      <c r="C578" s="465"/>
      <c r="D578" s="467"/>
      <c r="E578" s="447"/>
      <c r="F578" s="447"/>
      <c r="G578" s="447"/>
      <c r="H578" s="447"/>
      <c r="I578" s="447"/>
      <c r="J578" s="447"/>
      <c r="K578" s="447"/>
      <c r="L578" s="447"/>
      <c r="M578" s="447"/>
      <c r="N578" s="447"/>
      <c r="O578" s="447"/>
      <c r="P578" s="447"/>
      <c r="Q578" s="447"/>
      <c r="R578" s="447"/>
      <c r="S578" s="447"/>
      <c r="T578" s="447"/>
      <c r="U578" s="447"/>
      <c r="V578" s="447"/>
      <c r="W578" s="447"/>
      <c r="X578" s="447"/>
      <c r="Y578" s="447"/>
      <c r="Z578" s="447"/>
      <c r="AA578" s="447"/>
    </row>
    <row r="579" spans="1:27">
      <c r="A579" s="465"/>
      <c r="B579" s="466"/>
      <c r="C579" s="465"/>
      <c r="D579" s="467"/>
      <c r="E579" s="447"/>
      <c r="F579" s="447"/>
      <c r="G579" s="447"/>
      <c r="H579" s="447"/>
      <c r="I579" s="447"/>
      <c r="J579" s="447"/>
      <c r="K579" s="447"/>
      <c r="L579" s="447"/>
      <c r="M579" s="447"/>
      <c r="N579" s="447"/>
      <c r="O579" s="447"/>
      <c r="P579" s="447"/>
      <c r="Q579" s="447"/>
      <c r="R579" s="447"/>
      <c r="S579" s="447"/>
      <c r="T579" s="447"/>
      <c r="U579" s="447"/>
      <c r="V579" s="447"/>
      <c r="W579" s="447"/>
      <c r="X579" s="447"/>
      <c r="Y579" s="447"/>
      <c r="Z579" s="447"/>
      <c r="AA579" s="447"/>
    </row>
    <row r="580" spans="1:27">
      <c r="A580" s="465"/>
      <c r="B580" s="466"/>
      <c r="C580" s="465"/>
      <c r="D580" s="467"/>
      <c r="E580" s="447"/>
      <c r="F580" s="447"/>
      <c r="G580" s="447"/>
      <c r="H580" s="447"/>
      <c r="I580" s="447"/>
      <c r="J580" s="447"/>
      <c r="K580" s="447"/>
      <c r="L580" s="447"/>
      <c r="M580" s="447"/>
      <c r="N580" s="447"/>
      <c r="O580" s="447"/>
      <c r="P580" s="447"/>
      <c r="Q580" s="447"/>
      <c r="R580" s="447"/>
      <c r="S580" s="447"/>
      <c r="T580" s="447"/>
      <c r="U580" s="447"/>
      <c r="V580" s="447"/>
      <c r="W580" s="447"/>
      <c r="X580" s="447"/>
      <c r="Y580" s="447"/>
      <c r="Z580" s="447"/>
      <c r="AA580" s="447"/>
    </row>
    <row r="581" spans="1:27">
      <c r="A581" s="465"/>
      <c r="B581" s="466"/>
      <c r="C581" s="465"/>
      <c r="D581" s="467"/>
      <c r="E581" s="447"/>
      <c r="F581" s="447"/>
      <c r="G581" s="447"/>
      <c r="H581" s="447"/>
      <c r="I581" s="447"/>
      <c r="J581" s="447"/>
      <c r="K581" s="447"/>
      <c r="L581" s="447"/>
      <c r="M581" s="447"/>
      <c r="N581" s="447"/>
      <c r="O581" s="447"/>
      <c r="P581" s="447"/>
      <c r="Q581" s="447"/>
      <c r="R581" s="447"/>
      <c r="S581" s="447"/>
      <c r="T581" s="447"/>
      <c r="U581" s="447"/>
      <c r="V581" s="447"/>
      <c r="W581" s="447"/>
      <c r="X581" s="447"/>
      <c r="Y581" s="447"/>
      <c r="Z581" s="447"/>
      <c r="AA581" s="447"/>
    </row>
    <row r="582" spans="1:27">
      <c r="A582" s="465"/>
      <c r="B582" s="466"/>
      <c r="C582" s="465"/>
      <c r="D582" s="467"/>
      <c r="E582" s="447"/>
      <c r="F582" s="447"/>
      <c r="G582" s="447"/>
      <c r="H582" s="447"/>
      <c r="I582" s="447"/>
      <c r="J582" s="447"/>
      <c r="K582" s="447"/>
      <c r="L582" s="447"/>
      <c r="M582" s="447"/>
      <c r="N582" s="447"/>
      <c r="O582" s="447"/>
      <c r="P582" s="447"/>
      <c r="Q582" s="447"/>
      <c r="R582" s="447"/>
      <c r="S582" s="447"/>
      <c r="T582" s="447"/>
      <c r="U582" s="447"/>
      <c r="V582" s="447"/>
      <c r="W582" s="447"/>
      <c r="X582" s="447"/>
      <c r="Y582" s="447"/>
      <c r="Z582" s="447"/>
      <c r="AA582" s="447"/>
    </row>
    <row r="583" spans="1:27">
      <c r="A583" s="465"/>
      <c r="B583" s="466"/>
      <c r="C583" s="465"/>
      <c r="D583" s="467"/>
      <c r="E583" s="447"/>
      <c r="F583" s="447"/>
      <c r="G583" s="447"/>
      <c r="H583" s="447"/>
      <c r="I583" s="447"/>
      <c r="J583" s="447"/>
      <c r="K583" s="447"/>
      <c r="L583" s="447"/>
      <c r="M583" s="447"/>
      <c r="N583" s="447"/>
      <c r="O583" s="447"/>
      <c r="P583" s="447"/>
      <c r="Q583" s="447"/>
      <c r="R583" s="447"/>
      <c r="S583" s="447"/>
      <c r="T583" s="447"/>
      <c r="U583" s="447"/>
      <c r="V583" s="447"/>
      <c r="W583" s="447"/>
      <c r="X583" s="447"/>
      <c r="Y583" s="447"/>
      <c r="Z583" s="447"/>
      <c r="AA583" s="447"/>
    </row>
    <row r="584" spans="1:27">
      <c r="A584" s="465"/>
      <c r="B584" s="466"/>
      <c r="C584" s="465"/>
      <c r="D584" s="467"/>
      <c r="E584" s="447"/>
      <c r="F584" s="447"/>
      <c r="G584" s="447"/>
      <c r="H584" s="447"/>
      <c r="I584" s="447"/>
      <c r="J584" s="447"/>
      <c r="K584" s="447"/>
      <c r="L584" s="447"/>
      <c r="M584" s="447"/>
      <c r="N584" s="447"/>
      <c r="O584" s="447"/>
      <c r="P584" s="447"/>
      <c r="Q584" s="447"/>
      <c r="R584" s="447"/>
      <c r="S584" s="447"/>
      <c r="T584" s="447"/>
      <c r="U584" s="447"/>
      <c r="V584" s="447"/>
      <c r="W584" s="447"/>
      <c r="X584" s="447"/>
      <c r="Y584" s="447"/>
      <c r="Z584" s="447"/>
      <c r="AA584" s="447"/>
    </row>
    <row r="585" spans="1:27">
      <c r="A585" s="465"/>
      <c r="B585" s="466"/>
      <c r="C585" s="465"/>
      <c r="D585" s="467"/>
      <c r="E585" s="447"/>
      <c r="F585" s="447"/>
      <c r="G585" s="447"/>
      <c r="H585" s="447"/>
      <c r="I585" s="447"/>
      <c r="J585" s="447"/>
      <c r="K585" s="447"/>
      <c r="L585" s="447"/>
      <c r="M585" s="447"/>
      <c r="N585" s="447"/>
      <c r="O585" s="447"/>
      <c r="P585" s="447"/>
      <c r="Q585" s="447"/>
      <c r="R585" s="447"/>
      <c r="S585" s="447"/>
      <c r="T585" s="447"/>
      <c r="U585" s="447"/>
      <c r="V585" s="447"/>
      <c r="W585" s="447"/>
      <c r="X585" s="447"/>
      <c r="Y585" s="447"/>
      <c r="Z585" s="447"/>
      <c r="AA585" s="447"/>
    </row>
    <row r="586" spans="1:27">
      <c r="A586" s="465"/>
      <c r="B586" s="466"/>
      <c r="C586" s="465"/>
      <c r="D586" s="467"/>
      <c r="E586" s="447"/>
      <c r="F586" s="447"/>
      <c r="G586" s="447"/>
      <c r="H586" s="447"/>
      <c r="I586" s="447"/>
      <c r="J586" s="447"/>
      <c r="K586" s="447"/>
      <c r="L586" s="447"/>
      <c r="M586" s="447"/>
      <c r="N586" s="447"/>
      <c r="O586" s="447"/>
      <c r="P586" s="447"/>
      <c r="Q586" s="447"/>
      <c r="R586" s="447"/>
      <c r="S586" s="447"/>
      <c r="T586" s="447"/>
      <c r="U586" s="447"/>
      <c r="V586" s="447"/>
      <c r="W586" s="447"/>
      <c r="X586" s="447"/>
      <c r="Y586" s="447"/>
      <c r="Z586" s="447"/>
      <c r="AA586" s="447"/>
    </row>
    <row r="587" spans="1:27">
      <c r="A587" s="465"/>
      <c r="B587" s="466"/>
      <c r="C587" s="465"/>
      <c r="D587" s="467"/>
      <c r="E587" s="447"/>
      <c r="F587" s="447"/>
      <c r="G587" s="447"/>
      <c r="H587" s="447"/>
      <c r="I587" s="447"/>
      <c r="J587" s="447"/>
      <c r="K587" s="447"/>
      <c r="L587" s="447"/>
      <c r="M587" s="447"/>
      <c r="N587" s="447"/>
      <c r="O587" s="447"/>
      <c r="P587" s="447"/>
      <c r="Q587" s="447"/>
      <c r="R587" s="447"/>
      <c r="S587" s="447"/>
      <c r="T587" s="447"/>
      <c r="U587" s="447"/>
      <c r="V587" s="447"/>
      <c r="W587" s="447"/>
      <c r="X587" s="447"/>
      <c r="Y587" s="447"/>
      <c r="Z587" s="447"/>
      <c r="AA587" s="447"/>
    </row>
    <row r="588" spans="1:27">
      <c r="A588" s="465"/>
      <c r="B588" s="466"/>
      <c r="C588" s="465"/>
      <c r="D588" s="467"/>
      <c r="E588" s="447"/>
      <c r="F588" s="447"/>
      <c r="G588" s="447"/>
      <c r="H588" s="447"/>
      <c r="I588" s="447"/>
      <c r="J588" s="447"/>
      <c r="K588" s="447"/>
      <c r="L588" s="447"/>
      <c r="M588" s="447"/>
      <c r="N588" s="447"/>
      <c r="O588" s="447"/>
      <c r="P588" s="447"/>
      <c r="Q588" s="447"/>
      <c r="R588" s="447"/>
      <c r="S588" s="447"/>
      <c r="T588" s="447"/>
      <c r="U588" s="447"/>
      <c r="V588" s="447"/>
      <c r="W588" s="447"/>
      <c r="X588" s="447"/>
      <c r="Y588" s="447"/>
      <c r="Z588" s="447"/>
      <c r="AA588" s="447"/>
    </row>
    <row r="589" spans="1:27">
      <c r="A589" s="465"/>
      <c r="B589" s="466"/>
      <c r="C589" s="465"/>
      <c r="D589" s="467"/>
      <c r="E589" s="447"/>
      <c r="F589" s="447"/>
      <c r="G589" s="447"/>
      <c r="H589" s="447"/>
      <c r="I589" s="447"/>
      <c r="J589" s="447"/>
      <c r="K589" s="447"/>
      <c r="L589" s="447"/>
      <c r="M589" s="447"/>
      <c r="N589" s="447"/>
      <c r="O589" s="447"/>
      <c r="P589" s="447"/>
      <c r="Q589" s="447"/>
      <c r="R589" s="447"/>
      <c r="S589" s="447"/>
      <c r="T589" s="447"/>
      <c r="U589" s="447"/>
      <c r="V589" s="447"/>
      <c r="W589" s="447"/>
      <c r="X589" s="447"/>
      <c r="Y589" s="447"/>
      <c r="Z589" s="447"/>
      <c r="AA589" s="447"/>
    </row>
    <row r="590" spans="1:27">
      <c r="A590" s="465"/>
      <c r="B590" s="466"/>
      <c r="C590" s="465"/>
      <c r="D590" s="467"/>
      <c r="E590" s="447"/>
      <c r="F590" s="447"/>
      <c r="G590" s="447"/>
      <c r="H590" s="447"/>
      <c r="I590" s="447"/>
      <c r="J590" s="447"/>
      <c r="K590" s="447"/>
      <c r="L590" s="447"/>
      <c r="M590" s="447"/>
      <c r="N590" s="447"/>
      <c r="O590" s="447"/>
      <c r="P590" s="447"/>
      <c r="Q590" s="447"/>
      <c r="R590" s="447"/>
      <c r="S590" s="447"/>
      <c r="T590" s="447"/>
      <c r="U590" s="447"/>
      <c r="V590" s="447"/>
      <c r="W590" s="447"/>
      <c r="X590" s="447"/>
      <c r="Y590" s="447"/>
      <c r="Z590" s="447"/>
      <c r="AA590" s="447"/>
    </row>
    <row r="591" spans="1:27">
      <c r="A591" s="465"/>
      <c r="B591" s="466"/>
      <c r="C591" s="465"/>
      <c r="D591" s="467"/>
      <c r="E591" s="447"/>
      <c r="F591" s="447"/>
      <c r="G591" s="447"/>
      <c r="H591" s="447"/>
      <c r="I591" s="447"/>
      <c r="J591" s="447"/>
      <c r="K591" s="447"/>
      <c r="L591" s="447"/>
      <c r="M591" s="447"/>
      <c r="N591" s="447"/>
      <c r="O591" s="447"/>
      <c r="P591" s="447"/>
      <c r="Q591" s="447"/>
      <c r="R591" s="447"/>
      <c r="S591" s="447"/>
      <c r="T591" s="447"/>
      <c r="U591" s="447"/>
      <c r="V591" s="447"/>
      <c r="W591" s="447"/>
      <c r="X591" s="447"/>
      <c r="Y591" s="447"/>
      <c r="Z591" s="447"/>
      <c r="AA591" s="447"/>
    </row>
    <row r="592" spans="1:27">
      <c r="A592" s="465"/>
      <c r="B592" s="466"/>
      <c r="C592" s="465"/>
      <c r="D592" s="467"/>
      <c r="E592" s="447"/>
      <c r="F592" s="447"/>
      <c r="G592" s="447"/>
      <c r="H592" s="447"/>
      <c r="I592" s="447"/>
      <c r="J592" s="447"/>
      <c r="K592" s="447"/>
      <c r="L592" s="447"/>
      <c r="M592" s="447"/>
      <c r="N592" s="447"/>
      <c r="O592" s="447"/>
      <c r="P592" s="447"/>
      <c r="Q592" s="447"/>
      <c r="R592" s="447"/>
      <c r="S592" s="447"/>
      <c r="T592" s="447"/>
      <c r="U592" s="447"/>
      <c r="V592" s="447"/>
      <c r="W592" s="447"/>
      <c r="X592" s="447"/>
      <c r="Y592" s="447"/>
      <c r="Z592" s="447"/>
      <c r="AA592" s="447"/>
    </row>
    <row r="593" spans="1:27">
      <c r="A593" s="465"/>
      <c r="B593" s="466"/>
      <c r="C593" s="465"/>
      <c r="D593" s="467"/>
      <c r="E593" s="447"/>
      <c r="F593" s="447"/>
      <c r="G593" s="447"/>
      <c r="H593" s="447"/>
      <c r="I593" s="447"/>
      <c r="J593" s="447"/>
      <c r="K593" s="447"/>
      <c r="L593" s="447"/>
      <c r="M593" s="447"/>
      <c r="N593" s="447"/>
      <c r="O593" s="447"/>
      <c r="P593" s="447"/>
      <c r="Q593" s="447"/>
      <c r="R593" s="447"/>
      <c r="S593" s="447"/>
      <c r="T593" s="447"/>
      <c r="U593" s="447"/>
      <c r="V593" s="447"/>
      <c r="W593" s="447"/>
      <c r="X593" s="447"/>
      <c r="Y593" s="447"/>
      <c r="Z593" s="447"/>
      <c r="AA593" s="447"/>
    </row>
    <row r="594" spans="1:27">
      <c r="A594" s="465"/>
      <c r="B594" s="466"/>
      <c r="C594" s="465"/>
      <c r="D594" s="467"/>
      <c r="E594" s="447"/>
      <c r="F594" s="447"/>
      <c r="G594" s="447"/>
      <c r="H594" s="447"/>
      <c r="I594" s="447"/>
      <c r="J594" s="447"/>
      <c r="K594" s="447"/>
      <c r="L594" s="447"/>
      <c r="M594" s="447"/>
      <c r="N594" s="447"/>
      <c r="O594" s="447"/>
      <c r="P594" s="447"/>
      <c r="Q594" s="447"/>
      <c r="R594" s="447"/>
      <c r="S594" s="447"/>
      <c r="T594" s="447"/>
      <c r="U594" s="447"/>
      <c r="V594" s="447"/>
      <c r="W594" s="447"/>
      <c r="X594" s="447"/>
      <c r="Y594" s="447"/>
      <c r="Z594" s="447"/>
      <c r="AA594" s="447"/>
    </row>
    <row r="595" spans="1:27">
      <c r="A595" s="465"/>
      <c r="B595" s="466"/>
      <c r="C595" s="465"/>
      <c r="D595" s="467"/>
      <c r="E595" s="447"/>
      <c r="F595" s="447"/>
      <c r="G595" s="447"/>
      <c r="H595" s="447"/>
      <c r="I595" s="447"/>
      <c r="J595" s="447"/>
      <c r="K595" s="447"/>
      <c r="L595" s="447"/>
      <c r="M595" s="447"/>
      <c r="N595" s="447"/>
      <c r="O595" s="447"/>
      <c r="P595" s="447"/>
      <c r="Q595" s="447"/>
      <c r="R595" s="447"/>
      <c r="S595" s="447"/>
      <c r="T595" s="447"/>
      <c r="U595" s="447"/>
      <c r="V595" s="447"/>
      <c r="W595" s="447"/>
      <c r="X595" s="447"/>
      <c r="Y595" s="447"/>
      <c r="Z595" s="447"/>
      <c r="AA595" s="447"/>
    </row>
    <row r="596" spans="1:27">
      <c r="A596" s="465"/>
      <c r="B596" s="466"/>
      <c r="C596" s="465"/>
      <c r="D596" s="467"/>
      <c r="E596" s="447"/>
      <c r="F596" s="447"/>
      <c r="G596" s="447"/>
      <c r="H596" s="447"/>
      <c r="I596" s="447"/>
      <c r="J596" s="447"/>
      <c r="K596" s="447"/>
      <c r="L596" s="447"/>
      <c r="M596" s="447"/>
      <c r="N596" s="447"/>
      <c r="O596" s="447"/>
      <c r="P596" s="447"/>
      <c r="Q596" s="447"/>
      <c r="R596" s="447"/>
      <c r="S596" s="447"/>
      <c r="T596" s="447"/>
      <c r="U596" s="447"/>
      <c r="V596" s="447"/>
      <c r="W596" s="447"/>
      <c r="X596" s="447"/>
      <c r="Y596" s="447"/>
      <c r="Z596" s="447"/>
      <c r="AA596" s="447"/>
    </row>
    <row r="597" spans="1:27">
      <c r="A597" s="465"/>
      <c r="B597" s="466"/>
      <c r="C597" s="465"/>
      <c r="D597" s="467"/>
      <c r="E597" s="447"/>
      <c r="F597" s="447"/>
      <c r="G597" s="447"/>
      <c r="H597" s="447"/>
      <c r="I597" s="447"/>
      <c r="J597" s="447"/>
      <c r="K597" s="447"/>
      <c r="L597" s="447"/>
      <c r="M597" s="447"/>
      <c r="N597" s="447"/>
      <c r="O597" s="447"/>
      <c r="P597" s="447"/>
      <c r="Q597" s="447"/>
      <c r="R597" s="447"/>
      <c r="S597" s="447"/>
      <c r="T597" s="447"/>
      <c r="U597" s="447"/>
      <c r="V597" s="447"/>
      <c r="W597" s="447"/>
      <c r="X597" s="447"/>
      <c r="Y597" s="447"/>
      <c r="Z597" s="447"/>
      <c r="AA597" s="447"/>
    </row>
    <row r="598" spans="1:27">
      <c r="A598" s="465"/>
      <c r="B598" s="466"/>
      <c r="C598" s="465"/>
      <c r="D598" s="467"/>
      <c r="E598" s="447"/>
      <c r="F598" s="447"/>
      <c r="G598" s="447"/>
      <c r="H598" s="447"/>
      <c r="I598" s="447"/>
      <c r="J598" s="447"/>
      <c r="K598" s="447"/>
      <c r="L598" s="447"/>
      <c r="M598" s="447"/>
      <c r="N598" s="447"/>
      <c r="O598" s="447"/>
      <c r="P598" s="447"/>
      <c r="Q598" s="447"/>
      <c r="R598" s="447"/>
      <c r="S598" s="447"/>
      <c r="T598" s="447"/>
      <c r="U598" s="447"/>
      <c r="V598" s="447"/>
      <c r="W598" s="447"/>
      <c r="X598" s="447"/>
      <c r="Y598" s="447"/>
      <c r="Z598" s="447"/>
      <c r="AA598" s="447"/>
    </row>
    <row r="599" spans="1:27">
      <c r="A599" s="465"/>
      <c r="B599" s="466"/>
      <c r="C599" s="465"/>
      <c r="D599" s="467"/>
      <c r="E599" s="447"/>
      <c r="F599" s="447"/>
      <c r="G599" s="447"/>
      <c r="H599" s="447"/>
      <c r="I599" s="447"/>
      <c r="J599" s="447"/>
      <c r="K599" s="447"/>
      <c r="L599" s="447"/>
      <c r="M599" s="447"/>
      <c r="N599" s="447"/>
      <c r="O599" s="447"/>
      <c r="P599" s="447"/>
      <c r="Q599" s="447"/>
      <c r="R599" s="447"/>
      <c r="S599" s="447"/>
      <c r="T599" s="447"/>
      <c r="U599" s="447"/>
      <c r="V599" s="447"/>
      <c r="W599" s="447"/>
      <c r="X599" s="447"/>
      <c r="Y599" s="447"/>
      <c r="Z599" s="447"/>
      <c r="AA599" s="447"/>
    </row>
    <row r="600" spans="1:27">
      <c r="A600" s="465"/>
      <c r="B600" s="466"/>
      <c r="C600" s="465"/>
      <c r="D600" s="467"/>
      <c r="E600" s="447"/>
      <c r="F600" s="447"/>
      <c r="G600" s="447"/>
      <c r="H600" s="447"/>
      <c r="I600" s="447"/>
      <c r="J600" s="447"/>
      <c r="K600" s="447"/>
      <c r="L600" s="447"/>
      <c r="M600" s="447"/>
      <c r="N600" s="447"/>
      <c r="O600" s="447"/>
      <c r="P600" s="447"/>
      <c r="Q600" s="447"/>
      <c r="R600" s="447"/>
      <c r="S600" s="447"/>
      <c r="T600" s="447"/>
      <c r="U600" s="447"/>
      <c r="V600" s="447"/>
      <c r="W600" s="447"/>
      <c r="X600" s="447"/>
      <c r="Y600" s="447"/>
      <c r="Z600" s="447"/>
      <c r="AA600" s="447"/>
    </row>
    <row r="601" spans="1:27">
      <c r="A601" s="465"/>
      <c r="B601" s="466"/>
      <c r="C601" s="465"/>
      <c r="D601" s="467"/>
      <c r="E601" s="447"/>
      <c r="F601" s="447"/>
      <c r="G601" s="447"/>
      <c r="H601" s="447"/>
      <c r="I601" s="447"/>
      <c r="J601" s="447"/>
      <c r="K601" s="447"/>
      <c r="L601" s="447"/>
      <c r="M601" s="447"/>
      <c r="N601" s="447"/>
      <c r="O601" s="447"/>
      <c r="P601" s="447"/>
      <c r="Q601" s="447"/>
      <c r="R601" s="447"/>
      <c r="S601" s="447"/>
      <c r="T601" s="447"/>
      <c r="U601" s="447"/>
      <c r="V601" s="447"/>
      <c r="W601" s="447"/>
      <c r="X601" s="447"/>
      <c r="Y601" s="447"/>
      <c r="Z601" s="447"/>
      <c r="AA601" s="447"/>
    </row>
    <row r="602" spans="1:27">
      <c r="A602" s="465"/>
      <c r="B602" s="466"/>
      <c r="C602" s="465"/>
      <c r="D602" s="467"/>
      <c r="E602" s="447"/>
      <c r="F602" s="447"/>
      <c r="G602" s="447"/>
      <c r="H602" s="447"/>
      <c r="I602" s="447"/>
      <c r="J602" s="447"/>
      <c r="K602" s="447"/>
      <c r="L602" s="447"/>
      <c r="M602" s="447"/>
      <c r="N602" s="447"/>
      <c r="O602" s="447"/>
      <c r="P602" s="447"/>
      <c r="Q602" s="447"/>
      <c r="R602" s="447"/>
      <c r="S602" s="447"/>
      <c r="T602" s="447"/>
      <c r="U602" s="447"/>
      <c r="V602" s="447"/>
      <c r="W602" s="447"/>
      <c r="X602" s="447"/>
      <c r="Y602" s="447"/>
      <c r="Z602" s="447"/>
      <c r="AA602" s="447"/>
    </row>
    <row r="603" spans="1:27">
      <c r="A603" s="465"/>
      <c r="B603" s="466"/>
      <c r="C603" s="465"/>
      <c r="D603" s="467"/>
      <c r="E603" s="447"/>
      <c r="F603" s="447"/>
      <c r="G603" s="447"/>
      <c r="H603" s="447"/>
      <c r="I603" s="447"/>
      <c r="J603" s="447"/>
      <c r="K603" s="447"/>
      <c r="L603" s="447"/>
      <c r="M603" s="447"/>
      <c r="N603" s="447"/>
      <c r="O603" s="447"/>
      <c r="P603" s="447"/>
      <c r="Q603" s="447"/>
      <c r="R603" s="447"/>
      <c r="S603" s="447"/>
      <c r="T603" s="447"/>
      <c r="U603" s="447"/>
      <c r="V603" s="447"/>
      <c r="W603" s="447"/>
      <c r="X603" s="447"/>
      <c r="Y603" s="447"/>
      <c r="Z603" s="447"/>
      <c r="AA603" s="447"/>
    </row>
    <row r="604" spans="1:27">
      <c r="A604" s="465"/>
      <c r="B604" s="466"/>
      <c r="C604" s="465"/>
      <c r="D604" s="467"/>
      <c r="E604" s="447"/>
      <c r="F604" s="447"/>
      <c r="G604" s="447"/>
      <c r="H604" s="447"/>
      <c r="I604" s="447"/>
      <c r="J604" s="447"/>
      <c r="K604" s="447"/>
      <c r="L604" s="447"/>
      <c r="M604" s="447"/>
      <c r="N604" s="447"/>
      <c r="O604" s="447"/>
      <c r="P604" s="447"/>
      <c r="Q604" s="447"/>
      <c r="R604" s="447"/>
      <c r="S604" s="447"/>
      <c r="T604" s="447"/>
      <c r="U604" s="447"/>
      <c r="V604" s="447"/>
      <c r="W604" s="447"/>
      <c r="X604" s="447"/>
      <c r="Y604" s="447"/>
      <c r="Z604" s="447"/>
      <c r="AA604" s="447"/>
    </row>
    <row r="605" spans="1:27">
      <c r="A605" s="465"/>
      <c r="B605" s="466"/>
      <c r="C605" s="465"/>
      <c r="D605" s="467"/>
      <c r="E605" s="447"/>
      <c r="F605" s="447"/>
      <c r="G605" s="447"/>
      <c r="H605" s="447"/>
      <c r="I605" s="447"/>
      <c r="J605" s="447"/>
      <c r="K605" s="447"/>
      <c r="L605" s="447"/>
      <c r="M605" s="447"/>
      <c r="N605" s="447"/>
      <c r="O605" s="447"/>
      <c r="P605" s="447"/>
      <c r="Q605" s="447"/>
      <c r="R605" s="447"/>
      <c r="S605" s="447"/>
      <c r="T605" s="447"/>
      <c r="U605" s="447"/>
      <c r="V605" s="447"/>
      <c r="W605" s="447"/>
      <c r="X605" s="447"/>
      <c r="Y605" s="447"/>
      <c r="Z605" s="447"/>
      <c r="AA605" s="447"/>
    </row>
    <row r="606" spans="1:27">
      <c r="A606" s="465"/>
      <c r="B606" s="466"/>
      <c r="C606" s="465"/>
      <c r="D606" s="467"/>
      <c r="E606" s="447"/>
      <c r="F606" s="447"/>
      <c r="G606" s="447"/>
      <c r="H606" s="447"/>
      <c r="I606" s="447"/>
      <c r="J606" s="447"/>
      <c r="K606" s="447"/>
      <c r="L606" s="447"/>
      <c r="M606" s="447"/>
      <c r="N606" s="447"/>
      <c r="O606" s="447"/>
      <c r="P606" s="447"/>
      <c r="Q606" s="447"/>
      <c r="R606" s="447"/>
      <c r="S606" s="447"/>
      <c r="T606" s="447"/>
      <c r="U606" s="447"/>
      <c r="V606" s="447"/>
      <c r="W606" s="447"/>
      <c r="X606" s="447"/>
      <c r="Y606" s="447"/>
      <c r="Z606" s="447"/>
      <c r="AA606" s="447"/>
    </row>
    <row r="607" spans="1:27">
      <c r="A607" s="465"/>
      <c r="B607" s="466"/>
      <c r="C607" s="465"/>
      <c r="D607" s="467"/>
      <c r="E607" s="447"/>
      <c r="F607" s="447"/>
      <c r="G607" s="447"/>
      <c r="H607" s="447"/>
      <c r="I607" s="447"/>
      <c r="J607" s="447"/>
      <c r="K607" s="447"/>
      <c r="L607" s="447"/>
      <c r="M607" s="447"/>
      <c r="N607" s="447"/>
      <c r="O607" s="447"/>
      <c r="P607" s="447"/>
      <c r="Q607" s="447"/>
      <c r="R607" s="447"/>
      <c r="S607" s="447"/>
      <c r="T607" s="447"/>
      <c r="U607" s="447"/>
      <c r="V607" s="447"/>
      <c r="W607" s="447"/>
      <c r="X607" s="447"/>
      <c r="Y607" s="447"/>
      <c r="Z607" s="447"/>
      <c r="AA607" s="447"/>
    </row>
    <row r="608" spans="1:27">
      <c r="A608" s="465"/>
      <c r="B608" s="466"/>
      <c r="C608" s="465"/>
      <c r="D608" s="467"/>
      <c r="E608" s="447"/>
      <c r="F608" s="447"/>
      <c r="G608" s="447"/>
      <c r="H608" s="447"/>
      <c r="I608" s="447"/>
      <c r="J608" s="447"/>
      <c r="K608" s="447"/>
      <c r="L608" s="447"/>
      <c r="M608" s="447"/>
      <c r="N608" s="447"/>
      <c r="O608" s="447"/>
      <c r="P608" s="447"/>
      <c r="Q608" s="447"/>
      <c r="R608" s="447"/>
      <c r="S608" s="447"/>
      <c r="T608" s="447"/>
      <c r="U608" s="447"/>
      <c r="V608" s="447"/>
      <c r="W608" s="447"/>
      <c r="X608" s="447"/>
      <c r="Y608" s="447"/>
      <c r="Z608" s="447"/>
      <c r="AA608" s="447"/>
    </row>
    <row r="609" spans="1:27">
      <c r="A609" s="465"/>
      <c r="B609" s="466"/>
      <c r="C609" s="465"/>
      <c r="D609" s="467"/>
      <c r="E609" s="447"/>
      <c r="F609" s="447"/>
      <c r="G609" s="447"/>
      <c r="H609" s="447"/>
      <c r="I609" s="447"/>
      <c r="J609" s="447"/>
      <c r="K609" s="447"/>
      <c r="L609" s="447"/>
      <c r="M609" s="447"/>
      <c r="N609" s="447"/>
      <c r="O609" s="447"/>
      <c r="P609" s="447"/>
      <c r="Q609" s="447"/>
      <c r="R609" s="447"/>
      <c r="S609" s="447"/>
      <c r="T609" s="447"/>
      <c r="U609" s="447"/>
      <c r="V609" s="447"/>
      <c r="W609" s="447"/>
      <c r="X609" s="447"/>
      <c r="Y609" s="447"/>
      <c r="Z609" s="447"/>
      <c r="AA609" s="447"/>
    </row>
    <row r="610" spans="1:27">
      <c r="A610" s="465"/>
      <c r="B610" s="466"/>
      <c r="C610" s="465"/>
      <c r="D610" s="467"/>
      <c r="E610" s="447"/>
      <c r="F610" s="447"/>
      <c r="G610" s="447"/>
      <c r="H610" s="447"/>
      <c r="I610" s="447"/>
      <c r="J610" s="447"/>
      <c r="K610" s="447"/>
      <c r="L610" s="447"/>
      <c r="M610" s="447"/>
      <c r="N610" s="447"/>
      <c r="O610" s="447"/>
      <c r="P610" s="447"/>
      <c r="Q610" s="447"/>
      <c r="R610" s="447"/>
      <c r="S610" s="447"/>
      <c r="T610" s="447"/>
      <c r="U610" s="447"/>
      <c r="V610" s="447"/>
      <c r="W610" s="447"/>
      <c r="X610" s="447"/>
      <c r="Y610" s="447"/>
      <c r="Z610" s="447"/>
      <c r="AA610" s="447"/>
    </row>
    <row r="611" spans="1:27">
      <c r="A611" s="465"/>
      <c r="B611" s="466"/>
      <c r="C611" s="465"/>
      <c r="D611" s="467"/>
      <c r="E611" s="447"/>
      <c r="F611" s="447"/>
      <c r="G611" s="447"/>
      <c r="H611" s="447"/>
      <c r="I611" s="447"/>
      <c r="J611" s="447"/>
      <c r="K611" s="447"/>
      <c r="L611" s="447"/>
      <c r="M611" s="447"/>
      <c r="N611" s="447"/>
      <c r="O611" s="447"/>
      <c r="P611" s="447"/>
      <c r="Q611" s="447"/>
      <c r="R611" s="447"/>
      <c r="S611" s="447"/>
      <c r="T611" s="447"/>
      <c r="U611" s="447"/>
      <c r="V611" s="447"/>
      <c r="W611" s="447"/>
      <c r="X611" s="447"/>
      <c r="Y611" s="447"/>
      <c r="Z611" s="447"/>
      <c r="AA611" s="447"/>
    </row>
    <row r="612" spans="1:27">
      <c r="A612" s="465"/>
      <c r="B612" s="466"/>
      <c r="C612" s="465"/>
      <c r="D612" s="467"/>
      <c r="E612" s="447"/>
      <c r="F612" s="447"/>
      <c r="G612" s="447"/>
      <c r="H612" s="447"/>
      <c r="I612" s="447"/>
      <c r="J612" s="447"/>
      <c r="K612" s="447"/>
      <c r="L612" s="447"/>
      <c r="M612" s="447"/>
      <c r="N612" s="447"/>
      <c r="O612" s="447"/>
      <c r="P612" s="447"/>
      <c r="Q612" s="447"/>
      <c r="R612" s="447"/>
      <c r="S612" s="447"/>
      <c r="T612" s="447"/>
      <c r="U612" s="447"/>
      <c r="V612" s="447"/>
      <c r="W612" s="447"/>
      <c r="X612" s="447"/>
      <c r="Y612" s="447"/>
      <c r="Z612" s="447"/>
      <c r="AA612" s="447"/>
    </row>
    <row r="613" spans="1:27">
      <c r="A613" s="465"/>
      <c r="B613" s="466"/>
      <c r="C613" s="465"/>
      <c r="D613" s="467"/>
      <c r="E613" s="447"/>
      <c r="F613" s="447"/>
      <c r="G613" s="447"/>
      <c r="H613" s="447"/>
      <c r="I613" s="447"/>
      <c r="J613" s="447"/>
      <c r="K613" s="447"/>
      <c r="L613" s="447"/>
      <c r="M613" s="447"/>
      <c r="N613" s="447"/>
      <c r="O613" s="447"/>
      <c r="P613" s="447"/>
      <c r="Q613" s="447"/>
      <c r="R613" s="447"/>
      <c r="S613" s="447"/>
      <c r="T613" s="447"/>
      <c r="U613" s="447"/>
      <c r="V613" s="447"/>
      <c r="W613" s="447"/>
      <c r="X613" s="447"/>
      <c r="Y613" s="447"/>
      <c r="Z613" s="447"/>
      <c r="AA613" s="447"/>
    </row>
    <row r="614" spans="1:27">
      <c r="A614" s="465"/>
      <c r="B614" s="466"/>
      <c r="C614" s="465"/>
      <c r="D614" s="467"/>
      <c r="E614" s="447"/>
      <c r="F614" s="447"/>
      <c r="G614" s="447"/>
      <c r="H614" s="447"/>
      <c r="I614" s="447"/>
      <c r="J614" s="447"/>
      <c r="K614" s="447"/>
      <c r="L614" s="447"/>
      <c r="M614" s="447"/>
      <c r="N614" s="447"/>
      <c r="O614" s="447"/>
      <c r="P614" s="447"/>
      <c r="Q614" s="447"/>
      <c r="R614" s="447"/>
      <c r="S614" s="447"/>
      <c r="T614" s="447"/>
      <c r="U614" s="447"/>
      <c r="V614" s="447"/>
      <c r="W614" s="447"/>
      <c r="X614" s="447"/>
      <c r="Y614" s="447"/>
      <c r="Z614" s="447"/>
      <c r="AA614" s="447"/>
    </row>
    <row r="615" spans="1:27">
      <c r="A615" s="465"/>
      <c r="B615" s="466"/>
      <c r="C615" s="465"/>
      <c r="D615" s="467"/>
      <c r="E615" s="447"/>
      <c r="F615" s="447"/>
      <c r="G615" s="447"/>
      <c r="H615" s="447"/>
      <c r="I615" s="447"/>
      <c r="J615" s="447"/>
      <c r="K615" s="447"/>
      <c r="L615" s="447"/>
      <c r="M615" s="447"/>
      <c r="N615" s="447"/>
      <c r="O615" s="447"/>
      <c r="P615" s="447"/>
      <c r="Q615" s="447"/>
      <c r="R615" s="447"/>
      <c r="S615" s="447"/>
      <c r="T615" s="447"/>
      <c r="U615" s="447"/>
      <c r="V615" s="447"/>
      <c r="W615" s="447"/>
      <c r="X615" s="447"/>
      <c r="Y615" s="447"/>
      <c r="Z615" s="447"/>
      <c r="AA615" s="447"/>
    </row>
    <row r="616" spans="1:27">
      <c r="A616" s="465"/>
      <c r="B616" s="466"/>
      <c r="C616" s="465"/>
      <c r="D616" s="467"/>
      <c r="E616" s="447"/>
      <c r="F616" s="447"/>
      <c r="G616" s="447"/>
      <c r="H616" s="447"/>
      <c r="I616" s="447"/>
      <c r="J616" s="447"/>
      <c r="K616" s="447"/>
      <c r="L616" s="447"/>
      <c r="M616" s="447"/>
      <c r="N616" s="447"/>
      <c r="O616" s="447"/>
      <c r="P616" s="447"/>
      <c r="Q616" s="447"/>
      <c r="R616" s="447"/>
      <c r="S616" s="447"/>
      <c r="T616" s="447"/>
      <c r="U616" s="447"/>
      <c r="V616" s="447"/>
      <c r="W616" s="447"/>
      <c r="X616" s="447"/>
      <c r="Y616" s="447"/>
      <c r="Z616" s="447"/>
      <c r="AA616" s="447"/>
    </row>
    <row r="617" spans="1:27">
      <c r="A617" s="465"/>
      <c r="B617" s="466"/>
      <c r="C617" s="465"/>
      <c r="D617" s="467"/>
      <c r="E617" s="447"/>
      <c r="F617" s="447"/>
      <c r="G617" s="447"/>
      <c r="H617" s="447"/>
      <c r="I617" s="447"/>
      <c r="J617" s="447"/>
      <c r="K617" s="447"/>
      <c r="L617" s="447"/>
      <c r="M617" s="447"/>
      <c r="N617" s="447"/>
      <c r="O617" s="447"/>
      <c r="P617" s="447"/>
      <c r="Q617" s="447"/>
      <c r="R617" s="447"/>
      <c r="S617" s="447"/>
      <c r="T617" s="447"/>
      <c r="U617" s="447"/>
      <c r="V617" s="447"/>
      <c r="W617" s="447"/>
      <c r="X617" s="447"/>
      <c r="Y617" s="447"/>
      <c r="Z617" s="447"/>
      <c r="AA617" s="447"/>
    </row>
    <row r="618" spans="1:27">
      <c r="A618" s="465"/>
      <c r="B618" s="466"/>
      <c r="C618" s="465"/>
      <c r="D618" s="467"/>
      <c r="E618" s="447"/>
      <c r="F618" s="447"/>
      <c r="G618" s="447"/>
      <c r="H618" s="447"/>
      <c r="I618" s="447"/>
      <c r="J618" s="447"/>
      <c r="K618" s="447"/>
      <c r="L618" s="447"/>
      <c r="M618" s="447"/>
      <c r="N618" s="447"/>
      <c r="O618" s="447"/>
      <c r="P618" s="447"/>
      <c r="Q618" s="447"/>
      <c r="R618" s="447"/>
      <c r="S618" s="447"/>
      <c r="T618" s="447"/>
      <c r="U618" s="447"/>
      <c r="V618" s="447"/>
      <c r="W618" s="447"/>
      <c r="X618" s="447"/>
      <c r="Y618" s="447"/>
      <c r="Z618" s="447"/>
      <c r="AA618" s="447"/>
    </row>
    <row r="619" spans="1:27">
      <c r="A619" s="465"/>
      <c r="B619" s="466"/>
      <c r="C619" s="465"/>
      <c r="D619" s="467"/>
      <c r="E619" s="447"/>
      <c r="F619" s="447"/>
      <c r="G619" s="447"/>
      <c r="H619" s="447"/>
      <c r="I619" s="447"/>
      <c r="J619" s="447"/>
      <c r="K619" s="447"/>
      <c r="L619" s="447"/>
      <c r="M619" s="447"/>
      <c r="N619" s="447"/>
      <c r="O619" s="447"/>
      <c r="P619" s="447"/>
      <c r="Q619" s="447"/>
      <c r="R619" s="447"/>
      <c r="S619" s="447"/>
      <c r="T619" s="447"/>
      <c r="U619" s="447"/>
      <c r="V619" s="447"/>
      <c r="W619" s="447"/>
      <c r="X619" s="447"/>
      <c r="Y619" s="447"/>
      <c r="Z619" s="447"/>
      <c r="AA619" s="447"/>
    </row>
    <row r="620" spans="1:27">
      <c r="A620" s="465"/>
      <c r="B620" s="466"/>
      <c r="C620" s="465"/>
      <c r="D620" s="467"/>
      <c r="E620" s="447"/>
      <c r="F620" s="447"/>
      <c r="G620" s="447"/>
      <c r="H620" s="447"/>
      <c r="I620" s="447"/>
      <c r="J620" s="447"/>
      <c r="K620" s="447"/>
      <c r="L620" s="447"/>
      <c r="M620" s="447"/>
      <c r="N620" s="447"/>
      <c r="O620" s="447"/>
      <c r="P620" s="447"/>
      <c r="Q620" s="447"/>
      <c r="R620" s="447"/>
      <c r="S620" s="447"/>
      <c r="T620" s="447"/>
      <c r="U620" s="447"/>
      <c r="V620" s="447"/>
      <c r="W620" s="447"/>
      <c r="X620" s="447"/>
      <c r="Y620" s="447"/>
      <c r="Z620" s="447"/>
      <c r="AA620" s="447"/>
    </row>
    <row r="621" spans="1:27">
      <c r="A621" s="465"/>
      <c r="B621" s="466"/>
      <c r="C621" s="465"/>
      <c r="D621" s="467"/>
      <c r="E621" s="447"/>
      <c r="F621" s="447"/>
      <c r="G621" s="447"/>
      <c r="H621" s="447"/>
      <c r="I621" s="447"/>
      <c r="J621" s="447"/>
      <c r="K621" s="447"/>
      <c r="L621" s="447"/>
      <c r="M621" s="447"/>
      <c r="N621" s="447"/>
      <c r="O621" s="447"/>
      <c r="P621" s="447"/>
      <c r="Q621" s="447"/>
      <c r="R621" s="447"/>
      <c r="S621" s="447"/>
      <c r="T621" s="447"/>
      <c r="U621" s="447"/>
      <c r="V621" s="447"/>
      <c r="W621" s="447"/>
      <c r="X621" s="447"/>
      <c r="Y621" s="447"/>
      <c r="Z621" s="447"/>
      <c r="AA621" s="447"/>
    </row>
    <row r="622" spans="1:27">
      <c r="A622" s="465"/>
      <c r="B622" s="466"/>
      <c r="C622" s="465"/>
      <c r="D622" s="467"/>
      <c r="E622" s="447"/>
      <c r="F622" s="447"/>
      <c r="G622" s="447"/>
      <c r="H622" s="447"/>
      <c r="I622" s="447"/>
      <c r="J622" s="447"/>
      <c r="K622" s="447"/>
      <c r="L622" s="447"/>
      <c r="M622" s="447"/>
      <c r="N622" s="447"/>
      <c r="O622" s="447"/>
      <c r="P622" s="447"/>
      <c r="Q622" s="447"/>
      <c r="R622" s="447"/>
      <c r="S622" s="447"/>
      <c r="T622" s="447"/>
      <c r="U622" s="447"/>
      <c r="V622" s="447"/>
      <c r="W622" s="447"/>
      <c r="X622" s="447"/>
      <c r="Y622" s="447"/>
      <c r="Z622" s="447"/>
      <c r="AA622" s="447"/>
    </row>
    <row r="623" spans="1:27">
      <c r="A623" s="465"/>
      <c r="B623" s="466"/>
      <c r="C623" s="465"/>
      <c r="D623" s="467"/>
      <c r="E623" s="447"/>
      <c r="F623" s="447"/>
      <c r="G623" s="447"/>
      <c r="H623" s="447"/>
      <c r="I623" s="447"/>
      <c r="J623" s="447"/>
      <c r="K623" s="447"/>
      <c r="L623" s="447"/>
      <c r="M623" s="447"/>
      <c r="N623" s="447"/>
      <c r="O623" s="447"/>
      <c r="P623" s="447"/>
      <c r="Q623" s="447"/>
      <c r="R623" s="447"/>
      <c r="S623" s="447"/>
      <c r="T623" s="447"/>
      <c r="U623" s="447"/>
      <c r="V623" s="447"/>
      <c r="W623" s="447"/>
      <c r="X623" s="447"/>
      <c r="Y623" s="447"/>
      <c r="Z623" s="447"/>
      <c r="AA623" s="447"/>
    </row>
    <row r="624" spans="1:27">
      <c r="A624" s="465"/>
      <c r="B624" s="466"/>
      <c r="C624" s="465"/>
      <c r="D624" s="467"/>
      <c r="E624" s="447"/>
      <c r="F624" s="447"/>
      <c r="G624" s="447"/>
      <c r="H624" s="447"/>
      <c r="I624" s="447"/>
      <c r="J624" s="447"/>
      <c r="K624" s="447"/>
      <c r="L624" s="447"/>
      <c r="M624" s="447"/>
      <c r="N624" s="447"/>
      <c r="O624" s="447"/>
      <c r="P624" s="447"/>
      <c r="Q624" s="447"/>
      <c r="R624" s="447"/>
      <c r="S624" s="447"/>
      <c r="T624" s="447"/>
      <c r="U624" s="447"/>
      <c r="V624" s="447"/>
      <c r="W624" s="447"/>
      <c r="X624" s="447"/>
      <c r="Y624" s="447"/>
      <c r="Z624" s="447"/>
      <c r="AA624" s="447"/>
    </row>
    <row r="625" spans="1:27">
      <c r="A625" s="465"/>
      <c r="B625" s="466"/>
      <c r="C625" s="465"/>
      <c r="D625" s="467"/>
      <c r="E625" s="447"/>
      <c r="F625" s="447"/>
      <c r="G625" s="447"/>
      <c r="H625" s="447"/>
      <c r="I625" s="447"/>
      <c r="J625" s="447"/>
      <c r="K625" s="447"/>
      <c r="L625" s="447"/>
      <c r="M625" s="447"/>
      <c r="N625" s="447"/>
      <c r="O625" s="447"/>
      <c r="P625" s="447"/>
      <c r="Q625" s="447"/>
      <c r="R625" s="447"/>
      <c r="S625" s="447"/>
      <c r="T625" s="447"/>
      <c r="U625" s="447"/>
      <c r="V625" s="447"/>
      <c r="W625" s="447"/>
      <c r="X625" s="447"/>
      <c r="Y625" s="447"/>
      <c r="Z625" s="447"/>
      <c r="AA625" s="447"/>
    </row>
    <row r="626" spans="1:27">
      <c r="A626" s="465"/>
      <c r="B626" s="466"/>
      <c r="C626" s="465"/>
      <c r="D626" s="467"/>
      <c r="E626" s="447"/>
      <c r="F626" s="447"/>
      <c r="G626" s="447"/>
      <c r="H626" s="447"/>
      <c r="I626" s="447"/>
      <c r="J626" s="447"/>
      <c r="K626" s="447"/>
      <c r="L626" s="447"/>
      <c r="M626" s="447"/>
      <c r="N626" s="447"/>
      <c r="O626" s="447"/>
      <c r="P626" s="447"/>
      <c r="Q626" s="447"/>
      <c r="R626" s="447"/>
      <c r="S626" s="447"/>
      <c r="T626" s="447"/>
      <c r="U626" s="447"/>
      <c r="V626" s="447"/>
      <c r="W626" s="447"/>
      <c r="X626" s="447"/>
      <c r="Y626" s="447"/>
      <c r="Z626" s="447"/>
      <c r="AA626" s="447"/>
    </row>
    <row r="627" spans="1:27">
      <c r="A627" s="465"/>
      <c r="B627" s="466"/>
      <c r="C627" s="465"/>
      <c r="D627" s="467"/>
      <c r="E627" s="447"/>
      <c r="F627" s="447"/>
      <c r="G627" s="447"/>
      <c r="H627" s="447"/>
      <c r="I627" s="447"/>
      <c r="J627" s="447"/>
      <c r="K627" s="447"/>
      <c r="L627" s="447"/>
      <c r="M627" s="447"/>
      <c r="N627" s="447"/>
      <c r="O627" s="447"/>
      <c r="P627" s="447"/>
      <c r="Q627" s="447"/>
      <c r="R627" s="447"/>
      <c r="S627" s="447"/>
      <c r="T627" s="447"/>
      <c r="U627" s="447"/>
      <c r="V627" s="447"/>
      <c r="W627" s="447"/>
      <c r="X627" s="447"/>
      <c r="Y627" s="447"/>
      <c r="Z627" s="447"/>
      <c r="AA627" s="447"/>
    </row>
    <row r="628" spans="1:27">
      <c r="A628" s="465"/>
      <c r="B628" s="466"/>
      <c r="C628" s="465"/>
      <c r="D628" s="467"/>
      <c r="E628" s="447"/>
      <c r="F628" s="447"/>
      <c r="G628" s="447"/>
      <c r="H628" s="447"/>
      <c r="I628" s="447"/>
      <c r="J628" s="447"/>
      <c r="K628" s="447"/>
      <c r="L628" s="447"/>
      <c r="M628" s="447"/>
      <c r="N628" s="447"/>
      <c r="O628" s="447"/>
      <c r="P628" s="447"/>
      <c r="Q628" s="447"/>
      <c r="R628" s="447"/>
      <c r="S628" s="447"/>
      <c r="T628" s="447"/>
      <c r="U628" s="447"/>
      <c r="V628" s="447"/>
      <c r="W628" s="447"/>
      <c r="X628" s="447"/>
      <c r="Y628" s="447"/>
      <c r="Z628" s="447"/>
      <c r="AA628" s="447"/>
    </row>
    <row r="629" spans="1:27">
      <c r="A629" s="465"/>
      <c r="B629" s="466"/>
      <c r="C629" s="465"/>
      <c r="D629" s="467"/>
      <c r="E629" s="447"/>
      <c r="F629" s="447"/>
      <c r="G629" s="447"/>
      <c r="H629" s="447"/>
      <c r="I629" s="447"/>
      <c r="J629" s="447"/>
      <c r="K629" s="447"/>
      <c r="L629" s="447"/>
      <c r="M629" s="447"/>
      <c r="N629" s="447"/>
      <c r="O629" s="447"/>
      <c r="P629" s="447"/>
      <c r="Q629" s="447"/>
      <c r="R629" s="447"/>
      <c r="S629" s="447"/>
      <c r="T629" s="447"/>
      <c r="U629" s="447"/>
      <c r="V629" s="447"/>
      <c r="W629" s="447"/>
      <c r="X629" s="447"/>
      <c r="Y629" s="447"/>
      <c r="Z629" s="447"/>
      <c r="AA629" s="447"/>
    </row>
    <row r="630" spans="1:27">
      <c r="A630" s="465"/>
      <c r="B630" s="466"/>
      <c r="C630" s="465"/>
      <c r="D630" s="467"/>
      <c r="E630" s="447"/>
      <c r="F630" s="447"/>
      <c r="G630" s="447"/>
      <c r="H630" s="447"/>
      <c r="I630" s="447"/>
      <c r="J630" s="447"/>
      <c r="K630" s="447"/>
      <c r="L630" s="447"/>
      <c r="M630" s="447"/>
      <c r="N630" s="447"/>
      <c r="O630" s="447"/>
      <c r="P630" s="447"/>
      <c r="Q630" s="447"/>
      <c r="R630" s="447"/>
      <c r="S630" s="447"/>
      <c r="T630" s="447"/>
      <c r="U630" s="447"/>
      <c r="V630" s="447"/>
      <c r="W630" s="447"/>
      <c r="X630" s="447"/>
      <c r="Y630" s="447"/>
      <c r="Z630" s="447"/>
      <c r="AA630" s="447"/>
    </row>
    <row r="631" spans="1:27">
      <c r="A631" s="465"/>
      <c r="B631" s="466"/>
      <c r="C631" s="465"/>
      <c r="D631" s="467"/>
      <c r="E631" s="447"/>
      <c r="F631" s="447"/>
      <c r="G631" s="447"/>
      <c r="H631" s="447"/>
      <c r="I631" s="447"/>
      <c r="J631" s="447"/>
      <c r="K631" s="447"/>
      <c r="L631" s="447"/>
      <c r="M631" s="447"/>
      <c r="N631" s="447"/>
      <c r="O631" s="447"/>
      <c r="P631" s="447"/>
      <c r="Q631" s="447"/>
      <c r="R631" s="447"/>
      <c r="S631" s="447"/>
      <c r="T631" s="447"/>
      <c r="U631" s="447"/>
      <c r="V631" s="447"/>
      <c r="W631" s="447"/>
      <c r="X631" s="447"/>
      <c r="Y631" s="447"/>
      <c r="Z631" s="447"/>
      <c r="AA631" s="447"/>
    </row>
    <row r="632" spans="1:27">
      <c r="A632" s="465"/>
      <c r="B632" s="466"/>
      <c r="C632" s="465"/>
      <c r="D632" s="467"/>
      <c r="E632" s="447"/>
      <c r="F632" s="447"/>
      <c r="G632" s="447"/>
      <c r="H632" s="447"/>
      <c r="I632" s="447"/>
      <c r="J632" s="447"/>
      <c r="K632" s="447"/>
      <c r="L632" s="447"/>
      <c r="M632" s="447"/>
      <c r="N632" s="447"/>
      <c r="O632" s="447"/>
      <c r="P632" s="447"/>
      <c r="Q632" s="447"/>
      <c r="R632" s="447"/>
      <c r="S632" s="447"/>
      <c r="T632" s="447"/>
      <c r="U632" s="447"/>
      <c r="V632" s="447"/>
      <c r="W632" s="447"/>
      <c r="X632" s="447"/>
      <c r="Y632" s="447"/>
      <c r="Z632" s="447"/>
      <c r="AA632" s="447"/>
    </row>
    <row r="633" spans="1:27">
      <c r="A633" s="465"/>
      <c r="B633" s="466"/>
      <c r="C633" s="465"/>
      <c r="D633" s="467"/>
      <c r="E633" s="447"/>
      <c r="F633" s="447"/>
      <c r="G633" s="447"/>
      <c r="H633" s="447"/>
      <c r="I633" s="447"/>
      <c r="J633" s="447"/>
      <c r="K633" s="447"/>
      <c r="L633" s="447"/>
      <c r="M633" s="447"/>
      <c r="N633" s="447"/>
      <c r="O633" s="447"/>
      <c r="P633" s="447"/>
      <c r="Q633" s="447"/>
      <c r="R633" s="447"/>
      <c r="S633" s="447"/>
      <c r="T633" s="447"/>
      <c r="U633" s="447"/>
      <c r="V633" s="447"/>
      <c r="W633" s="447"/>
      <c r="X633" s="447"/>
      <c r="Y633" s="447"/>
      <c r="Z633" s="447"/>
      <c r="AA633" s="447"/>
    </row>
    <row r="634" spans="1:27">
      <c r="A634" s="465"/>
      <c r="B634" s="466"/>
      <c r="C634" s="465"/>
      <c r="D634" s="467"/>
      <c r="E634" s="447"/>
      <c r="F634" s="447"/>
      <c r="G634" s="447"/>
      <c r="H634" s="447"/>
      <c r="I634" s="447"/>
      <c r="J634" s="447"/>
      <c r="K634" s="447"/>
      <c r="L634" s="447"/>
      <c r="M634" s="447"/>
      <c r="N634" s="447"/>
      <c r="O634" s="447"/>
      <c r="P634" s="447"/>
      <c r="Q634" s="447"/>
      <c r="R634" s="447"/>
      <c r="S634" s="447"/>
      <c r="T634" s="447"/>
      <c r="U634" s="447"/>
      <c r="V634" s="447"/>
      <c r="W634" s="447"/>
      <c r="X634" s="447"/>
      <c r="Y634" s="447"/>
      <c r="Z634" s="447"/>
      <c r="AA634" s="447"/>
    </row>
    <row r="635" spans="1:27">
      <c r="A635" s="465"/>
      <c r="B635" s="466"/>
      <c r="C635" s="465"/>
      <c r="D635" s="467"/>
      <c r="E635" s="447"/>
      <c r="F635" s="447"/>
      <c r="G635" s="447"/>
      <c r="H635" s="447"/>
      <c r="I635" s="447"/>
      <c r="J635" s="447"/>
      <c r="K635" s="447"/>
      <c r="L635" s="447"/>
      <c r="M635" s="447"/>
      <c r="N635" s="447"/>
      <c r="O635" s="447"/>
      <c r="P635" s="447"/>
      <c r="Q635" s="447"/>
      <c r="R635" s="447"/>
      <c r="S635" s="447"/>
      <c r="T635" s="447"/>
      <c r="U635" s="447"/>
      <c r="V635" s="447"/>
      <c r="W635" s="447"/>
      <c r="X635" s="447"/>
      <c r="Y635" s="447"/>
      <c r="Z635" s="447"/>
      <c r="AA635" s="447"/>
    </row>
    <row r="636" spans="1:27">
      <c r="A636" s="465"/>
      <c r="B636" s="466"/>
      <c r="C636" s="465"/>
      <c r="D636" s="467"/>
      <c r="E636" s="447"/>
      <c r="F636" s="447"/>
      <c r="G636" s="447"/>
      <c r="H636" s="447"/>
      <c r="I636" s="447"/>
      <c r="J636" s="447"/>
      <c r="K636" s="447"/>
      <c r="L636" s="447"/>
      <c r="M636" s="447"/>
      <c r="N636" s="447"/>
      <c r="O636" s="447"/>
      <c r="P636" s="447"/>
      <c r="Q636" s="447"/>
      <c r="R636" s="447"/>
      <c r="S636" s="447"/>
      <c r="T636" s="447"/>
      <c r="U636" s="447"/>
      <c r="V636" s="447"/>
      <c r="W636" s="447"/>
      <c r="X636" s="447"/>
      <c r="Y636" s="447"/>
      <c r="Z636" s="447"/>
      <c r="AA636" s="447"/>
    </row>
    <row r="637" spans="1:27">
      <c r="A637" s="465"/>
      <c r="B637" s="466"/>
      <c r="C637" s="465"/>
      <c r="D637" s="467"/>
      <c r="E637" s="447"/>
      <c r="F637" s="447"/>
      <c r="G637" s="447"/>
      <c r="H637" s="447"/>
      <c r="I637" s="447"/>
      <c r="J637" s="447"/>
      <c r="K637" s="447"/>
      <c r="L637" s="447"/>
      <c r="M637" s="447"/>
      <c r="N637" s="447"/>
      <c r="O637" s="447"/>
      <c r="P637" s="447"/>
      <c r="Q637" s="447"/>
      <c r="R637" s="447"/>
      <c r="S637" s="447"/>
      <c r="T637" s="447"/>
      <c r="U637" s="447"/>
      <c r="V637" s="447"/>
      <c r="W637" s="447"/>
      <c r="X637" s="447"/>
      <c r="Y637" s="447"/>
      <c r="Z637" s="447"/>
      <c r="AA637" s="447"/>
    </row>
    <row r="638" spans="1:27">
      <c r="A638" s="465"/>
      <c r="B638" s="466"/>
      <c r="C638" s="465"/>
      <c r="D638" s="467"/>
      <c r="E638" s="447"/>
      <c r="F638" s="447"/>
      <c r="G638" s="447"/>
      <c r="H638" s="447"/>
      <c r="I638" s="447"/>
      <c r="J638" s="447"/>
      <c r="K638" s="447"/>
      <c r="L638" s="447"/>
      <c r="M638" s="447"/>
      <c r="N638" s="447"/>
      <c r="O638" s="447"/>
      <c r="P638" s="447"/>
      <c r="Q638" s="447"/>
      <c r="R638" s="447"/>
      <c r="S638" s="447"/>
      <c r="T638" s="447"/>
      <c r="U638" s="447"/>
      <c r="V638" s="447"/>
      <c r="W638" s="447"/>
      <c r="X638" s="447"/>
      <c r="Y638" s="447"/>
      <c r="Z638" s="447"/>
      <c r="AA638" s="447"/>
    </row>
    <row r="639" spans="1:27">
      <c r="A639" s="465"/>
      <c r="B639" s="466"/>
      <c r="C639" s="465"/>
      <c r="D639" s="467"/>
      <c r="E639" s="447"/>
      <c r="F639" s="447"/>
      <c r="G639" s="447"/>
      <c r="H639" s="447"/>
      <c r="I639" s="447"/>
      <c r="J639" s="447"/>
      <c r="K639" s="447"/>
      <c r="L639" s="447"/>
      <c r="M639" s="447"/>
      <c r="N639" s="447"/>
      <c r="O639" s="447"/>
      <c r="P639" s="447"/>
      <c r="Q639" s="447"/>
      <c r="R639" s="447"/>
      <c r="S639" s="447"/>
      <c r="T639" s="447"/>
      <c r="U639" s="447"/>
      <c r="V639" s="447"/>
      <c r="W639" s="447"/>
      <c r="X639" s="447"/>
      <c r="Y639" s="447"/>
      <c r="Z639" s="447"/>
      <c r="AA639" s="447"/>
    </row>
    <row r="640" spans="1:27">
      <c r="A640" s="465"/>
      <c r="B640" s="466"/>
      <c r="C640" s="465"/>
      <c r="D640" s="467"/>
      <c r="E640" s="447"/>
      <c r="F640" s="447"/>
      <c r="G640" s="447"/>
      <c r="H640" s="447"/>
      <c r="I640" s="447"/>
      <c r="J640" s="447"/>
      <c r="K640" s="447"/>
      <c r="L640" s="447"/>
      <c r="M640" s="447"/>
      <c r="N640" s="447"/>
      <c r="O640" s="447"/>
      <c r="P640" s="447"/>
      <c r="Q640" s="447"/>
      <c r="R640" s="447"/>
      <c r="S640" s="447"/>
      <c r="T640" s="447"/>
      <c r="U640" s="447"/>
      <c r="V640" s="447"/>
      <c r="W640" s="447"/>
      <c r="X640" s="447"/>
      <c r="Y640" s="447"/>
      <c r="Z640" s="447"/>
      <c r="AA640" s="447"/>
    </row>
    <row r="641" spans="1:27">
      <c r="A641" s="465"/>
      <c r="B641" s="466"/>
      <c r="C641" s="465"/>
      <c r="D641" s="467"/>
      <c r="E641" s="447"/>
      <c r="F641" s="447"/>
      <c r="G641" s="447"/>
      <c r="H641" s="447"/>
      <c r="I641" s="447"/>
      <c r="J641" s="447"/>
      <c r="K641" s="447"/>
      <c r="L641" s="447"/>
      <c r="M641" s="447"/>
      <c r="N641" s="447"/>
      <c r="O641" s="447"/>
      <c r="P641" s="447"/>
      <c r="Q641" s="447"/>
      <c r="R641" s="447"/>
      <c r="S641" s="447"/>
      <c r="T641" s="447"/>
      <c r="U641" s="447"/>
      <c r="V641" s="447"/>
      <c r="W641" s="447"/>
      <c r="X641" s="447"/>
      <c r="Y641" s="447"/>
      <c r="Z641" s="447"/>
      <c r="AA641" s="447"/>
    </row>
    <row r="642" spans="1:27">
      <c r="A642" s="465"/>
      <c r="B642" s="466"/>
      <c r="C642" s="465"/>
      <c r="D642" s="467"/>
      <c r="E642" s="447"/>
      <c r="F642" s="447"/>
      <c r="G642" s="447"/>
      <c r="H642" s="447"/>
      <c r="I642" s="447"/>
      <c r="J642" s="447"/>
      <c r="K642" s="447"/>
      <c r="L642" s="447"/>
      <c r="M642" s="447"/>
      <c r="N642" s="447"/>
      <c r="O642" s="447"/>
      <c r="P642" s="447"/>
      <c r="Q642" s="447"/>
      <c r="R642" s="447"/>
      <c r="S642" s="447"/>
      <c r="T642" s="447"/>
      <c r="U642" s="447"/>
      <c r="V642" s="447"/>
      <c r="W642" s="447"/>
      <c r="X642" s="447"/>
      <c r="Y642" s="447"/>
      <c r="Z642" s="447"/>
      <c r="AA642" s="447"/>
    </row>
    <row r="643" spans="1:27">
      <c r="A643" s="465"/>
      <c r="B643" s="466"/>
      <c r="C643" s="465"/>
      <c r="D643" s="467"/>
      <c r="E643" s="447"/>
      <c r="F643" s="447"/>
      <c r="G643" s="447"/>
      <c r="H643" s="447"/>
      <c r="I643" s="447"/>
      <c r="J643" s="447"/>
      <c r="K643" s="447"/>
      <c r="L643" s="447"/>
      <c r="M643" s="447"/>
      <c r="N643" s="447"/>
      <c r="O643" s="447"/>
      <c r="P643" s="447"/>
      <c r="Q643" s="447"/>
      <c r="R643" s="447"/>
      <c r="S643" s="447"/>
      <c r="T643" s="447"/>
      <c r="U643" s="447"/>
      <c r="V643" s="447"/>
      <c r="W643" s="447"/>
      <c r="X643" s="447"/>
      <c r="Y643" s="447"/>
      <c r="Z643" s="447"/>
      <c r="AA643" s="447"/>
    </row>
    <row r="644" spans="1:27">
      <c r="A644" s="465"/>
      <c r="B644" s="466"/>
      <c r="C644" s="465"/>
      <c r="D644" s="467"/>
      <c r="E644" s="447"/>
      <c r="F644" s="447"/>
      <c r="G644" s="447"/>
      <c r="H644" s="447"/>
      <c r="I644" s="447"/>
      <c r="J644" s="447"/>
      <c r="K644" s="447"/>
      <c r="L644" s="447"/>
      <c r="M644" s="447"/>
      <c r="N644" s="447"/>
      <c r="O644" s="447"/>
      <c r="P644" s="447"/>
      <c r="Q644" s="447"/>
      <c r="R644" s="447"/>
      <c r="S644" s="447"/>
      <c r="T644" s="447"/>
      <c r="U644" s="447"/>
      <c r="V644" s="447"/>
      <c r="W644" s="447"/>
      <c r="X644" s="447"/>
      <c r="Y644" s="447"/>
      <c r="Z644" s="447"/>
      <c r="AA644" s="447"/>
    </row>
    <row r="645" spans="1:27">
      <c r="A645" s="465"/>
      <c r="B645" s="466"/>
      <c r="C645" s="465"/>
      <c r="D645" s="467"/>
      <c r="E645" s="447"/>
      <c r="F645" s="447"/>
      <c r="G645" s="447"/>
      <c r="H645" s="447"/>
      <c r="I645" s="447"/>
      <c r="J645" s="447"/>
      <c r="K645" s="447"/>
      <c r="L645" s="447"/>
      <c r="M645" s="447"/>
      <c r="N645" s="447"/>
      <c r="O645" s="447"/>
      <c r="P645" s="447"/>
      <c r="Q645" s="447"/>
      <c r="R645" s="447"/>
      <c r="S645" s="447"/>
      <c r="T645" s="447"/>
      <c r="U645" s="447"/>
      <c r="V645" s="447"/>
      <c r="W645" s="447"/>
      <c r="X645" s="447"/>
      <c r="Y645" s="447"/>
      <c r="Z645" s="447"/>
      <c r="AA645" s="447"/>
    </row>
    <row r="646" spans="1:27">
      <c r="A646" s="465"/>
      <c r="B646" s="466"/>
      <c r="C646" s="465"/>
      <c r="D646" s="467"/>
      <c r="E646" s="447"/>
      <c r="F646" s="447"/>
      <c r="G646" s="447"/>
      <c r="H646" s="447"/>
      <c r="I646" s="447"/>
      <c r="J646" s="447"/>
      <c r="K646" s="447"/>
      <c r="L646" s="447"/>
      <c r="M646" s="447"/>
      <c r="N646" s="447"/>
      <c r="O646" s="447"/>
      <c r="P646" s="447"/>
      <c r="Q646" s="447"/>
      <c r="R646" s="447"/>
      <c r="S646" s="447"/>
      <c r="T646" s="447"/>
      <c r="U646" s="447"/>
      <c r="V646" s="447"/>
      <c r="W646" s="447"/>
      <c r="X646" s="447"/>
      <c r="Y646" s="447"/>
      <c r="Z646" s="447"/>
      <c r="AA646" s="447"/>
    </row>
    <row r="647" spans="1:27">
      <c r="A647" s="465"/>
      <c r="B647" s="466"/>
      <c r="C647" s="465"/>
      <c r="D647" s="467"/>
      <c r="E647" s="447"/>
      <c r="F647" s="447"/>
      <c r="G647" s="447"/>
      <c r="H647" s="447"/>
      <c r="I647" s="447"/>
      <c r="J647" s="447"/>
      <c r="K647" s="447"/>
      <c r="L647" s="447"/>
      <c r="M647" s="447"/>
      <c r="N647" s="447"/>
      <c r="O647" s="447"/>
      <c r="P647" s="447"/>
      <c r="Q647" s="447"/>
      <c r="R647" s="447"/>
      <c r="S647" s="447"/>
      <c r="T647" s="447"/>
      <c r="U647" s="447"/>
      <c r="V647" s="447"/>
      <c r="W647" s="447"/>
      <c r="X647" s="447"/>
      <c r="Y647" s="447"/>
      <c r="Z647" s="447"/>
      <c r="AA647" s="447"/>
    </row>
    <row r="648" spans="1:27">
      <c r="A648" s="465"/>
      <c r="B648" s="466"/>
      <c r="C648" s="465"/>
      <c r="D648" s="467"/>
      <c r="E648" s="447"/>
      <c r="F648" s="447"/>
      <c r="G648" s="447"/>
      <c r="H648" s="447"/>
      <c r="I648" s="447"/>
      <c r="J648" s="447"/>
      <c r="K648" s="447"/>
      <c r="L648" s="447"/>
      <c r="M648" s="447"/>
      <c r="N648" s="447"/>
      <c r="O648" s="447"/>
      <c r="P648" s="447"/>
      <c r="Q648" s="447"/>
      <c r="R648" s="447"/>
      <c r="S648" s="447"/>
      <c r="T648" s="447"/>
      <c r="U648" s="447"/>
      <c r="V648" s="447"/>
      <c r="W648" s="447"/>
      <c r="X648" s="447"/>
      <c r="Y648" s="447"/>
      <c r="Z648" s="447"/>
      <c r="AA648" s="447"/>
    </row>
    <row r="649" spans="1:27">
      <c r="A649" s="465"/>
      <c r="B649" s="466"/>
      <c r="C649" s="465"/>
      <c r="D649" s="467"/>
      <c r="E649" s="447"/>
      <c r="F649" s="447"/>
      <c r="G649" s="447"/>
      <c r="H649" s="447"/>
      <c r="I649" s="447"/>
      <c r="J649" s="447"/>
      <c r="K649" s="447"/>
      <c r="L649" s="447"/>
      <c r="M649" s="447"/>
      <c r="N649" s="447"/>
      <c r="O649" s="447"/>
      <c r="P649" s="447"/>
      <c r="Q649" s="447"/>
      <c r="R649" s="447"/>
      <c r="S649" s="447"/>
      <c r="T649" s="447"/>
      <c r="U649" s="447"/>
      <c r="V649" s="447"/>
      <c r="W649" s="447"/>
      <c r="X649" s="447"/>
      <c r="Y649" s="447"/>
      <c r="Z649" s="447"/>
      <c r="AA649" s="447"/>
    </row>
    <row r="650" spans="1:27">
      <c r="A650" s="465"/>
      <c r="B650" s="466"/>
      <c r="C650" s="465"/>
      <c r="D650" s="467"/>
      <c r="E650" s="447"/>
      <c r="F650" s="447"/>
      <c r="G650" s="447"/>
      <c r="H650" s="447"/>
      <c r="I650" s="447"/>
      <c r="J650" s="447"/>
      <c r="K650" s="447"/>
      <c r="L650" s="447"/>
      <c r="M650" s="447"/>
      <c r="N650" s="447"/>
      <c r="O650" s="447"/>
      <c r="P650" s="447"/>
      <c r="Q650" s="447"/>
      <c r="R650" s="447"/>
      <c r="S650" s="447"/>
      <c r="T650" s="447"/>
      <c r="U650" s="447"/>
      <c r="V650" s="447"/>
      <c r="W650" s="447"/>
      <c r="X650" s="447"/>
      <c r="Y650" s="447"/>
      <c r="Z650" s="447"/>
      <c r="AA650" s="447"/>
    </row>
    <row r="651" spans="1:27">
      <c r="A651" s="465"/>
      <c r="B651" s="466"/>
      <c r="C651" s="465"/>
      <c r="D651" s="467"/>
      <c r="E651" s="447"/>
      <c r="F651" s="447"/>
      <c r="G651" s="447"/>
      <c r="H651" s="447"/>
      <c r="I651" s="447"/>
      <c r="J651" s="447"/>
      <c r="K651" s="447"/>
      <c r="L651" s="447"/>
      <c r="M651" s="447"/>
      <c r="N651" s="447"/>
      <c r="O651" s="447"/>
      <c r="P651" s="447"/>
      <c r="Q651" s="447"/>
      <c r="R651" s="447"/>
      <c r="S651" s="447"/>
      <c r="T651" s="447"/>
      <c r="U651" s="447"/>
      <c r="V651" s="447"/>
      <c r="W651" s="447"/>
      <c r="X651" s="447"/>
      <c r="Y651" s="447"/>
      <c r="Z651" s="447"/>
      <c r="AA651" s="447"/>
    </row>
    <row r="652" spans="1:27">
      <c r="A652" s="465"/>
      <c r="B652" s="466"/>
      <c r="C652" s="465"/>
      <c r="D652" s="467"/>
      <c r="E652" s="447"/>
      <c r="F652" s="447"/>
      <c r="G652" s="447"/>
      <c r="H652" s="447"/>
      <c r="I652" s="447"/>
      <c r="J652" s="447"/>
      <c r="K652" s="447"/>
      <c r="L652" s="447"/>
      <c r="M652" s="447"/>
      <c r="N652" s="447"/>
      <c r="O652" s="447"/>
      <c r="P652" s="447"/>
      <c r="Q652" s="447"/>
      <c r="R652" s="447"/>
      <c r="S652" s="447"/>
      <c r="T652" s="447"/>
      <c r="U652" s="447"/>
      <c r="V652" s="447"/>
      <c r="W652" s="447"/>
      <c r="X652" s="447"/>
      <c r="Y652" s="447"/>
      <c r="Z652" s="447"/>
      <c r="AA652" s="447"/>
    </row>
    <row r="653" spans="1:27">
      <c r="A653" s="465"/>
      <c r="B653" s="466"/>
      <c r="C653" s="465"/>
      <c r="D653" s="467"/>
      <c r="E653" s="447"/>
      <c r="F653" s="447"/>
      <c r="G653" s="447"/>
      <c r="H653" s="447"/>
      <c r="I653" s="447"/>
      <c r="J653" s="447"/>
      <c r="K653" s="447"/>
      <c r="L653" s="447"/>
      <c r="M653" s="447"/>
      <c r="N653" s="447"/>
      <c r="O653" s="447"/>
      <c r="P653" s="447"/>
      <c r="Q653" s="447"/>
      <c r="R653" s="447"/>
      <c r="S653" s="447"/>
      <c r="T653" s="447"/>
      <c r="U653" s="447"/>
      <c r="V653" s="447"/>
      <c r="W653" s="447"/>
      <c r="X653" s="447"/>
      <c r="Y653" s="447"/>
      <c r="Z653" s="447"/>
      <c r="AA653" s="447"/>
    </row>
    <row r="654" spans="1:27">
      <c r="A654" s="465"/>
      <c r="B654" s="466"/>
      <c r="C654" s="465"/>
      <c r="D654" s="467"/>
      <c r="E654" s="447"/>
      <c r="F654" s="447"/>
      <c r="G654" s="447"/>
      <c r="H654" s="447"/>
      <c r="I654" s="447"/>
      <c r="J654" s="447"/>
      <c r="K654" s="447"/>
      <c r="L654" s="447"/>
      <c r="M654" s="447"/>
      <c r="N654" s="447"/>
      <c r="O654" s="447"/>
      <c r="P654" s="447"/>
      <c r="Q654" s="447"/>
      <c r="R654" s="447"/>
      <c r="S654" s="447"/>
      <c r="T654" s="447"/>
      <c r="U654" s="447"/>
      <c r="V654" s="447"/>
      <c r="W654" s="447"/>
      <c r="X654" s="447"/>
      <c r="Y654" s="447"/>
      <c r="Z654" s="447"/>
      <c r="AA654" s="447"/>
    </row>
    <row r="655" spans="1:27">
      <c r="A655" s="465"/>
      <c r="B655" s="466"/>
      <c r="C655" s="465"/>
      <c r="D655" s="467"/>
      <c r="E655" s="447"/>
      <c r="F655" s="447"/>
      <c r="G655" s="447"/>
      <c r="H655" s="447"/>
      <c r="I655" s="447"/>
      <c r="J655" s="447"/>
      <c r="K655" s="447"/>
      <c r="L655" s="447"/>
      <c r="M655" s="447"/>
      <c r="N655" s="447"/>
      <c r="O655" s="447"/>
      <c r="P655" s="447"/>
      <c r="Q655" s="447"/>
      <c r="R655" s="447"/>
      <c r="S655" s="447"/>
      <c r="T655" s="447"/>
      <c r="U655" s="447"/>
      <c r="V655" s="447"/>
      <c r="W655" s="447"/>
      <c r="X655" s="447"/>
      <c r="Y655" s="447"/>
      <c r="Z655" s="447"/>
      <c r="AA655" s="447"/>
    </row>
    <row r="656" spans="1:27">
      <c r="A656" s="465"/>
      <c r="B656" s="466"/>
      <c r="C656" s="465"/>
      <c r="D656" s="467"/>
      <c r="E656" s="447"/>
      <c r="F656" s="447"/>
      <c r="G656" s="447"/>
      <c r="H656" s="447"/>
      <c r="I656" s="447"/>
      <c r="J656" s="447"/>
      <c r="K656" s="447"/>
      <c r="L656" s="447"/>
      <c r="M656" s="447"/>
      <c r="N656" s="447"/>
      <c r="O656" s="447"/>
      <c r="P656" s="447"/>
      <c r="Q656" s="447"/>
      <c r="R656" s="447"/>
      <c r="S656" s="447"/>
      <c r="T656" s="447"/>
      <c r="U656" s="447"/>
      <c r="V656" s="447"/>
      <c r="W656" s="447"/>
      <c r="X656" s="447"/>
      <c r="Y656" s="447"/>
      <c r="Z656" s="447"/>
      <c r="AA656" s="447"/>
    </row>
    <row r="657" spans="1:27">
      <c r="A657" s="465"/>
      <c r="B657" s="466"/>
      <c r="C657" s="465"/>
      <c r="D657" s="467"/>
      <c r="E657" s="447"/>
      <c r="F657" s="447"/>
      <c r="G657" s="447"/>
      <c r="H657" s="447"/>
      <c r="I657" s="447"/>
      <c r="J657" s="447"/>
      <c r="K657" s="447"/>
      <c r="L657" s="447"/>
      <c r="M657" s="447"/>
      <c r="N657" s="447"/>
      <c r="O657" s="447"/>
      <c r="P657" s="447"/>
      <c r="Q657" s="447"/>
      <c r="R657" s="447"/>
      <c r="S657" s="447"/>
      <c r="T657" s="447"/>
      <c r="U657" s="447"/>
      <c r="V657" s="447"/>
      <c r="W657" s="447"/>
      <c r="X657" s="447"/>
      <c r="Y657" s="447"/>
      <c r="Z657" s="447"/>
      <c r="AA657" s="447"/>
    </row>
    <row r="658" spans="1:27">
      <c r="A658" s="465"/>
      <c r="B658" s="466"/>
      <c r="C658" s="465"/>
      <c r="D658" s="467"/>
      <c r="E658" s="447"/>
      <c r="F658" s="447"/>
      <c r="G658" s="447"/>
      <c r="H658" s="447"/>
      <c r="I658" s="447"/>
      <c r="J658" s="447"/>
      <c r="K658" s="447"/>
      <c r="L658" s="447"/>
      <c r="M658" s="447"/>
      <c r="N658" s="447"/>
      <c r="O658" s="447"/>
      <c r="P658" s="447"/>
      <c r="Q658" s="447"/>
      <c r="R658" s="447"/>
      <c r="S658" s="447"/>
      <c r="T658" s="447"/>
      <c r="U658" s="447"/>
      <c r="V658" s="447"/>
      <c r="W658" s="447"/>
      <c r="X658" s="447"/>
      <c r="Y658" s="447"/>
      <c r="Z658" s="447"/>
      <c r="AA658" s="447"/>
    </row>
    <row r="659" spans="1:27">
      <c r="A659" s="465"/>
      <c r="B659" s="466"/>
      <c r="C659" s="465"/>
      <c r="D659" s="467"/>
      <c r="E659" s="447"/>
      <c r="F659" s="447"/>
      <c r="G659" s="447"/>
      <c r="H659" s="447"/>
      <c r="I659" s="447"/>
      <c r="J659" s="447"/>
      <c r="K659" s="447"/>
      <c r="L659" s="447"/>
      <c r="M659" s="447"/>
      <c r="N659" s="447"/>
      <c r="O659" s="447"/>
      <c r="P659" s="447"/>
      <c r="Q659" s="447"/>
      <c r="R659" s="447"/>
      <c r="S659" s="447"/>
      <c r="T659" s="447"/>
      <c r="U659" s="447"/>
      <c r="V659" s="447"/>
      <c r="W659" s="447"/>
      <c r="X659" s="447"/>
      <c r="Y659" s="447"/>
      <c r="Z659" s="447"/>
      <c r="AA659" s="447"/>
    </row>
    <row r="660" spans="1:27">
      <c r="A660" s="465"/>
      <c r="B660" s="466"/>
      <c r="C660" s="465"/>
      <c r="D660" s="467"/>
      <c r="E660" s="447"/>
      <c r="F660" s="447"/>
      <c r="G660" s="447"/>
      <c r="H660" s="447"/>
      <c r="I660" s="447"/>
      <c r="J660" s="447"/>
      <c r="K660" s="447"/>
      <c r="L660" s="447"/>
      <c r="M660" s="447"/>
      <c r="N660" s="447"/>
      <c r="O660" s="447"/>
      <c r="P660" s="447"/>
      <c r="Q660" s="447"/>
      <c r="R660" s="447"/>
      <c r="S660" s="447"/>
      <c r="T660" s="447"/>
      <c r="U660" s="447"/>
      <c r="V660" s="447"/>
      <c r="W660" s="447"/>
      <c r="X660" s="447"/>
      <c r="Y660" s="447"/>
      <c r="Z660" s="447"/>
      <c r="AA660" s="447"/>
    </row>
    <row r="661" spans="1:27">
      <c r="A661" s="465"/>
      <c r="B661" s="466"/>
      <c r="C661" s="465"/>
      <c r="D661" s="467"/>
      <c r="E661" s="447"/>
      <c r="F661" s="447"/>
      <c r="G661" s="447"/>
      <c r="H661" s="447"/>
      <c r="I661" s="447"/>
      <c r="J661" s="447"/>
      <c r="K661" s="447"/>
      <c r="L661" s="447"/>
      <c r="M661" s="447"/>
      <c r="N661" s="447"/>
      <c r="O661" s="447"/>
      <c r="P661" s="447"/>
      <c r="Q661" s="447"/>
      <c r="R661" s="447"/>
      <c r="S661" s="447"/>
      <c r="T661" s="447"/>
      <c r="U661" s="447"/>
      <c r="V661" s="447"/>
      <c r="W661" s="447"/>
      <c r="X661" s="447"/>
      <c r="Y661" s="447"/>
      <c r="Z661" s="447"/>
      <c r="AA661" s="447"/>
    </row>
    <row r="662" spans="1:27">
      <c r="A662" s="465"/>
      <c r="B662" s="466"/>
      <c r="C662" s="465"/>
      <c r="D662" s="467"/>
      <c r="E662" s="447"/>
      <c r="F662" s="447"/>
      <c r="G662" s="447"/>
      <c r="H662" s="447"/>
      <c r="I662" s="447"/>
      <c r="J662" s="447"/>
      <c r="K662" s="447"/>
      <c r="L662" s="447"/>
      <c r="M662" s="447"/>
      <c r="N662" s="447"/>
      <c r="O662" s="447"/>
      <c r="P662" s="447"/>
      <c r="Q662" s="447"/>
      <c r="R662" s="447"/>
      <c r="S662" s="447"/>
      <c r="T662" s="447"/>
      <c r="U662" s="447"/>
      <c r="V662" s="447"/>
      <c r="W662" s="447"/>
      <c r="X662" s="447"/>
      <c r="Y662" s="447"/>
      <c r="Z662" s="447"/>
      <c r="AA662" s="447"/>
    </row>
    <row r="663" spans="1:27">
      <c r="A663" s="465"/>
      <c r="B663" s="466"/>
      <c r="C663" s="465"/>
      <c r="D663" s="467"/>
      <c r="E663" s="447"/>
      <c r="F663" s="447"/>
      <c r="G663" s="447"/>
      <c r="H663" s="447"/>
      <c r="I663" s="447"/>
      <c r="J663" s="447"/>
      <c r="K663" s="447"/>
      <c r="L663" s="447"/>
      <c r="M663" s="447"/>
      <c r="N663" s="447"/>
      <c r="O663" s="447"/>
      <c r="P663" s="447"/>
      <c r="Q663" s="447"/>
      <c r="R663" s="447"/>
      <c r="S663" s="447"/>
      <c r="T663" s="447"/>
      <c r="U663" s="447"/>
      <c r="V663" s="447"/>
      <c r="W663" s="447"/>
      <c r="X663" s="447"/>
      <c r="Y663" s="447"/>
      <c r="Z663" s="447"/>
      <c r="AA663" s="447"/>
    </row>
    <row r="664" spans="1:27">
      <c r="A664" s="465"/>
      <c r="B664" s="466"/>
      <c r="C664" s="465"/>
      <c r="D664" s="467"/>
      <c r="E664" s="447"/>
      <c r="F664" s="447"/>
      <c r="G664" s="447"/>
      <c r="H664" s="447"/>
      <c r="I664" s="447"/>
      <c r="J664" s="447"/>
      <c r="K664" s="447"/>
      <c r="L664" s="447"/>
      <c r="M664" s="447"/>
      <c r="N664" s="447"/>
      <c r="O664" s="447"/>
      <c r="P664" s="447"/>
      <c r="Q664" s="447"/>
      <c r="R664" s="447"/>
      <c r="S664" s="447"/>
      <c r="T664" s="447"/>
      <c r="U664" s="447"/>
      <c r="V664" s="447"/>
      <c r="W664" s="447"/>
      <c r="X664" s="447"/>
      <c r="Y664" s="447"/>
      <c r="Z664" s="447"/>
      <c r="AA664" s="447"/>
    </row>
    <row r="665" spans="1:27">
      <c r="A665" s="465"/>
      <c r="B665" s="466"/>
      <c r="C665" s="465"/>
      <c r="D665" s="467"/>
      <c r="E665" s="447"/>
      <c r="F665" s="447"/>
      <c r="G665" s="447"/>
      <c r="H665" s="447"/>
      <c r="I665" s="447"/>
      <c r="J665" s="447"/>
      <c r="K665" s="447"/>
      <c r="L665" s="447"/>
      <c r="M665" s="447"/>
      <c r="N665" s="447"/>
      <c r="O665" s="447"/>
      <c r="P665" s="447"/>
      <c r="Q665" s="447"/>
      <c r="R665" s="447"/>
      <c r="S665" s="447"/>
      <c r="T665" s="447"/>
      <c r="U665" s="447"/>
      <c r="V665" s="447"/>
      <c r="W665" s="447"/>
      <c r="X665" s="447"/>
      <c r="Y665" s="447"/>
      <c r="Z665" s="447"/>
      <c r="AA665" s="447"/>
    </row>
    <row r="666" spans="1:27">
      <c r="A666" s="465"/>
      <c r="B666" s="466"/>
      <c r="C666" s="465"/>
      <c r="D666" s="467"/>
      <c r="E666" s="447"/>
      <c r="F666" s="447"/>
      <c r="G666" s="447"/>
      <c r="H666" s="447"/>
      <c r="I666" s="447"/>
      <c r="J666" s="447"/>
      <c r="K666" s="447"/>
      <c r="L666" s="447"/>
      <c r="M666" s="447"/>
      <c r="N666" s="447"/>
      <c r="O666" s="447"/>
      <c r="P666" s="447"/>
      <c r="Q666" s="447"/>
      <c r="R666" s="447"/>
      <c r="S666" s="447"/>
      <c r="T666" s="447"/>
      <c r="U666" s="447"/>
      <c r="V666" s="447"/>
      <c r="W666" s="447"/>
      <c r="X666" s="447"/>
      <c r="Y666" s="447"/>
      <c r="Z666" s="447"/>
      <c r="AA666" s="447"/>
    </row>
    <row r="667" spans="1:27">
      <c r="A667" s="465"/>
      <c r="B667" s="466"/>
      <c r="C667" s="465"/>
      <c r="D667" s="467"/>
      <c r="E667" s="447"/>
      <c r="F667" s="447"/>
      <c r="G667" s="447"/>
      <c r="H667" s="447"/>
      <c r="I667" s="447"/>
      <c r="J667" s="447"/>
      <c r="K667" s="447"/>
      <c r="L667" s="447"/>
      <c r="M667" s="447"/>
      <c r="N667" s="447"/>
      <c r="O667" s="447"/>
      <c r="P667" s="447"/>
      <c r="Q667" s="447"/>
      <c r="R667" s="447"/>
      <c r="S667" s="447"/>
      <c r="T667" s="447"/>
      <c r="U667" s="447"/>
      <c r="V667" s="447"/>
      <c r="W667" s="447"/>
      <c r="X667" s="447"/>
      <c r="Y667" s="447"/>
      <c r="Z667" s="447"/>
      <c r="AA667" s="447"/>
    </row>
    <row r="668" spans="1:27">
      <c r="A668" s="465"/>
      <c r="B668" s="466"/>
      <c r="C668" s="465"/>
      <c r="D668" s="467"/>
      <c r="E668" s="447"/>
      <c r="F668" s="447"/>
      <c r="G668" s="447"/>
      <c r="H668" s="447"/>
      <c r="I668" s="447"/>
      <c r="J668" s="447"/>
      <c r="K668" s="447"/>
      <c r="L668" s="447"/>
      <c r="M668" s="447"/>
      <c r="N668" s="447"/>
      <c r="O668" s="447"/>
      <c r="P668" s="447"/>
      <c r="Q668" s="447"/>
      <c r="R668" s="447"/>
      <c r="S668" s="447"/>
      <c r="T668" s="447"/>
      <c r="U668" s="447"/>
      <c r="V668" s="447"/>
      <c r="W668" s="447"/>
      <c r="X668" s="447"/>
      <c r="Y668" s="447"/>
      <c r="Z668" s="447"/>
      <c r="AA668" s="447"/>
    </row>
    <row r="669" spans="1:27">
      <c r="A669" s="465"/>
      <c r="B669" s="466"/>
      <c r="C669" s="465"/>
      <c r="D669" s="467"/>
      <c r="E669" s="447"/>
      <c r="F669" s="447"/>
      <c r="G669" s="447"/>
      <c r="H669" s="447"/>
      <c r="I669" s="447"/>
      <c r="J669" s="447"/>
      <c r="K669" s="447"/>
      <c r="L669" s="447"/>
      <c r="M669" s="447"/>
      <c r="N669" s="447"/>
      <c r="O669" s="447"/>
      <c r="P669" s="447"/>
      <c r="Q669" s="447"/>
      <c r="R669" s="447"/>
      <c r="S669" s="447"/>
      <c r="T669" s="447"/>
      <c r="U669" s="447"/>
      <c r="V669" s="447"/>
      <c r="W669" s="447"/>
      <c r="X669" s="447"/>
      <c r="Y669" s="447"/>
      <c r="Z669" s="447"/>
      <c r="AA669" s="447"/>
    </row>
    <row r="670" spans="1:27">
      <c r="A670" s="465"/>
      <c r="B670" s="466"/>
      <c r="C670" s="465"/>
      <c r="D670" s="467"/>
      <c r="E670" s="447"/>
      <c r="F670" s="447"/>
      <c r="G670" s="447"/>
      <c r="H670" s="447"/>
      <c r="I670" s="447"/>
      <c r="J670" s="447"/>
      <c r="K670" s="447"/>
      <c r="L670" s="447"/>
      <c r="M670" s="447"/>
      <c r="N670" s="447"/>
      <c r="O670" s="447"/>
      <c r="P670" s="447"/>
      <c r="Q670" s="447"/>
      <c r="R670" s="447"/>
      <c r="S670" s="447"/>
      <c r="T670" s="447"/>
      <c r="U670" s="447"/>
      <c r="V670" s="447"/>
      <c r="W670" s="447"/>
      <c r="X670" s="447"/>
      <c r="Y670" s="447"/>
      <c r="Z670" s="447"/>
      <c r="AA670" s="447"/>
    </row>
    <row r="671" spans="1:27">
      <c r="A671" s="465"/>
      <c r="B671" s="466"/>
      <c r="C671" s="465"/>
      <c r="D671" s="467"/>
      <c r="E671" s="447"/>
      <c r="F671" s="447"/>
      <c r="G671" s="447"/>
      <c r="H671" s="447"/>
      <c r="I671" s="447"/>
      <c r="J671" s="447"/>
      <c r="K671" s="447"/>
      <c r="L671" s="447"/>
      <c r="M671" s="447"/>
      <c r="N671" s="447"/>
      <c r="O671" s="447"/>
      <c r="P671" s="447"/>
      <c r="Q671" s="447"/>
      <c r="R671" s="447"/>
      <c r="S671" s="447"/>
      <c r="T671" s="447"/>
      <c r="U671" s="447"/>
      <c r="V671" s="447"/>
      <c r="W671" s="447"/>
      <c r="X671" s="447"/>
      <c r="Y671" s="447"/>
      <c r="Z671" s="447"/>
      <c r="AA671" s="447"/>
    </row>
    <row r="672" spans="1:27">
      <c r="A672" s="465"/>
      <c r="B672" s="466"/>
      <c r="C672" s="465"/>
      <c r="D672" s="467"/>
      <c r="E672" s="447"/>
      <c r="F672" s="447"/>
      <c r="G672" s="447"/>
      <c r="H672" s="447"/>
      <c r="I672" s="447"/>
      <c r="J672" s="447"/>
      <c r="K672" s="447"/>
      <c r="L672" s="447"/>
      <c r="M672" s="447"/>
      <c r="N672" s="447"/>
      <c r="O672" s="447"/>
      <c r="P672" s="447"/>
      <c r="Q672" s="447"/>
      <c r="R672" s="447"/>
      <c r="S672" s="447"/>
      <c r="T672" s="447"/>
      <c r="U672" s="447"/>
      <c r="V672" s="447"/>
      <c r="W672" s="447"/>
      <c r="X672" s="447"/>
      <c r="Y672" s="447"/>
      <c r="Z672" s="447"/>
      <c r="AA672" s="447"/>
    </row>
    <row r="673" spans="1:27">
      <c r="A673" s="465"/>
      <c r="B673" s="466"/>
      <c r="C673" s="465"/>
      <c r="D673" s="467"/>
      <c r="E673" s="447"/>
      <c r="F673" s="447"/>
      <c r="G673" s="447"/>
      <c r="H673" s="447"/>
      <c r="I673" s="447"/>
      <c r="J673" s="447"/>
      <c r="K673" s="447"/>
      <c r="L673" s="447"/>
      <c r="M673" s="447"/>
      <c r="N673" s="447"/>
      <c r="O673" s="447"/>
      <c r="P673" s="447"/>
      <c r="Q673" s="447"/>
      <c r="R673" s="447"/>
      <c r="S673" s="447"/>
      <c r="T673" s="447"/>
      <c r="U673" s="447"/>
      <c r="V673" s="447"/>
      <c r="W673" s="447"/>
      <c r="X673" s="447"/>
      <c r="Y673" s="447"/>
      <c r="Z673" s="447"/>
      <c r="AA673" s="447"/>
    </row>
    <row r="674" spans="1:27">
      <c r="A674" s="465"/>
      <c r="B674" s="466"/>
      <c r="C674" s="465"/>
      <c r="D674" s="467"/>
      <c r="E674" s="447"/>
      <c r="F674" s="447"/>
      <c r="G674" s="447"/>
      <c r="H674" s="447"/>
      <c r="I674" s="447"/>
      <c r="J674" s="447"/>
      <c r="K674" s="447"/>
      <c r="L674" s="447"/>
      <c r="M674" s="447"/>
      <c r="N674" s="447"/>
      <c r="O674" s="447"/>
      <c r="P674" s="447"/>
      <c r="Q674" s="447"/>
      <c r="R674" s="447"/>
      <c r="S674" s="447"/>
      <c r="T674" s="447"/>
      <c r="U674" s="447"/>
      <c r="V674" s="447"/>
      <c r="W674" s="447"/>
      <c r="X674" s="447"/>
      <c r="Y674" s="447"/>
      <c r="Z674" s="447"/>
      <c r="AA674" s="447"/>
    </row>
    <row r="675" spans="1:27">
      <c r="A675" s="465"/>
      <c r="B675" s="466"/>
      <c r="C675" s="465"/>
      <c r="D675" s="467"/>
      <c r="E675" s="447"/>
      <c r="F675" s="447"/>
      <c r="G675" s="447"/>
      <c r="H675" s="447"/>
      <c r="I675" s="447"/>
      <c r="J675" s="447"/>
      <c r="K675" s="447"/>
      <c r="L675" s="447"/>
      <c r="M675" s="447"/>
      <c r="N675" s="447"/>
      <c r="O675" s="447"/>
      <c r="P675" s="447"/>
      <c r="Q675" s="447"/>
      <c r="R675" s="447"/>
      <c r="S675" s="447"/>
      <c r="T675" s="447"/>
      <c r="U675" s="447"/>
      <c r="V675" s="447"/>
      <c r="W675" s="447"/>
      <c r="X675" s="447"/>
      <c r="Y675" s="447"/>
      <c r="Z675" s="447"/>
      <c r="AA675" s="447"/>
    </row>
    <row r="676" spans="1:27">
      <c r="A676" s="465"/>
      <c r="B676" s="466"/>
      <c r="C676" s="465"/>
      <c r="D676" s="467"/>
      <c r="E676" s="447"/>
      <c r="F676" s="447"/>
      <c r="G676" s="447"/>
      <c r="H676" s="447"/>
      <c r="I676" s="447"/>
      <c r="J676" s="447"/>
      <c r="K676" s="447"/>
      <c r="L676" s="447"/>
      <c r="M676" s="447"/>
      <c r="N676" s="447"/>
      <c r="O676" s="447"/>
      <c r="P676" s="447"/>
      <c r="Q676" s="447"/>
      <c r="R676" s="447"/>
      <c r="S676" s="447"/>
      <c r="T676" s="447"/>
      <c r="U676" s="447"/>
      <c r="V676" s="447"/>
      <c r="W676" s="447"/>
      <c r="X676" s="447"/>
      <c r="Y676" s="447"/>
      <c r="Z676" s="447"/>
      <c r="AA676" s="447"/>
    </row>
    <row r="677" spans="1:27">
      <c r="A677" s="465"/>
      <c r="B677" s="466"/>
      <c r="C677" s="465"/>
      <c r="D677" s="467"/>
      <c r="E677" s="447"/>
      <c r="F677" s="447"/>
      <c r="G677" s="447"/>
      <c r="H677" s="447"/>
      <c r="I677" s="447"/>
      <c r="J677" s="447"/>
      <c r="K677" s="447"/>
      <c r="L677" s="447"/>
      <c r="M677" s="447"/>
      <c r="N677" s="447"/>
      <c r="O677" s="447"/>
      <c r="P677" s="447"/>
      <c r="Q677" s="447"/>
      <c r="R677" s="447"/>
      <c r="S677" s="447"/>
      <c r="T677" s="447"/>
      <c r="U677" s="447"/>
      <c r="V677" s="447"/>
      <c r="W677" s="447"/>
      <c r="X677" s="447"/>
      <c r="Y677" s="447"/>
      <c r="Z677" s="447"/>
      <c r="AA677" s="447"/>
    </row>
    <row r="678" spans="1:27">
      <c r="A678" s="465"/>
      <c r="B678" s="466"/>
      <c r="C678" s="465"/>
      <c r="D678" s="467"/>
      <c r="E678" s="447"/>
      <c r="F678" s="447"/>
      <c r="G678" s="447"/>
      <c r="H678" s="447"/>
      <c r="I678" s="447"/>
      <c r="J678" s="447"/>
      <c r="K678" s="447"/>
      <c r="L678" s="447"/>
      <c r="M678" s="447"/>
      <c r="N678" s="447"/>
      <c r="O678" s="447"/>
      <c r="P678" s="447"/>
      <c r="Q678" s="447"/>
      <c r="R678" s="447"/>
      <c r="S678" s="447"/>
      <c r="T678" s="447"/>
      <c r="U678" s="447"/>
      <c r="V678" s="447"/>
      <c r="W678" s="447"/>
      <c r="X678" s="447"/>
      <c r="Y678" s="447"/>
      <c r="Z678" s="447"/>
      <c r="AA678" s="447"/>
    </row>
    <row r="679" spans="1:27">
      <c r="A679" s="465"/>
      <c r="B679" s="466"/>
      <c r="C679" s="465"/>
      <c r="D679" s="467"/>
      <c r="E679" s="447"/>
      <c r="F679" s="447"/>
      <c r="G679" s="447"/>
      <c r="H679" s="447"/>
      <c r="I679" s="447"/>
      <c r="J679" s="447"/>
      <c r="K679" s="447"/>
      <c r="L679" s="447"/>
      <c r="M679" s="447"/>
      <c r="N679" s="447"/>
      <c r="O679" s="447"/>
      <c r="P679" s="447"/>
      <c r="Q679" s="447"/>
      <c r="R679" s="447"/>
      <c r="S679" s="447"/>
      <c r="T679" s="447"/>
      <c r="U679" s="447"/>
      <c r="V679" s="447"/>
      <c r="W679" s="447"/>
      <c r="X679" s="447"/>
      <c r="Y679" s="447"/>
      <c r="Z679" s="447"/>
      <c r="AA679" s="447"/>
    </row>
    <row r="680" spans="1:27">
      <c r="A680" s="465"/>
      <c r="B680" s="466"/>
      <c r="C680" s="465"/>
      <c r="D680" s="467"/>
      <c r="E680" s="447"/>
      <c r="F680" s="447"/>
      <c r="G680" s="447"/>
      <c r="H680" s="447"/>
      <c r="I680" s="447"/>
      <c r="J680" s="447"/>
      <c r="K680" s="447"/>
      <c r="L680" s="447"/>
      <c r="M680" s="447"/>
      <c r="N680" s="447"/>
      <c r="O680" s="447"/>
      <c r="P680" s="447"/>
      <c r="Q680" s="447"/>
      <c r="R680" s="447"/>
      <c r="S680" s="447"/>
      <c r="T680" s="447"/>
      <c r="U680" s="447"/>
      <c r="V680" s="447"/>
      <c r="W680" s="447"/>
      <c r="X680" s="447"/>
      <c r="Y680" s="447"/>
      <c r="Z680" s="447"/>
      <c r="AA680" s="447"/>
    </row>
    <row r="681" spans="1:27">
      <c r="A681" s="465"/>
      <c r="B681" s="466"/>
      <c r="C681" s="465"/>
      <c r="D681" s="467"/>
      <c r="E681" s="447"/>
      <c r="F681" s="447"/>
      <c r="G681" s="447"/>
      <c r="H681" s="447"/>
      <c r="I681" s="447"/>
      <c r="J681" s="447"/>
      <c r="K681" s="447"/>
      <c r="L681" s="447"/>
      <c r="M681" s="447"/>
      <c r="N681" s="447"/>
      <c r="O681" s="447"/>
      <c r="P681" s="447"/>
      <c r="Q681" s="447"/>
      <c r="R681" s="447"/>
      <c r="S681" s="447"/>
      <c r="T681" s="447"/>
      <c r="U681" s="447"/>
      <c r="V681" s="447"/>
      <c r="W681" s="447"/>
      <c r="X681" s="447"/>
      <c r="Y681" s="447"/>
      <c r="Z681" s="447"/>
      <c r="AA681" s="447"/>
    </row>
    <row r="682" spans="1:27">
      <c r="A682" s="465"/>
      <c r="B682" s="466"/>
      <c r="C682" s="465"/>
      <c r="D682" s="467"/>
      <c r="E682" s="447"/>
      <c r="F682" s="447"/>
      <c r="G682" s="447"/>
      <c r="H682" s="447"/>
      <c r="I682" s="447"/>
      <c r="J682" s="447"/>
      <c r="K682" s="447"/>
      <c r="L682" s="447"/>
      <c r="M682" s="447"/>
      <c r="N682" s="447"/>
      <c r="O682" s="447"/>
      <c r="P682" s="447"/>
      <c r="Q682" s="447"/>
      <c r="R682" s="447"/>
      <c r="S682" s="447"/>
      <c r="T682" s="447"/>
      <c r="U682" s="447"/>
      <c r="V682" s="447"/>
      <c r="W682" s="447"/>
      <c r="X682" s="447"/>
      <c r="Y682" s="447"/>
      <c r="Z682" s="447"/>
      <c r="AA682" s="447"/>
    </row>
    <row r="683" spans="1:27">
      <c r="A683" s="465"/>
      <c r="B683" s="466"/>
      <c r="C683" s="465"/>
      <c r="D683" s="467"/>
      <c r="E683" s="447"/>
      <c r="F683" s="447"/>
      <c r="G683" s="447"/>
      <c r="H683" s="447"/>
      <c r="I683" s="447"/>
      <c r="J683" s="447"/>
      <c r="K683" s="447"/>
      <c r="L683" s="447"/>
      <c r="M683" s="447"/>
      <c r="N683" s="447"/>
      <c r="O683" s="447"/>
      <c r="P683" s="447"/>
      <c r="Q683" s="447"/>
      <c r="R683" s="447"/>
      <c r="S683" s="447"/>
      <c r="T683" s="447"/>
      <c r="U683" s="447"/>
      <c r="V683" s="447"/>
      <c r="W683" s="447"/>
      <c r="X683" s="447"/>
      <c r="Y683" s="447"/>
      <c r="Z683" s="447"/>
      <c r="AA683" s="447"/>
    </row>
    <row r="684" spans="1:27">
      <c r="A684" s="465"/>
      <c r="B684" s="466"/>
      <c r="C684" s="465"/>
      <c r="D684" s="467"/>
      <c r="E684" s="447"/>
      <c r="F684" s="447"/>
      <c r="G684" s="447"/>
      <c r="H684" s="447"/>
      <c r="I684" s="447"/>
      <c r="J684" s="447"/>
      <c r="K684" s="447"/>
      <c r="L684" s="447"/>
      <c r="M684" s="447"/>
      <c r="N684" s="447"/>
      <c r="O684" s="447"/>
      <c r="P684" s="447"/>
      <c r="Q684" s="447"/>
      <c r="R684" s="447"/>
      <c r="S684" s="447"/>
      <c r="T684" s="447"/>
      <c r="U684" s="447"/>
      <c r="V684" s="447"/>
      <c r="W684" s="447"/>
      <c r="X684" s="447"/>
      <c r="Y684" s="447"/>
      <c r="Z684" s="447"/>
      <c r="AA684" s="447"/>
    </row>
    <row r="685" spans="1:27">
      <c r="A685" s="465"/>
      <c r="B685" s="466"/>
      <c r="C685" s="465"/>
      <c r="D685" s="467"/>
      <c r="E685" s="447"/>
      <c r="F685" s="447"/>
      <c r="G685" s="447"/>
      <c r="H685" s="447"/>
      <c r="I685" s="447"/>
      <c r="J685" s="447"/>
      <c r="K685" s="447"/>
      <c r="L685" s="447"/>
      <c r="M685" s="447"/>
      <c r="N685" s="447"/>
      <c r="O685" s="447"/>
      <c r="P685" s="447"/>
      <c r="Q685" s="447"/>
      <c r="R685" s="447"/>
      <c r="S685" s="447"/>
      <c r="T685" s="447"/>
      <c r="U685" s="447"/>
      <c r="V685" s="447"/>
      <c r="W685" s="447"/>
      <c r="X685" s="447"/>
      <c r="Y685" s="447"/>
      <c r="Z685" s="447"/>
      <c r="AA685" s="447"/>
    </row>
    <row r="686" spans="1:27">
      <c r="A686" s="465"/>
      <c r="B686" s="466"/>
      <c r="C686" s="465"/>
      <c r="D686" s="467"/>
      <c r="E686" s="447"/>
      <c r="F686" s="447"/>
      <c r="G686" s="447"/>
      <c r="H686" s="447"/>
      <c r="I686" s="447"/>
      <c r="J686" s="447"/>
      <c r="K686" s="447"/>
      <c r="L686" s="447"/>
      <c r="M686" s="447"/>
      <c r="N686" s="447"/>
      <c r="O686" s="447"/>
      <c r="P686" s="447"/>
      <c r="Q686" s="447"/>
      <c r="R686" s="447"/>
      <c r="S686" s="447"/>
      <c r="T686" s="447"/>
      <c r="U686" s="447"/>
      <c r="V686" s="447"/>
      <c r="W686" s="447"/>
      <c r="X686" s="447"/>
      <c r="Y686" s="447"/>
      <c r="Z686" s="447"/>
      <c r="AA686" s="447"/>
    </row>
    <row r="687" spans="1:27">
      <c r="A687" s="465"/>
      <c r="B687" s="466"/>
      <c r="C687" s="465"/>
      <c r="D687" s="467"/>
      <c r="E687" s="447"/>
      <c r="F687" s="447"/>
      <c r="G687" s="447"/>
      <c r="H687" s="447"/>
      <c r="I687" s="447"/>
      <c r="J687" s="447"/>
      <c r="K687" s="447"/>
      <c r="L687" s="447"/>
      <c r="M687" s="447"/>
      <c r="N687" s="447"/>
      <c r="O687" s="447"/>
      <c r="P687" s="447"/>
      <c r="Q687" s="447"/>
      <c r="R687" s="447"/>
      <c r="S687" s="447"/>
      <c r="T687" s="447"/>
      <c r="U687" s="447"/>
      <c r="V687" s="447"/>
      <c r="W687" s="447"/>
      <c r="X687" s="447"/>
      <c r="Y687" s="447"/>
      <c r="Z687" s="447"/>
      <c r="AA687" s="447"/>
    </row>
    <row r="688" spans="1:27">
      <c r="A688" s="465"/>
      <c r="B688" s="466"/>
      <c r="C688" s="465"/>
      <c r="D688" s="467"/>
      <c r="E688" s="447"/>
      <c r="F688" s="447"/>
      <c r="G688" s="447"/>
      <c r="H688" s="447"/>
      <c r="I688" s="447"/>
      <c r="J688" s="447"/>
      <c r="K688" s="447"/>
      <c r="L688" s="447"/>
      <c r="M688" s="447"/>
      <c r="N688" s="447"/>
      <c r="O688" s="447"/>
      <c r="P688" s="447"/>
      <c r="Q688" s="447"/>
      <c r="R688" s="447"/>
      <c r="S688" s="447"/>
      <c r="T688" s="447"/>
      <c r="U688" s="447"/>
      <c r="V688" s="447"/>
      <c r="W688" s="447"/>
      <c r="X688" s="447"/>
      <c r="Y688" s="447"/>
      <c r="Z688" s="447"/>
      <c r="AA688" s="447"/>
    </row>
    <row r="689" spans="1:27">
      <c r="A689" s="465"/>
      <c r="B689" s="466"/>
      <c r="C689" s="465"/>
      <c r="D689" s="467"/>
      <c r="E689" s="447"/>
      <c r="F689" s="447"/>
      <c r="G689" s="447"/>
      <c r="H689" s="447"/>
      <c r="I689" s="447"/>
      <c r="J689" s="447"/>
      <c r="K689" s="447"/>
      <c r="L689" s="447"/>
      <c r="M689" s="447"/>
      <c r="N689" s="447"/>
      <c r="O689" s="447"/>
      <c r="P689" s="447"/>
      <c r="Q689" s="447"/>
      <c r="R689" s="447"/>
      <c r="S689" s="447"/>
      <c r="T689" s="447"/>
      <c r="U689" s="447"/>
      <c r="V689" s="447"/>
      <c r="W689" s="447"/>
      <c r="X689" s="447"/>
      <c r="Y689" s="447"/>
      <c r="Z689" s="447"/>
      <c r="AA689" s="447"/>
    </row>
    <row r="690" spans="1:27">
      <c r="A690" s="465"/>
      <c r="B690" s="466"/>
      <c r="C690" s="465"/>
      <c r="D690" s="467"/>
      <c r="E690" s="447"/>
      <c r="F690" s="447"/>
      <c r="G690" s="447"/>
      <c r="H690" s="447"/>
      <c r="I690" s="447"/>
      <c r="J690" s="447"/>
      <c r="K690" s="447"/>
      <c r="L690" s="447"/>
      <c r="M690" s="447"/>
      <c r="N690" s="447"/>
      <c r="O690" s="447"/>
      <c r="P690" s="447"/>
      <c r="Q690" s="447"/>
      <c r="R690" s="447"/>
      <c r="S690" s="447"/>
      <c r="T690" s="447"/>
      <c r="U690" s="447"/>
      <c r="V690" s="447"/>
      <c r="W690" s="447"/>
      <c r="X690" s="447"/>
      <c r="Y690" s="447"/>
      <c r="Z690" s="447"/>
      <c r="AA690" s="447"/>
    </row>
    <row r="691" spans="1:27">
      <c r="A691" s="465"/>
      <c r="B691" s="466"/>
      <c r="C691" s="465"/>
      <c r="D691" s="467"/>
      <c r="E691" s="447"/>
      <c r="F691" s="447"/>
      <c r="G691" s="447"/>
      <c r="H691" s="447"/>
      <c r="I691" s="447"/>
      <c r="J691" s="447"/>
      <c r="K691" s="447"/>
      <c r="L691" s="447"/>
      <c r="M691" s="447"/>
      <c r="N691" s="447"/>
      <c r="O691" s="447"/>
      <c r="P691" s="447"/>
      <c r="Q691" s="447"/>
      <c r="R691" s="447"/>
      <c r="S691" s="447"/>
      <c r="T691" s="447"/>
      <c r="U691" s="447"/>
      <c r="V691" s="447"/>
      <c r="W691" s="447"/>
      <c r="X691" s="447"/>
      <c r="Y691" s="447"/>
      <c r="Z691" s="447"/>
      <c r="AA691" s="447"/>
    </row>
    <row r="692" spans="1:27">
      <c r="A692" s="465"/>
      <c r="B692" s="466"/>
      <c r="C692" s="465"/>
      <c r="D692" s="467"/>
      <c r="E692" s="447"/>
      <c r="F692" s="447"/>
      <c r="G692" s="447"/>
      <c r="H692" s="447"/>
      <c r="I692" s="447"/>
      <c r="J692" s="447"/>
      <c r="K692" s="447"/>
      <c r="L692" s="447"/>
      <c r="M692" s="447"/>
      <c r="N692" s="447"/>
      <c r="O692" s="447"/>
      <c r="P692" s="447"/>
      <c r="Q692" s="447"/>
      <c r="R692" s="447"/>
      <c r="S692" s="447"/>
      <c r="T692" s="447"/>
      <c r="U692" s="447"/>
      <c r="V692" s="447"/>
      <c r="W692" s="447"/>
      <c r="X692" s="447"/>
      <c r="Y692" s="447"/>
      <c r="Z692" s="447"/>
      <c r="AA692" s="447"/>
    </row>
    <row r="693" spans="1:27">
      <c r="A693" s="465"/>
      <c r="B693" s="466"/>
      <c r="C693" s="465"/>
      <c r="D693" s="467"/>
      <c r="E693" s="447"/>
      <c r="F693" s="447"/>
      <c r="G693" s="447"/>
      <c r="H693" s="447"/>
      <c r="I693" s="447"/>
      <c r="J693" s="447"/>
      <c r="K693" s="447"/>
      <c r="L693" s="447"/>
      <c r="M693" s="447"/>
      <c r="N693" s="447"/>
      <c r="O693" s="447"/>
      <c r="P693" s="447"/>
      <c r="Q693" s="447"/>
      <c r="R693" s="447"/>
      <c r="S693" s="447"/>
      <c r="T693" s="447"/>
      <c r="U693" s="447"/>
      <c r="V693" s="447"/>
      <c r="W693" s="447"/>
      <c r="X693" s="447"/>
      <c r="Y693" s="447"/>
      <c r="Z693" s="447"/>
      <c r="AA693" s="447"/>
    </row>
    <row r="694" spans="1:27">
      <c r="A694" s="465"/>
      <c r="B694" s="466"/>
      <c r="C694" s="465"/>
      <c r="D694" s="467"/>
      <c r="E694" s="447"/>
      <c r="F694" s="447"/>
      <c r="G694" s="447"/>
      <c r="H694" s="447"/>
      <c r="I694" s="447"/>
      <c r="J694" s="447"/>
      <c r="K694" s="447"/>
      <c r="L694" s="447"/>
      <c r="M694" s="447"/>
      <c r="N694" s="447"/>
      <c r="O694" s="447"/>
      <c r="P694" s="447"/>
      <c r="Q694" s="447"/>
      <c r="R694" s="447"/>
      <c r="S694" s="447"/>
      <c r="T694" s="447"/>
      <c r="U694" s="447"/>
      <c r="V694" s="447"/>
      <c r="W694" s="447"/>
      <c r="X694" s="447"/>
      <c r="Y694" s="447"/>
      <c r="Z694" s="447"/>
      <c r="AA694" s="447"/>
    </row>
    <row r="695" spans="1:27">
      <c r="A695" s="465"/>
      <c r="B695" s="466"/>
      <c r="C695" s="465"/>
      <c r="D695" s="467"/>
      <c r="E695" s="447"/>
      <c r="F695" s="447"/>
      <c r="G695" s="447"/>
      <c r="H695" s="447"/>
      <c r="I695" s="447"/>
      <c r="J695" s="447"/>
      <c r="K695" s="447"/>
      <c r="L695" s="447"/>
      <c r="M695" s="447"/>
      <c r="N695" s="447"/>
      <c r="O695" s="447"/>
      <c r="P695" s="447"/>
      <c r="Q695" s="447"/>
      <c r="R695" s="447"/>
      <c r="S695" s="447"/>
      <c r="T695" s="447"/>
      <c r="U695" s="447"/>
      <c r="V695" s="447"/>
      <c r="W695" s="447"/>
      <c r="X695" s="447"/>
      <c r="Y695" s="447"/>
      <c r="Z695" s="447"/>
      <c r="AA695" s="447"/>
    </row>
    <row r="696" spans="1:27">
      <c r="A696" s="465"/>
      <c r="B696" s="466"/>
      <c r="C696" s="465"/>
      <c r="D696" s="467"/>
      <c r="E696" s="447"/>
      <c r="F696" s="447"/>
      <c r="G696" s="447"/>
      <c r="H696" s="447"/>
      <c r="I696" s="447"/>
      <c r="J696" s="447"/>
      <c r="K696" s="447"/>
      <c r="L696" s="447"/>
      <c r="M696" s="447"/>
      <c r="N696" s="447"/>
      <c r="O696" s="447"/>
      <c r="P696" s="447"/>
      <c r="Q696" s="447"/>
      <c r="R696" s="447"/>
      <c r="S696" s="447"/>
      <c r="T696" s="447"/>
      <c r="U696" s="447"/>
      <c r="V696" s="447"/>
      <c r="W696" s="447"/>
      <c r="X696" s="447"/>
      <c r="Y696" s="447"/>
      <c r="Z696" s="447"/>
      <c r="AA696" s="447"/>
    </row>
    <row r="697" spans="1:27">
      <c r="A697" s="465"/>
      <c r="B697" s="466"/>
      <c r="C697" s="465"/>
      <c r="D697" s="467"/>
      <c r="E697" s="447"/>
      <c r="F697" s="447"/>
      <c r="G697" s="447"/>
      <c r="H697" s="447"/>
      <c r="I697" s="447"/>
      <c r="J697" s="447"/>
      <c r="K697" s="447"/>
      <c r="L697" s="447"/>
      <c r="M697" s="447"/>
      <c r="N697" s="447"/>
      <c r="O697" s="447"/>
      <c r="P697" s="447"/>
      <c r="Q697" s="447"/>
      <c r="R697" s="447"/>
      <c r="S697" s="447"/>
      <c r="T697" s="447"/>
      <c r="U697" s="447"/>
      <c r="V697" s="447"/>
      <c r="W697" s="447"/>
      <c r="X697" s="447"/>
      <c r="Y697" s="447"/>
      <c r="Z697" s="447"/>
      <c r="AA697" s="447"/>
    </row>
    <row r="698" spans="1:27">
      <c r="A698" s="465"/>
      <c r="B698" s="466"/>
      <c r="C698" s="465"/>
      <c r="D698" s="467"/>
      <c r="E698" s="447"/>
      <c r="F698" s="447"/>
      <c r="G698" s="447"/>
      <c r="H698" s="447"/>
      <c r="I698" s="447"/>
      <c r="J698" s="447"/>
      <c r="K698" s="447"/>
      <c r="L698" s="447"/>
      <c r="M698" s="447"/>
      <c r="N698" s="447"/>
      <c r="O698" s="447"/>
      <c r="P698" s="447"/>
      <c r="Q698" s="447"/>
      <c r="R698" s="447"/>
      <c r="S698" s="447"/>
      <c r="T698" s="447"/>
      <c r="U698" s="447"/>
      <c r="V698" s="447"/>
      <c r="W698" s="447"/>
      <c r="X698" s="447"/>
      <c r="Y698" s="447"/>
      <c r="Z698" s="447"/>
      <c r="AA698" s="447"/>
    </row>
    <row r="699" spans="1:27">
      <c r="A699" s="465"/>
      <c r="B699" s="466"/>
      <c r="C699" s="465"/>
      <c r="D699" s="467"/>
      <c r="E699" s="447"/>
      <c r="F699" s="447"/>
      <c r="G699" s="447"/>
      <c r="H699" s="447"/>
      <c r="I699" s="447"/>
      <c r="J699" s="447"/>
      <c r="K699" s="447"/>
      <c r="L699" s="447"/>
      <c r="M699" s="447"/>
      <c r="N699" s="447"/>
      <c r="O699" s="447"/>
      <c r="P699" s="447"/>
      <c r="Q699" s="447"/>
      <c r="R699" s="447"/>
      <c r="S699" s="447"/>
      <c r="T699" s="447"/>
      <c r="U699" s="447"/>
      <c r="V699" s="447"/>
      <c r="W699" s="447"/>
      <c r="X699" s="447"/>
      <c r="Y699" s="447"/>
      <c r="Z699" s="447"/>
      <c r="AA699" s="447"/>
    </row>
    <row r="700" spans="1:27">
      <c r="A700" s="465"/>
      <c r="B700" s="466"/>
      <c r="C700" s="465"/>
      <c r="D700" s="467"/>
      <c r="E700" s="447"/>
      <c r="F700" s="447"/>
      <c r="G700" s="447"/>
      <c r="H700" s="447"/>
      <c r="I700" s="447"/>
      <c r="J700" s="447"/>
      <c r="K700" s="447"/>
      <c r="L700" s="447"/>
      <c r="M700" s="447"/>
      <c r="N700" s="447"/>
      <c r="O700" s="447"/>
      <c r="P700" s="447"/>
      <c r="Q700" s="447"/>
      <c r="R700" s="447"/>
      <c r="S700" s="447"/>
      <c r="T700" s="447"/>
      <c r="U700" s="447"/>
      <c r="V700" s="447"/>
      <c r="W700" s="447"/>
      <c r="X700" s="447"/>
      <c r="Y700" s="447"/>
      <c r="Z700" s="447"/>
      <c r="AA700" s="447"/>
    </row>
    <row r="701" spans="1:27">
      <c r="A701" s="465"/>
      <c r="B701" s="466"/>
      <c r="C701" s="465"/>
      <c r="D701" s="467"/>
      <c r="E701" s="447"/>
      <c r="F701" s="447"/>
      <c r="G701" s="447"/>
      <c r="H701" s="447"/>
      <c r="I701" s="447"/>
      <c r="J701" s="447"/>
      <c r="K701" s="447"/>
      <c r="L701" s="447"/>
      <c r="M701" s="447"/>
      <c r="N701" s="447"/>
      <c r="O701" s="447"/>
      <c r="P701" s="447"/>
      <c r="Q701" s="447"/>
      <c r="R701" s="447"/>
      <c r="S701" s="447"/>
      <c r="T701" s="447"/>
      <c r="U701" s="447"/>
      <c r="V701" s="447"/>
      <c r="W701" s="447"/>
      <c r="X701" s="447"/>
      <c r="Y701" s="447"/>
      <c r="Z701" s="447"/>
      <c r="AA701" s="447"/>
    </row>
    <row r="702" spans="1:27">
      <c r="A702" s="465"/>
      <c r="B702" s="466"/>
      <c r="C702" s="465"/>
      <c r="D702" s="467"/>
      <c r="E702" s="447"/>
      <c r="F702" s="447"/>
      <c r="G702" s="447"/>
      <c r="H702" s="447"/>
      <c r="I702" s="447"/>
      <c r="J702" s="447"/>
      <c r="K702" s="447"/>
      <c r="L702" s="447"/>
      <c r="M702" s="447"/>
      <c r="N702" s="447"/>
      <c r="O702" s="447"/>
      <c r="P702" s="447"/>
      <c r="Q702" s="447"/>
      <c r="R702" s="447"/>
      <c r="S702" s="447"/>
      <c r="T702" s="447"/>
      <c r="U702" s="447"/>
      <c r="V702" s="447"/>
      <c r="W702" s="447"/>
      <c r="X702" s="447"/>
      <c r="Y702" s="447"/>
      <c r="Z702" s="447"/>
      <c r="AA702" s="447"/>
    </row>
    <row r="703" spans="1:27">
      <c r="A703" s="465"/>
      <c r="B703" s="466"/>
      <c r="C703" s="465"/>
      <c r="D703" s="467"/>
      <c r="E703" s="447"/>
      <c r="F703" s="447"/>
      <c r="G703" s="447"/>
      <c r="H703" s="447"/>
      <c r="I703" s="447"/>
      <c r="J703" s="447"/>
      <c r="K703" s="447"/>
      <c r="L703" s="447"/>
      <c r="M703" s="447"/>
      <c r="N703" s="447"/>
      <c r="O703" s="447"/>
      <c r="P703" s="447"/>
      <c r="Q703" s="447"/>
      <c r="R703" s="447"/>
      <c r="S703" s="447"/>
      <c r="T703" s="447"/>
      <c r="U703" s="447"/>
      <c r="V703" s="447"/>
      <c r="W703" s="447"/>
      <c r="X703" s="447"/>
      <c r="Y703" s="447"/>
      <c r="Z703" s="447"/>
      <c r="AA703" s="447"/>
    </row>
    <row r="704" spans="1:27">
      <c r="A704" s="465"/>
      <c r="B704" s="466"/>
      <c r="C704" s="465"/>
      <c r="D704" s="467"/>
      <c r="E704" s="447"/>
      <c r="F704" s="447"/>
      <c r="G704" s="447"/>
      <c r="H704" s="447"/>
      <c r="I704" s="447"/>
      <c r="J704" s="447"/>
      <c r="K704" s="447"/>
      <c r="L704" s="447"/>
      <c r="M704" s="447"/>
      <c r="N704" s="447"/>
      <c r="O704" s="447"/>
      <c r="P704" s="447"/>
      <c r="Q704" s="447"/>
      <c r="R704" s="447"/>
      <c r="S704" s="447"/>
      <c r="T704" s="447"/>
      <c r="U704" s="447"/>
      <c r="V704" s="447"/>
      <c r="W704" s="447"/>
      <c r="X704" s="447"/>
      <c r="Y704" s="447"/>
      <c r="Z704" s="447"/>
      <c r="AA704" s="447"/>
    </row>
    <row r="705" spans="1:27">
      <c r="A705" s="465"/>
      <c r="B705" s="466"/>
      <c r="C705" s="465"/>
      <c r="D705" s="467"/>
      <c r="E705" s="447"/>
      <c r="F705" s="447"/>
      <c r="G705" s="447"/>
      <c r="H705" s="447"/>
      <c r="I705" s="447"/>
      <c r="J705" s="447"/>
      <c r="K705" s="447"/>
      <c r="L705" s="447"/>
      <c r="M705" s="447"/>
      <c r="N705" s="447"/>
      <c r="O705" s="447"/>
      <c r="P705" s="447"/>
      <c r="Q705" s="447"/>
      <c r="R705" s="447"/>
      <c r="S705" s="447"/>
      <c r="T705" s="447"/>
      <c r="U705" s="447"/>
      <c r="V705" s="447"/>
      <c r="W705" s="447"/>
      <c r="X705" s="447"/>
      <c r="Y705" s="447"/>
      <c r="Z705" s="447"/>
      <c r="AA705" s="447"/>
    </row>
    <row r="706" spans="1:27">
      <c r="A706" s="465"/>
      <c r="B706" s="466"/>
      <c r="C706" s="465"/>
      <c r="D706" s="467"/>
      <c r="E706" s="447"/>
      <c r="F706" s="447"/>
      <c r="G706" s="447"/>
      <c r="H706" s="447"/>
      <c r="I706" s="447"/>
      <c r="J706" s="447"/>
      <c r="K706" s="447"/>
      <c r="L706" s="447"/>
      <c r="M706" s="447"/>
      <c r="N706" s="447"/>
      <c r="O706" s="447"/>
      <c r="P706" s="447"/>
      <c r="Q706" s="447"/>
      <c r="R706" s="447"/>
      <c r="S706" s="447"/>
      <c r="T706" s="447"/>
      <c r="U706" s="447"/>
      <c r="V706" s="447"/>
      <c r="W706" s="447"/>
      <c r="X706" s="447"/>
      <c r="Y706" s="447"/>
      <c r="Z706" s="447"/>
      <c r="AA706" s="447"/>
    </row>
    <row r="707" spans="1:27">
      <c r="A707" s="465"/>
      <c r="B707" s="466"/>
      <c r="C707" s="465"/>
      <c r="D707" s="467"/>
      <c r="E707" s="447"/>
      <c r="F707" s="447"/>
      <c r="G707" s="447"/>
      <c r="H707" s="447"/>
      <c r="I707" s="447"/>
      <c r="J707" s="447"/>
      <c r="K707" s="447"/>
      <c r="L707" s="447"/>
      <c r="M707" s="447"/>
      <c r="N707" s="447"/>
      <c r="O707" s="447"/>
      <c r="P707" s="447"/>
      <c r="Q707" s="447"/>
      <c r="R707" s="447"/>
      <c r="S707" s="447"/>
      <c r="T707" s="447"/>
      <c r="U707" s="447"/>
      <c r="V707" s="447"/>
      <c r="W707" s="447"/>
      <c r="X707" s="447"/>
      <c r="Y707" s="447"/>
      <c r="Z707" s="447"/>
      <c r="AA707" s="447"/>
    </row>
    <row r="708" spans="1:27">
      <c r="A708" s="465"/>
      <c r="B708" s="466"/>
      <c r="C708" s="465"/>
      <c r="D708" s="467"/>
      <c r="E708" s="447"/>
      <c r="F708" s="447"/>
      <c r="G708" s="447"/>
      <c r="H708" s="447"/>
      <c r="I708" s="447"/>
      <c r="J708" s="447"/>
      <c r="K708" s="447"/>
      <c r="L708" s="447"/>
      <c r="M708" s="447"/>
      <c r="N708" s="447"/>
      <c r="O708" s="447"/>
      <c r="P708" s="447"/>
      <c r="Q708" s="447"/>
      <c r="R708" s="447"/>
      <c r="S708" s="447"/>
      <c r="T708" s="447"/>
      <c r="U708" s="447"/>
      <c r="V708" s="447"/>
      <c r="W708" s="447"/>
      <c r="X708" s="447"/>
      <c r="Y708" s="447"/>
      <c r="Z708" s="447"/>
      <c r="AA708" s="447"/>
    </row>
    <row r="709" spans="1:27">
      <c r="A709" s="465"/>
      <c r="B709" s="466"/>
      <c r="C709" s="465"/>
      <c r="D709" s="467"/>
      <c r="E709" s="447"/>
      <c r="F709" s="447"/>
      <c r="G709" s="447"/>
      <c r="H709" s="447"/>
      <c r="I709" s="447"/>
      <c r="J709" s="447"/>
      <c r="K709" s="447"/>
      <c r="L709" s="447"/>
      <c r="M709" s="447"/>
      <c r="N709" s="447"/>
      <c r="O709" s="447"/>
      <c r="P709" s="447"/>
      <c r="Q709" s="447"/>
      <c r="R709" s="447"/>
      <c r="S709" s="447"/>
      <c r="T709" s="447"/>
      <c r="U709" s="447"/>
      <c r="V709" s="447"/>
      <c r="W709" s="447"/>
      <c r="X709" s="447"/>
      <c r="Y709" s="447"/>
      <c r="Z709" s="447"/>
      <c r="AA709" s="447"/>
    </row>
    <row r="710" spans="1:27">
      <c r="A710" s="465"/>
      <c r="B710" s="466"/>
      <c r="C710" s="465"/>
      <c r="D710" s="467"/>
      <c r="E710" s="447"/>
      <c r="F710" s="447"/>
      <c r="G710" s="447"/>
      <c r="H710" s="447"/>
      <c r="I710" s="447"/>
      <c r="J710" s="447"/>
      <c r="K710" s="447"/>
      <c r="L710" s="447"/>
      <c r="M710" s="447"/>
      <c r="N710" s="447"/>
      <c r="O710" s="447"/>
      <c r="P710" s="447"/>
      <c r="Q710" s="447"/>
      <c r="R710" s="447"/>
      <c r="S710" s="447"/>
      <c r="T710" s="447"/>
      <c r="U710" s="447"/>
      <c r="V710" s="447"/>
      <c r="W710" s="447"/>
      <c r="X710" s="447"/>
      <c r="Y710" s="447"/>
      <c r="Z710" s="447"/>
      <c r="AA710" s="447"/>
    </row>
    <row r="711" spans="1:27">
      <c r="A711" s="465"/>
      <c r="B711" s="466"/>
      <c r="C711" s="465"/>
      <c r="D711" s="467"/>
      <c r="E711" s="447"/>
      <c r="F711" s="447"/>
      <c r="G711" s="447"/>
      <c r="H711" s="447"/>
      <c r="I711" s="447"/>
      <c r="J711" s="447"/>
      <c r="K711" s="447"/>
      <c r="L711" s="447"/>
      <c r="M711" s="447"/>
      <c r="N711" s="447"/>
      <c r="O711" s="447"/>
      <c r="P711" s="447"/>
      <c r="Q711" s="447"/>
      <c r="R711" s="447"/>
      <c r="S711" s="447"/>
      <c r="T711" s="447"/>
      <c r="U711" s="447"/>
      <c r="V711" s="447"/>
      <c r="W711" s="447"/>
      <c r="X711" s="447"/>
      <c r="Y711" s="447"/>
      <c r="Z711" s="447"/>
      <c r="AA711" s="447"/>
    </row>
    <row r="712" spans="1:27">
      <c r="A712" s="465"/>
      <c r="B712" s="466"/>
      <c r="C712" s="465"/>
      <c r="D712" s="467"/>
      <c r="E712" s="447"/>
      <c r="F712" s="447"/>
      <c r="G712" s="447"/>
      <c r="H712" s="447"/>
      <c r="I712" s="447"/>
      <c r="J712" s="447"/>
      <c r="K712" s="447"/>
      <c r="L712" s="447"/>
      <c r="M712" s="447"/>
      <c r="N712" s="447"/>
      <c r="O712" s="447"/>
      <c r="P712" s="447"/>
      <c r="Q712" s="447"/>
      <c r="R712" s="447"/>
      <c r="S712" s="447"/>
      <c r="T712" s="447"/>
      <c r="U712" s="447"/>
      <c r="V712" s="447"/>
      <c r="W712" s="447"/>
      <c r="X712" s="447"/>
      <c r="Y712" s="447"/>
      <c r="Z712" s="447"/>
      <c r="AA712" s="447"/>
    </row>
    <row r="713" spans="1:27">
      <c r="A713" s="465"/>
      <c r="B713" s="466"/>
      <c r="C713" s="465"/>
      <c r="D713" s="467"/>
      <c r="E713" s="447"/>
      <c r="F713" s="447"/>
      <c r="G713" s="447"/>
      <c r="H713" s="447"/>
      <c r="I713" s="447"/>
      <c r="J713" s="447"/>
      <c r="K713" s="447"/>
      <c r="L713" s="447"/>
      <c r="M713" s="447"/>
      <c r="N713" s="447"/>
      <c r="O713" s="447"/>
      <c r="P713" s="447"/>
      <c r="Q713" s="447"/>
      <c r="R713" s="447"/>
      <c r="S713" s="447"/>
      <c r="T713" s="447"/>
      <c r="U713" s="447"/>
      <c r="V713" s="447"/>
      <c r="W713" s="447"/>
      <c r="X713" s="447"/>
      <c r="Y713" s="447"/>
      <c r="Z713" s="447"/>
      <c r="AA713" s="447"/>
    </row>
    <row r="714" spans="1:27">
      <c r="A714" s="465"/>
      <c r="B714" s="466"/>
      <c r="C714" s="465"/>
      <c r="D714" s="467"/>
      <c r="E714" s="447"/>
      <c r="F714" s="447"/>
      <c r="G714" s="447"/>
      <c r="H714" s="447"/>
      <c r="I714" s="447"/>
      <c r="J714" s="447"/>
      <c r="K714" s="447"/>
      <c r="L714" s="447"/>
      <c r="M714" s="447"/>
      <c r="N714" s="447"/>
      <c r="O714" s="447"/>
      <c r="P714" s="447"/>
      <c r="Q714" s="447"/>
      <c r="R714" s="447"/>
      <c r="S714" s="447"/>
      <c r="T714" s="447"/>
      <c r="U714" s="447"/>
      <c r="V714" s="447"/>
      <c r="W714" s="447"/>
      <c r="X714" s="447"/>
      <c r="Y714" s="447"/>
      <c r="Z714" s="447"/>
      <c r="AA714" s="447"/>
    </row>
    <row r="715" spans="1:27">
      <c r="A715" s="465"/>
      <c r="B715" s="466"/>
      <c r="C715" s="465"/>
      <c r="D715" s="467"/>
      <c r="E715" s="447"/>
      <c r="F715" s="447"/>
      <c r="G715" s="447"/>
      <c r="H715" s="447"/>
      <c r="I715" s="447"/>
      <c r="J715" s="447"/>
      <c r="K715" s="447"/>
      <c r="L715" s="447"/>
      <c r="M715" s="447"/>
      <c r="N715" s="447"/>
      <c r="O715" s="447"/>
      <c r="P715" s="447"/>
      <c r="Q715" s="447"/>
      <c r="R715" s="447"/>
      <c r="S715" s="447"/>
      <c r="T715" s="447"/>
      <c r="U715" s="447"/>
      <c r="V715" s="447"/>
      <c r="W715" s="447"/>
      <c r="X715" s="447"/>
      <c r="Y715" s="447"/>
      <c r="Z715" s="447"/>
      <c r="AA715" s="447"/>
    </row>
    <row r="716" spans="1:27">
      <c r="A716" s="465"/>
      <c r="B716" s="466"/>
      <c r="C716" s="465"/>
      <c r="D716" s="467"/>
      <c r="E716" s="447"/>
      <c r="F716" s="447"/>
      <c r="G716" s="447"/>
      <c r="H716" s="447"/>
      <c r="I716" s="447"/>
      <c r="J716" s="447"/>
      <c r="K716" s="447"/>
      <c r="L716" s="447"/>
      <c r="M716" s="447"/>
      <c r="N716" s="447"/>
      <c r="O716" s="447"/>
      <c r="P716" s="447"/>
      <c r="Q716" s="447"/>
      <c r="R716" s="447"/>
      <c r="S716" s="447"/>
      <c r="T716" s="447"/>
      <c r="U716" s="447"/>
      <c r="V716" s="447"/>
      <c r="W716" s="447"/>
      <c r="X716" s="447"/>
      <c r="Y716" s="447"/>
      <c r="Z716" s="447"/>
      <c r="AA716" s="447"/>
    </row>
    <row r="717" spans="1:27">
      <c r="A717" s="465"/>
      <c r="B717" s="466"/>
      <c r="C717" s="465"/>
      <c r="D717" s="467"/>
      <c r="E717" s="447"/>
      <c r="F717" s="447"/>
      <c r="G717" s="447"/>
      <c r="H717" s="447"/>
      <c r="I717" s="447"/>
      <c r="J717" s="447"/>
      <c r="K717" s="447"/>
      <c r="L717" s="447"/>
      <c r="M717" s="447"/>
      <c r="N717" s="447"/>
      <c r="O717" s="447"/>
      <c r="P717" s="447"/>
      <c r="Q717" s="447"/>
      <c r="R717" s="447"/>
      <c r="S717" s="447"/>
      <c r="T717" s="447"/>
      <c r="U717" s="447"/>
      <c r="V717" s="447"/>
      <c r="W717" s="447"/>
      <c r="X717" s="447"/>
      <c r="Y717" s="447"/>
      <c r="Z717" s="447"/>
      <c r="AA717" s="447"/>
    </row>
    <row r="718" spans="1:27">
      <c r="A718" s="465"/>
      <c r="B718" s="466"/>
      <c r="C718" s="465"/>
      <c r="D718" s="467"/>
      <c r="E718" s="447"/>
      <c r="F718" s="447"/>
      <c r="G718" s="447"/>
      <c r="H718" s="447"/>
      <c r="I718" s="447"/>
      <c r="J718" s="447"/>
      <c r="K718" s="447"/>
      <c r="L718" s="447"/>
      <c r="M718" s="447"/>
      <c r="N718" s="447"/>
      <c r="O718" s="447"/>
      <c r="P718" s="447"/>
      <c r="Q718" s="447"/>
      <c r="R718" s="447"/>
      <c r="S718" s="447"/>
      <c r="T718" s="447"/>
      <c r="U718" s="447"/>
      <c r="V718" s="447"/>
      <c r="W718" s="447"/>
      <c r="X718" s="447"/>
      <c r="Y718" s="447"/>
      <c r="Z718" s="447"/>
      <c r="AA718" s="447"/>
    </row>
    <row r="719" spans="1:27">
      <c r="A719" s="465"/>
      <c r="B719" s="466"/>
      <c r="C719" s="465"/>
      <c r="D719" s="467"/>
      <c r="E719" s="447"/>
      <c r="F719" s="447"/>
      <c r="G719" s="447"/>
      <c r="H719" s="447"/>
      <c r="I719" s="447"/>
      <c r="J719" s="447"/>
      <c r="K719" s="447"/>
      <c r="L719" s="447"/>
      <c r="M719" s="447"/>
      <c r="N719" s="447"/>
      <c r="O719" s="447"/>
      <c r="P719" s="447"/>
      <c r="Q719" s="447"/>
      <c r="R719" s="447"/>
      <c r="S719" s="447"/>
      <c r="T719" s="447"/>
      <c r="U719" s="447"/>
      <c r="V719" s="447"/>
      <c r="W719" s="447"/>
      <c r="X719" s="447"/>
      <c r="Y719" s="447"/>
      <c r="Z719" s="447"/>
      <c r="AA719" s="447"/>
    </row>
    <row r="720" spans="1:27">
      <c r="A720" s="465"/>
      <c r="B720" s="466"/>
      <c r="C720" s="465"/>
      <c r="D720" s="467"/>
      <c r="E720" s="447"/>
      <c r="F720" s="447"/>
      <c r="G720" s="447"/>
      <c r="H720" s="447"/>
      <c r="I720" s="447"/>
      <c r="J720" s="447"/>
      <c r="K720" s="447"/>
      <c r="L720" s="447"/>
      <c r="M720" s="447"/>
      <c r="N720" s="447"/>
      <c r="O720" s="447"/>
      <c r="P720" s="447"/>
      <c r="Q720" s="447"/>
      <c r="R720" s="447"/>
      <c r="S720" s="447"/>
      <c r="T720" s="447"/>
      <c r="U720" s="447"/>
      <c r="V720" s="447"/>
      <c r="W720" s="447"/>
      <c r="X720" s="447"/>
      <c r="Y720" s="447"/>
      <c r="Z720" s="447"/>
      <c r="AA720" s="447"/>
    </row>
    <row r="721" spans="1:27">
      <c r="A721" s="465"/>
      <c r="B721" s="466"/>
      <c r="C721" s="465"/>
      <c r="D721" s="467"/>
      <c r="E721" s="447"/>
      <c r="F721" s="447"/>
      <c r="G721" s="447"/>
      <c r="H721" s="447"/>
      <c r="I721" s="447"/>
      <c r="J721" s="447"/>
      <c r="K721" s="447"/>
      <c r="L721" s="447"/>
      <c r="M721" s="447"/>
      <c r="N721" s="447"/>
      <c r="O721" s="447"/>
      <c r="P721" s="447"/>
      <c r="Q721" s="447"/>
      <c r="R721" s="447"/>
      <c r="S721" s="447"/>
      <c r="T721" s="447"/>
      <c r="U721" s="447"/>
      <c r="V721" s="447"/>
      <c r="W721" s="447"/>
      <c r="X721" s="447"/>
      <c r="Y721" s="447"/>
      <c r="Z721" s="447"/>
      <c r="AA721" s="447"/>
    </row>
    <row r="722" spans="1:27">
      <c r="A722" s="465"/>
      <c r="B722" s="466"/>
      <c r="C722" s="465"/>
      <c r="D722" s="467"/>
      <c r="E722" s="447"/>
      <c r="F722" s="447"/>
      <c r="G722" s="447"/>
      <c r="H722" s="447"/>
      <c r="I722" s="447"/>
      <c r="J722" s="447"/>
      <c r="K722" s="447"/>
      <c r="L722" s="447"/>
      <c r="M722" s="447"/>
      <c r="N722" s="447"/>
      <c r="O722" s="447"/>
      <c r="P722" s="447"/>
      <c r="Q722" s="447"/>
      <c r="R722" s="447"/>
      <c r="S722" s="447"/>
      <c r="T722" s="447"/>
      <c r="U722" s="447"/>
      <c r="V722" s="447"/>
      <c r="W722" s="447"/>
      <c r="X722" s="447"/>
      <c r="Y722" s="447"/>
      <c r="Z722" s="447"/>
      <c r="AA722" s="447"/>
    </row>
    <row r="723" spans="1:27">
      <c r="A723" s="465"/>
      <c r="B723" s="466"/>
      <c r="C723" s="465"/>
      <c r="D723" s="467"/>
      <c r="E723" s="447"/>
      <c r="F723" s="447"/>
      <c r="G723" s="447"/>
      <c r="H723" s="447"/>
      <c r="I723" s="447"/>
      <c r="J723" s="447"/>
      <c r="K723" s="447"/>
      <c r="L723" s="447"/>
      <c r="M723" s="447"/>
      <c r="N723" s="447"/>
      <c r="O723" s="447"/>
      <c r="P723" s="447"/>
      <c r="Q723" s="447"/>
      <c r="R723" s="447"/>
      <c r="S723" s="447"/>
      <c r="T723" s="447"/>
      <c r="U723" s="447"/>
      <c r="V723" s="447"/>
      <c r="W723" s="447"/>
      <c r="X723" s="447"/>
      <c r="Y723" s="447"/>
      <c r="Z723" s="447"/>
      <c r="AA723" s="447"/>
    </row>
    <row r="724" spans="1:27">
      <c r="A724" s="465"/>
      <c r="B724" s="466"/>
      <c r="C724" s="465"/>
      <c r="D724" s="467"/>
      <c r="E724" s="447"/>
      <c r="F724" s="447"/>
      <c r="G724" s="447"/>
      <c r="H724" s="447"/>
      <c r="I724" s="447"/>
      <c r="J724" s="447"/>
      <c r="K724" s="447"/>
      <c r="L724" s="447"/>
      <c r="M724" s="447"/>
      <c r="N724" s="447"/>
      <c r="O724" s="447"/>
      <c r="P724" s="447"/>
      <c r="Q724" s="447"/>
      <c r="R724" s="447"/>
      <c r="S724" s="447"/>
      <c r="T724" s="447"/>
      <c r="U724" s="447"/>
      <c r="V724" s="447"/>
      <c r="W724" s="447"/>
      <c r="X724" s="447"/>
      <c r="Y724" s="447"/>
      <c r="Z724" s="447"/>
      <c r="AA724" s="447"/>
    </row>
    <row r="725" spans="1:27">
      <c r="A725" s="465"/>
      <c r="B725" s="466"/>
      <c r="C725" s="465"/>
      <c r="D725" s="467"/>
      <c r="E725" s="447"/>
      <c r="F725" s="447"/>
      <c r="G725" s="447"/>
      <c r="H725" s="447"/>
      <c r="I725" s="447"/>
      <c r="J725" s="447"/>
      <c r="K725" s="447"/>
      <c r="L725" s="447"/>
      <c r="M725" s="447"/>
      <c r="N725" s="447"/>
      <c r="O725" s="447"/>
      <c r="P725" s="447"/>
      <c r="Q725" s="447"/>
      <c r="R725" s="447"/>
      <c r="S725" s="447"/>
      <c r="T725" s="447"/>
      <c r="U725" s="447"/>
      <c r="V725" s="447"/>
      <c r="W725" s="447"/>
      <c r="X725" s="447"/>
      <c r="Y725" s="447"/>
      <c r="Z725" s="447"/>
      <c r="AA725" s="447"/>
    </row>
    <row r="726" spans="1:27">
      <c r="A726" s="465"/>
      <c r="B726" s="466"/>
      <c r="C726" s="465"/>
      <c r="D726" s="467"/>
      <c r="E726" s="447"/>
      <c r="F726" s="447"/>
      <c r="G726" s="447"/>
      <c r="H726" s="447"/>
      <c r="I726" s="447"/>
      <c r="J726" s="447"/>
      <c r="K726" s="447"/>
      <c r="L726" s="447"/>
      <c r="M726" s="447"/>
      <c r="N726" s="447"/>
      <c r="O726" s="447"/>
      <c r="P726" s="447"/>
      <c r="Q726" s="447"/>
      <c r="R726" s="447"/>
      <c r="S726" s="447"/>
      <c r="T726" s="447"/>
      <c r="U726" s="447"/>
      <c r="V726" s="447"/>
      <c r="W726" s="447"/>
      <c r="X726" s="447"/>
      <c r="Y726" s="447"/>
      <c r="Z726" s="447"/>
      <c r="AA726" s="447"/>
    </row>
    <row r="727" spans="1:27">
      <c r="A727" s="465"/>
      <c r="B727" s="466"/>
      <c r="C727" s="465"/>
      <c r="D727" s="467"/>
      <c r="E727" s="447"/>
      <c r="F727" s="447"/>
      <c r="G727" s="447"/>
      <c r="H727" s="447"/>
      <c r="I727" s="447"/>
      <c r="J727" s="447"/>
      <c r="K727" s="447"/>
      <c r="L727" s="447"/>
      <c r="M727" s="447"/>
      <c r="N727" s="447"/>
      <c r="O727" s="447"/>
      <c r="P727" s="447"/>
      <c r="Q727" s="447"/>
      <c r="R727" s="447"/>
      <c r="S727" s="447"/>
      <c r="T727" s="447"/>
      <c r="U727" s="447"/>
      <c r="V727" s="447"/>
      <c r="W727" s="447"/>
      <c r="X727" s="447"/>
      <c r="Y727" s="447"/>
      <c r="Z727" s="447"/>
      <c r="AA727" s="447"/>
    </row>
    <row r="728" spans="1:27">
      <c r="A728" s="465"/>
      <c r="B728" s="466"/>
      <c r="C728" s="465"/>
      <c r="D728" s="467"/>
      <c r="E728" s="447"/>
      <c r="F728" s="447"/>
      <c r="G728" s="447"/>
      <c r="H728" s="447"/>
      <c r="I728" s="447"/>
      <c r="J728" s="447"/>
      <c r="K728" s="447"/>
      <c r="L728" s="447"/>
      <c r="M728" s="447"/>
      <c r="N728" s="447"/>
      <c r="O728" s="447"/>
      <c r="P728" s="447"/>
      <c r="Q728" s="447"/>
      <c r="R728" s="447"/>
      <c r="S728" s="447"/>
      <c r="T728" s="447"/>
      <c r="U728" s="447"/>
      <c r="V728" s="447"/>
      <c r="W728" s="447"/>
      <c r="X728" s="447"/>
      <c r="Y728" s="447"/>
      <c r="Z728" s="447"/>
      <c r="AA728" s="447"/>
    </row>
    <row r="729" spans="1:27">
      <c r="A729" s="465"/>
      <c r="B729" s="466"/>
      <c r="C729" s="465"/>
      <c r="D729" s="467"/>
      <c r="E729" s="447"/>
      <c r="F729" s="447"/>
      <c r="G729" s="447"/>
      <c r="H729" s="447"/>
      <c r="I729" s="447"/>
      <c r="J729" s="447"/>
      <c r="K729" s="447"/>
      <c r="L729" s="447"/>
      <c r="M729" s="447"/>
      <c r="N729" s="447"/>
      <c r="O729" s="447"/>
      <c r="P729" s="447"/>
      <c r="Q729" s="447"/>
      <c r="R729" s="447"/>
      <c r="S729" s="447"/>
      <c r="T729" s="447"/>
      <c r="U729" s="447"/>
      <c r="V729" s="447"/>
      <c r="W729" s="447"/>
      <c r="X729" s="447"/>
      <c r="Y729" s="447"/>
      <c r="Z729" s="447"/>
      <c r="AA729" s="447"/>
    </row>
    <row r="730" spans="1:27">
      <c r="A730" s="465"/>
      <c r="B730" s="466"/>
      <c r="C730" s="465"/>
      <c r="D730" s="467"/>
      <c r="E730" s="447"/>
      <c r="F730" s="447"/>
      <c r="G730" s="447"/>
      <c r="H730" s="447"/>
      <c r="I730" s="447"/>
      <c r="J730" s="447"/>
      <c r="K730" s="447"/>
      <c r="L730" s="447"/>
      <c r="M730" s="447"/>
      <c r="N730" s="447"/>
      <c r="O730" s="447"/>
      <c r="P730" s="447"/>
      <c r="Q730" s="447"/>
      <c r="R730" s="447"/>
      <c r="S730" s="447"/>
      <c r="T730" s="447"/>
      <c r="U730" s="447"/>
      <c r="V730" s="447"/>
      <c r="W730" s="447"/>
      <c r="X730" s="447"/>
      <c r="Y730" s="447"/>
      <c r="Z730" s="447"/>
      <c r="AA730" s="447"/>
    </row>
    <row r="731" spans="1:27">
      <c r="A731" s="465"/>
      <c r="B731" s="466"/>
      <c r="C731" s="465"/>
      <c r="D731" s="467"/>
      <c r="E731" s="447"/>
      <c r="F731" s="447"/>
      <c r="G731" s="447"/>
      <c r="H731" s="447"/>
      <c r="I731" s="447"/>
      <c r="J731" s="447"/>
      <c r="K731" s="447"/>
      <c r="L731" s="447"/>
      <c r="M731" s="447"/>
      <c r="N731" s="447"/>
      <c r="O731" s="447"/>
      <c r="P731" s="447"/>
      <c r="Q731" s="447"/>
      <c r="R731" s="447"/>
      <c r="S731" s="447"/>
      <c r="T731" s="447"/>
      <c r="U731" s="447"/>
      <c r="V731" s="447"/>
      <c r="W731" s="447"/>
      <c r="X731" s="447"/>
      <c r="Y731" s="447"/>
      <c r="Z731" s="447"/>
      <c r="AA731" s="447"/>
    </row>
    <row r="732" spans="1:27">
      <c r="A732" s="465"/>
      <c r="B732" s="466"/>
      <c r="C732" s="465"/>
      <c r="D732" s="467"/>
      <c r="E732" s="447"/>
      <c r="F732" s="447"/>
      <c r="G732" s="447"/>
      <c r="H732" s="447"/>
      <c r="I732" s="447"/>
      <c r="J732" s="447"/>
      <c r="K732" s="447"/>
      <c r="L732" s="447"/>
      <c r="M732" s="447"/>
      <c r="N732" s="447"/>
      <c r="O732" s="447"/>
      <c r="P732" s="447"/>
      <c r="Q732" s="447"/>
      <c r="R732" s="447"/>
      <c r="S732" s="447"/>
      <c r="T732" s="447"/>
      <c r="U732" s="447"/>
      <c r="V732" s="447"/>
      <c r="W732" s="447"/>
      <c r="X732" s="447"/>
      <c r="Y732" s="447"/>
      <c r="Z732" s="447"/>
      <c r="AA732" s="447"/>
    </row>
    <row r="733" spans="1:27">
      <c r="A733" s="465"/>
      <c r="B733" s="466"/>
      <c r="C733" s="465"/>
      <c r="D733" s="467"/>
      <c r="E733" s="447"/>
      <c r="F733" s="447"/>
      <c r="G733" s="447"/>
      <c r="H733" s="447"/>
      <c r="I733" s="447"/>
      <c r="J733" s="447"/>
      <c r="K733" s="447"/>
      <c r="L733" s="447"/>
      <c r="M733" s="447"/>
      <c r="N733" s="447"/>
      <c r="O733" s="447"/>
      <c r="P733" s="447"/>
      <c r="Q733" s="447"/>
      <c r="R733" s="447"/>
      <c r="S733" s="447"/>
      <c r="T733" s="447"/>
      <c r="U733" s="447"/>
      <c r="V733" s="447"/>
      <c r="W733" s="447"/>
      <c r="X733" s="447"/>
      <c r="Y733" s="447"/>
      <c r="Z733" s="447"/>
      <c r="AA733" s="447"/>
    </row>
    <row r="734" spans="1:27">
      <c r="A734" s="465"/>
      <c r="B734" s="466"/>
      <c r="C734" s="465"/>
      <c r="D734" s="467"/>
      <c r="E734" s="447"/>
      <c r="F734" s="447"/>
      <c r="G734" s="447"/>
      <c r="H734" s="447"/>
      <c r="I734" s="447"/>
      <c r="J734" s="447"/>
      <c r="K734" s="447"/>
      <c r="L734" s="447"/>
      <c r="M734" s="447"/>
      <c r="N734" s="447"/>
      <c r="O734" s="447"/>
      <c r="P734" s="447"/>
      <c r="Q734" s="447"/>
      <c r="R734" s="447"/>
      <c r="S734" s="447"/>
      <c r="T734" s="447"/>
      <c r="U734" s="447"/>
      <c r="V734" s="447"/>
      <c r="W734" s="447"/>
      <c r="X734" s="447"/>
      <c r="Y734" s="447"/>
      <c r="Z734" s="447"/>
      <c r="AA734" s="447"/>
    </row>
    <row r="735" spans="1:27">
      <c r="A735" s="465"/>
      <c r="B735" s="466"/>
      <c r="C735" s="465"/>
      <c r="D735" s="467"/>
      <c r="E735" s="447"/>
      <c r="F735" s="447"/>
      <c r="G735" s="447"/>
      <c r="H735" s="447"/>
      <c r="I735" s="447"/>
      <c r="J735" s="447"/>
      <c r="K735" s="447"/>
      <c r="L735" s="447"/>
      <c r="M735" s="447"/>
      <c r="N735" s="447"/>
      <c r="O735" s="447"/>
      <c r="P735" s="447"/>
      <c r="Q735" s="447"/>
      <c r="R735" s="447"/>
      <c r="S735" s="447"/>
      <c r="T735" s="447"/>
      <c r="U735" s="447"/>
      <c r="V735" s="447"/>
      <c r="W735" s="447"/>
      <c r="X735" s="447"/>
      <c r="Y735" s="447"/>
      <c r="Z735" s="447"/>
      <c r="AA735" s="447"/>
    </row>
    <row r="736" spans="1:27">
      <c r="A736" s="465"/>
      <c r="B736" s="466"/>
      <c r="C736" s="465"/>
      <c r="D736" s="467"/>
      <c r="E736" s="447"/>
      <c r="F736" s="447"/>
      <c r="G736" s="447"/>
      <c r="H736" s="447"/>
      <c r="I736" s="447"/>
      <c r="J736" s="447"/>
      <c r="K736" s="447"/>
      <c r="L736" s="447"/>
      <c r="M736" s="447"/>
      <c r="N736" s="447"/>
      <c r="O736" s="447"/>
      <c r="P736" s="447"/>
      <c r="Q736" s="447"/>
      <c r="R736" s="447"/>
      <c r="S736" s="447"/>
      <c r="T736" s="447"/>
      <c r="U736" s="447"/>
      <c r="V736" s="447"/>
      <c r="W736" s="447"/>
      <c r="X736" s="447"/>
      <c r="Y736" s="447"/>
      <c r="Z736" s="447"/>
      <c r="AA736" s="447"/>
    </row>
    <row r="737" spans="1:27">
      <c r="A737" s="465"/>
      <c r="B737" s="466"/>
      <c r="C737" s="465"/>
      <c r="D737" s="467"/>
      <c r="E737" s="447"/>
      <c r="F737" s="447"/>
      <c r="G737" s="447"/>
      <c r="H737" s="447"/>
      <c r="I737" s="447"/>
      <c r="J737" s="447"/>
      <c r="K737" s="447"/>
      <c r="L737" s="447"/>
      <c r="M737" s="447"/>
      <c r="N737" s="447"/>
      <c r="O737" s="447"/>
      <c r="P737" s="447"/>
      <c r="Q737" s="447"/>
      <c r="R737" s="447"/>
      <c r="S737" s="447"/>
      <c r="T737" s="447"/>
      <c r="U737" s="447"/>
      <c r="V737" s="447"/>
      <c r="W737" s="447"/>
      <c r="X737" s="447"/>
      <c r="Y737" s="447"/>
      <c r="Z737" s="447"/>
      <c r="AA737" s="447"/>
    </row>
    <row r="738" spans="1:27">
      <c r="A738" s="465"/>
      <c r="B738" s="466"/>
      <c r="C738" s="465"/>
      <c r="D738" s="467"/>
      <c r="E738" s="447"/>
      <c r="F738" s="447"/>
      <c r="G738" s="447"/>
      <c r="H738" s="447"/>
      <c r="I738" s="447"/>
      <c r="J738" s="447"/>
      <c r="K738" s="447"/>
      <c r="L738" s="447"/>
      <c r="M738" s="447"/>
      <c r="N738" s="447"/>
      <c r="O738" s="447"/>
      <c r="P738" s="447"/>
      <c r="Q738" s="447"/>
      <c r="R738" s="447"/>
      <c r="S738" s="447"/>
      <c r="T738" s="447"/>
      <c r="U738" s="447"/>
      <c r="V738" s="447"/>
      <c r="W738" s="447"/>
      <c r="X738" s="447"/>
      <c r="Y738" s="447"/>
      <c r="Z738" s="447"/>
      <c r="AA738" s="447"/>
    </row>
    <row r="739" spans="1:27">
      <c r="A739" s="465"/>
      <c r="B739" s="466"/>
      <c r="C739" s="465"/>
      <c r="D739" s="467"/>
      <c r="E739" s="447"/>
      <c r="F739" s="447"/>
      <c r="G739" s="447"/>
      <c r="H739" s="447"/>
      <c r="I739" s="447"/>
      <c r="J739" s="447"/>
      <c r="K739" s="447"/>
      <c r="L739" s="447"/>
      <c r="M739" s="447"/>
      <c r="N739" s="447"/>
      <c r="O739" s="447"/>
      <c r="P739" s="447"/>
      <c r="Q739" s="447"/>
      <c r="R739" s="447"/>
      <c r="S739" s="447"/>
      <c r="T739" s="447"/>
      <c r="U739" s="447"/>
      <c r="V739" s="447"/>
      <c r="W739" s="447"/>
      <c r="X739" s="447"/>
      <c r="Y739" s="447"/>
      <c r="Z739" s="447"/>
      <c r="AA739" s="447"/>
    </row>
    <row r="740" spans="1:27">
      <c r="A740" s="465"/>
      <c r="B740" s="466"/>
      <c r="C740" s="465"/>
      <c r="D740" s="467"/>
      <c r="E740" s="447"/>
      <c r="F740" s="447"/>
      <c r="G740" s="447"/>
      <c r="H740" s="447"/>
      <c r="I740" s="447"/>
      <c r="J740" s="447"/>
      <c r="K740" s="447"/>
      <c r="L740" s="447"/>
      <c r="M740" s="447"/>
      <c r="N740" s="447"/>
      <c r="O740" s="447"/>
      <c r="P740" s="447"/>
      <c r="Q740" s="447"/>
      <c r="R740" s="447"/>
      <c r="S740" s="447"/>
      <c r="T740" s="447"/>
      <c r="U740" s="447"/>
      <c r="V740" s="447"/>
      <c r="W740" s="447"/>
      <c r="X740" s="447"/>
      <c r="Y740" s="447"/>
      <c r="Z740" s="447"/>
      <c r="AA740" s="447"/>
    </row>
    <row r="741" spans="1:27">
      <c r="A741" s="465"/>
      <c r="B741" s="466"/>
      <c r="C741" s="465"/>
      <c r="D741" s="467"/>
      <c r="E741" s="447"/>
      <c r="F741" s="447"/>
      <c r="G741" s="447"/>
      <c r="H741" s="447"/>
      <c r="I741" s="447"/>
      <c r="J741" s="447"/>
      <c r="K741" s="447"/>
      <c r="L741" s="447"/>
      <c r="M741" s="447"/>
      <c r="N741" s="447"/>
      <c r="O741" s="447"/>
      <c r="P741" s="447"/>
      <c r="Q741" s="447"/>
      <c r="R741" s="447"/>
      <c r="S741" s="447"/>
      <c r="T741" s="447"/>
      <c r="U741" s="447"/>
      <c r="V741" s="447"/>
      <c r="W741" s="447"/>
      <c r="X741" s="447"/>
      <c r="Y741" s="447"/>
      <c r="Z741" s="447"/>
      <c r="AA741" s="447"/>
    </row>
    <row r="742" spans="1:27">
      <c r="A742" s="465"/>
      <c r="B742" s="466"/>
      <c r="C742" s="465"/>
      <c r="D742" s="467"/>
      <c r="E742" s="447"/>
      <c r="F742" s="447"/>
      <c r="G742" s="447"/>
      <c r="H742" s="447"/>
      <c r="I742" s="447"/>
      <c r="J742" s="447"/>
      <c r="K742" s="447"/>
      <c r="L742" s="447"/>
      <c r="M742" s="447"/>
      <c r="N742" s="447"/>
      <c r="O742" s="447"/>
      <c r="P742" s="447"/>
      <c r="Q742" s="447"/>
      <c r="R742" s="447"/>
      <c r="S742" s="447"/>
      <c r="T742" s="447"/>
      <c r="U742" s="447"/>
      <c r="V742" s="447"/>
      <c r="W742" s="447"/>
      <c r="X742" s="447"/>
      <c r="Y742" s="447"/>
      <c r="Z742" s="447"/>
      <c r="AA742" s="447"/>
    </row>
    <row r="743" spans="1:27">
      <c r="A743" s="465"/>
      <c r="B743" s="466"/>
      <c r="C743" s="465"/>
      <c r="D743" s="467"/>
      <c r="E743" s="447"/>
      <c r="F743" s="447"/>
      <c r="G743" s="447"/>
      <c r="H743" s="447"/>
      <c r="I743" s="447"/>
      <c r="J743" s="447"/>
      <c r="K743" s="447"/>
      <c r="L743" s="447"/>
      <c r="M743" s="447"/>
      <c r="N743" s="447"/>
      <c r="O743" s="447"/>
      <c r="P743" s="447"/>
      <c r="Q743" s="447"/>
      <c r="R743" s="447"/>
      <c r="S743" s="447"/>
      <c r="T743" s="447"/>
      <c r="U743" s="447"/>
      <c r="V743" s="447"/>
      <c r="W743" s="447"/>
      <c r="X743" s="447"/>
      <c r="Y743" s="447"/>
      <c r="Z743" s="447"/>
      <c r="AA743" s="447"/>
    </row>
    <row r="744" spans="1:27">
      <c r="A744" s="465"/>
      <c r="B744" s="466"/>
      <c r="C744" s="465"/>
      <c r="D744" s="467"/>
      <c r="E744" s="447"/>
      <c r="F744" s="447"/>
      <c r="G744" s="447"/>
      <c r="H744" s="447"/>
      <c r="I744" s="447"/>
      <c r="J744" s="447"/>
      <c r="K744" s="447"/>
      <c r="L744" s="447"/>
      <c r="M744" s="447"/>
      <c r="N744" s="447"/>
      <c r="O744" s="447"/>
      <c r="P744" s="447"/>
      <c r="Q744" s="447"/>
      <c r="R744" s="447"/>
      <c r="S744" s="447"/>
      <c r="T744" s="447"/>
      <c r="U744" s="447"/>
      <c r="V744" s="447"/>
      <c r="W744" s="447"/>
      <c r="X744" s="447"/>
      <c r="Y744" s="447"/>
      <c r="Z744" s="447"/>
      <c r="AA744" s="447"/>
    </row>
    <row r="745" spans="1:27">
      <c r="A745" s="465"/>
      <c r="B745" s="466"/>
      <c r="C745" s="465"/>
      <c r="D745" s="467"/>
      <c r="E745" s="447"/>
      <c r="F745" s="447"/>
      <c r="G745" s="447"/>
      <c r="H745" s="447"/>
      <c r="I745" s="447"/>
      <c r="J745" s="447"/>
      <c r="K745" s="447"/>
      <c r="L745" s="447"/>
      <c r="M745" s="447"/>
      <c r="N745" s="447"/>
      <c r="O745" s="447"/>
      <c r="P745" s="447"/>
      <c r="Q745" s="447"/>
      <c r="R745" s="447"/>
      <c r="S745" s="447"/>
      <c r="T745" s="447"/>
      <c r="U745" s="447"/>
      <c r="V745" s="447"/>
      <c r="W745" s="447"/>
      <c r="X745" s="447"/>
      <c r="Y745" s="447"/>
      <c r="Z745" s="447"/>
      <c r="AA745" s="447"/>
    </row>
    <row r="746" spans="1:27">
      <c r="A746" s="465"/>
      <c r="B746" s="466"/>
      <c r="C746" s="465"/>
      <c r="D746" s="467"/>
      <c r="E746" s="447"/>
      <c r="F746" s="447"/>
      <c r="G746" s="447"/>
      <c r="H746" s="447"/>
      <c r="I746" s="447"/>
      <c r="J746" s="447"/>
      <c r="K746" s="447"/>
      <c r="L746" s="447"/>
      <c r="M746" s="447"/>
      <c r="N746" s="447"/>
      <c r="O746" s="447"/>
      <c r="P746" s="447"/>
      <c r="Q746" s="447"/>
      <c r="R746" s="447"/>
      <c r="S746" s="447"/>
      <c r="T746" s="447"/>
      <c r="U746" s="447"/>
      <c r="V746" s="447"/>
      <c r="W746" s="447"/>
      <c r="X746" s="447"/>
      <c r="Y746" s="447"/>
      <c r="Z746" s="447"/>
      <c r="AA746" s="447"/>
    </row>
    <row r="747" spans="1:27">
      <c r="A747" s="465"/>
      <c r="B747" s="466"/>
      <c r="C747" s="465"/>
      <c r="D747" s="467"/>
      <c r="E747" s="447"/>
      <c r="F747" s="447"/>
      <c r="G747" s="447"/>
      <c r="H747" s="447"/>
      <c r="I747" s="447"/>
      <c r="J747" s="447"/>
      <c r="K747" s="447"/>
      <c r="L747" s="447"/>
      <c r="M747" s="447"/>
      <c r="N747" s="447"/>
      <c r="O747" s="447"/>
      <c r="P747" s="447"/>
      <c r="Q747" s="447"/>
      <c r="R747" s="447"/>
      <c r="S747" s="447"/>
      <c r="T747" s="447"/>
      <c r="U747" s="447"/>
      <c r="V747" s="447"/>
      <c r="W747" s="447"/>
      <c r="X747" s="447"/>
      <c r="Y747" s="447"/>
      <c r="Z747" s="447"/>
      <c r="AA747" s="447"/>
    </row>
    <row r="748" spans="1:27">
      <c r="A748" s="465"/>
      <c r="B748" s="466"/>
      <c r="C748" s="465"/>
      <c r="D748" s="467"/>
      <c r="E748" s="447"/>
      <c r="F748" s="447"/>
      <c r="G748" s="447"/>
      <c r="H748" s="447"/>
      <c r="I748" s="447"/>
      <c r="J748" s="447"/>
      <c r="K748" s="447"/>
      <c r="L748" s="447"/>
      <c r="M748" s="447"/>
      <c r="N748" s="447"/>
      <c r="O748" s="447"/>
      <c r="P748" s="447"/>
      <c r="Q748" s="447"/>
      <c r="R748" s="447"/>
      <c r="S748" s="447"/>
      <c r="T748" s="447"/>
      <c r="U748" s="447"/>
      <c r="V748" s="447"/>
      <c r="W748" s="447"/>
      <c r="X748" s="447"/>
      <c r="Y748" s="447"/>
      <c r="Z748" s="447"/>
      <c r="AA748" s="447"/>
    </row>
    <row r="749" spans="1:27">
      <c r="A749" s="465"/>
      <c r="B749" s="466"/>
      <c r="C749" s="465"/>
      <c r="D749" s="467"/>
      <c r="E749" s="447"/>
      <c r="F749" s="447"/>
      <c r="G749" s="447"/>
      <c r="H749" s="447"/>
      <c r="I749" s="447"/>
      <c r="J749" s="447"/>
      <c r="K749" s="447"/>
      <c r="L749" s="447"/>
      <c r="M749" s="447"/>
      <c r="N749" s="447"/>
      <c r="O749" s="447"/>
      <c r="P749" s="447"/>
      <c r="Q749" s="447"/>
      <c r="R749" s="447"/>
      <c r="S749" s="447"/>
      <c r="T749" s="447"/>
      <c r="U749" s="447"/>
      <c r="V749" s="447"/>
      <c r="W749" s="447"/>
      <c r="X749" s="447"/>
      <c r="Y749" s="447"/>
      <c r="Z749" s="447"/>
      <c r="AA749" s="447"/>
    </row>
    <row r="750" spans="1:27">
      <c r="A750" s="465"/>
      <c r="B750" s="466"/>
      <c r="C750" s="465"/>
      <c r="D750" s="467"/>
      <c r="E750" s="447"/>
      <c r="F750" s="447"/>
      <c r="G750" s="447"/>
      <c r="H750" s="447"/>
      <c r="I750" s="447"/>
      <c r="J750" s="447"/>
      <c r="K750" s="447"/>
      <c r="L750" s="447"/>
      <c r="M750" s="447"/>
      <c r="N750" s="447"/>
      <c r="O750" s="447"/>
      <c r="P750" s="447"/>
      <c r="Q750" s="447"/>
      <c r="R750" s="447"/>
      <c r="S750" s="447"/>
      <c r="T750" s="447"/>
      <c r="U750" s="447"/>
      <c r="V750" s="447"/>
      <c r="W750" s="447"/>
      <c r="X750" s="447"/>
      <c r="Y750" s="447"/>
      <c r="Z750" s="447"/>
      <c r="AA750" s="447"/>
    </row>
    <row r="751" spans="1:27">
      <c r="A751" s="465"/>
      <c r="B751" s="466"/>
      <c r="C751" s="465"/>
      <c r="D751" s="467"/>
      <c r="E751" s="447"/>
      <c r="F751" s="447"/>
      <c r="G751" s="447"/>
      <c r="H751" s="447"/>
      <c r="I751" s="447"/>
      <c r="J751" s="447"/>
      <c r="K751" s="447"/>
      <c r="L751" s="447"/>
      <c r="M751" s="447"/>
      <c r="N751" s="447"/>
      <c r="O751" s="447"/>
      <c r="P751" s="447"/>
      <c r="Q751" s="447"/>
      <c r="R751" s="447"/>
      <c r="S751" s="447"/>
      <c r="T751" s="447"/>
      <c r="U751" s="447"/>
      <c r="V751" s="447"/>
      <c r="W751" s="447"/>
      <c r="X751" s="447"/>
      <c r="Y751" s="447"/>
      <c r="Z751" s="447"/>
      <c r="AA751" s="447"/>
    </row>
    <row r="752" spans="1:27">
      <c r="A752" s="465"/>
      <c r="B752" s="466"/>
      <c r="C752" s="465"/>
      <c r="D752" s="467"/>
      <c r="E752" s="447"/>
      <c r="F752" s="447"/>
      <c r="G752" s="447"/>
      <c r="H752" s="447"/>
      <c r="I752" s="447"/>
      <c r="J752" s="447"/>
      <c r="K752" s="447"/>
      <c r="L752" s="447"/>
      <c r="M752" s="447"/>
      <c r="N752" s="447"/>
      <c r="O752" s="447"/>
      <c r="P752" s="447"/>
      <c r="Q752" s="447"/>
      <c r="R752" s="447"/>
      <c r="S752" s="447"/>
      <c r="T752" s="447"/>
      <c r="U752" s="447"/>
      <c r="V752" s="447"/>
      <c r="W752" s="447"/>
      <c r="X752" s="447"/>
      <c r="Y752" s="447"/>
      <c r="Z752" s="447"/>
      <c r="AA752" s="447"/>
    </row>
    <row r="753" spans="1:27">
      <c r="A753" s="465"/>
      <c r="B753" s="466"/>
      <c r="C753" s="465"/>
      <c r="D753" s="467"/>
      <c r="E753" s="447"/>
      <c r="F753" s="447"/>
      <c r="G753" s="447"/>
      <c r="H753" s="447"/>
      <c r="I753" s="447"/>
      <c r="J753" s="447"/>
      <c r="K753" s="447"/>
      <c r="L753" s="447"/>
      <c r="M753" s="447"/>
      <c r="N753" s="447"/>
      <c r="O753" s="447"/>
      <c r="P753" s="447"/>
      <c r="Q753" s="447"/>
      <c r="R753" s="447"/>
      <c r="S753" s="447"/>
      <c r="T753" s="447"/>
      <c r="U753" s="447"/>
      <c r="V753" s="447"/>
      <c r="W753" s="447"/>
      <c r="X753" s="447"/>
      <c r="Y753" s="447"/>
      <c r="Z753" s="447"/>
      <c r="AA753" s="447"/>
    </row>
    <row r="754" spans="1:27">
      <c r="A754" s="465"/>
      <c r="B754" s="466"/>
      <c r="C754" s="465"/>
      <c r="D754" s="467"/>
      <c r="E754" s="447"/>
      <c r="F754" s="447"/>
      <c r="G754" s="447"/>
      <c r="H754" s="447"/>
      <c r="I754" s="447"/>
      <c r="J754" s="447"/>
      <c r="K754" s="447"/>
      <c r="L754" s="447"/>
      <c r="M754" s="447"/>
      <c r="N754" s="447"/>
      <c r="O754" s="447"/>
      <c r="P754" s="447"/>
      <c r="Q754" s="447"/>
      <c r="R754" s="447"/>
      <c r="S754" s="447"/>
      <c r="T754" s="447"/>
      <c r="U754" s="447"/>
      <c r="V754" s="447"/>
      <c r="W754" s="447"/>
      <c r="X754" s="447"/>
      <c r="Y754" s="447"/>
      <c r="Z754" s="447"/>
      <c r="AA754" s="447"/>
    </row>
    <row r="755" spans="1:27">
      <c r="A755" s="465"/>
      <c r="B755" s="466"/>
      <c r="C755" s="465"/>
      <c r="D755" s="467"/>
      <c r="E755" s="447"/>
      <c r="F755" s="447"/>
      <c r="G755" s="447"/>
      <c r="H755" s="447"/>
      <c r="I755" s="447"/>
      <c r="J755" s="447"/>
      <c r="K755" s="447"/>
      <c r="L755" s="447"/>
      <c r="M755" s="447"/>
      <c r="N755" s="447"/>
      <c r="O755" s="447"/>
      <c r="P755" s="447"/>
      <c r="Q755" s="447"/>
      <c r="R755" s="447"/>
      <c r="S755" s="447"/>
      <c r="T755" s="447"/>
      <c r="U755" s="447"/>
      <c r="V755" s="447"/>
      <c r="W755" s="447"/>
      <c r="X755" s="447"/>
      <c r="Y755" s="447"/>
      <c r="Z755" s="447"/>
      <c r="AA755" s="447"/>
    </row>
    <row r="756" spans="1:27">
      <c r="A756" s="465"/>
      <c r="B756" s="466"/>
      <c r="C756" s="465"/>
      <c r="D756" s="467"/>
      <c r="E756" s="447"/>
      <c r="F756" s="447"/>
      <c r="G756" s="447"/>
      <c r="H756" s="447"/>
      <c r="I756" s="447"/>
      <c r="J756" s="447"/>
      <c r="K756" s="447"/>
      <c r="L756" s="447"/>
      <c r="M756" s="447"/>
      <c r="N756" s="447"/>
      <c r="O756" s="447"/>
      <c r="P756" s="447"/>
      <c r="Q756" s="447"/>
      <c r="R756" s="447"/>
      <c r="S756" s="447"/>
      <c r="T756" s="447"/>
      <c r="U756" s="447"/>
      <c r="V756" s="447"/>
      <c r="W756" s="447"/>
      <c r="X756" s="447"/>
      <c r="Y756" s="447"/>
      <c r="Z756" s="447"/>
      <c r="AA756" s="447"/>
    </row>
    <row r="757" spans="1:27">
      <c r="A757" s="465"/>
      <c r="B757" s="466"/>
      <c r="C757" s="465"/>
      <c r="D757" s="467"/>
      <c r="E757" s="447"/>
      <c r="F757" s="447"/>
      <c r="G757" s="447"/>
      <c r="H757" s="447"/>
      <c r="I757" s="447"/>
      <c r="J757" s="447"/>
      <c r="K757" s="447"/>
      <c r="L757" s="447"/>
      <c r="M757" s="447"/>
      <c r="N757" s="447"/>
      <c r="O757" s="447"/>
      <c r="P757" s="447"/>
      <c r="Q757" s="447"/>
      <c r="R757" s="447"/>
      <c r="S757" s="447"/>
      <c r="T757" s="447"/>
      <c r="U757" s="447"/>
      <c r="V757" s="447"/>
      <c r="W757" s="447"/>
      <c r="X757" s="447"/>
      <c r="Y757" s="447"/>
      <c r="Z757" s="447"/>
      <c r="AA757" s="447"/>
    </row>
    <row r="758" spans="1:27">
      <c r="A758" s="465"/>
      <c r="B758" s="466"/>
      <c r="C758" s="465"/>
      <c r="D758" s="467"/>
      <c r="E758" s="447"/>
      <c r="F758" s="447"/>
      <c r="G758" s="447"/>
      <c r="H758" s="447"/>
      <c r="I758" s="447"/>
      <c r="J758" s="447"/>
      <c r="K758" s="447"/>
      <c r="L758" s="447"/>
      <c r="M758" s="447"/>
      <c r="N758" s="447"/>
      <c r="O758" s="447"/>
      <c r="P758" s="447"/>
      <c r="Q758" s="447"/>
      <c r="R758" s="447"/>
      <c r="S758" s="447"/>
      <c r="T758" s="447"/>
      <c r="U758" s="447"/>
      <c r="V758" s="447"/>
      <c r="W758" s="447"/>
      <c r="X758" s="447"/>
      <c r="Y758" s="447"/>
      <c r="Z758" s="447"/>
      <c r="AA758" s="447"/>
    </row>
    <row r="759" spans="1:27">
      <c r="A759" s="465"/>
      <c r="B759" s="466"/>
      <c r="C759" s="465"/>
      <c r="D759" s="467"/>
      <c r="E759" s="447"/>
      <c r="F759" s="447"/>
      <c r="G759" s="447"/>
      <c r="H759" s="447"/>
      <c r="I759" s="447"/>
      <c r="J759" s="447"/>
      <c r="K759" s="447"/>
      <c r="L759" s="447"/>
      <c r="M759" s="447"/>
      <c r="N759" s="447"/>
      <c r="O759" s="447"/>
      <c r="P759" s="447"/>
      <c r="Q759" s="447"/>
      <c r="R759" s="447"/>
      <c r="S759" s="447"/>
      <c r="T759" s="447"/>
      <c r="U759" s="447"/>
      <c r="V759" s="447"/>
      <c r="W759" s="447"/>
      <c r="X759" s="447"/>
      <c r="Y759" s="447"/>
      <c r="Z759" s="447"/>
      <c r="AA759" s="447"/>
    </row>
    <row r="760" spans="1:27">
      <c r="A760" s="465"/>
      <c r="B760" s="466"/>
      <c r="C760" s="465"/>
      <c r="D760" s="467"/>
      <c r="E760" s="447"/>
      <c r="F760" s="447"/>
      <c r="G760" s="447"/>
      <c r="H760" s="447"/>
      <c r="I760" s="447"/>
      <c r="J760" s="447"/>
      <c r="K760" s="447"/>
      <c r="L760" s="447"/>
      <c r="M760" s="447"/>
      <c r="N760" s="447"/>
      <c r="O760" s="447"/>
      <c r="P760" s="447"/>
      <c r="Q760" s="447"/>
      <c r="R760" s="447"/>
      <c r="S760" s="447"/>
      <c r="T760" s="447"/>
      <c r="U760" s="447"/>
      <c r="V760" s="447"/>
      <c r="W760" s="447"/>
      <c r="X760" s="447"/>
      <c r="Y760" s="447"/>
      <c r="Z760" s="447"/>
      <c r="AA760" s="447"/>
    </row>
    <row r="761" spans="1:27">
      <c r="A761" s="465"/>
      <c r="B761" s="466"/>
      <c r="C761" s="465"/>
      <c r="D761" s="467"/>
      <c r="E761" s="447"/>
      <c r="F761" s="447"/>
      <c r="G761" s="447"/>
      <c r="H761" s="447"/>
      <c r="I761" s="447"/>
      <c r="J761" s="447"/>
      <c r="K761" s="447"/>
      <c r="L761" s="447"/>
      <c r="M761" s="447"/>
      <c r="N761" s="447"/>
      <c r="O761" s="447"/>
      <c r="P761" s="447"/>
      <c r="Q761" s="447"/>
      <c r="R761" s="447"/>
      <c r="S761" s="447"/>
      <c r="T761" s="447"/>
      <c r="U761" s="447"/>
      <c r="V761" s="447"/>
      <c r="W761" s="447"/>
      <c r="X761" s="447"/>
      <c r="Y761" s="447"/>
      <c r="Z761" s="447"/>
      <c r="AA761" s="447"/>
    </row>
    <row r="762" spans="1:27">
      <c r="A762" s="465"/>
      <c r="B762" s="466"/>
      <c r="C762" s="465"/>
      <c r="D762" s="467"/>
      <c r="E762" s="447"/>
      <c r="F762" s="447"/>
      <c r="G762" s="447"/>
      <c r="H762" s="447"/>
      <c r="I762" s="447"/>
      <c r="J762" s="447"/>
      <c r="K762" s="447"/>
      <c r="L762" s="447"/>
      <c r="M762" s="447"/>
      <c r="N762" s="447"/>
      <c r="O762" s="447"/>
      <c r="P762" s="447"/>
      <c r="Q762" s="447"/>
      <c r="R762" s="447"/>
      <c r="S762" s="447"/>
      <c r="T762" s="447"/>
      <c r="U762" s="447"/>
      <c r="V762" s="447"/>
      <c r="W762" s="447"/>
      <c r="X762" s="447"/>
      <c r="Y762" s="447"/>
      <c r="Z762" s="447"/>
      <c r="AA762" s="447"/>
    </row>
    <row r="763" spans="1:27">
      <c r="A763" s="465"/>
      <c r="B763" s="466"/>
      <c r="C763" s="465"/>
      <c r="D763" s="467"/>
      <c r="E763" s="447"/>
      <c r="F763" s="447"/>
      <c r="G763" s="447"/>
      <c r="H763" s="447"/>
      <c r="I763" s="447"/>
      <c r="J763" s="447"/>
      <c r="K763" s="447"/>
      <c r="L763" s="447"/>
      <c r="M763" s="447"/>
      <c r="N763" s="447"/>
      <c r="O763" s="447"/>
      <c r="P763" s="447"/>
      <c r="Q763" s="447"/>
      <c r="R763" s="447"/>
      <c r="S763" s="447"/>
      <c r="T763" s="447"/>
      <c r="U763" s="447"/>
      <c r="V763" s="447"/>
      <c r="W763" s="447"/>
      <c r="X763" s="447"/>
      <c r="Y763" s="447"/>
      <c r="Z763" s="447"/>
      <c r="AA763" s="447"/>
    </row>
    <row r="764" spans="1:27">
      <c r="A764" s="465"/>
      <c r="B764" s="466"/>
      <c r="C764" s="465"/>
      <c r="D764" s="467"/>
      <c r="E764" s="447"/>
      <c r="F764" s="447"/>
      <c r="G764" s="447"/>
      <c r="H764" s="447"/>
      <c r="I764" s="447"/>
      <c r="J764" s="447"/>
      <c r="K764" s="447"/>
      <c r="L764" s="447"/>
      <c r="M764" s="447"/>
      <c r="N764" s="447"/>
      <c r="O764" s="447"/>
      <c r="P764" s="447"/>
      <c r="Q764" s="447"/>
      <c r="R764" s="447"/>
      <c r="S764" s="447"/>
      <c r="T764" s="447"/>
      <c r="U764" s="447"/>
      <c r="V764" s="447"/>
      <c r="W764" s="447"/>
      <c r="X764" s="447"/>
      <c r="Y764" s="447"/>
      <c r="Z764" s="447"/>
      <c r="AA764" s="447"/>
    </row>
    <row r="765" spans="1:27">
      <c r="A765" s="465"/>
      <c r="B765" s="466"/>
      <c r="C765" s="465"/>
      <c r="D765" s="467"/>
      <c r="E765" s="447"/>
      <c r="F765" s="447"/>
      <c r="G765" s="447"/>
      <c r="H765" s="447"/>
      <c r="I765" s="447"/>
      <c r="J765" s="447"/>
      <c r="K765" s="447"/>
      <c r="L765" s="447"/>
      <c r="M765" s="447"/>
      <c r="N765" s="447"/>
      <c r="O765" s="447"/>
      <c r="P765" s="447"/>
      <c r="Q765" s="447"/>
      <c r="R765" s="447"/>
      <c r="S765" s="447"/>
      <c r="T765" s="447"/>
      <c r="U765" s="447"/>
      <c r="V765" s="447"/>
      <c r="W765" s="447"/>
      <c r="X765" s="447"/>
      <c r="Y765" s="447"/>
      <c r="Z765" s="447"/>
      <c r="AA765" s="447"/>
    </row>
    <row r="766" spans="1:27">
      <c r="A766" s="465"/>
      <c r="B766" s="466"/>
      <c r="C766" s="465"/>
      <c r="D766" s="467"/>
      <c r="E766" s="447"/>
      <c r="F766" s="447"/>
      <c r="G766" s="447"/>
      <c r="H766" s="447"/>
      <c r="I766" s="447"/>
      <c r="J766" s="447"/>
      <c r="K766" s="447"/>
      <c r="L766" s="447"/>
      <c r="M766" s="447"/>
      <c r="N766" s="447"/>
      <c r="O766" s="447"/>
      <c r="P766" s="447"/>
      <c r="Q766" s="447"/>
      <c r="R766" s="447"/>
      <c r="S766" s="447"/>
      <c r="T766" s="447"/>
      <c r="U766" s="447"/>
      <c r="V766" s="447"/>
      <c r="W766" s="447"/>
      <c r="X766" s="447"/>
      <c r="Y766" s="447"/>
      <c r="Z766" s="447"/>
      <c r="AA766" s="447"/>
    </row>
    <row r="767" spans="1:27">
      <c r="A767" s="465"/>
      <c r="B767" s="466"/>
      <c r="C767" s="465"/>
      <c r="D767" s="467"/>
      <c r="E767" s="447"/>
      <c r="F767" s="447"/>
      <c r="G767" s="447"/>
      <c r="H767" s="447"/>
      <c r="I767" s="447"/>
      <c r="J767" s="447"/>
      <c r="K767" s="447"/>
      <c r="L767" s="447"/>
      <c r="M767" s="447"/>
      <c r="N767" s="447"/>
      <c r="O767" s="447"/>
      <c r="P767" s="447"/>
      <c r="Q767" s="447"/>
      <c r="R767" s="447"/>
      <c r="S767" s="447"/>
      <c r="T767" s="447"/>
      <c r="U767" s="447"/>
      <c r="V767" s="447"/>
      <c r="W767" s="447"/>
      <c r="X767" s="447"/>
      <c r="Y767" s="447"/>
      <c r="Z767" s="447"/>
      <c r="AA767" s="447"/>
    </row>
    <row r="768" spans="1:27">
      <c r="A768" s="465"/>
      <c r="B768" s="466"/>
      <c r="C768" s="465"/>
      <c r="D768" s="467"/>
      <c r="E768" s="447"/>
      <c r="F768" s="447"/>
      <c r="G768" s="447"/>
      <c r="H768" s="447"/>
      <c r="I768" s="447"/>
      <c r="J768" s="447"/>
      <c r="K768" s="447"/>
      <c r="L768" s="447"/>
      <c r="M768" s="447"/>
      <c r="N768" s="447"/>
      <c r="O768" s="447"/>
      <c r="P768" s="447"/>
      <c r="Q768" s="447"/>
      <c r="R768" s="447"/>
      <c r="S768" s="447"/>
      <c r="T768" s="447"/>
      <c r="U768" s="447"/>
      <c r="V768" s="447"/>
      <c r="W768" s="447"/>
      <c r="X768" s="447"/>
      <c r="Y768" s="447"/>
      <c r="Z768" s="447"/>
      <c r="AA768" s="447"/>
    </row>
    <row r="769" spans="1:27">
      <c r="A769" s="465"/>
      <c r="B769" s="466"/>
      <c r="C769" s="465"/>
      <c r="D769" s="467"/>
      <c r="E769" s="447"/>
      <c r="F769" s="447"/>
      <c r="G769" s="447"/>
      <c r="H769" s="447"/>
      <c r="I769" s="447"/>
      <c r="J769" s="447"/>
      <c r="K769" s="447"/>
      <c r="L769" s="447"/>
      <c r="M769" s="447"/>
      <c r="N769" s="447"/>
      <c r="O769" s="447"/>
      <c r="P769" s="447"/>
      <c r="Q769" s="447"/>
      <c r="R769" s="447"/>
      <c r="S769" s="447"/>
      <c r="T769" s="447"/>
      <c r="U769" s="447"/>
      <c r="V769" s="447"/>
      <c r="W769" s="447"/>
      <c r="X769" s="447"/>
      <c r="Y769" s="447"/>
      <c r="Z769" s="447"/>
      <c r="AA769" s="447"/>
    </row>
    <row r="770" spans="1:27">
      <c r="A770" s="465"/>
      <c r="B770" s="466"/>
      <c r="C770" s="465"/>
      <c r="D770" s="467"/>
      <c r="E770" s="447"/>
      <c r="F770" s="447"/>
      <c r="G770" s="447"/>
      <c r="H770" s="447"/>
      <c r="I770" s="447"/>
      <c r="J770" s="447"/>
      <c r="K770" s="447"/>
      <c r="L770" s="447"/>
      <c r="M770" s="447"/>
      <c r="N770" s="447"/>
      <c r="O770" s="447"/>
      <c r="P770" s="447"/>
      <c r="Q770" s="447"/>
      <c r="R770" s="447"/>
      <c r="S770" s="447"/>
      <c r="T770" s="447"/>
      <c r="U770" s="447"/>
      <c r="V770" s="447"/>
      <c r="W770" s="447"/>
      <c r="X770" s="447"/>
      <c r="Y770" s="447"/>
      <c r="Z770" s="447"/>
      <c r="AA770" s="447"/>
    </row>
    <row r="771" spans="1:27">
      <c r="A771" s="465"/>
      <c r="B771" s="466"/>
      <c r="C771" s="465"/>
      <c r="D771" s="467"/>
      <c r="E771" s="447"/>
      <c r="F771" s="447"/>
      <c r="G771" s="447"/>
      <c r="H771" s="447"/>
      <c r="I771" s="447"/>
      <c r="J771" s="447"/>
      <c r="K771" s="447"/>
      <c r="L771" s="447"/>
      <c r="M771" s="447"/>
      <c r="N771" s="447"/>
      <c r="O771" s="447"/>
      <c r="P771" s="447"/>
      <c r="Q771" s="447"/>
      <c r="R771" s="447"/>
      <c r="S771" s="447"/>
      <c r="T771" s="447"/>
      <c r="U771" s="447"/>
      <c r="V771" s="447"/>
      <c r="W771" s="447"/>
      <c r="X771" s="447"/>
      <c r="Y771" s="447"/>
      <c r="Z771" s="447"/>
      <c r="AA771" s="447"/>
    </row>
    <row r="772" spans="1:27">
      <c r="A772" s="465"/>
      <c r="B772" s="466"/>
      <c r="C772" s="465"/>
      <c r="D772" s="467"/>
      <c r="E772" s="447"/>
      <c r="F772" s="447"/>
      <c r="G772" s="447"/>
      <c r="H772" s="447"/>
      <c r="I772" s="447"/>
      <c r="J772" s="447"/>
      <c r="K772" s="447"/>
      <c r="L772" s="447"/>
      <c r="M772" s="447"/>
      <c r="N772" s="447"/>
      <c r="O772" s="447"/>
      <c r="P772" s="447"/>
      <c r="Q772" s="447"/>
      <c r="R772" s="447"/>
      <c r="S772" s="447"/>
      <c r="T772" s="447"/>
      <c r="U772" s="447"/>
      <c r="V772" s="447"/>
      <c r="W772" s="447"/>
      <c r="X772" s="447"/>
      <c r="Y772" s="447"/>
      <c r="Z772" s="447"/>
      <c r="AA772" s="447"/>
    </row>
    <row r="773" spans="1:27">
      <c r="A773" s="465"/>
      <c r="B773" s="466"/>
      <c r="C773" s="465"/>
      <c r="D773" s="467"/>
      <c r="E773" s="447"/>
      <c r="F773" s="447"/>
      <c r="G773" s="447"/>
      <c r="H773" s="447"/>
      <c r="I773" s="447"/>
      <c r="J773" s="447"/>
      <c r="K773" s="447"/>
      <c r="L773" s="447"/>
      <c r="M773" s="447"/>
      <c r="N773" s="447"/>
      <c r="O773" s="447"/>
      <c r="P773" s="447"/>
      <c r="Q773" s="447"/>
      <c r="R773" s="447"/>
      <c r="S773" s="447"/>
      <c r="T773" s="447"/>
      <c r="U773" s="447"/>
      <c r="V773" s="447"/>
      <c r="W773" s="447"/>
      <c r="X773" s="447"/>
      <c r="Y773" s="447"/>
      <c r="Z773" s="447"/>
      <c r="AA773" s="447"/>
    </row>
    <row r="774" spans="1:27">
      <c r="A774" s="465"/>
      <c r="B774" s="466"/>
      <c r="C774" s="465"/>
      <c r="D774" s="467"/>
      <c r="E774" s="447"/>
      <c r="F774" s="447"/>
      <c r="G774" s="447"/>
      <c r="H774" s="447"/>
      <c r="I774" s="447"/>
      <c r="J774" s="447"/>
      <c r="K774" s="447"/>
      <c r="L774" s="447"/>
      <c r="M774" s="447"/>
      <c r="N774" s="447"/>
      <c r="O774" s="447"/>
      <c r="P774" s="447"/>
      <c r="Q774" s="447"/>
      <c r="R774" s="447"/>
      <c r="S774" s="447"/>
      <c r="T774" s="447"/>
      <c r="U774" s="447"/>
      <c r="V774" s="447"/>
      <c r="W774" s="447"/>
      <c r="X774" s="447"/>
      <c r="Y774" s="447"/>
      <c r="Z774" s="447"/>
      <c r="AA774" s="447"/>
    </row>
    <row r="775" spans="1:27">
      <c r="A775" s="465"/>
      <c r="B775" s="466"/>
      <c r="C775" s="465"/>
      <c r="D775" s="467"/>
      <c r="E775" s="447"/>
      <c r="F775" s="447"/>
      <c r="G775" s="447"/>
      <c r="H775" s="447"/>
      <c r="I775" s="447"/>
      <c r="J775" s="447"/>
      <c r="K775" s="447"/>
      <c r="L775" s="447"/>
      <c r="M775" s="447"/>
      <c r="N775" s="447"/>
      <c r="O775" s="447"/>
      <c r="P775" s="447"/>
      <c r="Q775" s="447"/>
      <c r="R775" s="447"/>
      <c r="S775" s="447"/>
      <c r="T775" s="447"/>
      <c r="U775" s="447"/>
      <c r="V775" s="447"/>
      <c r="W775" s="447"/>
      <c r="X775" s="447"/>
      <c r="Y775" s="447"/>
      <c r="Z775" s="447"/>
      <c r="AA775" s="447"/>
    </row>
    <row r="776" spans="1:27">
      <c r="A776" s="465"/>
      <c r="B776" s="466"/>
      <c r="C776" s="465"/>
      <c r="D776" s="467"/>
      <c r="E776" s="447"/>
      <c r="F776" s="447"/>
      <c r="G776" s="447"/>
      <c r="H776" s="447"/>
      <c r="I776" s="447"/>
      <c r="J776" s="447"/>
      <c r="K776" s="447"/>
      <c r="L776" s="447"/>
      <c r="M776" s="447"/>
      <c r="N776" s="447"/>
      <c r="O776" s="447"/>
      <c r="P776" s="447"/>
      <c r="Q776" s="447"/>
      <c r="R776" s="447"/>
      <c r="S776" s="447"/>
      <c r="T776" s="447"/>
      <c r="U776" s="447"/>
      <c r="V776" s="447"/>
      <c r="W776" s="447"/>
      <c r="X776" s="447"/>
      <c r="Y776" s="447"/>
      <c r="Z776" s="447"/>
      <c r="AA776" s="447"/>
    </row>
    <row r="777" spans="1:27">
      <c r="A777" s="465"/>
      <c r="B777" s="466"/>
      <c r="C777" s="465"/>
      <c r="D777" s="467"/>
      <c r="E777" s="447"/>
      <c r="F777" s="447"/>
      <c r="G777" s="447"/>
      <c r="H777" s="447"/>
      <c r="I777" s="447"/>
      <c r="J777" s="447"/>
      <c r="K777" s="447"/>
      <c r="L777" s="447"/>
      <c r="M777" s="447"/>
      <c r="N777" s="447"/>
      <c r="O777" s="447"/>
      <c r="P777" s="447"/>
      <c r="Q777" s="447"/>
      <c r="R777" s="447"/>
      <c r="S777" s="447"/>
      <c r="T777" s="447"/>
      <c r="U777" s="447"/>
      <c r="V777" s="447"/>
      <c r="W777" s="447"/>
      <c r="X777" s="447"/>
      <c r="Y777" s="447"/>
      <c r="Z777" s="447"/>
      <c r="AA777" s="447"/>
    </row>
    <row r="778" spans="1:27">
      <c r="A778" s="465"/>
      <c r="B778" s="466"/>
      <c r="C778" s="465"/>
      <c r="D778" s="467"/>
      <c r="E778" s="447"/>
      <c r="F778" s="447"/>
      <c r="G778" s="447"/>
      <c r="H778" s="447"/>
      <c r="I778" s="447"/>
      <c r="J778" s="447"/>
      <c r="K778" s="447"/>
      <c r="L778" s="447"/>
      <c r="M778" s="447"/>
      <c r="N778" s="447"/>
      <c r="O778" s="447"/>
      <c r="P778" s="447"/>
      <c r="Q778" s="447"/>
      <c r="R778" s="447"/>
      <c r="S778" s="447"/>
      <c r="T778" s="447"/>
      <c r="U778" s="447"/>
      <c r="V778" s="447"/>
      <c r="W778" s="447"/>
      <c r="X778" s="447"/>
      <c r="Y778" s="447"/>
      <c r="Z778" s="447"/>
      <c r="AA778" s="447"/>
    </row>
    <row r="779" spans="1:27">
      <c r="A779" s="465"/>
      <c r="B779" s="466"/>
      <c r="C779" s="465"/>
      <c r="D779" s="467"/>
      <c r="E779" s="447"/>
      <c r="F779" s="447"/>
      <c r="G779" s="447"/>
      <c r="H779" s="447"/>
      <c r="I779" s="447"/>
      <c r="J779" s="447"/>
      <c r="K779" s="447"/>
      <c r="L779" s="447"/>
      <c r="M779" s="447"/>
      <c r="N779" s="447"/>
      <c r="O779" s="447"/>
      <c r="P779" s="447"/>
      <c r="Q779" s="447"/>
      <c r="R779" s="447"/>
      <c r="S779" s="447"/>
      <c r="T779" s="447"/>
      <c r="U779" s="447"/>
      <c r="V779" s="447"/>
      <c r="W779" s="447"/>
      <c r="X779" s="447"/>
      <c r="Y779" s="447"/>
      <c r="Z779" s="447"/>
      <c r="AA779" s="447"/>
    </row>
    <row r="780" spans="1:27">
      <c r="A780" s="465"/>
      <c r="B780" s="466"/>
      <c r="C780" s="465"/>
      <c r="D780" s="467"/>
      <c r="E780" s="447"/>
      <c r="F780" s="447"/>
      <c r="G780" s="447"/>
      <c r="H780" s="447"/>
      <c r="I780" s="447"/>
      <c r="J780" s="447"/>
      <c r="K780" s="447"/>
      <c r="L780" s="447"/>
      <c r="M780" s="447"/>
      <c r="N780" s="447"/>
      <c r="O780" s="447"/>
      <c r="P780" s="447"/>
      <c r="Q780" s="447"/>
      <c r="R780" s="447"/>
      <c r="S780" s="447"/>
      <c r="T780" s="447"/>
      <c r="U780" s="447"/>
      <c r="V780" s="447"/>
      <c r="W780" s="447"/>
      <c r="X780" s="447"/>
      <c r="Y780" s="447"/>
      <c r="Z780" s="447"/>
      <c r="AA780" s="447"/>
    </row>
    <row r="781" spans="1:27">
      <c r="A781" s="465"/>
      <c r="B781" s="466"/>
      <c r="C781" s="465"/>
      <c r="D781" s="467"/>
      <c r="E781" s="447"/>
      <c r="F781" s="447"/>
      <c r="G781" s="447"/>
      <c r="H781" s="447"/>
      <c r="I781" s="447"/>
      <c r="J781" s="447"/>
      <c r="K781" s="447"/>
      <c r="L781" s="447"/>
      <c r="M781" s="447"/>
      <c r="N781" s="447"/>
      <c r="O781" s="447"/>
      <c r="P781" s="447"/>
      <c r="Q781" s="447"/>
      <c r="R781" s="447"/>
      <c r="S781" s="447"/>
      <c r="T781" s="447"/>
      <c r="U781" s="447"/>
      <c r="V781" s="447"/>
      <c r="W781" s="447"/>
      <c r="X781" s="447"/>
      <c r="Y781" s="447"/>
      <c r="Z781" s="447"/>
      <c r="AA781" s="447"/>
    </row>
    <row r="782" spans="1:27">
      <c r="A782" s="465"/>
      <c r="B782" s="466"/>
      <c r="C782" s="465"/>
      <c r="D782" s="467"/>
      <c r="E782" s="447"/>
      <c r="F782" s="447"/>
      <c r="G782" s="447"/>
      <c r="H782" s="447"/>
      <c r="I782" s="447"/>
      <c r="J782" s="447"/>
      <c r="K782" s="447"/>
      <c r="L782" s="447"/>
      <c r="M782" s="447"/>
      <c r="N782" s="447"/>
      <c r="O782" s="447"/>
      <c r="P782" s="447"/>
      <c r="Q782" s="447"/>
      <c r="R782" s="447"/>
      <c r="S782" s="447"/>
      <c r="T782" s="447"/>
      <c r="U782" s="447"/>
      <c r="V782" s="447"/>
      <c r="W782" s="447"/>
      <c r="X782" s="447"/>
      <c r="Y782" s="447"/>
      <c r="Z782" s="447"/>
      <c r="AA782" s="447"/>
    </row>
    <row r="783" spans="1:27">
      <c r="A783" s="465"/>
      <c r="B783" s="466"/>
      <c r="C783" s="465"/>
      <c r="D783" s="467"/>
      <c r="E783" s="447"/>
      <c r="F783" s="447"/>
      <c r="G783" s="447"/>
      <c r="H783" s="447"/>
      <c r="I783" s="447"/>
      <c r="J783" s="447"/>
      <c r="K783" s="447"/>
      <c r="L783" s="447"/>
      <c r="M783" s="447"/>
      <c r="N783" s="447"/>
      <c r="O783" s="447"/>
      <c r="P783" s="447"/>
      <c r="Q783" s="447"/>
      <c r="R783" s="447"/>
      <c r="S783" s="447"/>
      <c r="T783" s="447"/>
      <c r="U783" s="447"/>
      <c r="V783" s="447"/>
      <c r="W783" s="447"/>
      <c r="X783" s="447"/>
      <c r="Y783" s="447"/>
      <c r="Z783" s="447"/>
      <c r="AA783" s="447"/>
    </row>
    <row r="784" spans="1:27">
      <c r="A784" s="465"/>
      <c r="B784" s="466"/>
      <c r="C784" s="465"/>
      <c r="D784" s="467"/>
      <c r="E784" s="447"/>
      <c r="F784" s="447"/>
      <c r="G784" s="447"/>
      <c r="H784" s="447"/>
      <c r="I784" s="447"/>
      <c r="J784" s="447"/>
      <c r="K784" s="447"/>
      <c r="L784" s="447"/>
      <c r="M784" s="447"/>
      <c r="N784" s="447"/>
      <c r="O784" s="447"/>
      <c r="P784" s="447"/>
      <c r="Q784" s="447"/>
      <c r="R784" s="447"/>
      <c r="S784" s="447"/>
      <c r="T784" s="447"/>
      <c r="U784" s="447"/>
      <c r="V784" s="447"/>
      <c r="W784" s="447"/>
      <c r="X784" s="447"/>
      <c r="Y784" s="447"/>
      <c r="Z784" s="447"/>
      <c r="AA784" s="447"/>
    </row>
    <row r="785" spans="1:27">
      <c r="A785" s="465"/>
      <c r="B785" s="466"/>
      <c r="C785" s="465"/>
      <c r="D785" s="467"/>
      <c r="E785" s="447"/>
      <c r="F785" s="447"/>
      <c r="G785" s="447"/>
      <c r="H785" s="447"/>
      <c r="I785" s="447"/>
      <c r="J785" s="447"/>
      <c r="K785" s="447"/>
      <c r="L785" s="447"/>
      <c r="M785" s="447"/>
      <c r="N785" s="447"/>
      <c r="O785" s="447"/>
      <c r="P785" s="447"/>
      <c r="Q785" s="447"/>
      <c r="R785" s="447"/>
      <c r="S785" s="447"/>
      <c r="T785" s="447"/>
      <c r="U785" s="447"/>
      <c r="V785" s="447"/>
      <c r="W785" s="447"/>
      <c r="X785" s="447"/>
      <c r="Y785" s="447"/>
      <c r="Z785" s="447"/>
      <c r="AA785" s="447"/>
    </row>
    <row r="786" spans="1:27">
      <c r="A786" s="465"/>
      <c r="B786" s="466"/>
      <c r="C786" s="465"/>
      <c r="D786" s="467"/>
      <c r="E786" s="447"/>
      <c r="F786" s="447"/>
      <c r="G786" s="447"/>
      <c r="H786" s="447"/>
      <c r="I786" s="447"/>
      <c r="J786" s="447"/>
      <c r="K786" s="447"/>
      <c r="L786" s="447"/>
      <c r="M786" s="447"/>
      <c r="N786" s="447"/>
      <c r="O786" s="447"/>
      <c r="P786" s="447"/>
      <c r="Q786" s="447"/>
      <c r="R786" s="447"/>
      <c r="S786" s="447"/>
      <c r="T786" s="447"/>
      <c r="U786" s="447"/>
      <c r="V786" s="447"/>
      <c r="W786" s="447"/>
      <c r="X786" s="447"/>
      <c r="Y786" s="447"/>
      <c r="Z786" s="447"/>
      <c r="AA786" s="447"/>
    </row>
    <row r="787" spans="1:27">
      <c r="A787" s="465"/>
      <c r="B787" s="466"/>
      <c r="C787" s="465"/>
      <c r="D787" s="467"/>
      <c r="E787" s="447"/>
      <c r="F787" s="447"/>
      <c r="G787" s="447"/>
      <c r="H787" s="447"/>
      <c r="I787" s="447"/>
      <c r="J787" s="447"/>
      <c r="K787" s="447"/>
      <c r="L787" s="447"/>
      <c r="M787" s="447"/>
      <c r="N787" s="447"/>
      <c r="O787" s="447"/>
      <c r="P787" s="447"/>
      <c r="Q787" s="447"/>
      <c r="R787" s="447"/>
      <c r="S787" s="447"/>
      <c r="T787" s="447"/>
      <c r="U787" s="447"/>
      <c r="V787" s="447"/>
      <c r="W787" s="447"/>
      <c r="X787" s="447"/>
      <c r="Y787" s="447"/>
      <c r="Z787" s="447"/>
      <c r="AA787" s="447"/>
    </row>
    <row r="788" spans="1:27">
      <c r="A788" s="465"/>
      <c r="B788" s="466"/>
      <c r="C788" s="465"/>
      <c r="D788" s="467"/>
      <c r="E788" s="447"/>
      <c r="F788" s="447"/>
      <c r="G788" s="447"/>
      <c r="H788" s="447"/>
      <c r="I788" s="447"/>
      <c r="J788" s="447"/>
      <c r="K788" s="447"/>
      <c r="L788" s="447"/>
      <c r="M788" s="447"/>
      <c r="N788" s="447"/>
      <c r="O788" s="447"/>
      <c r="P788" s="447"/>
      <c r="Q788" s="447"/>
      <c r="R788" s="447"/>
      <c r="S788" s="447"/>
      <c r="T788" s="447"/>
      <c r="U788" s="447"/>
      <c r="V788" s="447"/>
      <c r="W788" s="447"/>
      <c r="X788" s="447"/>
      <c r="Y788" s="447"/>
      <c r="Z788" s="447"/>
      <c r="AA788" s="447"/>
    </row>
    <row r="789" spans="1:27">
      <c r="A789" s="465"/>
      <c r="B789" s="466"/>
      <c r="C789" s="465"/>
      <c r="D789" s="467"/>
      <c r="E789" s="447"/>
      <c r="F789" s="447"/>
      <c r="G789" s="447"/>
      <c r="H789" s="447"/>
      <c r="I789" s="447"/>
      <c r="J789" s="447"/>
      <c r="K789" s="447"/>
      <c r="L789" s="447"/>
      <c r="M789" s="447"/>
      <c r="N789" s="447"/>
      <c r="O789" s="447"/>
      <c r="P789" s="447"/>
      <c r="Q789" s="447"/>
      <c r="R789" s="447"/>
      <c r="S789" s="447"/>
      <c r="T789" s="447"/>
      <c r="U789" s="447"/>
      <c r="V789" s="447"/>
      <c r="W789" s="447"/>
      <c r="X789" s="447"/>
      <c r="Y789" s="447"/>
      <c r="Z789" s="447"/>
      <c r="AA789" s="447"/>
    </row>
    <row r="790" spans="1:27">
      <c r="A790" s="465"/>
      <c r="B790" s="466"/>
      <c r="C790" s="465"/>
      <c r="D790" s="467"/>
      <c r="E790" s="447"/>
      <c r="F790" s="447"/>
      <c r="G790" s="447"/>
      <c r="H790" s="447"/>
      <c r="I790" s="447"/>
      <c r="J790" s="447"/>
      <c r="K790" s="447"/>
      <c r="L790" s="447"/>
      <c r="M790" s="447"/>
      <c r="N790" s="447"/>
      <c r="O790" s="447"/>
      <c r="P790" s="447"/>
      <c r="Q790" s="447"/>
      <c r="R790" s="447"/>
      <c r="S790" s="447"/>
      <c r="T790" s="447"/>
      <c r="U790" s="447"/>
      <c r="V790" s="447"/>
      <c r="W790" s="447"/>
      <c r="X790" s="447"/>
      <c r="Y790" s="447"/>
      <c r="Z790" s="447"/>
      <c r="AA790" s="447"/>
    </row>
    <row r="791" spans="1:27">
      <c r="A791" s="465"/>
      <c r="B791" s="466"/>
      <c r="C791" s="465"/>
      <c r="D791" s="467"/>
      <c r="E791" s="447"/>
      <c r="F791" s="447"/>
      <c r="G791" s="447"/>
      <c r="H791" s="447"/>
      <c r="I791" s="447"/>
      <c r="J791" s="447"/>
      <c r="K791" s="447"/>
      <c r="L791" s="447"/>
      <c r="M791" s="447"/>
      <c r="N791" s="447"/>
      <c r="O791" s="447"/>
      <c r="P791" s="447"/>
      <c r="Q791" s="447"/>
      <c r="R791" s="447"/>
      <c r="S791" s="447"/>
      <c r="T791" s="447"/>
      <c r="U791" s="447"/>
      <c r="V791" s="447"/>
      <c r="W791" s="447"/>
      <c r="X791" s="447"/>
      <c r="Y791" s="447"/>
      <c r="Z791" s="447"/>
      <c r="AA791" s="447"/>
    </row>
    <row r="792" spans="1:27">
      <c r="A792" s="465"/>
      <c r="B792" s="466"/>
      <c r="C792" s="465"/>
      <c r="D792" s="467"/>
      <c r="E792" s="447"/>
      <c r="F792" s="447"/>
      <c r="G792" s="447"/>
      <c r="H792" s="447"/>
      <c r="I792" s="447"/>
      <c r="J792" s="447"/>
      <c r="K792" s="447"/>
      <c r="L792" s="447"/>
      <c r="M792" s="447"/>
      <c r="N792" s="447"/>
      <c r="O792" s="447"/>
      <c r="P792" s="447"/>
      <c r="Q792" s="447"/>
      <c r="R792" s="447"/>
      <c r="S792" s="447"/>
      <c r="T792" s="447"/>
      <c r="U792" s="447"/>
      <c r="V792" s="447"/>
      <c r="W792" s="447"/>
      <c r="X792" s="447"/>
      <c r="Y792" s="447"/>
      <c r="Z792" s="447"/>
      <c r="AA792" s="447"/>
    </row>
    <row r="793" spans="1:27">
      <c r="A793" s="465"/>
      <c r="B793" s="466"/>
      <c r="C793" s="465"/>
      <c r="D793" s="467"/>
      <c r="E793" s="447"/>
      <c r="F793" s="447"/>
      <c r="G793" s="447"/>
      <c r="H793" s="447"/>
      <c r="I793" s="447"/>
      <c r="J793" s="447"/>
      <c r="K793" s="447"/>
      <c r="L793" s="447"/>
      <c r="M793" s="447"/>
      <c r="N793" s="447"/>
      <c r="O793" s="447"/>
      <c r="P793" s="447"/>
      <c r="Q793" s="447"/>
      <c r="R793" s="447"/>
      <c r="S793" s="447"/>
      <c r="T793" s="447"/>
      <c r="U793" s="447"/>
      <c r="V793" s="447"/>
      <c r="W793" s="447"/>
      <c r="X793" s="447"/>
      <c r="Y793" s="447"/>
      <c r="Z793" s="447"/>
      <c r="AA793" s="447"/>
    </row>
    <row r="794" spans="1:27">
      <c r="A794" s="465"/>
      <c r="B794" s="466"/>
      <c r="C794" s="465"/>
      <c r="D794" s="467"/>
      <c r="E794" s="447"/>
      <c r="F794" s="447"/>
      <c r="G794" s="447"/>
      <c r="H794" s="447"/>
      <c r="I794" s="447"/>
      <c r="J794" s="447"/>
      <c r="K794" s="447"/>
      <c r="L794" s="447"/>
      <c r="M794" s="447"/>
      <c r="N794" s="447"/>
      <c r="O794" s="447"/>
      <c r="P794" s="447"/>
      <c r="Q794" s="447"/>
      <c r="R794" s="447"/>
      <c r="S794" s="447"/>
      <c r="T794" s="447"/>
      <c r="U794" s="447"/>
      <c r="V794" s="447"/>
      <c r="W794" s="447"/>
      <c r="X794" s="447"/>
      <c r="Y794" s="447"/>
      <c r="Z794" s="447"/>
      <c r="AA794" s="447"/>
    </row>
    <row r="795" spans="1:27">
      <c r="A795" s="465"/>
      <c r="B795" s="466"/>
      <c r="C795" s="465"/>
      <c r="D795" s="467"/>
      <c r="E795" s="447"/>
      <c r="F795" s="447"/>
      <c r="G795" s="447"/>
      <c r="H795" s="447"/>
      <c r="I795" s="447"/>
      <c r="J795" s="447"/>
      <c r="K795" s="447"/>
      <c r="L795" s="447"/>
      <c r="M795" s="447"/>
      <c r="N795" s="447"/>
      <c r="O795" s="447"/>
      <c r="P795" s="447"/>
      <c r="Q795" s="447"/>
      <c r="R795" s="447"/>
      <c r="S795" s="447"/>
      <c r="T795" s="447"/>
      <c r="U795" s="447"/>
      <c r="V795" s="447"/>
      <c r="W795" s="447"/>
      <c r="X795" s="447"/>
      <c r="Y795" s="447"/>
      <c r="Z795" s="447"/>
      <c r="AA795" s="447"/>
    </row>
    <row r="796" spans="1:27">
      <c r="A796" s="465"/>
      <c r="B796" s="466"/>
      <c r="C796" s="465"/>
      <c r="D796" s="467"/>
      <c r="E796" s="447"/>
      <c r="F796" s="447"/>
      <c r="G796" s="447"/>
      <c r="H796" s="447"/>
      <c r="I796" s="447"/>
      <c r="J796" s="447"/>
      <c r="K796" s="447"/>
      <c r="L796" s="447"/>
      <c r="M796" s="447"/>
      <c r="N796" s="447"/>
      <c r="O796" s="447"/>
      <c r="P796" s="447"/>
      <c r="Q796" s="447"/>
      <c r="R796" s="447"/>
      <c r="S796" s="447"/>
      <c r="T796" s="447"/>
      <c r="U796" s="447"/>
      <c r="V796" s="447"/>
      <c r="W796" s="447"/>
      <c r="X796" s="447"/>
      <c r="Y796" s="447"/>
      <c r="Z796" s="447"/>
      <c r="AA796" s="447"/>
    </row>
    <row r="797" spans="1:27">
      <c r="A797" s="465"/>
      <c r="B797" s="466"/>
      <c r="C797" s="465"/>
      <c r="D797" s="467"/>
      <c r="E797" s="447"/>
      <c r="F797" s="447"/>
      <c r="G797" s="447"/>
      <c r="H797" s="447"/>
      <c r="I797" s="447"/>
      <c r="J797" s="447"/>
      <c r="K797" s="447"/>
      <c r="L797" s="447"/>
      <c r="M797" s="447"/>
      <c r="N797" s="447"/>
      <c r="O797" s="447"/>
      <c r="P797" s="447"/>
      <c r="Q797" s="447"/>
      <c r="R797" s="447"/>
      <c r="S797" s="447"/>
      <c r="T797" s="447"/>
      <c r="U797" s="447"/>
      <c r="V797" s="447"/>
      <c r="W797" s="447"/>
      <c r="X797" s="447"/>
      <c r="Y797" s="447"/>
      <c r="Z797" s="447"/>
      <c r="AA797" s="447"/>
    </row>
    <row r="798" spans="1:27">
      <c r="A798" s="465"/>
      <c r="B798" s="466"/>
      <c r="C798" s="465"/>
      <c r="D798" s="467"/>
      <c r="E798" s="447"/>
      <c r="F798" s="447"/>
      <c r="G798" s="447"/>
      <c r="H798" s="447"/>
      <c r="I798" s="447"/>
      <c r="J798" s="447"/>
      <c r="K798" s="447"/>
      <c r="L798" s="447"/>
      <c r="M798" s="447"/>
      <c r="N798" s="447"/>
      <c r="O798" s="447"/>
      <c r="P798" s="447"/>
      <c r="Q798" s="447"/>
      <c r="R798" s="447"/>
      <c r="S798" s="447"/>
      <c r="T798" s="447"/>
      <c r="U798" s="447"/>
      <c r="V798" s="447"/>
      <c r="W798" s="447"/>
      <c r="X798" s="447"/>
      <c r="Y798" s="447"/>
      <c r="Z798" s="447"/>
      <c r="AA798" s="447"/>
    </row>
    <row r="799" spans="1:27">
      <c r="A799" s="465"/>
      <c r="B799" s="466"/>
      <c r="C799" s="465"/>
      <c r="D799" s="467"/>
      <c r="E799" s="447"/>
      <c r="F799" s="447"/>
      <c r="G799" s="447"/>
      <c r="H799" s="447"/>
      <c r="I799" s="447"/>
      <c r="J799" s="447"/>
      <c r="K799" s="447"/>
      <c r="L799" s="447"/>
      <c r="M799" s="447"/>
      <c r="N799" s="447"/>
      <c r="O799" s="447"/>
      <c r="P799" s="447"/>
      <c r="Q799" s="447"/>
      <c r="R799" s="447"/>
      <c r="S799" s="447"/>
      <c r="T799" s="447"/>
      <c r="U799" s="447"/>
      <c r="V799" s="447"/>
      <c r="W799" s="447"/>
      <c r="X799" s="447"/>
      <c r="Y799" s="447"/>
      <c r="Z799" s="447"/>
      <c r="AA799" s="447"/>
    </row>
    <row r="800" spans="1:27">
      <c r="A800" s="465"/>
      <c r="B800" s="466"/>
      <c r="C800" s="465"/>
      <c r="D800" s="467"/>
      <c r="E800" s="447"/>
      <c r="F800" s="447"/>
      <c r="G800" s="447"/>
      <c r="H800" s="447"/>
      <c r="I800" s="447"/>
      <c r="J800" s="447"/>
      <c r="K800" s="447"/>
      <c r="L800" s="447"/>
      <c r="M800" s="447"/>
      <c r="N800" s="447"/>
      <c r="O800" s="447"/>
      <c r="P800" s="447"/>
      <c r="Q800" s="447"/>
      <c r="R800" s="447"/>
      <c r="S800" s="447"/>
      <c r="T800" s="447"/>
      <c r="U800" s="447"/>
      <c r="V800" s="447"/>
      <c r="W800" s="447"/>
      <c r="X800" s="447"/>
      <c r="Y800" s="447"/>
      <c r="Z800" s="447"/>
      <c r="AA800" s="447"/>
    </row>
    <row r="801" spans="1:27">
      <c r="A801" s="465"/>
      <c r="B801" s="466"/>
      <c r="C801" s="465"/>
      <c r="D801" s="467"/>
      <c r="E801" s="447"/>
      <c r="F801" s="447"/>
      <c r="G801" s="447"/>
      <c r="H801" s="447"/>
      <c r="I801" s="447"/>
      <c r="J801" s="447"/>
      <c r="K801" s="447"/>
      <c r="L801" s="447"/>
      <c r="M801" s="447"/>
      <c r="N801" s="447"/>
      <c r="O801" s="447"/>
      <c r="P801" s="447"/>
      <c r="Q801" s="447"/>
      <c r="R801" s="447"/>
      <c r="S801" s="447"/>
      <c r="T801" s="447"/>
      <c r="U801" s="447"/>
      <c r="V801" s="447"/>
      <c r="W801" s="447"/>
      <c r="X801" s="447"/>
      <c r="Y801" s="447"/>
      <c r="Z801" s="447"/>
      <c r="AA801" s="447"/>
    </row>
    <row r="802" spans="1:27">
      <c r="A802" s="465"/>
      <c r="B802" s="466"/>
      <c r="C802" s="465"/>
      <c r="D802" s="467"/>
      <c r="E802" s="447"/>
      <c r="F802" s="447"/>
      <c r="G802" s="447"/>
      <c r="H802" s="447"/>
      <c r="I802" s="447"/>
      <c r="J802" s="447"/>
      <c r="K802" s="447"/>
      <c r="L802" s="447"/>
      <c r="M802" s="447"/>
      <c r="N802" s="447"/>
      <c r="O802" s="447"/>
      <c r="P802" s="447"/>
      <c r="Q802" s="447"/>
      <c r="R802" s="447"/>
      <c r="S802" s="447"/>
      <c r="T802" s="447"/>
      <c r="U802" s="447"/>
      <c r="V802" s="447"/>
      <c r="W802" s="447"/>
      <c r="X802" s="447"/>
      <c r="Y802" s="447"/>
      <c r="Z802" s="447"/>
      <c r="AA802" s="447"/>
    </row>
    <row r="803" spans="1:27">
      <c r="A803" s="465"/>
      <c r="B803" s="466"/>
      <c r="C803" s="465"/>
      <c r="D803" s="467"/>
      <c r="E803" s="447"/>
      <c r="F803" s="447"/>
      <c r="G803" s="447"/>
      <c r="H803" s="447"/>
      <c r="I803" s="447"/>
      <c r="J803" s="447"/>
      <c r="K803" s="447"/>
      <c r="L803" s="447"/>
      <c r="M803" s="447"/>
      <c r="N803" s="447"/>
      <c r="O803" s="447"/>
      <c r="P803" s="447"/>
      <c r="Q803" s="447"/>
      <c r="R803" s="447"/>
      <c r="S803" s="447"/>
      <c r="T803" s="447"/>
      <c r="U803" s="447"/>
      <c r="V803" s="447"/>
      <c r="W803" s="447"/>
      <c r="X803" s="447"/>
      <c r="Y803" s="447"/>
      <c r="Z803" s="447"/>
      <c r="AA803" s="447"/>
    </row>
    <row r="804" spans="1:27">
      <c r="A804" s="465"/>
      <c r="B804" s="466"/>
      <c r="C804" s="465"/>
      <c r="D804" s="467"/>
      <c r="E804" s="447"/>
      <c r="F804" s="447"/>
      <c r="G804" s="447"/>
      <c r="H804" s="447"/>
      <c r="I804" s="447"/>
      <c r="J804" s="447"/>
      <c r="K804" s="447"/>
      <c r="L804" s="447"/>
      <c r="M804" s="447"/>
      <c r="N804" s="447"/>
      <c r="O804" s="447"/>
      <c r="P804" s="447"/>
      <c r="Q804" s="447"/>
      <c r="R804" s="447"/>
      <c r="S804" s="447"/>
      <c r="T804" s="447"/>
      <c r="U804" s="447"/>
      <c r="V804" s="447"/>
      <c r="W804" s="447"/>
      <c r="X804" s="447"/>
      <c r="Y804" s="447"/>
      <c r="Z804" s="447"/>
      <c r="AA804" s="447"/>
    </row>
    <row r="805" spans="1:27">
      <c r="A805" s="465"/>
      <c r="B805" s="466"/>
      <c r="C805" s="465"/>
      <c r="D805" s="467"/>
      <c r="E805" s="447"/>
      <c r="F805" s="447"/>
      <c r="G805" s="447"/>
      <c r="H805" s="447"/>
      <c r="I805" s="447"/>
      <c r="J805" s="447"/>
      <c r="K805" s="447"/>
      <c r="L805" s="447"/>
      <c r="M805" s="447"/>
      <c r="N805" s="447"/>
      <c r="O805" s="447"/>
      <c r="P805" s="447"/>
      <c r="Q805" s="447"/>
      <c r="R805" s="447"/>
      <c r="S805" s="447"/>
      <c r="T805" s="447"/>
      <c r="U805" s="447"/>
      <c r="V805" s="447"/>
      <c r="W805" s="447"/>
      <c r="X805" s="447"/>
      <c r="Y805" s="447"/>
      <c r="Z805" s="447"/>
      <c r="AA805" s="447"/>
    </row>
    <row r="806" spans="1:27">
      <c r="A806" s="465"/>
      <c r="B806" s="466"/>
      <c r="C806" s="465"/>
      <c r="D806" s="467"/>
      <c r="E806" s="447"/>
      <c r="F806" s="447"/>
      <c r="G806" s="447"/>
      <c r="H806" s="447"/>
      <c r="I806" s="447"/>
      <c r="J806" s="447"/>
      <c r="K806" s="447"/>
      <c r="L806" s="447"/>
      <c r="M806" s="447"/>
      <c r="N806" s="447"/>
      <c r="O806" s="447"/>
      <c r="P806" s="447"/>
      <c r="Q806" s="447"/>
      <c r="R806" s="447"/>
      <c r="S806" s="447"/>
      <c r="T806" s="447"/>
      <c r="U806" s="447"/>
      <c r="V806" s="447"/>
      <c r="W806" s="447"/>
      <c r="X806" s="447"/>
      <c r="Y806" s="447"/>
      <c r="Z806" s="447"/>
      <c r="AA806" s="447"/>
    </row>
    <row r="807" spans="1:27">
      <c r="A807" s="465"/>
      <c r="B807" s="466"/>
      <c r="C807" s="465"/>
      <c r="D807" s="467"/>
      <c r="E807" s="447"/>
      <c r="F807" s="447"/>
      <c r="G807" s="447"/>
      <c r="H807" s="447"/>
      <c r="I807" s="447"/>
      <c r="J807" s="447"/>
      <c r="K807" s="447"/>
      <c r="L807" s="447"/>
      <c r="M807" s="447"/>
      <c r="N807" s="447"/>
      <c r="O807" s="447"/>
      <c r="P807" s="447"/>
      <c r="Q807" s="447"/>
      <c r="R807" s="447"/>
      <c r="S807" s="447"/>
      <c r="T807" s="447"/>
      <c r="U807" s="447"/>
      <c r="V807" s="447"/>
      <c r="W807" s="447"/>
      <c r="X807" s="447"/>
      <c r="Y807" s="447"/>
      <c r="Z807" s="447"/>
      <c r="AA807" s="447"/>
    </row>
    <row r="808" spans="1:27">
      <c r="A808" s="465"/>
      <c r="B808" s="466"/>
      <c r="C808" s="465"/>
      <c r="D808" s="467"/>
      <c r="E808" s="447"/>
      <c r="F808" s="447"/>
      <c r="G808" s="447"/>
      <c r="H808" s="447"/>
      <c r="I808" s="447"/>
      <c r="J808" s="447"/>
      <c r="K808" s="447"/>
      <c r="L808" s="447"/>
      <c r="M808" s="447"/>
      <c r="N808" s="447"/>
      <c r="O808" s="447"/>
      <c r="P808" s="447"/>
      <c r="Q808" s="447"/>
      <c r="R808" s="447"/>
      <c r="S808" s="447"/>
      <c r="T808" s="447"/>
      <c r="U808" s="447"/>
      <c r="V808" s="447"/>
      <c r="W808" s="447"/>
      <c r="X808" s="447"/>
      <c r="Y808" s="447"/>
      <c r="Z808" s="447"/>
      <c r="AA808" s="447"/>
    </row>
    <row r="809" spans="1:27">
      <c r="A809" s="465"/>
      <c r="B809" s="466"/>
      <c r="C809" s="465"/>
      <c r="D809" s="467"/>
      <c r="E809" s="447"/>
      <c r="F809" s="447"/>
      <c r="G809" s="447"/>
      <c r="H809" s="447"/>
      <c r="I809" s="447"/>
      <c r="J809" s="447"/>
      <c r="K809" s="447"/>
      <c r="L809" s="447"/>
      <c r="M809" s="447"/>
      <c r="N809" s="447"/>
      <c r="O809" s="447"/>
      <c r="P809" s="447"/>
      <c r="Q809" s="447"/>
      <c r="R809" s="447"/>
      <c r="S809" s="447"/>
      <c r="T809" s="447"/>
      <c r="U809" s="447"/>
      <c r="V809" s="447"/>
      <c r="W809" s="447"/>
      <c r="X809" s="447"/>
      <c r="Y809" s="447"/>
      <c r="Z809" s="447"/>
      <c r="AA809" s="447"/>
    </row>
    <row r="810" spans="1:27">
      <c r="A810" s="465"/>
      <c r="B810" s="466"/>
      <c r="C810" s="465"/>
      <c r="D810" s="467"/>
      <c r="E810" s="447"/>
      <c r="F810" s="447"/>
      <c r="G810" s="447"/>
      <c r="H810" s="447"/>
      <c r="I810" s="447"/>
      <c r="J810" s="447"/>
      <c r="K810" s="447"/>
      <c r="L810" s="447"/>
      <c r="M810" s="447"/>
      <c r="N810" s="447"/>
      <c r="O810" s="447"/>
      <c r="P810" s="447"/>
      <c r="Q810" s="447"/>
      <c r="R810" s="447"/>
      <c r="S810" s="447"/>
      <c r="T810" s="447"/>
      <c r="U810" s="447"/>
      <c r="V810" s="447"/>
      <c r="W810" s="447"/>
      <c r="X810" s="447"/>
      <c r="Y810" s="447"/>
      <c r="Z810" s="447"/>
      <c r="AA810" s="447"/>
    </row>
    <row r="811" spans="1:27">
      <c r="A811" s="465"/>
      <c r="B811" s="466"/>
      <c r="C811" s="465"/>
      <c r="D811" s="467"/>
      <c r="E811" s="447"/>
      <c r="F811" s="447"/>
      <c r="G811" s="447"/>
      <c r="H811" s="447"/>
      <c r="I811" s="447"/>
      <c r="J811" s="447"/>
      <c r="K811" s="447"/>
      <c r="L811" s="447"/>
      <c r="M811" s="447"/>
      <c r="N811" s="447"/>
      <c r="O811" s="447"/>
      <c r="P811" s="447"/>
      <c r="Q811" s="447"/>
      <c r="R811" s="447"/>
      <c r="S811" s="447"/>
      <c r="T811" s="447"/>
      <c r="U811" s="447"/>
      <c r="V811" s="447"/>
      <c r="W811" s="447"/>
      <c r="X811" s="447"/>
      <c r="Y811" s="447"/>
      <c r="Z811" s="447"/>
      <c r="AA811" s="447"/>
    </row>
    <row r="812" spans="1:27">
      <c r="A812" s="465"/>
      <c r="B812" s="466"/>
      <c r="C812" s="465"/>
      <c r="D812" s="467"/>
      <c r="E812" s="447"/>
      <c r="F812" s="447"/>
      <c r="G812" s="447"/>
      <c r="H812" s="447"/>
      <c r="I812" s="447"/>
      <c r="J812" s="447"/>
      <c r="K812" s="447"/>
      <c r="L812" s="447"/>
      <c r="M812" s="447"/>
      <c r="N812" s="447"/>
      <c r="O812" s="447"/>
      <c r="P812" s="447"/>
      <c r="Q812" s="447"/>
      <c r="R812" s="447"/>
      <c r="S812" s="447"/>
      <c r="T812" s="447"/>
      <c r="U812" s="447"/>
      <c r="V812" s="447"/>
      <c r="W812" s="447"/>
      <c r="X812" s="447"/>
      <c r="Y812" s="447"/>
      <c r="Z812" s="447"/>
      <c r="AA812" s="447"/>
    </row>
    <row r="813" spans="1:27">
      <c r="A813" s="465"/>
      <c r="B813" s="466"/>
      <c r="C813" s="465"/>
      <c r="D813" s="467"/>
      <c r="E813" s="447"/>
      <c r="F813" s="447"/>
      <c r="G813" s="447"/>
      <c r="H813" s="447"/>
      <c r="I813" s="447"/>
      <c r="J813" s="447"/>
      <c r="K813" s="447"/>
      <c r="L813" s="447"/>
      <c r="M813" s="447"/>
      <c r="N813" s="447"/>
      <c r="O813" s="447"/>
      <c r="P813" s="447"/>
      <c r="Q813" s="447"/>
      <c r="R813" s="447"/>
      <c r="S813" s="447"/>
      <c r="T813" s="447"/>
      <c r="U813" s="447"/>
      <c r="V813" s="447"/>
      <c r="W813" s="447"/>
      <c r="X813" s="447"/>
      <c r="Y813" s="447"/>
      <c r="Z813" s="447"/>
      <c r="AA813" s="447"/>
    </row>
    <row r="814" spans="1:27">
      <c r="A814" s="465"/>
      <c r="B814" s="466"/>
      <c r="C814" s="465"/>
      <c r="D814" s="467"/>
      <c r="E814" s="447"/>
      <c r="F814" s="447"/>
      <c r="G814" s="447"/>
      <c r="H814" s="447"/>
      <c r="I814" s="447"/>
      <c r="J814" s="447"/>
      <c r="K814" s="447"/>
      <c r="L814" s="447"/>
      <c r="M814" s="447"/>
      <c r="N814" s="447"/>
      <c r="O814" s="447"/>
      <c r="P814" s="447"/>
      <c r="Q814" s="447"/>
      <c r="R814" s="447"/>
      <c r="S814" s="447"/>
      <c r="T814" s="447"/>
      <c r="U814" s="447"/>
      <c r="V814" s="447"/>
      <c r="W814" s="447"/>
      <c r="X814" s="447"/>
      <c r="Y814" s="447"/>
      <c r="Z814" s="447"/>
      <c r="AA814" s="447"/>
    </row>
    <row r="815" spans="1:27">
      <c r="A815" s="465"/>
      <c r="B815" s="466"/>
      <c r="C815" s="465"/>
      <c r="D815" s="467"/>
      <c r="E815" s="447"/>
      <c r="F815" s="447"/>
      <c r="G815" s="447"/>
      <c r="H815" s="447"/>
      <c r="I815" s="447"/>
      <c r="J815" s="447"/>
      <c r="K815" s="447"/>
      <c r="L815" s="447"/>
      <c r="M815" s="447"/>
      <c r="N815" s="447"/>
      <c r="O815" s="447"/>
      <c r="P815" s="447"/>
      <c r="Q815" s="447"/>
      <c r="R815" s="447"/>
      <c r="S815" s="447"/>
      <c r="T815" s="447"/>
      <c r="U815" s="447"/>
      <c r="V815" s="447"/>
      <c r="W815" s="447"/>
      <c r="X815" s="447"/>
      <c r="Y815" s="447"/>
      <c r="Z815" s="447"/>
      <c r="AA815" s="447"/>
    </row>
    <row r="816" spans="1:27">
      <c r="A816" s="465"/>
      <c r="B816" s="466"/>
      <c r="C816" s="465"/>
      <c r="D816" s="467"/>
      <c r="E816" s="447"/>
      <c r="F816" s="447"/>
      <c r="G816" s="447"/>
      <c r="H816" s="447"/>
      <c r="I816" s="447"/>
      <c r="J816" s="447"/>
      <c r="K816" s="447"/>
      <c r="L816" s="447"/>
      <c r="M816" s="447"/>
      <c r="N816" s="447"/>
      <c r="O816" s="447"/>
      <c r="P816" s="447"/>
      <c r="Q816" s="447"/>
      <c r="R816" s="447"/>
      <c r="S816" s="447"/>
      <c r="T816" s="447"/>
      <c r="U816" s="447"/>
      <c r="V816" s="447"/>
      <c r="W816" s="447"/>
      <c r="X816" s="447"/>
      <c r="Y816" s="447"/>
      <c r="Z816" s="447"/>
      <c r="AA816" s="447"/>
    </row>
    <row r="817" spans="1:27">
      <c r="A817" s="465"/>
      <c r="B817" s="466"/>
      <c r="C817" s="465"/>
      <c r="D817" s="467"/>
      <c r="E817" s="447"/>
      <c r="F817" s="447"/>
      <c r="G817" s="447"/>
      <c r="H817" s="447"/>
      <c r="I817" s="447"/>
      <c r="J817" s="447"/>
      <c r="K817" s="447"/>
      <c r="L817" s="447"/>
      <c r="M817" s="447"/>
      <c r="N817" s="447"/>
      <c r="O817" s="447"/>
      <c r="P817" s="447"/>
      <c r="Q817" s="447"/>
      <c r="R817" s="447"/>
      <c r="S817" s="447"/>
      <c r="T817" s="447"/>
      <c r="U817" s="447"/>
      <c r="V817" s="447"/>
      <c r="W817" s="447"/>
      <c r="X817" s="447"/>
      <c r="Y817" s="447"/>
      <c r="Z817" s="447"/>
      <c r="AA817" s="447"/>
    </row>
    <row r="818" spans="1:27">
      <c r="A818" s="465"/>
      <c r="B818" s="466"/>
      <c r="C818" s="465"/>
      <c r="D818" s="467"/>
      <c r="E818" s="447"/>
      <c r="F818" s="447"/>
      <c r="G818" s="447"/>
      <c r="H818" s="447"/>
      <c r="I818" s="447"/>
      <c r="J818" s="447"/>
      <c r="K818" s="447"/>
      <c r="L818" s="447"/>
      <c r="M818" s="447"/>
      <c r="N818" s="447"/>
      <c r="O818" s="447"/>
      <c r="P818" s="447"/>
      <c r="Q818" s="447"/>
      <c r="R818" s="447"/>
      <c r="S818" s="447"/>
      <c r="T818" s="447"/>
      <c r="U818" s="447"/>
      <c r="V818" s="447"/>
      <c r="W818" s="447"/>
      <c r="X818" s="447"/>
      <c r="Y818" s="447"/>
      <c r="Z818" s="447"/>
      <c r="AA818" s="447"/>
    </row>
    <row r="819" spans="1:27">
      <c r="A819" s="465"/>
      <c r="B819" s="466"/>
      <c r="C819" s="465"/>
      <c r="D819" s="467"/>
      <c r="E819" s="447"/>
      <c r="F819" s="447"/>
      <c r="G819" s="447"/>
      <c r="H819" s="447"/>
      <c r="I819" s="447"/>
      <c r="J819" s="447"/>
      <c r="K819" s="447"/>
      <c r="L819" s="447"/>
      <c r="M819" s="447"/>
      <c r="N819" s="447"/>
      <c r="O819" s="447"/>
      <c r="P819" s="447"/>
      <c r="Q819" s="447"/>
      <c r="R819" s="447"/>
      <c r="S819" s="447"/>
      <c r="T819" s="447"/>
      <c r="U819" s="447"/>
      <c r="V819" s="447"/>
      <c r="W819" s="447"/>
      <c r="X819" s="447"/>
      <c r="Y819" s="447"/>
      <c r="Z819" s="447"/>
      <c r="AA819" s="447"/>
    </row>
    <row r="820" spans="1:27">
      <c r="A820" s="465"/>
      <c r="B820" s="466"/>
      <c r="C820" s="465"/>
      <c r="D820" s="467"/>
      <c r="E820" s="447"/>
      <c r="F820" s="447"/>
      <c r="G820" s="447"/>
      <c r="H820" s="447"/>
      <c r="I820" s="447"/>
      <c r="J820" s="447"/>
      <c r="K820" s="447"/>
      <c r="L820" s="447"/>
      <c r="M820" s="447"/>
      <c r="N820" s="447"/>
      <c r="O820" s="447"/>
      <c r="P820" s="447"/>
      <c r="Q820" s="447"/>
      <c r="R820" s="447"/>
      <c r="S820" s="447"/>
      <c r="T820" s="447"/>
      <c r="U820" s="447"/>
      <c r="V820" s="447"/>
      <c r="W820" s="447"/>
      <c r="X820" s="447"/>
      <c r="Y820" s="447"/>
      <c r="Z820" s="447"/>
      <c r="AA820" s="447"/>
    </row>
    <row r="821" spans="1:27">
      <c r="A821" s="465"/>
      <c r="B821" s="466"/>
      <c r="C821" s="465"/>
      <c r="D821" s="467"/>
      <c r="E821" s="447"/>
      <c r="F821" s="447"/>
      <c r="G821" s="447"/>
      <c r="H821" s="447"/>
      <c r="I821" s="447"/>
      <c r="J821" s="447"/>
      <c r="K821" s="447"/>
      <c r="L821" s="447"/>
      <c r="M821" s="447"/>
      <c r="N821" s="447"/>
      <c r="O821" s="447"/>
      <c r="P821" s="447"/>
      <c r="Q821" s="447"/>
      <c r="R821" s="447"/>
      <c r="S821" s="447"/>
      <c r="T821" s="447"/>
      <c r="U821" s="447"/>
      <c r="V821" s="447"/>
      <c r="W821" s="447"/>
      <c r="X821" s="447"/>
      <c r="Y821" s="447"/>
      <c r="Z821" s="447"/>
      <c r="AA821" s="447"/>
    </row>
    <row r="822" spans="1:27">
      <c r="A822" s="465"/>
      <c r="B822" s="466"/>
      <c r="C822" s="465"/>
      <c r="D822" s="467"/>
      <c r="E822" s="447"/>
      <c r="F822" s="447"/>
      <c r="G822" s="447"/>
      <c r="H822" s="447"/>
      <c r="I822" s="447"/>
      <c r="J822" s="447"/>
      <c r="K822" s="447"/>
      <c r="L822" s="447"/>
      <c r="M822" s="447"/>
      <c r="N822" s="447"/>
      <c r="O822" s="447"/>
      <c r="P822" s="447"/>
      <c r="Q822" s="447"/>
      <c r="R822" s="447"/>
      <c r="S822" s="447"/>
      <c r="T822" s="447"/>
      <c r="U822" s="447"/>
      <c r="V822" s="447"/>
      <c r="W822" s="447"/>
      <c r="X822" s="447"/>
      <c r="Y822" s="447"/>
      <c r="Z822" s="447"/>
      <c r="AA822" s="447"/>
    </row>
    <row r="823" spans="1:27">
      <c r="A823" s="465"/>
      <c r="B823" s="466"/>
      <c r="C823" s="465"/>
      <c r="D823" s="467"/>
      <c r="E823" s="447"/>
      <c r="F823" s="447"/>
      <c r="G823" s="447"/>
      <c r="H823" s="447"/>
      <c r="I823" s="447"/>
      <c r="J823" s="447"/>
      <c r="K823" s="447"/>
      <c r="L823" s="447"/>
      <c r="M823" s="447"/>
      <c r="N823" s="447"/>
      <c r="O823" s="447"/>
      <c r="P823" s="447"/>
      <c r="Q823" s="447"/>
      <c r="R823" s="447"/>
      <c r="S823" s="447"/>
      <c r="T823" s="447"/>
      <c r="U823" s="447"/>
      <c r="V823" s="447"/>
      <c r="W823" s="447"/>
      <c r="X823" s="447"/>
      <c r="Y823" s="447"/>
      <c r="Z823" s="447"/>
      <c r="AA823" s="447"/>
    </row>
    <row r="824" spans="1:27">
      <c r="A824" s="465"/>
      <c r="B824" s="466"/>
      <c r="C824" s="465"/>
      <c r="D824" s="467"/>
      <c r="E824" s="447"/>
      <c r="F824" s="447"/>
      <c r="G824" s="447"/>
      <c r="H824" s="447"/>
      <c r="I824" s="447"/>
      <c r="J824" s="447"/>
      <c r="K824" s="447"/>
      <c r="L824" s="447"/>
      <c r="M824" s="447"/>
      <c r="N824" s="447"/>
      <c r="O824" s="447"/>
      <c r="P824" s="447"/>
      <c r="Q824" s="447"/>
      <c r="R824" s="447"/>
      <c r="S824" s="447"/>
      <c r="T824" s="447"/>
      <c r="U824" s="447"/>
      <c r="V824" s="447"/>
      <c r="W824" s="447"/>
      <c r="X824" s="447"/>
      <c r="Y824" s="447"/>
      <c r="Z824" s="447"/>
      <c r="AA824" s="447"/>
    </row>
    <row r="825" spans="1:27">
      <c r="A825" s="465"/>
      <c r="B825" s="466"/>
      <c r="C825" s="465"/>
      <c r="D825" s="467"/>
      <c r="E825" s="447"/>
      <c r="F825" s="447"/>
      <c r="G825" s="447"/>
      <c r="H825" s="447"/>
      <c r="I825" s="447"/>
      <c r="J825" s="447"/>
      <c r="K825" s="447"/>
      <c r="L825" s="447"/>
      <c r="M825" s="447"/>
      <c r="N825" s="447"/>
      <c r="O825" s="447"/>
      <c r="P825" s="447"/>
      <c r="Q825" s="447"/>
      <c r="R825" s="447"/>
      <c r="S825" s="447"/>
      <c r="T825" s="447"/>
      <c r="U825" s="447"/>
      <c r="V825" s="447"/>
      <c r="W825" s="447"/>
      <c r="X825" s="447"/>
      <c r="Y825" s="447"/>
      <c r="Z825" s="447"/>
      <c r="AA825" s="447"/>
    </row>
    <row r="826" spans="1:27">
      <c r="A826" s="465"/>
      <c r="B826" s="466"/>
      <c r="C826" s="465"/>
      <c r="D826" s="467"/>
      <c r="E826" s="447"/>
      <c r="F826" s="447"/>
      <c r="G826" s="447"/>
      <c r="H826" s="447"/>
      <c r="I826" s="447"/>
      <c r="J826" s="447"/>
      <c r="K826" s="447"/>
      <c r="L826" s="447"/>
      <c r="M826" s="447"/>
      <c r="N826" s="447"/>
      <c r="O826" s="447"/>
      <c r="P826" s="447"/>
      <c r="Q826" s="447"/>
      <c r="R826" s="447"/>
      <c r="S826" s="447"/>
      <c r="T826" s="447"/>
      <c r="U826" s="447"/>
      <c r="V826" s="447"/>
      <c r="W826" s="447"/>
      <c r="X826" s="447"/>
      <c r="Y826" s="447"/>
      <c r="Z826" s="447"/>
      <c r="AA826" s="447"/>
    </row>
    <row r="827" spans="1:27">
      <c r="A827" s="465"/>
      <c r="B827" s="466"/>
      <c r="C827" s="465"/>
      <c r="D827" s="467"/>
      <c r="E827" s="447"/>
      <c r="F827" s="447"/>
      <c r="G827" s="447"/>
      <c r="H827" s="447"/>
      <c r="I827" s="447"/>
      <c r="J827" s="447"/>
      <c r="K827" s="447"/>
      <c r="L827" s="447"/>
      <c r="M827" s="447"/>
      <c r="N827" s="447"/>
      <c r="O827" s="447"/>
      <c r="P827" s="447"/>
      <c r="Q827" s="447"/>
      <c r="R827" s="447"/>
      <c r="S827" s="447"/>
      <c r="T827" s="447"/>
      <c r="U827" s="447"/>
      <c r="V827" s="447"/>
      <c r="W827" s="447"/>
      <c r="X827" s="447"/>
      <c r="Y827" s="447"/>
      <c r="Z827" s="447"/>
      <c r="AA827" s="447"/>
    </row>
    <row r="828" spans="1:27">
      <c r="A828" s="465"/>
      <c r="B828" s="466"/>
      <c r="C828" s="465"/>
      <c r="D828" s="467"/>
      <c r="E828" s="447"/>
      <c r="F828" s="447"/>
      <c r="G828" s="447"/>
      <c r="H828" s="447"/>
      <c r="I828" s="447"/>
      <c r="J828" s="447"/>
      <c r="K828" s="447"/>
      <c r="L828" s="447"/>
      <c r="M828" s="447"/>
      <c r="N828" s="447"/>
      <c r="O828" s="447"/>
      <c r="P828" s="447"/>
      <c r="Q828" s="447"/>
      <c r="R828" s="447"/>
      <c r="S828" s="447"/>
      <c r="T828" s="447"/>
      <c r="U828" s="447"/>
      <c r="V828" s="447"/>
      <c r="W828" s="447"/>
      <c r="X828" s="447"/>
      <c r="Y828" s="447"/>
      <c r="Z828" s="447"/>
      <c r="AA828" s="447"/>
    </row>
    <row r="829" spans="1:27">
      <c r="A829" s="465"/>
      <c r="B829" s="466"/>
      <c r="C829" s="465"/>
      <c r="D829" s="467"/>
      <c r="E829" s="447"/>
      <c r="F829" s="447"/>
      <c r="G829" s="447"/>
      <c r="H829" s="447"/>
      <c r="I829" s="447"/>
      <c r="J829" s="447"/>
      <c r="K829" s="447"/>
      <c r="L829" s="447"/>
      <c r="M829" s="447"/>
      <c r="N829" s="447"/>
      <c r="O829" s="447"/>
      <c r="P829" s="447"/>
      <c r="Q829" s="447"/>
      <c r="R829" s="447"/>
      <c r="S829" s="447"/>
      <c r="T829" s="447"/>
      <c r="U829" s="447"/>
      <c r="V829" s="447"/>
      <c r="W829" s="447"/>
      <c r="X829" s="447"/>
      <c r="Y829" s="447"/>
      <c r="Z829" s="447"/>
      <c r="AA829" s="447"/>
    </row>
    <row r="830" spans="1:27">
      <c r="A830" s="465"/>
      <c r="B830" s="466"/>
      <c r="C830" s="465"/>
      <c r="D830" s="467"/>
      <c r="E830" s="447"/>
      <c r="F830" s="447"/>
      <c r="G830" s="447"/>
      <c r="H830" s="447"/>
      <c r="I830" s="447"/>
      <c r="J830" s="447"/>
      <c r="K830" s="447"/>
      <c r="L830" s="447"/>
      <c r="M830" s="447"/>
      <c r="N830" s="447"/>
      <c r="O830" s="447"/>
      <c r="P830" s="447"/>
      <c r="Q830" s="447"/>
      <c r="R830" s="447"/>
      <c r="S830" s="447"/>
      <c r="T830" s="447"/>
      <c r="U830" s="447"/>
      <c r="V830" s="447"/>
      <c r="W830" s="447"/>
      <c r="X830" s="447"/>
      <c r="Y830" s="447"/>
      <c r="Z830" s="447"/>
      <c r="AA830" s="447"/>
    </row>
    <row r="831" spans="1:27">
      <c r="A831" s="465"/>
      <c r="B831" s="466"/>
      <c r="C831" s="465"/>
      <c r="D831" s="467"/>
      <c r="E831" s="447"/>
      <c r="F831" s="447"/>
      <c r="G831" s="447"/>
      <c r="H831" s="447"/>
      <c r="I831" s="447"/>
      <c r="J831" s="447"/>
      <c r="K831" s="447"/>
      <c r="L831" s="447"/>
      <c r="M831" s="447"/>
      <c r="N831" s="447"/>
      <c r="O831" s="447"/>
      <c r="P831" s="447"/>
      <c r="Q831" s="447"/>
      <c r="R831" s="447"/>
      <c r="S831" s="447"/>
      <c r="T831" s="447"/>
      <c r="U831" s="447"/>
      <c r="V831" s="447"/>
      <c r="W831" s="447"/>
      <c r="X831" s="447"/>
      <c r="Y831" s="447"/>
      <c r="Z831" s="447"/>
      <c r="AA831" s="447"/>
    </row>
    <row r="832" spans="1:27">
      <c r="A832" s="465"/>
      <c r="B832" s="466"/>
      <c r="C832" s="465"/>
      <c r="D832" s="467"/>
      <c r="E832" s="447"/>
      <c r="F832" s="447"/>
      <c r="G832" s="447"/>
      <c r="H832" s="447"/>
      <c r="I832" s="447"/>
      <c r="J832" s="447"/>
      <c r="K832" s="447"/>
      <c r="L832" s="447"/>
      <c r="M832" s="447"/>
      <c r="N832" s="447"/>
      <c r="O832" s="447"/>
      <c r="P832" s="447"/>
      <c r="Q832" s="447"/>
      <c r="R832" s="447"/>
      <c r="S832" s="447"/>
      <c r="T832" s="447"/>
      <c r="U832" s="447"/>
      <c r="V832" s="447"/>
      <c r="W832" s="447"/>
      <c r="X832" s="447"/>
      <c r="Y832" s="447"/>
      <c r="Z832" s="447"/>
      <c r="AA832" s="447"/>
    </row>
    <row r="833" spans="1:27">
      <c r="A833" s="465"/>
      <c r="B833" s="466"/>
      <c r="C833" s="465"/>
      <c r="D833" s="467"/>
      <c r="E833" s="447"/>
      <c r="F833" s="447"/>
      <c r="G833" s="447"/>
      <c r="H833" s="447"/>
      <c r="I833" s="447"/>
      <c r="J833" s="447"/>
      <c r="K833" s="447"/>
      <c r="L833" s="447"/>
      <c r="M833" s="447"/>
      <c r="N833" s="447"/>
      <c r="O833" s="447"/>
      <c r="P833" s="447"/>
      <c r="Q833" s="447"/>
      <c r="R833" s="447"/>
      <c r="S833" s="447"/>
      <c r="T833" s="447"/>
      <c r="U833" s="447"/>
      <c r="V833" s="447"/>
      <c r="W833" s="447"/>
      <c r="X833" s="447"/>
      <c r="Y833" s="447"/>
      <c r="Z833" s="447"/>
      <c r="AA833" s="447"/>
    </row>
    <row r="834" spans="1:27">
      <c r="A834" s="465"/>
      <c r="B834" s="466"/>
      <c r="C834" s="465"/>
      <c r="D834" s="467"/>
      <c r="E834" s="447"/>
      <c r="F834" s="447"/>
      <c r="G834" s="447"/>
      <c r="H834" s="447"/>
      <c r="I834" s="447"/>
      <c r="J834" s="447"/>
      <c r="K834" s="447"/>
      <c r="L834" s="447"/>
      <c r="M834" s="447"/>
      <c r="N834" s="447"/>
      <c r="O834" s="447"/>
      <c r="P834" s="447"/>
      <c r="Q834" s="447"/>
      <c r="R834" s="447"/>
      <c r="S834" s="447"/>
      <c r="T834" s="447"/>
      <c r="U834" s="447"/>
      <c r="V834" s="447"/>
      <c r="W834" s="447"/>
      <c r="X834" s="447"/>
      <c r="Y834" s="447"/>
      <c r="Z834" s="447"/>
      <c r="AA834" s="447"/>
    </row>
    <row r="835" spans="1:27">
      <c r="A835" s="465"/>
      <c r="B835" s="466"/>
      <c r="C835" s="465"/>
      <c r="D835" s="467"/>
      <c r="E835" s="447"/>
      <c r="F835" s="447"/>
      <c r="G835" s="447"/>
      <c r="H835" s="447"/>
      <c r="I835" s="447"/>
      <c r="J835" s="447"/>
      <c r="K835" s="447"/>
      <c r="L835" s="447"/>
      <c r="M835" s="447"/>
      <c r="N835" s="447"/>
      <c r="O835" s="447"/>
      <c r="P835" s="447"/>
      <c r="Q835" s="447"/>
      <c r="R835" s="447"/>
      <c r="S835" s="447"/>
      <c r="T835" s="447"/>
      <c r="U835" s="447"/>
      <c r="V835" s="447"/>
      <c r="W835" s="447"/>
      <c r="X835" s="447"/>
      <c r="Y835" s="447"/>
      <c r="Z835" s="447"/>
      <c r="AA835" s="447"/>
    </row>
    <row r="836" spans="1:27">
      <c r="A836" s="465"/>
      <c r="B836" s="466"/>
      <c r="C836" s="465"/>
      <c r="D836" s="467"/>
      <c r="E836" s="447"/>
      <c r="F836" s="447"/>
      <c r="G836" s="447"/>
      <c r="H836" s="447"/>
      <c r="I836" s="447"/>
      <c r="J836" s="447"/>
      <c r="K836" s="447"/>
      <c r="L836" s="447"/>
      <c r="M836" s="447"/>
      <c r="N836" s="447"/>
      <c r="O836" s="447"/>
      <c r="P836" s="447"/>
      <c r="Q836" s="447"/>
      <c r="R836" s="447"/>
      <c r="S836" s="447"/>
      <c r="T836" s="447"/>
      <c r="U836" s="447"/>
      <c r="V836" s="447"/>
      <c r="W836" s="447"/>
      <c r="X836" s="447"/>
      <c r="Y836" s="447"/>
      <c r="Z836" s="447"/>
      <c r="AA836" s="447"/>
    </row>
    <row r="837" spans="1:27">
      <c r="A837" s="465"/>
      <c r="B837" s="466"/>
      <c r="C837" s="465"/>
      <c r="D837" s="467"/>
      <c r="E837" s="447"/>
      <c r="F837" s="447"/>
      <c r="G837" s="447"/>
      <c r="H837" s="447"/>
      <c r="I837" s="447"/>
      <c r="J837" s="447"/>
      <c r="K837" s="447"/>
      <c r="L837" s="447"/>
      <c r="M837" s="447"/>
      <c r="N837" s="447"/>
      <c r="O837" s="447"/>
      <c r="P837" s="447"/>
      <c r="Q837" s="447"/>
      <c r="R837" s="447"/>
      <c r="S837" s="447"/>
      <c r="T837" s="447"/>
      <c r="U837" s="447"/>
      <c r="V837" s="447"/>
      <c r="W837" s="447"/>
      <c r="X837" s="447"/>
      <c r="Y837" s="447"/>
      <c r="Z837" s="447"/>
      <c r="AA837" s="447"/>
    </row>
    <row r="838" spans="1:27">
      <c r="A838" s="465"/>
      <c r="B838" s="466"/>
      <c r="C838" s="465"/>
      <c r="D838" s="467"/>
      <c r="E838" s="447"/>
      <c r="F838" s="447"/>
      <c r="G838" s="447"/>
      <c r="H838" s="447"/>
      <c r="I838" s="447"/>
      <c r="J838" s="447"/>
      <c r="K838" s="447"/>
      <c r="L838" s="447"/>
      <c r="M838" s="447"/>
      <c r="N838" s="447"/>
      <c r="O838" s="447"/>
      <c r="P838" s="447"/>
      <c r="Q838" s="447"/>
      <c r="R838" s="447"/>
      <c r="S838" s="447"/>
      <c r="T838" s="447"/>
      <c r="U838" s="447"/>
      <c r="V838" s="447"/>
      <c r="W838" s="447"/>
      <c r="X838" s="447"/>
      <c r="Y838" s="447"/>
      <c r="Z838" s="447"/>
      <c r="AA838" s="447"/>
    </row>
    <row r="839" spans="1:27">
      <c r="A839" s="465"/>
      <c r="B839" s="466"/>
      <c r="C839" s="465"/>
      <c r="D839" s="467"/>
      <c r="E839" s="447"/>
      <c r="F839" s="447"/>
      <c r="G839" s="447"/>
      <c r="H839" s="447"/>
      <c r="I839" s="447"/>
      <c r="J839" s="447"/>
      <c r="K839" s="447"/>
      <c r="L839" s="447"/>
      <c r="M839" s="447"/>
      <c r="N839" s="447"/>
      <c r="O839" s="447"/>
      <c r="P839" s="447"/>
      <c r="Q839" s="447"/>
      <c r="R839" s="447"/>
      <c r="S839" s="447"/>
      <c r="T839" s="447"/>
      <c r="U839" s="447"/>
      <c r="V839" s="447"/>
      <c r="W839" s="447"/>
      <c r="X839" s="447"/>
      <c r="Y839" s="447"/>
      <c r="Z839" s="447"/>
      <c r="AA839" s="447"/>
    </row>
    <row r="840" spans="1:27">
      <c r="A840" s="465"/>
      <c r="B840" s="466"/>
      <c r="C840" s="465"/>
      <c r="D840" s="467"/>
      <c r="E840" s="447"/>
      <c r="F840" s="447"/>
      <c r="G840" s="447"/>
      <c r="H840" s="447"/>
      <c r="I840" s="447"/>
      <c r="J840" s="447"/>
      <c r="K840" s="447"/>
      <c r="L840" s="447"/>
      <c r="M840" s="447"/>
      <c r="N840" s="447"/>
      <c r="O840" s="447"/>
      <c r="P840" s="447"/>
      <c r="Q840" s="447"/>
      <c r="R840" s="447"/>
      <c r="S840" s="447"/>
      <c r="T840" s="447"/>
      <c r="U840" s="447"/>
      <c r="V840" s="447"/>
      <c r="W840" s="447"/>
      <c r="X840" s="447"/>
      <c r="Y840" s="447"/>
      <c r="Z840" s="447"/>
      <c r="AA840" s="447"/>
    </row>
    <row r="841" spans="1:27">
      <c r="A841" s="465"/>
      <c r="B841" s="466"/>
      <c r="C841" s="465"/>
      <c r="D841" s="467"/>
      <c r="E841" s="447"/>
      <c r="F841" s="447"/>
      <c r="G841" s="447"/>
      <c r="H841" s="447"/>
      <c r="I841" s="447"/>
      <c r="J841" s="447"/>
      <c r="K841" s="447"/>
      <c r="L841" s="447"/>
      <c r="M841" s="447"/>
      <c r="N841" s="447"/>
      <c r="O841" s="447"/>
      <c r="P841" s="447"/>
      <c r="Q841" s="447"/>
      <c r="R841" s="447"/>
      <c r="S841" s="447"/>
      <c r="T841" s="447"/>
      <c r="U841" s="447"/>
      <c r="V841" s="447"/>
      <c r="W841" s="447"/>
      <c r="X841" s="447"/>
      <c r="Y841" s="447"/>
      <c r="Z841" s="447"/>
      <c r="AA841" s="447"/>
    </row>
    <row r="842" spans="1:27">
      <c r="A842" s="465"/>
      <c r="B842" s="466"/>
      <c r="C842" s="465"/>
      <c r="D842" s="467"/>
      <c r="E842" s="447"/>
      <c r="F842" s="447"/>
      <c r="G842" s="447"/>
      <c r="H842" s="447"/>
      <c r="I842" s="447"/>
      <c r="J842" s="447"/>
      <c r="K842" s="447"/>
      <c r="L842" s="447"/>
      <c r="M842" s="447"/>
      <c r="N842" s="447"/>
      <c r="O842" s="447"/>
      <c r="P842" s="447"/>
      <c r="Q842" s="447"/>
      <c r="R842" s="447"/>
      <c r="S842" s="447"/>
      <c r="T842" s="447"/>
      <c r="U842" s="447"/>
      <c r="V842" s="447"/>
      <c r="W842" s="447"/>
      <c r="X842" s="447"/>
      <c r="Y842" s="447"/>
      <c r="Z842" s="447"/>
      <c r="AA842" s="447"/>
    </row>
    <row r="843" spans="1:27">
      <c r="A843" s="465"/>
      <c r="B843" s="466"/>
      <c r="C843" s="465"/>
      <c r="D843" s="467"/>
      <c r="E843" s="447"/>
      <c r="F843" s="447"/>
      <c r="G843" s="447"/>
      <c r="H843" s="447"/>
      <c r="I843" s="447"/>
      <c r="J843" s="447"/>
      <c r="K843" s="447"/>
      <c r="L843" s="447"/>
      <c r="M843" s="447"/>
      <c r="N843" s="447"/>
      <c r="O843" s="447"/>
      <c r="P843" s="447"/>
      <c r="Q843" s="447"/>
      <c r="R843" s="447"/>
      <c r="S843" s="447"/>
      <c r="T843" s="447"/>
      <c r="U843" s="447"/>
      <c r="V843" s="447"/>
      <c r="W843" s="447"/>
      <c r="X843" s="447"/>
      <c r="Y843" s="447"/>
      <c r="Z843" s="447"/>
      <c r="AA843" s="447"/>
    </row>
    <row r="844" spans="1:27">
      <c r="A844" s="465"/>
      <c r="B844" s="466"/>
      <c r="C844" s="465"/>
      <c r="D844" s="467"/>
      <c r="E844" s="447"/>
      <c r="F844" s="447"/>
      <c r="G844" s="447"/>
      <c r="H844" s="447"/>
      <c r="I844" s="447"/>
      <c r="J844" s="447"/>
      <c r="K844" s="447"/>
      <c r="L844" s="447"/>
      <c r="M844" s="447"/>
      <c r="N844" s="447"/>
      <c r="O844" s="447"/>
      <c r="P844" s="447"/>
      <c r="Q844" s="447"/>
      <c r="R844" s="447"/>
      <c r="S844" s="447"/>
      <c r="T844" s="447"/>
      <c r="U844" s="447"/>
      <c r="V844" s="447"/>
      <c r="W844" s="447"/>
      <c r="X844" s="447"/>
      <c r="Y844" s="447"/>
      <c r="Z844" s="447"/>
      <c r="AA844" s="447"/>
    </row>
    <row r="845" spans="1:27">
      <c r="A845" s="465"/>
      <c r="B845" s="466"/>
      <c r="C845" s="465"/>
      <c r="D845" s="467"/>
      <c r="E845" s="447"/>
      <c r="F845" s="447"/>
      <c r="G845" s="447"/>
      <c r="H845" s="447"/>
      <c r="I845" s="447"/>
      <c r="J845" s="447"/>
      <c r="K845" s="447"/>
      <c r="L845" s="447"/>
      <c r="M845" s="447"/>
      <c r="N845" s="447"/>
      <c r="O845" s="447"/>
      <c r="P845" s="447"/>
      <c r="Q845" s="447"/>
      <c r="R845" s="447"/>
      <c r="S845" s="447"/>
      <c r="T845" s="447"/>
      <c r="U845" s="447"/>
      <c r="V845" s="447"/>
      <c r="W845" s="447"/>
      <c r="X845" s="447"/>
      <c r="Y845" s="447"/>
      <c r="Z845" s="447"/>
      <c r="AA845" s="447"/>
    </row>
    <row r="846" spans="1:27">
      <c r="A846" s="465"/>
      <c r="B846" s="466"/>
      <c r="C846" s="465"/>
      <c r="D846" s="467"/>
      <c r="E846" s="447"/>
      <c r="F846" s="447"/>
      <c r="G846" s="447"/>
      <c r="H846" s="447"/>
      <c r="I846" s="447"/>
      <c r="J846" s="447"/>
      <c r="K846" s="447"/>
      <c r="L846" s="447"/>
      <c r="M846" s="447"/>
      <c r="N846" s="447"/>
      <c r="O846" s="447"/>
      <c r="P846" s="447"/>
      <c r="Q846" s="447"/>
      <c r="R846" s="447"/>
      <c r="S846" s="447"/>
      <c r="T846" s="447"/>
      <c r="U846" s="447"/>
      <c r="V846" s="447"/>
      <c r="W846" s="447"/>
      <c r="X846" s="447"/>
      <c r="Y846" s="447"/>
      <c r="Z846" s="447"/>
      <c r="AA846" s="447"/>
    </row>
    <row r="847" spans="1:27">
      <c r="A847" s="465"/>
      <c r="B847" s="466"/>
      <c r="C847" s="465"/>
      <c r="D847" s="467"/>
      <c r="E847" s="447"/>
      <c r="F847" s="447"/>
      <c r="G847" s="447"/>
      <c r="H847" s="447"/>
      <c r="I847" s="447"/>
      <c r="J847" s="447"/>
      <c r="K847" s="447"/>
      <c r="L847" s="447"/>
      <c r="M847" s="447"/>
      <c r="N847" s="447"/>
      <c r="O847" s="447"/>
      <c r="P847" s="447"/>
      <c r="Q847" s="447"/>
      <c r="R847" s="447"/>
      <c r="S847" s="447"/>
      <c r="T847" s="447"/>
      <c r="U847" s="447"/>
      <c r="V847" s="447"/>
      <c r="W847" s="447"/>
      <c r="X847" s="447"/>
      <c r="Y847" s="447"/>
      <c r="Z847" s="447"/>
      <c r="AA847" s="447"/>
    </row>
    <row r="848" spans="1:27">
      <c r="A848" s="465"/>
      <c r="B848" s="466"/>
      <c r="C848" s="465"/>
      <c r="D848" s="467"/>
      <c r="E848" s="447"/>
      <c r="F848" s="447"/>
      <c r="G848" s="447"/>
      <c r="H848" s="447"/>
      <c r="I848" s="447"/>
      <c r="J848" s="447"/>
      <c r="K848" s="447"/>
      <c r="L848" s="447"/>
      <c r="M848" s="447"/>
      <c r="N848" s="447"/>
      <c r="O848" s="447"/>
      <c r="P848" s="447"/>
      <c r="Q848" s="447"/>
      <c r="R848" s="447"/>
      <c r="S848" s="447"/>
      <c r="T848" s="447"/>
      <c r="U848" s="447"/>
      <c r="V848" s="447"/>
      <c r="W848" s="447"/>
      <c r="X848" s="447"/>
      <c r="Y848" s="447"/>
      <c r="Z848" s="447"/>
      <c r="AA848" s="447"/>
    </row>
    <row r="849" spans="1:27">
      <c r="A849" s="465"/>
      <c r="B849" s="466"/>
      <c r="C849" s="465"/>
      <c r="D849" s="467"/>
      <c r="E849" s="447"/>
      <c r="F849" s="447"/>
      <c r="G849" s="447"/>
      <c r="H849" s="447"/>
      <c r="I849" s="447"/>
      <c r="J849" s="447"/>
      <c r="K849" s="447"/>
      <c r="L849" s="447"/>
      <c r="M849" s="447"/>
      <c r="N849" s="447"/>
      <c r="O849" s="447"/>
      <c r="P849" s="447"/>
      <c r="Q849" s="447"/>
      <c r="R849" s="447"/>
      <c r="S849" s="447"/>
      <c r="T849" s="447"/>
      <c r="U849" s="447"/>
      <c r="V849" s="447"/>
      <c r="W849" s="447"/>
      <c r="X849" s="447"/>
      <c r="Y849" s="447"/>
      <c r="Z849" s="447"/>
      <c r="AA849" s="447"/>
    </row>
    <row r="850" spans="1:27">
      <c r="A850" s="465"/>
      <c r="B850" s="466"/>
      <c r="C850" s="465"/>
      <c r="D850" s="467"/>
      <c r="E850" s="447"/>
      <c r="F850" s="447"/>
      <c r="G850" s="447"/>
      <c r="H850" s="447"/>
      <c r="I850" s="447"/>
      <c r="J850" s="447"/>
      <c r="K850" s="447"/>
      <c r="L850" s="447"/>
      <c r="M850" s="447"/>
      <c r="N850" s="447"/>
      <c r="O850" s="447"/>
      <c r="P850" s="447"/>
      <c r="Q850" s="447"/>
      <c r="R850" s="447"/>
      <c r="S850" s="447"/>
      <c r="T850" s="447"/>
      <c r="U850" s="447"/>
      <c r="V850" s="447"/>
      <c r="W850" s="447"/>
      <c r="X850" s="447"/>
      <c r="Y850" s="447"/>
      <c r="Z850" s="447"/>
      <c r="AA850" s="447"/>
    </row>
    <row r="851" spans="1:27">
      <c r="A851" s="465"/>
      <c r="B851" s="466"/>
      <c r="C851" s="465"/>
      <c r="D851" s="467"/>
      <c r="E851" s="447"/>
      <c r="F851" s="447"/>
      <c r="G851" s="447"/>
      <c r="H851" s="447"/>
      <c r="I851" s="447"/>
      <c r="J851" s="447"/>
      <c r="K851" s="447"/>
      <c r="L851" s="447"/>
      <c r="M851" s="447"/>
      <c r="N851" s="447"/>
      <c r="O851" s="447"/>
      <c r="P851" s="447"/>
      <c r="Q851" s="447"/>
      <c r="R851" s="447"/>
      <c r="S851" s="447"/>
      <c r="T851" s="447"/>
      <c r="U851" s="447"/>
      <c r="V851" s="447"/>
      <c r="W851" s="447"/>
      <c r="X851" s="447"/>
      <c r="Y851" s="447"/>
      <c r="Z851" s="447"/>
      <c r="AA851" s="447"/>
    </row>
    <row r="852" spans="1:27">
      <c r="A852" s="465"/>
      <c r="B852" s="466"/>
      <c r="C852" s="465"/>
      <c r="D852" s="467"/>
      <c r="E852" s="447"/>
      <c r="F852" s="447"/>
      <c r="G852" s="447"/>
      <c r="H852" s="447"/>
      <c r="I852" s="447"/>
      <c r="J852" s="447"/>
      <c r="K852" s="447"/>
      <c r="L852" s="447"/>
      <c r="M852" s="447"/>
      <c r="N852" s="447"/>
      <c r="O852" s="447"/>
      <c r="P852" s="447"/>
      <c r="Q852" s="447"/>
      <c r="R852" s="447"/>
      <c r="S852" s="447"/>
      <c r="T852" s="447"/>
      <c r="U852" s="447"/>
      <c r="V852" s="447"/>
      <c r="W852" s="447"/>
      <c r="X852" s="447"/>
      <c r="Y852" s="447"/>
      <c r="Z852" s="447"/>
      <c r="AA852" s="447"/>
    </row>
    <row r="853" spans="1:27">
      <c r="A853" s="465"/>
      <c r="B853" s="466"/>
      <c r="C853" s="465"/>
      <c r="D853" s="467"/>
      <c r="E853" s="447"/>
      <c r="F853" s="447"/>
      <c r="G853" s="447"/>
      <c r="H853" s="447"/>
      <c r="I853" s="447"/>
      <c r="J853" s="447"/>
      <c r="K853" s="447"/>
      <c r="L853" s="447"/>
      <c r="M853" s="447"/>
      <c r="N853" s="447"/>
      <c r="O853" s="447"/>
      <c r="P853" s="447"/>
      <c r="Q853" s="447"/>
      <c r="R853" s="447"/>
      <c r="S853" s="447"/>
      <c r="T853" s="447"/>
      <c r="U853" s="447"/>
      <c r="V853" s="447"/>
      <c r="W853" s="447"/>
      <c r="X853" s="447"/>
      <c r="Y853" s="447"/>
      <c r="Z853" s="447"/>
      <c r="AA853" s="447"/>
    </row>
    <row r="854" spans="1:27">
      <c r="A854" s="465"/>
      <c r="B854" s="466"/>
      <c r="C854" s="465"/>
      <c r="D854" s="467"/>
      <c r="E854" s="447"/>
      <c r="F854" s="447"/>
      <c r="G854" s="447"/>
      <c r="H854" s="447"/>
      <c r="I854" s="447"/>
      <c r="J854" s="447"/>
      <c r="K854" s="447"/>
      <c r="L854" s="447"/>
      <c r="M854" s="447"/>
      <c r="N854" s="447"/>
      <c r="O854" s="447"/>
      <c r="P854" s="447"/>
      <c r="Q854" s="447"/>
      <c r="R854" s="447"/>
      <c r="S854" s="447"/>
      <c r="T854" s="447"/>
      <c r="U854" s="447"/>
      <c r="V854" s="447"/>
      <c r="W854" s="447"/>
      <c r="X854" s="447"/>
      <c r="Y854" s="447"/>
      <c r="Z854" s="447"/>
      <c r="AA854" s="447"/>
    </row>
    <row r="855" spans="1:27">
      <c r="A855" s="465"/>
      <c r="B855" s="466"/>
      <c r="C855" s="465"/>
      <c r="D855" s="467"/>
      <c r="E855" s="447"/>
      <c r="F855" s="447"/>
      <c r="G855" s="447"/>
      <c r="H855" s="447"/>
      <c r="I855" s="447"/>
      <c r="J855" s="447"/>
      <c r="K855" s="447"/>
      <c r="L855" s="447"/>
      <c r="M855" s="447"/>
      <c r="N855" s="447"/>
      <c r="O855" s="447"/>
      <c r="P855" s="447"/>
      <c r="Q855" s="447"/>
      <c r="R855" s="447"/>
      <c r="S855" s="447"/>
      <c r="T855" s="447"/>
      <c r="U855" s="447"/>
      <c r="V855" s="447"/>
      <c r="W855" s="447"/>
      <c r="X855" s="447"/>
      <c r="Y855" s="447"/>
      <c r="Z855" s="447"/>
      <c r="AA855" s="447"/>
    </row>
    <row r="856" spans="1:27">
      <c r="A856" s="465"/>
      <c r="B856" s="466"/>
      <c r="C856" s="465"/>
      <c r="D856" s="467"/>
      <c r="E856" s="447"/>
      <c r="F856" s="447"/>
      <c r="G856" s="447"/>
      <c r="H856" s="447"/>
      <c r="I856" s="447"/>
      <c r="J856" s="447"/>
      <c r="K856" s="447"/>
      <c r="L856" s="447"/>
      <c r="M856" s="447"/>
      <c r="N856" s="447"/>
      <c r="O856" s="447"/>
      <c r="P856" s="447"/>
      <c r="Q856" s="447"/>
      <c r="R856" s="447"/>
      <c r="S856" s="447"/>
      <c r="T856" s="447"/>
      <c r="U856" s="447"/>
      <c r="V856" s="447"/>
      <c r="W856" s="447"/>
      <c r="X856" s="447"/>
      <c r="Y856" s="447"/>
      <c r="Z856" s="447"/>
      <c r="AA856" s="447"/>
    </row>
    <row r="857" spans="1:27">
      <c r="A857" s="465"/>
      <c r="B857" s="466"/>
      <c r="C857" s="465"/>
      <c r="D857" s="467"/>
      <c r="E857" s="447"/>
      <c r="F857" s="447"/>
      <c r="G857" s="447"/>
      <c r="H857" s="447"/>
      <c r="I857" s="447"/>
      <c r="J857" s="447"/>
      <c r="K857" s="447"/>
      <c r="L857" s="447"/>
      <c r="M857" s="447"/>
      <c r="N857" s="447"/>
      <c r="O857" s="447"/>
      <c r="P857" s="447"/>
      <c r="Q857" s="447"/>
      <c r="R857" s="447"/>
      <c r="S857" s="447"/>
      <c r="T857" s="447"/>
      <c r="U857" s="447"/>
      <c r="V857" s="447"/>
      <c r="W857" s="447"/>
      <c r="X857" s="447"/>
      <c r="Y857" s="447"/>
      <c r="Z857" s="447"/>
      <c r="AA857" s="447"/>
    </row>
    <row r="858" spans="1:27">
      <c r="A858" s="465"/>
      <c r="B858" s="466"/>
      <c r="C858" s="465"/>
      <c r="D858" s="467"/>
      <c r="E858" s="447"/>
      <c r="F858" s="447"/>
      <c r="G858" s="447"/>
      <c r="H858" s="447"/>
      <c r="I858" s="447"/>
      <c r="J858" s="447"/>
      <c r="K858" s="447"/>
      <c r="L858" s="447"/>
      <c r="M858" s="447"/>
      <c r="N858" s="447"/>
      <c r="O858" s="447"/>
      <c r="P858" s="447"/>
      <c r="Q858" s="447"/>
      <c r="R858" s="447"/>
      <c r="S858" s="447"/>
      <c r="T858" s="447"/>
      <c r="U858" s="447"/>
      <c r="V858" s="447"/>
      <c r="W858" s="447"/>
      <c r="X858" s="447"/>
      <c r="Y858" s="447"/>
      <c r="Z858" s="447"/>
      <c r="AA858" s="447"/>
    </row>
    <row r="859" spans="1:27">
      <c r="A859" s="465"/>
      <c r="B859" s="466"/>
      <c r="C859" s="465"/>
      <c r="D859" s="467"/>
      <c r="E859" s="447"/>
      <c r="F859" s="447"/>
      <c r="G859" s="447"/>
      <c r="H859" s="447"/>
      <c r="I859" s="447"/>
      <c r="J859" s="447"/>
      <c r="K859" s="447"/>
      <c r="L859" s="447"/>
      <c r="M859" s="447"/>
      <c r="N859" s="447"/>
      <c r="O859" s="447"/>
      <c r="P859" s="447"/>
      <c r="Q859" s="447"/>
      <c r="R859" s="447"/>
      <c r="S859" s="447"/>
      <c r="T859" s="447"/>
      <c r="U859" s="447"/>
      <c r="V859" s="447"/>
      <c r="W859" s="447"/>
      <c r="X859" s="447"/>
      <c r="Y859" s="447"/>
      <c r="Z859" s="447"/>
      <c r="AA859" s="447"/>
    </row>
    <row r="860" spans="1:27">
      <c r="A860" s="465"/>
      <c r="B860" s="466"/>
      <c r="C860" s="465"/>
      <c r="D860" s="467"/>
      <c r="E860" s="447"/>
      <c r="F860" s="447"/>
      <c r="G860" s="447"/>
      <c r="H860" s="447"/>
      <c r="I860" s="447"/>
      <c r="J860" s="447"/>
      <c r="K860" s="447"/>
      <c r="L860" s="447"/>
      <c r="M860" s="447"/>
      <c r="N860" s="447"/>
      <c r="O860" s="447"/>
      <c r="P860" s="447"/>
      <c r="Q860" s="447"/>
      <c r="R860" s="447"/>
      <c r="S860" s="447"/>
      <c r="T860" s="447"/>
      <c r="U860" s="447"/>
      <c r="V860" s="447"/>
      <c r="W860" s="447"/>
      <c r="X860" s="447"/>
      <c r="Y860" s="447"/>
      <c r="Z860" s="447"/>
      <c r="AA860" s="447"/>
    </row>
    <row r="861" spans="1:27">
      <c r="A861" s="465"/>
      <c r="B861" s="466"/>
      <c r="C861" s="465"/>
      <c r="D861" s="467"/>
      <c r="E861" s="447"/>
      <c r="F861" s="447"/>
      <c r="G861" s="447"/>
      <c r="H861" s="447"/>
      <c r="I861" s="447"/>
      <c r="J861" s="447"/>
      <c r="K861" s="447"/>
      <c r="L861" s="447"/>
      <c r="M861" s="447"/>
      <c r="N861" s="447"/>
      <c r="O861" s="447"/>
      <c r="P861" s="447"/>
      <c r="Q861" s="447"/>
      <c r="R861" s="447"/>
      <c r="S861" s="447"/>
      <c r="T861" s="447"/>
      <c r="U861" s="447"/>
      <c r="V861" s="447"/>
      <c r="W861" s="447"/>
      <c r="X861" s="447"/>
      <c r="Y861" s="447"/>
      <c r="Z861" s="447"/>
      <c r="AA861" s="447"/>
    </row>
    <row r="862" spans="1:27">
      <c r="A862" s="465"/>
      <c r="B862" s="466"/>
      <c r="C862" s="465"/>
      <c r="D862" s="467"/>
      <c r="E862" s="447"/>
      <c r="F862" s="447"/>
      <c r="G862" s="447"/>
      <c r="H862" s="447"/>
      <c r="I862" s="447"/>
      <c r="J862" s="447"/>
      <c r="K862" s="447"/>
      <c r="L862" s="447"/>
      <c r="M862" s="447"/>
      <c r="N862" s="447"/>
      <c r="O862" s="447"/>
      <c r="P862" s="447"/>
      <c r="Q862" s="447"/>
      <c r="R862" s="447"/>
      <c r="S862" s="447"/>
      <c r="T862" s="447"/>
      <c r="U862" s="447"/>
      <c r="V862" s="447"/>
      <c r="W862" s="447"/>
      <c r="X862" s="447"/>
      <c r="Y862" s="447"/>
      <c r="Z862" s="447"/>
      <c r="AA862" s="447"/>
    </row>
    <row r="863" spans="1:27">
      <c r="A863" s="465"/>
      <c r="B863" s="466"/>
      <c r="C863" s="465"/>
      <c r="D863" s="467"/>
      <c r="E863" s="447"/>
      <c r="F863" s="447"/>
      <c r="G863" s="447"/>
      <c r="H863" s="447"/>
      <c r="I863" s="447"/>
      <c r="J863" s="447"/>
      <c r="K863" s="447"/>
      <c r="L863" s="447"/>
      <c r="M863" s="447"/>
      <c r="N863" s="447"/>
      <c r="O863" s="447"/>
      <c r="P863" s="447"/>
      <c r="Q863" s="447"/>
      <c r="R863" s="447"/>
      <c r="S863" s="447"/>
      <c r="T863" s="447"/>
      <c r="U863" s="447"/>
      <c r="V863" s="447"/>
      <c r="W863" s="447"/>
      <c r="X863" s="447"/>
      <c r="Y863" s="447"/>
      <c r="Z863" s="447"/>
      <c r="AA863" s="447"/>
    </row>
    <row r="864" spans="1:27">
      <c r="A864" s="465"/>
      <c r="B864" s="466"/>
      <c r="C864" s="465"/>
      <c r="D864" s="467"/>
      <c r="E864" s="447"/>
      <c r="F864" s="447"/>
      <c r="G864" s="447"/>
      <c r="H864" s="447"/>
      <c r="I864" s="447"/>
      <c r="J864" s="447"/>
      <c r="K864" s="447"/>
      <c r="L864" s="447"/>
      <c r="M864" s="447"/>
      <c r="N864" s="447"/>
      <c r="O864" s="447"/>
      <c r="P864" s="447"/>
      <c r="Q864" s="447"/>
      <c r="R864" s="447"/>
      <c r="S864" s="447"/>
      <c r="T864" s="447"/>
      <c r="U864" s="447"/>
      <c r="V864" s="447"/>
      <c r="W864" s="447"/>
      <c r="X864" s="447"/>
      <c r="Y864" s="447"/>
      <c r="Z864" s="447"/>
      <c r="AA864" s="447"/>
    </row>
    <row r="865" spans="1:27">
      <c r="A865" s="465"/>
      <c r="B865" s="466"/>
      <c r="C865" s="465"/>
      <c r="D865" s="467"/>
      <c r="E865" s="447"/>
      <c r="F865" s="447"/>
      <c r="G865" s="447"/>
      <c r="H865" s="447"/>
      <c r="I865" s="447"/>
      <c r="J865" s="447"/>
      <c r="K865" s="447"/>
      <c r="L865" s="447"/>
      <c r="M865" s="447"/>
      <c r="N865" s="447"/>
      <c r="O865" s="447"/>
      <c r="P865" s="447"/>
      <c r="Q865" s="447"/>
      <c r="R865" s="447"/>
      <c r="S865" s="447"/>
      <c r="T865" s="447"/>
      <c r="U865" s="447"/>
      <c r="V865" s="447"/>
      <c r="W865" s="447"/>
      <c r="X865" s="447"/>
      <c r="Y865" s="447"/>
      <c r="Z865" s="447"/>
      <c r="AA865" s="447"/>
    </row>
    <row r="866" spans="1:27">
      <c r="A866" s="465"/>
      <c r="B866" s="466"/>
      <c r="C866" s="465"/>
      <c r="D866" s="467"/>
      <c r="E866" s="447"/>
      <c r="F866" s="447"/>
      <c r="G866" s="447"/>
      <c r="H866" s="447"/>
      <c r="I866" s="447"/>
      <c r="J866" s="447"/>
      <c r="K866" s="447"/>
      <c r="L866" s="447"/>
      <c r="M866" s="447"/>
      <c r="N866" s="447"/>
      <c r="O866" s="447"/>
      <c r="P866" s="447"/>
      <c r="Q866" s="447"/>
      <c r="R866" s="447"/>
      <c r="S866" s="447"/>
      <c r="T866" s="447"/>
      <c r="U866" s="447"/>
      <c r="V866" s="447"/>
      <c r="W866" s="447"/>
      <c r="X866" s="447"/>
      <c r="Y866" s="447"/>
      <c r="Z866" s="447"/>
      <c r="AA866" s="447"/>
    </row>
    <row r="867" spans="1:27">
      <c r="A867" s="465"/>
      <c r="B867" s="466"/>
      <c r="C867" s="465"/>
      <c r="D867" s="467"/>
      <c r="E867" s="447"/>
      <c r="F867" s="447"/>
      <c r="G867" s="447"/>
      <c r="H867" s="447"/>
      <c r="I867" s="447"/>
      <c r="J867" s="447"/>
      <c r="K867" s="447"/>
      <c r="L867" s="447"/>
      <c r="M867" s="447"/>
      <c r="N867" s="447"/>
      <c r="O867" s="447"/>
      <c r="P867" s="447"/>
      <c r="Q867" s="447"/>
      <c r="R867" s="447"/>
      <c r="S867" s="447"/>
      <c r="T867" s="447"/>
      <c r="U867" s="447"/>
      <c r="V867" s="447"/>
      <c r="W867" s="447"/>
      <c r="X867" s="447"/>
      <c r="Y867" s="447"/>
      <c r="Z867" s="447"/>
      <c r="AA867" s="447"/>
    </row>
    <row r="868" spans="1:27">
      <c r="A868" s="465"/>
      <c r="B868" s="466"/>
      <c r="C868" s="465"/>
      <c r="D868" s="467"/>
      <c r="E868" s="447"/>
      <c r="F868" s="447"/>
      <c r="G868" s="447"/>
      <c r="H868" s="447"/>
      <c r="I868" s="447"/>
      <c r="J868" s="447"/>
      <c r="K868" s="447"/>
      <c r="L868" s="447"/>
      <c r="M868" s="447"/>
      <c r="N868" s="447"/>
      <c r="O868" s="447"/>
      <c r="P868" s="447"/>
      <c r="Q868" s="447"/>
      <c r="R868" s="447"/>
      <c r="S868" s="447"/>
      <c r="T868" s="447"/>
      <c r="U868" s="447"/>
      <c r="V868" s="447"/>
      <c r="W868" s="447"/>
      <c r="X868" s="447"/>
      <c r="Y868" s="447"/>
      <c r="Z868" s="447"/>
      <c r="AA868" s="447"/>
    </row>
    <row r="869" spans="1:27">
      <c r="A869" s="465"/>
      <c r="B869" s="466"/>
      <c r="C869" s="465"/>
      <c r="D869" s="467"/>
      <c r="E869" s="447"/>
      <c r="F869" s="447"/>
      <c r="G869" s="447"/>
      <c r="H869" s="447"/>
      <c r="I869" s="447"/>
      <c r="J869" s="447"/>
      <c r="K869" s="447"/>
      <c r="L869" s="447"/>
      <c r="M869" s="447"/>
      <c r="N869" s="447"/>
      <c r="O869" s="447"/>
      <c r="P869" s="447"/>
      <c r="Q869" s="447"/>
      <c r="R869" s="447"/>
      <c r="S869" s="447"/>
      <c r="T869" s="447"/>
      <c r="U869" s="447"/>
      <c r="V869" s="447"/>
      <c r="W869" s="447"/>
      <c r="X869" s="447"/>
      <c r="Y869" s="447"/>
      <c r="Z869" s="447"/>
      <c r="AA869" s="447"/>
    </row>
    <row r="870" spans="1:27">
      <c r="A870" s="465"/>
      <c r="B870" s="466"/>
      <c r="C870" s="465"/>
      <c r="D870" s="467"/>
      <c r="E870" s="447"/>
      <c r="F870" s="447"/>
      <c r="G870" s="447"/>
      <c r="H870" s="447"/>
      <c r="I870" s="447"/>
      <c r="J870" s="447"/>
      <c r="K870" s="447"/>
      <c r="L870" s="447"/>
      <c r="M870" s="447"/>
      <c r="N870" s="447"/>
      <c r="O870" s="447"/>
      <c r="P870" s="447"/>
      <c r="Q870" s="447"/>
      <c r="R870" s="447"/>
      <c r="S870" s="447"/>
      <c r="T870" s="447"/>
      <c r="U870" s="447"/>
      <c r="V870" s="447"/>
      <c r="W870" s="447"/>
      <c r="X870" s="447"/>
      <c r="Y870" s="447"/>
      <c r="Z870" s="447"/>
      <c r="AA870" s="447"/>
    </row>
    <row r="871" spans="1:27">
      <c r="A871" s="465"/>
      <c r="B871" s="466"/>
      <c r="C871" s="465"/>
      <c r="D871" s="467"/>
      <c r="E871" s="447"/>
      <c r="F871" s="447"/>
      <c r="G871" s="447"/>
      <c r="H871" s="447"/>
      <c r="I871" s="447"/>
      <c r="J871" s="447"/>
      <c r="K871" s="447"/>
      <c r="L871" s="447"/>
      <c r="M871" s="447"/>
      <c r="N871" s="447"/>
      <c r="O871" s="447"/>
      <c r="P871" s="447"/>
      <c r="Q871" s="447"/>
      <c r="R871" s="447"/>
      <c r="S871" s="447"/>
      <c r="T871" s="447"/>
      <c r="U871" s="447"/>
      <c r="V871" s="447"/>
      <c r="W871" s="447"/>
      <c r="X871" s="447"/>
      <c r="Y871" s="447"/>
      <c r="Z871" s="447"/>
      <c r="AA871" s="447"/>
    </row>
    <row r="872" spans="1:27">
      <c r="A872" s="465"/>
      <c r="B872" s="466"/>
      <c r="C872" s="465"/>
      <c r="D872" s="467"/>
      <c r="E872" s="447"/>
      <c r="F872" s="447"/>
      <c r="G872" s="447"/>
      <c r="H872" s="447"/>
      <c r="I872" s="447"/>
      <c r="J872" s="447"/>
      <c r="K872" s="447"/>
      <c r="L872" s="447"/>
      <c r="M872" s="447"/>
      <c r="N872" s="447"/>
      <c r="O872" s="447"/>
      <c r="P872" s="447"/>
      <c r="Q872" s="447"/>
      <c r="R872" s="447"/>
      <c r="S872" s="447"/>
      <c r="T872" s="447"/>
      <c r="U872" s="447"/>
      <c r="V872" s="447"/>
      <c r="W872" s="447"/>
      <c r="X872" s="447"/>
      <c r="Y872" s="447"/>
      <c r="Z872" s="447"/>
      <c r="AA872" s="447"/>
    </row>
    <row r="873" spans="1:27">
      <c r="A873" s="465"/>
      <c r="B873" s="466"/>
      <c r="C873" s="465"/>
      <c r="D873" s="467"/>
      <c r="E873" s="447"/>
      <c r="F873" s="447"/>
      <c r="G873" s="447"/>
      <c r="H873" s="447"/>
      <c r="I873" s="447"/>
      <c r="J873" s="447"/>
      <c r="K873" s="447"/>
      <c r="L873" s="447"/>
      <c r="M873" s="447"/>
      <c r="N873" s="447"/>
      <c r="O873" s="447"/>
      <c r="P873" s="447"/>
      <c r="Q873" s="447"/>
      <c r="R873" s="447"/>
      <c r="S873" s="447"/>
      <c r="T873" s="447"/>
      <c r="U873" s="447"/>
      <c r="V873" s="447"/>
      <c r="W873" s="447"/>
      <c r="X873" s="447"/>
      <c r="Y873" s="447"/>
      <c r="Z873" s="447"/>
      <c r="AA873" s="447"/>
    </row>
    <row r="874" spans="1:27">
      <c r="A874" s="465"/>
      <c r="B874" s="466"/>
      <c r="C874" s="465"/>
      <c r="D874" s="467"/>
      <c r="E874" s="447"/>
      <c r="F874" s="447"/>
      <c r="G874" s="447"/>
      <c r="H874" s="447"/>
      <c r="I874" s="447"/>
      <c r="J874" s="447"/>
      <c r="K874" s="447"/>
      <c r="L874" s="447"/>
      <c r="M874" s="447"/>
      <c r="N874" s="447"/>
      <c r="O874" s="447"/>
      <c r="P874" s="447"/>
      <c r="Q874" s="447"/>
      <c r="R874" s="447"/>
      <c r="S874" s="447"/>
      <c r="T874" s="447"/>
      <c r="U874" s="447"/>
      <c r="V874" s="447"/>
      <c r="W874" s="447"/>
      <c r="X874" s="447"/>
      <c r="Y874" s="447"/>
      <c r="Z874" s="447"/>
      <c r="AA874" s="447"/>
    </row>
    <row r="875" spans="1:27">
      <c r="A875" s="465"/>
      <c r="B875" s="466"/>
      <c r="C875" s="465"/>
      <c r="D875" s="467"/>
      <c r="E875" s="447"/>
      <c r="F875" s="447"/>
      <c r="G875" s="447"/>
      <c r="H875" s="447"/>
      <c r="I875" s="447"/>
      <c r="J875" s="447"/>
      <c r="K875" s="447"/>
      <c r="L875" s="447"/>
      <c r="M875" s="447"/>
      <c r="N875" s="447"/>
      <c r="O875" s="447"/>
      <c r="P875" s="447"/>
      <c r="Q875" s="447"/>
      <c r="R875" s="447"/>
      <c r="S875" s="447"/>
      <c r="T875" s="447"/>
      <c r="U875" s="447"/>
      <c r="V875" s="447"/>
      <c r="W875" s="447"/>
      <c r="X875" s="447"/>
      <c r="Y875" s="447"/>
      <c r="Z875" s="447"/>
      <c r="AA875" s="447"/>
    </row>
    <row r="876" spans="1:27">
      <c r="A876" s="465"/>
      <c r="B876" s="466"/>
      <c r="C876" s="465"/>
      <c r="D876" s="467"/>
      <c r="E876" s="447"/>
      <c r="F876" s="447"/>
      <c r="G876" s="447"/>
      <c r="H876" s="447"/>
      <c r="I876" s="447"/>
      <c r="J876" s="447"/>
      <c r="K876" s="447"/>
      <c r="L876" s="447"/>
      <c r="M876" s="447"/>
      <c r="N876" s="447"/>
      <c r="O876" s="447"/>
      <c r="P876" s="447"/>
      <c r="Q876" s="447"/>
      <c r="R876" s="447"/>
      <c r="S876" s="447"/>
      <c r="T876" s="447"/>
      <c r="U876" s="447"/>
      <c r="V876" s="447"/>
      <c r="W876" s="447"/>
      <c r="X876" s="447"/>
      <c r="Y876" s="447"/>
      <c r="Z876" s="447"/>
      <c r="AA876" s="447"/>
    </row>
    <row r="877" spans="1:27">
      <c r="A877" s="465"/>
      <c r="B877" s="466"/>
      <c r="C877" s="465"/>
      <c r="D877" s="467"/>
      <c r="E877" s="447"/>
      <c r="F877" s="447"/>
      <c r="G877" s="447"/>
      <c r="H877" s="447"/>
      <c r="I877" s="447"/>
      <c r="J877" s="447"/>
      <c r="K877" s="447"/>
      <c r="L877" s="447"/>
      <c r="M877" s="447"/>
      <c r="N877" s="447"/>
      <c r="O877" s="447"/>
      <c r="P877" s="447"/>
      <c r="Q877" s="447"/>
      <c r="R877" s="447"/>
      <c r="S877" s="447"/>
      <c r="T877" s="447"/>
      <c r="U877" s="447"/>
      <c r="V877" s="447"/>
      <c r="W877" s="447"/>
      <c r="X877" s="447"/>
      <c r="Y877" s="447"/>
      <c r="Z877" s="447"/>
      <c r="AA877" s="447"/>
    </row>
    <row r="878" spans="1:27">
      <c r="A878" s="465"/>
      <c r="B878" s="466"/>
      <c r="C878" s="465"/>
      <c r="D878" s="467"/>
      <c r="E878" s="447"/>
      <c r="F878" s="447"/>
      <c r="G878" s="447"/>
      <c r="H878" s="447"/>
      <c r="I878" s="447"/>
      <c r="J878" s="447"/>
      <c r="K878" s="447"/>
      <c r="L878" s="447"/>
      <c r="M878" s="447"/>
      <c r="N878" s="447"/>
      <c r="O878" s="447"/>
      <c r="P878" s="447"/>
      <c r="Q878" s="447"/>
      <c r="R878" s="447"/>
      <c r="S878" s="447"/>
      <c r="T878" s="447"/>
      <c r="U878" s="447"/>
      <c r="V878" s="447"/>
      <c r="W878" s="447"/>
      <c r="X878" s="447"/>
      <c r="Y878" s="447"/>
      <c r="Z878" s="447"/>
      <c r="AA878" s="447"/>
    </row>
    <row r="879" spans="1:27">
      <c r="A879" s="465"/>
      <c r="B879" s="466"/>
      <c r="C879" s="465"/>
      <c r="D879" s="467"/>
      <c r="E879" s="447"/>
      <c r="F879" s="447"/>
      <c r="G879" s="447"/>
      <c r="H879" s="447"/>
      <c r="I879" s="447"/>
      <c r="J879" s="447"/>
      <c r="K879" s="447"/>
      <c r="L879" s="447"/>
      <c r="M879" s="447"/>
      <c r="N879" s="447"/>
      <c r="O879" s="447"/>
      <c r="P879" s="447"/>
      <c r="Q879" s="447"/>
      <c r="R879" s="447"/>
      <c r="S879" s="447"/>
      <c r="T879" s="447"/>
      <c r="U879" s="447"/>
      <c r="V879" s="447"/>
      <c r="W879" s="447"/>
      <c r="X879" s="447"/>
      <c r="Y879" s="447"/>
      <c r="Z879" s="447"/>
      <c r="AA879" s="447"/>
    </row>
    <row r="880" spans="1:27">
      <c r="A880" s="465"/>
      <c r="B880" s="466"/>
      <c r="C880" s="465"/>
      <c r="D880" s="467"/>
      <c r="E880" s="447"/>
      <c r="F880" s="447"/>
      <c r="G880" s="447"/>
      <c r="H880" s="447"/>
      <c r="I880" s="447"/>
      <c r="J880" s="447"/>
      <c r="K880" s="447"/>
      <c r="L880" s="447"/>
      <c r="M880" s="447"/>
      <c r="N880" s="447"/>
      <c r="O880" s="447"/>
      <c r="P880" s="447"/>
      <c r="Q880" s="447"/>
      <c r="R880" s="447"/>
      <c r="S880" s="447"/>
      <c r="T880" s="447"/>
      <c r="U880" s="447"/>
      <c r="V880" s="447"/>
      <c r="W880" s="447"/>
      <c r="X880" s="447"/>
      <c r="Y880" s="447"/>
      <c r="Z880" s="447"/>
      <c r="AA880" s="447"/>
    </row>
    <row r="881" spans="1:27">
      <c r="A881" s="465"/>
      <c r="B881" s="466"/>
      <c r="C881" s="465"/>
      <c r="D881" s="467"/>
      <c r="E881" s="447"/>
      <c r="F881" s="447"/>
      <c r="G881" s="447"/>
      <c r="H881" s="447"/>
      <c r="I881" s="447"/>
      <c r="J881" s="447"/>
      <c r="K881" s="447"/>
      <c r="L881" s="447"/>
      <c r="M881" s="447"/>
      <c r="N881" s="447"/>
      <c r="O881" s="447"/>
      <c r="P881" s="447"/>
      <c r="Q881" s="447"/>
      <c r="R881" s="447"/>
      <c r="S881" s="447"/>
      <c r="T881" s="447"/>
      <c r="U881" s="447"/>
      <c r="V881" s="447"/>
      <c r="W881" s="447"/>
      <c r="X881" s="447"/>
      <c r="Y881" s="447"/>
      <c r="Z881" s="447"/>
      <c r="AA881" s="447"/>
    </row>
    <row r="882" spans="1:27">
      <c r="A882" s="465"/>
      <c r="B882" s="466"/>
      <c r="C882" s="465"/>
      <c r="D882" s="467"/>
      <c r="E882" s="447"/>
      <c r="F882" s="447"/>
      <c r="G882" s="447"/>
      <c r="H882" s="447"/>
      <c r="I882" s="447"/>
      <c r="J882" s="447"/>
      <c r="K882" s="447"/>
      <c r="L882" s="447"/>
      <c r="M882" s="447"/>
      <c r="N882" s="447"/>
      <c r="O882" s="447"/>
      <c r="P882" s="447"/>
      <c r="Q882" s="447"/>
      <c r="R882" s="447"/>
      <c r="S882" s="447"/>
      <c r="T882" s="447"/>
      <c r="U882" s="447"/>
      <c r="V882" s="447"/>
      <c r="W882" s="447"/>
      <c r="X882" s="447"/>
      <c r="Y882" s="447"/>
      <c r="Z882" s="447"/>
      <c r="AA882" s="447"/>
    </row>
    <row r="883" spans="1:27">
      <c r="A883" s="465"/>
      <c r="B883" s="466"/>
      <c r="C883" s="465"/>
      <c r="D883" s="467"/>
      <c r="E883" s="447"/>
      <c r="F883" s="447"/>
      <c r="G883" s="447"/>
      <c r="H883" s="447"/>
      <c r="I883" s="447"/>
      <c r="J883" s="447"/>
      <c r="K883" s="447"/>
      <c r="L883" s="447"/>
      <c r="M883" s="447"/>
      <c r="N883" s="447"/>
      <c r="O883" s="447"/>
      <c r="P883" s="447"/>
      <c r="Q883" s="447"/>
      <c r="R883" s="447"/>
      <c r="S883" s="447"/>
      <c r="T883" s="447"/>
      <c r="U883" s="447"/>
      <c r="V883" s="447"/>
      <c r="W883" s="447"/>
      <c r="X883" s="447"/>
      <c r="Y883" s="447"/>
      <c r="Z883" s="447"/>
      <c r="AA883" s="447"/>
    </row>
    <row r="884" spans="1:27">
      <c r="A884" s="465"/>
      <c r="B884" s="466"/>
      <c r="C884" s="465"/>
      <c r="D884" s="467"/>
      <c r="E884" s="447"/>
      <c r="F884" s="447"/>
      <c r="G884" s="447"/>
      <c r="H884" s="447"/>
      <c r="I884" s="447"/>
      <c r="J884" s="447"/>
      <c r="K884" s="447"/>
      <c r="L884" s="447"/>
      <c r="M884" s="447"/>
      <c r="N884" s="447"/>
      <c r="O884" s="447"/>
      <c r="P884" s="447"/>
      <c r="Q884" s="447"/>
      <c r="R884" s="447"/>
      <c r="S884" s="447"/>
      <c r="T884" s="447"/>
      <c r="U884" s="447"/>
      <c r="V884" s="447"/>
      <c r="W884" s="447"/>
      <c r="X884" s="447"/>
      <c r="Y884" s="447"/>
      <c r="Z884" s="447"/>
      <c r="AA884" s="447"/>
    </row>
    <row r="885" spans="1:27">
      <c r="A885" s="465"/>
      <c r="B885" s="466"/>
      <c r="C885" s="465"/>
      <c r="D885" s="467"/>
      <c r="E885" s="447"/>
      <c r="F885" s="447"/>
      <c r="G885" s="447"/>
      <c r="H885" s="447"/>
      <c r="I885" s="447"/>
      <c r="J885" s="447"/>
      <c r="K885" s="447"/>
      <c r="L885" s="447"/>
      <c r="M885" s="447"/>
      <c r="N885" s="447"/>
      <c r="O885" s="447"/>
      <c r="P885" s="447"/>
      <c r="Q885" s="447"/>
      <c r="R885" s="447"/>
      <c r="S885" s="447"/>
      <c r="T885" s="447"/>
      <c r="U885" s="447"/>
      <c r="V885" s="447"/>
      <c r="W885" s="447"/>
      <c r="X885" s="447"/>
      <c r="Y885" s="447"/>
      <c r="Z885" s="447"/>
      <c r="AA885" s="447"/>
    </row>
    <row r="886" spans="1:27">
      <c r="A886" s="465"/>
      <c r="B886" s="466"/>
      <c r="C886" s="465"/>
      <c r="D886" s="467"/>
      <c r="E886" s="447"/>
      <c r="F886" s="447"/>
      <c r="G886" s="447"/>
      <c r="H886" s="447"/>
      <c r="I886" s="447"/>
      <c r="J886" s="447"/>
      <c r="K886" s="447"/>
      <c r="L886" s="447"/>
      <c r="M886" s="447"/>
      <c r="N886" s="447"/>
      <c r="O886" s="447"/>
      <c r="P886" s="447"/>
      <c r="Q886" s="447"/>
      <c r="R886" s="447"/>
      <c r="S886" s="447"/>
      <c r="T886" s="447"/>
      <c r="U886" s="447"/>
      <c r="V886" s="447"/>
      <c r="W886" s="447"/>
      <c r="X886" s="447"/>
      <c r="Y886" s="447"/>
      <c r="Z886" s="447"/>
      <c r="AA886" s="447"/>
    </row>
    <row r="887" spans="1:27">
      <c r="A887" s="465"/>
      <c r="B887" s="466"/>
      <c r="C887" s="465"/>
      <c r="D887" s="467"/>
      <c r="E887" s="447"/>
      <c r="F887" s="447"/>
      <c r="G887" s="447"/>
      <c r="H887" s="447"/>
      <c r="I887" s="447"/>
      <c r="J887" s="447"/>
      <c r="K887" s="447"/>
      <c r="L887" s="447"/>
      <c r="M887" s="447"/>
      <c r="N887" s="447"/>
      <c r="O887" s="447"/>
      <c r="P887" s="447"/>
      <c r="Q887" s="447"/>
      <c r="R887" s="447"/>
      <c r="S887" s="447"/>
      <c r="T887" s="447"/>
      <c r="U887" s="447"/>
      <c r="V887" s="447"/>
      <c r="W887" s="447"/>
      <c r="X887" s="447"/>
      <c r="Y887" s="447"/>
      <c r="Z887" s="447"/>
      <c r="AA887" s="447"/>
    </row>
    <row r="888" spans="1:27">
      <c r="A888" s="465"/>
      <c r="B888" s="466"/>
      <c r="C888" s="465"/>
      <c r="D888" s="467"/>
      <c r="E888" s="447"/>
      <c r="F888" s="447"/>
      <c r="G888" s="447"/>
      <c r="H888" s="447"/>
      <c r="I888" s="447"/>
      <c r="J888" s="447"/>
      <c r="K888" s="447"/>
      <c r="L888" s="447"/>
      <c r="M888" s="447"/>
      <c r="N888" s="447"/>
      <c r="O888" s="447"/>
      <c r="P888" s="447"/>
      <c r="Q888" s="447"/>
      <c r="R888" s="447"/>
      <c r="S888" s="447"/>
      <c r="T888" s="447"/>
      <c r="U888" s="447"/>
      <c r="V888" s="447"/>
      <c r="W888" s="447"/>
      <c r="X888" s="447"/>
      <c r="Y888" s="447"/>
      <c r="Z888" s="447"/>
      <c r="AA888" s="447"/>
    </row>
    <row r="889" spans="1:27">
      <c r="A889" s="465"/>
      <c r="B889" s="466"/>
      <c r="C889" s="465"/>
      <c r="D889" s="467"/>
      <c r="E889" s="447"/>
      <c r="F889" s="447"/>
      <c r="G889" s="447"/>
      <c r="H889" s="447"/>
      <c r="I889" s="447"/>
      <c r="J889" s="447"/>
      <c r="K889" s="447"/>
      <c r="L889" s="447"/>
      <c r="M889" s="447"/>
      <c r="N889" s="447"/>
      <c r="O889" s="447"/>
      <c r="P889" s="447"/>
      <c r="Q889" s="447"/>
      <c r="R889" s="447"/>
      <c r="S889" s="447"/>
      <c r="T889" s="447"/>
      <c r="U889" s="447"/>
      <c r="V889" s="447"/>
      <c r="W889" s="447"/>
      <c r="X889" s="447"/>
      <c r="Y889" s="447"/>
      <c r="Z889" s="447"/>
      <c r="AA889" s="447"/>
    </row>
    <row r="890" spans="1:27">
      <c r="A890" s="465"/>
      <c r="B890" s="466"/>
      <c r="C890" s="465"/>
      <c r="D890" s="467"/>
      <c r="E890" s="447"/>
      <c r="F890" s="447"/>
      <c r="G890" s="447"/>
      <c r="H890" s="447"/>
      <c r="I890" s="447"/>
      <c r="J890" s="447"/>
      <c r="K890" s="447"/>
      <c r="L890" s="447"/>
      <c r="M890" s="447"/>
      <c r="N890" s="447"/>
      <c r="O890" s="447"/>
      <c r="P890" s="447"/>
      <c r="Q890" s="447"/>
      <c r="R890" s="447"/>
      <c r="S890" s="447"/>
      <c r="T890" s="447"/>
      <c r="U890" s="447"/>
      <c r="V890" s="447"/>
      <c r="W890" s="447"/>
      <c r="X890" s="447"/>
      <c r="Y890" s="447"/>
      <c r="Z890" s="447"/>
      <c r="AA890" s="447"/>
    </row>
    <row r="891" spans="1:27">
      <c r="A891" s="465"/>
      <c r="B891" s="466"/>
      <c r="C891" s="465"/>
      <c r="D891" s="467"/>
      <c r="E891" s="447"/>
      <c r="F891" s="447"/>
      <c r="G891" s="447"/>
      <c r="H891" s="447"/>
      <c r="I891" s="447"/>
      <c r="J891" s="447"/>
      <c r="K891" s="447"/>
      <c r="L891" s="447"/>
      <c r="M891" s="447"/>
      <c r="N891" s="447"/>
      <c r="O891" s="447"/>
      <c r="P891" s="447"/>
      <c r="Q891" s="447"/>
      <c r="R891" s="447"/>
      <c r="S891" s="447"/>
      <c r="T891" s="447"/>
      <c r="U891" s="447"/>
      <c r="V891" s="447"/>
      <c r="W891" s="447"/>
      <c r="X891" s="447"/>
      <c r="Y891" s="447"/>
      <c r="Z891" s="447"/>
      <c r="AA891" s="447"/>
    </row>
    <row r="892" spans="1:27">
      <c r="A892" s="465"/>
      <c r="B892" s="466"/>
      <c r="C892" s="465"/>
      <c r="D892" s="467"/>
      <c r="E892" s="447"/>
      <c r="F892" s="447"/>
      <c r="G892" s="447"/>
      <c r="H892" s="447"/>
      <c r="I892" s="447"/>
      <c r="J892" s="447"/>
      <c r="K892" s="447"/>
      <c r="L892" s="447"/>
      <c r="M892" s="447"/>
      <c r="N892" s="447"/>
      <c r="O892" s="447"/>
      <c r="P892" s="447"/>
      <c r="Q892" s="447"/>
      <c r="R892" s="447"/>
      <c r="S892" s="447"/>
      <c r="T892" s="447"/>
      <c r="U892" s="447"/>
      <c r="V892" s="447"/>
      <c r="W892" s="447"/>
      <c r="X892" s="447"/>
      <c r="Y892" s="447"/>
      <c r="Z892" s="447"/>
      <c r="AA892" s="447"/>
    </row>
    <row r="893" spans="1:27">
      <c r="A893" s="465"/>
      <c r="B893" s="466"/>
      <c r="C893" s="465"/>
      <c r="D893" s="467"/>
      <c r="E893" s="447"/>
      <c r="F893" s="447"/>
      <c r="G893" s="447"/>
      <c r="H893" s="447"/>
      <c r="I893" s="447"/>
      <c r="J893" s="447"/>
      <c r="K893" s="447"/>
      <c r="L893" s="447"/>
      <c r="M893" s="447"/>
      <c r="N893" s="447"/>
      <c r="O893" s="447"/>
      <c r="P893" s="447"/>
      <c r="Q893" s="447"/>
      <c r="R893" s="447"/>
      <c r="S893" s="447"/>
      <c r="T893" s="447"/>
      <c r="U893" s="447"/>
      <c r="V893" s="447"/>
      <c r="W893" s="447"/>
      <c r="X893" s="447"/>
      <c r="Y893" s="447"/>
      <c r="Z893" s="447"/>
      <c r="AA893" s="447"/>
    </row>
    <row r="894" spans="1:27">
      <c r="A894" s="465"/>
      <c r="B894" s="466"/>
      <c r="C894" s="465"/>
      <c r="D894" s="467"/>
      <c r="E894" s="447"/>
      <c r="F894" s="447"/>
      <c r="G894" s="447"/>
      <c r="H894" s="447"/>
      <c r="I894" s="447"/>
      <c r="J894" s="447"/>
      <c r="K894" s="447"/>
      <c r="L894" s="447"/>
      <c r="M894" s="447"/>
      <c r="N894" s="447"/>
      <c r="O894" s="447"/>
      <c r="P894" s="447"/>
      <c r="Q894" s="447"/>
      <c r="R894" s="447"/>
      <c r="S894" s="447"/>
      <c r="T894" s="447"/>
      <c r="U894" s="447"/>
      <c r="V894" s="447"/>
      <c r="W894" s="447"/>
      <c r="X894" s="447"/>
      <c r="Y894" s="447"/>
      <c r="Z894" s="447"/>
      <c r="AA894" s="447"/>
    </row>
    <row r="895" spans="1:27">
      <c r="A895" s="465"/>
      <c r="B895" s="466"/>
      <c r="C895" s="465"/>
      <c r="D895" s="467"/>
      <c r="E895" s="447"/>
      <c r="F895" s="447"/>
      <c r="G895" s="447"/>
      <c r="H895" s="447"/>
      <c r="I895" s="447"/>
      <c r="J895" s="447"/>
      <c r="K895" s="447"/>
      <c r="L895" s="447"/>
      <c r="M895" s="447"/>
      <c r="N895" s="447"/>
      <c r="O895" s="447"/>
      <c r="P895" s="447"/>
      <c r="Q895" s="447"/>
      <c r="R895" s="447"/>
      <c r="S895" s="447"/>
      <c r="T895" s="447"/>
      <c r="U895" s="447"/>
      <c r="V895" s="447"/>
      <c r="W895" s="447"/>
      <c r="X895" s="447"/>
      <c r="Y895" s="447"/>
      <c r="Z895" s="447"/>
      <c r="AA895" s="447"/>
    </row>
    <row r="896" spans="1:27">
      <c r="A896" s="465"/>
      <c r="B896" s="466"/>
      <c r="C896" s="465"/>
      <c r="D896" s="467"/>
      <c r="E896" s="447"/>
      <c r="F896" s="447"/>
      <c r="G896" s="447"/>
      <c r="H896" s="447"/>
      <c r="I896" s="447"/>
      <c r="J896" s="447"/>
      <c r="K896" s="447"/>
      <c r="L896" s="447"/>
      <c r="M896" s="447"/>
      <c r="N896" s="447"/>
      <c r="O896" s="447"/>
      <c r="P896" s="447"/>
      <c r="Q896" s="447"/>
      <c r="R896" s="447"/>
      <c r="S896" s="447"/>
      <c r="T896" s="447"/>
      <c r="U896" s="447"/>
      <c r="V896" s="447"/>
      <c r="W896" s="447"/>
      <c r="X896" s="447"/>
      <c r="Y896" s="447"/>
      <c r="Z896" s="447"/>
      <c r="AA896" s="447"/>
    </row>
    <row r="897" spans="1:27">
      <c r="A897" s="465"/>
      <c r="B897" s="466"/>
      <c r="C897" s="465"/>
      <c r="D897" s="467"/>
      <c r="E897" s="447"/>
      <c r="F897" s="447"/>
      <c r="G897" s="447"/>
      <c r="H897" s="447"/>
      <c r="I897" s="447"/>
      <c r="J897" s="447"/>
      <c r="K897" s="447"/>
      <c r="L897" s="447"/>
      <c r="M897" s="447"/>
      <c r="N897" s="447"/>
      <c r="O897" s="447"/>
      <c r="P897" s="447"/>
      <c r="Q897" s="447"/>
      <c r="R897" s="447"/>
      <c r="S897" s="447"/>
      <c r="T897" s="447"/>
      <c r="U897" s="447"/>
      <c r="V897" s="447"/>
      <c r="W897" s="447"/>
      <c r="X897" s="447"/>
      <c r="Y897" s="447"/>
      <c r="Z897" s="447"/>
      <c r="AA897" s="447"/>
    </row>
    <row r="898" spans="1:27">
      <c r="A898" s="465"/>
      <c r="B898" s="466"/>
      <c r="C898" s="465"/>
      <c r="D898" s="467"/>
      <c r="E898" s="447"/>
      <c r="F898" s="447"/>
      <c r="G898" s="447"/>
      <c r="H898" s="447"/>
      <c r="I898" s="447"/>
      <c r="J898" s="447"/>
      <c r="K898" s="447"/>
      <c r="L898" s="447"/>
      <c r="M898" s="447"/>
      <c r="N898" s="447"/>
      <c r="O898" s="447"/>
      <c r="P898" s="447"/>
      <c r="Q898" s="447"/>
      <c r="R898" s="447"/>
      <c r="S898" s="447"/>
      <c r="T898" s="447"/>
      <c r="U898" s="447"/>
      <c r="V898" s="447"/>
      <c r="W898" s="447"/>
      <c r="X898" s="447"/>
      <c r="Y898" s="447"/>
      <c r="Z898" s="447"/>
      <c r="AA898" s="447"/>
    </row>
    <row r="899" spans="1:27">
      <c r="A899" s="465"/>
      <c r="B899" s="466"/>
      <c r="C899" s="465"/>
      <c r="D899" s="467"/>
      <c r="E899" s="447"/>
      <c r="F899" s="447"/>
      <c r="G899" s="447"/>
      <c r="H899" s="447"/>
      <c r="I899" s="447"/>
      <c r="J899" s="447"/>
      <c r="K899" s="447"/>
      <c r="L899" s="447"/>
      <c r="M899" s="447"/>
      <c r="N899" s="447"/>
      <c r="O899" s="447"/>
      <c r="P899" s="447"/>
      <c r="Q899" s="447"/>
      <c r="R899" s="447"/>
      <c r="S899" s="447"/>
      <c r="T899" s="447"/>
      <c r="U899" s="447"/>
      <c r="V899" s="447"/>
      <c r="W899" s="447"/>
      <c r="X899" s="447"/>
      <c r="Y899" s="447"/>
      <c r="Z899" s="447"/>
      <c r="AA899" s="447"/>
    </row>
    <row r="900" spans="1:27">
      <c r="A900" s="465"/>
      <c r="B900" s="466"/>
      <c r="C900" s="465"/>
      <c r="D900" s="467"/>
      <c r="E900" s="447"/>
      <c r="F900" s="447"/>
      <c r="G900" s="447"/>
      <c r="H900" s="447"/>
      <c r="I900" s="447"/>
      <c r="J900" s="447"/>
      <c r="K900" s="447"/>
      <c r="L900" s="447"/>
      <c r="M900" s="447"/>
      <c r="N900" s="447"/>
      <c r="O900" s="447"/>
      <c r="P900" s="447"/>
      <c r="Q900" s="447"/>
      <c r="R900" s="447"/>
      <c r="S900" s="447"/>
      <c r="T900" s="447"/>
      <c r="U900" s="447"/>
      <c r="V900" s="447"/>
      <c r="W900" s="447"/>
      <c r="X900" s="447"/>
      <c r="Y900" s="447"/>
      <c r="Z900" s="447"/>
      <c r="AA900" s="447"/>
    </row>
    <row r="901" spans="1:27">
      <c r="A901" s="465"/>
      <c r="B901" s="466"/>
      <c r="C901" s="465"/>
      <c r="D901" s="467"/>
      <c r="E901" s="447"/>
      <c r="F901" s="447"/>
      <c r="G901" s="447"/>
      <c r="H901" s="447"/>
      <c r="I901" s="447"/>
      <c r="J901" s="447"/>
      <c r="K901" s="447"/>
      <c r="L901" s="447"/>
      <c r="M901" s="447"/>
      <c r="N901" s="447"/>
      <c r="O901" s="447"/>
      <c r="P901" s="447"/>
      <c r="Q901" s="447"/>
      <c r="R901" s="447"/>
      <c r="S901" s="447"/>
      <c r="T901" s="447"/>
      <c r="U901" s="447"/>
      <c r="V901" s="447"/>
      <c r="W901" s="447"/>
      <c r="X901" s="447"/>
      <c r="Y901" s="447"/>
      <c r="Z901" s="447"/>
      <c r="AA901" s="447"/>
    </row>
    <row r="902" spans="1:27">
      <c r="A902" s="465"/>
      <c r="B902" s="466"/>
      <c r="C902" s="465"/>
      <c r="D902" s="467"/>
      <c r="E902" s="447"/>
      <c r="F902" s="447"/>
      <c r="G902" s="447"/>
      <c r="H902" s="447"/>
      <c r="I902" s="447"/>
      <c r="J902" s="447"/>
      <c r="K902" s="447"/>
      <c r="L902" s="447"/>
      <c r="M902" s="447"/>
      <c r="N902" s="447"/>
      <c r="O902" s="447"/>
      <c r="P902" s="447"/>
      <c r="Q902" s="447"/>
      <c r="R902" s="447"/>
      <c r="S902" s="447"/>
      <c r="T902" s="447"/>
      <c r="U902" s="447"/>
      <c r="V902" s="447"/>
      <c r="W902" s="447"/>
      <c r="X902" s="447"/>
      <c r="Y902" s="447"/>
      <c r="Z902" s="447"/>
      <c r="AA902" s="447"/>
    </row>
    <row r="903" spans="1:27">
      <c r="A903" s="465"/>
      <c r="B903" s="466"/>
      <c r="C903" s="465"/>
      <c r="D903" s="467"/>
      <c r="E903" s="447"/>
      <c r="F903" s="447"/>
      <c r="G903" s="447"/>
      <c r="H903" s="447"/>
      <c r="I903" s="447"/>
      <c r="J903" s="447"/>
      <c r="K903" s="447"/>
      <c r="L903" s="447"/>
      <c r="M903" s="447"/>
      <c r="N903" s="447"/>
      <c r="O903" s="447"/>
      <c r="P903" s="447"/>
      <c r="Q903" s="447"/>
      <c r="R903" s="447"/>
      <c r="S903" s="447"/>
      <c r="T903" s="447"/>
      <c r="U903" s="447"/>
      <c r="V903" s="447"/>
      <c r="W903" s="447"/>
      <c r="X903" s="447"/>
      <c r="Y903" s="447"/>
      <c r="Z903" s="447"/>
      <c r="AA903" s="447"/>
    </row>
    <row r="904" spans="1:27">
      <c r="A904" s="465"/>
      <c r="B904" s="466"/>
      <c r="C904" s="465"/>
      <c r="D904" s="467"/>
      <c r="E904" s="447"/>
      <c r="F904" s="447"/>
      <c r="G904" s="447"/>
      <c r="H904" s="447"/>
      <c r="I904" s="447"/>
      <c r="J904" s="447"/>
      <c r="K904" s="447"/>
      <c r="L904" s="447"/>
      <c r="M904" s="447"/>
      <c r="N904" s="447"/>
      <c r="O904" s="447"/>
      <c r="P904" s="447"/>
      <c r="Q904" s="447"/>
      <c r="R904" s="447"/>
      <c r="S904" s="447"/>
      <c r="T904" s="447"/>
      <c r="U904" s="447"/>
      <c r="V904" s="447"/>
      <c r="W904" s="447"/>
      <c r="X904" s="447"/>
      <c r="Y904" s="447"/>
      <c r="Z904" s="447"/>
      <c r="AA904" s="447"/>
    </row>
    <row r="905" spans="1:27">
      <c r="A905" s="465"/>
      <c r="B905" s="466"/>
      <c r="C905" s="465"/>
      <c r="D905" s="467"/>
      <c r="E905" s="447"/>
      <c r="F905" s="447"/>
      <c r="G905" s="447"/>
      <c r="H905" s="447"/>
      <c r="I905" s="447"/>
      <c r="J905" s="447"/>
      <c r="K905" s="447"/>
      <c r="L905" s="447"/>
      <c r="M905" s="447"/>
      <c r="N905" s="447"/>
      <c r="O905" s="447"/>
      <c r="P905" s="447"/>
      <c r="Q905" s="447"/>
      <c r="R905" s="447"/>
      <c r="S905" s="447"/>
      <c r="T905" s="447"/>
      <c r="U905" s="447"/>
      <c r="V905" s="447"/>
      <c r="W905" s="447"/>
      <c r="X905" s="447"/>
      <c r="Y905" s="447"/>
      <c r="Z905" s="447"/>
      <c r="AA905" s="447"/>
    </row>
    <row r="906" spans="1:27">
      <c r="A906" s="465"/>
      <c r="B906" s="466"/>
      <c r="C906" s="465"/>
      <c r="D906" s="467"/>
      <c r="E906" s="447"/>
      <c r="F906" s="447"/>
      <c r="G906" s="447"/>
      <c r="H906" s="447"/>
      <c r="I906" s="447"/>
      <c r="J906" s="447"/>
      <c r="K906" s="447"/>
      <c r="L906" s="447"/>
      <c r="M906" s="447"/>
      <c r="N906" s="447"/>
      <c r="O906" s="447"/>
      <c r="P906" s="447"/>
      <c r="Q906" s="447"/>
      <c r="R906" s="447"/>
      <c r="S906" s="447"/>
      <c r="T906" s="447"/>
      <c r="U906" s="447"/>
      <c r="V906" s="447"/>
      <c r="W906" s="447"/>
      <c r="X906" s="447"/>
      <c r="Y906" s="447"/>
      <c r="Z906" s="447"/>
      <c r="AA906" s="447"/>
    </row>
    <row r="907" spans="1:27">
      <c r="A907" s="465"/>
      <c r="B907" s="466"/>
      <c r="C907" s="465"/>
      <c r="D907" s="467"/>
      <c r="E907" s="447"/>
      <c r="F907" s="447"/>
      <c r="G907" s="447"/>
      <c r="H907" s="447"/>
      <c r="I907" s="447"/>
      <c r="J907" s="447"/>
      <c r="K907" s="447"/>
      <c r="L907" s="447"/>
      <c r="M907" s="447"/>
      <c r="N907" s="447"/>
      <c r="O907" s="447"/>
      <c r="P907" s="447"/>
      <c r="Q907" s="447"/>
      <c r="R907" s="447"/>
      <c r="S907" s="447"/>
      <c r="T907" s="447"/>
      <c r="U907" s="447"/>
      <c r="V907" s="447"/>
      <c r="W907" s="447"/>
      <c r="X907" s="447"/>
      <c r="Y907" s="447"/>
      <c r="Z907" s="447"/>
      <c r="AA907" s="447"/>
    </row>
    <row r="908" spans="1:27">
      <c r="A908" s="465"/>
      <c r="B908" s="466"/>
      <c r="C908" s="465"/>
      <c r="D908" s="467"/>
      <c r="E908" s="447"/>
      <c r="F908" s="447"/>
      <c r="G908" s="447"/>
      <c r="H908" s="447"/>
      <c r="I908" s="447"/>
      <c r="J908" s="447"/>
      <c r="K908" s="447"/>
      <c r="L908" s="447"/>
      <c r="M908" s="447"/>
      <c r="N908" s="447"/>
      <c r="O908" s="447"/>
      <c r="P908" s="447"/>
      <c r="Q908" s="447"/>
      <c r="R908" s="447"/>
      <c r="S908" s="447"/>
      <c r="T908" s="447"/>
      <c r="U908" s="447"/>
      <c r="V908" s="447"/>
      <c r="W908" s="447"/>
      <c r="X908" s="447"/>
      <c r="Y908" s="447"/>
      <c r="Z908" s="447"/>
      <c r="AA908" s="447"/>
    </row>
    <row r="909" spans="1:27">
      <c r="A909" s="465"/>
      <c r="B909" s="466"/>
      <c r="C909" s="465"/>
      <c r="D909" s="467"/>
      <c r="E909" s="447"/>
      <c r="F909" s="447"/>
      <c r="G909" s="447"/>
      <c r="H909" s="447"/>
      <c r="I909" s="447"/>
      <c r="J909" s="447"/>
      <c r="K909" s="447"/>
      <c r="L909" s="447"/>
      <c r="M909" s="447"/>
      <c r="N909" s="447"/>
      <c r="O909" s="447"/>
      <c r="P909" s="447"/>
      <c r="Q909" s="447"/>
      <c r="R909" s="447"/>
      <c r="S909" s="447"/>
      <c r="T909" s="447"/>
      <c r="U909" s="447"/>
      <c r="V909" s="447"/>
      <c r="W909" s="447"/>
      <c r="X909" s="447"/>
      <c r="Y909" s="447"/>
      <c r="Z909" s="447"/>
      <c r="AA909" s="447"/>
    </row>
    <row r="910" spans="1:27">
      <c r="A910" s="465"/>
      <c r="B910" s="466"/>
      <c r="C910" s="465"/>
      <c r="D910" s="467"/>
      <c r="E910" s="447"/>
      <c r="F910" s="447"/>
      <c r="G910" s="447"/>
      <c r="H910" s="447"/>
      <c r="I910" s="447"/>
      <c r="J910" s="447"/>
      <c r="K910" s="447"/>
      <c r="L910" s="447"/>
      <c r="M910" s="447"/>
      <c r="N910" s="447"/>
      <c r="O910" s="447"/>
      <c r="P910" s="447"/>
      <c r="Q910" s="447"/>
      <c r="R910" s="447"/>
      <c r="S910" s="447"/>
      <c r="T910" s="447"/>
      <c r="U910" s="447"/>
      <c r="V910" s="447"/>
      <c r="W910" s="447"/>
      <c r="X910" s="447"/>
      <c r="Y910" s="447"/>
      <c r="Z910" s="447"/>
      <c r="AA910" s="447"/>
    </row>
    <row r="911" spans="1:27">
      <c r="A911" s="465"/>
      <c r="B911" s="466"/>
      <c r="C911" s="465"/>
      <c r="D911" s="467"/>
      <c r="E911" s="447"/>
      <c r="F911" s="447"/>
      <c r="G911" s="447"/>
      <c r="H911" s="447"/>
      <c r="I911" s="447"/>
      <c r="J911" s="447"/>
      <c r="K911" s="447"/>
      <c r="L911" s="447"/>
      <c r="M911" s="447"/>
      <c r="N911" s="447"/>
      <c r="O911" s="447"/>
      <c r="P911" s="447"/>
      <c r="Q911" s="447"/>
      <c r="R911" s="447"/>
      <c r="S911" s="447"/>
      <c r="T911" s="447"/>
      <c r="U911" s="447"/>
      <c r="V911" s="447"/>
      <c r="W911" s="447"/>
      <c r="X911" s="447"/>
      <c r="Y911" s="447"/>
      <c r="Z911" s="447"/>
      <c r="AA911" s="447"/>
    </row>
    <row r="912" spans="1:27">
      <c r="A912" s="465"/>
      <c r="B912" s="466"/>
      <c r="C912" s="465"/>
      <c r="D912" s="467"/>
      <c r="E912" s="447"/>
      <c r="F912" s="447"/>
      <c r="G912" s="447"/>
      <c r="H912" s="447"/>
      <c r="I912" s="447"/>
      <c r="J912" s="447"/>
      <c r="K912" s="447"/>
      <c r="L912" s="447"/>
      <c r="M912" s="447"/>
      <c r="N912" s="447"/>
      <c r="O912" s="447"/>
      <c r="P912" s="447"/>
      <c r="Q912" s="447"/>
      <c r="R912" s="447"/>
      <c r="S912" s="447"/>
      <c r="T912" s="447"/>
      <c r="U912" s="447"/>
      <c r="V912" s="447"/>
      <c r="W912" s="447"/>
      <c r="X912" s="447"/>
      <c r="Y912" s="447"/>
      <c r="Z912" s="447"/>
      <c r="AA912" s="447"/>
    </row>
    <row r="913" spans="1:27">
      <c r="A913" s="465"/>
      <c r="B913" s="466"/>
      <c r="C913" s="465"/>
      <c r="D913" s="467"/>
      <c r="E913" s="447"/>
      <c r="F913" s="447"/>
      <c r="G913" s="447"/>
      <c r="H913" s="447"/>
      <c r="I913" s="447"/>
      <c r="J913" s="447"/>
      <c r="K913" s="447"/>
      <c r="L913" s="447"/>
      <c r="M913" s="447"/>
      <c r="N913" s="447"/>
      <c r="O913" s="447"/>
      <c r="P913" s="447"/>
      <c r="Q913" s="447"/>
      <c r="R913" s="447"/>
      <c r="S913" s="447"/>
      <c r="T913" s="447"/>
      <c r="U913" s="447"/>
      <c r="V913" s="447"/>
      <c r="W913" s="447"/>
      <c r="X913" s="447"/>
      <c r="Y913" s="447"/>
      <c r="Z913" s="447"/>
      <c r="AA913" s="447"/>
    </row>
    <row r="914" spans="1:27">
      <c r="A914" s="465"/>
      <c r="B914" s="466"/>
      <c r="C914" s="465"/>
      <c r="D914" s="467"/>
      <c r="E914" s="447"/>
      <c r="F914" s="447"/>
      <c r="G914" s="447"/>
      <c r="H914" s="447"/>
      <c r="I914" s="447"/>
      <c r="J914" s="447"/>
      <c r="K914" s="447"/>
      <c r="L914" s="447"/>
      <c r="M914" s="447"/>
      <c r="N914" s="447"/>
      <c r="O914" s="447"/>
      <c r="P914" s="447"/>
      <c r="Q914" s="447"/>
      <c r="R914" s="447"/>
      <c r="S914" s="447"/>
      <c r="T914" s="447"/>
      <c r="U914" s="447"/>
      <c r="V914" s="447"/>
      <c r="W914" s="447"/>
      <c r="X914" s="447"/>
      <c r="Y914" s="447"/>
      <c r="Z914" s="447"/>
      <c r="AA914" s="447"/>
    </row>
    <row r="915" spans="1:27">
      <c r="A915" s="465"/>
      <c r="B915" s="466"/>
      <c r="C915" s="465"/>
      <c r="D915" s="467"/>
      <c r="E915" s="447"/>
      <c r="F915" s="447"/>
      <c r="G915" s="447"/>
      <c r="H915" s="447"/>
      <c r="I915" s="447"/>
      <c r="J915" s="447"/>
      <c r="K915" s="447"/>
      <c r="L915" s="447"/>
      <c r="M915" s="447"/>
      <c r="N915" s="447"/>
      <c r="O915" s="447"/>
      <c r="P915" s="447"/>
      <c r="Q915" s="447"/>
      <c r="R915" s="447"/>
      <c r="S915" s="447"/>
      <c r="T915" s="447"/>
      <c r="U915" s="447"/>
      <c r="V915" s="447"/>
      <c r="W915" s="447"/>
      <c r="X915" s="447"/>
      <c r="Y915" s="447"/>
      <c r="Z915" s="447"/>
      <c r="AA915" s="447"/>
    </row>
    <row r="916" spans="1:27">
      <c r="A916" s="465"/>
      <c r="B916" s="466"/>
      <c r="C916" s="465"/>
      <c r="D916" s="467"/>
      <c r="E916" s="447"/>
      <c r="F916" s="447"/>
      <c r="G916" s="447"/>
      <c r="H916" s="447"/>
      <c r="I916" s="447"/>
      <c r="J916" s="447"/>
      <c r="K916" s="447"/>
      <c r="L916" s="447"/>
      <c r="M916" s="447"/>
      <c r="N916" s="447"/>
      <c r="O916" s="447"/>
      <c r="P916" s="447"/>
      <c r="Q916" s="447"/>
      <c r="R916" s="447"/>
      <c r="S916" s="447"/>
      <c r="T916" s="447"/>
      <c r="U916" s="447"/>
      <c r="V916" s="447"/>
      <c r="W916" s="447"/>
      <c r="X916" s="447"/>
      <c r="Y916" s="447"/>
      <c r="Z916" s="447"/>
      <c r="AA916" s="447"/>
    </row>
    <row r="917" spans="1:27">
      <c r="A917" s="465"/>
      <c r="B917" s="466"/>
      <c r="C917" s="465"/>
      <c r="D917" s="467"/>
      <c r="E917" s="447"/>
      <c r="F917" s="447"/>
      <c r="G917" s="447"/>
      <c r="H917" s="447"/>
      <c r="I917" s="447"/>
      <c r="J917" s="447"/>
      <c r="K917" s="447"/>
      <c r="L917" s="447"/>
      <c r="M917" s="447"/>
      <c r="N917" s="447"/>
      <c r="O917" s="447"/>
      <c r="P917" s="447"/>
      <c r="Q917" s="447"/>
      <c r="R917" s="447"/>
      <c r="S917" s="447"/>
      <c r="T917" s="447"/>
      <c r="U917" s="447"/>
      <c r="V917" s="447"/>
      <c r="W917" s="447"/>
      <c r="X917" s="447"/>
      <c r="Y917" s="447"/>
      <c r="Z917" s="447"/>
      <c r="AA917" s="447"/>
    </row>
    <row r="918" spans="1:27">
      <c r="A918" s="465"/>
      <c r="B918" s="466"/>
      <c r="C918" s="465"/>
      <c r="D918" s="467"/>
      <c r="E918" s="447"/>
      <c r="F918" s="447"/>
      <c r="G918" s="447"/>
      <c r="H918" s="447"/>
      <c r="I918" s="447"/>
      <c r="J918" s="447"/>
      <c r="K918" s="447"/>
      <c r="L918" s="447"/>
      <c r="M918" s="447"/>
      <c r="N918" s="447"/>
      <c r="O918" s="447"/>
      <c r="P918" s="447"/>
      <c r="Q918" s="447"/>
      <c r="R918" s="447"/>
      <c r="S918" s="447"/>
      <c r="T918" s="447"/>
      <c r="U918" s="447"/>
      <c r="V918" s="447"/>
      <c r="W918" s="447"/>
      <c r="X918" s="447"/>
      <c r="Y918" s="447"/>
      <c r="Z918" s="447"/>
      <c r="AA918" s="447"/>
    </row>
    <row r="919" spans="1:27">
      <c r="A919" s="465"/>
      <c r="B919" s="466"/>
      <c r="C919" s="465"/>
      <c r="D919" s="467"/>
      <c r="E919" s="447"/>
      <c r="F919" s="447"/>
      <c r="G919" s="447"/>
      <c r="H919" s="447"/>
      <c r="I919" s="447"/>
      <c r="J919" s="447"/>
      <c r="K919" s="447"/>
      <c r="L919" s="447"/>
      <c r="M919" s="447"/>
      <c r="N919" s="447"/>
      <c r="O919" s="447"/>
      <c r="P919" s="447"/>
      <c r="Q919" s="447"/>
      <c r="R919" s="447"/>
      <c r="S919" s="447"/>
      <c r="T919" s="447"/>
      <c r="U919" s="447"/>
      <c r="V919" s="447"/>
      <c r="W919" s="447"/>
      <c r="X919" s="447"/>
      <c r="Y919" s="447"/>
      <c r="Z919" s="447"/>
      <c r="AA919" s="447"/>
    </row>
    <row r="920" spans="1:27">
      <c r="A920" s="465"/>
      <c r="B920" s="466"/>
      <c r="C920" s="465"/>
      <c r="D920" s="467"/>
      <c r="E920" s="447"/>
      <c r="F920" s="447"/>
      <c r="G920" s="447"/>
      <c r="H920" s="447"/>
      <c r="I920" s="447"/>
      <c r="J920" s="447"/>
      <c r="K920" s="447"/>
      <c r="L920" s="447"/>
      <c r="M920" s="447"/>
      <c r="N920" s="447"/>
      <c r="O920" s="447"/>
      <c r="P920" s="447"/>
      <c r="Q920" s="447"/>
      <c r="R920" s="447"/>
      <c r="S920" s="447"/>
      <c r="T920" s="447"/>
      <c r="U920" s="447"/>
      <c r="V920" s="447"/>
      <c r="W920" s="447"/>
      <c r="X920" s="447"/>
      <c r="Y920" s="447"/>
      <c r="Z920" s="447"/>
      <c r="AA920" s="447"/>
    </row>
    <row r="921" spans="1:27">
      <c r="A921" s="465"/>
      <c r="B921" s="466"/>
      <c r="C921" s="465"/>
      <c r="D921" s="467"/>
      <c r="E921" s="447"/>
      <c r="F921" s="447"/>
      <c r="G921" s="447"/>
      <c r="H921" s="447"/>
      <c r="I921" s="447"/>
      <c r="J921" s="447"/>
      <c r="K921" s="447"/>
      <c r="L921" s="447"/>
      <c r="M921" s="447"/>
      <c r="N921" s="447"/>
      <c r="O921" s="447"/>
      <c r="P921" s="447"/>
      <c r="Q921" s="447"/>
      <c r="R921" s="447"/>
      <c r="S921" s="447"/>
      <c r="T921" s="447"/>
      <c r="U921" s="447"/>
      <c r="V921" s="447"/>
      <c r="W921" s="447"/>
      <c r="X921" s="447"/>
      <c r="Y921" s="447"/>
      <c r="Z921" s="447"/>
      <c r="AA921" s="447"/>
    </row>
    <row r="922" spans="1:27">
      <c r="A922" s="465"/>
      <c r="B922" s="466"/>
      <c r="C922" s="465"/>
      <c r="D922" s="467"/>
      <c r="E922" s="447"/>
      <c r="F922" s="447"/>
      <c r="G922" s="447"/>
      <c r="H922" s="447"/>
      <c r="I922" s="447"/>
      <c r="J922" s="447"/>
      <c r="K922" s="447"/>
      <c r="L922" s="447"/>
      <c r="M922" s="447"/>
      <c r="N922" s="447"/>
      <c r="O922" s="447"/>
      <c r="P922" s="447"/>
      <c r="Q922" s="447"/>
      <c r="R922" s="447"/>
      <c r="S922" s="447"/>
      <c r="T922" s="447"/>
      <c r="U922" s="447"/>
      <c r="V922" s="447"/>
      <c r="W922" s="447"/>
      <c r="X922" s="447"/>
      <c r="Y922" s="447"/>
      <c r="Z922" s="447"/>
      <c r="AA922" s="447"/>
    </row>
    <row r="923" spans="1:27">
      <c r="A923" s="465"/>
      <c r="B923" s="466"/>
      <c r="C923" s="465"/>
      <c r="D923" s="467"/>
      <c r="E923" s="447"/>
      <c r="F923" s="447"/>
      <c r="G923" s="447"/>
      <c r="H923" s="447"/>
      <c r="I923" s="447"/>
      <c r="J923" s="447"/>
      <c r="K923" s="447"/>
      <c r="L923" s="447"/>
      <c r="M923" s="447"/>
      <c r="N923" s="447"/>
      <c r="O923" s="447"/>
      <c r="P923" s="447"/>
      <c r="Q923" s="447"/>
      <c r="R923" s="447"/>
      <c r="S923" s="447"/>
      <c r="T923" s="447"/>
      <c r="U923" s="447"/>
      <c r="V923" s="447"/>
      <c r="W923" s="447"/>
      <c r="X923" s="447"/>
      <c r="Y923" s="447"/>
      <c r="Z923" s="447"/>
      <c r="AA923" s="447"/>
    </row>
    <row r="924" spans="1:27">
      <c r="A924" s="465"/>
      <c r="B924" s="466"/>
      <c r="C924" s="465"/>
      <c r="D924" s="467"/>
      <c r="E924" s="447"/>
      <c r="F924" s="447"/>
      <c r="G924" s="447"/>
      <c r="H924" s="447"/>
      <c r="I924" s="447"/>
      <c r="J924" s="447"/>
      <c r="K924" s="447"/>
      <c r="L924" s="447"/>
      <c r="M924" s="447"/>
      <c r="N924" s="447"/>
      <c r="O924" s="447"/>
      <c r="P924" s="447"/>
      <c r="Q924" s="447"/>
      <c r="R924" s="447"/>
      <c r="S924" s="447"/>
      <c r="T924" s="447"/>
      <c r="U924" s="447"/>
      <c r="V924" s="447"/>
      <c r="W924" s="447"/>
      <c r="X924" s="447"/>
      <c r="Y924" s="447"/>
      <c r="Z924" s="447"/>
      <c r="AA924" s="447"/>
    </row>
    <row r="925" spans="1:27">
      <c r="A925" s="465"/>
      <c r="B925" s="466"/>
      <c r="C925" s="465"/>
      <c r="D925" s="467"/>
      <c r="E925" s="447"/>
      <c r="F925" s="447"/>
      <c r="G925" s="447"/>
      <c r="H925" s="447"/>
      <c r="I925" s="447"/>
      <c r="J925" s="447"/>
      <c r="K925" s="447"/>
      <c r="L925" s="447"/>
      <c r="M925" s="447"/>
      <c r="N925" s="447"/>
      <c r="O925" s="447"/>
      <c r="P925" s="447"/>
      <c r="Q925" s="447"/>
      <c r="R925" s="447"/>
      <c r="S925" s="447"/>
      <c r="T925" s="447"/>
      <c r="U925" s="447"/>
      <c r="V925" s="447"/>
      <c r="W925" s="447"/>
      <c r="X925" s="447"/>
      <c r="Y925" s="447"/>
      <c r="Z925" s="447"/>
      <c r="AA925" s="447"/>
    </row>
    <row r="926" spans="1:27">
      <c r="A926" s="465"/>
      <c r="B926" s="466"/>
      <c r="C926" s="465"/>
      <c r="D926" s="467"/>
      <c r="E926" s="447"/>
      <c r="F926" s="447"/>
      <c r="G926" s="447"/>
      <c r="H926" s="447"/>
      <c r="I926" s="447"/>
      <c r="J926" s="447"/>
      <c r="K926" s="447"/>
      <c r="L926" s="447"/>
      <c r="M926" s="447"/>
      <c r="N926" s="447"/>
      <c r="O926" s="447"/>
      <c r="P926" s="447"/>
      <c r="Q926" s="447"/>
      <c r="R926" s="447"/>
      <c r="S926" s="447"/>
      <c r="T926" s="447"/>
      <c r="U926" s="447"/>
      <c r="V926" s="447"/>
      <c r="W926" s="447"/>
      <c r="X926" s="447"/>
      <c r="Y926" s="447"/>
      <c r="Z926" s="447"/>
      <c r="AA926" s="447"/>
    </row>
    <row r="927" spans="1:27">
      <c r="A927" s="465"/>
      <c r="B927" s="466"/>
      <c r="C927" s="465"/>
      <c r="D927" s="467"/>
      <c r="E927" s="447"/>
      <c r="F927" s="447"/>
      <c r="G927" s="447"/>
      <c r="H927" s="447"/>
      <c r="I927" s="447"/>
      <c r="J927" s="447"/>
      <c r="K927" s="447"/>
      <c r="L927" s="447"/>
      <c r="M927" s="447"/>
      <c r="N927" s="447"/>
      <c r="O927" s="447"/>
      <c r="P927" s="447"/>
      <c r="Q927" s="447"/>
      <c r="R927" s="447"/>
      <c r="S927" s="447"/>
      <c r="T927" s="447"/>
      <c r="U927" s="447"/>
      <c r="V927" s="447"/>
      <c r="W927" s="447"/>
      <c r="X927" s="447"/>
      <c r="Y927" s="447"/>
      <c r="Z927" s="447"/>
      <c r="AA927" s="447"/>
    </row>
    <row r="928" spans="1:27">
      <c r="A928" s="465"/>
      <c r="B928" s="466"/>
      <c r="C928" s="465"/>
      <c r="D928" s="467"/>
      <c r="E928" s="447"/>
      <c r="F928" s="447"/>
      <c r="G928" s="447"/>
      <c r="H928" s="447"/>
      <c r="I928" s="447"/>
      <c r="J928" s="447"/>
      <c r="K928" s="447"/>
      <c r="L928" s="447"/>
      <c r="M928" s="447"/>
      <c r="N928" s="447"/>
      <c r="O928" s="447"/>
      <c r="P928" s="447"/>
      <c r="Q928" s="447"/>
      <c r="R928" s="447"/>
      <c r="S928" s="447"/>
      <c r="T928" s="447"/>
      <c r="U928" s="447"/>
      <c r="V928" s="447"/>
      <c r="W928" s="447"/>
      <c r="X928" s="447"/>
      <c r="Y928" s="447"/>
      <c r="Z928" s="447"/>
      <c r="AA928" s="447"/>
    </row>
    <row r="929" spans="1:27">
      <c r="A929" s="465"/>
      <c r="B929" s="466"/>
      <c r="C929" s="465"/>
      <c r="D929" s="467"/>
      <c r="E929" s="447"/>
      <c r="F929" s="447"/>
      <c r="G929" s="447"/>
      <c r="H929" s="447"/>
      <c r="I929" s="447"/>
      <c r="J929" s="447"/>
      <c r="K929" s="447"/>
      <c r="L929" s="447"/>
      <c r="M929" s="447"/>
      <c r="N929" s="447"/>
      <c r="O929" s="447"/>
      <c r="P929" s="447"/>
      <c r="Q929" s="447"/>
      <c r="R929" s="447"/>
      <c r="S929" s="447"/>
      <c r="T929" s="447"/>
      <c r="U929" s="447"/>
      <c r="V929" s="447"/>
      <c r="W929" s="447"/>
      <c r="X929" s="447"/>
      <c r="Y929" s="447"/>
      <c r="Z929" s="447"/>
      <c r="AA929" s="447"/>
    </row>
    <row r="930" spans="1:27">
      <c r="A930" s="465"/>
      <c r="B930" s="466"/>
      <c r="C930" s="465"/>
      <c r="D930" s="467"/>
      <c r="E930" s="447"/>
      <c r="F930" s="447"/>
      <c r="G930" s="447"/>
      <c r="H930" s="447"/>
      <c r="I930" s="447"/>
      <c r="J930" s="447"/>
      <c r="K930" s="447"/>
      <c r="L930" s="447"/>
      <c r="M930" s="447"/>
      <c r="N930" s="447"/>
      <c r="O930" s="447"/>
      <c r="P930" s="447"/>
      <c r="Q930" s="447"/>
      <c r="R930" s="447"/>
      <c r="S930" s="447"/>
      <c r="T930" s="447"/>
      <c r="U930" s="447"/>
      <c r="V930" s="447"/>
      <c r="W930" s="447"/>
      <c r="X930" s="447"/>
      <c r="Y930" s="447"/>
      <c r="Z930" s="447"/>
      <c r="AA930" s="447"/>
    </row>
    <row r="931" spans="1:27">
      <c r="A931" s="465"/>
      <c r="B931" s="466"/>
      <c r="C931" s="465"/>
      <c r="D931" s="467"/>
      <c r="E931" s="447"/>
      <c r="F931" s="447"/>
      <c r="G931" s="447"/>
      <c r="H931" s="447"/>
      <c r="I931" s="447"/>
      <c r="J931" s="447"/>
      <c r="K931" s="447"/>
      <c r="L931" s="447"/>
      <c r="M931" s="447"/>
      <c r="N931" s="447"/>
      <c r="O931" s="447"/>
      <c r="P931" s="447"/>
      <c r="Q931" s="447"/>
      <c r="R931" s="447"/>
      <c r="S931" s="447"/>
      <c r="T931" s="447"/>
      <c r="U931" s="447"/>
      <c r="V931" s="447"/>
      <c r="W931" s="447"/>
      <c r="X931" s="447"/>
      <c r="Y931" s="447"/>
      <c r="Z931" s="447"/>
      <c r="AA931" s="447"/>
    </row>
    <row r="932" spans="1:27">
      <c r="A932" s="465"/>
      <c r="B932" s="466"/>
      <c r="C932" s="465"/>
      <c r="D932" s="467"/>
      <c r="E932" s="447"/>
      <c r="F932" s="447"/>
      <c r="G932" s="447"/>
      <c r="H932" s="447"/>
      <c r="I932" s="447"/>
      <c r="J932" s="447"/>
      <c r="K932" s="447"/>
      <c r="L932" s="447"/>
      <c r="M932" s="447"/>
      <c r="N932" s="447"/>
      <c r="O932" s="447"/>
      <c r="P932" s="447"/>
      <c r="Q932" s="447"/>
      <c r="R932" s="447"/>
      <c r="S932" s="447"/>
      <c r="T932" s="447"/>
      <c r="U932" s="447"/>
      <c r="V932" s="447"/>
      <c r="W932" s="447"/>
      <c r="X932" s="447"/>
      <c r="Y932" s="447"/>
      <c r="Z932" s="447"/>
      <c r="AA932" s="447"/>
    </row>
    <row r="933" spans="1:27">
      <c r="A933" s="465"/>
      <c r="B933" s="466"/>
      <c r="C933" s="465"/>
      <c r="D933" s="467"/>
      <c r="E933" s="447"/>
      <c r="F933" s="447"/>
      <c r="G933" s="447"/>
      <c r="H933" s="447"/>
      <c r="I933" s="447"/>
      <c r="J933" s="447"/>
      <c r="K933" s="447"/>
      <c r="L933" s="447"/>
      <c r="M933" s="447"/>
      <c r="N933" s="447"/>
      <c r="O933" s="447"/>
      <c r="P933" s="447"/>
      <c r="Q933" s="447"/>
      <c r="R933" s="447"/>
      <c r="S933" s="447"/>
      <c r="T933" s="447"/>
      <c r="U933" s="447"/>
      <c r="V933" s="447"/>
      <c r="W933" s="447"/>
      <c r="X933" s="447"/>
      <c r="Y933" s="447"/>
      <c r="Z933" s="447"/>
      <c r="AA933" s="447"/>
    </row>
    <row r="934" spans="1:27">
      <c r="A934" s="465"/>
      <c r="B934" s="466"/>
      <c r="C934" s="465"/>
      <c r="D934" s="467"/>
      <c r="E934" s="447"/>
      <c r="F934" s="447"/>
      <c r="G934" s="447"/>
      <c r="H934" s="447"/>
      <c r="I934" s="447"/>
      <c r="J934" s="447"/>
      <c r="K934" s="447"/>
      <c r="L934" s="447"/>
      <c r="M934" s="447"/>
      <c r="N934" s="447"/>
      <c r="O934" s="447"/>
      <c r="P934" s="447"/>
      <c r="Q934" s="447"/>
      <c r="R934" s="447"/>
      <c r="S934" s="447"/>
      <c r="T934" s="447"/>
      <c r="U934" s="447"/>
      <c r="V934" s="447"/>
      <c r="W934" s="447"/>
      <c r="X934" s="447"/>
      <c r="Y934" s="447"/>
      <c r="Z934" s="447"/>
      <c r="AA934" s="447"/>
    </row>
    <row r="935" spans="1:27">
      <c r="A935" s="465"/>
      <c r="B935" s="466"/>
      <c r="C935" s="465"/>
      <c r="D935" s="467"/>
      <c r="E935" s="447"/>
      <c r="F935" s="447"/>
      <c r="G935" s="447"/>
      <c r="H935" s="447"/>
      <c r="I935" s="447"/>
      <c r="J935" s="447"/>
      <c r="K935" s="447"/>
      <c r="L935" s="447"/>
      <c r="M935" s="447"/>
      <c r="N935" s="447"/>
      <c r="O935" s="447"/>
      <c r="P935" s="447"/>
      <c r="Q935" s="447"/>
      <c r="R935" s="447"/>
      <c r="S935" s="447"/>
      <c r="T935" s="447"/>
      <c r="U935" s="447"/>
      <c r="V935" s="447"/>
      <c r="W935" s="447"/>
      <c r="X935" s="447"/>
      <c r="Y935" s="447"/>
      <c r="Z935" s="447"/>
      <c r="AA935" s="447"/>
    </row>
    <row r="936" spans="1:27">
      <c r="A936" s="465"/>
      <c r="B936" s="466"/>
      <c r="C936" s="465"/>
      <c r="D936" s="467"/>
      <c r="E936" s="447"/>
      <c r="F936" s="447"/>
      <c r="G936" s="447"/>
      <c r="H936" s="447"/>
      <c r="I936" s="447"/>
      <c r="J936" s="447"/>
      <c r="K936" s="447"/>
      <c r="L936" s="447"/>
      <c r="M936" s="447"/>
      <c r="N936" s="447"/>
      <c r="O936" s="447"/>
      <c r="P936" s="447"/>
      <c r="Q936" s="447"/>
      <c r="R936" s="447"/>
      <c r="S936" s="447"/>
      <c r="T936" s="447"/>
      <c r="U936" s="447"/>
      <c r="V936" s="447"/>
      <c r="W936" s="447"/>
      <c r="X936" s="447"/>
      <c r="Y936" s="447"/>
      <c r="Z936" s="447"/>
      <c r="AA936" s="447"/>
    </row>
    <row r="937" spans="1:27">
      <c r="A937" s="465"/>
      <c r="B937" s="466"/>
      <c r="C937" s="465"/>
      <c r="D937" s="467"/>
      <c r="E937" s="447"/>
      <c r="F937" s="447"/>
      <c r="G937" s="447"/>
      <c r="H937" s="447"/>
      <c r="I937" s="447"/>
      <c r="J937" s="447"/>
      <c r="K937" s="447"/>
      <c r="L937" s="447"/>
      <c r="M937" s="447"/>
      <c r="N937" s="447"/>
      <c r="O937" s="447"/>
      <c r="P937" s="447"/>
      <c r="Q937" s="447"/>
      <c r="R937" s="447"/>
      <c r="S937" s="447"/>
      <c r="T937" s="447"/>
      <c r="U937" s="447"/>
      <c r="V937" s="447"/>
      <c r="W937" s="447"/>
      <c r="X937" s="447"/>
      <c r="Y937" s="447"/>
      <c r="Z937" s="447"/>
      <c r="AA937" s="447"/>
    </row>
    <row r="938" spans="1:27">
      <c r="A938" s="465"/>
      <c r="B938" s="466"/>
      <c r="C938" s="465"/>
      <c r="D938" s="467"/>
      <c r="E938" s="447"/>
      <c r="F938" s="447"/>
      <c r="G938" s="447"/>
      <c r="H938" s="447"/>
      <c r="I938" s="447"/>
      <c r="J938" s="447"/>
      <c r="K938" s="447"/>
      <c r="L938" s="447"/>
      <c r="M938" s="447"/>
      <c r="N938" s="447"/>
      <c r="O938" s="447"/>
      <c r="P938" s="447"/>
      <c r="Q938" s="447"/>
      <c r="R938" s="447"/>
      <c r="S938" s="447"/>
      <c r="T938" s="447"/>
      <c r="U938" s="447"/>
      <c r="V938" s="447"/>
      <c r="W938" s="447"/>
      <c r="X938" s="447"/>
      <c r="Y938" s="447"/>
      <c r="Z938" s="447"/>
      <c r="AA938" s="447"/>
    </row>
    <row r="939" spans="1:27">
      <c r="A939" s="465"/>
      <c r="B939" s="466"/>
      <c r="C939" s="465"/>
      <c r="D939" s="467"/>
      <c r="E939" s="447"/>
      <c r="F939" s="447"/>
      <c r="G939" s="447"/>
      <c r="H939" s="447"/>
      <c r="I939" s="447"/>
      <c r="J939" s="447"/>
      <c r="K939" s="447"/>
      <c r="L939" s="447"/>
      <c r="M939" s="447"/>
      <c r="N939" s="447"/>
      <c r="O939" s="447"/>
      <c r="P939" s="447"/>
      <c r="Q939" s="447"/>
      <c r="R939" s="447"/>
      <c r="S939" s="447"/>
      <c r="T939" s="447"/>
      <c r="U939" s="447"/>
      <c r="V939" s="447"/>
      <c r="W939" s="447"/>
      <c r="X939" s="447"/>
      <c r="Y939" s="447"/>
      <c r="Z939" s="447"/>
      <c r="AA939" s="447"/>
    </row>
    <row r="940" spans="1:27">
      <c r="A940" s="465"/>
      <c r="B940" s="466"/>
      <c r="C940" s="465"/>
      <c r="D940" s="467"/>
      <c r="E940" s="447"/>
      <c r="F940" s="447"/>
      <c r="G940" s="447"/>
      <c r="H940" s="447"/>
      <c r="I940" s="447"/>
      <c r="J940" s="447"/>
      <c r="K940" s="447"/>
      <c r="L940" s="447"/>
      <c r="M940" s="447"/>
      <c r="N940" s="447"/>
      <c r="O940" s="447"/>
      <c r="P940" s="447"/>
      <c r="Q940" s="447"/>
      <c r="R940" s="447"/>
      <c r="S940" s="447"/>
      <c r="T940" s="447"/>
      <c r="U940" s="447"/>
      <c r="V940" s="447"/>
      <c r="W940" s="447"/>
      <c r="X940" s="447"/>
      <c r="Y940" s="447"/>
      <c r="Z940" s="447"/>
      <c r="AA940" s="447"/>
    </row>
    <row r="941" spans="1:27">
      <c r="A941" s="465"/>
      <c r="B941" s="466"/>
      <c r="C941" s="465"/>
      <c r="D941" s="467"/>
      <c r="E941" s="447"/>
      <c r="F941" s="447"/>
      <c r="G941" s="447"/>
      <c r="H941" s="447"/>
      <c r="I941" s="447"/>
      <c r="J941" s="447"/>
      <c r="K941" s="447"/>
      <c r="L941" s="447"/>
      <c r="M941" s="447"/>
      <c r="N941" s="447"/>
      <c r="O941" s="447"/>
      <c r="P941" s="447"/>
      <c r="Q941" s="447"/>
      <c r="R941" s="447"/>
      <c r="S941" s="447"/>
      <c r="T941" s="447"/>
      <c r="U941" s="447"/>
      <c r="V941" s="447"/>
      <c r="W941" s="447"/>
      <c r="X941" s="447"/>
      <c r="Y941" s="447"/>
      <c r="Z941" s="447"/>
      <c r="AA941" s="447"/>
    </row>
    <row r="942" spans="1:27">
      <c r="A942" s="465"/>
      <c r="B942" s="466"/>
      <c r="C942" s="465"/>
      <c r="D942" s="467"/>
      <c r="E942" s="447"/>
      <c r="F942" s="447"/>
      <c r="G942" s="447"/>
      <c r="H942" s="447"/>
      <c r="I942" s="447"/>
      <c r="J942" s="447"/>
      <c r="K942" s="447"/>
      <c r="L942" s="447"/>
      <c r="M942" s="447"/>
      <c r="N942" s="447"/>
      <c r="O942" s="447"/>
      <c r="P942" s="447"/>
      <c r="Q942" s="447"/>
      <c r="R942" s="447"/>
      <c r="S942" s="447"/>
      <c r="T942" s="447"/>
      <c r="U942" s="447"/>
      <c r="V942" s="447"/>
      <c r="W942" s="447"/>
      <c r="X942" s="447"/>
      <c r="Y942" s="447"/>
      <c r="Z942" s="447"/>
      <c r="AA942" s="447"/>
    </row>
    <row r="943" spans="1:27">
      <c r="A943" s="465"/>
      <c r="B943" s="466"/>
      <c r="C943" s="465"/>
      <c r="D943" s="467"/>
      <c r="E943" s="447"/>
      <c r="F943" s="447"/>
      <c r="G943" s="447"/>
      <c r="H943" s="447"/>
      <c r="I943" s="447"/>
      <c r="J943" s="447"/>
      <c r="K943" s="447"/>
      <c r="L943" s="447"/>
      <c r="M943" s="447"/>
      <c r="N943" s="447"/>
      <c r="O943" s="447"/>
      <c r="P943" s="447"/>
      <c r="Q943" s="447"/>
      <c r="R943" s="447"/>
      <c r="S943" s="447"/>
      <c r="T943" s="447"/>
      <c r="U943" s="447"/>
      <c r="V943" s="447"/>
      <c r="W943" s="447"/>
      <c r="X943" s="447"/>
      <c r="Y943" s="447"/>
      <c r="Z943" s="447"/>
      <c r="AA943" s="447"/>
    </row>
    <row r="944" spans="1:27">
      <c r="A944" s="465"/>
      <c r="B944" s="466"/>
      <c r="C944" s="465"/>
      <c r="D944" s="467"/>
      <c r="E944" s="447"/>
      <c r="F944" s="447"/>
      <c r="G944" s="447"/>
      <c r="H944" s="447"/>
      <c r="I944" s="447"/>
      <c r="J944" s="447"/>
      <c r="K944" s="447"/>
      <c r="L944" s="447"/>
      <c r="M944" s="447"/>
      <c r="N944" s="447"/>
      <c r="O944" s="447"/>
      <c r="P944" s="447"/>
      <c r="Q944" s="447"/>
      <c r="R944" s="447"/>
      <c r="S944" s="447"/>
      <c r="T944" s="447"/>
      <c r="U944" s="447"/>
      <c r="V944" s="447"/>
      <c r="W944" s="447"/>
      <c r="X944" s="447"/>
      <c r="Y944" s="447"/>
      <c r="Z944" s="447"/>
      <c r="AA944" s="447"/>
    </row>
    <row r="945" spans="1:27">
      <c r="A945" s="465"/>
      <c r="B945" s="466"/>
      <c r="C945" s="465"/>
      <c r="D945" s="467"/>
      <c r="E945" s="447"/>
      <c r="F945" s="447"/>
      <c r="G945" s="447"/>
      <c r="H945" s="447"/>
      <c r="I945" s="447"/>
      <c r="J945" s="447"/>
      <c r="K945" s="447"/>
      <c r="L945" s="447"/>
      <c r="M945" s="447"/>
      <c r="N945" s="447"/>
      <c r="O945" s="447"/>
      <c r="P945" s="447"/>
      <c r="Q945" s="447"/>
      <c r="R945" s="447"/>
      <c r="S945" s="447"/>
      <c r="T945" s="447"/>
      <c r="U945" s="447"/>
      <c r="V945" s="447"/>
      <c r="W945" s="447"/>
      <c r="X945" s="447"/>
      <c r="Y945" s="447"/>
      <c r="Z945" s="447"/>
      <c r="AA945" s="447"/>
    </row>
    <row r="946" spans="1:27">
      <c r="A946" s="465"/>
      <c r="B946" s="466"/>
      <c r="C946" s="465"/>
      <c r="D946" s="467"/>
      <c r="E946" s="447"/>
      <c r="F946" s="447"/>
      <c r="G946" s="447"/>
      <c r="H946" s="447"/>
      <c r="I946" s="447"/>
      <c r="J946" s="447"/>
      <c r="K946" s="447"/>
      <c r="L946" s="447"/>
      <c r="M946" s="447"/>
      <c r="N946" s="447"/>
      <c r="O946" s="447"/>
      <c r="P946" s="447"/>
      <c r="Q946" s="447"/>
      <c r="R946" s="447"/>
      <c r="S946" s="447"/>
      <c r="T946" s="447"/>
      <c r="U946" s="447"/>
      <c r="V946" s="447"/>
      <c r="W946" s="447"/>
      <c r="X946" s="447"/>
      <c r="Y946" s="447"/>
      <c r="Z946" s="447"/>
      <c r="AA946" s="447"/>
    </row>
    <row r="947" spans="1:27">
      <c r="A947" s="465"/>
      <c r="B947" s="466"/>
      <c r="C947" s="465"/>
      <c r="D947" s="467"/>
      <c r="E947" s="447"/>
      <c r="F947" s="447"/>
      <c r="G947" s="447"/>
      <c r="H947" s="447"/>
      <c r="I947" s="447"/>
      <c r="J947" s="447"/>
      <c r="K947" s="447"/>
      <c r="L947" s="447"/>
      <c r="M947" s="447"/>
      <c r="N947" s="447"/>
      <c r="O947" s="447"/>
      <c r="P947" s="447"/>
      <c r="Q947" s="447"/>
      <c r="R947" s="447"/>
      <c r="S947" s="447"/>
      <c r="T947" s="447"/>
      <c r="U947" s="447"/>
      <c r="V947" s="447"/>
      <c r="W947" s="447"/>
      <c r="X947" s="447"/>
      <c r="Y947" s="447"/>
      <c r="Z947" s="447"/>
      <c r="AA947" s="447"/>
    </row>
    <row r="948" spans="1:27">
      <c r="A948" s="465"/>
      <c r="B948" s="466"/>
      <c r="C948" s="465"/>
      <c r="D948" s="467"/>
      <c r="E948" s="447"/>
      <c r="F948" s="447"/>
      <c r="G948" s="447"/>
      <c r="H948" s="447"/>
      <c r="I948" s="447"/>
      <c r="J948" s="447"/>
      <c r="K948" s="447"/>
      <c r="L948" s="447"/>
      <c r="M948" s="447"/>
      <c r="N948" s="447"/>
      <c r="O948" s="447"/>
      <c r="P948" s="447"/>
      <c r="Q948" s="447"/>
      <c r="R948" s="447"/>
      <c r="S948" s="447"/>
      <c r="T948" s="447"/>
      <c r="U948" s="447"/>
      <c r="V948" s="447"/>
      <c r="W948" s="447"/>
      <c r="X948" s="447"/>
      <c r="Y948" s="447"/>
      <c r="Z948" s="447"/>
      <c r="AA948" s="447"/>
    </row>
    <row r="949" spans="1:27">
      <c r="A949" s="465"/>
      <c r="B949" s="466"/>
      <c r="C949" s="465"/>
      <c r="D949" s="467"/>
      <c r="E949" s="447"/>
      <c r="F949" s="447"/>
      <c r="G949" s="447"/>
      <c r="H949" s="447"/>
      <c r="I949" s="447"/>
      <c r="J949" s="447"/>
      <c r="K949" s="447"/>
      <c r="L949" s="447"/>
      <c r="M949" s="447"/>
      <c r="N949" s="447"/>
      <c r="O949" s="447"/>
      <c r="P949" s="447"/>
      <c r="Q949" s="447"/>
      <c r="R949" s="447"/>
      <c r="S949" s="447"/>
      <c r="T949" s="447"/>
      <c r="U949" s="447"/>
      <c r="V949" s="447"/>
      <c r="W949" s="447"/>
      <c r="X949" s="447"/>
      <c r="Y949" s="447"/>
      <c r="Z949" s="447"/>
      <c r="AA949" s="447"/>
    </row>
    <row r="950" spans="1:27">
      <c r="A950" s="465"/>
      <c r="B950" s="466"/>
      <c r="C950" s="465"/>
      <c r="D950" s="467"/>
      <c r="E950" s="447"/>
      <c r="F950" s="447"/>
      <c r="G950" s="447"/>
      <c r="H950" s="447"/>
      <c r="I950" s="447"/>
      <c r="J950" s="447"/>
      <c r="K950" s="447"/>
      <c r="L950" s="447"/>
      <c r="M950" s="447"/>
      <c r="N950" s="447"/>
      <c r="O950" s="447"/>
      <c r="P950" s="447"/>
      <c r="Q950" s="447"/>
      <c r="R950" s="447"/>
      <c r="S950" s="447"/>
      <c r="T950" s="447"/>
      <c r="U950" s="447"/>
      <c r="V950" s="447"/>
      <c r="W950" s="447"/>
      <c r="X950" s="447"/>
      <c r="Y950" s="447"/>
      <c r="Z950" s="447"/>
      <c r="AA950" s="447"/>
    </row>
    <row r="951" spans="1:27">
      <c r="A951" s="465"/>
      <c r="B951" s="466"/>
      <c r="C951" s="465"/>
      <c r="D951" s="467"/>
      <c r="E951" s="447"/>
      <c r="F951" s="447"/>
      <c r="G951" s="447"/>
      <c r="H951" s="447"/>
      <c r="I951" s="447"/>
      <c r="J951" s="447"/>
      <c r="K951" s="447"/>
      <c r="L951" s="447"/>
      <c r="M951" s="447"/>
      <c r="N951" s="447"/>
      <c r="O951" s="447"/>
      <c r="P951" s="447"/>
      <c r="Q951" s="447"/>
      <c r="R951" s="447"/>
      <c r="S951" s="447"/>
      <c r="T951" s="447"/>
      <c r="U951" s="447"/>
      <c r="V951" s="447"/>
      <c r="W951" s="447"/>
      <c r="X951" s="447"/>
      <c r="Y951" s="447"/>
      <c r="Z951" s="447"/>
      <c r="AA951" s="447"/>
    </row>
    <row r="952" spans="1:27">
      <c r="A952" s="465"/>
      <c r="B952" s="466"/>
      <c r="C952" s="465"/>
      <c r="D952" s="467"/>
      <c r="E952" s="447"/>
      <c r="F952" s="447"/>
      <c r="G952" s="447"/>
      <c r="H952" s="447"/>
      <c r="I952" s="447"/>
      <c r="J952" s="447"/>
      <c r="K952" s="447"/>
      <c r="L952" s="447"/>
      <c r="M952" s="447"/>
      <c r="N952" s="447"/>
      <c r="O952" s="447"/>
      <c r="P952" s="447"/>
      <c r="Q952" s="447"/>
      <c r="R952" s="447"/>
      <c r="S952" s="447"/>
      <c r="T952" s="447"/>
      <c r="U952" s="447"/>
      <c r="V952" s="447"/>
      <c r="W952" s="447"/>
      <c r="X952" s="447"/>
      <c r="Y952" s="447"/>
      <c r="Z952" s="447"/>
      <c r="AA952" s="447"/>
    </row>
    <row r="953" spans="1:27">
      <c r="A953" s="465"/>
      <c r="B953" s="466"/>
      <c r="C953" s="465"/>
      <c r="D953" s="467"/>
      <c r="E953" s="447"/>
      <c r="F953" s="447"/>
      <c r="G953" s="447"/>
      <c r="H953" s="447"/>
      <c r="I953" s="447"/>
      <c r="J953" s="447"/>
      <c r="K953" s="447"/>
      <c r="L953" s="447"/>
      <c r="M953" s="447"/>
      <c r="N953" s="447"/>
      <c r="O953" s="447"/>
      <c r="P953" s="447"/>
      <c r="Q953" s="447"/>
      <c r="R953" s="447"/>
      <c r="S953" s="447"/>
      <c r="T953" s="447"/>
      <c r="U953" s="447"/>
      <c r="V953" s="447"/>
      <c r="W953" s="447"/>
      <c r="X953" s="447"/>
      <c r="Y953" s="447"/>
      <c r="Z953" s="447"/>
      <c r="AA953" s="447"/>
    </row>
    <row r="954" spans="1:27">
      <c r="A954" s="465"/>
      <c r="B954" s="466"/>
      <c r="C954" s="465"/>
      <c r="D954" s="467"/>
      <c r="E954" s="447"/>
      <c r="F954" s="447"/>
      <c r="G954" s="447"/>
      <c r="H954" s="447"/>
      <c r="I954" s="447"/>
      <c r="J954" s="447"/>
      <c r="K954" s="447"/>
      <c r="L954" s="447"/>
      <c r="M954" s="447"/>
      <c r="N954" s="447"/>
      <c r="O954" s="447"/>
      <c r="P954" s="447"/>
      <c r="Q954" s="447"/>
      <c r="R954" s="447"/>
      <c r="S954" s="447"/>
      <c r="T954" s="447"/>
      <c r="U954" s="447"/>
      <c r="V954" s="447"/>
      <c r="W954" s="447"/>
      <c r="X954" s="447"/>
      <c r="Y954" s="447"/>
      <c r="Z954" s="447"/>
      <c r="AA954" s="447"/>
    </row>
    <row r="955" spans="1:27">
      <c r="A955" s="465"/>
      <c r="B955" s="466"/>
      <c r="C955" s="465"/>
      <c r="D955" s="467"/>
      <c r="E955" s="447"/>
      <c r="F955" s="447"/>
      <c r="G955" s="447"/>
      <c r="H955" s="447"/>
      <c r="I955" s="447"/>
      <c r="J955" s="447"/>
      <c r="K955" s="447"/>
      <c r="L955" s="447"/>
      <c r="M955" s="447"/>
      <c r="N955" s="447"/>
      <c r="O955" s="447"/>
      <c r="P955" s="447"/>
      <c r="Q955" s="447"/>
      <c r="R955" s="447"/>
      <c r="S955" s="447"/>
      <c r="T955" s="447"/>
      <c r="U955" s="447"/>
      <c r="V955" s="447"/>
      <c r="W955" s="447"/>
      <c r="X955" s="447"/>
      <c r="Y955" s="447"/>
      <c r="Z955" s="447"/>
      <c r="AA955" s="447"/>
    </row>
    <row r="956" spans="1:27">
      <c r="A956" s="465"/>
      <c r="B956" s="466"/>
      <c r="C956" s="465"/>
      <c r="D956" s="467"/>
      <c r="E956" s="447"/>
      <c r="F956" s="447"/>
      <c r="G956" s="447"/>
      <c r="H956" s="447"/>
      <c r="I956" s="447"/>
      <c r="J956" s="447"/>
      <c r="K956" s="447"/>
      <c r="L956" s="447"/>
      <c r="M956" s="447"/>
      <c r="N956" s="447"/>
      <c r="O956" s="447"/>
      <c r="P956" s="447"/>
      <c r="Q956" s="447"/>
      <c r="R956" s="447"/>
      <c r="S956" s="447"/>
      <c r="T956" s="447"/>
      <c r="U956" s="447"/>
      <c r="V956" s="447"/>
      <c r="W956" s="447"/>
      <c r="X956" s="447"/>
      <c r="Y956" s="447"/>
      <c r="Z956" s="447"/>
      <c r="AA956" s="447"/>
    </row>
    <row r="957" spans="1:27">
      <c r="A957" s="465"/>
      <c r="B957" s="466"/>
      <c r="C957" s="465"/>
      <c r="D957" s="467"/>
      <c r="E957" s="447"/>
      <c r="F957" s="447"/>
      <c r="G957" s="447"/>
      <c r="H957" s="447"/>
      <c r="I957" s="447"/>
      <c r="J957" s="447"/>
      <c r="K957" s="447"/>
      <c r="L957" s="447"/>
      <c r="M957" s="447"/>
      <c r="N957" s="447"/>
      <c r="O957" s="447"/>
      <c r="P957" s="447"/>
      <c r="Q957" s="447"/>
      <c r="R957" s="447"/>
      <c r="S957" s="447"/>
      <c r="T957" s="447"/>
      <c r="U957" s="447"/>
      <c r="V957" s="447"/>
      <c r="W957" s="447"/>
      <c r="X957" s="447"/>
      <c r="Y957" s="447"/>
      <c r="Z957" s="447"/>
      <c r="AA957" s="447"/>
    </row>
    <row r="958" spans="1:27">
      <c r="A958" s="465"/>
      <c r="B958" s="466"/>
      <c r="C958" s="465"/>
      <c r="D958" s="467"/>
      <c r="E958" s="447"/>
      <c r="F958" s="447"/>
      <c r="G958" s="447"/>
      <c r="H958" s="447"/>
      <c r="I958" s="447"/>
      <c r="J958" s="447"/>
      <c r="K958" s="447"/>
      <c r="L958" s="447"/>
      <c r="M958" s="447"/>
      <c r="N958" s="447"/>
      <c r="O958" s="447"/>
      <c r="P958" s="447"/>
      <c r="Q958" s="447"/>
      <c r="R958" s="447"/>
      <c r="S958" s="447"/>
      <c r="T958" s="447"/>
      <c r="U958" s="447"/>
      <c r="V958" s="447"/>
      <c r="W958" s="447"/>
      <c r="X958" s="447"/>
      <c r="Y958" s="447"/>
      <c r="Z958" s="447"/>
      <c r="AA958" s="447"/>
    </row>
    <row r="959" spans="1:27">
      <c r="A959" s="465"/>
      <c r="B959" s="466"/>
      <c r="C959" s="465"/>
      <c r="D959" s="467"/>
      <c r="E959" s="447"/>
      <c r="F959" s="447"/>
      <c r="G959" s="447"/>
      <c r="H959" s="447"/>
      <c r="I959" s="447"/>
      <c r="J959" s="447"/>
      <c r="K959" s="447"/>
      <c r="L959" s="447"/>
      <c r="M959" s="447"/>
      <c r="N959" s="447"/>
      <c r="O959" s="447"/>
      <c r="P959" s="447"/>
      <c r="Q959" s="447"/>
      <c r="R959" s="447"/>
      <c r="S959" s="447"/>
      <c r="T959" s="447"/>
      <c r="U959" s="447"/>
      <c r="V959" s="447"/>
      <c r="W959" s="447"/>
      <c r="X959" s="447"/>
      <c r="Y959" s="447"/>
      <c r="Z959" s="447"/>
      <c r="AA959" s="447"/>
    </row>
    <row r="960" spans="1:27">
      <c r="A960" s="465"/>
      <c r="B960" s="466"/>
      <c r="C960" s="465"/>
      <c r="D960" s="467"/>
      <c r="E960" s="447"/>
      <c r="F960" s="447"/>
      <c r="G960" s="447"/>
      <c r="H960" s="447"/>
      <c r="I960" s="447"/>
      <c r="J960" s="447"/>
      <c r="K960" s="447"/>
      <c r="L960" s="447"/>
      <c r="M960" s="447"/>
      <c r="N960" s="447"/>
      <c r="O960" s="447"/>
      <c r="P960" s="447"/>
      <c r="Q960" s="447"/>
      <c r="R960" s="447"/>
      <c r="S960" s="447"/>
      <c r="T960" s="447"/>
      <c r="U960" s="447"/>
      <c r="V960" s="447"/>
      <c r="W960" s="447"/>
      <c r="X960" s="447"/>
      <c r="Y960" s="447"/>
      <c r="Z960" s="447"/>
      <c r="AA960" s="447"/>
    </row>
    <row r="961" spans="1:27">
      <c r="A961" s="465"/>
      <c r="B961" s="466"/>
      <c r="C961" s="465"/>
      <c r="D961" s="467"/>
      <c r="E961" s="447"/>
      <c r="F961" s="447"/>
      <c r="G961" s="447"/>
      <c r="H961" s="447"/>
      <c r="I961" s="447"/>
      <c r="J961" s="447"/>
      <c r="K961" s="447"/>
      <c r="L961" s="447"/>
      <c r="M961" s="447"/>
      <c r="N961" s="447"/>
      <c r="O961" s="447"/>
      <c r="P961" s="447"/>
      <c r="Q961" s="447"/>
      <c r="R961" s="447"/>
      <c r="S961" s="447"/>
      <c r="T961" s="447"/>
      <c r="U961" s="447"/>
      <c r="V961" s="447"/>
      <c r="W961" s="447"/>
      <c r="X961" s="447"/>
      <c r="Y961" s="447"/>
      <c r="Z961" s="447"/>
      <c r="AA961" s="447"/>
    </row>
    <row r="962" spans="1:27">
      <c r="A962" s="465"/>
      <c r="B962" s="466"/>
      <c r="C962" s="465"/>
      <c r="D962" s="467"/>
      <c r="E962" s="447"/>
      <c r="F962" s="447"/>
      <c r="G962" s="447"/>
      <c r="H962" s="447"/>
      <c r="I962" s="447"/>
      <c r="J962" s="447"/>
      <c r="K962" s="447"/>
      <c r="L962" s="447"/>
      <c r="M962" s="447"/>
      <c r="N962" s="447"/>
      <c r="O962" s="447"/>
      <c r="P962" s="447"/>
      <c r="Q962" s="447"/>
      <c r="R962" s="447"/>
      <c r="S962" s="447"/>
      <c r="T962" s="447"/>
      <c r="U962" s="447"/>
      <c r="V962" s="447"/>
      <c r="W962" s="447"/>
      <c r="X962" s="447"/>
      <c r="Y962" s="447"/>
      <c r="Z962" s="447"/>
      <c r="AA962" s="447"/>
    </row>
    <row r="963" spans="1:27">
      <c r="A963" s="465"/>
      <c r="B963" s="466"/>
      <c r="C963" s="465"/>
      <c r="D963" s="467"/>
      <c r="E963" s="447"/>
      <c r="F963" s="447"/>
      <c r="G963" s="447"/>
      <c r="H963" s="447"/>
      <c r="I963" s="447"/>
      <c r="J963" s="447"/>
      <c r="K963" s="447"/>
      <c r="L963" s="447"/>
      <c r="M963" s="447"/>
      <c r="N963" s="447"/>
      <c r="O963" s="447"/>
      <c r="P963" s="447"/>
      <c r="Q963" s="447"/>
      <c r="R963" s="447"/>
      <c r="S963" s="447"/>
      <c r="T963" s="447"/>
      <c r="U963" s="447"/>
      <c r="V963" s="447"/>
      <c r="W963" s="447"/>
      <c r="X963" s="447"/>
      <c r="Y963" s="447"/>
      <c r="Z963" s="447"/>
      <c r="AA963" s="447"/>
    </row>
    <row r="964" spans="1:27">
      <c r="A964" s="465"/>
      <c r="B964" s="466"/>
      <c r="C964" s="465"/>
      <c r="D964" s="467"/>
      <c r="E964" s="447"/>
      <c r="F964" s="447"/>
      <c r="G964" s="447"/>
      <c r="H964" s="447"/>
      <c r="I964" s="447"/>
      <c r="J964" s="447"/>
      <c r="K964" s="447"/>
      <c r="L964" s="447"/>
      <c r="M964" s="447"/>
      <c r="N964" s="447"/>
      <c r="O964" s="447"/>
      <c r="P964" s="447"/>
      <c r="Q964" s="447"/>
      <c r="R964" s="447"/>
      <c r="S964" s="447"/>
      <c r="T964" s="447"/>
      <c r="U964" s="447"/>
      <c r="V964" s="447"/>
      <c r="W964" s="447"/>
      <c r="X964" s="447"/>
      <c r="Y964" s="447"/>
      <c r="Z964" s="447"/>
      <c r="AA964" s="447"/>
    </row>
    <row r="965" spans="1:27">
      <c r="A965" s="465"/>
      <c r="B965" s="466"/>
      <c r="C965" s="465"/>
      <c r="D965" s="467"/>
      <c r="E965" s="447"/>
      <c r="F965" s="447"/>
      <c r="G965" s="447"/>
      <c r="H965" s="447"/>
      <c r="I965" s="447"/>
      <c r="J965" s="447"/>
      <c r="K965" s="447"/>
      <c r="L965" s="447"/>
      <c r="M965" s="447"/>
      <c r="N965" s="447"/>
      <c r="O965" s="447"/>
      <c r="P965" s="447"/>
      <c r="Q965" s="447"/>
      <c r="R965" s="447"/>
      <c r="S965" s="447"/>
      <c r="T965" s="447"/>
      <c r="U965" s="447"/>
      <c r="V965" s="447"/>
      <c r="W965" s="447"/>
      <c r="X965" s="447"/>
      <c r="Y965" s="447"/>
      <c r="Z965" s="447"/>
      <c r="AA965" s="447"/>
    </row>
    <row r="966" spans="1:27">
      <c r="A966" s="465"/>
      <c r="B966" s="466"/>
      <c r="C966" s="465"/>
      <c r="D966" s="467"/>
      <c r="E966" s="447"/>
      <c r="F966" s="447"/>
      <c r="G966" s="447"/>
      <c r="H966" s="447"/>
      <c r="I966" s="447"/>
      <c r="J966" s="447"/>
      <c r="K966" s="447"/>
      <c r="L966" s="447"/>
      <c r="M966" s="447"/>
      <c r="N966" s="447"/>
      <c r="O966" s="447"/>
      <c r="P966" s="447"/>
      <c r="Q966" s="447"/>
      <c r="R966" s="447"/>
      <c r="S966" s="447"/>
      <c r="T966" s="447"/>
      <c r="U966" s="447"/>
      <c r="V966" s="447"/>
      <c r="W966" s="447"/>
      <c r="X966" s="447"/>
      <c r="Y966" s="447"/>
      <c r="Z966" s="447"/>
      <c r="AA966" s="447"/>
    </row>
    <row r="967" spans="1:27">
      <c r="A967" s="465"/>
      <c r="B967" s="466"/>
      <c r="C967" s="465"/>
      <c r="D967" s="467"/>
      <c r="E967" s="447"/>
      <c r="F967" s="447"/>
      <c r="G967" s="447"/>
      <c r="H967" s="447"/>
      <c r="I967" s="447"/>
      <c r="J967" s="447"/>
      <c r="K967" s="447"/>
      <c r="L967" s="447"/>
      <c r="M967" s="447"/>
      <c r="N967" s="447"/>
      <c r="O967" s="447"/>
      <c r="P967" s="447"/>
      <c r="Q967" s="447"/>
      <c r="R967" s="447"/>
      <c r="S967" s="447"/>
      <c r="T967" s="447"/>
      <c r="U967" s="447"/>
      <c r="V967" s="447"/>
      <c r="W967" s="447"/>
      <c r="X967" s="447"/>
      <c r="Y967" s="447"/>
      <c r="Z967" s="447"/>
      <c r="AA967" s="447"/>
    </row>
    <row r="968" spans="1:27">
      <c r="A968" s="465"/>
      <c r="B968" s="466"/>
      <c r="C968" s="465"/>
      <c r="D968" s="467"/>
      <c r="E968" s="447"/>
      <c r="F968" s="447"/>
      <c r="G968" s="447"/>
      <c r="H968" s="447"/>
      <c r="I968" s="447"/>
      <c r="J968" s="447"/>
      <c r="K968" s="447"/>
      <c r="L968" s="447"/>
      <c r="M968" s="447"/>
      <c r="N968" s="447"/>
      <c r="O968" s="447"/>
      <c r="P968" s="447"/>
      <c r="Q968" s="447"/>
      <c r="R968" s="447"/>
      <c r="S968" s="447"/>
      <c r="T968" s="447"/>
      <c r="U968" s="447"/>
      <c r="V968" s="447"/>
      <c r="W968" s="447"/>
      <c r="X968" s="447"/>
      <c r="Y968" s="447"/>
      <c r="Z968" s="447"/>
      <c r="AA968" s="447"/>
    </row>
    <row r="969" spans="1:27">
      <c r="A969" s="465"/>
      <c r="B969" s="466"/>
      <c r="C969" s="465"/>
      <c r="D969" s="467"/>
      <c r="E969" s="447"/>
      <c r="F969" s="447"/>
      <c r="G969" s="447"/>
      <c r="H969" s="447"/>
      <c r="I969" s="447"/>
      <c r="J969" s="447"/>
      <c r="K969" s="447"/>
      <c r="L969" s="447"/>
      <c r="M969" s="447"/>
      <c r="N969" s="447"/>
      <c r="O969" s="447"/>
      <c r="P969" s="447"/>
      <c r="Q969" s="447"/>
      <c r="R969" s="447"/>
      <c r="S969" s="447"/>
      <c r="T969" s="447"/>
      <c r="U969" s="447"/>
      <c r="V969" s="447"/>
      <c r="W969" s="447"/>
      <c r="X969" s="447"/>
      <c r="Y969" s="447"/>
      <c r="Z969" s="447"/>
      <c r="AA969" s="447"/>
    </row>
    <row r="970" spans="1:27">
      <c r="A970" s="465"/>
      <c r="B970" s="466"/>
      <c r="C970" s="465"/>
      <c r="D970" s="467"/>
      <c r="E970" s="447"/>
      <c r="F970" s="447"/>
      <c r="G970" s="447"/>
      <c r="H970" s="447"/>
      <c r="I970" s="447"/>
      <c r="J970" s="447"/>
      <c r="K970" s="447"/>
      <c r="L970" s="447"/>
      <c r="M970" s="447"/>
      <c r="N970" s="447"/>
      <c r="O970" s="447"/>
      <c r="P970" s="447"/>
      <c r="Q970" s="447"/>
      <c r="R970" s="447"/>
      <c r="S970" s="447"/>
      <c r="T970" s="447"/>
      <c r="U970" s="447"/>
      <c r="V970" s="447"/>
      <c r="W970" s="447"/>
      <c r="X970" s="447"/>
      <c r="Y970" s="447"/>
      <c r="Z970" s="447"/>
      <c r="AA970" s="447"/>
    </row>
    <row r="971" spans="1:27">
      <c r="A971" s="465"/>
      <c r="B971" s="466"/>
      <c r="C971" s="465"/>
      <c r="D971" s="467"/>
      <c r="E971" s="447"/>
      <c r="F971" s="447"/>
      <c r="G971" s="447"/>
      <c r="H971" s="447"/>
      <c r="I971" s="447"/>
      <c r="J971" s="447"/>
      <c r="K971" s="447"/>
      <c r="L971" s="447"/>
      <c r="M971" s="447"/>
      <c r="N971" s="447"/>
      <c r="O971" s="447"/>
      <c r="P971" s="447"/>
      <c r="Q971" s="447"/>
      <c r="R971" s="447"/>
      <c r="S971" s="447"/>
      <c r="T971" s="447"/>
      <c r="U971" s="447"/>
      <c r="V971" s="447"/>
      <c r="W971" s="447"/>
      <c r="X971" s="447"/>
      <c r="Y971" s="447"/>
      <c r="Z971" s="447"/>
      <c r="AA971" s="447"/>
    </row>
    <row r="972" spans="1:27">
      <c r="A972" s="465"/>
      <c r="B972" s="466"/>
      <c r="C972" s="465"/>
      <c r="D972" s="467"/>
      <c r="E972" s="447"/>
      <c r="F972" s="447"/>
      <c r="G972" s="447"/>
      <c r="H972" s="447"/>
      <c r="I972" s="447"/>
      <c r="J972" s="447"/>
      <c r="K972" s="447"/>
      <c r="L972" s="447"/>
      <c r="M972" s="447"/>
      <c r="N972" s="447"/>
      <c r="O972" s="447"/>
      <c r="P972" s="447"/>
      <c r="Q972" s="447"/>
      <c r="R972" s="447"/>
      <c r="S972" s="447"/>
      <c r="T972" s="447"/>
      <c r="U972" s="447"/>
      <c r="V972" s="447"/>
      <c r="W972" s="447"/>
      <c r="X972" s="447"/>
      <c r="Y972" s="447"/>
      <c r="Z972" s="447"/>
      <c r="AA972" s="447"/>
    </row>
    <row r="973" spans="1:27">
      <c r="A973" s="465"/>
      <c r="B973" s="466"/>
      <c r="C973" s="465"/>
      <c r="D973" s="467"/>
      <c r="E973" s="447"/>
      <c r="F973" s="447"/>
      <c r="G973" s="447"/>
      <c r="H973" s="447"/>
      <c r="I973" s="447"/>
      <c r="J973" s="447"/>
      <c r="K973" s="447"/>
      <c r="L973" s="447"/>
      <c r="M973" s="447"/>
      <c r="N973" s="447"/>
      <c r="O973" s="447"/>
      <c r="P973" s="447"/>
      <c r="Q973" s="447"/>
      <c r="R973" s="447"/>
      <c r="S973" s="447"/>
      <c r="T973" s="447"/>
      <c r="U973" s="447"/>
      <c r="V973" s="447"/>
      <c r="W973" s="447"/>
      <c r="X973" s="447"/>
      <c r="Y973" s="447"/>
      <c r="Z973" s="447"/>
      <c r="AA973" s="447"/>
    </row>
    <row r="974" spans="1:27">
      <c r="A974" s="465"/>
      <c r="B974" s="466"/>
      <c r="C974" s="465"/>
      <c r="D974" s="467"/>
      <c r="E974" s="447"/>
      <c r="F974" s="447"/>
      <c r="G974" s="447"/>
      <c r="H974" s="447"/>
      <c r="I974" s="447"/>
      <c r="J974" s="447"/>
      <c r="K974" s="447"/>
      <c r="L974" s="447"/>
      <c r="M974" s="447"/>
      <c r="N974" s="447"/>
      <c r="O974" s="447"/>
      <c r="P974" s="447"/>
      <c r="Q974" s="447"/>
      <c r="R974" s="447"/>
      <c r="S974" s="447"/>
      <c r="T974" s="447"/>
      <c r="U974" s="447"/>
      <c r="V974" s="447"/>
      <c r="W974" s="447"/>
      <c r="X974" s="447"/>
      <c r="Y974" s="447"/>
      <c r="Z974" s="447"/>
      <c r="AA974" s="447"/>
    </row>
    <row r="975" spans="1:27">
      <c r="A975" s="465"/>
      <c r="B975" s="466"/>
      <c r="C975" s="465"/>
      <c r="D975" s="467"/>
      <c r="E975" s="447"/>
      <c r="F975" s="447"/>
      <c r="G975" s="447"/>
      <c r="H975" s="447"/>
      <c r="I975" s="447"/>
      <c r="J975" s="447"/>
      <c r="K975" s="447"/>
      <c r="L975" s="447"/>
      <c r="M975" s="447"/>
      <c r="N975" s="447"/>
      <c r="O975" s="447"/>
      <c r="P975" s="447"/>
      <c r="Q975" s="447"/>
      <c r="R975" s="447"/>
      <c r="S975" s="447"/>
      <c r="T975" s="447"/>
      <c r="U975" s="447"/>
      <c r="V975" s="447"/>
      <c r="W975" s="447"/>
      <c r="X975" s="447"/>
      <c r="Y975" s="447"/>
      <c r="Z975" s="447"/>
      <c r="AA975" s="447"/>
    </row>
    <row r="976" spans="1:27">
      <c r="A976" s="465"/>
      <c r="B976" s="466"/>
      <c r="C976" s="465"/>
      <c r="D976" s="467"/>
      <c r="E976" s="447"/>
      <c r="F976" s="447"/>
      <c r="G976" s="447"/>
      <c r="H976" s="447"/>
      <c r="I976" s="447"/>
      <c r="J976" s="447"/>
      <c r="K976" s="447"/>
      <c r="L976" s="447"/>
      <c r="M976" s="447"/>
      <c r="N976" s="447"/>
      <c r="O976" s="447"/>
      <c r="P976" s="447"/>
      <c r="Q976" s="447"/>
      <c r="R976" s="447"/>
      <c r="S976" s="447"/>
      <c r="T976" s="447"/>
      <c r="U976" s="447"/>
      <c r="V976" s="447"/>
      <c r="W976" s="447"/>
      <c r="X976" s="447"/>
      <c r="Y976" s="447"/>
      <c r="Z976" s="447"/>
      <c r="AA976" s="447"/>
    </row>
    <row r="977" spans="1:27">
      <c r="A977" s="465"/>
      <c r="B977" s="466"/>
      <c r="C977" s="465"/>
      <c r="D977" s="467"/>
      <c r="E977" s="447"/>
      <c r="F977" s="447"/>
      <c r="G977" s="447"/>
      <c r="H977" s="447"/>
      <c r="I977" s="447"/>
      <c r="J977" s="447"/>
      <c r="K977" s="447"/>
      <c r="L977" s="447"/>
      <c r="M977" s="447"/>
      <c r="N977" s="447"/>
      <c r="O977" s="447"/>
      <c r="P977" s="447"/>
      <c r="Q977" s="447"/>
      <c r="R977" s="447"/>
      <c r="S977" s="447"/>
      <c r="T977" s="447"/>
      <c r="U977" s="447"/>
      <c r="V977" s="447"/>
      <c r="W977" s="447"/>
      <c r="X977" s="447"/>
      <c r="Y977" s="447"/>
      <c r="Z977" s="447"/>
      <c r="AA977" s="447"/>
    </row>
    <row r="978" spans="1:27">
      <c r="A978" s="465"/>
      <c r="B978" s="466"/>
      <c r="C978" s="465"/>
      <c r="D978" s="467"/>
      <c r="E978" s="447"/>
      <c r="F978" s="447"/>
      <c r="G978" s="447"/>
      <c r="H978" s="447"/>
      <c r="I978" s="447"/>
      <c r="J978" s="447"/>
      <c r="K978" s="447"/>
      <c r="L978" s="447"/>
      <c r="M978" s="447"/>
      <c r="N978" s="447"/>
      <c r="O978" s="447"/>
      <c r="P978" s="447"/>
      <c r="Q978" s="447"/>
      <c r="R978" s="447"/>
      <c r="S978" s="447"/>
      <c r="T978" s="447"/>
      <c r="U978" s="447"/>
      <c r="V978" s="447"/>
      <c r="W978" s="447"/>
      <c r="X978" s="447"/>
      <c r="Y978" s="447"/>
      <c r="Z978" s="447"/>
      <c r="AA978" s="447"/>
    </row>
    <row r="979" spans="1:27">
      <c r="A979" s="465"/>
      <c r="B979" s="466"/>
      <c r="C979" s="465"/>
      <c r="D979" s="467"/>
      <c r="E979" s="447"/>
      <c r="F979" s="447"/>
      <c r="G979" s="447"/>
      <c r="H979" s="447"/>
      <c r="I979" s="447"/>
      <c r="J979" s="447"/>
      <c r="K979" s="447"/>
      <c r="L979" s="447"/>
      <c r="M979" s="447"/>
      <c r="N979" s="447"/>
      <c r="O979" s="447"/>
      <c r="P979" s="447"/>
      <c r="Q979" s="447"/>
      <c r="R979" s="447"/>
      <c r="S979" s="447"/>
      <c r="T979" s="447"/>
      <c r="U979" s="447"/>
      <c r="V979" s="447"/>
      <c r="W979" s="447"/>
      <c r="X979" s="447"/>
      <c r="Y979" s="447"/>
      <c r="Z979" s="447"/>
      <c r="AA979" s="447"/>
    </row>
    <row r="980" spans="1:27">
      <c r="A980" s="465"/>
      <c r="B980" s="466"/>
      <c r="C980" s="465"/>
      <c r="D980" s="467"/>
      <c r="E980" s="447"/>
      <c r="F980" s="447"/>
      <c r="G980" s="447"/>
      <c r="H980" s="447"/>
      <c r="I980" s="447"/>
      <c r="J980" s="447"/>
      <c r="K980" s="447"/>
      <c r="L980" s="447"/>
      <c r="M980" s="447"/>
      <c r="N980" s="447"/>
      <c r="O980" s="447"/>
      <c r="P980" s="447"/>
      <c r="Q980" s="447"/>
      <c r="R980" s="447"/>
      <c r="S980" s="447"/>
      <c r="T980" s="447"/>
      <c r="U980" s="447"/>
      <c r="V980" s="447"/>
      <c r="W980" s="447"/>
      <c r="X980" s="447"/>
      <c r="Y980" s="447"/>
      <c r="Z980" s="447"/>
      <c r="AA980" s="447"/>
    </row>
    <row r="981" spans="1:27">
      <c r="A981" s="465"/>
      <c r="B981" s="466"/>
      <c r="C981" s="465"/>
      <c r="D981" s="467"/>
      <c r="E981" s="447"/>
      <c r="F981" s="447"/>
      <c r="G981" s="447"/>
      <c r="H981" s="447"/>
      <c r="I981" s="447"/>
      <c r="J981" s="447"/>
      <c r="K981" s="447"/>
      <c r="L981" s="447"/>
      <c r="M981" s="447"/>
      <c r="N981" s="447"/>
      <c r="O981" s="447"/>
      <c r="P981" s="447"/>
      <c r="Q981" s="447"/>
      <c r="R981" s="447"/>
      <c r="S981" s="447"/>
      <c r="T981" s="447"/>
      <c r="U981" s="447"/>
      <c r="V981" s="447"/>
      <c r="W981" s="447"/>
      <c r="X981" s="447"/>
      <c r="Y981" s="447"/>
      <c r="Z981" s="447"/>
      <c r="AA981" s="447"/>
    </row>
    <row r="982" spans="1:27">
      <c r="A982" s="465"/>
      <c r="B982" s="466"/>
      <c r="C982" s="465"/>
      <c r="D982" s="467"/>
      <c r="E982" s="447"/>
      <c r="F982" s="447"/>
      <c r="G982" s="447"/>
      <c r="H982" s="447"/>
      <c r="I982" s="447"/>
      <c r="J982" s="447"/>
      <c r="K982" s="447"/>
      <c r="L982" s="447"/>
      <c r="M982" s="447"/>
      <c r="N982" s="447"/>
      <c r="O982" s="447"/>
      <c r="P982" s="447"/>
      <c r="Q982" s="447"/>
      <c r="R982" s="447"/>
      <c r="S982" s="447"/>
      <c r="T982" s="447"/>
      <c r="U982" s="447"/>
      <c r="V982" s="447"/>
      <c r="W982" s="447"/>
      <c r="X982" s="447"/>
      <c r="Y982" s="447"/>
      <c r="Z982" s="447"/>
      <c r="AA982" s="447"/>
    </row>
    <row r="983" spans="1:27">
      <c r="A983" s="465"/>
      <c r="B983" s="466"/>
      <c r="C983" s="465"/>
      <c r="D983" s="467"/>
      <c r="E983" s="447"/>
      <c r="F983" s="447"/>
      <c r="G983" s="447"/>
      <c r="H983" s="447"/>
      <c r="I983" s="447"/>
      <c r="J983" s="447"/>
      <c r="K983" s="447"/>
      <c r="L983" s="447"/>
      <c r="M983" s="447"/>
      <c r="N983" s="447"/>
      <c r="O983" s="447"/>
      <c r="P983" s="447"/>
      <c r="Q983" s="447"/>
      <c r="R983" s="447"/>
      <c r="S983" s="447"/>
      <c r="T983" s="447"/>
      <c r="U983" s="447"/>
      <c r="V983" s="447"/>
      <c r="W983" s="447"/>
      <c r="X983" s="447"/>
      <c r="Y983" s="447"/>
      <c r="Z983" s="447"/>
      <c r="AA983" s="447"/>
    </row>
    <row r="984" spans="1:27">
      <c r="A984" s="465"/>
      <c r="B984" s="466"/>
      <c r="C984" s="465"/>
      <c r="D984" s="467"/>
      <c r="E984" s="447"/>
      <c r="F984" s="447"/>
      <c r="G984" s="447"/>
      <c r="H984" s="447"/>
      <c r="I984" s="447"/>
      <c r="J984" s="447"/>
      <c r="K984" s="447"/>
      <c r="L984" s="447"/>
      <c r="M984" s="447"/>
      <c r="N984" s="447"/>
      <c r="O984" s="447"/>
      <c r="P984" s="447"/>
      <c r="Q984" s="447"/>
      <c r="R984" s="447"/>
      <c r="S984" s="447"/>
      <c r="T984" s="447"/>
      <c r="U984" s="447"/>
      <c r="V984" s="447"/>
      <c r="W984" s="447"/>
      <c r="X984" s="447"/>
      <c r="Y984" s="447"/>
      <c r="Z984" s="447"/>
      <c r="AA984" s="447"/>
    </row>
    <row r="985" spans="1:27">
      <c r="A985" s="465"/>
      <c r="B985" s="466"/>
      <c r="C985" s="465"/>
      <c r="D985" s="467"/>
      <c r="E985" s="447"/>
      <c r="F985" s="447"/>
      <c r="G985" s="447"/>
      <c r="H985" s="447"/>
      <c r="I985" s="447"/>
      <c r="J985" s="447"/>
      <c r="K985" s="447"/>
      <c r="L985" s="447"/>
      <c r="M985" s="447"/>
      <c r="N985" s="447"/>
      <c r="O985" s="447"/>
      <c r="P985" s="447"/>
      <c r="Q985" s="447"/>
      <c r="R985" s="447"/>
      <c r="S985" s="447"/>
      <c r="T985" s="447"/>
      <c r="U985" s="447"/>
      <c r="V985" s="447"/>
      <c r="W985" s="447"/>
      <c r="X985" s="447"/>
      <c r="Y985" s="447"/>
      <c r="Z985" s="447"/>
      <c r="AA985" s="447"/>
    </row>
    <row r="986" spans="1:27">
      <c r="A986" s="465"/>
      <c r="B986" s="466"/>
      <c r="C986" s="465"/>
      <c r="D986" s="467"/>
      <c r="E986" s="447"/>
      <c r="F986" s="447"/>
      <c r="G986" s="447"/>
      <c r="H986" s="447"/>
      <c r="I986" s="447"/>
      <c r="J986" s="447"/>
      <c r="K986" s="447"/>
      <c r="L986" s="447"/>
      <c r="M986" s="447"/>
      <c r="N986" s="447"/>
      <c r="O986" s="447"/>
      <c r="P986" s="447"/>
      <c r="Q986" s="447"/>
      <c r="R986" s="447"/>
      <c r="S986" s="447"/>
      <c r="T986" s="447"/>
      <c r="U986" s="447"/>
      <c r="V986" s="447"/>
      <c r="W986" s="447"/>
      <c r="X986" s="447"/>
      <c r="Y986" s="447"/>
      <c r="Z986" s="447"/>
      <c r="AA986" s="447"/>
    </row>
    <row r="987" spans="1:27">
      <c r="A987" s="465"/>
      <c r="B987" s="466"/>
      <c r="C987" s="465"/>
      <c r="D987" s="467"/>
      <c r="E987" s="447"/>
      <c r="F987" s="447"/>
      <c r="G987" s="447"/>
      <c r="H987" s="447"/>
      <c r="I987" s="447"/>
      <c r="J987" s="447"/>
      <c r="K987" s="447"/>
      <c r="L987" s="447"/>
      <c r="M987" s="447"/>
      <c r="N987" s="447"/>
      <c r="O987" s="447"/>
      <c r="P987" s="447"/>
      <c r="Q987" s="447"/>
      <c r="R987" s="447"/>
      <c r="S987" s="447"/>
      <c r="T987" s="447"/>
      <c r="U987" s="447"/>
      <c r="V987" s="447"/>
      <c r="W987" s="447"/>
      <c r="X987" s="447"/>
      <c r="Y987" s="447"/>
      <c r="Z987" s="447"/>
      <c r="AA987" s="447"/>
    </row>
    <row r="988" spans="1:27">
      <c r="A988" s="465"/>
      <c r="B988" s="466"/>
      <c r="C988" s="465"/>
      <c r="D988" s="467"/>
      <c r="E988" s="447"/>
      <c r="F988" s="447"/>
      <c r="G988" s="447"/>
      <c r="H988" s="447"/>
      <c r="I988" s="447"/>
      <c r="J988" s="447"/>
      <c r="K988" s="447"/>
      <c r="L988" s="447"/>
      <c r="M988" s="447"/>
      <c r="N988" s="447"/>
      <c r="O988" s="447"/>
      <c r="P988" s="447"/>
      <c r="Q988" s="447"/>
      <c r="R988" s="447"/>
      <c r="S988" s="447"/>
      <c r="T988" s="447"/>
      <c r="U988" s="447"/>
      <c r="V988" s="447"/>
      <c r="W988" s="447"/>
      <c r="X988" s="447"/>
      <c r="Y988" s="447"/>
      <c r="Z988" s="447"/>
      <c r="AA988" s="447"/>
    </row>
    <row r="989" spans="1:27">
      <c r="A989" s="465"/>
      <c r="B989" s="466"/>
      <c r="C989" s="465"/>
      <c r="D989" s="467"/>
      <c r="E989" s="447"/>
      <c r="F989" s="447"/>
      <c r="G989" s="447"/>
      <c r="H989" s="447"/>
      <c r="I989" s="447"/>
      <c r="J989" s="447"/>
      <c r="K989" s="447"/>
      <c r="L989" s="447"/>
      <c r="M989" s="447"/>
      <c r="N989" s="447"/>
      <c r="O989" s="447"/>
      <c r="P989" s="447"/>
      <c r="Q989" s="447"/>
      <c r="R989" s="447"/>
      <c r="S989" s="447"/>
      <c r="T989" s="447"/>
      <c r="U989" s="447"/>
      <c r="V989" s="447"/>
      <c r="W989" s="447"/>
      <c r="X989" s="447"/>
      <c r="Y989" s="447"/>
      <c r="Z989" s="447"/>
      <c r="AA989" s="447"/>
    </row>
    <row r="990" spans="1:27">
      <c r="A990" s="465"/>
      <c r="B990" s="466"/>
      <c r="C990" s="465"/>
      <c r="D990" s="467"/>
      <c r="E990" s="447"/>
      <c r="F990" s="447"/>
      <c r="G990" s="447"/>
      <c r="H990" s="447"/>
      <c r="I990" s="447"/>
      <c r="J990" s="447"/>
      <c r="K990" s="447"/>
      <c r="L990" s="447"/>
      <c r="M990" s="447"/>
      <c r="N990" s="447"/>
      <c r="O990" s="447"/>
      <c r="P990" s="447"/>
      <c r="Q990" s="447"/>
      <c r="R990" s="447"/>
      <c r="S990" s="447"/>
      <c r="T990" s="447"/>
      <c r="U990" s="447"/>
      <c r="V990" s="447"/>
      <c r="W990" s="447"/>
      <c r="X990" s="447"/>
      <c r="Y990" s="447"/>
      <c r="Z990" s="447"/>
      <c r="AA990" s="447"/>
    </row>
    <row r="991" spans="1:27">
      <c r="A991" s="465"/>
      <c r="B991" s="466"/>
      <c r="C991" s="465"/>
      <c r="D991" s="467"/>
      <c r="E991" s="447"/>
      <c r="F991" s="447"/>
      <c r="G991" s="447"/>
      <c r="H991" s="447"/>
      <c r="I991" s="447"/>
      <c r="J991" s="447"/>
      <c r="K991" s="447"/>
      <c r="L991" s="447"/>
      <c r="M991" s="447"/>
      <c r="N991" s="447"/>
      <c r="O991" s="447"/>
      <c r="P991" s="447"/>
      <c r="Q991" s="447"/>
      <c r="R991" s="447"/>
      <c r="S991" s="447"/>
      <c r="T991" s="447"/>
      <c r="U991" s="447"/>
      <c r="V991" s="447"/>
      <c r="W991" s="447"/>
      <c r="X991" s="447"/>
      <c r="Y991" s="447"/>
      <c r="Z991" s="447"/>
      <c r="AA991" s="447"/>
    </row>
    <row r="992" spans="1:27">
      <c r="A992" s="465"/>
      <c r="B992" s="466"/>
      <c r="C992" s="465"/>
      <c r="D992" s="467"/>
      <c r="E992" s="447"/>
      <c r="F992" s="447"/>
      <c r="G992" s="447"/>
      <c r="H992" s="447"/>
      <c r="I992" s="447"/>
      <c r="J992" s="447"/>
      <c r="K992" s="447"/>
      <c r="L992" s="447"/>
      <c r="M992" s="447"/>
      <c r="N992" s="447"/>
      <c r="O992" s="447"/>
      <c r="P992" s="447"/>
      <c r="Q992" s="447"/>
      <c r="R992" s="447"/>
      <c r="S992" s="447"/>
      <c r="T992" s="447"/>
      <c r="U992" s="447"/>
      <c r="V992" s="447"/>
      <c r="W992" s="447"/>
      <c r="X992" s="447"/>
      <c r="Y992" s="447"/>
      <c r="Z992" s="447"/>
      <c r="AA992" s="447"/>
    </row>
    <row r="993" spans="1:27">
      <c r="A993" s="465"/>
      <c r="B993" s="466"/>
      <c r="C993" s="465"/>
      <c r="D993" s="467"/>
      <c r="E993" s="447"/>
      <c r="F993" s="447"/>
      <c r="G993" s="447"/>
      <c r="H993" s="447"/>
      <c r="I993" s="447"/>
      <c r="J993" s="447"/>
      <c r="K993" s="447"/>
      <c r="L993" s="447"/>
      <c r="M993" s="447"/>
      <c r="N993" s="447"/>
      <c r="O993" s="447"/>
      <c r="P993" s="447"/>
      <c r="Q993" s="447"/>
      <c r="R993" s="447"/>
      <c r="S993" s="447"/>
      <c r="T993" s="447"/>
      <c r="U993" s="447"/>
      <c r="V993" s="447"/>
      <c r="W993" s="447"/>
      <c r="X993" s="447"/>
      <c r="Y993" s="447"/>
      <c r="Z993" s="447"/>
      <c r="AA993" s="447"/>
    </row>
    <row r="994" spans="1:27">
      <c r="A994" s="465"/>
      <c r="B994" s="466"/>
      <c r="C994" s="465"/>
      <c r="D994" s="467"/>
      <c r="E994" s="447"/>
      <c r="F994" s="447"/>
      <c r="G994" s="447"/>
      <c r="H994" s="447"/>
      <c r="I994" s="447"/>
      <c r="J994" s="447"/>
      <c r="K994" s="447"/>
      <c r="L994" s="447"/>
      <c r="M994" s="447"/>
      <c r="N994" s="447"/>
      <c r="O994" s="447"/>
      <c r="P994" s="447"/>
      <c r="Q994" s="447"/>
      <c r="R994" s="447"/>
      <c r="S994" s="447"/>
      <c r="T994" s="447"/>
      <c r="U994" s="447"/>
      <c r="V994" s="447"/>
      <c r="W994" s="447"/>
      <c r="X994" s="447"/>
      <c r="Y994" s="447"/>
      <c r="Z994" s="447"/>
      <c r="AA994" s="447"/>
    </row>
    <row r="995" spans="1:27">
      <c r="A995" s="465"/>
      <c r="B995" s="466"/>
      <c r="C995" s="465"/>
      <c r="D995" s="467"/>
      <c r="E995" s="447"/>
      <c r="F995" s="447"/>
      <c r="G995" s="447"/>
      <c r="H995" s="447"/>
      <c r="I995" s="447"/>
      <c r="J995" s="447"/>
      <c r="K995" s="447"/>
      <c r="L995" s="447"/>
      <c r="M995" s="447"/>
      <c r="N995" s="447"/>
      <c r="O995" s="447"/>
      <c r="P995" s="447"/>
      <c r="Q995" s="447"/>
      <c r="R995" s="447"/>
      <c r="S995" s="447"/>
      <c r="T995" s="447"/>
      <c r="U995" s="447"/>
      <c r="V995" s="447"/>
      <c r="W995" s="447"/>
      <c r="X995" s="447"/>
      <c r="Y995" s="447"/>
      <c r="Z995" s="447"/>
      <c r="AA995" s="447"/>
    </row>
    <row r="996" spans="1:27">
      <c r="A996" s="465"/>
      <c r="B996" s="466"/>
      <c r="C996" s="465"/>
      <c r="D996" s="467"/>
      <c r="E996" s="447"/>
      <c r="F996" s="447"/>
      <c r="G996" s="447"/>
      <c r="H996" s="447"/>
      <c r="I996" s="447"/>
      <c r="J996" s="447"/>
      <c r="K996" s="447"/>
      <c r="L996" s="447"/>
      <c r="M996" s="447"/>
      <c r="N996" s="447"/>
      <c r="O996" s="447"/>
      <c r="P996" s="447"/>
      <c r="Q996" s="447"/>
      <c r="R996" s="447"/>
      <c r="S996" s="447"/>
      <c r="T996" s="447"/>
      <c r="U996" s="447"/>
      <c r="V996" s="447"/>
      <c r="W996" s="447"/>
      <c r="X996" s="447"/>
      <c r="Y996" s="447"/>
      <c r="Z996" s="447"/>
      <c r="AA996" s="447"/>
    </row>
    <row r="997" spans="1:27">
      <c r="A997" s="465"/>
      <c r="B997" s="466"/>
      <c r="C997" s="465"/>
      <c r="D997" s="467"/>
      <c r="E997" s="447"/>
      <c r="F997" s="447"/>
      <c r="G997" s="447"/>
      <c r="H997" s="447"/>
      <c r="I997" s="447"/>
      <c r="J997" s="447"/>
      <c r="K997" s="447"/>
      <c r="L997" s="447"/>
      <c r="M997" s="447"/>
      <c r="N997" s="447"/>
      <c r="O997" s="447"/>
      <c r="P997" s="447"/>
      <c r="Q997" s="447"/>
      <c r="R997" s="447"/>
      <c r="S997" s="447"/>
      <c r="T997" s="447"/>
      <c r="U997" s="447"/>
      <c r="V997" s="447"/>
      <c r="W997" s="447"/>
      <c r="X997" s="447"/>
      <c r="Y997" s="447"/>
      <c r="Z997" s="447"/>
      <c r="AA997" s="447"/>
    </row>
    <row r="998" spans="1:27">
      <c r="A998" s="465"/>
      <c r="B998" s="466"/>
      <c r="C998" s="465"/>
      <c r="D998" s="467"/>
      <c r="E998" s="447"/>
      <c r="F998" s="447"/>
      <c r="G998" s="447"/>
      <c r="H998" s="447"/>
      <c r="I998" s="447"/>
      <c r="J998" s="447"/>
      <c r="K998" s="447"/>
      <c r="L998" s="447"/>
      <c r="M998" s="447"/>
      <c r="N998" s="447"/>
      <c r="O998" s="447"/>
      <c r="P998" s="447"/>
      <c r="Q998" s="447"/>
      <c r="R998" s="447"/>
      <c r="S998" s="447"/>
      <c r="T998" s="447"/>
      <c r="U998" s="447"/>
      <c r="V998" s="447"/>
      <c r="W998" s="447"/>
      <c r="X998" s="447"/>
      <c r="Y998" s="447"/>
      <c r="Z998" s="447"/>
      <c r="AA998" s="447"/>
    </row>
    <row r="999" spans="1:27">
      <c r="A999" s="465"/>
      <c r="B999" s="466"/>
      <c r="C999" s="465"/>
      <c r="D999" s="467"/>
      <c r="E999" s="447"/>
      <c r="F999" s="447"/>
      <c r="G999" s="447"/>
      <c r="H999" s="447"/>
      <c r="I999" s="447"/>
      <c r="J999" s="447"/>
      <c r="K999" s="447"/>
      <c r="L999" s="447"/>
      <c r="M999" s="447"/>
      <c r="N999" s="447"/>
      <c r="O999" s="447"/>
      <c r="P999" s="447"/>
      <c r="Q999" s="447"/>
      <c r="R999" s="447"/>
      <c r="S999" s="447"/>
      <c r="T999" s="447"/>
      <c r="U999" s="447"/>
      <c r="V999" s="447"/>
      <c r="W999" s="447"/>
      <c r="X999" s="447"/>
      <c r="Y999" s="447"/>
      <c r="Z999" s="447"/>
      <c r="AA999" s="447"/>
    </row>
    <row r="1000" spans="1:27">
      <c r="A1000" s="465"/>
      <c r="B1000" s="466"/>
      <c r="C1000" s="465"/>
      <c r="D1000" s="467"/>
      <c r="E1000" s="447"/>
      <c r="F1000" s="447"/>
      <c r="G1000" s="447"/>
      <c r="H1000" s="447"/>
      <c r="I1000" s="447"/>
      <c r="J1000" s="447"/>
      <c r="K1000" s="447"/>
      <c r="L1000" s="447"/>
      <c r="M1000" s="447"/>
      <c r="N1000" s="447"/>
      <c r="O1000" s="447"/>
      <c r="P1000" s="447"/>
      <c r="Q1000" s="447"/>
      <c r="R1000" s="447"/>
      <c r="S1000" s="447"/>
      <c r="T1000" s="447"/>
      <c r="U1000" s="447"/>
      <c r="V1000" s="447"/>
      <c r="W1000" s="447"/>
      <c r="X1000" s="447"/>
      <c r="Y1000" s="447"/>
      <c r="Z1000" s="447"/>
      <c r="AA1000" s="447"/>
    </row>
    <row r="1001" spans="1:27">
      <c r="A1001" s="465"/>
      <c r="B1001" s="466"/>
      <c r="C1001" s="465"/>
      <c r="D1001" s="467"/>
      <c r="E1001" s="447"/>
      <c r="F1001" s="447"/>
      <c r="G1001" s="447"/>
      <c r="H1001" s="447"/>
      <c r="I1001" s="447"/>
      <c r="J1001" s="447"/>
      <c r="K1001" s="447"/>
      <c r="L1001" s="447"/>
      <c r="M1001" s="447"/>
      <c r="N1001" s="447"/>
      <c r="O1001" s="447"/>
      <c r="P1001" s="447"/>
      <c r="Q1001" s="447"/>
      <c r="R1001" s="447"/>
      <c r="S1001" s="447"/>
      <c r="T1001" s="447"/>
      <c r="U1001" s="447"/>
      <c r="V1001" s="447"/>
      <c r="W1001" s="447"/>
      <c r="X1001" s="447"/>
      <c r="Y1001" s="447"/>
      <c r="Z1001" s="447"/>
      <c r="AA1001" s="447"/>
    </row>
    <row r="1002" spans="1:27">
      <c r="A1002" s="465"/>
      <c r="B1002" s="466"/>
      <c r="C1002" s="465"/>
      <c r="D1002" s="467"/>
      <c r="E1002" s="447"/>
      <c r="F1002" s="447"/>
      <c r="G1002" s="447"/>
      <c r="H1002" s="447"/>
      <c r="I1002" s="447"/>
      <c r="J1002" s="447"/>
      <c r="K1002" s="447"/>
      <c r="L1002" s="447"/>
      <c r="M1002" s="447"/>
      <c r="N1002" s="447"/>
      <c r="O1002" s="447"/>
      <c r="P1002" s="447"/>
      <c r="Q1002" s="447"/>
      <c r="R1002" s="447"/>
      <c r="S1002" s="447"/>
      <c r="T1002" s="447"/>
      <c r="U1002" s="447"/>
      <c r="V1002" s="447"/>
      <c r="W1002" s="447"/>
      <c r="X1002" s="447"/>
      <c r="Y1002" s="447"/>
      <c r="Z1002" s="447"/>
      <c r="AA1002" s="447"/>
    </row>
    <row r="1003" spans="1:27">
      <c r="A1003" s="465"/>
      <c r="B1003" s="466"/>
      <c r="C1003" s="465"/>
      <c r="D1003" s="467"/>
      <c r="E1003" s="447"/>
      <c r="F1003" s="447"/>
      <c r="G1003" s="447"/>
      <c r="H1003" s="447"/>
      <c r="I1003" s="447"/>
      <c r="J1003" s="447"/>
      <c r="K1003" s="447"/>
      <c r="L1003" s="447"/>
      <c r="M1003" s="447"/>
      <c r="N1003" s="447"/>
      <c r="O1003" s="447"/>
      <c r="P1003" s="447"/>
      <c r="Q1003" s="447"/>
      <c r="R1003" s="447"/>
      <c r="S1003" s="447"/>
      <c r="T1003" s="447"/>
      <c r="U1003" s="447"/>
      <c r="V1003" s="447"/>
      <c r="W1003" s="447"/>
      <c r="X1003" s="447"/>
      <c r="Y1003" s="447"/>
      <c r="Z1003" s="447"/>
      <c r="AA1003" s="447"/>
    </row>
    <row r="1004" spans="1:27">
      <c r="A1004" s="465"/>
      <c r="B1004" s="466"/>
      <c r="C1004" s="465"/>
      <c r="D1004" s="467"/>
      <c r="E1004" s="447"/>
      <c r="F1004" s="447"/>
      <c r="G1004" s="447"/>
      <c r="H1004" s="447"/>
      <c r="I1004" s="447"/>
      <c r="J1004" s="447"/>
      <c r="K1004" s="447"/>
      <c r="L1004" s="447"/>
      <c r="M1004" s="447"/>
      <c r="N1004" s="447"/>
      <c r="O1004" s="447"/>
      <c r="P1004" s="447"/>
      <c r="Q1004" s="447"/>
      <c r="R1004" s="447"/>
      <c r="S1004" s="447"/>
      <c r="T1004" s="447"/>
      <c r="U1004" s="447"/>
      <c r="V1004" s="447"/>
      <c r="W1004" s="447"/>
      <c r="X1004" s="447"/>
      <c r="Y1004" s="447"/>
      <c r="Z1004" s="447"/>
      <c r="AA1004" s="447"/>
    </row>
    <row r="1005" spans="1:27">
      <c r="A1005" s="468"/>
      <c r="B1005" s="469"/>
      <c r="C1005" s="468"/>
      <c r="D1005" s="470"/>
      <c r="E1005" s="447"/>
      <c r="F1005" s="447"/>
      <c r="G1005" s="447"/>
      <c r="H1005" s="447"/>
      <c r="I1005" s="447"/>
      <c r="J1005" s="447"/>
      <c r="K1005" s="447"/>
      <c r="L1005" s="447"/>
      <c r="M1005" s="447"/>
      <c r="N1005" s="447"/>
      <c r="O1005" s="447"/>
      <c r="P1005" s="447"/>
      <c r="Q1005" s="447"/>
      <c r="R1005" s="447"/>
      <c r="S1005" s="447"/>
      <c r="T1005" s="447"/>
      <c r="U1005" s="447"/>
      <c r="V1005" s="447"/>
      <c r="W1005" s="447"/>
      <c r="X1005" s="447"/>
      <c r="Y1005" s="447"/>
      <c r="Z1005" s="447"/>
      <c r="AA1005" s="447"/>
    </row>
  </sheetData>
  <autoFilter ref="A1:C173"/>
  <conditionalFormatting sqref="A2:A1005 B176">
    <cfRule type="beginsWith" dxfId="72" priority="1" operator="beginsWith" text="A">
      <formula>LEFT((A2),LEN("A"))=("A")</formula>
    </cfRule>
  </conditionalFormatting>
  <conditionalFormatting sqref="D2:D1005 E176">
    <cfRule type="notContainsBlanks" dxfId="71" priority="2">
      <formula>LEN(TRIM(D2))&gt;0</formula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D5A6BD"/>
    <outlinePr summaryBelow="0" summaryRight="0"/>
  </sheetPr>
  <dimension ref="A1:C11"/>
  <sheetViews>
    <sheetView workbookViewId="0"/>
  </sheetViews>
  <sheetFormatPr baseColWidth="10" defaultColWidth="12.5703125" defaultRowHeight="15.75" customHeight="1"/>
  <cols>
    <col min="2" max="2" width="26" customWidth="1"/>
  </cols>
  <sheetData>
    <row r="1" spans="1:3" ht="15.75" customHeight="1">
      <c r="A1" s="471" t="s">
        <v>5</v>
      </c>
      <c r="B1" s="472" t="s">
        <v>4827</v>
      </c>
      <c r="C1" s="473" t="s">
        <v>4221</v>
      </c>
    </row>
    <row r="2" spans="1:3">
      <c r="A2" s="474">
        <v>7008146</v>
      </c>
      <c r="B2" s="475" t="s">
        <v>4828</v>
      </c>
      <c r="C2" s="476" t="s">
        <v>4222</v>
      </c>
    </row>
    <row r="3" spans="1:3">
      <c r="A3" s="477">
        <v>7008147</v>
      </c>
      <c r="B3" s="478" t="s">
        <v>4829</v>
      </c>
      <c r="C3" s="479" t="s">
        <v>4223</v>
      </c>
    </row>
    <row r="4" spans="1:3">
      <c r="A4" s="480">
        <v>7008459</v>
      </c>
      <c r="B4" s="481" t="s">
        <v>4830</v>
      </c>
      <c r="C4" s="482" t="s">
        <v>4224</v>
      </c>
    </row>
    <row r="5" spans="1:3">
      <c r="A5" s="483">
        <v>7008151</v>
      </c>
      <c r="B5" s="484" t="s">
        <v>4831</v>
      </c>
      <c r="C5" s="485" t="s">
        <v>4225</v>
      </c>
    </row>
    <row r="6" spans="1:3">
      <c r="A6" s="486">
        <v>7008148</v>
      </c>
      <c r="B6" s="272" t="s">
        <v>4832</v>
      </c>
      <c r="C6" s="487" t="s">
        <v>4226</v>
      </c>
    </row>
    <row r="7" spans="1:3">
      <c r="A7" s="488">
        <v>7008149</v>
      </c>
      <c r="B7" s="489" t="s">
        <v>4833</v>
      </c>
      <c r="C7" s="490" t="s">
        <v>4227</v>
      </c>
    </row>
    <row r="8" spans="1:3">
      <c r="A8" s="491">
        <v>7008150</v>
      </c>
      <c r="B8" s="492" t="s">
        <v>4834</v>
      </c>
      <c r="C8" s="493" t="s">
        <v>4228</v>
      </c>
    </row>
    <row r="9" spans="1:3">
      <c r="A9" s="494">
        <v>7008460</v>
      </c>
      <c r="B9" s="495" t="s">
        <v>4835</v>
      </c>
      <c r="C9" s="487" t="s">
        <v>4229</v>
      </c>
    </row>
    <row r="10" spans="1:3">
      <c r="A10" s="494">
        <v>7008479</v>
      </c>
      <c r="B10" s="496" t="s">
        <v>4836</v>
      </c>
      <c r="C10" s="487" t="s">
        <v>4230</v>
      </c>
    </row>
    <row r="11" spans="1:3">
      <c r="A11" s="497">
        <v>7008480</v>
      </c>
      <c r="B11" s="498" t="s">
        <v>4837</v>
      </c>
      <c r="C11" s="499" t="s">
        <v>4231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outlinePr summaryBelow="0" summaryRight="0"/>
  </sheetPr>
  <dimension ref="A1:F886"/>
  <sheetViews>
    <sheetView workbookViewId="0"/>
  </sheetViews>
  <sheetFormatPr baseColWidth="10" defaultColWidth="12.5703125" defaultRowHeight="15.75" customHeight="1"/>
  <cols>
    <col min="2" max="2" width="21.85546875" customWidth="1"/>
    <col min="4" max="4" width="19.7109375" customWidth="1"/>
    <col min="6" max="6" width="19.42578125" customWidth="1"/>
  </cols>
  <sheetData>
    <row r="1" spans="1:6">
      <c r="A1" s="500" t="s">
        <v>5</v>
      </c>
      <c r="B1" s="500" t="s">
        <v>4827</v>
      </c>
      <c r="C1" s="274"/>
      <c r="D1" s="501" t="s">
        <v>4827</v>
      </c>
      <c r="E1" s="501" t="s">
        <v>5</v>
      </c>
    </row>
    <row r="2" spans="1:6">
      <c r="A2" s="119">
        <v>7008146</v>
      </c>
      <c r="B2" s="54" t="s">
        <v>4828</v>
      </c>
      <c r="C2" s="274"/>
      <c r="D2" s="502" t="s">
        <v>4838</v>
      </c>
      <c r="E2" s="503">
        <v>7006436</v>
      </c>
    </row>
    <row r="3" spans="1:6">
      <c r="A3" s="119">
        <v>7008147</v>
      </c>
      <c r="B3" s="54" t="s">
        <v>4829</v>
      </c>
      <c r="C3" s="274"/>
      <c r="D3" s="504" t="s">
        <v>4839</v>
      </c>
      <c r="E3" s="505">
        <v>7006434</v>
      </c>
    </row>
    <row r="4" spans="1:6">
      <c r="A4" s="119">
        <v>7008148</v>
      </c>
      <c r="B4" s="54" t="s">
        <v>4832</v>
      </c>
      <c r="C4" s="274"/>
      <c r="D4" s="506" t="s">
        <v>4840</v>
      </c>
      <c r="E4" s="507">
        <v>7006426</v>
      </c>
    </row>
    <row r="5" spans="1:6">
      <c r="A5" s="119">
        <v>7008149</v>
      </c>
      <c r="B5" s="54" t="s">
        <v>4833</v>
      </c>
      <c r="C5" s="274"/>
      <c r="D5" s="502" t="s">
        <v>4841</v>
      </c>
      <c r="E5" s="503">
        <v>7006428</v>
      </c>
    </row>
    <row r="6" spans="1:6">
      <c r="A6" s="119">
        <v>7008150</v>
      </c>
      <c r="B6" s="54" t="s">
        <v>4834</v>
      </c>
      <c r="C6" s="274"/>
      <c r="D6" s="274"/>
      <c r="E6" s="274"/>
    </row>
    <row r="7" spans="1:6">
      <c r="A7" s="119">
        <v>7008151</v>
      </c>
      <c r="B7" s="54" t="s">
        <v>4831</v>
      </c>
      <c r="C7" s="274"/>
      <c r="D7" s="501" t="s">
        <v>4842</v>
      </c>
      <c r="E7" s="508" t="s">
        <v>4843</v>
      </c>
      <c r="F7" s="508" t="s">
        <v>4827</v>
      </c>
    </row>
    <row r="8" spans="1:6">
      <c r="A8" s="509">
        <v>3025458</v>
      </c>
      <c r="B8" s="510" t="s">
        <v>4844</v>
      </c>
      <c r="C8" s="274"/>
      <c r="D8" s="511" t="s">
        <v>4845</v>
      </c>
      <c r="E8" s="512">
        <v>3025457</v>
      </c>
      <c r="F8" s="513" t="s">
        <v>4846</v>
      </c>
    </row>
    <row r="9" spans="1:6">
      <c r="A9" s="119">
        <v>3025457</v>
      </c>
      <c r="B9" s="54" t="s">
        <v>4846</v>
      </c>
      <c r="C9" s="274"/>
      <c r="D9" s="514">
        <v>7006426</v>
      </c>
      <c r="E9" s="515">
        <v>3025458</v>
      </c>
      <c r="F9" s="516" t="s">
        <v>4844</v>
      </c>
    </row>
    <row r="10" spans="1:6">
      <c r="A10" s="119">
        <v>3025461</v>
      </c>
      <c r="B10" s="54" t="s">
        <v>4847</v>
      </c>
      <c r="C10" s="274"/>
      <c r="D10" s="514" t="s">
        <v>4320</v>
      </c>
      <c r="E10" s="515">
        <v>3025459</v>
      </c>
      <c r="F10" s="516" t="s">
        <v>4848</v>
      </c>
    </row>
    <row r="11" spans="1:6">
      <c r="A11" s="119">
        <v>3025459</v>
      </c>
      <c r="B11" s="54" t="s">
        <v>4848</v>
      </c>
      <c r="C11" s="274"/>
      <c r="D11" s="514" t="s">
        <v>4320</v>
      </c>
      <c r="E11" s="515">
        <v>3025460</v>
      </c>
      <c r="F11" s="516" t="s">
        <v>4849</v>
      </c>
    </row>
    <row r="12" spans="1:6">
      <c r="A12" s="119">
        <v>3025460</v>
      </c>
      <c r="B12" s="54" t="s">
        <v>4849</v>
      </c>
      <c r="C12" s="274"/>
      <c r="D12" s="514" t="s">
        <v>4320</v>
      </c>
      <c r="E12" s="515">
        <v>3025461</v>
      </c>
      <c r="F12" s="516" t="s">
        <v>4847</v>
      </c>
    </row>
    <row r="13" spans="1:6">
      <c r="A13" s="119">
        <v>3025462</v>
      </c>
      <c r="B13" s="54" t="s">
        <v>4850</v>
      </c>
      <c r="C13" s="274"/>
      <c r="D13" s="514">
        <v>7006428</v>
      </c>
      <c r="E13" s="515">
        <v>3025462</v>
      </c>
      <c r="F13" s="516" t="s">
        <v>4850</v>
      </c>
    </row>
    <row r="14" spans="1:6">
      <c r="A14" s="119">
        <v>3025662</v>
      </c>
      <c r="B14" s="54" t="s">
        <v>4851</v>
      </c>
      <c r="C14" s="274"/>
      <c r="D14" s="514" t="s">
        <v>4320</v>
      </c>
      <c r="E14" s="515">
        <v>11548</v>
      </c>
      <c r="F14" s="516" t="s">
        <v>4852</v>
      </c>
    </row>
    <row r="15" spans="1:6">
      <c r="A15" s="274"/>
      <c r="B15" s="274"/>
      <c r="C15" s="274"/>
      <c r="D15" s="514" t="s">
        <v>4320</v>
      </c>
      <c r="E15" s="515">
        <v>11549</v>
      </c>
      <c r="F15" s="516" t="s">
        <v>4853</v>
      </c>
    </row>
    <row r="16" spans="1:6">
      <c r="A16" s="274"/>
      <c r="B16" s="274"/>
      <c r="C16" s="274"/>
      <c r="D16" s="274"/>
      <c r="E16" s="274"/>
    </row>
    <row r="17" spans="1:5">
      <c r="A17" s="274"/>
      <c r="B17" s="274"/>
      <c r="C17" s="274"/>
      <c r="D17" s="274"/>
      <c r="E17" s="274"/>
    </row>
    <row r="18" spans="1:5">
      <c r="A18" s="274"/>
      <c r="B18" s="274"/>
      <c r="C18" s="274"/>
      <c r="D18" s="274"/>
      <c r="E18" s="274"/>
    </row>
    <row r="19" spans="1:5">
      <c r="A19" s="274"/>
      <c r="B19" s="274"/>
      <c r="C19" s="274"/>
      <c r="D19" s="274"/>
      <c r="E19" s="274"/>
    </row>
    <row r="20" spans="1:5">
      <c r="A20" s="274"/>
      <c r="B20" s="274"/>
      <c r="C20" s="274"/>
      <c r="D20" s="274"/>
      <c r="E20" s="274"/>
    </row>
    <row r="21" spans="1:5">
      <c r="A21" s="274"/>
      <c r="B21" s="274"/>
      <c r="C21" s="274"/>
      <c r="D21" s="274"/>
      <c r="E21" s="274"/>
    </row>
    <row r="22" spans="1:5">
      <c r="A22" s="274"/>
      <c r="B22" s="274"/>
      <c r="C22" s="274"/>
      <c r="D22" s="274"/>
      <c r="E22" s="274"/>
    </row>
    <row r="23" spans="1:5">
      <c r="A23" s="274"/>
      <c r="B23" s="274"/>
      <c r="C23" s="274"/>
      <c r="D23" s="274"/>
      <c r="E23" s="274"/>
    </row>
    <row r="24" spans="1:5">
      <c r="A24" s="274"/>
      <c r="B24" s="274"/>
      <c r="C24" s="274"/>
      <c r="D24" s="274"/>
      <c r="E24" s="274"/>
    </row>
    <row r="25" spans="1:5">
      <c r="A25" s="274"/>
      <c r="B25" s="274"/>
      <c r="C25" s="274"/>
      <c r="D25" s="274"/>
      <c r="E25" s="274"/>
    </row>
    <row r="26" spans="1:5">
      <c r="A26" s="274"/>
      <c r="B26" s="274"/>
      <c r="C26" s="274"/>
      <c r="D26" s="274"/>
      <c r="E26" s="274"/>
    </row>
    <row r="27" spans="1:5">
      <c r="A27" s="274"/>
      <c r="B27" s="274"/>
      <c r="C27" s="274"/>
      <c r="D27" s="274"/>
      <c r="E27" s="274"/>
    </row>
    <row r="28" spans="1:5">
      <c r="A28" s="274"/>
      <c r="B28" s="274"/>
      <c r="C28" s="274"/>
      <c r="D28" s="274"/>
      <c r="E28" s="274"/>
    </row>
    <row r="29" spans="1:5">
      <c r="A29" s="274"/>
      <c r="B29" s="274"/>
      <c r="C29" s="274"/>
      <c r="D29" s="274"/>
      <c r="E29" s="274"/>
    </row>
    <row r="30" spans="1:5">
      <c r="A30" s="274"/>
      <c r="B30" s="274"/>
      <c r="C30" s="274"/>
      <c r="D30" s="274"/>
      <c r="E30" s="274"/>
    </row>
    <row r="31" spans="1:5">
      <c r="A31" s="274"/>
      <c r="B31" s="274"/>
      <c r="C31" s="274"/>
      <c r="D31" s="274"/>
      <c r="E31" s="274"/>
    </row>
    <row r="32" spans="1:5">
      <c r="A32" s="274"/>
      <c r="B32" s="274"/>
      <c r="C32" s="274"/>
      <c r="D32" s="274"/>
      <c r="E32" s="274"/>
    </row>
    <row r="33" spans="1:5">
      <c r="A33" s="274"/>
      <c r="B33" s="274"/>
      <c r="C33" s="274"/>
      <c r="D33" s="274"/>
      <c r="E33" s="274"/>
    </row>
    <row r="34" spans="1:5">
      <c r="A34" s="274"/>
      <c r="B34" s="274"/>
      <c r="C34" s="274"/>
      <c r="D34" s="274"/>
      <c r="E34" s="274"/>
    </row>
    <row r="35" spans="1:5">
      <c r="A35" s="274"/>
      <c r="B35" s="274"/>
      <c r="C35" s="274"/>
      <c r="D35" s="274"/>
      <c r="E35" s="274"/>
    </row>
    <row r="36" spans="1:5">
      <c r="A36" s="274"/>
      <c r="B36" s="274"/>
      <c r="C36" s="274"/>
      <c r="D36" s="274"/>
      <c r="E36" s="274"/>
    </row>
    <row r="37" spans="1:5">
      <c r="A37" s="274"/>
      <c r="B37" s="274"/>
      <c r="C37" s="274"/>
      <c r="D37" s="274"/>
      <c r="E37" s="274"/>
    </row>
    <row r="38" spans="1:5">
      <c r="A38" s="274"/>
      <c r="B38" s="274"/>
      <c r="C38" s="274"/>
      <c r="D38" s="274"/>
      <c r="E38" s="274"/>
    </row>
    <row r="39" spans="1:5">
      <c r="A39" s="274"/>
      <c r="B39" s="274"/>
      <c r="C39" s="274"/>
      <c r="D39" s="274"/>
      <c r="E39" s="274"/>
    </row>
    <row r="40" spans="1:5">
      <c r="A40" s="274"/>
      <c r="B40" s="274"/>
      <c r="C40" s="274"/>
      <c r="D40" s="274"/>
      <c r="E40" s="274"/>
    </row>
    <row r="41" spans="1:5">
      <c r="A41" s="274"/>
      <c r="B41" s="274"/>
      <c r="C41" s="274"/>
      <c r="D41" s="274"/>
      <c r="E41" s="274"/>
    </row>
    <row r="42" spans="1:5">
      <c r="A42" s="274"/>
      <c r="B42" s="274"/>
      <c r="C42" s="274"/>
      <c r="D42" s="274"/>
      <c r="E42" s="274"/>
    </row>
    <row r="43" spans="1:5">
      <c r="A43" s="274"/>
      <c r="B43" s="274"/>
      <c r="C43" s="274"/>
      <c r="D43" s="274"/>
      <c r="E43" s="274"/>
    </row>
    <row r="44" spans="1:5">
      <c r="A44" s="274"/>
      <c r="B44" s="274"/>
      <c r="C44" s="274"/>
      <c r="D44" s="274"/>
      <c r="E44" s="274"/>
    </row>
    <row r="45" spans="1:5">
      <c r="A45" s="274"/>
      <c r="B45" s="274"/>
      <c r="C45" s="274"/>
      <c r="D45" s="274"/>
      <c r="E45" s="274"/>
    </row>
    <row r="46" spans="1:5">
      <c r="A46" s="274"/>
      <c r="B46" s="274"/>
      <c r="C46" s="274"/>
      <c r="D46" s="274"/>
      <c r="E46" s="274"/>
    </row>
    <row r="47" spans="1:5">
      <c r="A47" s="274"/>
      <c r="B47" s="274"/>
      <c r="C47" s="274"/>
      <c r="D47" s="274"/>
      <c r="E47" s="274"/>
    </row>
    <row r="48" spans="1:5">
      <c r="A48" s="274"/>
      <c r="B48" s="274"/>
      <c r="C48" s="274"/>
      <c r="D48" s="274"/>
      <c r="E48" s="274"/>
    </row>
    <row r="49" spans="1:5">
      <c r="A49" s="274"/>
      <c r="B49" s="274"/>
      <c r="C49" s="274"/>
      <c r="D49" s="274"/>
      <c r="E49" s="274"/>
    </row>
    <row r="50" spans="1:5">
      <c r="A50" s="274"/>
      <c r="B50" s="274"/>
      <c r="C50" s="274"/>
      <c r="D50" s="274"/>
      <c r="E50" s="274"/>
    </row>
    <row r="51" spans="1:5">
      <c r="A51" s="274"/>
      <c r="B51" s="274"/>
      <c r="C51" s="274"/>
      <c r="D51" s="274"/>
      <c r="E51" s="274"/>
    </row>
    <row r="52" spans="1:5">
      <c r="A52" s="274"/>
      <c r="B52" s="274"/>
      <c r="C52" s="274"/>
      <c r="D52" s="274"/>
      <c r="E52" s="274"/>
    </row>
    <row r="53" spans="1:5">
      <c r="A53" s="274"/>
      <c r="B53" s="274"/>
      <c r="C53" s="274"/>
      <c r="D53" s="274"/>
      <c r="E53" s="274"/>
    </row>
    <row r="54" spans="1:5">
      <c r="A54" s="274"/>
      <c r="B54" s="274"/>
      <c r="C54" s="274"/>
      <c r="D54" s="274"/>
      <c r="E54" s="274"/>
    </row>
    <row r="55" spans="1:5">
      <c r="A55" s="274"/>
      <c r="B55" s="274"/>
      <c r="C55" s="274"/>
      <c r="D55" s="274"/>
      <c r="E55" s="274"/>
    </row>
    <row r="56" spans="1:5">
      <c r="A56" s="274"/>
      <c r="B56" s="274"/>
      <c r="C56" s="274"/>
      <c r="D56" s="274"/>
      <c r="E56" s="274"/>
    </row>
    <row r="57" spans="1:5">
      <c r="A57" s="274"/>
      <c r="B57" s="274"/>
      <c r="C57" s="274"/>
      <c r="D57" s="274"/>
      <c r="E57" s="274"/>
    </row>
    <row r="58" spans="1:5">
      <c r="A58" s="274"/>
      <c r="B58" s="274"/>
      <c r="C58" s="274"/>
      <c r="D58" s="274"/>
      <c r="E58" s="274"/>
    </row>
    <row r="59" spans="1:5">
      <c r="A59" s="274"/>
      <c r="B59" s="274"/>
      <c r="C59" s="274"/>
      <c r="D59" s="274"/>
      <c r="E59" s="274"/>
    </row>
    <row r="60" spans="1:5">
      <c r="A60" s="274"/>
      <c r="B60" s="274"/>
      <c r="C60" s="274"/>
      <c r="D60" s="274"/>
      <c r="E60" s="274"/>
    </row>
    <row r="61" spans="1:5">
      <c r="A61" s="274"/>
      <c r="B61" s="274"/>
      <c r="C61" s="274"/>
      <c r="D61" s="274"/>
      <c r="E61" s="274"/>
    </row>
    <row r="62" spans="1:5">
      <c r="A62" s="274"/>
      <c r="B62" s="274"/>
      <c r="C62" s="274"/>
      <c r="D62" s="274"/>
      <c r="E62" s="274"/>
    </row>
    <row r="63" spans="1:5">
      <c r="A63" s="274"/>
      <c r="B63" s="274"/>
      <c r="C63" s="274"/>
      <c r="D63" s="274"/>
      <c r="E63" s="274"/>
    </row>
    <row r="64" spans="1:5">
      <c r="A64" s="274"/>
      <c r="B64" s="274"/>
      <c r="C64" s="274"/>
      <c r="D64" s="274"/>
      <c r="E64" s="274"/>
    </row>
    <row r="65" spans="1:5">
      <c r="A65" s="274"/>
      <c r="B65" s="274"/>
      <c r="C65" s="274"/>
      <c r="D65" s="274"/>
      <c r="E65" s="274"/>
    </row>
    <row r="66" spans="1:5">
      <c r="A66" s="274"/>
      <c r="B66" s="274"/>
      <c r="C66" s="274"/>
      <c r="D66" s="274"/>
      <c r="E66" s="274"/>
    </row>
    <row r="67" spans="1:5">
      <c r="A67" s="274"/>
      <c r="B67" s="274"/>
      <c r="C67" s="274"/>
      <c r="D67" s="274"/>
      <c r="E67" s="274"/>
    </row>
    <row r="68" spans="1:5">
      <c r="A68" s="274"/>
      <c r="B68" s="274"/>
      <c r="C68" s="274"/>
      <c r="D68" s="274"/>
      <c r="E68" s="274"/>
    </row>
    <row r="69" spans="1:5">
      <c r="A69" s="274"/>
      <c r="B69" s="274"/>
      <c r="C69" s="274"/>
      <c r="D69" s="274"/>
      <c r="E69" s="274"/>
    </row>
    <row r="70" spans="1:5">
      <c r="A70" s="274"/>
      <c r="B70" s="274"/>
      <c r="C70" s="274"/>
      <c r="D70" s="274"/>
      <c r="E70" s="274"/>
    </row>
    <row r="71" spans="1:5">
      <c r="A71" s="274"/>
      <c r="B71" s="274"/>
      <c r="C71" s="274"/>
      <c r="D71" s="274"/>
      <c r="E71" s="274"/>
    </row>
    <row r="72" spans="1:5">
      <c r="A72" s="274"/>
      <c r="B72" s="274"/>
      <c r="C72" s="274"/>
      <c r="D72" s="274"/>
      <c r="E72" s="274"/>
    </row>
    <row r="73" spans="1:5">
      <c r="A73" s="274"/>
      <c r="B73" s="274"/>
      <c r="C73" s="274"/>
      <c r="D73" s="274"/>
      <c r="E73" s="274"/>
    </row>
    <row r="74" spans="1:5">
      <c r="A74" s="274"/>
      <c r="B74" s="274"/>
      <c r="C74" s="274"/>
      <c r="D74" s="274"/>
      <c r="E74" s="274"/>
    </row>
    <row r="75" spans="1:5">
      <c r="A75" s="274"/>
      <c r="B75" s="274"/>
      <c r="C75" s="274"/>
      <c r="D75" s="274"/>
      <c r="E75" s="274"/>
    </row>
    <row r="76" spans="1:5">
      <c r="A76" s="274"/>
      <c r="B76" s="274"/>
      <c r="C76" s="274"/>
      <c r="D76" s="274"/>
      <c r="E76" s="274"/>
    </row>
    <row r="77" spans="1:5">
      <c r="A77" s="274"/>
      <c r="B77" s="274"/>
      <c r="C77" s="274"/>
      <c r="D77" s="274"/>
      <c r="E77" s="274"/>
    </row>
    <row r="78" spans="1:5">
      <c r="A78" s="274"/>
      <c r="B78" s="274"/>
      <c r="C78" s="274"/>
      <c r="D78" s="274"/>
      <c r="E78" s="274"/>
    </row>
    <row r="79" spans="1:5">
      <c r="A79" s="274"/>
      <c r="B79" s="274"/>
      <c r="C79" s="274"/>
      <c r="D79" s="274"/>
      <c r="E79" s="274"/>
    </row>
    <row r="80" spans="1:5">
      <c r="A80" s="274"/>
      <c r="B80" s="274"/>
      <c r="C80" s="274"/>
      <c r="D80" s="274"/>
      <c r="E80" s="274"/>
    </row>
    <row r="81" spans="1:5">
      <c r="A81" s="274"/>
      <c r="B81" s="274"/>
      <c r="C81" s="274"/>
      <c r="D81" s="274"/>
      <c r="E81" s="274"/>
    </row>
    <row r="82" spans="1:5">
      <c r="A82" s="274"/>
      <c r="B82" s="274"/>
      <c r="C82" s="274"/>
      <c r="D82" s="274"/>
      <c r="E82" s="274"/>
    </row>
    <row r="83" spans="1:5">
      <c r="A83" s="274"/>
      <c r="B83" s="274"/>
      <c r="C83" s="274"/>
      <c r="D83" s="274"/>
      <c r="E83" s="274"/>
    </row>
    <row r="84" spans="1:5">
      <c r="A84" s="274"/>
      <c r="B84" s="274"/>
      <c r="C84" s="274"/>
      <c r="D84" s="274"/>
      <c r="E84" s="274"/>
    </row>
    <row r="85" spans="1:5">
      <c r="A85" s="274"/>
      <c r="B85" s="274"/>
      <c r="C85" s="274"/>
      <c r="D85" s="274"/>
      <c r="E85" s="274"/>
    </row>
    <row r="86" spans="1:5">
      <c r="A86" s="274"/>
      <c r="B86" s="274"/>
      <c r="C86" s="274"/>
      <c r="D86" s="274"/>
      <c r="E86" s="274"/>
    </row>
    <row r="87" spans="1:5">
      <c r="A87" s="274"/>
      <c r="B87" s="274"/>
      <c r="C87" s="274"/>
      <c r="D87" s="274"/>
      <c r="E87" s="274"/>
    </row>
    <row r="88" spans="1:5">
      <c r="A88" s="274"/>
      <c r="B88" s="274"/>
      <c r="C88" s="274"/>
      <c r="D88" s="274"/>
      <c r="E88" s="274"/>
    </row>
    <row r="89" spans="1:5">
      <c r="A89" s="274"/>
      <c r="B89" s="274"/>
      <c r="C89" s="274"/>
      <c r="D89" s="274"/>
      <c r="E89" s="274"/>
    </row>
    <row r="90" spans="1:5">
      <c r="A90" s="274"/>
      <c r="B90" s="274"/>
      <c r="C90" s="274"/>
      <c r="D90" s="274"/>
      <c r="E90" s="274"/>
    </row>
    <row r="91" spans="1:5">
      <c r="A91" s="274"/>
      <c r="B91" s="274"/>
      <c r="C91" s="274"/>
      <c r="D91" s="274"/>
      <c r="E91" s="274"/>
    </row>
    <row r="92" spans="1:5">
      <c r="A92" s="274"/>
      <c r="B92" s="274"/>
      <c r="C92" s="274"/>
      <c r="D92" s="274"/>
      <c r="E92" s="274"/>
    </row>
    <row r="93" spans="1:5">
      <c r="A93" s="274"/>
      <c r="B93" s="274"/>
      <c r="C93" s="274"/>
      <c r="D93" s="274"/>
      <c r="E93" s="274"/>
    </row>
    <row r="94" spans="1:5">
      <c r="A94" s="274"/>
      <c r="B94" s="274"/>
      <c r="C94" s="274"/>
      <c r="D94" s="274"/>
      <c r="E94" s="274"/>
    </row>
    <row r="95" spans="1:5">
      <c r="A95" s="274"/>
      <c r="B95" s="274"/>
      <c r="C95" s="274"/>
      <c r="D95" s="274"/>
      <c r="E95" s="274"/>
    </row>
    <row r="96" spans="1:5">
      <c r="A96" s="274"/>
      <c r="B96" s="274"/>
      <c r="C96" s="274"/>
      <c r="D96" s="274"/>
      <c r="E96" s="274"/>
    </row>
    <row r="97" spans="1:5">
      <c r="A97" s="274"/>
      <c r="B97" s="274"/>
      <c r="C97" s="274"/>
      <c r="D97" s="274"/>
      <c r="E97" s="274"/>
    </row>
    <row r="98" spans="1:5">
      <c r="A98" s="274"/>
      <c r="B98" s="274"/>
      <c r="C98" s="274"/>
      <c r="D98" s="274"/>
      <c r="E98" s="274"/>
    </row>
    <row r="99" spans="1:5">
      <c r="A99" s="274"/>
      <c r="B99" s="274"/>
      <c r="C99" s="274"/>
      <c r="D99" s="274"/>
      <c r="E99" s="274"/>
    </row>
    <row r="100" spans="1:5">
      <c r="A100" s="274"/>
      <c r="B100" s="274"/>
      <c r="C100" s="274"/>
      <c r="D100" s="274"/>
      <c r="E100" s="274"/>
    </row>
    <row r="101" spans="1:5">
      <c r="A101" s="274"/>
      <c r="B101" s="274"/>
      <c r="C101" s="274"/>
      <c r="D101" s="274"/>
      <c r="E101" s="274"/>
    </row>
    <row r="102" spans="1:5">
      <c r="A102" s="274"/>
      <c r="B102" s="274"/>
      <c r="C102" s="274"/>
      <c r="D102" s="274"/>
      <c r="E102" s="274"/>
    </row>
    <row r="103" spans="1:5">
      <c r="A103" s="274"/>
      <c r="B103" s="274"/>
      <c r="C103" s="274"/>
      <c r="D103" s="274"/>
      <c r="E103" s="274"/>
    </row>
    <row r="104" spans="1:5">
      <c r="A104" s="274"/>
      <c r="B104" s="274"/>
      <c r="C104" s="274"/>
      <c r="D104" s="274"/>
      <c r="E104" s="274"/>
    </row>
    <row r="105" spans="1:5">
      <c r="A105" s="274"/>
      <c r="B105" s="274"/>
      <c r="C105" s="274"/>
      <c r="D105" s="274"/>
      <c r="E105" s="274"/>
    </row>
    <row r="106" spans="1:5">
      <c r="A106" s="274"/>
      <c r="B106" s="274"/>
      <c r="C106" s="274"/>
      <c r="D106" s="274"/>
      <c r="E106" s="274"/>
    </row>
    <row r="107" spans="1:5">
      <c r="A107" s="274"/>
      <c r="B107" s="274"/>
      <c r="C107" s="274"/>
      <c r="D107" s="274"/>
      <c r="E107" s="274"/>
    </row>
    <row r="108" spans="1:5">
      <c r="A108" s="274"/>
      <c r="B108" s="274"/>
      <c r="C108" s="274"/>
      <c r="D108" s="274"/>
      <c r="E108" s="274"/>
    </row>
    <row r="109" spans="1:5">
      <c r="A109" s="274"/>
      <c r="B109" s="274"/>
      <c r="C109" s="274"/>
      <c r="D109" s="274"/>
      <c r="E109" s="274"/>
    </row>
    <row r="110" spans="1:5">
      <c r="A110" s="274"/>
      <c r="B110" s="274"/>
      <c r="C110" s="274"/>
      <c r="D110" s="274"/>
      <c r="E110" s="274"/>
    </row>
    <row r="111" spans="1:5">
      <c r="A111" s="274"/>
      <c r="B111" s="274"/>
      <c r="C111" s="274"/>
      <c r="D111" s="274"/>
      <c r="E111" s="274"/>
    </row>
    <row r="112" spans="1:5">
      <c r="A112" s="274"/>
      <c r="B112" s="274"/>
      <c r="C112" s="274"/>
      <c r="D112" s="274"/>
      <c r="E112" s="274"/>
    </row>
    <row r="113" spans="1:5">
      <c r="A113" s="274"/>
      <c r="B113" s="274"/>
      <c r="C113" s="274"/>
      <c r="D113" s="274"/>
      <c r="E113" s="274"/>
    </row>
    <row r="114" spans="1:5">
      <c r="A114" s="274"/>
      <c r="B114" s="274"/>
      <c r="C114" s="274"/>
      <c r="D114" s="274"/>
      <c r="E114" s="274"/>
    </row>
    <row r="115" spans="1:5">
      <c r="A115" s="274"/>
      <c r="B115" s="274"/>
      <c r="C115" s="274"/>
      <c r="D115" s="274"/>
      <c r="E115" s="274"/>
    </row>
    <row r="116" spans="1:5">
      <c r="A116" s="274"/>
      <c r="B116" s="274"/>
      <c r="C116" s="274"/>
      <c r="D116" s="274"/>
      <c r="E116" s="274"/>
    </row>
    <row r="117" spans="1:5">
      <c r="A117" s="274"/>
      <c r="B117" s="274"/>
      <c r="C117" s="274"/>
      <c r="D117" s="274"/>
      <c r="E117" s="274"/>
    </row>
    <row r="118" spans="1:5">
      <c r="A118" s="274"/>
      <c r="B118" s="274"/>
      <c r="C118" s="274"/>
      <c r="D118" s="274"/>
      <c r="E118" s="274"/>
    </row>
    <row r="119" spans="1:5">
      <c r="A119" s="274"/>
      <c r="B119" s="274"/>
      <c r="C119" s="274"/>
      <c r="D119" s="274"/>
      <c r="E119" s="274"/>
    </row>
    <row r="120" spans="1:5">
      <c r="A120" s="274"/>
      <c r="B120" s="274"/>
      <c r="C120" s="274"/>
      <c r="D120" s="274"/>
      <c r="E120" s="274"/>
    </row>
    <row r="121" spans="1:5">
      <c r="A121" s="274"/>
      <c r="B121" s="274"/>
      <c r="C121" s="274"/>
      <c r="D121" s="274"/>
      <c r="E121" s="274"/>
    </row>
    <row r="122" spans="1:5">
      <c r="A122" s="274"/>
      <c r="B122" s="274"/>
      <c r="C122" s="274"/>
      <c r="D122" s="274"/>
      <c r="E122" s="274"/>
    </row>
    <row r="123" spans="1:5">
      <c r="A123" s="274"/>
      <c r="B123" s="274"/>
      <c r="C123" s="274"/>
      <c r="D123" s="274"/>
      <c r="E123" s="274"/>
    </row>
    <row r="124" spans="1:5">
      <c r="A124" s="274"/>
      <c r="B124" s="274"/>
      <c r="C124" s="274"/>
      <c r="D124" s="274"/>
      <c r="E124" s="274"/>
    </row>
    <row r="125" spans="1:5">
      <c r="A125" s="274"/>
      <c r="B125" s="274"/>
      <c r="C125" s="274"/>
      <c r="D125" s="274"/>
      <c r="E125" s="274"/>
    </row>
    <row r="126" spans="1:5">
      <c r="A126" s="274"/>
      <c r="B126" s="274"/>
      <c r="C126" s="274"/>
      <c r="D126" s="274"/>
      <c r="E126" s="274"/>
    </row>
    <row r="127" spans="1:5">
      <c r="A127" s="274"/>
      <c r="B127" s="274"/>
      <c r="C127" s="274"/>
      <c r="D127" s="274"/>
      <c r="E127" s="274"/>
    </row>
    <row r="128" spans="1:5">
      <c r="A128" s="274"/>
      <c r="B128" s="274"/>
      <c r="C128" s="274"/>
      <c r="D128" s="274"/>
      <c r="E128" s="274"/>
    </row>
    <row r="129" spans="1:5">
      <c r="A129" s="274"/>
      <c r="B129" s="274"/>
      <c r="C129" s="274"/>
      <c r="D129" s="274"/>
      <c r="E129" s="274"/>
    </row>
    <row r="130" spans="1:5">
      <c r="A130" s="274"/>
      <c r="B130" s="274"/>
      <c r="C130" s="274"/>
      <c r="D130" s="274"/>
      <c r="E130" s="274"/>
    </row>
    <row r="131" spans="1:5">
      <c r="A131" s="274"/>
      <c r="B131" s="274"/>
      <c r="C131" s="274"/>
      <c r="D131" s="274"/>
      <c r="E131" s="274"/>
    </row>
    <row r="132" spans="1:5">
      <c r="A132" s="274"/>
      <c r="B132" s="274"/>
      <c r="C132" s="274"/>
      <c r="D132" s="274"/>
      <c r="E132" s="274"/>
    </row>
    <row r="133" spans="1:5">
      <c r="A133" s="274"/>
      <c r="B133" s="274"/>
      <c r="C133" s="274"/>
      <c r="D133" s="274"/>
      <c r="E133" s="274"/>
    </row>
    <row r="134" spans="1:5">
      <c r="A134" s="274"/>
      <c r="B134" s="274"/>
      <c r="C134" s="274"/>
      <c r="D134" s="274"/>
      <c r="E134" s="274"/>
    </row>
    <row r="135" spans="1:5">
      <c r="A135" s="274"/>
      <c r="B135" s="274"/>
      <c r="C135" s="274"/>
      <c r="D135" s="274"/>
      <c r="E135" s="274"/>
    </row>
    <row r="136" spans="1:5">
      <c r="A136" s="274"/>
      <c r="B136" s="274"/>
      <c r="C136" s="274"/>
      <c r="D136" s="274"/>
      <c r="E136" s="274"/>
    </row>
    <row r="137" spans="1:5">
      <c r="A137" s="274"/>
      <c r="B137" s="274"/>
      <c r="C137" s="274"/>
      <c r="D137" s="274"/>
      <c r="E137" s="274"/>
    </row>
    <row r="138" spans="1:5">
      <c r="A138" s="274"/>
      <c r="B138" s="274"/>
      <c r="C138" s="274"/>
      <c r="D138" s="274"/>
      <c r="E138" s="274"/>
    </row>
    <row r="139" spans="1:5">
      <c r="A139" s="274"/>
      <c r="B139" s="274"/>
      <c r="C139" s="274"/>
      <c r="D139" s="274"/>
      <c r="E139" s="274"/>
    </row>
    <row r="140" spans="1:5">
      <c r="A140" s="274"/>
      <c r="B140" s="274"/>
      <c r="C140" s="274"/>
      <c r="D140" s="274"/>
      <c r="E140" s="274"/>
    </row>
    <row r="141" spans="1:5">
      <c r="A141" s="274"/>
      <c r="B141" s="274"/>
      <c r="C141" s="274"/>
      <c r="D141" s="274"/>
      <c r="E141" s="274"/>
    </row>
    <row r="142" spans="1:5">
      <c r="A142" s="274"/>
      <c r="B142" s="274"/>
      <c r="C142" s="274"/>
      <c r="D142" s="274"/>
      <c r="E142" s="274"/>
    </row>
    <row r="143" spans="1:5">
      <c r="A143" s="274"/>
      <c r="B143" s="274"/>
      <c r="C143" s="274"/>
      <c r="D143" s="274"/>
      <c r="E143" s="274"/>
    </row>
    <row r="144" spans="1:5">
      <c r="A144" s="274"/>
      <c r="B144" s="274"/>
      <c r="C144" s="274"/>
      <c r="D144" s="274"/>
      <c r="E144" s="274"/>
    </row>
    <row r="145" spans="1:5">
      <c r="A145" s="274"/>
      <c r="B145" s="274"/>
      <c r="C145" s="274"/>
      <c r="D145" s="274"/>
      <c r="E145" s="274"/>
    </row>
    <row r="146" spans="1:5">
      <c r="A146" s="274"/>
      <c r="B146" s="274"/>
      <c r="C146" s="274"/>
      <c r="D146" s="274"/>
      <c r="E146" s="274"/>
    </row>
    <row r="147" spans="1:5">
      <c r="A147" s="274"/>
      <c r="B147" s="274"/>
      <c r="C147" s="274"/>
      <c r="D147" s="274"/>
      <c r="E147" s="274"/>
    </row>
    <row r="148" spans="1:5">
      <c r="A148" s="274"/>
      <c r="B148" s="274"/>
      <c r="C148" s="274"/>
      <c r="D148" s="274"/>
      <c r="E148" s="274"/>
    </row>
    <row r="149" spans="1:5">
      <c r="A149" s="274"/>
      <c r="B149" s="274"/>
      <c r="C149" s="274"/>
      <c r="D149" s="274"/>
      <c r="E149" s="274"/>
    </row>
    <row r="150" spans="1:5">
      <c r="A150" s="274"/>
      <c r="B150" s="274"/>
      <c r="C150" s="274"/>
      <c r="D150" s="274"/>
      <c r="E150" s="274"/>
    </row>
    <row r="151" spans="1:5">
      <c r="A151" s="274"/>
      <c r="B151" s="274"/>
      <c r="C151" s="274"/>
      <c r="D151" s="274"/>
      <c r="E151" s="274"/>
    </row>
    <row r="152" spans="1:5">
      <c r="A152" s="274"/>
      <c r="B152" s="274"/>
      <c r="C152" s="274"/>
      <c r="D152" s="274"/>
      <c r="E152" s="274"/>
    </row>
    <row r="153" spans="1:5">
      <c r="A153" s="274"/>
      <c r="B153" s="274"/>
      <c r="C153" s="274"/>
      <c r="D153" s="274"/>
      <c r="E153" s="274"/>
    </row>
    <row r="154" spans="1:5">
      <c r="A154" s="274"/>
      <c r="B154" s="274"/>
      <c r="C154" s="274"/>
      <c r="D154" s="274"/>
      <c r="E154" s="274"/>
    </row>
    <row r="155" spans="1:5">
      <c r="A155" s="274"/>
      <c r="B155" s="274"/>
      <c r="C155" s="274"/>
      <c r="D155" s="274"/>
      <c r="E155" s="274"/>
    </row>
    <row r="156" spans="1:5">
      <c r="A156" s="274"/>
      <c r="B156" s="274"/>
      <c r="C156" s="274"/>
      <c r="D156" s="274"/>
      <c r="E156" s="274"/>
    </row>
    <row r="157" spans="1:5">
      <c r="A157" s="274"/>
      <c r="B157" s="274"/>
      <c r="C157" s="274"/>
      <c r="D157" s="274"/>
      <c r="E157" s="274"/>
    </row>
    <row r="158" spans="1:5">
      <c r="A158" s="274"/>
      <c r="B158" s="274"/>
      <c r="C158" s="274"/>
      <c r="D158" s="274"/>
      <c r="E158" s="274"/>
    </row>
    <row r="159" spans="1:5">
      <c r="A159" s="274"/>
      <c r="B159" s="274"/>
      <c r="C159" s="274"/>
      <c r="D159" s="274"/>
      <c r="E159" s="274"/>
    </row>
    <row r="160" spans="1:5">
      <c r="A160" s="274"/>
      <c r="B160" s="274"/>
      <c r="C160" s="274"/>
      <c r="D160" s="274"/>
      <c r="E160" s="274"/>
    </row>
    <row r="161" spans="1:5">
      <c r="A161" s="274"/>
      <c r="B161" s="274"/>
      <c r="C161" s="274"/>
      <c r="D161" s="274"/>
      <c r="E161" s="274"/>
    </row>
    <row r="162" spans="1:5">
      <c r="A162" s="274"/>
      <c r="B162" s="274"/>
      <c r="C162" s="274"/>
      <c r="D162" s="274"/>
      <c r="E162" s="274"/>
    </row>
    <row r="163" spans="1:5">
      <c r="A163" s="274"/>
      <c r="B163" s="274"/>
      <c r="C163" s="274"/>
      <c r="D163" s="274"/>
      <c r="E163" s="274"/>
    </row>
    <row r="164" spans="1:5">
      <c r="A164" s="274"/>
      <c r="B164" s="274"/>
      <c r="C164" s="274"/>
      <c r="D164" s="274"/>
      <c r="E164" s="274"/>
    </row>
    <row r="165" spans="1:5">
      <c r="A165" s="274"/>
      <c r="B165" s="274"/>
      <c r="C165" s="274"/>
      <c r="D165" s="274"/>
      <c r="E165" s="274"/>
    </row>
    <row r="166" spans="1:5">
      <c r="A166" s="274"/>
      <c r="B166" s="274"/>
      <c r="C166" s="274"/>
      <c r="D166" s="274"/>
      <c r="E166" s="274"/>
    </row>
    <row r="167" spans="1:5">
      <c r="A167" s="274"/>
      <c r="B167" s="274"/>
      <c r="C167" s="274"/>
      <c r="D167" s="274"/>
      <c r="E167" s="274"/>
    </row>
    <row r="168" spans="1:5">
      <c r="A168" s="274"/>
      <c r="B168" s="274"/>
      <c r="C168" s="274"/>
      <c r="D168" s="274"/>
      <c r="E168" s="274"/>
    </row>
    <row r="169" spans="1:5">
      <c r="A169" s="274"/>
      <c r="B169" s="274"/>
      <c r="C169" s="274"/>
      <c r="D169" s="274"/>
      <c r="E169" s="274"/>
    </row>
    <row r="170" spans="1:5">
      <c r="A170" s="274"/>
      <c r="B170" s="274"/>
      <c r="C170" s="274"/>
      <c r="D170" s="274"/>
      <c r="E170" s="274"/>
    </row>
    <row r="171" spans="1:5">
      <c r="A171" s="274"/>
      <c r="B171" s="274"/>
      <c r="C171" s="274"/>
      <c r="D171" s="274"/>
      <c r="E171" s="274"/>
    </row>
    <row r="172" spans="1:5">
      <c r="A172" s="274"/>
      <c r="B172" s="274"/>
      <c r="C172" s="274"/>
      <c r="D172" s="274"/>
      <c r="E172" s="274"/>
    </row>
    <row r="173" spans="1:5">
      <c r="A173" s="274"/>
      <c r="B173" s="274"/>
      <c r="C173" s="274"/>
      <c r="D173" s="274"/>
      <c r="E173" s="274"/>
    </row>
    <row r="174" spans="1:5">
      <c r="A174" s="274"/>
      <c r="B174" s="274"/>
      <c r="C174" s="274"/>
      <c r="D174" s="274"/>
      <c r="E174" s="274"/>
    </row>
    <row r="175" spans="1:5">
      <c r="A175" s="274"/>
      <c r="B175" s="274"/>
      <c r="C175" s="274"/>
      <c r="D175" s="274"/>
      <c r="E175" s="274"/>
    </row>
    <row r="176" spans="1:5">
      <c r="A176" s="274"/>
      <c r="B176" s="274"/>
      <c r="C176" s="274"/>
      <c r="D176" s="274"/>
      <c r="E176" s="274"/>
    </row>
    <row r="177" spans="1:5">
      <c r="A177" s="274"/>
      <c r="B177" s="274"/>
      <c r="C177" s="274"/>
      <c r="D177" s="274"/>
      <c r="E177" s="274"/>
    </row>
    <row r="178" spans="1:5">
      <c r="A178" s="274"/>
      <c r="B178" s="274"/>
      <c r="C178" s="274"/>
      <c r="D178" s="274"/>
      <c r="E178" s="274"/>
    </row>
    <row r="179" spans="1:5">
      <c r="A179" s="274"/>
      <c r="B179" s="274"/>
      <c r="C179" s="274"/>
      <c r="D179" s="274"/>
      <c r="E179" s="274"/>
    </row>
    <row r="180" spans="1:5">
      <c r="A180" s="274"/>
      <c r="B180" s="274"/>
      <c r="C180" s="274"/>
      <c r="D180" s="274"/>
      <c r="E180" s="274"/>
    </row>
    <row r="181" spans="1:5">
      <c r="A181" s="274"/>
      <c r="B181" s="274"/>
      <c r="C181" s="274"/>
      <c r="D181" s="274"/>
      <c r="E181" s="274"/>
    </row>
    <row r="182" spans="1:5">
      <c r="A182" s="274"/>
      <c r="B182" s="274"/>
      <c r="C182" s="274"/>
      <c r="D182" s="274"/>
      <c r="E182" s="274"/>
    </row>
    <row r="183" spans="1:5">
      <c r="A183" s="274"/>
      <c r="B183" s="274"/>
      <c r="C183" s="274"/>
      <c r="D183" s="274"/>
      <c r="E183" s="274"/>
    </row>
    <row r="184" spans="1:5">
      <c r="A184" s="274"/>
      <c r="B184" s="274"/>
      <c r="C184" s="274"/>
      <c r="D184" s="274"/>
      <c r="E184" s="274"/>
    </row>
    <row r="185" spans="1:5">
      <c r="A185" s="274"/>
      <c r="B185" s="274"/>
      <c r="C185" s="274"/>
      <c r="D185" s="274"/>
      <c r="E185" s="274"/>
    </row>
    <row r="186" spans="1:5">
      <c r="A186" s="274"/>
      <c r="B186" s="274"/>
      <c r="C186" s="274"/>
      <c r="D186" s="274"/>
      <c r="E186" s="274"/>
    </row>
    <row r="187" spans="1:5">
      <c r="A187" s="274"/>
      <c r="B187" s="274"/>
      <c r="C187" s="274"/>
      <c r="D187" s="274"/>
      <c r="E187" s="274"/>
    </row>
    <row r="188" spans="1:5">
      <c r="A188" s="274"/>
      <c r="B188" s="274"/>
      <c r="C188" s="274"/>
      <c r="D188" s="274"/>
      <c r="E188" s="274"/>
    </row>
    <row r="189" spans="1:5">
      <c r="A189" s="274"/>
      <c r="B189" s="274"/>
      <c r="C189" s="274"/>
      <c r="D189" s="274"/>
      <c r="E189" s="274"/>
    </row>
    <row r="190" spans="1:5">
      <c r="A190" s="274"/>
      <c r="B190" s="274"/>
      <c r="C190" s="274"/>
      <c r="D190" s="274"/>
      <c r="E190" s="274"/>
    </row>
    <row r="191" spans="1:5">
      <c r="A191" s="274"/>
      <c r="B191" s="274"/>
      <c r="C191" s="274"/>
      <c r="D191" s="274"/>
      <c r="E191" s="274"/>
    </row>
    <row r="192" spans="1:5">
      <c r="A192" s="274"/>
      <c r="B192" s="274"/>
      <c r="C192" s="274"/>
      <c r="D192" s="274"/>
      <c r="E192" s="274"/>
    </row>
    <row r="193" spans="1:5">
      <c r="A193" s="274"/>
      <c r="B193" s="274"/>
      <c r="C193" s="274"/>
      <c r="D193" s="274"/>
      <c r="E193" s="274"/>
    </row>
    <row r="194" spans="1:5">
      <c r="A194" s="274"/>
      <c r="B194" s="274"/>
      <c r="C194" s="274"/>
      <c r="D194" s="274"/>
      <c r="E194" s="274"/>
    </row>
    <row r="195" spans="1:5">
      <c r="A195" s="274"/>
      <c r="B195" s="274"/>
      <c r="C195" s="274"/>
      <c r="D195" s="274"/>
      <c r="E195" s="274"/>
    </row>
    <row r="196" spans="1:5">
      <c r="A196" s="274"/>
      <c r="B196" s="274"/>
      <c r="C196" s="274"/>
      <c r="D196" s="274"/>
      <c r="E196" s="274"/>
    </row>
    <row r="197" spans="1:5">
      <c r="A197" s="274"/>
      <c r="B197" s="274"/>
      <c r="C197" s="274"/>
      <c r="D197" s="274"/>
      <c r="E197" s="274"/>
    </row>
    <row r="198" spans="1:5">
      <c r="A198" s="274"/>
      <c r="B198" s="274"/>
      <c r="C198" s="274"/>
      <c r="D198" s="274"/>
      <c r="E198" s="274"/>
    </row>
    <row r="199" spans="1:5">
      <c r="A199" s="274"/>
      <c r="B199" s="274"/>
      <c r="C199" s="274"/>
      <c r="D199" s="274"/>
      <c r="E199" s="274"/>
    </row>
    <row r="200" spans="1:5">
      <c r="A200" s="274"/>
      <c r="B200" s="274"/>
      <c r="C200" s="274"/>
      <c r="D200" s="274"/>
      <c r="E200" s="274"/>
    </row>
    <row r="201" spans="1:5">
      <c r="A201" s="274"/>
      <c r="B201" s="274"/>
      <c r="C201" s="274"/>
      <c r="D201" s="274"/>
      <c r="E201" s="274"/>
    </row>
    <row r="202" spans="1:5">
      <c r="A202" s="274"/>
      <c r="B202" s="274"/>
      <c r="C202" s="274"/>
      <c r="D202" s="274"/>
      <c r="E202" s="274"/>
    </row>
    <row r="203" spans="1:5">
      <c r="A203" s="274"/>
      <c r="B203" s="274"/>
      <c r="C203" s="274"/>
      <c r="D203" s="274"/>
      <c r="E203" s="274"/>
    </row>
    <row r="204" spans="1:5">
      <c r="A204" s="274"/>
      <c r="B204" s="274"/>
      <c r="C204" s="274"/>
      <c r="D204" s="274"/>
      <c r="E204" s="274"/>
    </row>
    <row r="205" spans="1:5">
      <c r="A205" s="274"/>
      <c r="B205" s="274"/>
      <c r="C205" s="274"/>
      <c r="D205" s="274"/>
      <c r="E205" s="274"/>
    </row>
    <row r="206" spans="1:5">
      <c r="A206" s="274"/>
      <c r="B206" s="274"/>
      <c r="C206" s="274"/>
      <c r="D206" s="274"/>
      <c r="E206" s="274"/>
    </row>
    <row r="207" spans="1:5">
      <c r="A207" s="274"/>
      <c r="B207" s="274"/>
      <c r="C207" s="274"/>
      <c r="D207" s="274"/>
      <c r="E207" s="274"/>
    </row>
    <row r="208" spans="1:5">
      <c r="A208" s="274"/>
      <c r="B208" s="274"/>
      <c r="C208" s="274"/>
      <c r="D208" s="274"/>
      <c r="E208" s="274"/>
    </row>
    <row r="209" spans="1:5">
      <c r="A209" s="274"/>
      <c r="B209" s="274"/>
      <c r="C209" s="274"/>
      <c r="D209" s="274"/>
      <c r="E209" s="274"/>
    </row>
    <row r="210" spans="1:5">
      <c r="A210" s="274"/>
      <c r="B210" s="274"/>
      <c r="C210" s="274"/>
      <c r="D210" s="274"/>
      <c r="E210" s="274"/>
    </row>
    <row r="211" spans="1:5">
      <c r="A211" s="274"/>
      <c r="B211" s="274"/>
      <c r="C211" s="274"/>
      <c r="D211" s="274"/>
      <c r="E211" s="274"/>
    </row>
    <row r="212" spans="1:5">
      <c r="A212" s="274"/>
      <c r="B212" s="274"/>
      <c r="C212" s="274"/>
      <c r="D212" s="274"/>
      <c r="E212" s="274"/>
    </row>
    <row r="213" spans="1:5">
      <c r="A213" s="274"/>
      <c r="B213" s="274"/>
      <c r="C213" s="274"/>
      <c r="D213" s="274"/>
      <c r="E213" s="274"/>
    </row>
    <row r="214" spans="1:5">
      <c r="A214" s="274"/>
      <c r="B214" s="274"/>
      <c r="C214" s="274"/>
      <c r="D214" s="274"/>
      <c r="E214" s="274"/>
    </row>
    <row r="215" spans="1:5">
      <c r="A215" s="274"/>
      <c r="B215" s="274"/>
      <c r="C215" s="274"/>
      <c r="D215" s="274"/>
      <c r="E215" s="274"/>
    </row>
    <row r="216" spans="1:5">
      <c r="A216" s="274"/>
      <c r="B216" s="274"/>
      <c r="C216" s="274"/>
      <c r="D216" s="274"/>
      <c r="E216" s="274"/>
    </row>
    <row r="217" spans="1:5">
      <c r="A217" s="274"/>
      <c r="B217" s="274"/>
      <c r="C217" s="274"/>
      <c r="D217" s="274"/>
      <c r="E217" s="274"/>
    </row>
    <row r="218" spans="1:5">
      <c r="A218" s="274"/>
      <c r="B218" s="274"/>
      <c r="C218" s="274"/>
      <c r="D218" s="274"/>
      <c r="E218" s="274"/>
    </row>
    <row r="219" spans="1:5">
      <c r="A219" s="274"/>
      <c r="B219" s="274"/>
      <c r="C219" s="274"/>
      <c r="D219" s="274"/>
      <c r="E219" s="274"/>
    </row>
    <row r="220" spans="1:5">
      <c r="A220" s="274"/>
      <c r="B220" s="274"/>
      <c r="C220" s="274"/>
      <c r="D220" s="274"/>
      <c r="E220" s="274"/>
    </row>
    <row r="221" spans="1:5">
      <c r="A221" s="274"/>
      <c r="B221" s="274"/>
      <c r="C221" s="274"/>
      <c r="D221" s="274"/>
      <c r="E221" s="274"/>
    </row>
    <row r="222" spans="1:5">
      <c r="A222" s="274"/>
      <c r="B222" s="274"/>
      <c r="C222" s="274"/>
      <c r="D222" s="274"/>
      <c r="E222" s="274"/>
    </row>
    <row r="223" spans="1:5">
      <c r="A223" s="274"/>
      <c r="B223" s="274"/>
      <c r="C223" s="274"/>
      <c r="D223" s="274"/>
      <c r="E223" s="274"/>
    </row>
    <row r="224" spans="1:5">
      <c r="A224" s="274"/>
      <c r="B224" s="274"/>
      <c r="C224" s="274"/>
      <c r="D224" s="274"/>
      <c r="E224" s="274"/>
    </row>
    <row r="225" spans="1:5">
      <c r="A225" s="274"/>
      <c r="B225" s="274"/>
      <c r="C225" s="274"/>
      <c r="D225" s="274"/>
      <c r="E225" s="274"/>
    </row>
    <row r="226" spans="1:5">
      <c r="A226" s="274"/>
      <c r="B226" s="274"/>
      <c r="C226" s="274"/>
      <c r="D226" s="274"/>
      <c r="E226" s="274"/>
    </row>
    <row r="227" spans="1:5">
      <c r="A227" s="274"/>
      <c r="B227" s="274"/>
      <c r="C227" s="274"/>
      <c r="D227" s="274"/>
      <c r="E227" s="274"/>
    </row>
    <row r="228" spans="1:5">
      <c r="A228" s="274"/>
      <c r="B228" s="274"/>
      <c r="C228" s="274"/>
      <c r="D228" s="274"/>
      <c r="E228" s="274"/>
    </row>
    <row r="229" spans="1:5">
      <c r="A229" s="274"/>
      <c r="B229" s="274"/>
      <c r="C229" s="274"/>
      <c r="D229" s="274"/>
      <c r="E229" s="274"/>
    </row>
    <row r="230" spans="1:5">
      <c r="A230" s="274"/>
      <c r="B230" s="274"/>
      <c r="C230" s="274"/>
      <c r="D230" s="274"/>
      <c r="E230" s="274"/>
    </row>
    <row r="231" spans="1:5">
      <c r="A231" s="274"/>
      <c r="B231" s="274"/>
      <c r="C231" s="274"/>
      <c r="D231" s="274"/>
      <c r="E231" s="274"/>
    </row>
    <row r="232" spans="1:5">
      <c r="A232" s="274"/>
      <c r="B232" s="274"/>
      <c r="C232" s="274"/>
      <c r="D232" s="274"/>
      <c r="E232" s="274"/>
    </row>
    <row r="233" spans="1:5">
      <c r="A233" s="274"/>
      <c r="B233" s="274"/>
      <c r="C233" s="274"/>
      <c r="D233" s="274"/>
      <c r="E233" s="274"/>
    </row>
    <row r="234" spans="1:5">
      <c r="A234" s="274"/>
      <c r="B234" s="274"/>
      <c r="C234" s="274"/>
      <c r="D234" s="274"/>
      <c r="E234" s="274"/>
    </row>
    <row r="235" spans="1:5">
      <c r="A235" s="274"/>
      <c r="B235" s="274"/>
      <c r="C235" s="274"/>
      <c r="D235" s="274"/>
      <c r="E235" s="274"/>
    </row>
    <row r="236" spans="1:5">
      <c r="A236" s="274"/>
      <c r="B236" s="274"/>
      <c r="C236" s="274"/>
      <c r="D236" s="274"/>
      <c r="E236" s="274"/>
    </row>
    <row r="237" spans="1:5">
      <c r="A237" s="274"/>
      <c r="B237" s="274"/>
      <c r="C237" s="274"/>
      <c r="D237" s="274"/>
      <c r="E237" s="274"/>
    </row>
    <row r="238" spans="1:5">
      <c r="A238" s="274"/>
      <c r="B238" s="274"/>
      <c r="C238" s="274"/>
      <c r="D238" s="274"/>
      <c r="E238" s="274"/>
    </row>
    <row r="239" spans="1:5">
      <c r="A239" s="274"/>
      <c r="B239" s="274"/>
      <c r="C239" s="274"/>
      <c r="D239" s="274"/>
      <c r="E239" s="274"/>
    </row>
    <row r="240" spans="1:5">
      <c r="A240" s="274"/>
      <c r="B240" s="274"/>
      <c r="C240" s="274"/>
      <c r="D240" s="274"/>
      <c r="E240" s="274"/>
    </row>
    <row r="241" spans="1:5">
      <c r="A241" s="274"/>
      <c r="B241" s="274"/>
      <c r="C241" s="274"/>
      <c r="D241" s="274"/>
      <c r="E241" s="274"/>
    </row>
    <row r="242" spans="1:5">
      <c r="A242" s="274"/>
      <c r="B242" s="274"/>
      <c r="C242" s="274"/>
      <c r="D242" s="274"/>
      <c r="E242" s="274"/>
    </row>
    <row r="243" spans="1:5">
      <c r="A243" s="274"/>
      <c r="B243" s="274"/>
      <c r="C243" s="274"/>
      <c r="D243" s="274"/>
      <c r="E243" s="274"/>
    </row>
    <row r="244" spans="1:5">
      <c r="A244" s="274"/>
      <c r="B244" s="274"/>
      <c r="C244" s="274"/>
      <c r="D244" s="274"/>
      <c r="E244" s="274"/>
    </row>
    <row r="245" spans="1:5">
      <c r="A245" s="274"/>
      <c r="B245" s="274"/>
      <c r="C245" s="274"/>
      <c r="D245" s="274"/>
      <c r="E245" s="274"/>
    </row>
    <row r="246" spans="1:5">
      <c r="A246" s="274"/>
      <c r="B246" s="274"/>
      <c r="C246" s="274"/>
      <c r="D246" s="274"/>
      <c r="E246" s="274"/>
    </row>
    <row r="247" spans="1:5">
      <c r="A247" s="274"/>
      <c r="B247" s="274"/>
      <c r="C247" s="274"/>
      <c r="D247" s="274"/>
      <c r="E247" s="274"/>
    </row>
    <row r="248" spans="1:5">
      <c r="A248" s="274"/>
      <c r="B248" s="274"/>
      <c r="C248" s="274"/>
      <c r="D248" s="274"/>
      <c r="E248" s="274"/>
    </row>
    <row r="249" spans="1:5">
      <c r="A249" s="274"/>
      <c r="B249" s="274"/>
      <c r="C249" s="274"/>
      <c r="D249" s="274"/>
      <c r="E249" s="274"/>
    </row>
    <row r="250" spans="1:5">
      <c r="A250" s="274"/>
      <c r="B250" s="274"/>
      <c r="C250" s="274"/>
      <c r="D250" s="274"/>
      <c r="E250" s="274"/>
    </row>
    <row r="251" spans="1:5">
      <c r="A251" s="274"/>
      <c r="B251" s="274"/>
      <c r="C251" s="274"/>
      <c r="D251" s="274"/>
      <c r="E251" s="274"/>
    </row>
    <row r="252" spans="1:5">
      <c r="A252" s="274"/>
      <c r="B252" s="274"/>
      <c r="C252" s="274"/>
      <c r="D252" s="274"/>
      <c r="E252" s="274"/>
    </row>
    <row r="253" spans="1:5">
      <c r="A253" s="274"/>
      <c r="B253" s="274"/>
      <c r="C253" s="274"/>
      <c r="D253" s="274"/>
      <c r="E253" s="274"/>
    </row>
    <row r="254" spans="1:5">
      <c r="A254" s="274"/>
      <c r="B254" s="274"/>
      <c r="C254" s="274"/>
      <c r="D254" s="274"/>
      <c r="E254" s="274"/>
    </row>
    <row r="255" spans="1:5">
      <c r="A255" s="274"/>
      <c r="B255" s="274"/>
      <c r="C255" s="274"/>
      <c r="D255" s="274"/>
      <c r="E255" s="274"/>
    </row>
    <row r="256" spans="1:5">
      <c r="A256" s="274"/>
      <c r="B256" s="274"/>
      <c r="C256" s="274"/>
      <c r="D256" s="274"/>
      <c r="E256" s="274"/>
    </row>
    <row r="257" spans="1:5">
      <c r="A257" s="274"/>
      <c r="B257" s="274"/>
      <c r="C257" s="274"/>
      <c r="D257" s="274"/>
      <c r="E257" s="274"/>
    </row>
    <row r="258" spans="1:5">
      <c r="A258" s="274"/>
      <c r="B258" s="274"/>
      <c r="C258" s="274"/>
      <c r="D258" s="274"/>
      <c r="E258" s="274"/>
    </row>
    <row r="259" spans="1:5">
      <c r="A259" s="274"/>
      <c r="B259" s="274"/>
      <c r="C259" s="274"/>
      <c r="D259" s="274"/>
      <c r="E259" s="274"/>
    </row>
    <row r="260" spans="1:5">
      <c r="A260" s="274"/>
      <c r="B260" s="274"/>
      <c r="C260" s="274"/>
      <c r="D260" s="274"/>
      <c r="E260" s="274"/>
    </row>
    <row r="261" spans="1:5">
      <c r="A261" s="274"/>
      <c r="B261" s="274"/>
      <c r="C261" s="274"/>
      <c r="D261" s="274"/>
      <c r="E261" s="274"/>
    </row>
    <row r="262" spans="1:5">
      <c r="A262" s="274"/>
      <c r="B262" s="274"/>
      <c r="C262" s="274"/>
      <c r="D262" s="274"/>
      <c r="E262" s="274"/>
    </row>
    <row r="263" spans="1:5">
      <c r="A263" s="274"/>
      <c r="B263" s="274"/>
      <c r="C263" s="274"/>
      <c r="D263" s="274"/>
      <c r="E263" s="274"/>
    </row>
    <row r="264" spans="1:5">
      <c r="A264" s="274"/>
      <c r="B264" s="274"/>
      <c r="C264" s="274"/>
      <c r="D264" s="274"/>
      <c r="E264" s="274"/>
    </row>
    <row r="265" spans="1:5">
      <c r="A265" s="274"/>
      <c r="B265" s="274"/>
      <c r="C265" s="274"/>
      <c r="D265" s="274"/>
      <c r="E265" s="274"/>
    </row>
    <row r="266" spans="1:5">
      <c r="A266" s="274"/>
      <c r="B266" s="274"/>
      <c r="C266" s="274"/>
      <c r="D266" s="274"/>
      <c r="E266" s="274"/>
    </row>
    <row r="267" spans="1:5">
      <c r="A267" s="274"/>
      <c r="B267" s="274"/>
      <c r="C267" s="274"/>
      <c r="D267" s="274"/>
      <c r="E267" s="274"/>
    </row>
    <row r="268" spans="1:5">
      <c r="A268" s="274"/>
      <c r="B268" s="274"/>
      <c r="C268" s="274"/>
      <c r="D268" s="274"/>
      <c r="E268" s="274"/>
    </row>
    <row r="269" spans="1:5">
      <c r="A269" s="274"/>
      <c r="B269" s="274"/>
      <c r="C269" s="274"/>
      <c r="D269" s="274"/>
      <c r="E269" s="274"/>
    </row>
    <row r="270" spans="1:5">
      <c r="A270" s="274"/>
      <c r="B270" s="274"/>
      <c r="C270" s="274"/>
      <c r="D270" s="274"/>
      <c r="E270" s="274"/>
    </row>
    <row r="271" spans="1:5">
      <c r="A271" s="274"/>
      <c r="B271" s="274"/>
      <c r="C271" s="274"/>
      <c r="D271" s="274"/>
      <c r="E271" s="274"/>
    </row>
    <row r="272" spans="1:5">
      <c r="A272" s="274"/>
      <c r="B272" s="274"/>
      <c r="C272" s="274"/>
      <c r="D272" s="274"/>
      <c r="E272" s="274"/>
    </row>
    <row r="273" spans="1:5">
      <c r="A273" s="274"/>
      <c r="B273" s="274"/>
      <c r="C273" s="274"/>
      <c r="D273" s="274"/>
      <c r="E273" s="274"/>
    </row>
    <row r="274" spans="1:5">
      <c r="A274" s="274"/>
      <c r="B274" s="274"/>
      <c r="C274" s="274"/>
      <c r="D274" s="274"/>
      <c r="E274" s="274"/>
    </row>
    <row r="275" spans="1:5">
      <c r="A275" s="274"/>
      <c r="B275" s="274"/>
      <c r="C275" s="274"/>
      <c r="D275" s="274"/>
      <c r="E275" s="274"/>
    </row>
    <row r="276" spans="1:5">
      <c r="A276" s="274"/>
      <c r="B276" s="274"/>
      <c r="C276" s="274"/>
      <c r="D276" s="274"/>
      <c r="E276" s="274"/>
    </row>
    <row r="277" spans="1:5">
      <c r="A277" s="274"/>
      <c r="B277" s="274"/>
      <c r="C277" s="274"/>
      <c r="D277" s="274"/>
      <c r="E277" s="274"/>
    </row>
    <row r="278" spans="1:5">
      <c r="A278" s="274"/>
      <c r="B278" s="274"/>
      <c r="C278" s="274"/>
      <c r="D278" s="274"/>
      <c r="E278" s="274"/>
    </row>
    <row r="279" spans="1:5">
      <c r="A279" s="274"/>
      <c r="B279" s="274"/>
      <c r="C279" s="274"/>
      <c r="D279" s="274"/>
      <c r="E279" s="274"/>
    </row>
    <row r="280" spans="1:5">
      <c r="A280" s="274"/>
      <c r="B280" s="274"/>
      <c r="C280" s="274"/>
      <c r="D280" s="274"/>
      <c r="E280" s="274"/>
    </row>
    <row r="281" spans="1:5">
      <c r="A281" s="274"/>
      <c r="B281" s="274"/>
      <c r="C281" s="274"/>
      <c r="D281" s="274"/>
      <c r="E281" s="274"/>
    </row>
    <row r="282" spans="1:5">
      <c r="A282" s="274"/>
      <c r="B282" s="274"/>
      <c r="C282" s="274"/>
      <c r="D282" s="274"/>
      <c r="E282" s="274"/>
    </row>
    <row r="283" spans="1:5">
      <c r="A283" s="274"/>
      <c r="B283" s="274"/>
      <c r="C283" s="274"/>
      <c r="D283" s="274"/>
      <c r="E283" s="274"/>
    </row>
    <row r="284" spans="1:5">
      <c r="A284" s="274"/>
      <c r="B284" s="274"/>
      <c r="C284" s="274"/>
      <c r="D284" s="274"/>
      <c r="E284" s="274"/>
    </row>
    <row r="285" spans="1:5">
      <c r="A285" s="274"/>
      <c r="B285" s="274"/>
      <c r="C285" s="274"/>
      <c r="D285" s="274"/>
      <c r="E285" s="274"/>
    </row>
    <row r="286" spans="1:5">
      <c r="A286" s="274"/>
      <c r="B286" s="274"/>
      <c r="C286" s="274"/>
      <c r="D286" s="274"/>
      <c r="E286" s="274"/>
    </row>
    <row r="287" spans="1:5">
      <c r="A287" s="274"/>
      <c r="B287" s="274"/>
      <c r="C287" s="274"/>
      <c r="D287" s="274"/>
      <c r="E287" s="274"/>
    </row>
    <row r="288" spans="1:5">
      <c r="A288" s="274"/>
      <c r="B288" s="274"/>
      <c r="C288" s="274"/>
      <c r="D288" s="274"/>
      <c r="E288" s="274"/>
    </row>
    <row r="289" spans="1:5">
      <c r="A289" s="274"/>
      <c r="B289" s="274"/>
      <c r="C289" s="274"/>
      <c r="D289" s="274"/>
      <c r="E289" s="274"/>
    </row>
    <row r="290" spans="1:5">
      <c r="A290" s="274"/>
      <c r="B290" s="274"/>
      <c r="C290" s="274"/>
      <c r="D290" s="274"/>
      <c r="E290" s="274"/>
    </row>
    <row r="291" spans="1:5">
      <c r="A291" s="274"/>
      <c r="B291" s="274"/>
      <c r="C291" s="274"/>
      <c r="D291" s="274"/>
      <c r="E291" s="274"/>
    </row>
    <row r="292" spans="1:5">
      <c r="A292" s="274"/>
      <c r="B292" s="274"/>
      <c r="C292" s="274"/>
      <c r="D292" s="274"/>
      <c r="E292" s="274"/>
    </row>
    <row r="293" spans="1:5">
      <c r="A293" s="274"/>
      <c r="B293" s="274"/>
      <c r="C293" s="274"/>
      <c r="D293" s="274"/>
      <c r="E293" s="274"/>
    </row>
    <row r="294" spans="1:5">
      <c r="A294" s="274"/>
      <c r="B294" s="274"/>
      <c r="C294" s="274"/>
      <c r="D294" s="274"/>
      <c r="E294" s="274"/>
    </row>
    <row r="295" spans="1:5">
      <c r="A295" s="274"/>
      <c r="B295" s="274"/>
      <c r="C295" s="274"/>
      <c r="D295" s="274"/>
      <c r="E295" s="274"/>
    </row>
    <row r="296" spans="1:5">
      <c r="A296" s="274"/>
      <c r="B296" s="274"/>
      <c r="C296" s="274"/>
      <c r="D296" s="274"/>
      <c r="E296" s="274"/>
    </row>
    <row r="297" spans="1:5">
      <c r="A297" s="274"/>
      <c r="B297" s="274"/>
      <c r="C297" s="274"/>
      <c r="D297" s="274"/>
      <c r="E297" s="274"/>
    </row>
    <row r="298" spans="1:5">
      <c r="A298" s="274"/>
      <c r="B298" s="274"/>
      <c r="C298" s="274"/>
      <c r="D298" s="274"/>
      <c r="E298" s="274"/>
    </row>
    <row r="299" spans="1:5">
      <c r="A299" s="274"/>
      <c r="B299" s="274"/>
      <c r="C299" s="274"/>
      <c r="D299" s="274"/>
      <c r="E299" s="274"/>
    </row>
    <row r="300" spans="1:5">
      <c r="A300" s="274"/>
      <c r="B300" s="274"/>
      <c r="C300" s="274"/>
      <c r="D300" s="274"/>
      <c r="E300" s="274"/>
    </row>
    <row r="301" spans="1:5">
      <c r="A301" s="274"/>
      <c r="B301" s="274"/>
      <c r="C301" s="274"/>
      <c r="D301" s="274"/>
      <c r="E301" s="274"/>
    </row>
    <row r="302" spans="1:5">
      <c r="A302" s="274"/>
      <c r="B302" s="274"/>
      <c r="C302" s="274"/>
      <c r="D302" s="274"/>
      <c r="E302" s="274"/>
    </row>
    <row r="303" spans="1:5">
      <c r="A303" s="274"/>
      <c r="B303" s="274"/>
      <c r="C303" s="274"/>
      <c r="D303" s="274"/>
      <c r="E303" s="274"/>
    </row>
    <row r="304" spans="1:5">
      <c r="A304" s="274"/>
      <c r="B304" s="274"/>
      <c r="C304" s="274"/>
      <c r="D304" s="274"/>
      <c r="E304" s="274"/>
    </row>
    <row r="305" spans="1:5">
      <c r="A305" s="274"/>
      <c r="B305" s="274"/>
      <c r="C305" s="274"/>
      <c r="D305" s="274"/>
      <c r="E305" s="274"/>
    </row>
    <row r="306" spans="1:5">
      <c r="A306" s="274"/>
      <c r="B306" s="274"/>
      <c r="C306" s="274"/>
      <c r="D306" s="274"/>
      <c r="E306" s="274"/>
    </row>
    <row r="307" spans="1:5">
      <c r="A307" s="274"/>
      <c r="B307" s="274"/>
      <c r="C307" s="274"/>
      <c r="D307" s="274"/>
      <c r="E307" s="274"/>
    </row>
    <row r="308" spans="1:5">
      <c r="A308" s="274"/>
      <c r="B308" s="274"/>
      <c r="C308" s="274"/>
      <c r="D308" s="274"/>
      <c r="E308" s="274"/>
    </row>
    <row r="309" spans="1:5">
      <c r="A309" s="274"/>
      <c r="B309" s="274"/>
      <c r="C309" s="274"/>
      <c r="D309" s="274"/>
      <c r="E309" s="274"/>
    </row>
    <row r="310" spans="1:5">
      <c r="A310" s="274"/>
      <c r="B310" s="274"/>
      <c r="C310" s="274"/>
      <c r="D310" s="274"/>
      <c r="E310" s="274"/>
    </row>
    <row r="311" spans="1:5">
      <c r="A311" s="274"/>
      <c r="B311" s="274"/>
      <c r="C311" s="274"/>
      <c r="D311" s="274"/>
      <c r="E311" s="274"/>
    </row>
    <row r="312" spans="1:5">
      <c r="A312" s="274"/>
      <c r="B312" s="274"/>
      <c r="C312" s="274"/>
      <c r="D312" s="274"/>
      <c r="E312" s="274"/>
    </row>
    <row r="313" spans="1:5">
      <c r="A313" s="274"/>
      <c r="B313" s="274"/>
      <c r="C313" s="274"/>
      <c r="D313" s="274"/>
      <c r="E313" s="274"/>
    </row>
    <row r="314" spans="1:5">
      <c r="A314" s="274"/>
      <c r="B314" s="274"/>
      <c r="C314" s="274"/>
      <c r="D314" s="274"/>
      <c r="E314" s="274"/>
    </row>
    <row r="315" spans="1:5">
      <c r="A315" s="274"/>
      <c r="B315" s="274"/>
      <c r="C315" s="274"/>
      <c r="D315" s="274"/>
      <c r="E315" s="274"/>
    </row>
    <row r="316" spans="1:5">
      <c r="A316" s="274"/>
      <c r="B316" s="274"/>
      <c r="C316" s="274"/>
      <c r="D316" s="274"/>
      <c r="E316" s="274"/>
    </row>
    <row r="317" spans="1:5">
      <c r="A317" s="274"/>
      <c r="B317" s="274"/>
      <c r="C317" s="274"/>
      <c r="D317" s="274"/>
      <c r="E317" s="274"/>
    </row>
    <row r="318" spans="1:5">
      <c r="A318" s="274"/>
      <c r="B318" s="274"/>
      <c r="C318" s="274"/>
      <c r="D318" s="274"/>
      <c r="E318" s="274"/>
    </row>
    <row r="319" spans="1:5">
      <c r="A319" s="274"/>
      <c r="B319" s="274"/>
      <c r="C319" s="274"/>
      <c r="D319" s="274"/>
      <c r="E319" s="274"/>
    </row>
    <row r="320" spans="1:5">
      <c r="A320" s="274"/>
      <c r="B320" s="274"/>
      <c r="C320" s="274"/>
      <c r="D320" s="274"/>
      <c r="E320" s="274"/>
    </row>
    <row r="321" spans="1:5">
      <c r="A321" s="274"/>
      <c r="B321" s="274"/>
      <c r="C321" s="274"/>
      <c r="D321" s="274"/>
      <c r="E321" s="274"/>
    </row>
    <row r="322" spans="1:5">
      <c r="A322" s="274"/>
      <c r="B322" s="274"/>
      <c r="C322" s="274"/>
      <c r="D322" s="274"/>
      <c r="E322" s="274"/>
    </row>
    <row r="323" spans="1:5">
      <c r="A323" s="274"/>
      <c r="B323" s="274"/>
      <c r="C323" s="274"/>
      <c r="D323" s="274"/>
      <c r="E323" s="274"/>
    </row>
    <row r="324" spans="1:5">
      <c r="A324" s="274"/>
      <c r="B324" s="274"/>
      <c r="C324" s="274"/>
      <c r="D324" s="274"/>
      <c r="E324" s="274"/>
    </row>
    <row r="325" spans="1:5">
      <c r="A325" s="274"/>
      <c r="B325" s="274"/>
      <c r="C325" s="274"/>
      <c r="D325" s="274"/>
      <c r="E325" s="274"/>
    </row>
    <row r="326" spans="1:5">
      <c r="A326" s="274"/>
      <c r="B326" s="274"/>
      <c r="C326" s="274"/>
      <c r="D326" s="274"/>
      <c r="E326" s="274"/>
    </row>
    <row r="327" spans="1:5">
      <c r="A327" s="274"/>
      <c r="B327" s="274"/>
      <c r="C327" s="274"/>
      <c r="D327" s="274"/>
      <c r="E327" s="274"/>
    </row>
    <row r="328" spans="1:5">
      <c r="A328" s="274"/>
      <c r="B328" s="274"/>
      <c r="C328" s="274"/>
      <c r="D328" s="274"/>
      <c r="E328" s="274"/>
    </row>
    <row r="329" spans="1:5">
      <c r="A329" s="274"/>
      <c r="B329" s="274"/>
      <c r="C329" s="274"/>
      <c r="D329" s="274"/>
      <c r="E329" s="274"/>
    </row>
    <row r="330" spans="1:5">
      <c r="A330" s="274"/>
      <c r="B330" s="274"/>
      <c r="C330" s="274"/>
      <c r="D330" s="274"/>
      <c r="E330" s="274"/>
    </row>
    <row r="331" spans="1:5">
      <c r="A331" s="274"/>
      <c r="B331" s="274"/>
      <c r="C331" s="274"/>
      <c r="D331" s="274"/>
      <c r="E331" s="274"/>
    </row>
    <row r="332" spans="1:5">
      <c r="A332" s="274"/>
      <c r="B332" s="274"/>
      <c r="C332" s="274"/>
      <c r="D332" s="274"/>
      <c r="E332" s="274"/>
    </row>
    <row r="333" spans="1:5">
      <c r="A333" s="274"/>
      <c r="B333" s="274"/>
      <c r="C333" s="274"/>
      <c r="D333" s="274"/>
      <c r="E333" s="274"/>
    </row>
    <row r="334" spans="1:5">
      <c r="A334" s="274"/>
      <c r="B334" s="274"/>
      <c r="C334" s="274"/>
      <c r="D334" s="274"/>
      <c r="E334" s="274"/>
    </row>
    <row r="335" spans="1:5">
      <c r="A335" s="274"/>
      <c r="B335" s="274"/>
      <c r="C335" s="274"/>
      <c r="D335" s="274"/>
      <c r="E335" s="274"/>
    </row>
    <row r="336" spans="1:5">
      <c r="A336" s="274"/>
      <c r="B336" s="274"/>
      <c r="C336" s="274"/>
      <c r="D336" s="274"/>
      <c r="E336" s="274"/>
    </row>
    <row r="337" spans="1:5">
      <c r="A337" s="274"/>
      <c r="B337" s="274"/>
      <c r="C337" s="274"/>
      <c r="D337" s="274"/>
      <c r="E337" s="274"/>
    </row>
    <row r="338" spans="1:5">
      <c r="A338" s="274"/>
      <c r="B338" s="274"/>
      <c r="C338" s="274"/>
      <c r="D338" s="274"/>
      <c r="E338" s="274"/>
    </row>
    <row r="339" spans="1:5">
      <c r="A339" s="274"/>
      <c r="B339" s="274"/>
      <c r="C339" s="274"/>
      <c r="D339" s="274"/>
      <c r="E339" s="274"/>
    </row>
    <row r="340" spans="1:5">
      <c r="A340" s="274"/>
      <c r="B340" s="274"/>
      <c r="C340" s="274"/>
      <c r="D340" s="274"/>
      <c r="E340" s="274"/>
    </row>
    <row r="341" spans="1:5">
      <c r="A341" s="274"/>
      <c r="B341" s="274"/>
      <c r="C341" s="274"/>
      <c r="D341" s="274"/>
      <c r="E341" s="274"/>
    </row>
    <row r="342" spans="1:5">
      <c r="A342" s="274"/>
      <c r="B342" s="274"/>
      <c r="C342" s="274"/>
      <c r="D342" s="274"/>
      <c r="E342" s="274"/>
    </row>
    <row r="343" spans="1:5">
      <c r="A343" s="274"/>
      <c r="B343" s="274"/>
      <c r="C343" s="274"/>
      <c r="D343" s="274"/>
      <c r="E343" s="274"/>
    </row>
    <row r="344" spans="1:5">
      <c r="A344" s="274"/>
      <c r="B344" s="274"/>
      <c r="C344" s="274"/>
      <c r="D344" s="274"/>
      <c r="E344" s="274"/>
    </row>
    <row r="345" spans="1:5">
      <c r="A345" s="274"/>
      <c r="B345" s="274"/>
      <c r="C345" s="274"/>
      <c r="D345" s="274"/>
      <c r="E345" s="274"/>
    </row>
    <row r="346" spans="1:5">
      <c r="A346" s="274"/>
      <c r="B346" s="274"/>
      <c r="C346" s="274"/>
      <c r="D346" s="274"/>
      <c r="E346" s="274"/>
    </row>
    <row r="347" spans="1:5">
      <c r="A347" s="274"/>
      <c r="B347" s="274"/>
      <c r="C347" s="274"/>
      <c r="D347" s="274"/>
      <c r="E347" s="274"/>
    </row>
    <row r="348" spans="1:5">
      <c r="A348" s="274"/>
      <c r="B348" s="274"/>
      <c r="C348" s="274"/>
      <c r="D348" s="274"/>
      <c r="E348" s="274"/>
    </row>
    <row r="349" spans="1:5">
      <c r="A349" s="274"/>
      <c r="B349" s="274"/>
      <c r="C349" s="274"/>
      <c r="D349" s="274"/>
      <c r="E349" s="274"/>
    </row>
    <row r="350" spans="1:5">
      <c r="A350" s="274"/>
      <c r="B350" s="274"/>
      <c r="C350" s="274"/>
      <c r="D350" s="274"/>
      <c r="E350" s="274"/>
    </row>
    <row r="351" spans="1:5">
      <c r="A351" s="274"/>
      <c r="B351" s="274"/>
      <c r="C351" s="274"/>
      <c r="D351" s="274"/>
      <c r="E351" s="274"/>
    </row>
    <row r="352" spans="1:5">
      <c r="A352" s="274"/>
      <c r="B352" s="274"/>
      <c r="C352" s="274"/>
      <c r="D352" s="274"/>
      <c r="E352" s="274"/>
    </row>
    <row r="353" spans="1:5">
      <c r="A353" s="274"/>
      <c r="B353" s="274"/>
      <c r="C353" s="274"/>
      <c r="D353" s="274"/>
      <c r="E353" s="274"/>
    </row>
    <row r="354" spans="1:5">
      <c r="A354" s="274"/>
      <c r="B354" s="274"/>
      <c r="C354" s="274"/>
      <c r="D354" s="274"/>
      <c r="E354" s="274"/>
    </row>
    <row r="355" spans="1:5">
      <c r="A355" s="274"/>
      <c r="B355" s="274"/>
      <c r="C355" s="274"/>
      <c r="D355" s="274"/>
      <c r="E355" s="274"/>
    </row>
    <row r="356" spans="1:5">
      <c r="A356" s="274"/>
      <c r="B356" s="274"/>
      <c r="C356" s="274"/>
      <c r="D356" s="274"/>
      <c r="E356" s="274"/>
    </row>
    <row r="357" spans="1:5">
      <c r="A357" s="274"/>
      <c r="B357" s="274"/>
      <c r="C357" s="274"/>
      <c r="D357" s="274"/>
      <c r="E357" s="274"/>
    </row>
    <row r="358" spans="1:5">
      <c r="A358" s="274"/>
      <c r="B358" s="274"/>
      <c r="C358" s="274"/>
      <c r="D358" s="274"/>
      <c r="E358" s="274"/>
    </row>
    <row r="359" spans="1:5">
      <c r="A359" s="274"/>
      <c r="B359" s="274"/>
      <c r="C359" s="274"/>
      <c r="D359" s="274"/>
      <c r="E359" s="274"/>
    </row>
    <row r="360" spans="1:5">
      <c r="A360" s="274"/>
      <c r="B360" s="274"/>
      <c r="C360" s="274"/>
      <c r="D360" s="274"/>
      <c r="E360" s="274"/>
    </row>
    <row r="361" spans="1:5">
      <c r="A361" s="274"/>
      <c r="B361" s="274"/>
      <c r="C361" s="274"/>
      <c r="D361" s="274"/>
      <c r="E361" s="274"/>
    </row>
    <row r="362" spans="1:5">
      <c r="A362" s="274"/>
      <c r="B362" s="274"/>
      <c r="C362" s="274"/>
      <c r="D362" s="274"/>
      <c r="E362" s="274"/>
    </row>
    <row r="363" spans="1:5">
      <c r="A363" s="274"/>
      <c r="B363" s="274"/>
      <c r="C363" s="274"/>
      <c r="D363" s="274"/>
      <c r="E363" s="274"/>
    </row>
    <row r="364" spans="1:5">
      <c r="A364" s="274"/>
      <c r="B364" s="274"/>
      <c r="C364" s="274"/>
      <c r="D364" s="274"/>
      <c r="E364" s="274"/>
    </row>
    <row r="365" spans="1:5">
      <c r="A365" s="274"/>
      <c r="B365" s="274"/>
      <c r="C365" s="274"/>
      <c r="D365" s="274"/>
      <c r="E365" s="274"/>
    </row>
    <row r="366" spans="1:5">
      <c r="A366" s="274"/>
      <c r="B366" s="274"/>
      <c r="C366" s="274"/>
      <c r="D366" s="274"/>
      <c r="E366" s="274"/>
    </row>
    <row r="367" spans="1:5">
      <c r="A367" s="274"/>
      <c r="B367" s="274"/>
      <c r="C367" s="274"/>
      <c r="D367" s="274"/>
      <c r="E367" s="274"/>
    </row>
    <row r="368" spans="1:5">
      <c r="A368" s="274"/>
      <c r="B368" s="274"/>
      <c r="C368" s="274"/>
      <c r="D368" s="274"/>
      <c r="E368" s="274"/>
    </row>
    <row r="369" spans="1:5">
      <c r="A369" s="274"/>
      <c r="B369" s="274"/>
      <c r="C369" s="274"/>
      <c r="D369" s="274"/>
      <c r="E369" s="274"/>
    </row>
    <row r="370" spans="1:5">
      <c r="A370" s="274"/>
      <c r="B370" s="274"/>
      <c r="C370" s="274"/>
      <c r="D370" s="274"/>
      <c r="E370" s="274"/>
    </row>
    <row r="371" spans="1:5">
      <c r="A371" s="274"/>
      <c r="B371" s="274"/>
      <c r="C371" s="274"/>
      <c r="D371" s="274"/>
      <c r="E371" s="274"/>
    </row>
    <row r="372" spans="1:5">
      <c r="A372" s="274"/>
      <c r="B372" s="274"/>
      <c r="C372" s="274"/>
      <c r="D372" s="274"/>
      <c r="E372" s="274"/>
    </row>
    <row r="373" spans="1:5">
      <c r="A373" s="274"/>
      <c r="B373" s="274"/>
      <c r="C373" s="274"/>
      <c r="D373" s="274"/>
      <c r="E373" s="274"/>
    </row>
    <row r="374" spans="1:5">
      <c r="A374" s="274"/>
      <c r="B374" s="274"/>
      <c r="C374" s="274"/>
      <c r="D374" s="274"/>
      <c r="E374" s="274"/>
    </row>
    <row r="375" spans="1:5">
      <c r="A375" s="274"/>
      <c r="B375" s="274"/>
      <c r="C375" s="274"/>
      <c r="D375" s="274"/>
      <c r="E375" s="274"/>
    </row>
    <row r="376" spans="1:5">
      <c r="A376" s="274"/>
      <c r="B376" s="274"/>
      <c r="C376" s="274"/>
      <c r="D376" s="274"/>
      <c r="E376" s="274"/>
    </row>
    <row r="377" spans="1:5">
      <c r="A377" s="274"/>
      <c r="B377" s="274"/>
      <c r="C377" s="274"/>
      <c r="D377" s="274"/>
      <c r="E377" s="274"/>
    </row>
    <row r="378" spans="1:5">
      <c r="A378" s="274"/>
      <c r="B378" s="274"/>
      <c r="C378" s="274"/>
      <c r="D378" s="274"/>
      <c r="E378" s="274"/>
    </row>
    <row r="379" spans="1:5">
      <c r="A379" s="274"/>
      <c r="B379" s="274"/>
      <c r="C379" s="274"/>
      <c r="D379" s="274"/>
      <c r="E379" s="274"/>
    </row>
    <row r="380" spans="1:5">
      <c r="A380" s="274"/>
      <c r="B380" s="274"/>
      <c r="C380" s="274"/>
      <c r="D380" s="274"/>
      <c r="E380" s="274"/>
    </row>
    <row r="381" spans="1:5">
      <c r="A381" s="274"/>
      <c r="B381" s="274"/>
      <c r="C381" s="274"/>
      <c r="D381" s="274"/>
      <c r="E381" s="274"/>
    </row>
    <row r="382" spans="1:5">
      <c r="A382" s="274"/>
      <c r="B382" s="274"/>
      <c r="C382" s="274"/>
      <c r="D382" s="274"/>
      <c r="E382" s="274"/>
    </row>
    <row r="383" spans="1:5">
      <c r="A383" s="274"/>
      <c r="B383" s="274"/>
      <c r="C383" s="274"/>
      <c r="D383" s="274"/>
      <c r="E383" s="274"/>
    </row>
    <row r="384" spans="1:5">
      <c r="A384" s="274"/>
      <c r="B384" s="274"/>
      <c r="C384" s="274"/>
      <c r="D384" s="274"/>
      <c r="E384" s="274"/>
    </row>
    <row r="385" spans="1:5">
      <c r="A385" s="274"/>
      <c r="B385" s="274"/>
      <c r="C385" s="274"/>
      <c r="D385" s="274"/>
      <c r="E385" s="274"/>
    </row>
    <row r="386" spans="1:5">
      <c r="A386" s="274"/>
      <c r="B386" s="274"/>
      <c r="C386" s="274"/>
      <c r="D386" s="274"/>
      <c r="E386" s="274"/>
    </row>
    <row r="387" spans="1:5">
      <c r="A387" s="274"/>
      <c r="B387" s="274"/>
      <c r="C387" s="274"/>
      <c r="D387" s="274"/>
      <c r="E387" s="274"/>
    </row>
    <row r="388" spans="1:5">
      <c r="A388" s="274"/>
      <c r="B388" s="274"/>
      <c r="C388" s="274"/>
      <c r="D388" s="274"/>
      <c r="E388" s="274"/>
    </row>
    <row r="389" spans="1:5">
      <c r="A389" s="274"/>
      <c r="B389" s="274"/>
      <c r="C389" s="274"/>
      <c r="D389" s="274"/>
      <c r="E389" s="274"/>
    </row>
    <row r="390" spans="1:5">
      <c r="A390" s="274"/>
      <c r="B390" s="274"/>
      <c r="C390" s="274"/>
      <c r="D390" s="274"/>
      <c r="E390" s="274"/>
    </row>
    <row r="391" spans="1:5">
      <c r="A391" s="274"/>
      <c r="B391" s="274"/>
      <c r="C391" s="274"/>
      <c r="D391" s="274"/>
      <c r="E391" s="274"/>
    </row>
    <row r="392" spans="1:5">
      <c r="A392" s="274"/>
      <c r="B392" s="274"/>
      <c r="C392" s="274"/>
      <c r="D392" s="274"/>
      <c r="E392" s="274"/>
    </row>
    <row r="393" spans="1:5">
      <c r="A393" s="274"/>
      <c r="B393" s="274"/>
      <c r="C393" s="274"/>
      <c r="D393" s="274"/>
      <c r="E393" s="274"/>
    </row>
    <row r="394" spans="1:5">
      <c r="A394" s="274"/>
      <c r="B394" s="274"/>
      <c r="C394" s="274"/>
      <c r="D394" s="274"/>
      <c r="E394" s="274"/>
    </row>
    <row r="395" spans="1:5">
      <c r="A395" s="274"/>
      <c r="B395" s="274"/>
      <c r="C395" s="274"/>
      <c r="D395" s="274"/>
      <c r="E395" s="274"/>
    </row>
    <row r="396" spans="1:5">
      <c r="A396" s="274"/>
      <c r="B396" s="274"/>
      <c r="C396" s="274"/>
      <c r="D396" s="274"/>
      <c r="E396" s="274"/>
    </row>
    <row r="397" spans="1:5">
      <c r="A397" s="274"/>
      <c r="B397" s="274"/>
      <c r="C397" s="274"/>
      <c r="D397" s="274"/>
      <c r="E397" s="274"/>
    </row>
    <row r="398" spans="1:5">
      <c r="A398" s="274"/>
      <c r="B398" s="274"/>
      <c r="C398" s="274"/>
      <c r="D398" s="274"/>
      <c r="E398" s="274"/>
    </row>
    <row r="399" spans="1:5">
      <c r="A399" s="274"/>
      <c r="B399" s="274"/>
      <c r="C399" s="274"/>
      <c r="D399" s="274"/>
      <c r="E399" s="274"/>
    </row>
    <row r="400" spans="1:5">
      <c r="A400" s="274"/>
      <c r="B400" s="274"/>
      <c r="C400" s="274"/>
      <c r="D400" s="274"/>
      <c r="E400" s="274"/>
    </row>
    <row r="401" spans="1:5">
      <c r="A401" s="274"/>
      <c r="B401" s="274"/>
      <c r="C401" s="274"/>
      <c r="D401" s="274"/>
      <c r="E401" s="274"/>
    </row>
    <row r="402" spans="1:5">
      <c r="A402" s="274"/>
      <c r="B402" s="274"/>
      <c r="C402" s="274"/>
      <c r="D402" s="274"/>
      <c r="E402" s="274"/>
    </row>
    <row r="403" spans="1:5">
      <c r="A403" s="274"/>
      <c r="B403" s="274"/>
      <c r="C403" s="274"/>
      <c r="D403" s="274"/>
      <c r="E403" s="274"/>
    </row>
    <row r="404" spans="1:5">
      <c r="A404" s="274"/>
      <c r="B404" s="274"/>
      <c r="C404" s="274"/>
      <c r="D404" s="274"/>
      <c r="E404" s="274"/>
    </row>
    <row r="405" spans="1:5">
      <c r="A405" s="274"/>
      <c r="B405" s="274"/>
      <c r="C405" s="274"/>
      <c r="D405" s="274"/>
      <c r="E405" s="274"/>
    </row>
    <row r="406" spans="1:5">
      <c r="A406" s="274"/>
      <c r="B406" s="274"/>
      <c r="C406" s="274"/>
      <c r="D406" s="274"/>
      <c r="E406" s="274"/>
    </row>
    <row r="407" spans="1:5">
      <c r="A407" s="274"/>
      <c r="B407" s="274"/>
      <c r="C407" s="274"/>
      <c r="D407" s="274"/>
      <c r="E407" s="274"/>
    </row>
    <row r="408" spans="1:5">
      <c r="A408" s="274"/>
      <c r="B408" s="274"/>
      <c r="C408" s="274"/>
      <c r="D408" s="274"/>
      <c r="E408" s="274"/>
    </row>
    <row r="409" spans="1:5">
      <c r="A409" s="274"/>
      <c r="B409" s="274"/>
      <c r="C409" s="274"/>
      <c r="D409" s="274"/>
      <c r="E409" s="274"/>
    </row>
    <row r="410" spans="1:5">
      <c r="A410" s="274"/>
      <c r="B410" s="274"/>
      <c r="C410" s="274"/>
      <c r="D410" s="274"/>
      <c r="E410" s="274"/>
    </row>
    <row r="411" spans="1:5">
      <c r="A411" s="274"/>
      <c r="B411" s="274"/>
      <c r="C411" s="274"/>
      <c r="D411" s="274"/>
      <c r="E411" s="274"/>
    </row>
    <row r="412" spans="1:5">
      <c r="A412" s="274"/>
      <c r="B412" s="274"/>
      <c r="C412" s="274"/>
      <c r="D412" s="274"/>
      <c r="E412" s="274"/>
    </row>
    <row r="413" spans="1:5">
      <c r="A413" s="274"/>
      <c r="B413" s="274"/>
      <c r="C413" s="274"/>
      <c r="D413" s="274"/>
      <c r="E413" s="274"/>
    </row>
    <row r="414" spans="1:5">
      <c r="A414" s="274"/>
      <c r="B414" s="274"/>
      <c r="C414" s="274"/>
      <c r="D414" s="274"/>
      <c r="E414" s="274"/>
    </row>
    <row r="415" spans="1:5">
      <c r="A415" s="274"/>
      <c r="B415" s="274"/>
      <c r="C415" s="274"/>
      <c r="D415" s="274"/>
      <c r="E415" s="274"/>
    </row>
    <row r="416" spans="1:5">
      <c r="A416" s="274"/>
      <c r="B416" s="274"/>
      <c r="C416" s="274"/>
      <c r="D416" s="274"/>
      <c r="E416" s="274"/>
    </row>
    <row r="417" spans="1:5">
      <c r="A417" s="274"/>
      <c r="B417" s="274"/>
      <c r="C417" s="274"/>
      <c r="D417" s="274"/>
      <c r="E417" s="274"/>
    </row>
    <row r="418" spans="1:5">
      <c r="A418" s="274"/>
      <c r="B418" s="274"/>
      <c r="C418" s="274"/>
      <c r="D418" s="274"/>
      <c r="E418" s="274"/>
    </row>
    <row r="419" spans="1:5">
      <c r="A419" s="274"/>
      <c r="B419" s="274"/>
      <c r="C419" s="274"/>
      <c r="D419" s="274"/>
      <c r="E419" s="274"/>
    </row>
    <row r="420" spans="1:5">
      <c r="A420" s="274"/>
      <c r="B420" s="274"/>
      <c r="C420" s="274"/>
      <c r="D420" s="274"/>
      <c r="E420" s="274"/>
    </row>
    <row r="421" spans="1:5">
      <c r="A421" s="274"/>
      <c r="B421" s="274"/>
      <c r="C421" s="274"/>
      <c r="D421" s="274"/>
      <c r="E421" s="274"/>
    </row>
    <row r="422" spans="1:5">
      <c r="A422" s="274"/>
      <c r="B422" s="274"/>
      <c r="C422" s="274"/>
      <c r="D422" s="274"/>
      <c r="E422" s="274"/>
    </row>
    <row r="423" spans="1:5">
      <c r="A423" s="274"/>
      <c r="B423" s="274"/>
      <c r="C423" s="274"/>
      <c r="D423" s="274"/>
      <c r="E423" s="274"/>
    </row>
    <row r="424" spans="1:5">
      <c r="A424" s="274"/>
      <c r="B424" s="274"/>
      <c r="C424" s="274"/>
      <c r="D424" s="274"/>
      <c r="E424" s="274"/>
    </row>
    <row r="425" spans="1:5">
      <c r="A425" s="274"/>
      <c r="B425" s="274"/>
      <c r="C425" s="274"/>
      <c r="D425" s="274"/>
      <c r="E425" s="274"/>
    </row>
    <row r="426" spans="1:5">
      <c r="A426" s="274"/>
      <c r="B426" s="274"/>
      <c r="C426" s="274"/>
      <c r="D426" s="274"/>
      <c r="E426" s="274"/>
    </row>
    <row r="427" spans="1:5">
      <c r="A427" s="274"/>
      <c r="B427" s="274"/>
      <c r="C427" s="274"/>
      <c r="D427" s="274"/>
      <c r="E427" s="274"/>
    </row>
    <row r="428" spans="1:5">
      <c r="A428" s="274"/>
      <c r="B428" s="274"/>
      <c r="C428" s="274"/>
      <c r="D428" s="274"/>
      <c r="E428" s="274"/>
    </row>
    <row r="429" spans="1:5">
      <c r="A429" s="274"/>
      <c r="B429" s="274"/>
      <c r="C429" s="274"/>
      <c r="D429" s="274"/>
      <c r="E429" s="274"/>
    </row>
    <row r="430" spans="1:5">
      <c r="A430" s="274"/>
      <c r="B430" s="274"/>
      <c r="C430" s="274"/>
      <c r="D430" s="274"/>
      <c r="E430" s="274"/>
    </row>
    <row r="431" spans="1:5">
      <c r="A431" s="274"/>
      <c r="B431" s="274"/>
      <c r="C431" s="274"/>
      <c r="D431" s="274"/>
      <c r="E431" s="274"/>
    </row>
    <row r="432" spans="1:5">
      <c r="A432" s="274"/>
      <c r="B432" s="274"/>
      <c r="C432" s="274"/>
      <c r="D432" s="274"/>
      <c r="E432" s="274"/>
    </row>
    <row r="433" spans="1:5">
      <c r="A433" s="274"/>
      <c r="B433" s="274"/>
      <c r="C433" s="274"/>
      <c r="D433" s="274"/>
      <c r="E433" s="274"/>
    </row>
    <row r="434" spans="1:5">
      <c r="A434" s="274"/>
      <c r="B434" s="274"/>
      <c r="C434" s="274"/>
      <c r="D434" s="274"/>
      <c r="E434" s="274"/>
    </row>
    <row r="435" spans="1:5">
      <c r="A435" s="274"/>
      <c r="B435" s="274"/>
      <c r="C435" s="274"/>
      <c r="D435" s="274"/>
      <c r="E435" s="274"/>
    </row>
    <row r="436" spans="1:5">
      <c r="A436" s="274"/>
      <c r="B436" s="274"/>
      <c r="C436" s="274"/>
      <c r="D436" s="274"/>
      <c r="E436" s="274"/>
    </row>
    <row r="437" spans="1:5">
      <c r="A437" s="274"/>
      <c r="B437" s="274"/>
      <c r="C437" s="274"/>
      <c r="D437" s="274"/>
      <c r="E437" s="274"/>
    </row>
    <row r="438" spans="1:5">
      <c r="A438" s="274"/>
      <c r="B438" s="274"/>
      <c r="C438" s="274"/>
      <c r="D438" s="274"/>
      <c r="E438" s="274"/>
    </row>
    <row r="439" spans="1:5">
      <c r="A439" s="274"/>
      <c r="B439" s="274"/>
      <c r="C439" s="274"/>
      <c r="D439" s="274"/>
      <c r="E439" s="274"/>
    </row>
    <row r="440" spans="1:5">
      <c r="A440" s="274"/>
      <c r="B440" s="274"/>
      <c r="C440" s="274"/>
      <c r="D440" s="274"/>
      <c r="E440" s="274"/>
    </row>
    <row r="441" spans="1:5">
      <c r="A441" s="274"/>
      <c r="B441" s="274"/>
      <c r="C441" s="274"/>
      <c r="D441" s="274"/>
      <c r="E441" s="274"/>
    </row>
    <row r="442" spans="1:5">
      <c r="A442" s="274"/>
      <c r="B442" s="274"/>
      <c r="C442" s="274"/>
      <c r="D442" s="274"/>
      <c r="E442" s="274"/>
    </row>
    <row r="443" spans="1:5">
      <c r="A443" s="274"/>
      <c r="B443" s="274"/>
      <c r="C443" s="274"/>
      <c r="D443" s="274"/>
      <c r="E443" s="274"/>
    </row>
    <row r="444" spans="1:5">
      <c r="A444" s="274"/>
      <c r="B444" s="274"/>
      <c r="C444" s="274"/>
      <c r="D444" s="274"/>
      <c r="E444" s="274"/>
    </row>
    <row r="445" spans="1:5">
      <c r="A445" s="274"/>
      <c r="B445" s="274"/>
      <c r="C445" s="274"/>
      <c r="D445" s="274"/>
      <c r="E445" s="274"/>
    </row>
    <row r="446" spans="1:5">
      <c r="A446" s="274"/>
      <c r="B446" s="274"/>
      <c r="C446" s="274"/>
      <c r="D446" s="274"/>
      <c r="E446" s="274"/>
    </row>
    <row r="447" spans="1:5">
      <c r="A447" s="274"/>
      <c r="B447" s="274"/>
      <c r="C447" s="274"/>
      <c r="D447" s="274"/>
      <c r="E447" s="274"/>
    </row>
    <row r="448" spans="1:5">
      <c r="A448" s="274"/>
      <c r="B448" s="274"/>
      <c r="C448" s="274"/>
      <c r="D448" s="274"/>
      <c r="E448" s="274"/>
    </row>
    <row r="449" spans="1:5">
      <c r="A449" s="274"/>
      <c r="B449" s="274"/>
      <c r="C449" s="274"/>
      <c r="D449" s="274"/>
      <c r="E449" s="274"/>
    </row>
    <row r="450" spans="1:5">
      <c r="A450" s="274"/>
      <c r="B450" s="274"/>
      <c r="C450" s="274"/>
      <c r="D450" s="274"/>
      <c r="E450" s="274"/>
    </row>
    <row r="451" spans="1:5">
      <c r="A451" s="274"/>
      <c r="B451" s="274"/>
      <c r="C451" s="274"/>
      <c r="D451" s="274"/>
      <c r="E451" s="274"/>
    </row>
    <row r="452" spans="1:5">
      <c r="A452" s="274"/>
      <c r="B452" s="274"/>
      <c r="C452" s="274"/>
      <c r="D452" s="274"/>
      <c r="E452" s="274"/>
    </row>
    <row r="453" spans="1:5">
      <c r="A453" s="274"/>
      <c r="B453" s="274"/>
      <c r="C453" s="274"/>
      <c r="D453" s="274"/>
      <c r="E453" s="274"/>
    </row>
    <row r="454" spans="1:5">
      <c r="A454" s="274"/>
      <c r="B454" s="274"/>
      <c r="C454" s="274"/>
      <c r="D454" s="274"/>
      <c r="E454" s="274"/>
    </row>
    <row r="455" spans="1:5">
      <c r="A455" s="274"/>
      <c r="B455" s="274"/>
      <c r="C455" s="274"/>
      <c r="D455" s="274"/>
      <c r="E455" s="274"/>
    </row>
    <row r="456" spans="1:5">
      <c r="A456" s="274"/>
      <c r="B456" s="274"/>
      <c r="C456" s="274"/>
      <c r="D456" s="274"/>
      <c r="E456" s="274"/>
    </row>
    <row r="457" spans="1:5">
      <c r="A457" s="274"/>
      <c r="B457" s="274"/>
      <c r="C457" s="274"/>
      <c r="D457" s="274"/>
      <c r="E457" s="274"/>
    </row>
    <row r="458" spans="1:5">
      <c r="A458" s="274"/>
      <c r="B458" s="274"/>
      <c r="C458" s="274"/>
      <c r="D458" s="274"/>
      <c r="E458" s="274"/>
    </row>
    <row r="459" spans="1:5">
      <c r="A459" s="274"/>
      <c r="B459" s="274"/>
      <c r="C459" s="274"/>
      <c r="D459" s="274"/>
      <c r="E459" s="274"/>
    </row>
    <row r="460" spans="1:5">
      <c r="A460" s="274"/>
      <c r="B460" s="274"/>
      <c r="C460" s="274"/>
      <c r="D460" s="274"/>
      <c r="E460" s="274"/>
    </row>
    <row r="461" spans="1:5">
      <c r="A461" s="274"/>
      <c r="B461" s="274"/>
      <c r="C461" s="274"/>
      <c r="D461" s="274"/>
      <c r="E461" s="274"/>
    </row>
    <row r="462" spans="1:5">
      <c r="A462" s="274"/>
      <c r="B462" s="274"/>
      <c r="C462" s="274"/>
      <c r="D462" s="274"/>
      <c r="E462" s="274"/>
    </row>
    <row r="463" spans="1:5">
      <c r="A463" s="274"/>
      <c r="B463" s="274"/>
      <c r="C463" s="274"/>
      <c r="D463" s="274"/>
      <c r="E463" s="274"/>
    </row>
    <row r="464" spans="1:5">
      <c r="A464" s="274"/>
      <c r="B464" s="274"/>
      <c r="C464" s="274"/>
      <c r="D464" s="274"/>
      <c r="E464" s="274"/>
    </row>
    <row r="465" spans="1:5">
      <c r="A465" s="274"/>
      <c r="B465" s="274"/>
      <c r="C465" s="274"/>
      <c r="D465" s="274"/>
      <c r="E465" s="274"/>
    </row>
    <row r="466" spans="1:5">
      <c r="A466" s="274"/>
      <c r="B466" s="274"/>
      <c r="C466" s="274"/>
      <c r="D466" s="274"/>
      <c r="E466" s="274"/>
    </row>
    <row r="467" spans="1:5">
      <c r="A467" s="274"/>
      <c r="B467" s="274"/>
      <c r="C467" s="274"/>
      <c r="D467" s="274"/>
      <c r="E467" s="274"/>
    </row>
    <row r="468" spans="1:5">
      <c r="A468" s="274"/>
      <c r="B468" s="274"/>
      <c r="C468" s="274"/>
      <c r="D468" s="274"/>
      <c r="E468" s="274"/>
    </row>
    <row r="469" spans="1:5">
      <c r="A469" s="274"/>
      <c r="B469" s="274"/>
      <c r="C469" s="274"/>
      <c r="D469" s="274"/>
      <c r="E469" s="274"/>
    </row>
    <row r="470" spans="1:5">
      <c r="A470" s="274"/>
      <c r="B470" s="274"/>
      <c r="C470" s="274"/>
      <c r="D470" s="274"/>
      <c r="E470" s="274"/>
    </row>
    <row r="471" spans="1:5">
      <c r="A471" s="274"/>
      <c r="B471" s="274"/>
      <c r="C471" s="274"/>
      <c r="D471" s="274"/>
      <c r="E471" s="274"/>
    </row>
    <row r="472" spans="1:5">
      <c r="A472" s="274"/>
      <c r="B472" s="274"/>
      <c r="C472" s="274"/>
      <c r="D472" s="274"/>
      <c r="E472" s="274"/>
    </row>
    <row r="473" spans="1:5">
      <c r="A473" s="274"/>
      <c r="B473" s="274"/>
      <c r="C473" s="274"/>
      <c r="D473" s="274"/>
      <c r="E473" s="274"/>
    </row>
    <row r="474" spans="1:5">
      <c r="A474" s="274"/>
      <c r="B474" s="274"/>
      <c r="C474" s="274"/>
      <c r="D474" s="274"/>
      <c r="E474" s="274"/>
    </row>
    <row r="475" spans="1:5">
      <c r="A475" s="274"/>
      <c r="B475" s="274"/>
      <c r="C475" s="274"/>
      <c r="D475" s="274"/>
      <c r="E475" s="274"/>
    </row>
    <row r="476" spans="1:5">
      <c r="A476" s="274"/>
      <c r="B476" s="274"/>
      <c r="C476" s="274"/>
      <c r="D476" s="274"/>
      <c r="E476" s="274"/>
    </row>
    <row r="477" spans="1:5">
      <c r="A477" s="274"/>
      <c r="B477" s="274"/>
      <c r="C477" s="274"/>
      <c r="D477" s="274"/>
      <c r="E477" s="274"/>
    </row>
    <row r="478" spans="1:5">
      <c r="A478" s="274"/>
      <c r="B478" s="274"/>
      <c r="C478" s="274"/>
      <c r="D478" s="274"/>
      <c r="E478" s="274"/>
    </row>
    <row r="479" spans="1:5">
      <c r="A479" s="274"/>
      <c r="B479" s="274"/>
      <c r="C479" s="274"/>
      <c r="D479" s="274"/>
      <c r="E479" s="274"/>
    </row>
    <row r="480" spans="1:5">
      <c r="A480" s="274"/>
      <c r="B480" s="274"/>
      <c r="C480" s="274"/>
      <c r="D480" s="274"/>
      <c r="E480" s="274"/>
    </row>
    <row r="481" spans="1:5">
      <c r="A481" s="274"/>
      <c r="B481" s="274"/>
      <c r="C481" s="274"/>
      <c r="D481" s="274"/>
      <c r="E481" s="274"/>
    </row>
    <row r="482" spans="1:5">
      <c r="A482" s="274"/>
      <c r="B482" s="274"/>
      <c r="C482" s="274"/>
      <c r="D482" s="274"/>
      <c r="E482" s="274"/>
    </row>
    <row r="483" spans="1:5">
      <c r="A483" s="274"/>
      <c r="B483" s="274"/>
      <c r="C483" s="274"/>
      <c r="D483" s="274"/>
      <c r="E483" s="274"/>
    </row>
    <row r="484" spans="1:5">
      <c r="A484" s="274"/>
      <c r="B484" s="274"/>
      <c r="C484" s="274"/>
      <c r="D484" s="274"/>
      <c r="E484" s="274"/>
    </row>
    <row r="485" spans="1:5">
      <c r="A485" s="274"/>
      <c r="B485" s="274"/>
      <c r="C485" s="274"/>
      <c r="D485" s="274"/>
      <c r="E485" s="274"/>
    </row>
    <row r="486" spans="1:5">
      <c r="A486" s="274"/>
      <c r="B486" s="274"/>
      <c r="C486" s="274"/>
      <c r="D486" s="274"/>
      <c r="E486" s="274"/>
    </row>
    <row r="487" spans="1:5">
      <c r="A487" s="274"/>
      <c r="B487" s="274"/>
      <c r="C487" s="274"/>
      <c r="D487" s="274"/>
      <c r="E487" s="274"/>
    </row>
    <row r="488" spans="1:5">
      <c r="A488" s="274"/>
      <c r="B488" s="274"/>
      <c r="C488" s="274"/>
      <c r="D488" s="274"/>
      <c r="E488" s="274"/>
    </row>
    <row r="489" spans="1:5">
      <c r="A489" s="274"/>
      <c r="B489" s="274"/>
      <c r="C489" s="274"/>
      <c r="D489" s="274"/>
      <c r="E489" s="274"/>
    </row>
    <row r="490" spans="1:5">
      <c r="A490" s="274"/>
      <c r="B490" s="274"/>
      <c r="C490" s="274"/>
      <c r="D490" s="274"/>
      <c r="E490" s="274"/>
    </row>
    <row r="491" spans="1:5">
      <c r="A491" s="274"/>
      <c r="B491" s="274"/>
      <c r="C491" s="274"/>
      <c r="D491" s="274"/>
      <c r="E491" s="274"/>
    </row>
    <row r="492" spans="1:5">
      <c r="A492" s="274"/>
      <c r="B492" s="274"/>
      <c r="C492" s="274"/>
      <c r="D492" s="274"/>
      <c r="E492" s="274"/>
    </row>
    <row r="493" spans="1:5">
      <c r="A493" s="274"/>
      <c r="B493" s="274"/>
      <c r="C493" s="274"/>
      <c r="D493" s="274"/>
      <c r="E493" s="274"/>
    </row>
    <row r="494" spans="1:5">
      <c r="A494" s="274"/>
      <c r="B494" s="274"/>
      <c r="C494" s="274"/>
      <c r="D494" s="274"/>
      <c r="E494" s="274"/>
    </row>
    <row r="495" spans="1:5">
      <c r="A495" s="274"/>
      <c r="B495" s="274"/>
      <c r="C495" s="274"/>
      <c r="D495" s="274"/>
      <c r="E495" s="274"/>
    </row>
    <row r="496" spans="1:5">
      <c r="A496" s="274"/>
      <c r="B496" s="274"/>
      <c r="C496" s="274"/>
      <c r="D496" s="274"/>
      <c r="E496" s="274"/>
    </row>
    <row r="497" spans="1:5">
      <c r="A497" s="274"/>
      <c r="B497" s="274"/>
      <c r="C497" s="274"/>
      <c r="D497" s="274"/>
      <c r="E497" s="274"/>
    </row>
    <row r="498" spans="1:5">
      <c r="A498" s="274"/>
      <c r="B498" s="274"/>
      <c r="C498" s="274"/>
      <c r="D498" s="274"/>
      <c r="E498" s="274"/>
    </row>
    <row r="499" spans="1:5">
      <c r="A499" s="274"/>
      <c r="B499" s="274"/>
      <c r="C499" s="274"/>
      <c r="D499" s="274"/>
      <c r="E499" s="274"/>
    </row>
    <row r="500" spans="1:5">
      <c r="A500" s="274"/>
      <c r="B500" s="274"/>
      <c r="C500" s="274"/>
      <c r="D500" s="274"/>
      <c r="E500" s="274"/>
    </row>
    <row r="501" spans="1:5">
      <c r="A501" s="274"/>
      <c r="B501" s="274"/>
      <c r="C501" s="274"/>
      <c r="D501" s="274"/>
      <c r="E501" s="274"/>
    </row>
    <row r="502" spans="1:5">
      <c r="A502" s="274"/>
      <c r="B502" s="274"/>
      <c r="C502" s="274"/>
      <c r="D502" s="274"/>
      <c r="E502" s="274"/>
    </row>
    <row r="503" spans="1:5">
      <c r="A503" s="274"/>
      <c r="B503" s="274"/>
      <c r="C503" s="274"/>
      <c r="D503" s="274"/>
      <c r="E503" s="274"/>
    </row>
    <row r="504" spans="1:5">
      <c r="A504" s="274"/>
      <c r="B504" s="274"/>
      <c r="C504" s="274"/>
      <c r="D504" s="274"/>
      <c r="E504" s="274"/>
    </row>
    <row r="505" spans="1:5">
      <c r="A505" s="274"/>
      <c r="B505" s="274"/>
      <c r="C505" s="274"/>
      <c r="D505" s="274"/>
      <c r="E505" s="274"/>
    </row>
    <row r="506" spans="1:5">
      <c r="A506" s="274"/>
      <c r="B506" s="274"/>
      <c r="C506" s="274"/>
      <c r="D506" s="274"/>
      <c r="E506" s="274"/>
    </row>
    <row r="507" spans="1:5">
      <c r="A507" s="274"/>
      <c r="B507" s="274"/>
      <c r="C507" s="274"/>
      <c r="D507" s="274"/>
      <c r="E507" s="274"/>
    </row>
    <row r="508" spans="1:5">
      <c r="A508" s="274"/>
      <c r="B508" s="274"/>
      <c r="C508" s="274"/>
      <c r="D508" s="274"/>
      <c r="E508" s="274"/>
    </row>
    <row r="509" spans="1:5">
      <c r="A509" s="274"/>
      <c r="B509" s="274"/>
      <c r="C509" s="274"/>
      <c r="D509" s="274"/>
      <c r="E509" s="274"/>
    </row>
    <row r="510" spans="1:5">
      <c r="A510" s="274"/>
      <c r="B510" s="274"/>
      <c r="C510" s="274"/>
      <c r="D510" s="274"/>
      <c r="E510" s="274"/>
    </row>
    <row r="511" spans="1:5">
      <c r="A511" s="274"/>
      <c r="B511" s="274"/>
      <c r="C511" s="274"/>
      <c r="D511" s="274"/>
      <c r="E511" s="274"/>
    </row>
    <row r="512" spans="1:5">
      <c r="A512" s="274"/>
      <c r="B512" s="274"/>
      <c r="C512" s="274"/>
      <c r="D512" s="274"/>
      <c r="E512" s="274"/>
    </row>
    <row r="513" spans="1:5">
      <c r="A513" s="274"/>
      <c r="B513" s="274"/>
      <c r="C513" s="274"/>
      <c r="D513" s="274"/>
      <c r="E513" s="274"/>
    </row>
    <row r="514" spans="1:5">
      <c r="A514" s="274"/>
      <c r="B514" s="274"/>
      <c r="C514" s="274"/>
      <c r="D514" s="274"/>
      <c r="E514" s="274"/>
    </row>
    <row r="515" spans="1:5">
      <c r="A515" s="274"/>
      <c r="B515" s="274"/>
      <c r="C515" s="274"/>
      <c r="D515" s="274"/>
      <c r="E515" s="274"/>
    </row>
    <row r="516" spans="1:5">
      <c r="A516" s="274"/>
      <c r="B516" s="274"/>
      <c r="C516" s="274"/>
      <c r="D516" s="274"/>
      <c r="E516" s="274"/>
    </row>
    <row r="517" spans="1:5">
      <c r="A517" s="274"/>
      <c r="B517" s="274"/>
      <c r="C517" s="274"/>
      <c r="D517" s="274"/>
      <c r="E517" s="274"/>
    </row>
    <row r="518" spans="1:5">
      <c r="A518" s="274"/>
      <c r="B518" s="274"/>
      <c r="C518" s="274"/>
      <c r="D518" s="274"/>
      <c r="E518" s="274"/>
    </row>
    <row r="519" spans="1:5">
      <c r="A519" s="274"/>
      <c r="B519" s="274"/>
      <c r="C519" s="274"/>
      <c r="D519" s="274"/>
      <c r="E519" s="274"/>
    </row>
    <row r="520" spans="1:5">
      <c r="A520" s="274"/>
      <c r="B520" s="274"/>
      <c r="C520" s="274"/>
      <c r="D520" s="274"/>
      <c r="E520" s="274"/>
    </row>
    <row r="521" spans="1:5">
      <c r="A521" s="274"/>
      <c r="B521" s="274"/>
      <c r="C521" s="274"/>
      <c r="D521" s="274"/>
      <c r="E521" s="274"/>
    </row>
    <row r="522" spans="1:5">
      <c r="A522" s="274"/>
      <c r="B522" s="274"/>
      <c r="C522" s="274"/>
      <c r="D522" s="274"/>
      <c r="E522" s="274"/>
    </row>
    <row r="523" spans="1:5">
      <c r="A523" s="274"/>
      <c r="B523" s="274"/>
      <c r="C523" s="274"/>
      <c r="D523" s="274"/>
      <c r="E523" s="274"/>
    </row>
    <row r="524" spans="1:5">
      <c r="A524" s="274"/>
      <c r="B524" s="274"/>
      <c r="C524" s="274"/>
      <c r="D524" s="274"/>
      <c r="E524" s="274"/>
    </row>
    <row r="525" spans="1:5">
      <c r="A525" s="274"/>
      <c r="B525" s="274"/>
      <c r="C525" s="274"/>
      <c r="D525" s="274"/>
      <c r="E525" s="274"/>
    </row>
    <row r="526" spans="1:5">
      <c r="A526" s="274"/>
      <c r="B526" s="274"/>
      <c r="C526" s="274"/>
      <c r="D526" s="274"/>
      <c r="E526" s="274"/>
    </row>
    <row r="527" spans="1:5">
      <c r="A527" s="274"/>
      <c r="B527" s="274"/>
      <c r="C527" s="274"/>
      <c r="D527" s="274"/>
      <c r="E527" s="274"/>
    </row>
    <row r="528" spans="1:5">
      <c r="A528" s="274"/>
      <c r="B528" s="274"/>
      <c r="C528" s="274"/>
      <c r="D528" s="274"/>
      <c r="E528" s="274"/>
    </row>
    <row r="529" spans="1:5">
      <c r="A529" s="274"/>
      <c r="B529" s="274"/>
      <c r="C529" s="274"/>
      <c r="D529" s="274"/>
      <c r="E529" s="274"/>
    </row>
    <row r="530" spans="1:5">
      <c r="A530" s="274"/>
      <c r="B530" s="274"/>
      <c r="C530" s="274"/>
      <c r="D530" s="274"/>
      <c r="E530" s="274"/>
    </row>
    <row r="531" spans="1:5">
      <c r="A531" s="274"/>
      <c r="B531" s="274"/>
      <c r="C531" s="274"/>
      <c r="D531" s="274"/>
      <c r="E531" s="274"/>
    </row>
    <row r="532" spans="1:5">
      <c r="A532" s="274"/>
      <c r="B532" s="274"/>
      <c r="C532" s="274"/>
      <c r="D532" s="274"/>
      <c r="E532" s="274"/>
    </row>
    <row r="533" spans="1:5">
      <c r="A533" s="274"/>
      <c r="B533" s="274"/>
      <c r="C533" s="274"/>
      <c r="D533" s="274"/>
      <c r="E533" s="274"/>
    </row>
    <row r="534" spans="1:5">
      <c r="A534" s="274"/>
      <c r="B534" s="274"/>
      <c r="C534" s="274"/>
      <c r="D534" s="274"/>
      <c r="E534" s="274"/>
    </row>
    <row r="535" spans="1:5">
      <c r="A535" s="274"/>
      <c r="B535" s="274"/>
      <c r="C535" s="274"/>
      <c r="D535" s="274"/>
      <c r="E535" s="274"/>
    </row>
    <row r="536" spans="1:5">
      <c r="A536" s="274"/>
      <c r="B536" s="274"/>
      <c r="C536" s="274"/>
      <c r="D536" s="274"/>
      <c r="E536" s="274"/>
    </row>
    <row r="537" spans="1:5">
      <c r="A537" s="274"/>
      <c r="B537" s="274"/>
      <c r="C537" s="274"/>
      <c r="D537" s="274"/>
      <c r="E537" s="274"/>
    </row>
    <row r="538" spans="1:5">
      <c r="A538" s="274"/>
      <c r="B538" s="274"/>
      <c r="C538" s="274"/>
      <c r="D538" s="274"/>
      <c r="E538" s="274"/>
    </row>
    <row r="539" spans="1:5">
      <c r="A539" s="274"/>
      <c r="B539" s="274"/>
      <c r="C539" s="274"/>
      <c r="D539" s="274"/>
      <c r="E539" s="274"/>
    </row>
    <row r="540" spans="1:5">
      <c r="A540" s="274"/>
      <c r="B540" s="274"/>
      <c r="C540" s="274"/>
      <c r="D540" s="274"/>
      <c r="E540" s="274"/>
    </row>
    <row r="541" spans="1:5">
      <c r="A541" s="274"/>
      <c r="B541" s="274"/>
      <c r="C541" s="274"/>
      <c r="D541" s="274"/>
      <c r="E541" s="274"/>
    </row>
    <row r="542" spans="1:5">
      <c r="A542" s="274"/>
      <c r="B542" s="274"/>
      <c r="C542" s="274"/>
      <c r="D542" s="274"/>
      <c r="E542" s="274"/>
    </row>
    <row r="543" spans="1:5">
      <c r="A543" s="274"/>
      <c r="B543" s="274"/>
      <c r="C543" s="274"/>
      <c r="D543" s="274"/>
      <c r="E543" s="274"/>
    </row>
    <row r="544" spans="1:5">
      <c r="A544" s="274"/>
      <c r="B544" s="274"/>
      <c r="C544" s="274"/>
      <c r="D544" s="274"/>
      <c r="E544" s="274"/>
    </row>
    <row r="545" spans="1:5">
      <c r="A545" s="274"/>
      <c r="B545" s="274"/>
      <c r="C545" s="274"/>
      <c r="D545" s="274"/>
      <c r="E545" s="274"/>
    </row>
    <row r="546" spans="1:5">
      <c r="A546" s="274"/>
      <c r="B546" s="274"/>
      <c r="C546" s="274"/>
      <c r="D546" s="274"/>
      <c r="E546" s="274"/>
    </row>
    <row r="547" spans="1:5">
      <c r="A547" s="274"/>
      <c r="B547" s="274"/>
      <c r="C547" s="274"/>
      <c r="D547" s="274"/>
      <c r="E547" s="274"/>
    </row>
    <row r="548" spans="1:5">
      <c r="A548" s="274"/>
      <c r="B548" s="274"/>
      <c r="C548" s="274"/>
      <c r="D548" s="274"/>
      <c r="E548" s="274"/>
    </row>
    <row r="549" spans="1:5">
      <c r="A549" s="274"/>
      <c r="B549" s="274"/>
      <c r="C549" s="274"/>
      <c r="D549" s="274"/>
      <c r="E549" s="274"/>
    </row>
    <row r="550" spans="1:5">
      <c r="A550" s="274"/>
      <c r="B550" s="274"/>
      <c r="C550" s="274"/>
      <c r="D550" s="274"/>
      <c r="E550" s="274"/>
    </row>
    <row r="551" spans="1:5">
      <c r="A551" s="274"/>
      <c r="B551" s="274"/>
      <c r="C551" s="274"/>
      <c r="D551" s="274"/>
      <c r="E551" s="274"/>
    </row>
    <row r="552" spans="1:5">
      <c r="A552" s="274"/>
      <c r="B552" s="274"/>
      <c r="C552" s="274"/>
      <c r="D552" s="274"/>
      <c r="E552" s="274"/>
    </row>
    <row r="553" spans="1:5">
      <c r="A553" s="274"/>
      <c r="B553" s="274"/>
      <c r="C553" s="274"/>
      <c r="D553" s="274"/>
      <c r="E553" s="274"/>
    </row>
    <row r="554" spans="1:5">
      <c r="A554" s="274"/>
      <c r="B554" s="274"/>
      <c r="C554" s="274"/>
      <c r="D554" s="274"/>
      <c r="E554" s="274"/>
    </row>
    <row r="555" spans="1:5">
      <c r="A555" s="274"/>
      <c r="B555" s="274"/>
      <c r="C555" s="274"/>
      <c r="D555" s="274"/>
      <c r="E555" s="274"/>
    </row>
    <row r="556" spans="1:5">
      <c r="A556" s="274"/>
      <c r="B556" s="274"/>
      <c r="C556" s="274"/>
      <c r="D556" s="274"/>
      <c r="E556" s="274"/>
    </row>
    <row r="557" spans="1:5">
      <c r="A557" s="274"/>
      <c r="B557" s="274"/>
      <c r="C557" s="274"/>
      <c r="D557" s="274"/>
      <c r="E557" s="274"/>
    </row>
    <row r="558" spans="1:5">
      <c r="A558" s="274"/>
      <c r="B558" s="274"/>
      <c r="C558" s="274"/>
      <c r="D558" s="274"/>
      <c r="E558" s="274"/>
    </row>
    <row r="559" spans="1:5">
      <c r="A559" s="274"/>
      <c r="B559" s="274"/>
      <c r="C559" s="274"/>
      <c r="D559" s="274"/>
      <c r="E559" s="274"/>
    </row>
    <row r="560" spans="1:5">
      <c r="A560" s="274"/>
      <c r="B560" s="274"/>
      <c r="C560" s="274"/>
      <c r="D560" s="274"/>
      <c r="E560" s="274"/>
    </row>
    <row r="561" spans="1:5">
      <c r="A561" s="274"/>
      <c r="B561" s="274"/>
      <c r="C561" s="274"/>
      <c r="D561" s="274"/>
      <c r="E561" s="274"/>
    </row>
    <row r="562" spans="1:5">
      <c r="A562" s="274"/>
      <c r="B562" s="274"/>
      <c r="C562" s="274"/>
      <c r="D562" s="274"/>
      <c r="E562" s="274"/>
    </row>
    <row r="563" spans="1:5">
      <c r="A563" s="274"/>
      <c r="B563" s="274"/>
      <c r="C563" s="274"/>
      <c r="D563" s="274"/>
      <c r="E563" s="274"/>
    </row>
    <row r="564" spans="1:5">
      <c r="A564" s="274"/>
      <c r="B564" s="274"/>
      <c r="C564" s="274"/>
      <c r="D564" s="274"/>
      <c r="E564" s="274"/>
    </row>
    <row r="565" spans="1:5">
      <c r="A565" s="274"/>
      <c r="B565" s="274"/>
      <c r="C565" s="274"/>
      <c r="D565" s="274"/>
      <c r="E565" s="274"/>
    </row>
    <row r="566" spans="1:5">
      <c r="A566" s="274"/>
      <c r="B566" s="274"/>
      <c r="C566" s="274"/>
      <c r="D566" s="274"/>
      <c r="E566" s="274"/>
    </row>
    <row r="567" spans="1:5">
      <c r="A567" s="274"/>
      <c r="B567" s="274"/>
      <c r="C567" s="274"/>
      <c r="D567" s="274"/>
      <c r="E567" s="274"/>
    </row>
    <row r="568" spans="1:5">
      <c r="A568" s="274"/>
      <c r="B568" s="274"/>
      <c r="C568" s="274"/>
      <c r="D568" s="274"/>
      <c r="E568" s="274"/>
    </row>
    <row r="569" spans="1:5">
      <c r="A569" s="274"/>
      <c r="B569" s="274"/>
      <c r="C569" s="274"/>
      <c r="D569" s="274"/>
      <c r="E569" s="274"/>
    </row>
    <row r="570" spans="1:5">
      <c r="A570" s="274"/>
      <c r="B570" s="274"/>
      <c r="C570" s="274"/>
      <c r="D570" s="274"/>
      <c r="E570" s="274"/>
    </row>
    <row r="571" spans="1:5">
      <c r="A571" s="274"/>
      <c r="B571" s="274"/>
      <c r="C571" s="274"/>
      <c r="D571" s="274"/>
      <c r="E571" s="274"/>
    </row>
    <row r="572" spans="1:5">
      <c r="A572" s="274"/>
      <c r="B572" s="274"/>
      <c r="C572" s="274"/>
      <c r="D572" s="274"/>
      <c r="E572" s="274"/>
    </row>
    <row r="573" spans="1:5">
      <c r="A573" s="274"/>
      <c r="B573" s="274"/>
      <c r="C573" s="274"/>
      <c r="D573" s="274"/>
      <c r="E573" s="274"/>
    </row>
    <row r="574" spans="1:5">
      <c r="A574" s="274"/>
      <c r="B574" s="274"/>
      <c r="C574" s="274"/>
      <c r="D574" s="274"/>
      <c r="E574" s="274"/>
    </row>
    <row r="575" spans="1:5">
      <c r="A575" s="274"/>
      <c r="B575" s="274"/>
      <c r="C575" s="274"/>
      <c r="D575" s="274"/>
      <c r="E575" s="274"/>
    </row>
    <row r="576" spans="1:5">
      <c r="A576" s="274"/>
      <c r="B576" s="274"/>
      <c r="C576" s="274"/>
      <c r="D576" s="274"/>
      <c r="E576" s="274"/>
    </row>
    <row r="577" spans="1:5">
      <c r="A577" s="274"/>
      <c r="B577" s="274"/>
      <c r="C577" s="274"/>
      <c r="D577" s="274"/>
      <c r="E577" s="274"/>
    </row>
    <row r="578" spans="1:5">
      <c r="A578" s="274"/>
      <c r="B578" s="274"/>
      <c r="C578" s="274"/>
      <c r="D578" s="274"/>
      <c r="E578" s="274"/>
    </row>
    <row r="579" spans="1:5">
      <c r="A579" s="274"/>
      <c r="B579" s="274"/>
      <c r="C579" s="274"/>
      <c r="D579" s="274"/>
      <c r="E579" s="274"/>
    </row>
    <row r="580" spans="1:5">
      <c r="A580" s="274"/>
      <c r="B580" s="274"/>
      <c r="C580" s="274"/>
      <c r="D580" s="274"/>
      <c r="E580" s="274"/>
    </row>
    <row r="581" spans="1:5">
      <c r="A581" s="274"/>
      <c r="B581" s="274"/>
      <c r="C581" s="274"/>
      <c r="D581" s="274"/>
      <c r="E581" s="274"/>
    </row>
    <row r="582" spans="1:5">
      <c r="A582" s="274"/>
      <c r="B582" s="274"/>
      <c r="C582" s="274"/>
      <c r="D582" s="274"/>
      <c r="E582" s="274"/>
    </row>
    <row r="583" spans="1:5">
      <c r="A583" s="274"/>
      <c r="B583" s="274"/>
      <c r="C583" s="274"/>
      <c r="D583" s="274"/>
      <c r="E583" s="274"/>
    </row>
    <row r="584" spans="1:5">
      <c r="A584" s="274"/>
      <c r="B584" s="274"/>
      <c r="C584" s="274"/>
      <c r="D584" s="274"/>
      <c r="E584" s="274"/>
    </row>
    <row r="585" spans="1:5">
      <c r="A585" s="274"/>
      <c r="B585" s="274"/>
      <c r="C585" s="274"/>
      <c r="D585" s="274"/>
      <c r="E585" s="274"/>
    </row>
    <row r="586" spans="1:5">
      <c r="A586" s="274"/>
      <c r="B586" s="274"/>
      <c r="C586" s="274"/>
      <c r="D586" s="274"/>
      <c r="E586" s="274"/>
    </row>
    <row r="587" spans="1:5">
      <c r="A587" s="274"/>
      <c r="B587" s="274"/>
      <c r="C587" s="274"/>
      <c r="D587" s="274"/>
      <c r="E587" s="274"/>
    </row>
    <row r="588" spans="1:5">
      <c r="A588" s="274"/>
      <c r="B588" s="274"/>
      <c r="C588" s="274"/>
      <c r="D588" s="274"/>
      <c r="E588" s="274"/>
    </row>
    <row r="589" spans="1:5">
      <c r="A589" s="274"/>
      <c r="B589" s="274"/>
      <c r="C589" s="274"/>
      <c r="D589" s="274"/>
      <c r="E589" s="274"/>
    </row>
    <row r="590" spans="1:5">
      <c r="A590" s="274"/>
      <c r="B590" s="274"/>
      <c r="C590" s="274"/>
      <c r="D590" s="274"/>
      <c r="E590" s="274"/>
    </row>
    <row r="591" spans="1:5">
      <c r="A591" s="274"/>
      <c r="B591" s="274"/>
      <c r="C591" s="274"/>
      <c r="D591" s="274"/>
      <c r="E591" s="274"/>
    </row>
    <row r="592" spans="1:5">
      <c r="A592" s="274"/>
      <c r="B592" s="274"/>
      <c r="C592" s="274"/>
      <c r="D592" s="274"/>
      <c r="E592" s="274"/>
    </row>
    <row r="593" spans="1:5">
      <c r="A593" s="274"/>
      <c r="B593" s="274"/>
      <c r="C593" s="274"/>
      <c r="D593" s="274"/>
      <c r="E593" s="274"/>
    </row>
    <row r="594" spans="1:5">
      <c r="A594" s="274"/>
      <c r="B594" s="274"/>
      <c r="C594" s="274"/>
      <c r="D594" s="274"/>
      <c r="E594" s="274"/>
    </row>
    <row r="595" spans="1:5">
      <c r="A595" s="274"/>
      <c r="B595" s="274"/>
      <c r="C595" s="274"/>
      <c r="D595" s="274"/>
      <c r="E595" s="274"/>
    </row>
    <row r="596" spans="1:5">
      <c r="A596" s="274"/>
      <c r="B596" s="274"/>
      <c r="C596" s="274"/>
      <c r="D596" s="274"/>
      <c r="E596" s="274"/>
    </row>
    <row r="597" spans="1:5">
      <c r="A597" s="274"/>
      <c r="B597" s="274"/>
      <c r="C597" s="274"/>
      <c r="D597" s="274"/>
      <c r="E597" s="274"/>
    </row>
    <row r="598" spans="1:5">
      <c r="A598" s="274"/>
      <c r="B598" s="274"/>
      <c r="C598" s="274"/>
      <c r="D598" s="274"/>
      <c r="E598" s="274"/>
    </row>
    <row r="599" spans="1:5">
      <c r="A599" s="274"/>
      <c r="B599" s="274"/>
      <c r="C599" s="274"/>
      <c r="D599" s="274"/>
      <c r="E599" s="274"/>
    </row>
    <row r="600" spans="1:5">
      <c r="A600" s="274"/>
      <c r="B600" s="274"/>
      <c r="C600" s="274"/>
      <c r="D600" s="274"/>
      <c r="E600" s="274"/>
    </row>
    <row r="601" spans="1:5">
      <c r="A601" s="274"/>
      <c r="B601" s="274"/>
      <c r="C601" s="274"/>
      <c r="D601" s="274"/>
      <c r="E601" s="274"/>
    </row>
    <row r="602" spans="1:5">
      <c r="A602" s="274"/>
      <c r="B602" s="274"/>
      <c r="C602" s="274"/>
      <c r="D602" s="274"/>
      <c r="E602" s="274"/>
    </row>
    <row r="603" spans="1:5">
      <c r="A603" s="274"/>
      <c r="B603" s="274"/>
      <c r="C603" s="274"/>
      <c r="D603" s="274"/>
      <c r="E603" s="274"/>
    </row>
    <row r="604" spans="1:5">
      <c r="A604" s="274"/>
      <c r="B604" s="274"/>
      <c r="C604" s="274"/>
      <c r="D604" s="274"/>
      <c r="E604" s="274"/>
    </row>
    <row r="605" spans="1:5">
      <c r="A605" s="274"/>
      <c r="B605" s="274"/>
      <c r="C605" s="274"/>
      <c r="D605" s="274"/>
      <c r="E605" s="274"/>
    </row>
    <row r="606" spans="1:5">
      <c r="A606" s="274"/>
      <c r="B606" s="274"/>
      <c r="C606" s="274"/>
      <c r="D606" s="274"/>
      <c r="E606" s="274"/>
    </row>
    <row r="607" spans="1:5">
      <c r="A607" s="274"/>
      <c r="B607" s="274"/>
      <c r="C607" s="274"/>
      <c r="D607" s="274"/>
      <c r="E607" s="274"/>
    </row>
    <row r="608" spans="1:5">
      <c r="A608" s="274"/>
      <c r="B608" s="274"/>
      <c r="C608" s="274"/>
      <c r="D608" s="274"/>
      <c r="E608" s="274"/>
    </row>
    <row r="609" spans="1:5">
      <c r="A609" s="274"/>
      <c r="B609" s="274"/>
      <c r="C609" s="274"/>
      <c r="D609" s="274"/>
      <c r="E609" s="274"/>
    </row>
    <row r="610" spans="1:5">
      <c r="A610" s="274"/>
      <c r="B610" s="274"/>
      <c r="C610" s="274"/>
      <c r="D610" s="274"/>
      <c r="E610" s="274"/>
    </row>
    <row r="611" spans="1:5">
      <c r="A611" s="274"/>
      <c r="B611" s="274"/>
      <c r="C611" s="274"/>
      <c r="D611" s="274"/>
      <c r="E611" s="274"/>
    </row>
    <row r="612" spans="1:5">
      <c r="A612" s="274"/>
      <c r="B612" s="274"/>
      <c r="C612" s="274"/>
      <c r="D612" s="274"/>
      <c r="E612" s="274"/>
    </row>
    <row r="613" spans="1:5">
      <c r="A613" s="274"/>
      <c r="B613" s="274"/>
      <c r="C613" s="274"/>
      <c r="D613" s="274"/>
      <c r="E613" s="274"/>
    </row>
    <row r="614" spans="1:5">
      <c r="A614" s="274"/>
      <c r="B614" s="274"/>
      <c r="C614" s="274"/>
      <c r="D614" s="274"/>
      <c r="E614" s="274"/>
    </row>
    <row r="615" spans="1:5">
      <c r="A615" s="274"/>
      <c r="B615" s="274"/>
      <c r="C615" s="274"/>
      <c r="D615" s="274"/>
      <c r="E615" s="274"/>
    </row>
    <row r="616" spans="1:5">
      <c r="A616" s="274"/>
      <c r="B616" s="274"/>
      <c r="C616" s="274"/>
      <c r="D616" s="274"/>
      <c r="E616" s="274"/>
    </row>
    <row r="617" spans="1:5">
      <c r="A617" s="274"/>
      <c r="B617" s="274"/>
      <c r="C617" s="274"/>
      <c r="D617" s="274"/>
      <c r="E617" s="274"/>
    </row>
    <row r="618" spans="1:5">
      <c r="A618" s="274"/>
      <c r="B618" s="274"/>
      <c r="C618" s="274"/>
      <c r="D618" s="274"/>
      <c r="E618" s="274"/>
    </row>
    <row r="619" spans="1:5">
      <c r="A619" s="274"/>
      <c r="B619" s="274"/>
      <c r="C619" s="274"/>
      <c r="D619" s="274"/>
      <c r="E619" s="274"/>
    </row>
    <row r="620" spans="1:5">
      <c r="A620" s="274"/>
      <c r="B620" s="274"/>
      <c r="C620" s="274"/>
      <c r="D620" s="274"/>
      <c r="E620" s="274"/>
    </row>
    <row r="621" spans="1:5">
      <c r="A621" s="274"/>
      <c r="B621" s="274"/>
      <c r="C621" s="274"/>
      <c r="D621" s="274"/>
      <c r="E621" s="274"/>
    </row>
    <row r="622" spans="1:5">
      <c r="A622" s="274"/>
      <c r="B622" s="274"/>
      <c r="C622" s="274"/>
      <c r="D622" s="274"/>
      <c r="E622" s="274"/>
    </row>
    <row r="623" spans="1:5">
      <c r="A623" s="274"/>
      <c r="B623" s="274"/>
      <c r="C623" s="274"/>
      <c r="D623" s="274"/>
      <c r="E623" s="274"/>
    </row>
    <row r="624" spans="1:5">
      <c r="A624" s="274"/>
      <c r="B624" s="274"/>
      <c r="C624" s="274"/>
      <c r="D624" s="274"/>
      <c r="E624" s="274"/>
    </row>
    <row r="625" spans="1:5">
      <c r="A625" s="274"/>
      <c r="B625" s="274"/>
      <c r="C625" s="274"/>
      <c r="D625" s="274"/>
      <c r="E625" s="274"/>
    </row>
    <row r="626" spans="1:5">
      <c r="A626" s="274"/>
      <c r="B626" s="274"/>
      <c r="C626" s="274"/>
      <c r="D626" s="274"/>
      <c r="E626" s="274"/>
    </row>
    <row r="627" spans="1:5">
      <c r="A627" s="274"/>
      <c r="B627" s="274"/>
      <c r="C627" s="274"/>
      <c r="D627" s="274"/>
      <c r="E627" s="274"/>
    </row>
    <row r="628" spans="1:5">
      <c r="A628" s="274"/>
      <c r="B628" s="274"/>
      <c r="C628" s="274"/>
      <c r="D628" s="274"/>
      <c r="E628" s="274"/>
    </row>
    <row r="629" spans="1:5">
      <c r="A629" s="274"/>
      <c r="B629" s="274"/>
      <c r="C629" s="274"/>
      <c r="D629" s="274"/>
      <c r="E629" s="274"/>
    </row>
    <row r="630" spans="1:5">
      <c r="A630" s="274"/>
      <c r="B630" s="274"/>
      <c r="C630" s="274"/>
      <c r="D630" s="274"/>
      <c r="E630" s="274"/>
    </row>
    <row r="631" spans="1:5">
      <c r="A631" s="274"/>
      <c r="B631" s="274"/>
      <c r="C631" s="274"/>
      <c r="D631" s="274"/>
      <c r="E631" s="274"/>
    </row>
    <row r="632" spans="1:5">
      <c r="A632" s="274"/>
      <c r="B632" s="274"/>
      <c r="C632" s="274"/>
      <c r="D632" s="274"/>
      <c r="E632" s="274"/>
    </row>
    <row r="633" spans="1:5">
      <c r="A633" s="274"/>
      <c r="B633" s="274"/>
      <c r="C633" s="274"/>
      <c r="D633" s="274"/>
      <c r="E633" s="274"/>
    </row>
    <row r="634" spans="1:5">
      <c r="A634" s="274"/>
      <c r="B634" s="274"/>
      <c r="C634" s="274"/>
      <c r="D634" s="274"/>
      <c r="E634" s="274"/>
    </row>
    <row r="635" spans="1:5">
      <c r="A635" s="274"/>
      <c r="B635" s="274"/>
      <c r="C635" s="274"/>
      <c r="D635" s="274"/>
      <c r="E635" s="274"/>
    </row>
    <row r="636" spans="1:5">
      <c r="A636" s="274"/>
      <c r="B636" s="274"/>
      <c r="C636" s="274"/>
      <c r="D636" s="274"/>
      <c r="E636" s="274"/>
    </row>
    <row r="637" spans="1:5">
      <c r="A637" s="274"/>
      <c r="B637" s="274"/>
      <c r="C637" s="274"/>
      <c r="D637" s="274"/>
      <c r="E637" s="274"/>
    </row>
    <row r="638" spans="1:5">
      <c r="A638" s="274"/>
      <c r="B638" s="274"/>
      <c r="C638" s="274"/>
      <c r="D638" s="274"/>
      <c r="E638" s="274"/>
    </row>
    <row r="639" spans="1:5">
      <c r="A639" s="274"/>
      <c r="B639" s="274"/>
      <c r="C639" s="274"/>
      <c r="D639" s="274"/>
      <c r="E639" s="274"/>
    </row>
    <row r="640" spans="1:5">
      <c r="A640" s="274"/>
      <c r="B640" s="274"/>
      <c r="C640" s="274"/>
      <c r="D640" s="274"/>
      <c r="E640" s="274"/>
    </row>
    <row r="641" spans="1:5">
      <c r="A641" s="274"/>
      <c r="B641" s="274"/>
      <c r="C641" s="274"/>
      <c r="D641" s="274"/>
      <c r="E641" s="274"/>
    </row>
    <row r="642" spans="1:5">
      <c r="A642" s="274"/>
      <c r="B642" s="274"/>
      <c r="C642" s="274"/>
      <c r="D642" s="274"/>
      <c r="E642" s="274"/>
    </row>
    <row r="643" spans="1:5">
      <c r="A643" s="274"/>
      <c r="B643" s="274"/>
      <c r="C643" s="274"/>
      <c r="D643" s="274"/>
      <c r="E643" s="274"/>
    </row>
    <row r="644" spans="1:5">
      <c r="A644" s="274"/>
      <c r="B644" s="274"/>
      <c r="C644" s="274"/>
      <c r="D644" s="274"/>
      <c r="E644" s="274"/>
    </row>
    <row r="645" spans="1:5">
      <c r="A645" s="274"/>
      <c r="B645" s="274"/>
      <c r="C645" s="274"/>
      <c r="D645" s="274"/>
      <c r="E645" s="274"/>
    </row>
    <row r="646" spans="1:5">
      <c r="A646" s="274"/>
      <c r="B646" s="274"/>
      <c r="C646" s="274"/>
      <c r="D646" s="274"/>
      <c r="E646" s="274"/>
    </row>
    <row r="647" spans="1:5">
      <c r="A647" s="274"/>
      <c r="B647" s="274"/>
      <c r="C647" s="274"/>
      <c r="D647" s="274"/>
      <c r="E647" s="274"/>
    </row>
    <row r="648" spans="1:5">
      <c r="A648" s="274"/>
      <c r="B648" s="274"/>
      <c r="C648" s="274"/>
      <c r="D648" s="274"/>
      <c r="E648" s="274"/>
    </row>
    <row r="649" spans="1:5">
      <c r="A649" s="274"/>
      <c r="B649" s="274"/>
      <c r="C649" s="274"/>
      <c r="D649" s="274"/>
      <c r="E649" s="274"/>
    </row>
    <row r="650" spans="1:5">
      <c r="A650" s="274"/>
      <c r="B650" s="274"/>
      <c r="C650" s="274"/>
      <c r="D650" s="274"/>
      <c r="E650" s="274"/>
    </row>
    <row r="651" spans="1:5">
      <c r="A651" s="274"/>
      <c r="B651" s="274"/>
      <c r="C651" s="274"/>
      <c r="D651" s="274"/>
      <c r="E651" s="274"/>
    </row>
    <row r="652" spans="1:5">
      <c r="A652" s="274"/>
      <c r="B652" s="274"/>
      <c r="C652" s="274"/>
      <c r="D652" s="274"/>
      <c r="E652" s="274"/>
    </row>
    <row r="653" spans="1:5">
      <c r="A653" s="274"/>
      <c r="B653" s="274"/>
      <c r="C653" s="274"/>
      <c r="D653" s="274"/>
      <c r="E653" s="274"/>
    </row>
    <row r="654" spans="1:5">
      <c r="A654" s="274"/>
      <c r="B654" s="274"/>
      <c r="C654" s="274"/>
      <c r="D654" s="274"/>
      <c r="E654" s="274"/>
    </row>
    <row r="655" spans="1:5">
      <c r="A655" s="274"/>
      <c r="B655" s="274"/>
      <c r="C655" s="274"/>
      <c r="D655" s="274"/>
      <c r="E655" s="274"/>
    </row>
    <row r="656" spans="1:5">
      <c r="A656" s="274"/>
      <c r="B656" s="274"/>
      <c r="C656" s="274"/>
      <c r="D656" s="274"/>
      <c r="E656" s="274"/>
    </row>
    <row r="657" spans="1:5">
      <c r="A657" s="274"/>
      <c r="B657" s="274"/>
      <c r="C657" s="274"/>
      <c r="D657" s="274"/>
      <c r="E657" s="274"/>
    </row>
    <row r="658" spans="1:5">
      <c r="A658" s="274"/>
      <c r="B658" s="274"/>
      <c r="C658" s="274"/>
      <c r="D658" s="274"/>
      <c r="E658" s="274"/>
    </row>
    <row r="659" spans="1:5">
      <c r="A659" s="274"/>
      <c r="B659" s="274"/>
      <c r="C659" s="274"/>
      <c r="D659" s="274"/>
      <c r="E659" s="274"/>
    </row>
    <row r="660" spans="1:5">
      <c r="A660" s="274"/>
      <c r="B660" s="274"/>
      <c r="C660" s="274"/>
      <c r="D660" s="274"/>
      <c r="E660" s="274"/>
    </row>
    <row r="661" spans="1:5">
      <c r="A661" s="274"/>
      <c r="B661" s="274"/>
      <c r="C661" s="274"/>
      <c r="D661" s="274"/>
      <c r="E661" s="274"/>
    </row>
    <row r="662" spans="1:5">
      <c r="A662" s="274"/>
      <c r="B662" s="274"/>
      <c r="C662" s="274"/>
      <c r="D662" s="274"/>
      <c r="E662" s="274"/>
    </row>
    <row r="663" spans="1:5">
      <c r="A663" s="274"/>
      <c r="B663" s="274"/>
      <c r="C663" s="274"/>
      <c r="D663" s="274"/>
      <c r="E663" s="274"/>
    </row>
    <row r="664" spans="1:5">
      <c r="A664" s="274"/>
      <c r="B664" s="274"/>
      <c r="C664" s="274"/>
      <c r="D664" s="274"/>
      <c r="E664" s="274"/>
    </row>
    <row r="665" spans="1:5">
      <c r="A665" s="274"/>
      <c r="B665" s="274"/>
      <c r="C665" s="274"/>
      <c r="D665" s="274"/>
      <c r="E665" s="274"/>
    </row>
    <row r="666" spans="1:5">
      <c r="A666" s="274"/>
      <c r="B666" s="274"/>
      <c r="C666" s="274"/>
      <c r="D666" s="274"/>
      <c r="E666" s="274"/>
    </row>
    <row r="667" spans="1:5">
      <c r="A667" s="274"/>
      <c r="B667" s="274"/>
      <c r="C667" s="274"/>
      <c r="D667" s="274"/>
      <c r="E667" s="274"/>
    </row>
    <row r="668" spans="1:5">
      <c r="A668" s="274"/>
      <c r="B668" s="274"/>
      <c r="C668" s="274"/>
      <c r="D668" s="274"/>
      <c r="E668" s="274"/>
    </row>
    <row r="669" spans="1:5">
      <c r="A669" s="274"/>
      <c r="B669" s="274"/>
      <c r="C669" s="274"/>
      <c r="D669" s="274"/>
      <c r="E669" s="274"/>
    </row>
    <row r="670" spans="1:5">
      <c r="A670" s="274"/>
      <c r="B670" s="274"/>
      <c r="C670" s="274"/>
      <c r="D670" s="274"/>
      <c r="E670" s="274"/>
    </row>
    <row r="671" spans="1:5">
      <c r="A671" s="274"/>
      <c r="B671" s="274"/>
      <c r="C671" s="274"/>
      <c r="D671" s="274"/>
      <c r="E671" s="274"/>
    </row>
    <row r="672" spans="1:5">
      <c r="A672" s="274"/>
      <c r="B672" s="274"/>
      <c r="C672" s="274"/>
      <c r="D672" s="274"/>
      <c r="E672" s="274"/>
    </row>
    <row r="673" spans="1:5">
      <c r="A673" s="274"/>
      <c r="B673" s="274"/>
      <c r="C673" s="274"/>
      <c r="D673" s="274"/>
      <c r="E673" s="274"/>
    </row>
    <row r="674" spans="1:5">
      <c r="A674" s="274"/>
      <c r="B674" s="274"/>
      <c r="C674" s="274"/>
      <c r="D674" s="274"/>
      <c r="E674" s="274"/>
    </row>
    <row r="675" spans="1:5">
      <c r="A675" s="274"/>
      <c r="B675" s="274"/>
      <c r="C675" s="274"/>
      <c r="D675" s="274"/>
      <c r="E675" s="274"/>
    </row>
    <row r="676" spans="1:5">
      <c r="A676" s="274"/>
      <c r="B676" s="274"/>
      <c r="C676" s="274"/>
      <c r="D676" s="274"/>
      <c r="E676" s="274"/>
    </row>
    <row r="677" spans="1:5">
      <c r="A677" s="274"/>
      <c r="B677" s="274"/>
      <c r="C677" s="274"/>
      <c r="D677" s="274"/>
      <c r="E677" s="274"/>
    </row>
    <row r="678" spans="1:5">
      <c r="A678" s="274"/>
      <c r="B678" s="274"/>
      <c r="C678" s="274"/>
      <c r="D678" s="274"/>
      <c r="E678" s="274"/>
    </row>
    <row r="679" spans="1:5">
      <c r="A679" s="274"/>
      <c r="B679" s="274"/>
      <c r="C679" s="274"/>
      <c r="D679" s="274"/>
      <c r="E679" s="274"/>
    </row>
    <row r="680" spans="1:5">
      <c r="A680" s="274"/>
      <c r="B680" s="274"/>
      <c r="C680" s="274"/>
      <c r="D680" s="274"/>
      <c r="E680" s="274"/>
    </row>
    <row r="681" spans="1:5">
      <c r="A681" s="274"/>
      <c r="B681" s="274"/>
      <c r="C681" s="274"/>
      <c r="D681" s="274"/>
      <c r="E681" s="274"/>
    </row>
    <row r="682" spans="1:5">
      <c r="A682" s="274"/>
      <c r="B682" s="274"/>
      <c r="C682" s="274"/>
      <c r="D682" s="274"/>
      <c r="E682" s="274"/>
    </row>
    <row r="683" spans="1:5">
      <c r="A683" s="274"/>
      <c r="B683" s="274"/>
      <c r="C683" s="274"/>
      <c r="D683" s="274"/>
      <c r="E683" s="274"/>
    </row>
    <row r="684" spans="1:5">
      <c r="A684" s="274"/>
      <c r="B684" s="274"/>
      <c r="C684" s="274"/>
      <c r="D684" s="274"/>
      <c r="E684" s="274"/>
    </row>
    <row r="685" spans="1:5">
      <c r="A685" s="274"/>
      <c r="B685" s="274"/>
      <c r="C685" s="274"/>
      <c r="D685" s="274"/>
      <c r="E685" s="274"/>
    </row>
    <row r="686" spans="1:5">
      <c r="A686" s="274"/>
      <c r="B686" s="274"/>
      <c r="C686" s="274"/>
      <c r="D686" s="274"/>
      <c r="E686" s="274"/>
    </row>
    <row r="687" spans="1:5">
      <c r="A687" s="274"/>
      <c r="B687" s="274"/>
      <c r="C687" s="274"/>
      <c r="D687" s="274"/>
      <c r="E687" s="274"/>
    </row>
    <row r="688" spans="1:5">
      <c r="A688" s="274"/>
      <c r="B688" s="274"/>
      <c r="C688" s="274"/>
      <c r="D688" s="274"/>
      <c r="E688" s="274"/>
    </row>
    <row r="689" spans="1:5">
      <c r="A689" s="274"/>
      <c r="B689" s="274"/>
      <c r="C689" s="274"/>
      <c r="D689" s="274"/>
      <c r="E689" s="274"/>
    </row>
    <row r="690" spans="1:5">
      <c r="A690" s="274"/>
      <c r="B690" s="274"/>
      <c r="C690" s="274"/>
      <c r="D690" s="274"/>
      <c r="E690" s="274"/>
    </row>
    <row r="691" spans="1:5">
      <c r="A691" s="274"/>
      <c r="B691" s="274"/>
      <c r="C691" s="274"/>
      <c r="D691" s="274"/>
      <c r="E691" s="274"/>
    </row>
    <row r="692" spans="1:5">
      <c r="A692" s="274"/>
      <c r="B692" s="274"/>
      <c r="C692" s="274"/>
      <c r="D692" s="274"/>
      <c r="E692" s="274"/>
    </row>
    <row r="693" spans="1:5">
      <c r="A693" s="274"/>
      <c r="B693" s="274"/>
      <c r="C693" s="274"/>
      <c r="D693" s="274"/>
      <c r="E693" s="274"/>
    </row>
    <row r="694" spans="1:5">
      <c r="A694" s="274"/>
      <c r="B694" s="274"/>
      <c r="C694" s="274"/>
      <c r="D694" s="274"/>
      <c r="E694" s="274"/>
    </row>
    <row r="695" spans="1:5">
      <c r="A695" s="274"/>
      <c r="B695" s="274"/>
      <c r="C695" s="274"/>
      <c r="D695" s="274"/>
      <c r="E695" s="274"/>
    </row>
    <row r="696" spans="1:5">
      <c r="A696" s="274"/>
      <c r="B696" s="274"/>
      <c r="C696" s="274"/>
      <c r="D696" s="274"/>
      <c r="E696" s="274"/>
    </row>
    <row r="697" spans="1:5">
      <c r="A697" s="274"/>
      <c r="B697" s="274"/>
      <c r="C697" s="274"/>
      <c r="D697" s="274"/>
      <c r="E697" s="274"/>
    </row>
    <row r="698" spans="1:5">
      <c r="A698" s="274"/>
      <c r="B698" s="274"/>
      <c r="C698" s="274"/>
      <c r="D698" s="274"/>
      <c r="E698" s="274"/>
    </row>
    <row r="699" spans="1:5">
      <c r="A699" s="274"/>
      <c r="B699" s="274"/>
      <c r="C699" s="274"/>
      <c r="D699" s="274"/>
      <c r="E699" s="274"/>
    </row>
    <row r="700" spans="1:5">
      <c r="A700" s="274"/>
      <c r="B700" s="274"/>
      <c r="C700" s="274"/>
      <c r="D700" s="274"/>
      <c r="E700" s="274"/>
    </row>
    <row r="701" spans="1:5">
      <c r="A701" s="274"/>
      <c r="B701" s="274"/>
      <c r="C701" s="274"/>
      <c r="D701" s="274"/>
      <c r="E701" s="274"/>
    </row>
    <row r="702" spans="1:5">
      <c r="A702" s="274"/>
      <c r="B702" s="274"/>
      <c r="C702" s="274"/>
      <c r="D702" s="274"/>
      <c r="E702" s="274"/>
    </row>
    <row r="703" spans="1:5">
      <c r="A703" s="274"/>
      <c r="B703" s="274"/>
      <c r="C703" s="274"/>
      <c r="D703" s="274"/>
      <c r="E703" s="274"/>
    </row>
    <row r="704" spans="1:5">
      <c r="A704" s="274"/>
      <c r="B704" s="274"/>
      <c r="C704" s="274"/>
      <c r="D704" s="274"/>
      <c r="E704" s="274"/>
    </row>
    <row r="705" spans="1:5">
      <c r="A705" s="274"/>
      <c r="B705" s="274"/>
      <c r="C705" s="274"/>
      <c r="D705" s="274"/>
      <c r="E705" s="274"/>
    </row>
    <row r="706" spans="1:5">
      <c r="A706" s="274"/>
      <c r="B706" s="274"/>
      <c r="C706" s="274"/>
      <c r="D706" s="274"/>
      <c r="E706" s="274"/>
    </row>
    <row r="707" spans="1:5">
      <c r="A707" s="274"/>
      <c r="B707" s="274"/>
      <c r="C707" s="274"/>
      <c r="D707" s="274"/>
      <c r="E707" s="274"/>
    </row>
    <row r="708" spans="1:5">
      <c r="A708" s="274"/>
      <c r="B708" s="274"/>
      <c r="C708" s="274"/>
      <c r="D708" s="274"/>
      <c r="E708" s="274"/>
    </row>
    <row r="709" spans="1:5">
      <c r="A709" s="274"/>
      <c r="B709" s="274"/>
      <c r="C709" s="274"/>
      <c r="D709" s="274"/>
      <c r="E709" s="274"/>
    </row>
    <row r="710" spans="1:5">
      <c r="A710" s="274"/>
      <c r="B710" s="274"/>
      <c r="C710" s="274"/>
      <c r="D710" s="274"/>
      <c r="E710" s="274"/>
    </row>
    <row r="711" spans="1:5">
      <c r="A711" s="274"/>
      <c r="B711" s="274"/>
      <c r="C711" s="274"/>
      <c r="D711" s="274"/>
      <c r="E711" s="274"/>
    </row>
    <row r="712" spans="1:5">
      <c r="A712" s="274"/>
      <c r="B712" s="274"/>
      <c r="C712" s="274"/>
      <c r="D712" s="274"/>
      <c r="E712" s="274"/>
    </row>
    <row r="713" spans="1:5">
      <c r="A713" s="274"/>
      <c r="B713" s="274"/>
      <c r="C713" s="274"/>
      <c r="D713" s="274"/>
      <c r="E713" s="274"/>
    </row>
    <row r="714" spans="1:5">
      <c r="A714" s="274"/>
      <c r="B714" s="274"/>
      <c r="C714" s="274"/>
      <c r="D714" s="274"/>
      <c r="E714" s="274"/>
    </row>
    <row r="715" spans="1:5">
      <c r="A715" s="274"/>
      <c r="B715" s="274"/>
      <c r="C715" s="274"/>
      <c r="D715" s="274"/>
      <c r="E715" s="274"/>
    </row>
    <row r="716" spans="1:5">
      <c r="A716" s="274"/>
      <c r="B716" s="274"/>
      <c r="C716" s="274"/>
      <c r="D716" s="274"/>
      <c r="E716" s="274"/>
    </row>
    <row r="717" spans="1:5">
      <c r="A717" s="274"/>
      <c r="B717" s="274"/>
      <c r="C717" s="274"/>
      <c r="D717" s="274"/>
      <c r="E717" s="274"/>
    </row>
    <row r="718" spans="1:5">
      <c r="A718" s="274"/>
      <c r="B718" s="274"/>
      <c r="C718" s="274"/>
      <c r="D718" s="274"/>
      <c r="E718" s="274"/>
    </row>
    <row r="719" spans="1:5">
      <c r="A719" s="274"/>
      <c r="B719" s="274"/>
      <c r="C719" s="274"/>
      <c r="D719" s="274"/>
      <c r="E719" s="274"/>
    </row>
    <row r="720" spans="1:5">
      <c r="A720" s="274"/>
      <c r="B720" s="274"/>
      <c r="C720" s="274"/>
      <c r="D720" s="274"/>
      <c r="E720" s="274"/>
    </row>
    <row r="721" spans="1:5">
      <c r="A721" s="274"/>
      <c r="B721" s="274"/>
      <c r="C721" s="274"/>
      <c r="D721" s="274"/>
      <c r="E721" s="274"/>
    </row>
    <row r="722" spans="1:5">
      <c r="A722" s="274"/>
      <c r="B722" s="274"/>
      <c r="C722" s="274"/>
      <c r="D722" s="274"/>
      <c r="E722" s="274"/>
    </row>
    <row r="723" spans="1:5">
      <c r="A723" s="274"/>
      <c r="B723" s="274"/>
      <c r="C723" s="274"/>
      <c r="D723" s="274"/>
      <c r="E723" s="274"/>
    </row>
    <row r="724" spans="1:5">
      <c r="A724" s="274"/>
      <c r="B724" s="274"/>
      <c r="C724" s="274"/>
      <c r="D724" s="274"/>
      <c r="E724" s="274"/>
    </row>
    <row r="725" spans="1:5">
      <c r="A725" s="274"/>
      <c r="B725" s="274"/>
      <c r="C725" s="274"/>
      <c r="D725" s="274"/>
      <c r="E725" s="274"/>
    </row>
    <row r="726" spans="1:5">
      <c r="A726" s="274"/>
      <c r="B726" s="274"/>
      <c r="C726" s="274"/>
      <c r="D726" s="274"/>
      <c r="E726" s="274"/>
    </row>
    <row r="727" spans="1:5">
      <c r="A727" s="274"/>
      <c r="B727" s="274"/>
      <c r="C727" s="274"/>
      <c r="D727" s="274"/>
      <c r="E727" s="274"/>
    </row>
    <row r="728" spans="1:5">
      <c r="A728" s="274"/>
      <c r="B728" s="274"/>
      <c r="C728" s="274"/>
      <c r="D728" s="274"/>
      <c r="E728" s="274"/>
    </row>
    <row r="729" spans="1:5">
      <c r="A729" s="274"/>
      <c r="B729" s="274"/>
      <c r="C729" s="274"/>
      <c r="D729" s="274"/>
      <c r="E729" s="274"/>
    </row>
    <row r="730" spans="1:5">
      <c r="A730" s="274"/>
      <c r="B730" s="274"/>
      <c r="C730" s="274"/>
      <c r="D730" s="274"/>
      <c r="E730" s="274"/>
    </row>
    <row r="731" spans="1:5">
      <c r="A731" s="274"/>
      <c r="B731" s="274"/>
      <c r="C731" s="274"/>
      <c r="D731" s="274"/>
      <c r="E731" s="274"/>
    </row>
    <row r="732" spans="1:5">
      <c r="A732" s="274"/>
      <c r="B732" s="274"/>
      <c r="C732" s="274"/>
      <c r="D732" s="274"/>
      <c r="E732" s="274"/>
    </row>
    <row r="733" spans="1:5">
      <c r="A733" s="274"/>
      <c r="B733" s="274"/>
      <c r="C733" s="274"/>
      <c r="D733" s="274"/>
      <c r="E733" s="274"/>
    </row>
    <row r="734" spans="1:5">
      <c r="A734" s="274"/>
      <c r="B734" s="274"/>
      <c r="C734" s="274"/>
      <c r="D734" s="274"/>
      <c r="E734" s="274"/>
    </row>
    <row r="735" spans="1:5">
      <c r="A735" s="274"/>
      <c r="B735" s="274"/>
      <c r="C735" s="274"/>
      <c r="D735" s="274"/>
      <c r="E735" s="274"/>
    </row>
    <row r="736" spans="1:5">
      <c r="A736" s="274"/>
      <c r="B736" s="274"/>
      <c r="C736" s="274"/>
      <c r="D736" s="274"/>
      <c r="E736" s="274"/>
    </row>
    <row r="737" spans="1:5">
      <c r="A737" s="274"/>
      <c r="B737" s="274"/>
      <c r="C737" s="274"/>
      <c r="D737" s="274"/>
      <c r="E737" s="274"/>
    </row>
    <row r="738" spans="1:5">
      <c r="A738" s="274"/>
      <c r="B738" s="274"/>
      <c r="C738" s="274"/>
      <c r="D738" s="274"/>
      <c r="E738" s="274"/>
    </row>
    <row r="739" spans="1:5">
      <c r="A739" s="274"/>
      <c r="B739" s="274"/>
      <c r="C739" s="274"/>
      <c r="D739" s="274"/>
      <c r="E739" s="274"/>
    </row>
    <row r="740" spans="1:5">
      <c r="A740" s="274"/>
      <c r="B740" s="274"/>
      <c r="C740" s="274"/>
      <c r="D740" s="274"/>
      <c r="E740" s="274"/>
    </row>
    <row r="741" spans="1:5">
      <c r="A741" s="274"/>
      <c r="B741" s="274"/>
      <c r="C741" s="274"/>
      <c r="D741" s="274"/>
      <c r="E741" s="274"/>
    </row>
    <row r="742" spans="1:5">
      <c r="A742" s="274"/>
      <c r="B742" s="274"/>
      <c r="C742" s="274"/>
      <c r="D742" s="274"/>
      <c r="E742" s="274"/>
    </row>
    <row r="743" spans="1:5">
      <c r="A743" s="274"/>
      <c r="B743" s="274"/>
      <c r="C743" s="274"/>
      <c r="D743" s="274"/>
      <c r="E743" s="274"/>
    </row>
    <row r="744" spans="1:5">
      <c r="A744" s="274"/>
      <c r="B744" s="274"/>
      <c r="C744" s="274"/>
      <c r="D744" s="274"/>
      <c r="E744" s="274"/>
    </row>
    <row r="745" spans="1:5">
      <c r="A745" s="274"/>
      <c r="B745" s="274"/>
      <c r="C745" s="274"/>
      <c r="D745" s="274"/>
      <c r="E745" s="274"/>
    </row>
    <row r="746" spans="1:5">
      <c r="A746" s="274"/>
      <c r="B746" s="274"/>
      <c r="C746" s="274"/>
      <c r="D746" s="274"/>
      <c r="E746" s="274"/>
    </row>
    <row r="747" spans="1:5">
      <c r="A747" s="274"/>
      <c r="B747" s="274"/>
      <c r="C747" s="274"/>
      <c r="D747" s="274"/>
      <c r="E747" s="274"/>
    </row>
    <row r="748" spans="1:5">
      <c r="A748" s="274"/>
      <c r="B748" s="274"/>
      <c r="C748" s="274"/>
      <c r="D748" s="274"/>
      <c r="E748" s="274"/>
    </row>
    <row r="749" spans="1:5">
      <c r="A749" s="274"/>
      <c r="B749" s="274"/>
      <c r="C749" s="274"/>
      <c r="D749" s="274"/>
      <c r="E749" s="274"/>
    </row>
    <row r="750" spans="1:5">
      <c r="A750" s="274"/>
      <c r="B750" s="274"/>
      <c r="C750" s="274"/>
      <c r="D750" s="274"/>
      <c r="E750" s="274"/>
    </row>
    <row r="751" spans="1:5">
      <c r="A751" s="274"/>
      <c r="B751" s="274"/>
      <c r="C751" s="274"/>
      <c r="D751" s="274"/>
      <c r="E751" s="274"/>
    </row>
    <row r="752" spans="1:5">
      <c r="A752" s="274"/>
      <c r="B752" s="274"/>
      <c r="C752" s="274"/>
      <c r="D752" s="274"/>
      <c r="E752" s="274"/>
    </row>
    <row r="753" spans="1:5">
      <c r="A753" s="274"/>
      <c r="B753" s="274"/>
      <c r="C753" s="274"/>
      <c r="D753" s="274"/>
      <c r="E753" s="274"/>
    </row>
    <row r="754" spans="1:5">
      <c r="A754" s="274"/>
      <c r="B754" s="274"/>
      <c r="C754" s="274"/>
      <c r="D754" s="274"/>
      <c r="E754" s="274"/>
    </row>
    <row r="755" spans="1:5">
      <c r="A755" s="274"/>
      <c r="B755" s="274"/>
      <c r="C755" s="274"/>
      <c r="D755" s="274"/>
      <c r="E755" s="274"/>
    </row>
    <row r="756" spans="1:5">
      <c r="A756" s="274"/>
      <c r="B756" s="274"/>
      <c r="C756" s="274"/>
      <c r="D756" s="274"/>
      <c r="E756" s="274"/>
    </row>
    <row r="757" spans="1:5">
      <c r="A757" s="274"/>
      <c r="B757" s="274"/>
      <c r="C757" s="274"/>
      <c r="D757" s="274"/>
      <c r="E757" s="274"/>
    </row>
    <row r="758" spans="1:5">
      <c r="A758" s="274"/>
      <c r="B758" s="274"/>
      <c r="C758" s="274"/>
      <c r="D758" s="274"/>
      <c r="E758" s="274"/>
    </row>
    <row r="759" spans="1:5">
      <c r="A759" s="274"/>
      <c r="B759" s="274"/>
      <c r="C759" s="274"/>
      <c r="D759" s="274"/>
      <c r="E759" s="274"/>
    </row>
    <row r="760" spans="1:5">
      <c r="A760" s="274"/>
      <c r="B760" s="274"/>
      <c r="C760" s="274"/>
      <c r="D760" s="274"/>
      <c r="E760" s="274"/>
    </row>
    <row r="761" spans="1:5">
      <c r="A761" s="274"/>
      <c r="B761" s="274"/>
      <c r="C761" s="274"/>
      <c r="D761" s="274"/>
      <c r="E761" s="274"/>
    </row>
    <row r="762" spans="1:5">
      <c r="A762" s="274"/>
      <c r="B762" s="274"/>
      <c r="C762" s="274"/>
      <c r="D762" s="274"/>
      <c r="E762" s="274"/>
    </row>
    <row r="763" spans="1:5">
      <c r="A763" s="274"/>
      <c r="B763" s="274"/>
      <c r="C763" s="274"/>
      <c r="D763" s="274"/>
      <c r="E763" s="274"/>
    </row>
    <row r="764" spans="1:5">
      <c r="A764" s="274"/>
      <c r="B764" s="274"/>
      <c r="C764" s="274"/>
      <c r="D764" s="274"/>
      <c r="E764" s="274"/>
    </row>
    <row r="765" spans="1:5">
      <c r="A765" s="274"/>
      <c r="B765" s="274"/>
      <c r="C765" s="274"/>
      <c r="D765" s="274"/>
      <c r="E765" s="274"/>
    </row>
    <row r="766" spans="1:5">
      <c r="A766" s="274"/>
      <c r="B766" s="274"/>
      <c r="C766" s="274"/>
      <c r="D766" s="274"/>
      <c r="E766" s="274"/>
    </row>
    <row r="767" spans="1:5">
      <c r="A767" s="274"/>
      <c r="B767" s="274"/>
      <c r="C767" s="274"/>
      <c r="D767" s="274"/>
      <c r="E767" s="274"/>
    </row>
    <row r="768" spans="1:5">
      <c r="A768" s="274"/>
      <c r="B768" s="274"/>
      <c r="C768" s="274"/>
      <c r="D768" s="274"/>
      <c r="E768" s="274"/>
    </row>
    <row r="769" spans="1:5">
      <c r="A769" s="274"/>
      <c r="B769" s="274"/>
      <c r="C769" s="274"/>
      <c r="D769" s="274"/>
      <c r="E769" s="274"/>
    </row>
    <row r="770" spans="1:5">
      <c r="A770" s="274"/>
      <c r="B770" s="274"/>
      <c r="C770" s="274"/>
      <c r="D770" s="274"/>
      <c r="E770" s="274"/>
    </row>
    <row r="771" spans="1:5">
      <c r="A771" s="274"/>
      <c r="B771" s="274"/>
      <c r="C771" s="274"/>
      <c r="D771" s="274"/>
      <c r="E771" s="274"/>
    </row>
    <row r="772" spans="1:5">
      <c r="A772" s="274"/>
      <c r="B772" s="274"/>
      <c r="C772" s="274"/>
      <c r="D772" s="274"/>
      <c r="E772" s="274"/>
    </row>
    <row r="773" spans="1:5">
      <c r="A773" s="274"/>
      <c r="B773" s="274"/>
      <c r="C773" s="274"/>
      <c r="D773" s="274"/>
      <c r="E773" s="274"/>
    </row>
    <row r="774" spans="1:5">
      <c r="A774" s="274"/>
      <c r="B774" s="274"/>
      <c r="C774" s="274"/>
      <c r="D774" s="274"/>
      <c r="E774" s="274"/>
    </row>
    <row r="775" spans="1:5">
      <c r="A775" s="274"/>
      <c r="B775" s="274"/>
      <c r="C775" s="274"/>
      <c r="D775" s="274"/>
      <c r="E775" s="274"/>
    </row>
    <row r="776" spans="1:5">
      <c r="A776" s="274"/>
      <c r="B776" s="274"/>
      <c r="C776" s="274"/>
      <c r="D776" s="274"/>
      <c r="E776" s="274"/>
    </row>
    <row r="777" spans="1:5">
      <c r="A777" s="274"/>
      <c r="B777" s="274"/>
      <c r="C777" s="274"/>
      <c r="D777" s="274"/>
      <c r="E777" s="274"/>
    </row>
    <row r="778" spans="1:5">
      <c r="A778" s="274"/>
      <c r="B778" s="274"/>
      <c r="C778" s="274"/>
      <c r="D778" s="274"/>
      <c r="E778" s="274"/>
    </row>
    <row r="779" spans="1:5">
      <c r="A779" s="274"/>
      <c r="B779" s="274"/>
      <c r="C779" s="274"/>
      <c r="D779" s="274"/>
      <c r="E779" s="274"/>
    </row>
    <row r="780" spans="1:5">
      <c r="A780" s="274"/>
      <c r="B780" s="274"/>
      <c r="C780" s="274"/>
      <c r="D780" s="274"/>
      <c r="E780" s="274"/>
    </row>
    <row r="781" spans="1:5">
      <c r="A781" s="274"/>
      <c r="B781" s="274"/>
      <c r="C781" s="274"/>
      <c r="D781" s="274"/>
      <c r="E781" s="274"/>
    </row>
    <row r="782" spans="1:5">
      <c r="A782" s="274"/>
      <c r="B782" s="274"/>
      <c r="C782" s="274"/>
      <c r="D782" s="274"/>
      <c r="E782" s="274"/>
    </row>
    <row r="783" spans="1:5">
      <c r="A783" s="274"/>
      <c r="B783" s="274"/>
      <c r="C783" s="274"/>
      <c r="D783" s="274"/>
      <c r="E783" s="274"/>
    </row>
    <row r="784" spans="1:5">
      <c r="A784" s="274"/>
      <c r="B784" s="274"/>
      <c r="C784" s="274"/>
      <c r="D784" s="274"/>
      <c r="E784" s="274"/>
    </row>
    <row r="785" spans="1:5">
      <c r="A785" s="274"/>
      <c r="B785" s="274"/>
      <c r="C785" s="274"/>
      <c r="D785" s="274"/>
      <c r="E785" s="274"/>
    </row>
    <row r="786" spans="1:5">
      <c r="A786" s="274"/>
      <c r="B786" s="274"/>
      <c r="C786" s="274"/>
      <c r="D786" s="274"/>
      <c r="E786" s="274"/>
    </row>
    <row r="787" spans="1:5">
      <c r="A787" s="274"/>
      <c r="B787" s="274"/>
      <c r="C787" s="274"/>
      <c r="D787" s="274"/>
      <c r="E787" s="274"/>
    </row>
    <row r="788" spans="1:5">
      <c r="A788" s="274"/>
      <c r="B788" s="274"/>
      <c r="C788" s="274"/>
      <c r="D788" s="274"/>
      <c r="E788" s="274"/>
    </row>
    <row r="789" spans="1:5">
      <c r="A789" s="274"/>
      <c r="B789" s="274"/>
      <c r="C789" s="274"/>
      <c r="D789" s="274"/>
      <c r="E789" s="274"/>
    </row>
    <row r="790" spans="1:5">
      <c r="A790" s="274"/>
      <c r="B790" s="274"/>
      <c r="C790" s="274"/>
      <c r="D790" s="274"/>
      <c r="E790" s="274"/>
    </row>
    <row r="791" spans="1:5">
      <c r="A791" s="274"/>
      <c r="B791" s="274"/>
      <c r="C791" s="274"/>
      <c r="D791" s="274"/>
      <c r="E791" s="274"/>
    </row>
    <row r="792" spans="1:5">
      <c r="A792" s="274"/>
      <c r="B792" s="274"/>
      <c r="C792" s="274"/>
      <c r="D792" s="274"/>
      <c r="E792" s="274"/>
    </row>
    <row r="793" spans="1:5">
      <c r="A793" s="274"/>
      <c r="B793" s="274"/>
      <c r="C793" s="274"/>
      <c r="D793" s="274"/>
      <c r="E793" s="274"/>
    </row>
    <row r="794" spans="1:5">
      <c r="A794" s="274"/>
      <c r="B794" s="274"/>
      <c r="C794" s="274"/>
      <c r="D794" s="274"/>
      <c r="E794" s="274"/>
    </row>
    <row r="795" spans="1:5">
      <c r="A795" s="274"/>
      <c r="B795" s="274"/>
      <c r="C795" s="274"/>
      <c r="D795" s="274"/>
      <c r="E795" s="274"/>
    </row>
    <row r="796" spans="1:5">
      <c r="A796" s="274"/>
      <c r="B796" s="274"/>
      <c r="C796" s="274"/>
      <c r="D796" s="274"/>
      <c r="E796" s="274"/>
    </row>
    <row r="797" spans="1:5">
      <c r="A797" s="274"/>
      <c r="B797" s="274"/>
      <c r="C797" s="274"/>
      <c r="D797" s="274"/>
      <c r="E797" s="274"/>
    </row>
    <row r="798" spans="1:5">
      <c r="A798" s="274"/>
      <c r="B798" s="274"/>
      <c r="C798" s="274"/>
      <c r="D798" s="274"/>
      <c r="E798" s="274"/>
    </row>
    <row r="799" spans="1:5">
      <c r="A799" s="274"/>
      <c r="B799" s="274"/>
      <c r="C799" s="274"/>
      <c r="D799" s="274"/>
      <c r="E799" s="274"/>
    </row>
    <row r="800" spans="1:5">
      <c r="A800" s="274"/>
      <c r="B800" s="274"/>
      <c r="C800" s="274"/>
      <c r="D800" s="274"/>
      <c r="E800" s="274"/>
    </row>
    <row r="801" spans="1:5">
      <c r="A801" s="274"/>
      <c r="B801" s="274"/>
      <c r="C801" s="274"/>
      <c r="D801" s="274"/>
      <c r="E801" s="274"/>
    </row>
    <row r="802" spans="1:5">
      <c r="A802" s="274"/>
      <c r="B802" s="274"/>
      <c r="C802" s="274"/>
      <c r="D802" s="274"/>
      <c r="E802" s="274"/>
    </row>
    <row r="803" spans="1:5">
      <c r="A803" s="274"/>
      <c r="B803" s="274"/>
      <c r="C803" s="274"/>
      <c r="D803" s="274"/>
      <c r="E803" s="274"/>
    </row>
    <row r="804" spans="1:5">
      <c r="A804" s="274"/>
      <c r="B804" s="274"/>
      <c r="C804" s="274"/>
      <c r="D804" s="274"/>
      <c r="E804" s="274"/>
    </row>
    <row r="805" spans="1:5">
      <c r="A805" s="274"/>
      <c r="B805" s="274"/>
      <c r="C805" s="274"/>
      <c r="D805" s="274"/>
      <c r="E805" s="274"/>
    </row>
    <row r="806" spans="1:5">
      <c r="A806" s="274"/>
      <c r="B806" s="274"/>
      <c r="C806" s="274"/>
      <c r="D806" s="274"/>
      <c r="E806" s="274"/>
    </row>
    <row r="807" spans="1:5">
      <c r="A807" s="274"/>
      <c r="B807" s="274"/>
      <c r="C807" s="274"/>
      <c r="D807" s="274"/>
      <c r="E807" s="274"/>
    </row>
    <row r="808" spans="1:5">
      <c r="A808" s="274"/>
      <c r="B808" s="274"/>
      <c r="C808" s="274"/>
      <c r="D808" s="274"/>
      <c r="E808" s="274"/>
    </row>
    <row r="809" spans="1:5">
      <c r="A809" s="274"/>
      <c r="B809" s="274"/>
      <c r="C809" s="274"/>
      <c r="D809" s="274"/>
      <c r="E809" s="274"/>
    </row>
    <row r="810" spans="1:5">
      <c r="A810" s="274"/>
      <c r="B810" s="274"/>
      <c r="C810" s="274"/>
      <c r="D810" s="274"/>
      <c r="E810" s="274"/>
    </row>
    <row r="811" spans="1:5">
      <c r="A811" s="274"/>
      <c r="B811" s="274"/>
      <c r="C811" s="274"/>
      <c r="D811" s="274"/>
      <c r="E811" s="274"/>
    </row>
    <row r="812" spans="1:5">
      <c r="A812" s="274"/>
      <c r="B812" s="274"/>
      <c r="C812" s="274"/>
      <c r="D812" s="274"/>
      <c r="E812" s="274"/>
    </row>
    <row r="813" spans="1:5">
      <c r="A813" s="274"/>
      <c r="B813" s="274"/>
      <c r="C813" s="274"/>
      <c r="D813" s="274"/>
      <c r="E813" s="274"/>
    </row>
    <row r="814" spans="1:5">
      <c r="A814" s="274"/>
      <c r="B814" s="274"/>
      <c r="C814" s="274"/>
      <c r="D814" s="274"/>
      <c r="E814" s="274"/>
    </row>
    <row r="815" spans="1:5">
      <c r="A815" s="274"/>
      <c r="B815" s="274"/>
      <c r="C815" s="274"/>
      <c r="D815" s="274"/>
      <c r="E815" s="274"/>
    </row>
    <row r="816" spans="1:5">
      <c r="A816" s="274"/>
      <c r="B816" s="274"/>
      <c r="C816" s="274"/>
      <c r="D816" s="274"/>
      <c r="E816" s="274"/>
    </row>
    <row r="817" spans="1:5">
      <c r="A817" s="274"/>
      <c r="B817" s="274"/>
      <c r="C817" s="274"/>
      <c r="D817" s="274"/>
      <c r="E817" s="274"/>
    </row>
    <row r="818" spans="1:5">
      <c r="A818" s="274"/>
      <c r="B818" s="274"/>
      <c r="C818" s="274"/>
      <c r="D818" s="274"/>
      <c r="E818" s="274"/>
    </row>
    <row r="819" spans="1:5">
      <c r="A819" s="274"/>
      <c r="B819" s="274"/>
      <c r="C819" s="274"/>
      <c r="D819" s="274"/>
      <c r="E819" s="274"/>
    </row>
    <row r="820" spans="1:5">
      <c r="A820" s="274"/>
      <c r="B820" s="274"/>
      <c r="C820" s="274"/>
      <c r="D820" s="274"/>
      <c r="E820" s="274"/>
    </row>
    <row r="821" spans="1:5">
      <c r="A821" s="274"/>
      <c r="B821" s="274"/>
      <c r="C821" s="274"/>
      <c r="D821" s="274"/>
      <c r="E821" s="274"/>
    </row>
    <row r="822" spans="1:5">
      <c r="A822" s="274"/>
      <c r="B822" s="274"/>
      <c r="C822" s="274"/>
      <c r="D822" s="274"/>
      <c r="E822" s="274"/>
    </row>
    <row r="823" spans="1:5">
      <c r="A823" s="274"/>
      <c r="B823" s="274"/>
      <c r="C823" s="274"/>
      <c r="D823" s="274"/>
      <c r="E823" s="274"/>
    </row>
    <row r="824" spans="1:5">
      <c r="A824" s="274"/>
      <c r="B824" s="274"/>
      <c r="C824" s="274"/>
      <c r="D824" s="274"/>
      <c r="E824" s="274"/>
    </row>
    <row r="825" spans="1:5">
      <c r="A825" s="274"/>
      <c r="B825" s="274"/>
      <c r="C825" s="274"/>
      <c r="D825" s="274"/>
      <c r="E825" s="274"/>
    </row>
    <row r="826" spans="1:5">
      <c r="A826" s="274"/>
      <c r="B826" s="274"/>
      <c r="C826" s="274"/>
      <c r="D826" s="274"/>
      <c r="E826" s="274"/>
    </row>
    <row r="827" spans="1:5">
      <c r="A827" s="274"/>
      <c r="B827" s="274"/>
      <c r="C827" s="274"/>
      <c r="D827" s="274"/>
      <c r="E827" s="274"/>
    </row>
    <row r="828" spans="1:5">
      <c r="A828" s="274"/>
      <c r="B828" s="274"/>
      <c r="C828" s="274"/>
      <c r="D828" s="274"/>
      <c r="E828" s="274"/>
    </row>
    <row r="829" spans="1:5">
      <c r="A829" s="274"/>
      <c r="B829" s="274"/>
      <c r="C829" s="274"/>
      <c r="D829" s="274"/>
      <c r="E829" s="274"/>
    </row>
    <row r="830" spans="1:5">
      <c r="A830" s="274"/>
      <c r="B830" s="274"/>
      <c r="C830" s="274"/>
      <c r="D830" s="274"/>
      <c r="E830" s="274"/>
    </row>
    <row r="831" spans="1:5">
      <c r="A831" s="274"/>
      <c r="B831" s="274"/>
      <c r="C831" s="274"/>
      <c r="D831" s="274"/>
      <c r="E831" s="274"/>
    </row>
    <row r="832" spans="1:5">
      <c r="A832" s="274"/>
      <c r="B832" s="274"/>
      <c r="C832" s="274"/>
      <c r="D832" s="274"/>
      <c r="E832" s="274"/>
    </row>
    <row r="833" spans="1:5">
      <c r="A833" s="274"/>
      <c r="B833" s="274"/>
      <c r="C833" s="274"/>
      <c r="D833" s="274"/>
      <c r="E833" s="274"/>
    </row>
    <row r="834" spans="1:5">
      <c r="A834" s="274"/>
      <c r="B834" s="274"/>
      <c r="C834" s="274"/>
      <c r="D834" s="274"/>
      <c r="E834" s="274"/>
    </row>
    <row r="835" spans="1:5">
      <c r="A835" s="274"/>
      <c r="B835" s="274"/>
      <c r="C835" s="274"/>
      <c r="D835" s="274"/>
      <c r="E835" s="274"/>
    </row>
    <row r="836" spans="1:5">
      <c r="A836" s="274"/>
      <c r="B836" s="274"/>
      <c r="C836" s="274"/>
      <c r="D836" s="274"/>
      <c r="E836" s="274"/>
    </row>
    <row r="837" spans="1:5">
      <c r="A837" s="274"/>
      <c r="B837" s="274"/>
      <c r="C837" s="274"/>
      <c r="D837" s="274"/>
      <c r="E837" s="274"/>
    </row>
    <row r="838" spans="1:5">
      <c r="A838" s="274"/>
      <c r="B838" s="274"/>
      <c r="C838" s="274"/>
      <c r="D838" s="274"/>
      <c r="E838" s="274"/>
    </row>
    <row r="839" spans="1:5">
      <c r="A839" s="274"/>
      <c r="B839" s="274"/>
      <c r="C839" s="274"/>
      <c r="D839" s="274"/>
      <c r="E839" s="274"/>
    </row>
    <row r="840" spans="1:5">
      <c r="A840" s="274"/>
      <c r="B840" s="274"/>
      <c r="C840" s="274"/>
      <c r="D840" s="274"/>
      <c r="E840" s="274"/>
    </row>
    <row r="841" spans="1:5">
      <c r="A841" s="274"/>
      <c r="B841" s="274"/>
      <c r="C841" s="274"/>
      <c r="D841" s="274"/>
      <c r="E841" s="274"/>
    </row>
    <row r="842" spans="1:5">
      <c r="A842" s="274"/>
      <c r="B842" s="274"/>
      <c r="C842" s="274"/>
      <c r="D842" s="274"/>
      <c r="E842" s="274"/>
    </row>
    <row r="843" spans="1:5">
      <c r="A843" s="274"/>
      <c r="B843" s="274"/>
      <c r="C843" s="274"/>
      <c r="D843" s="274"/>
      <c r="E843" s="274"/>
    </row>
    <row r="844" spans="1:5">
      <c r="A844" s="274"/>
      <c r="B844" s="274"/>
      <c r="C844" s="274"/>
      <c r="D844" s="274"/>
      <c r="E844" s="274"/>
    </row>
    <row r="845" spans="1:5">
      <c r="A845" s="274"/>
      <c r="B845" s="274"/>
      <c r="C845" s="274"/>
      <c r="D845" s="274"/>
      <c r="E845" s="274"/>
    </row>
    <row r="846" spans="1:5">
      <c r="A846" s="274"/>
      <c r="B846" s="274"/>
      <c r="C846" s="274"/>
      <c r="D846" s="274"/>
      <c r="E846" s="274"/>
    </row>
    <row r="847" spans="1:5">
      <c r="A847" s="274"/>
      <c r="B847" s="274"/>
      <c r="C847" s="274"/>
      <c r="D847" s="274"/>
      <c r="E847" s="274"/>
    </row>
    <row r="848" spans="1:5">
      <c r="A848" s="274"/>
      <c r="B848" s="274"/>
      <c r="C848" s="274"/>
      <c r="D848" s="274"/>
      <c r="E848" s="274"/>
    </row>
    <row r="849" spans="1:5">
      <c r="A849" s="274"/>
      <c r="B849" s="274"/>
      <c r="C849" s="274"/>
      <c r="D849" s="274"/>
      <c r="E849" s="274"/>
    </row>
    <row r="850" spans="1:5">
      <c r="A850" s="274"/>
      <c r="B850" s="274"/>
      <c r="C850" s="274"/>
      <c r="D850" s="274"/>
      <c r="E850" s="274"/>
    </row>
    <row r="851" spans="1:5">
      <c r="A851" s="274"/>
      <c r="B851" s="274"/>
      <c r="C851" s="274"/>
      <c r="D851" s="274"/>
      <c r="E851" s="274"/>
    </row>
    <row r="852" spans="1:5">
      <c r="A852" s="274"/>
      <c r="B852" s="274"/>
      <c r="C852" s="274"/>
      <c r="D852" s="274"/>
      <c r="E852" s="274"/>
    </row>
    <row r="853" spans="1:5">
      <c r="A853" s="274"/>
      <c r="B853" s="274"/>
      <c r="C853" s="274"/>
      <c r="D853" s="274"/>
      <c r="E853" s="274"/>
    </row>
    <row r="854" spans="1:5">
      <c r="A854" s="274"/>
      <c r="B854" s="274"/>
      <c r="C854" s="274"/>
      <c r="D854" s="274"/>
      <c r="E854" s="274"/>
    </row>
    <row r="855" spans="1:5">
      <c r="A855" s="274"/>
      <c r="B855" s="274"/>
      <c r="C855" s="274"/>
      <c r="D855" s="274"/>
      <c r="E855" s="274"/>
    </row>
    <row r="856" spans="1:5">
      <c r="A856" s="274"/>
      <c r="B856" s="274"/>
      <c r="C856" s="274"/>
      <c r="D856" s="274"/>
      <c r="E856" s="274"/>
    </row>
    <row r="857" spans="1:5">
      <c r="A857" s="274"/>
      <c r="B857" s="274"/>
      <c r="C857" s="274"/>
      <c r="D857" s="274"/>
      <c r="E857" s="274"/>
    </row>
    <row r="858" spans="1:5">
      <c r="A858" s="274"/>
      <c r="B858" s="274"/>
      <c r="C858" s="274"/>
      <c r="D858" s="274"/>
      <c r="E858" s="274"/>
    </row>
    <row r="859" spans="1:5">
      <c r="A859" s="274"/>
      <c r="B859" s="274"/>
      <c r="C859" s="274"/>
      <c r="D859" s="274"/>
      <c r="E859" s="274"/>
    </row>
    <row r="860" spans="1:5">
      <c r="A860" s="274"/>
      <c r="B860" s="274"/>
      <c r="C860" s="274"/>
      <c r="D860" s="274"/>
      <c r="E860" s="274"/>
    </row>
    <row r="861" spans="1:5">
      <c r="A861" s="274"/>
      <c r="B861" s="274"/>
      <c r="C861" s="274"/>
      <c r="D861" s="274"/>
      <c r="E861" s="274"/>
    </row>
    <row r="862" spans="1:5">
      <c r="A862" s="274"/>
      <c r="B862" s="274"/>
      <c r="C862" s="274"/>
      <c r="D862" s="274"/>
      <c r="E862" s="274"/>
    </row>
    <row r="863" spans="1:5">
      <c r="A863" s="274"/>
      <c r="B863" s="274"/>
      <c r="C863" s="274"/>
      <c r="D863" s="274"/>
      <c r="E863" s="274"/>
    </row>
    <row r="864" spans="1:5">
      <c r="A864" s="274"/>
      <c r="B864" s="274"/>
      <c r="C864" s="274"/>
      <c r="D864" s="274"/>
      <c r="E864" s="274"/>
    </row>
    <row r="865" spans="1:5">
      <c r="A865" s="274"/>
      <c r="B865" s="274"/>
      <c r="C865" s="274"/>
      <c r="D865" s="274"/>
      <c r="E865" s="274"/>
    </row>
    <row r="866" spans="1:5">
      <c r="A866" s="274"/>
      <c r="B866" s="274"/>
      <c r="C866" s="274"/>
      <c r="D866" s="274"/>
      <c r="E866" s="274"/>
    </row>
    <row r="867" spans="1:5">
      <c r="A867" s="274"/>
      <c r="B867" s="274"/>
      <c r="C867" s="274"/>
      <c r="D867" s="274"/>
      <c r="E867" s="274"/>
    </row>
    <row r="868" spans="1:5">
      <c r="A868" s="274"/>
      <c r="B868" s="274"/>
      <c r="C868" s="274"/>
      <c r="D868" s="274"/>
      <c r="E868" s="274"/>
    </row>
    <row r="869" spans="1:5">
      <c r="A869" s="274"/>
      <c r="B869" s="274"/>
      <c r="C869" s="274"/>
      <c r="D869" s="274"/>
      <c r="E869" s="274"/>
    </row>
    <row r="870" spans="1:5">
      <c r="A870" s="274"/>
      <c r="B870" s="274"/>
      <c r="C870" s="274"/>
      <c r="D870" s="274"/>
      <c r="E870" s="274"/>
    </row>
    <row r="871" spans="1:5">
      <c r="A871" s="274"/>
      <c r="B871" s="274"/>
      <c r="C871" s="274"/>
      <c r="D871" s="274"/>
      <c r="E871" s="274"/>
    </row>
    <row r="872" spans="1:5">
      <c r="A872" s="274"/>
      <c r="B872" s="274"/>
      <c r="C872" s="274"/>
      <c r="D872" s="274"/>
      <c r="E872" s="274"/>
    </row>
    <row r="873" spans="1:5">
      <c r="A873" s="274"/>
      <c r="B873" s="274"/>
      <c r="C873" s="274"/>
      <c r="D873" s="274"/>
      <c r="E873" s="274"/>
    </row>
    <row r="874" spans="1:5">
      <c r="A874" s="274"/>
      <c r="B874" s="274"/>
      <c r="C874" s="274"/>
      <c r="D874" s="274"/>
      <c r="E874" s="274"/>
    </row>
    <row r="875" spans="1:5">
      <c r="A875" s="274"/>
      <c r="B875" s="274"/>
      <c r="C875" s="274"/>
      <c r="D875" s="274"/>
      <c r="E875" s="274"/>
    </row>
    <row r="876" spans="1:5">
      <c r="A876" s="274"/>
      <c r="B876" s="274"/>
      <c r="C876" s="274"/>
      <c r="D876" s="274"/>
      <c r="E876" s="274"/>
    </row>
    <row r="877" spans="1:5">
      <c r="A877" s="274"/>
      <c r="B877" s="274"/>
      <c r="C877" s="274"/>
      <c r="D877" s="274"/>
      <c r="E877" s="274"/>
    </row>
    <row r="878" spans="1:5">
      <c r="A878" s="274"/>
      <c r="B878" s="274"/>
      <c r="C878" s="274"/>
      <c r="D878" s="274"/>
      <c r="E878" s="274"/>
    </row>
    <row r="879" spans="1:5">
      <c r="A879" s="274"/>
      <c r="B879" s="274"/>
      <c r="C879" s="274"/>
      <c r="D879" s="274"/>
      <c r="E879" s="274"/>
    </row>
    <row r="880" spans="1:5">
      <c r="A880" s="274"/>
      <c r="B880" s="274"/>
      <c r="C880" s="274"/>
      <c r="D880" s="274"/>
      <c r="E880" s="274"/>
    </row>
    <row r="881" spans="1:5">
      <c r="A881" s="274"/>
      <c r="B881" s="274"/>
      <c r="C881" s="274"/>
      <c r="D881" s="274"/>
      <c r="E881" s="274"/>
    </row>
    <row r="882" spans="1:5">
      <c r="A882" s="274"/>
      <c r="B882" s="274"/>
      <c r="C882" s="274"/>
      <c r="D882" s="274"/>
      <c r="E882" s="274"/>
    </row>
    <row r="883" spans="1:5">
      <c r="A883" s="274"/>
      <c r="B883" s="274"/>
      <c r="C883" s="274"/>
      <c r="D883" s="274"/>
      <c r="E883" s="274"/>
    </row>
    <row r="884" spans="1:5">
      <c r="A884" s="274"/>
      <c r="B884" s="274"/>
      <c r="C884" s="274"/>
      <c r="D884" s="274"/>
      <c r="E884" s="274"/>
    </row>
    <row r="885" spans="1:5">
      <c r="A885" s="274"/>
      <c r="B885" s="274"/>
      <c r="C885" s="274"/>
      <c r="D885" s="274"/>
      <c r="E885" s="274"/>
    </row>
    <row r="886" spans="1:5">
      <c r="A886" s="274"/>
      <c r="B886" s="274"/>
      <c r="C886" s="274"/>
      <c r="D886" s="274"/>
      <c r="E886" s="274"/>
    </row>
  </sheetData>
  <conditionalFormatting sqref="A1:A14 B1 D1:D5 E1 D7:D15">
    <cfRule type="expression" dxfId="70" priority="1">
      <formula>$I:$I&lt;0</formula>
    </cfRule>
  </conditionalFormatting>
  <conditionalFormatting sqref="A1:A14 B1 D1:D5 E1 D7:D15">
    <cfRule type="expression" dxfId="69" priority="2">
      <formula>IF(AND(I1&gt;0,J1=0),1,0)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9999"/>
    <outlinePr summaryBelow="0" summaryRight="0"/>
  </sheetPr>
  <dimension ref="A1:L1000"/>
  <sheetViews>
    <sheetView showGridLines="0" workbookViewId="0">
      <pane ySplit="2" topLeftCell="A3" activePane="bottomLeft" state="frozen"/>
      <selection pane="bottomLeft" activeCell="B4" sqref="B4"/>
    </sheetView>
  </sheetViews>
  <sheetFormatPr baseColWidth="10" defaultColWidth="12.5703125" defaultRowHeight="15.75" customHeight="1"/>
  <cols>
    <col min="1" max="1" width="11.5703125" customWidth="1"/>
    <col min="4" max="4" width="19.140625" customWidth="1"/>
    <col min="5" max="5" width="8.7109375" customWidth="1"/>
    <col min="6" max="6" width="9.42578125" customWidth="1"/>
    <col min="7" max="7" width="9.85546875" customWidth="1"/>
    <col min="8" max="8" width="9.42578125" customWidth="1"/>
    <col min="9" max="9" width="11" customWidth="1"/>
    <col min="10" max="11" width="13.85546875" customWidth="1"/>
  </cols>
  <sheetData>
    <row r="1" spans="1:12">
      <c r="A1" s="544" t="s">
        <v>7</v>
      </c>
      <c r="B1" s="545" t="s">
        <v>4878</v>
      </c>
    </row>
    <row r="3" spans="1:12">
      <c r="A3" s="525" t="s">
        <v>4872</v>
      </c>
      <c r="B3" s="526"/>
      <c r="C3" s="525" t="s">
        <v>16</v>
      </c>
      <c r="D3" s="526"/>
      <c r="E3" s="526"/>
      <c r="F3" s="526"/>
      <c r="G3" s="526"/>
      <c r="H3" s="526"/>
      <c r="I3" s="526"/>
      <c r="J3" s="526"/>
      <c r="K3" s="526"/>
      <c r="L3" s="527"/>
    </row>
    <row r="4" spans="1:12">
      <c r="A4" s="525" t="s">
        <v>5</v>
      </c>
      <c r="B4" s="525" t="s">
        <v>27</v>
      </c>
      <c r="C4" s="528" t="s">
        <v>31</v>
      </c>
      <c r="D4" s="529" t="s">
        <v>357</v>
      </c>
      <c r="E4" s="529" t="s">
        <v>522</v>
      </c>
      <c r="F4" s="529" t="s">
        <v>1408</v>
      </c>
      <c r="G4" s="529" t="s">
        <v>1253</v>
      </c>
      <c r="H4" s="529" t="s">
        <v>1605</v>
      </c>
      <c r="I4" s="529" t="s">
        <v>82</v>
      </c>
      <c r="J4" s="529" t="s">
        <v>671</v>
      </c>
      <c r="K4" s="529" t="s">
        <v>4873</v>
      </c>
      <c r="L4" s="530" t="s">
        <v>4874</v>
      </c>
    </row>
    <row r="5" spans="1:12">
      <c r="A5" s="528">
        <v>7</v>
      </c>
      <c r="B5" s="528" t="s">
        <v>4857</v>
      </c>
      <c r="C5" s="531"/>
      <c r="D5" s="532"/>
      <c r="E5" s="532"/>
      <c r="F5" s="532"/>
      <c r="G5" s="532"/>
      <c r="H5" s="532"/>
      <c r="I5" s="532"/>
      <c r="J5" s="532"/>
      <c r="K5" s="532"/>
      <c r="L5" s="533"/>
    </row>
    <row r="6" spans="1:12">
      <c r="A6" s="528" t="s">
        <v>4875</v>
      </c>
      <c r="B6" s="526"/>
      <c r="C6" s="531"/>
      <c r="D6" s="532"/>
      <c r="E6" s="532"/>
      <c r="F6" s="532"/>
      <c r="G6" s="532"/>
      <c r="H6" s="532"/>
      <c r="I6" s="532"/>
      <c r="J6" s="532"/>
      <c r="K6" s="532"/>
      <c r="L6" s="533"/>
    </row>
    <row r="7" spans="1:12">
      <c r="A7" s="528">
        <v>7.5</v>
      </c>
      <c r="B7" s="528" t="s">
        <v>4857</v>
      </c>
      <c r="C7" s="531"/>
      <c r="D7" s="532"/>
      <c r="E7" s="532"/>
      <c r="F7" s="532"/>
      <c r="G7" s="532"/>
      <c r="H7" s="532"/>
      <c r="I7" s="532"/>
      <c r="J7" s="532"/>
      <c r="K7" s="532"/>
      <c r="L7" s="533"/>
    </row>
    <row r="8" spans="1:12">
      <c r="A8" s="528" t="s">
        <v>4876</v>
      </c>
      <c r="B8" s="526"/>
      <c r="C8" s="531"/>
      <c r="D8" s="532"/>
      <c r="E8" s="532"/>
      <c r="F8" s="532"/>
      <c r="G8" s="532"/>
      <c r="H8" s="532"/>
      <c r="I8" s="532"/>
      <c r="J8" s="532"/>
      <c r="K8" s="532"/>
      <c r="L8" s="533"/>
    </row>
    <row r="9" spans="1:12">
      <c r="A9" s="528">
        <v>3025457</v>
      </c>
      <c r="B9" s="528" t="s">
        <v>4857</v>
      </c>
      <c r="C9" s="531">
        <v>4858.573939296266</v>
      </c>
      <c r="D9" s="532"/>
      <c r="E9" s="532"/>
      <c r="F9" s="532"/>
      <c r="G9" s="532"/>
      <c r="H9" s="532"/>
      <c r="I9" s="532">
        <v>7468.75</v>
      </c>
      <c r="J9" s="532"/>
      <c r="K9" s="532"/>
      <c r="L9" s="533">
        <v>5116.369105785524</v>
      </c>
    </row>
    <row r="10" spans="1:12">
      <c r="A10" s="534"/>
      <c r="B10" s="535" t="s">
        <v>4858</v>
      </c>
      <c r="C10" s="536">
        <v>4729.766172839506</v>
      </c>
      <c r="D10" s="537"/>
      <c r="E10" s="537"/>
      <c r="F10" s="537"/>
      <c r="G10" s="537"/>
      <c r="H10" s="537"/>
      <c r="I10" s="537">
        <v>7482.5</v>
      </c>
      <c r="J10" s="537"/>
      <c r="K10" s="537"/>
      <c r="L10" s="538">
        <v>4859.3065882352939</v>
      </c>
    </row>
    <row r="11" spans="1:12">
      <c r="A11" s="534"/>
      <c r="B11" s="535" t="s">
        <v>4861</v>
      </c>
      <c r="C11" s="536">
        <v>4972.041874999999</v>
      </c>
      <c r="D11" s="537"/>
      <c r="E11" s="537"/>
      <c r="F11" s="537"/>
      <c r="G11" s="537"/>
      <c r="H11" s="537"/>
      <c r="I11" s="537">
        <v>7673.9900000000007</v>
      </c>
      <c r="J11" s="537">
        <v>7868.6129030442189</v>
      </c>
      <c r="K11" s="537"/>
      <c r="L11" s="538">
        <v>5170.071190420781</v>
      </c>
    </row>
    <row r="12" spans="1:12">
      <c r="A12" s="534"/>
      <c r="B12" s="535" t="s">
        <v>4854</v>
      </c>
      <c r="C12" s="536">
        <v>5380.4841891891911</v>
      </c>
      <c r="D12" s="537">
        <v>8800</v>
      </c>
      <c r="E12" s="537"/>
      <c r="F12" s="537"/>
      <c r="G12" s="537"/>
      <c r="H12" s="537"/>
      <c r="I12" s="537"/>
      <c r="J12" s="537">
        <v>8148.6900000000005</v>
      </c>
      <c r="K12" s="537"/>
      <c r="L12" s="538">
        <v>5496.7949350649369</v>
      </c>
    </row>
    <row r="13" spans="1:12">
      <c r="A13" s="534"/>
      <c r="B13" s="535" t="s">
        <v>4862</v>
      </c>
      <c r="C13" s="536">
        <v>6034.5872549019623</v>
      </c>
      <c r="D13" s="537">
        <v>7700</v>
      </c>
      <c r="E13" s="537"/>
      <c r="F13" s="537"/>
      <c r="G13" s="537"/>
      <c r="H13" s="537"/>
      <c r="I13" s="537">
        <v>9295.454545454546</v>
      </c>
      <c r="J13" s="537">
        <v>8838.0280000000002</v>
      </c>
      <c r="K13" s="537"/>
      <c r="L13" s="538">
        <v>6467.7986554621866</v>
      </c>
    </row>
    <row r="14" spans="1:12">
      <c r="A14" s="534"/>
      <c r="B14" s="535" t="s">
        <v>4860</v>
      </c>
      <c r="C14" s="536">
        <v>5782.5842857142852</v>
      </c>
      <c r="D14" s="537"/>
      <c r="E14" s="537"/>
      <c r="F14" s="537"/>
      <c r="G14" s="537"/>
      <c r="H14" s="537"/>
      <c r="I14" s="537"/>
      <c r="J14" s="537"/>
      <c r="K14" s="537"/>
      <c r="L14" s="538">
        <v>5782.5842857142852</v>
      </c>
    </row>
    <row r="15" spans="1:12">
      <c r="A15" s="534"/>
      <c r="B15" s="535" t="s">
        <v>4859</v>
      </c>
      <c r="C15" s="536">
        <v>5318.6207189542483</v>
      </c>
      <c r="D15" s="537">
        <v>9635</v>
      </c>
      <c r="E15" s="537"/>
      <c r="F15" s="537"/>
      <c r="G15" s="537"/>
      <c r="H15" s="537"/>
      <c r="I15" s="537">
        <v>8846.003333333334</v>
      </c>
      <c r="J15" s="537">
        <v>8725</v>
      </c>
      <c r="K15" s="537"/>
      <c r="L15" s="538">
        <v>5481.2936250000002</v>
      </c>
    </row>
    <row r="16" spans="1:12">
      <c r="A16" s="534"/>
      <c r="B16" s="535" t="s">
        <v>4855</v>
      </c>
      <c r="C16" s="536">
        <v>5224.3707627118647</v>
      </c>
      <c r="D16" s="537"/>
      <c r="E16" s="537"/>
      <c r="F16" s="537"/>
      <c r="G16" s="537"/>
      <c r="H16" s="537"/>
      <c r="I16" s="537"/>
      <c r="J16" s="537"/>
      <c r="K16" s="537"/>
      <c r="L16" s="538">
        <v>5224.3707627118647</v>
      </c>
    </row>
    <row r="17" spans="1:12">
      <c r="A17" s="534"/>
      <c r="B17" s="535" t="s">
        <v>4865</v>
      </c>
      <c r="C17" s="536">
        <v>5088.4049685534574</v>
      </c>
      <c r="D17" s="537"/>
      <c r="E17" s="537"/>
      <c r="F17" s="537"/>
      <c r="G17" s="537"/>
      <c r="H17" s="537"/>
      <c r="I17" s="537"/>
      <c r="J17" s="537"/>
      <c r="K17" s="537"/>
      <c r="L17" s="538">
        <v>5088.4049685534574</v>
      </c>
    </row>
    <row r="18" spans="1:12">
      <c r="A18" s="534"/>
      <c r="B18" s="535" t="s">
        <v>4864</v>
      </c>
      <c r="C18" s="536">
        <v>5109.7830000000022</v>
      </c>
      <c r="D18" s="537">
        <v>9335</v>
      </c>
      <c r="E18" s="537"/>
      <c r="F18" s="537"/>
      <c r="G18" s="537"/>
      <c r="H18" s="537"/>
      <c r="I18" s="537"/>
      <c r="J18" s="537"/>
      <c r="K18" s="537"/>
      <c r="L18" s="538">
        <v>5134.4918713450315</v>
      </c>
    </row>
    <row r="19" spans="1:12">
      <c r="A19" s="534"/>
      <c r="B19" s="535" t="s">
        <v>4863</v>
      </c>
      <c r="C19" s="536">
        <v>5053.2587861271668</v>
      </c>
      <c r="D19" s="537"/>
      <c r="E19" s="537"/>
      <c r="F19" s="537"/>
      <c r="G19" s="537"/>
      <c r="H19" s="537"/>
      <c r="I19" s="537"/>
      <c r="J19" s="537"/>
      <c r="K19" s="537"/>
      <c r="L19" s="538">
        <v>5053.2587861271668</v>
      </c>
    </row>
    <row r="20" spans="1:12">
      <c r="A20" s="534"/>
      <c r="B20" s="535" t="s">
        <v>4856</v>
      </c>
      <c r="C20" s="536">
        <v>5141.2840909090901</v>
      </c>
      <c r="D20" s="537">
        <v>9200</v>
      </c>
      <c r="E20" s="537"/>
      <c r="F20" s="537"/>
      <c r="G20" s="537"/>
      <c r="H20" s="537"/>
      <c r="I20" s="537"/>
      <c r="J20" s="537">
        <v>8568.2150000000001</v>
      </c>
      <c r="K20" s="537"/>
      <c r="L20" s="538">
        <v>5237.8555752212369</v>
      </c>
    </row>
    <row r="21" spans="1:12">
      <c r="A21" s="534"/>
      <c r="B21" s="535" t="s">
        <v>4873</v>
      </c>
      <c r="C21" s="536">
        <v>5077.4220000000005</v>
      </c>
      <c r="D21" s="537"/>
      <c r="E21" s="537"/>
      <c r="F21" s="537"/>
      <c r="G21" s="537"/>
      <c r="H21" s="537"/>
      <c r="I21" s="537"/>
      <c r="J21" s="537"/>
      <c r="K21" s="537"/>
      <c r="L21" s="538">
        <v>5077.4220000000005</v>
      </c>
    </row>
    <row r="22" spans="1:12">
      <c r="A22" s="528" t="s">
        <v>4866</v>
      </c>
      <c r="B22" s="526"/>
      <c r="C22" s="531">
        <v>5225.9323009745403</v>
      </c>
      <c r="D22" s="532">
        <v>9050.8333333333339</v>
      </c>
      <c r="E22" s="532"/>
      <c r="F22" s="532"/>
      <c r="G22" s="532"/>
      <c r="H22" s="532"/>
      <c r="I22" s="532">
        <v>8265.9984375000004</v>
      </c>
      <c r="J22" s="532">
        <v>8401.0634072013163</v>
      </c>
      <c r="K22" s="532"/>
      <c r="L22" s="533">
        <v>5335.4990019755587</v>
      </c>
    </row>
    <row r="23" spans="1:12">
      <c r="A23" s="528">
        <v>3025459</v>
      </c>
      <c r="B23" s="528" t="s">
        <v>4857</v>
      </c>
      <c r="C23" s="531">
        <v>5148.6154285714283</v>
      </c>
      <c r="D23" s="532"/>
      <c r="E23" s="532"/>
      <c r="F23" s="532"/>
      <c r="G23" s="532"/>
      <c r="H23" s="532"/>
      <c r="I23" s="532"/>
      <c r="J23" s="532"/>
      <c r="K23" s="532"/>
      <c r="L23" s="533">
        <v>5148.6154285714283</v>
      </c>
    </row>
    <row r="24" spans="1:12">
      <c r="A24" s="534"/>
      <c r="B24" s="535" t="s">
        <v>4858</v>
      </c>
      <c r="C24" s="536">
        <v>4984.9667647058832</v>
      </c>
      <c r="D24" s="537"/>
      <c r="E24" s="537"/>
      <c r="F24" s="537"/>
      <c r="G24" s="537"/>
      <c r="H24" s="537"/>
      <c r="I24" s="537"/>
      <c r="J24" s="537"/>
      <c r="K24" s="537"/>
      <c r="L24" s="538">
        <v>4984.9667647058832</v>
      </c>
    </row>
    <row r="25" spans="1:12">
      <c r="A25" s="534"/>
      <c r="B25" s="535" t="s">
        <v>4861</v>
      </c>
      <c r="C25" s="536">
        <v>5190.8218333333325</v>
      </c>
      <c r="D25" s="537"/>
      <c r="E25" s="537"/>
      <c r="F25" s="537"/>
      <c r="G25" s="537"/>
      <c r="H25" s="537"/>
      <c r="I25" s="537"/>
      <c r="J25" s="537"/>
      <c r="K25" s="537"/>
      <c r="L25" s="538">
        <v>5190.8218333333325</v>
      </c>
    </row>
    <row r="26" spans="1:12">
      <c r="A26" s="534"/>
      <c r="B26" s="535" t="s">
        <v>4854</v>
      </c>
      <c r="C26" s="536">
        <v>5731.1226829268298</v>
      </c>
      <c r="D26" s="537"/>
      <c r="E26" s="537"/>
      <c r="F26" s="537"/>
      <c r="G26" s="537"/>
      <c r="H26" s="537"/>
      <c r="I26" s="537"/>
      <c r="J26" s="537"/>
      <c r="K26" s="537"/>
      <c r="L26" s="538">
        <v>5731.1226829268298</v>
      </c>
    </row>
    <row r="27" spans="1:12">
      <c r="A27" s="534"/>
      <c r="B27" s="535" t="s">
        <v>4862</v>
      </c>
      <c r="C27" s="536">
        <v>5841.0952173913047</v>
      </c>
      <c r="D27" s="537"/>
      <c r="E27" s="537"/>
      <c r="F27" s="537"/>
      <c r="G27" s="537"/>
      <c r="H27" s="537"/>
      <c r="I27" s="537"/>
      <c r="J27" s="537"/>
      <c r="K27" s="537"/>
      <c r="L27" s="538">
        <v>5841.0952173913047</v>
      </c>
    </row>
    <row r="28" spans="1:12">
      <c r="A28" s="534"/>
      <c r="B28" s="535" t="s">
        <v>4860</v>
      </c>
      <c r="C28" s="536">
        <v>6787.5744117647055</v>
      </c>
      <c r="D28" s="537"/>
      <c r="E28" s="537"/>
      <c r="F28" s="537"/>
      <c r="G28" s="537"/>
      <c r="H28" s="537"/>
      <c r="I28" s="537"/>
      <c r="J28" s="537"/>
      <c r="K28" s="537"/>
      <c r="L28" s="538">
        <v>6787.5744117647055</v>
      </c>
    </row>
    <row r="29" spans="1:12">
      <c r="A29" s="534"/>
      <c r="B29" s="535" t="s">
        <v>4859</v>
      </c>
      <c r="C29" s="536">
        <v>5280.9490697674428</v>
      </c>
      <c r="D29" s="537"/>
      <c r="E29" s="537"/>
      <c r="F29" s="537"/>
      <c r="G29" s="537"/>
      <c r="H29" s="537"/>
      <c r="I29" s="537"/>
      <c r="J29" s="537"/>
      <c r="K29" s="537"/>
      <c r="L29" s="538">
        <v>5280.9490697674428</v>
      </c>
    </row>
    <row r="30" spans="1:12">
      <c r="A30" s="534"/>
      <c r="B30" s="535" t="s">
        <v>4855</v>
      </c>
      <c r="C30" s="536">
        <v>6159.265476190476</v>
      </c>
      <c r="D30" s="537"/>
      <c r="E30" s="537"/>
      <c r="F30" s="537"/>
      <c r="G30" s="537"/>
      <c r="H30" s="537"/>
      <c r="I30" s="537"/>
      <c r="J30" s="537"/>
      <c r="K30" s="537"/>
      <c r="L30" s="538">
        <v>6159.265476190476</v>
      </c>
    </row>
    <row r="31" spans="1:12">
      <c r="A31" s="534"/>
      <c r="B31" s="535" t="s">
        <v>4865</v>
      </c>
      <c r="C31" s="536">
        <v>6010.8597297297301</v>
      </c>
      <c r="D31" s="537"/>
      <c r="E31" s="537"/>
      <c r="F31" s="537"/>
      <c r="G31" s="537"/>
      <c r="H31" s="537"/>
      <c r="I31" s="537"/>
      <c r="J31" s="537"/>
      <c r="K31" s="537"/>
      <c r="L31" s="538">
        <v>6010.8597297297301</v>
      </c>
    </row>
    <row r="32" spans="1:12">
      <c r="A32" s="534"/>
      <c r="B32" s="535" t="s">
        <v>4864</v>
      </c>
      <c r="C32" s="536">
        <v>5600.923913043478</v>
      </c>
      <c r="D32" s="537"/>
      <c r="E32" s="537"/>
      <c r="F32" s="537"/>
      <c r="G32" s="537"/>
      <c r="H32" s="537"/>
      <c r="I32" s="537"/>
      <c r="J32" s="537"/>
      <c r="K32" s="537"/>
      <c r="L32" s="538">
        <v>5600.923913043478</v>
      </c>
    </row>
    <row r="33" spans="1:12">
      <c r="A33" s="534"/>
      <c r="B33" s="535" t="s">
        <v>4863</v>
      </c>
      <c r="C33" s="536">
        <v>4894.4621428571427</v>
      </c>
      <c r="D33" s="537"/>
      <c r="E33" s="537"/>
      <c r="F33" s="537"/>
      <c r="G33" s="537"/>
      <c r="H33" s="537"/>
      <c r="I33" s="537"/>
      <c r="J33" s="537"/>
      <c r="K33" s="537"/>
      <c r="L33" s="538">
        <v>4894.4621428571427</v>
      </c>
    </row>
    <row r="34" spans="1:12">
      <c r="A34" s="534"/>
      <c r="B34" s="535" t="s">
        <v>4856</v>
      </c>
      <c r="C34" s="536">
        <v>4967.0242857142848</v>
      </c>
      <c r="D34" s="537"/>
      <c r="E34" s="537"/>
      <c r="F34" s="537"/>
      <c r="G34" s="537"/>
      <c r="H34" s="537"/>
      <c r="I34" s="537"/>
      <c r="J34" s="537"/>
      <c r="K34" s="537"/>
      <c r="L34" s="538">
        <v>4967.0242857142848</v>
      </c>
    </row>
    <row r="35" spans="1:12">
      <c r="A35" s="534"/>
      <c r="B35" s="535" t="s">
        <v>4873</v>
      </c>
      <c r="C35" s="536">
        <v>3802.7450000000003</v>
      </c>
      <c r="D35" s="537"/>
      <c r="E35" s="537"/>
      <c r="F35" s="537"/>
      <c r="G35" s="537"/>
      <c r="H35" s="537"/>
      <c r="I35" s="537"/>
      <c r="J35" s="537"/>
      <c r="K35" s="537"/>
      <c r="L35" s="538">
        <v>3802.7450000000003</v>
      </c>
    </row>
    <row r="36" spans="1:12">
      <c r="A36" s="528" t="s">
        <v>4867</v>
      </c>
      <c r="B36" s="526"/>
      <c r="C36" s="531">
        <v>5515.8200557620821</v>
      </c>
      <c r="D36" s="532"/>
      <c r="E36" s="532"/>
      <c r="F36" s="532"/>
      <c r="G36" s="532"/>
      <c r="H36" s="532"/>
      <c r="I36" s="532"/>
      <c r="J36" s="532"/>
      <c r="K36" s="532"/>
      <c r="L36" s="533">
        <v>5515.8200557620821</v>
      </c>
    </row>
    <row r="37" spans="1:12">
      <c r="A37" s="528">
        <v>3025460</v>
      </c>
      <c r="B37" s="528" t="s">
        <v>4857</v>
      </c>
      <c r="C37" s="531">
        <v>5092.5081081081089</v>
      </c>
      <c r="D37" s="532"/>
      <c r="E37" s="532"/>
      <c r="F37" s="532"/>
      <c r="G37" s="532"/>
      <c r="H37" s="532"/>
      <c r="I37" s="532">
        <v>7475.9626189451537</v>
      </c>
      <c r="J37" s="532"/>
      <c r="K37" s="532"/>
      <c r="L37" s="533">
        <v>5494.2139245413182</v>
      </c>
    </row>
    <row r="38" spans="1:12">
      <c r="A38" s="534"/>
      <c r="B38" s="535" t="s">
        <v>4858</v>
      </c>
      <c r="C38" s="536">
        <v>4642.1966363636366</v>
      </c>
      <c r="D38" s="537"/>
      <c r="E38" s="537"/>
      <c r="F38" s="537"/>
      <c r="G38" s="537"/>
      <c r="H38" s="537"/>
      <c r="I38" s="537">
        <v>7607.1319611120043</v>
      </c>
      <c r="J38" s="537"/>
      <c r="K38" s="537"/>
      <c r="L38" s="538">
        <v>4955.5637845077745</v>
      </c>
    </row>
    <row r="39" spans="1:12">
      <c r="A39" s="534"/>
      <c r="B39" s="535" t="s">
        <v>4861</v>
      </c>
      <c r="C39" s="536">
        <v>5054.8482142857147</v>
      </c>
      <c r="D39" s="537"/>
      <c r="E39" s="537"/>
      <c r="F39" s="537"/>
      <c r="G39" s="537"/>
      <c r="H39" s="537"/>
      <c r="I39" s="537">
        <v>7791.1500000000005</v>
      </c>
      <c r="J39" s="537"/>
      <c r="K39" s="537"/>
      <c r="L39" s="538">
        <v>5537.7249999999995</v>
      </c>
    </row>
    <row r="40" spans="1:12">
      <c r="A40" s="534"/>
      <c r="B40" s="535" t="s">
        <v>4854</v>
      </c>
      <c r="C40" s="536">
        <v>5490.3152564102566</v>
      </c>
      <c r="D40" s="537"/>
      <c r="E40" s="537"/>
      <c r="F40" s="537"/>
      <c r="G40" s="537">
        <v>8633.3333333333339</v>
      </c>
      <c r="H40" s="537"/>
      <c r="I40" s="537">
        <v>8300</v>
      </c>
      <c r="J40" s="537"/>
      <c r="K40" s="537"/>
      <c r="L40" s="538">
        <v>5954.2429032258069</v>
      </c>
    </row>
    <row r="41" spans="1:12">
      <c r="A41" s="534"/>
      <c r="B41" s="535" t="s">
        <v>4862</v>
      </c>
      <c r="C41" s="536">
        <v>5659.4320291732556</v>
      </c>
      <c r="D41" s="537"/>
      <c r="E41" s="537"/>
      <c r="F41" s="537"/>
      <c r="G41" s="537"/>
      <c r="H41" s="537">
        <v>9491.6012499999997</v>
      </c>
      <c r="I41" s="537">
        <v>9236.3772225628454</v>
      </c>
      <c r="J41" s="537"/>
      <c r="K41" s="537"/>
      <c r="L41" s="538">
        <v>6276.8582303579506</v>
      </c>
    </row>
    <row r="42" spans="1:12">
      <c r="A42" s="534"/>
      <c r="B42" s="535" t="s">
        <v>4860</v>
      </c>
      <c r="C42" s="536">
        <v>5250.98</v>
      </c>
      <c r="D42" s="537"/>
      <c r="E42" s="537"/>
      <c r="F42" s="537"/>
      <c r="G42" s="537"/>
      <c r="H42" s="537"/>
      <c r="I42" s="537">
        <v>9132.6866666666665</v>
      </c>
      <c r="J42" s="537"/>
      <c r="K42" s="537"/>
      <c r="L42" s="538">
        <v>6221.4066666666668</v>
      </c>
    </row>
    <row r="43" spans="1:12">
      <c r="A43" s="534"/>
      <c r="B43" s="535" t="s">
        <v>4859</v>
      </c>
      <c r="C43" s="536">
        <v>5040.8398684210533</v>
      </c>
      <c r="D43" s="537"/>
      <c r="E43" s="537"/>
      <c r="F43" s="537"/>
      <c r="G43" s="537"/>
      <c r="H43" s="537"/>
      <c r="I43" s="537">
        <v>8596.1538461538457</v>
      </c>
      <c r="J43" s="537"/>
      <c r="K43" s="537"/>
      <c r="L43" s="538">
        <v>5560.1553932584275</v>
      </c>
    </row>
    <row r="44" spans="1:12">
      <c r="A44" s="534"/>
      <c r="B44" s="535" t="s">
        <v>4855</v>
      </c>
      <c r="C44" s="536">
        <v>5332.0075384615393</v>
      </c>
      <c r="D44" s="537"/>
      <c r="E44" s="537"/>
      <c r="F44" s="537"/>
      <c r="G44" s="537"/>
      <c r="H44" s="537"/>
      <c r="I44" s="537">
        <v>8125.0184000000008</v>
      </c>
      <c r="J44" s="537"/>
      <c r="K44" s="537"/>
      <c r="L44" s="538">
        <v>6107.8438888888895</v>
      </c>
    </row>
    <row r="45" spans="1:12">
      <c r="A45" s="534"/>
      <c r="B45" s="535" t="s">
        <v>4865</v>
      </c>
      <c r="C45" s="536">
        <v>5241.5106249999999</v>
      </c>
      <c r="D45" s="537"/>
      <c r="E45" s="537"/>
      <c r="F45" s="537"/>
      <c r="G45" s="537"/>
      <c r="H45" s="537"/>
      <c r="I45" s="537">
        <v>8056.5476470588237</v>
      </c>
      <c r="J45" s="537"/>
      <c r="K45" s="537"/>
      <c r="L45" s="538">
        <v>6218.1561224489797</v>
      </c>
    </row>
    <row r="46" spans="1:12">
      <c r="A46" s="534"/>
      <c r="B46" s="535" t="s">
        <v>4864</v>
      </c>
      <c r="C46" s="536">
        <v>5005.1976190476198</v>
      </c>
      <c r="D46" s="537"/>
      <c r="E46" s="537"/>
      <c r="F46" s="537"/>
      <c r="G46" s="537"/>
      <c r="H46" s="537"/>
      <c r="I46" s="537">
        <v>6096.335</v>
      </c>
      <c r="J46" s="537"/>
      <c r="K46" s="537"/>
      <c r="L46" s="538">
        <v>5563.4539534883725</v>
      </c>
    </row>
    <row r="47" spans="1:12">
      <c r="A47" s="534"/>
      <c r="B47" s="535" t="s">
        <v>4863</v>
      </c>
      <c r="C47" s="536">
        <v>4564.4760000000006</v>
      </c>
      <c r="D47" s="537"/>
      <c r="E47" s="537"/>
      <c r="F47" s="537"/>
      <c r="G47" s="537"/>
      <c r="H47" s="537"/>
      <c r="I47" s="537">
        <v>6484.1426086956517</v>
      </c>
      <c r="J47" s="537"/>
      <c r="K47" s="537"/>
      <c r="L47" s="538">
        <v>5902.4254545454551</v>
      </c>
    </row>
    <row r="48" spans="1:12">
      <c r="A48" s="534"/>
      <c r="B48" s="535" t="s">
        <v>4856</v>
      </c>
      <c r="C48" s="536">
        <v>5476.720645161291</v>
      </c>
      <c r="D48" s="537"/>
      <c r="E48" s="537"/>
      <c r="F48" s="537"/>
      <c r="G48" s="537"/>
      <c r="H48" s="537"/>
      <c r="I48" s="537">
        <v>6506.4328571428568</v>
      </c>
      <c r="J48" s="537"/>
      <c r="K48" s="537"/>
      <c r="L48" s="538">
        <v>6022.7801515151523</v>
      </c>
    </row>
    <row r="49" spans="1:12">
      <c r="A49" s="528" t="s">
        <v>4868</v>
      </c>
      <c r="B49" s="526"/>
      <c r="C49" s="531">
        <v>5171.3776259509114</v>
      </c>
      <c r="D49" s="532"/>
      <c r="E49" s="532"/>
      <c r="F49" s="532"/>
      <c r="G49" s="532">
        <v>8633.3333333333339</v>
      </c>
      <c r="H49" s="532">
        <v>9491.6012499999997</v>
      </c>
      <c r="I49" s="532">
        <v>7403.5661591621656</v>
      </c>
      <c r="J49" s="532"/>
      <c r="K49" s="532"/>
      <c r="L49" s="533">
        <v>5750.971083100364</v>
      </c>
    </row>
    <row r="50" spans="1:12">
      <c r="A50" s="528">
        <v>3025461</v>
      </c>
      <c r="B50" s="528" t="s">
        <v>4858</v>
      </c>
      <c r="C50" s="531"/>
      <c r="D50" s="532"/>
      <c r="E50" s="532">
        <v>7639.4483333333337</v>
      </c>
      <c r="F50" s="532"/>
      <c r="G50" s="532"/>
      <c r="H50" s="532"/>
      <c r="I50" s="532"/>
      <c r="J50" s="532">
        <v>7522.59</v>
      </c>
      <c r="K50" s="532"/>
      <c r="L50" s="533">
        <v>7610.2337500000003</v>
      </c>
    </row>
    <row r="51" spans="1:12">
      <c r="A51" s="534"/>
      <c r="B51" s="535" t="s">
        <v>4861</v>
      </c>
      <c r="C51" s="536"/>
      <c r="D51" s="537"/>
      <c r="E51" s="537">
        <v>8217.9225000000006</v>
      </c>
      <c r="F51" s="537"/>
      <c r="G51" s="537"/>
      <c r="H51" s="537"/>
      <c r="I51" s="537"/>
      <c r="J51" s="537"/>
      <c r="K51" s="537"/>
      <c r="L51" s="538">
        <v>8217.9225000000006</v>
      </c>
    </row>
    <row r="52" spans="1:12">
      <c r="A52" s="534"/>
      <c r="B52" s="535" t="s">
        <v>4854</v>
      </c>
      <c r="C52" s="536"/>
      <c r="D52" s="537"/>
      <c r="E52" s="537">
        <v>8201.25</v>
      </c>
      <c r="F52" s="537"/>
      <c r="G52" s="537"/>
      <c r="H52" s="537"/>
      <c r="I52" s="537"/>
      <c r="J52" s="537"/>
      <c r="K52" s="537"/>
      <c r="L52" s="538">
        <v>8201.25</v>
      </c>
    </row>
    <row r="53" spans="1:12">
      <c r="A53" s="534"/>
      <c r="B53" s="535" t="s">
        <v>4862</v>
      </c>
      <c r="C53" s="536"/>
      <c r="D53" s="537"/>
      <c r="E53" s="537">
        <v>7821.4285714285716</v>
      </c>
      <c r="F53" s="537">
        <v>8855.8604975097442</v>
      </c>
      <c r="G53" s="537"/>
      <c r="H53" s="537"/>
      <c r="I53" s="537"/>
      <c r="J53" s="537"/>
      <c r="K53" s="537"/>
      <c r="L53" s="538">
        <v>8541.0333895719959</v>
      </c>
    </row>
    <row r="54" spans="1:12">
      <c r="A54" s="534"/>
      <c r="B54" s="535" t="s">
        <v>4863</v>
      </c>
      <c r="C54" s="536"/>
      <c r="D54" s="537"/>
      <c r="E54" s="537"/>
      <c r="F54" s="537"/>
      <c r="G54" s="537"/>
      <c r="H54" s="537">
        <v>7060.0071428571428</v>
      </c>
      <c r="I54" s="537"/>
      <c r="J54" s="537"/>
      <c r="K54" s="537"/>
      <c r="L54" s="538">
        <v>7060.0071428571428</v>
      </c>
    </row>
    <row r="55" spans="1:12">
      <c r="A55" s="534"/>
      <c r="B55" s="535" t="s">
        <v>4856</v>
      </c>
      <c r="C55" s="536"/>
      <c r="D55" s="537"/>
      <c r="E55" s="537"/>
      <c r="F55" s="537"/>
      <c r="G55" s="537"/>
      <c r="H55" s="537">
        <v>8917.5233333333344</v>
      </c>
      <c r="I55" s="537"/>
      <c r="J55" s="537"/>
      <c r="K55" s="537"/>
      <c r="L55" s="538">
        <v>8917.5233333333344</v>
      </c>
    </row>
    <row r="56" spans="1:12">
      <c r="A56" s="528" t="s">
        <v>4869</v>
      </c>
      <c r="B56" s="526"/>
      <c r="C56" s="531"/>
      <c r="D56" s="532"/>
      <c r="E56" s="532">
        <v>7995.6337931034486</v>
      </c>
      <c r="F56" s="532">
        <v>8855.8604975097442</v>
      </c>
      <c r="G56" s="532"/>
      <c r="H56" s="532">
        <v>7735.4675757575751</v>
      </c>
      <c r="I56" s="532"/>
      <c r="J56" s="532">
        <v>7522.59</v>
      </c>
      <c r="K56" s="532"/>
      <c r="L56" s="533">
        <v>8048.5344745019493</v>
      </c>
    </row>
    <row r="57" spans="1:12">
      <c r="A57" s="528">
        <v>3025462</v>
      </c>
      <c r="B57" s="528" t="s">
        <v>4857</v>
      </c>
      <c r="C57" s="531"/>
      <c r="D57" s="532">
        <v>7500</v>
      </c>
      <c r="E57" s="532"/>
      <c r="F57" s="532"/>
      <c r="G57" s="532"/>
      <c r="H57" s="532"/>
      <c r="I57" s="532"/>
      <c r="J57" s="532"/>
      <c r="K57" s="532"/>
      <c r="L57" s="533">
        <v>7500</v>
      </c>
    </row>
    <row r="58" spans="1:12">
      <c r="A58" s="534"/>
      <c r="B58" s="535" t="s">
        <v>4858</v>
      </c>
      <c r="C58" s="536"/>
      <c r="D58" s="537">
        <v>7500</v>
      </c>
      <c r="E58" s="537"/>
      <c r="F58" s="537"/>
      <c r="G58" s="537"/>
      <c r="H58" s="537"/>
      <c r="I58" s="537"/>
      <c r="J58" s="537"/>
      <c r="K58" s="537"/>
      <c r="L58" s="538">
        <v>7500</v>
      </c>
    </row>
    <row r="59" spans="1:12">
      <c r="A59" s="534"/>
      <c r="B59" s="535" t="s">
        <v>4861</v>
      </c>
      <c r="C59" s="536"/>
      <c r="D59" s="537">
        <v>7600</v>
      </c>
      <c r="E59" s="537"/>
      <c r="F59" s="537"/>
      <c r="G59" s="537"/>
      <c r="H59" s="537"/>
      <c r="I59" s="537"/>
      <c r="J59" s="537"/>
      <c r="K59" s="537"/>
      <c r="L59" s="538">
        <v>7600</v>
      </c>
    </row>
    <row r="60" spans="1:12">
      <c r="A60" s="534"/>
      <c r="B60" s="535" t="s">
        <v>4854</v>
      </c>
      <c r="C60" s="536"/>
      <c r="D60" s="537">
        <v>7600</v>
      </c>
      <c r="E60" s="537"/>
      <c r="F60" s="537"/>
      <c r="G60" s="537"/>
      <c r="H60" s="537"/>
      <c r="I60" s="537"/>
      <c r="J60" s="537"/>
      <c r="K60" s="537"/>
      <c r="L60" s="538">
        <v>7600</v>
      </c>
    </row>
    <row r="61" spans="1:12">
      <c r="A61" s="534"/>
      <c r="B61" s="535" t="s">
        <v>4862</v>
      </c>
      <c r="C61" s="536"/>
      <c r="D61" s="537">
        <v>7800</v>
      </c>
      <c r="E61" s="537"/>
      <c r="F61" s="537"/>
      <c r="G61" s="537"/>
      <c r="H61" s="537"/>
      <c r="I61" s="537"/>
      <c r="J61" s="537"/>
      <c r="K61" s="537"/>
      <c r="L61" s="538">
        <v>7800</v>
      </c>
    </row>
    <row r="62" spans="1:12">
      <c r="A62" s="534"/>
      <c r="B62" s="535" t="s">
        <v>4860</v>
      </c>
      <c r="C62" s="536"/>
      <c r="D62" s="537">
        <v>7800</v>
      </c>
      <c r="E62" s="537"/>
      <c r="F62" s="537"/>
      <c r="G62" s="537"/>
      <c r="H62" s="537"/>
      <c r="I62" s="537"/>
      <c r="J62" s="537"/>
      <c r="K62" s="537"/>
      <c r="L62" s="538">
        <v>7800</v>
      </c>
    </row>
    <row r="63" spans="1:12">
      <c r="A63" s="534"/>
      <c r="B63" s="535" t="s">
        <v>4859</v>
      </c>
      <c r="C63" s="536"/>
      <c r="D63" s="537">
        <v>7733.333333333333</v>
      </c>
      <c r="E63" s="537"/>
      <c r="F63" s="537"/>
      <c r="G63" s="537"/>
      <c r="H63" s="537"/>
      <c r="I63" s="537"/>
      <c r="J63" s="537"/>
      <c r="K63" s="537"/>
      <c r="L63" s="538">
        <v>7733.333333333333</v>
      </c>
    </row>
    <row r="64" spans="1:12">
      <c r="A64" s="534"/>
      <c r="B64" s="535" t="s">
        <v>4855</v>
      </c>
      <c r="C64" s="536"/>
      <c r="D64" s="537">
        <v>7450</v>
      </c>
      <c r="E64" s="537"/>
      <c r="F64" s="537"/>
      <c r="G64" s="537"/>
      <c r="H64" s="537"/>
      <c r="I64" s="537"/>
      <c r="J64" s="537"/>
      <c r="K64" s="537"/>
      <c r="L64" s="538">
        <v>7450</v>
      </c>
    </row>
    <row r="65" spans="1:12">
      <c r="A65" s="534"/>
      <c r="B65" s="535" t="s">
        <v>4865</v>
      </c>
      <c r="C65" s="536"/>
      <c r="D65" s="537">
        <v>7500</v>
      </c>
      <c r="E65" s="537"/>
      <c r="F65" s="537"/>
      <c r="G65" s="537"/>
      <c r="H65" s="537"/>
      <c r="I65" s="537"/>
      <c r="J65" s="537"/>
      <c r="K65" s="537"/>
      <c r="L65" s="538">
        <v>7500</v>
      </c>
    </row>
    <row r="66" spans="1:12">
      <c r="A66" s="534"/>
      <c r="B66" s="535" t="s">
        <v>4864</v>
      </c>
      <c r="C66" s="536"/>
      <c r="D66" s="537">
        <v>7650</v>
      </c>
      <c r="E66" s="537"/>
      <c r="F66" s="537"/>
      <c r="G66" s="537"/>
      <c r="H66" s="537"/>
      <c r="I66" s="537"/>
      <c r="J66" s="537"/>
      <c r="K66" s="537"/>
      <c r="L66" s="538">
        <v>7650</v>
      </c>
    </row>
    <row r="67" spans="1:12">
      <c r="A67" s="534"/>
      <c r="B67" s="535" t="s">
        <v>4863</v>
      </c>
      <c r="C67" s="536"/>
      <c r="D67" s="537">
        <v>7800</v>
      </c>
      <c r="E67" s="537"/>
      <c r="F67" s="537"/>
      <c r="G67" s="537"/>
      <c r="H67" s="537"/>
      <c r="I67" s="537"/>
      <c r="J67" s="537"/>
      <c r="K67" s="537"/>
      <c r="L67" s="538">
        <v>7800</v>
      </c>
    </row>
    <row r="68" spans="1:12">
      <c r="A68" s="534"/>
      <c r="B68" s="535" t="s">
        <v>4856</v>
      </c>
      <c r="C68" s="536"/>
      <c r="D68" s="537">
        <v>7800</v>
      </c>
      <c r="E68" s="537"/>
      <c r="F68" s="537"/>
      <c r="G68" s="537"/>
      <c r="H68" s="537"/>
      <c r="I68" s="537"/>
      <c r="J68" s="537"/>
      <c r="K68" s="537"/>
      <c r="L68" s="538">
        <v>7800</v>
      </c>
    </row>
    <row r="69" spans="1:12">
      <c r="A69" s="528" t="s">
        <v>4870</v>
      </c>
      <c r="B69" s="526"/>
      <c r="C69" s="531"/>
      <c r="D69" s="532">
        <v>7661.2903225806449</v>
      </c>
      <c r="E69" s="532"/>
      <c r="F69" s="532"/>
      <c r="G69" s="532"/>
      <c r="H69" s="532"/>
      <c r="I69" s="532"/>
      <c r="J69" s="532"/>
      <c r="K69" s="532"/>
      <c r="L69" s="533">
        <v>7661.2903225806449</v>
      </c>
    </row>
    <row r="70" spans="1:12">
      <c r="A70" s="528">
        <v>3025662</v>
      </c>
      <c r="B70" s="528" t="s">
        <v>4859</v>
      </c>
      <c r="C70" s="531"/>
      <c r="D70" s="532">
        <v>7903</v>
      </c>
      <c r="E70" s="532"/>
      <c r="F70" s="532"/>
      <c r="G70" s="532"/>
      <c r="H70" s="532"/>
      <c r="I70" s="532"/>
      <c r="J70" s="532"/>
      <c r="K70" s="532"/>
      <c r="L70" s="533">
        <v>7903</v>
      </c>
    </row>
    <row r="71" spans="1:12">
      <c r="A71" s="528" t="s">
        <v>4871</v>
      </c>
      <c r="B71" s="526"/>
      <c r="C71" s="531"/>
      <c r="D71" s="532">
        <v>7903</v>
      </c>
      <c r="E71" s="532"/>
      <c r="F71" s="532"/>
      <c r="G71" s="532"/>
      <c r="H71" s="532"/>
      <c r="I71" s="532"/>
      <c r="J71" s="532"/>
      <c r="K71" s="532"/>
      <c r="L71" s="533">
        <v>7903</v>
      </c>
    </row>
    <row r="72" spans="1:12">
      <c r="A72" s="528" t="s">
        <v>4873</v>
      </c>
      <c r="B72" s="528" t="s">
        <v>4857</v>
      </c>
      <c r="C72" s="531"/>
      <c r="D72" s="532"/>
      <c r="E72" s="532"/>
      <c r="F72" s="532"/>
      <c r="G72" s="532"/>
      <c r="H72" s="532"/>
      <c r="I72" s="532"/>
      <c r="J72" s="532"/>
      <c r="K72" s="532"/>
      <c r="L72" s="533"/>
    </row>
    <row r="73" spans="1:12">
      <c r="A73" s="534"/>
      <c r="B73" s="535" t="s">
        <v>4873</v>
      </c>
      <c r="C73" s="536"/>
      <c r="D73" s="537"/>
      <c r="E73" s="537"/>
      <c r="F73" s="537"/>
      <c r="G73" s="537"/>
      <c r="H73" s="537"/>
      <c r="I73" s="537"/>
      <c r="J73" s="537"/>
      <c r="K73" s="537"/>
      <c r="L73" s="538"/>
    </row>
    <row r="74" spans="1:12">
      <c r="A74" s="528" t="s">
        <v>4877</v>
      </c>
      <c r="B74" s="526"/>
      <c r="C74" s="531"/>
      <c r="D74" s="532"/>
      <c r="E74" s="532"/>
      <c r="F74" s="532"/>
      <c r="G74" s="532"/>
      <c r="H74" s="532"/>
      <c r="I74" s="532"/>
      <c r="J74" s="532"/>
      <c r="K74" s="532"/>
      <c r="L74" s="533"/>
    </row>
    <row r="75" spans="1:12">
      <c r="A75" s="539" t="s">
        <v>4874</v>
      </c>
      <c r="B75" s="540"/>
      <c r="C75" s="541">
        <v>5271.9883527275197</v>
      </c>
      <c r="D75" s="542">
        <v>7887.0526315789475</v>
      </c>
      <c r="E75" s="542">
        <v>7995.6337931034486</v>
      </c>
      <c r="F75" s="542">
        <v>8855.8604975097442</v>
      </c>
      <c r="G75" s="542">
        <v>8633.3333333333339</v>
      </c>
      <c r="H75" s="542">
        <v>8078.1278048780487</v>
      </c>
      <c r="I75" s="542">
        <v>7526.770770353286</v>
      </c>
      <c r="J75" s="542">
        <v>8303.4552508456145</v>
      </c>
      <c r="K75" s="542"/>
      <c r="L75" s="543">
        <v>5575.9756489223901</v>
      </c>
    </row>
    <row r="76" spans="1:12">
      <c r="D76" s="274"/>
      <c r="K76" s="274"/>
    </row>
    <row r="77" spans="1:12">
      <c r="D77" s="274"/>
      <c r="K77" s="274"/>
    </row>
    <row r="78" spans="1:12">
      <c r="D78" s="274"/>
      <c r="K78" s="274"/>
    </row>
    <row r="79" spans="1:12">
      <c r="D79" s="274"/>
      <c r="K79" s="274"/>
    </row>
    <row r="80" spans="1:12">
      <c r="D80" s="274"/>
      <c r="K80" s="274"/>
    </row>
    <row r="81" spans="4:11">
      <c r="D81" s="274"/>
      <c r="K81" s="274"/>
    </row>
    <row r="82" spans="4:11">
      <c r="D82" s="274"/>
      <c r="K82" s="274"/>
    </row>
    <row r="83" spans="4:11">
      <c r="D83" s="274"/>
      <c r="K83" s="274"/>
    </row>
    <row r="84" spans="4:11">
      <c r="D84" s="274"/>
      <c r="K84" s="274"/>
    </row>
    <row r="85" spans="4:11">
      <c r="D85" s="274"/>
      <c r="K85" s="274"/>
    </row>
    <row r="86" spans="4:11">
      <c r="D86" s="274"/>
      <c r="K86" s="274"/>
    </row>
    <row r="87" spans="4:11">
      <c r="D87" s="274"/>
      <c r="K87" s="274"/>
    </row>
    <row r="88" spans="4:11">
      <c r="D88" s="274"/>
      <c r="K88" s="274"/>
    </row>
    <row r="89" spans="4:11">
      <c r="D89" s="274"/>
      <c r="K89" s="274"/>
    </row>
    <row r="90" spans="4:11">
      <c r="D90" s="274"/>
      <c r="K90" s="274"/>
    </row>
    <row r="91" spans="4:11">
      <c r="D91" s="274"/>
      <c r="K91" s="274"/>
    </row>
    <row r="92" spans="4:11">
      <c r="D92" s="274"/>
      <c r="K92" s="274"/>
    </row>
    <row r="93" spans="4:11">
      <c r="D93" s="274"/>
      <c r="K93" s="274"/>
    </row>
    <row r="94" spans="4:11">
      <c r="D94" s="274"/>
      <c r="K94" s="274"/>
    </row>
    <row r="95" spans="4:11">
      <c r="D95" s="274"/>
      <c r="K95" s="274"/>
    </row>
    <row r="96" spans="4:11">
      <c r="D96" s="274"/>
      <c r="K96" s="274"/>
    </row>
    <row r="97" spans="4:11">
      <c r="D97" s="274"/>
      <c r="K97" s="274"/>
    </row>
    <row r="98" spans="4:11">
      <c r="D98" s="274"/>
      <c r="K98" s="274"/>
    </row>
    <row r="99" spans="4:11">
      <c r="D99" s="274"/>
      <c r="K99" s="274"/>
    </row>
    <row r="100" spans="4:11">
      <c r="D100" s="274"/>
      <c r="K100" s="274"/>
    </row>
    <row r="101" spans="4:11">
      <c r="D101" s="274"/>
      <c r="K101" s="274"/>
    </row>
    <row r="102" spans="4:11">
      <c r="D102" s="274"/>
      <c r="K102" s="274"/>
    </row>
    <row r="103" spans="4:11">
      <c r="D103" s="274"/>
      <c r="K103" s="274"/>
    </row>
    <row r="104" spans="4:11">
      <c r="D104" s="274"/>
      <c r="K104" s="274"/>
    </row>
    <row r="105" spans="4:11">
      <c r="D105" s="274"/>
      <c r="K105" s="274"/>
    </row>
    <row r="106" spans="4:11">
      <c r="D106" s="274"/>
      <c r="K106" s="274"/>
    </row>
    <row r="107" spans="4:11">
      <c r="D107" s="274"/>
      <c r="K107" s="274"/>
    </row>
    <row r="108" spans="4:11">
      <c r="D108" s="274"/>
      <c r="K108" s="274"/>
    </row>
    <row r="109" spans="4:11">
      <c r="D109" s="274"/>
      <c r="K109" s="274"/>
    </row>
    <row r="110" spans="4:11">
      <c r="D110" s="274"/>
      <c r="K110" s="274"/>
    </row>
    <row r="111" spans="4:11">
      <c r="D111" s="274"/>
      <c r="K111" s="274"/>
    </row>
    <row r="112" spans="4:11">
      <c r="D112" s="274"/>
      <c r="K112" s="274"/>
    </row>
    <row r="113" spans="4:11">
      <c r="D113" s="274"/>
      <c r="K113" s="274"/>
    </row>
    <row r="114" spans="4:11">
      <c r="D114" s="274"/>
      <c r="K114" s="274"/>
    </row>
    <row r="115" spans="4:11">
      <c r="D115" s="274"/>
      <c r="K115" s="274"/>
    </row>
    <row r="116" spans="4:11">
      <c r="D116" s="274"/>
      <c r="K116" s="274"/>
    </row>
    <row r="117" spans="4:11">
      <c r="D117" s="274"/>
      <c r="K117" s="274"/>
    </row>
    <row r="118" spans="4:11">
      <c r="D118" s="274"/>
      <c r="K118" s="274"/>
    </row>
    <row r="119" spans="4:11">
      <c r="D119" s="274"/>
      <c r="K119" s="274"/>
    </row>
    <row r="120" spans="4:11">
      <c r="D120" s="274"/>
      <c r="K120" s="274"/>
    </row>
    <row r="121" spans="4:11">
      <c r="D121" s="274"/>
      <c r="K121" s="274"/>
    </row>
    <row r="122" spans="4:11">
      <c r="D122" s="274"/>
      <c r="K122" s="274"/>
    </row>
    <row r="123" spans="4:11">
      <c r="D123" s="274"/>
      <c r="K123" s="274"/>
    </row>
    <row r="124" spans="4:11">
      <c r="D124" s="274"/>
      <c r="K124" s="274"/>
    </row>
    <row r="125" spans="4:11">
      <c r="D125" s="274"/>
      <c r="K125" s="274"/>
    </row>
    <row r="126" spans="4:11">
      <c r="D126" s="274"/>
      <c r="K126" s="274"/>
    </row>
    <row r="127" spans="4:11">
      <c r="D127" s="274"/>
      <c r="K127" s="274"/>
    </row>
    <row r="128" spans="4:11">
      <c r="D128" s="274"/>
      <c r="K128" s="274"/>
    </row>
    <row r="129" spans="4:11">
      <c r="D129" s="274"/>
      <c r="K129" s="274"/>
    </row>
    <row r="130" spans="4:11">
      <c r="D130" s="274"/>
      <c r="K130" s="274"/>
    </row>
    <row r="131" spans="4:11">
      <c r="D131" s="274"/>
      <c r="K131" s="274"/>
    </row>
    <row r="132" spans="4:11">
      <c r="D132" s="274"/>
      <c r="K132" s="274"/>
    </row>
    <row r="133" spans="4:11">
      <c r="D133" s="274"/>
      <c r="K133" s="274"/>
    </row>
    <row r="134" spans="4:11">
      <c r="D134" s="274"/>
      <c r="K134" s="274"/>
    </row>
    <row r="135" spans="4:11">
      <c r="D135" s="274"/>
      <c r="K135" s="274"/>
    </row>
    <row r="136" spans="4:11">
      <c r="D136" s="274"/>
      <c r="K136" s="274"/>
    </row>
    <row r="137" spans="4:11">
      <c r="D137" s="274"/>
      <c r="K137" s="274"/>
    </row>
    <row r="138" spans="4:11">
      <c r="D138" s="274"/>
      <c r="K138" s="274"/>
    </row>
    <row r="139" spans="4:11">
      <c r="D139" s="274"/>
      <c r="K139" s="274"/>
    </row>
    <row r="140" spans="4:11">
      <c r="D140" s="274"/>
      <c r="K140" s="274"/>
    </row>
    <row r="141" spans="4:11">
      <c r="D141" s="274"/>
      <c r="K141" s="274"/>
    </row>
    <row r="142" spans="4:11">
      <c r="D142" s="274"/>
      <c r="K142" s="274"/>
    </row>
    <row r="143" spans="4:11">
      <c r="D143" s="274"/>
      <c r="K143" s="274"/>
    </row>
    <row r="144" spans="4:11">
      <c r="D144" s="274"/>
      <c r="K144" s="274"/>
    </row>
    <row r="145" spans="4:11">
      <c r="D145" s="274"/>
      <c r="K145" s="274"/>
    </row>
    <row r="146" spans="4:11">
      <c r="D146" s="274"/>
      <c r="K146" s="274"/>
    </row>
    <row r="147" spans="4:11">
      <c r="D147" s="274"/>
      <c r="K147" s="274"/>
    </row>
    <row r="148" spans="4:11">
      <c r="D148" s="274"/>
      <c r="K148" s="274"/>
    </row>
    <row r="149" spans="4:11">
      <c r="D149" s="274"/>
      <c r="K149" s="274"/>
    </row>
    <row r="150" spans="4:11">
      <c r="D150" s="274"/>
      <c r="K150" s="274"/>
    </row>
    <row r="151" spans="4:11">
      <c r="D151" s="274"/>
      <c r="K151" s="274"/>
    </row>
    <row r="152" spans="4:11">
      <c r="D152" s="274"/>
      <c r="K152" s="274"/>
    </row>
    <row r="153" spans="4:11">
      <c r="D153" s="274"/>
      <c r="K153" s="274"/>
    </row>
    <row r="154" spans="4:11">
      <c r="D154" s="274"/>
      <c r="K154" s="274"/>
    </row>
    <row r="155" spans="4:11">
      <c r="D155" s="274"/>
      <c r="K155" s="274"/>
    </row>
    <row r="156" spans="4:11">
      <c r="D156" s="274"/>
      <c r="K156" s="274"/>
    </row>
    <row r="157" spans="4:11">
      <c r="D157" s="274"/>
      <c r="K157" s="274"/>
    </row>
    <row r="158" spans="4:11">
      <c r="D158" s="274"/>
      <c r="K158" s="274"/>
    </row>
    <row r="159" spans="4:11">
      <c r="D159" s="274"/>
      <c r="K159" s="274"/>
    </row>
    <row r="160" spans="4:11">
      <c r="D160" s="274"/>
      <c r="K160" s="274"/>
    </row>
    <row r="161" spans="4:11">
      <c r="D161" s="274"/>
      <c r="K161" s="274"/>
    </row>
    <row r="162" spans="4:11">
      <c r="D162" s="274"/>
      <c r="K162" s="274"/>
    </row>
    <row r="163" spans="4:11">
      <c r="D163" s="274"/>
      <c r="K163" s="274"/>
    </row>
    <row r="164" spans="4:11">
      <c r="D164" s="274"/>
      <c r="K164" s="274"/>
    </row>
    <row r="165" spans="4:11">
      <c r="D165" s="274"/>
      <c r="K165" s="274"/>
    </row>
    <row r="166" spans="4:11">
      <c r="D166" s="274"/>
      <c r="K166" s="274"/>
    </row>
    <row r="167" spans="4:11">
      <c r="D167" s="274"/>
      <c r="K167" s="274"/>
    </row>
    <row r="168" spans="4:11">
      <c r="D168" s="274"/>
      <c r="K168" s="274"/>
    </row>
    <row r="169" spans="4:11">
      <c r="D169" s="274"/>
      <c r="K169" s="274"/>
    </row>
    <row r="170" spans="4:11">
      <c r="D170" s="274"/>
      <c r="K170" s="274"/>
    </row>
    <row r="171" spans="4:11">
      <c r="D171" s="274"/>
      <c r="K171" s="274"/>
    </row>
    <row r="172" spans="4:11">
      <c r="D172" s="274"/>
      <c r="K172" s="274"/>
    </row>
    <row r="173" spans="4:11">
      <c r="D173" s="274"/>
      <c r="K173" s="274"/>
    </row>
    <row r="174" spans="4:11">
      <c r="D174" s="274"/>
      <c r="K174" s="274"/>
    </row>
    <row r="175" spans="4:11">
      <c r="D175" s="274"/>
      <c r="K175" s="274"/>
    </row>
    <row r="176" spans="4:11">
      <c r="D176" s="274"/>
      <c r="K176" s="274"/>
    </row>
    <row r="177" spans="4:11">
      <c r="D177" s="274"/>
      <c r="K177" s="274"/>
    </row>
    <row r="178" spans="4:11">
      <c r="D178" s="274"/>
      <c r="K178" s="274"/>
    </row>
    <row r="179" spans="4:11">
      <c r="D179" s="274"/>
      <c r="K179" s="274"/>
    </row>
    <row r="180" spans="4:11">
      <c r="D180" s="274"/>
      <c r="K180" s="274"/>
    </row>
    <row r="181" spans="4:11">
      <c r="D181" s="274"/>
      <c r="K181" s="274"/>
    </row>
    <row r="182" spans="4:11">
      <c r="D182" s="274"/>
      <c r="K182" s="274"/>
    </row>
    <row r="183" spans="4:11">
      <c r="D183" s="274"/>
      <c r="K183" s="274"/>
    </row>
    <row r="184" spans="4:11">
      <c r="D184" s="274"/>
      <c r="K184" s="274"/>
    </row>
    <row r="185" spans="4:11">
      <c r="D185" s="274"/>
      <c r="K185" s="274"/>
    </row>
    <row r="186" spans="4:11">
      <c r="D186" s="274"/>
      <c r="K186" s="274"/>
    </row>
    <row r="187" spans="4:11">
      <c r="D187" s="274"/>
      <c r="K187" s="274"/>
    </row>
    <row r="188" spans="4:11">
      <c r="D188" s="274"/>
      <c r="K188" s="274"/>
    </row>
    <row r="189" spans="4:11">
      <c r="D189" s="274"/>
      <c r="K189" s="274"/>
    </row>
    <row r="190" spans="4:11">
      <c r="D190" s="274"/>
      <c r="K190" s="274"/>
    </row>
    <row r="191" spans="4:11">
      <c r="D191" s="274"/>
      <c r="K191" s="274"/>
    </row>
    <row r="192" spans="4:11">
      <c r="D192" s="274"/>
      <c r="K192" s="274"/>
    </row>
    <row r="193" spans="4:11">
      <c r="D193" s="274"/>
      <c r="K193" s="274"/>
    </row>
    <row r="194" spans="4:11">
      <c r="D194" s="274"/>
      <c r="K194" s="274"/>
    </row>
    <row r="195" spans="4:11">
      <c r="D195" s="274"/>
      <c r="K195" s="274"/>
    </row>
    <row r="196" spans="4:11">
      <c r="D196" s="274"/>
      <c r="K196" s="274"/>
    </row>
    <row r="197" spans="4:11">
      <c r="D197" s="274"/>
      <c r="K197" s="274"/>
    </row>
    <row r="198" spans="4:11">
      <c r="D198" s="274"/>
      <c r="K198" s="274"/>
    </row>
    <row r="199" spans="4:11">
      <c r="D199" s="274"/>
      <c r="K199" s="274"/>
    </row>
    <row r="200" spans="4:11">
      <c r="D200" s="274"/>
      <c r="K200" s="274"/>
    </row>
    <row r="201" spans="4:11">
      <c r="D201" s="274"/>
      <c r="K201" s="274"/>
    </row>
    <row r="202" spans="4:11">
      <c r="D202" s="274"/>
      <c r="K202" s="274"/>
    </row>
    <row r="203" spans="4:11">
      <c r="D203" s="274"/>
      <c r="K203" s="274"/>
    </row>
    <row r="204" spans="4:11">
      <c r="D204" s="274"/>
      <c r="K204" s="274"/>
    </row>
    <row r="205" spans="4:11">
      <c r="D205" s="274"/>
      <c r="K205" s="274"/>
    </row>
    <row r="206" spans="4:11">
      <c r="D206" s="274"/>
      <c r="K206" s="274"/>
    </row>
    <row r="207" spans="4:11">
      <c r="D207" s="274"/>
      <c r="K207" s="274"/>
    </row>
    <row r="208" spans="4:11">
      <c r="D208" s="274"/>
      <c r="K208" s="274"/>
    </row>
    <row r="209" spans="4:11">
      <c r="D209" s="274"/>
      <c r="K209" s="274"/>
    </row>
    <row r="210" spans="4:11">
      <c r="D210" s="274"/>
      <c r="K210" s="274"/>
    </row>
    <row r="211" spans="4:11">
      <c r="D211" s="274"/>
      <c r="K211" s="274"/>
    </row>
    <row r="212" spans="4:11">
      <c r="D212" s="274"/>
      <c r="K212" s="274"/>
    </row>
    <row r="213" spans="4:11">
      <c r="D213" s="274"/>
      <c r="K213" s="274"/>
    </row>
    <row r="214" spans="4:11">
      <c r="D214" s="274"/>
      <c r="K214" s="274"/>
    </row>
    <row r="215" spans="4:11">
      <c r="D215" s="274"/>
      <c r="K215" s="274"/>
    </row>
    <row r="216" spans="4:11">
      <c r="D216" s="274"/>
      <c r="K216" s="274"/>
    </row>
    <row r="217" spans="4:11">
      <c r="D217" s="274"/>
      <c r="K217" s="274"/>
    </row>
    <row r="218" spans="4:11">
      <c r="D218" s="274"/>
      <c r="K218" s="274"/>
    </row>
    <row r="219" spans="4:11">
      <c r="D219" s="274"/>
      <c r="K219" s="274"/>
    </row>
    <row r="220" spans="4:11">
      <c r="D220" s="274"/>
      <c r="K220" s="274"/>
    </row>
    <row r="221" spans="4:11">
      <c r="D221" s="274"/>
      <c r="K221" s="274"/>
    </row>
    <row r="222" spans="4:11">
      <c r="D222" s="274"/>
      <c r="K222" s="274"/>
    </row>
    <row r="223" spans="4:11">
      <c r="D223" s="274"/>
      <c r="K223" s="274"/>
    </row>
    <row r="224" spans="4:11">
      <c r="D224" s="274"/>
      <c r="K224" s="274"/>
    </row>
    <row r="225" spans="4:11">
      <c r="D225" s="274"/>
      <c r="K225" s="274"/>
    </row>
    <row r="226" spans="4:11">
      <c r="D226" s="274"/>
      <c r="K226" s="274"/>
    </row>
    <row r="227" spans="4:11">
      <c r="D227" s="274"/>
      <c r="K227" s="274"/>
    </row>
    <row r="228" spans="4:11">
      <c r="D228" s="274"/>
      <c r="K228" s="274"/>
    </row>
    <row r="229" spans="4:11">
      <c r="D229" s="274"/>
      <c r="K229" s="274"/>
    </row>
    <row r="230" spans="4:11">
      <c r="D230" s="274"/>
      <c r="K230" s="274"/>
    </row>
    <row r="231" spans="4:11">
      <c r="D231" s="274"/>
      <c r="K231" s="274"/>
    </row>
    <row r="232" spans="4:11">
      <c r="D232" s="274"/>
      <c r="K232" s="274"/>
    </row>
    <row r="233" spans="4:11">
      <c r="D233" s="274"/>
      <c r="K233" s="274"/>
    </row>
    <row r="234" spans="4:11">
      <c r="D234" s="274"/>
      <c r="K234" s="274"/>
    </row>
    <row r="235" spans="4:11">
      <c r="D235" s="274"/>
      <c r="K235" s="274"/>
    </row>
    <row r="236" spans="4:11">
      <c r="D236" s="274"/>
      <c r="K236" s="274"/>
    </row>
    <row r="237" spans="4:11">
      <c r="D237" s="274"/>
      <c r="K237" s="274"/>
    </row>
    <row r="238" spans="4:11">
      <c r="D238" s="274"/>
      <c r="K238" s="274"/>
    </row>
    <row r="239" spans="4:11">
      <c r="D239" s="274"/>
      <c r="K239" s="274"/>
    </row>
    <row r="240" spans="4:11">
      <c r="D240" s="274"/>
      <c r="K240" s="274"/>
    </row>
    <row r="241" spans="4:11">
      <c r="D241" s="274"/>
      <c r="K241" s="274"/>
    </row>
    <row r="242" spans="4:11">
      <c r="D242" s="274"/>
      <c r="K242" s="274"/>
    </row>
    <row r="243" spans="4:11">
      <c r="D243" s="274"/>
      <c r="K243" s="274"/>
    </row>
    <row r="244" spans="4:11">
      <c r="D244" s="274"/>
      <c r="K244" s="274"/>
    </row>
    <row r="245" spans="4:11">
      <c r="D245" s="274"/>
      <c r="K245" s="274"/>
    </row>
    <row r="246" spans="4:11">
      <c r="D246" s="274"/>
      <c r="K246" s="274"/>
    </row>
    <row r="247" spans="4:11">
      <c r="D247" s="274"/>
      <c r="K247" s="274"/>
    </row>
    <row r="248" spans="4:11">
      <c r="D248" s="274"/>
      <c r="K248" s="274"/>
    </row>
    <row r="249" spans="4:11">
      <c r="D249" s="274"/>
      <c r="K249" s="274"/>
    </row>
    <row r="250" spans="4:11">
      <c r="D250" s="274"/>
      <c r="K250" s="274"/>
    </row>
    <row r="251" spans="4:11">
      <c r="D251" s="274"/>
      <c r="K251" s="274"/>
    </row>
    <row r="252" spans="4:11">
      <c r="D252" s="274"/>
      <c r="K252" s="274"/>
    </row>
    <row r="253" spans="4:11">
      <c r="D253" s="274"/>
      <c r="K253" s="274"/>
    </row>
    <row r="254" spans="4:11">
      <c r="D254" s="274"/>
      <c r="K254" s="274"/>
    </row>
    <row r="255" spans="4:11">
      <c r="D255" s="274"/>
      <c r="K255" s="274"/>
    </row>
    <row r="256" spans="4:11">
      <c r="D256" s="274"/>
      <c r="K256" s="274"/>
    </row>
    <row r="257" spans="4:11">
      <c r="D257" s="274"/>
      <c r="K257" s="274"/>
    </row>
    <row r="258" spans="4:11">
      <c r="D258" s="274"/>
      <c r="K258" s="274"/>
    </row>
    <row r="259" spans="4:11">
      <c r="D259" s="274"/>
      <c r="K259" s="274"/>
    </row>
    <row r="260" spans="4:11">
      <c r="D260" s="274"/>
      <c r="K260" s="274"/>
    </row>
    <row r="261" spans="4:11">
      <c r="D261" s="274"/>
      <c r="K261" s="274"/>
    </row>
    <row r="262" spans="4:11">
      <c r="D262" s="274"/>
      <c r="K262" s="274"/>
    </row>
    <row r="263" spans="4:11">
      <c r="D263" s="274"/>
      <c r="K263" s="274"/>
    </row>
    <row r="264" spans="4:11">
      <c r="D264" s="274"/>
      <c r="K264" s="274"/>
    </row>
    <row r="265" spans="4:11">
      <c r="D265" s="274"/>
      <c r="K265" s="274"/>
    </row>
    <row r="266" spans="4:11">
      <c r="D266" s="274"/>
      <c r="K266" s="274"/>
    </row>
    <row r="267" spans="4:11">
      <c r="D267" s="274"/>
      <c r="K267" s="274"/>
    </row>
    <row r="268" spans="4:11">
      <c r="D268" s="274"/>
      <c r="K268" s="274"/>
    </row>
    <row r="269" spans="4:11">
      <c r="D269" s="274"/>
      <c r="K269" s="274"/>
    </row>
    <row r="270" spans="4:11">
      <c r="D270" s="274"/>
      <c r="K270" s="274"/>
    </row>
    <row r="271" spans="4:11">
      <c r="D271" s="274"/>
      <c r="K271" s="274"/>
    </row>
    <row r="272" spans="4:11">
      <c r="D272" s="274"/>
      <c r="K272" s="274"/>
    </row>
    <row r="273" spans="4:11">
      <c r="D273" s="274"/>
      <c r="K273" s="274"/>
    </row>
    <row r="274" spans="4:11">
      <c r="D274" s="274"/>
      <c r="K274" s="274"/>
    </row>
    <row r="275" spans="4:11">
      <c r="D275" s="274"/>
      <c r="K275" s="274"/>
    </row>
    <row r="276" spans="4:11">
      <c r="D276" s="274"/>
      <c r="K276" s="274"/>
    </row>
    <row r="277" spans="4:11">
      <c r="D277" s="274"/>
      <c r="K277" s="274"/>
    </row>
    <row r="278" spans="4:11">
      <c r="D278" s="274"/>
      <c r="K278" s="274"/>
    </row>
    <row r="279" spans="4:11">
      <c r="D279" s="274"/>
      <c r="K279" s="274"/>
    </row>
    <row r="280" spans="4:11">
      <c r="D280" s="274"/>
      <c r="K280" s="274"/>
    </row>
    <row r="281" spans="4:11">
      <c r="D281" s="274"/>
      <c r="K281" s="274"/>
    </row>
    <row r="282" spans="4:11">
      <c r="D282" s="274"/>
      <c r="K282" s="274"/>
    </row>
    <row r="283" spans="4:11">
      <c r="D283" s="274"/>
      <c r="K283" s="274"/>
    </row>
    <row r="284" spans="4:11">
      <c r="D284" s="274"/>
      <c r="K284" s="274"/>
    </row>
    <row r="285" spans="4:11">
      <c r="D285" s="274"/>
      <c r="K285" s="274"/>
    </row>
    <row r="286" spans="4:11">
      <c r="D286" s="274"/>
      <c r="K286" s="274"/>
    </row>
    <row r="287" spans="4:11">
      <c r="D287" s="274"/>
      <c r="K287" s="274"/>
    </row>
    <row r="288" spans="4:11">
      <c r="D288" s="274"/>
      <c r="K288" s="274"/>
    </row>
    <row r="289" spans="4:11">
      <c r="D289" s="274"/>
      <c r="K289" s="274"/>
    </row>
    <row r="290" spans="4:11">
      <c r="D290" s="274"/>
      <c r="K290" s="274"/>
    </row>
    <row r="291" spans="4:11">
      <c r="D291" s="274"/>
      <c r="K291" s="274"/>
    </row>
    <row r="292" spans="4:11">
      <c r="D292" s="274"/>
      <c r="K292" s="274"/>
    </row>
    <row r="293" spans="4:11">
      <c r="D293" s="274"/>
      <c r="K293" s="274"/>
    </row>
    <row r="294" spans="4:11">
      <c r="D294" s="274"/>
      <c r="K294" s="274"/>
    </row>
    <row r="295" spans="4:11">
      <c r="D295" s="274"/>
      <c r="K295" s="274"/>
    </row>
    <row r="296" spans="4:11">
      <c r="D296" s="274"/>
      <c r="K296" s="274"/>
    </row>
    <row r="297" spans="4:11">
      <c r="D297" s="274"/>
      <c r="K297" s="274"/>
    </row>
    <row r="298" spans="4:11">
      <c r="D298" s="274"/>
      <c r="K298" s="274"/>
    </row>
    <row r="299" spans="4:11">
      <c r="D299" s="274"/>
      <c r="K299" s="274"/>
    </row>
    <row r="300" spans="4:11">
      <c r="D300" s="274"/>
      <c r="K300" s="274"/>
    </row>
    <row r="301" spans="4:11">
      <c r="D301" s="274"/>
      <c r="K301" s="274"/>
    </row>
    <row r="302" spans="4:11">
      <c r="D302" s="274"/>
      <c r="K302" s="274"/>
    </row>
    <row r="303" spans="4:11">
      <c r="D303" s="274"/>
      <c r="K303" s="274"/>
    </row>
    <row r="304" spans="4:11">
      <c r="D304" s="274"/>
      <c r="K304" s="274"/>
    </row>
    <row r="305" spans="4:11">
      <c r="D305" s="274"/>
      <c r="K305" s="274"/>
    </row>
    <row r="306" spans="4:11">
      <c r="D306" s="274"/>
      <c r="K306" s="274"/>
    </row>
    <row r="307" spans="4:11">
      <c r="D307" s="274"/>
      <c r="K307" s="274"/>
    </row>
    <row r="308" spans="4:11">
      <c r="D308" s="274"/>
      <c r="K308" s="274"/>
    </row>
    <row r="309" spans="4:11">
      <c r="D309" s="274"/>
      <c r="K309" s="274"/>
    </row>
    <row r="310" spans="4:11">
      <c r="D310" s="274"/>
      <c r="K310" s="274"/>
    </row>
    <row r="311" spans="4:11">
      <c r="D311" s="274"/>
      <c r="K311" s="274"/>
    </row>
    <row r="312" spans="4:11">
      <c r="D312" s="274"/>
      <c r="K312" s="274"/>
    </row>
    <row r="313" spans="4:11">
      <c r="D313" s="274"/>
      <c r="K313" s="274"/>
    </row>
    <row r="314" spans="4:11">
      <c r="D314" s="274"/>
      <c r="K314" s="274"/>
    </row>
    <row r="315" spans="4:11">
      <c r="D315" s="274"/>
      <c r="K315" s="274"/>
    </row>
    <row r="316" spans="4:11">
      <c r="D316" s="274"/>
      <c r="K316" s="274"/>
    </row>
    <row r="317" spans="4:11">
      <c r="D317" s="274"/>
      <c r="K317" s="274"/>
    </row>
    <row r="318" spans="4:11">
      <c r="D318" s="274"/>
      <c r="K318" s="274"/>
    </row>
    <row r="319" spans="4:11">
      <c r="D319" s="274"/>
      <c r="K319" s="274"/>
    </row>
    <row r="320" spans="4:11">
      <c r="D320" s="274"/>
      <c r="K320" s="274"/>
    </row>
    <row r="321" spans="4:11">
      <c r="D321" s="274"/>
      <c r="K321" s="274"/>
    </row>
    <row r="322" spans="4:11">
      <c r="D322" s="274"/>
      <c r="K322" s="274"/>
    </row>
    <row r="323" spans="4:11">
      <c r="D323" s="274"/>
      <c r="K323" s="274"/>
    </row>
    <row r="324" spans="4:11">
      <c r="D324" s="274"/>
      <c r="K324" s="274"/>
    </row>
    <row r="325" spans="4:11">
      <c r="D325" s="274"/>
      <c r="K325" s="274"/>
    </row>
    <row r="326" spans="4:11">
      <c r="D326" s="274"/>
      <c r="K326" s="274"/>
    </row>
    <row r="327" spans="4:11">
      <c r="D327" s="274"/>
      <c r="K327" s="274"/>
    </row>
    <row r="328" spans="4:11">
      <c r="D328" s="274"/>
      <c r="K328" s="274"/>
    </row>
    <row r="329" spans="4:11">
      <c r="D329" s="274"/>
      <c r="K329" s="274"/>
    </row>
    <row r="330" spans="4:11">
      <c r="D330" s="274"/>
      <c r="K330" s="274"/>
    </row>
    <row r="331" spans="4:11">
      <c r="D331" s="274"/>
      <c r="K331" s="274"/>
    </row>
    <row r="332" spans="4:11">
      <c r="D332" s="274"/>
      <c r="K332" s="274"/>
    </row>
    <row r="333" spans="4:11">
      <c r="D333" s="274"/>
      <c r="K333" s="274"/>
    </row>
    <row r="334" spans="4:11">
      <c r="D334" s="274"/>
      <c r="K334" s="274"/>
    </row>
    <row r="335" spans="4:11">
      <c r="D335" s="274"/>
      <c r="K335" s="274"/>
    </row>
    <row r="336" spans="4:11">
      <c r="D336" s="274"/>
      <c r="K336" s="274"/>
    </row>
    <row r="337" spans="4:11">
      <c r="D337" s="274"/>
      <c r="K337" s="274"/>
    </row>
    <row r="338" spans="4:11">
      <c r="D338" s="274"/>
      <c r="K338" s="274"/>
    </row>
    <row r="339" spans="4:11">
      <c r="D339" s="274"/>
      <c r="K339" s="274"/>
    </row>
    <row r="340" spans="4:11">
      <c r="D340" s="274"/>
      <c r="K340" s="274"/>
    </row>
    <row r="341" spans="4:11">
      <c r="D341" s="274"/>
      <c r="K341" s="274"/>
    </row>
    <row r="342" spans="4:11">
      <c r="D342" s="274"/>
      <c r="K342" s="274"/>
    </row>
    <row r="343" spans="4:11">
      <c r="D343" s="274"/>
      <c r="K343" s="274"/>
    </row>
    <row r="344" spans="4:11">
      <c r="D344" s="274"/>
      <c r="K344" s="274"/>
    </row>
    <row r="345" spans="4:11">
      <c r="D345" s="274"/>
      <c r="K345" s="274"/>
    </row>
    <row r="346" spans="4:11">
      <c r="D346" s="274"/>
      <c r="K346" s="274"/>
    </row>
    <row r="347" spans="4:11">
      <c r="D347" s="274"/>
      <c r="K347" s="274"/>
    </row>
    <row r="348" spans="4:11">
      <c r="D348" s="274"/>
      <c r="K348" s="274"/>
    </row>
    <row r="349" spans="4:11">
      <c r="D349" s="274"/>
      <c r="K349" s="274"/>
    </row>
    <row r="350" spans="4:11">
      <c r="D350" s="274"/>
      <c r="K350" s="274"/>
    </row>
    <row r="351" spans="4:11">
      <c r="D351" s="274"/>
      <c r="K351" s="274"/>
    </row>
    <row r="352" spans="4:11">
      <c r="D352" s="274"/>
      <c r="K352" s="274"/>
    </row>
    <row r="353" spans="4:11">
      <c r="D353" s="274"/>
      <c r="K353" s="274"/>
    </row>
    <row r="354" spans="4:11">
      <c r="D354" s="274"/>
      <c r="K354" s="274"/>
    </row>
    <row r="355" spans="4:11">
      <c r="D355" s="274"/>
      <c r="K355" s="274"/>
    </row>
    <row r="356" spans="4:11">
      <c r="D356" s="274"/>
      <c r="K356" s="274"/>
    </row>
    <row r="357" spans="4:11">
      <c r="D357" s="274"/>
      <c r="K357" s="274"/>
    </row>
    <row r="358" spans="4:11">
      <c r="D358" s="274"/>
      <c r="K358" s="274"/>
    </row>
    <row r="359" spans="4:11">
      <c r="D359" s="274"/>
      <c r="K359" s="274"/>
    </row>
    <row r="360" spans="4:11">
      <c r="D360" s="274"/>
      <c r="K360" s="274"/>
    </row>
    <row r="361" spans="4:11">
      <c r="D361" s="274"/>
      <c r="K361" s="274"/>
    </row>
    <row r="362" spans="4:11">
      <c r="D362" s="274"/>
      <c r="K362" s="274"/>
    </row>
    <row r="363" spans="4:11">
      <c r="D363" s="274"/>
      <c r="K363" s="274"/>
    </row>
    <row r="364" spans="4:11">
      <c r="D364" s="274"/>
      <c r="K364" s="274"/>
    </row>
    <row r="365" spans="4:11">
      <c r="D365" s="274"/>
      <c r="K365" s="274"/>
    </row>
    <row r="366" spans="4:11">
      <c r="D366" s="274"/>
      <c r="K366" s="274"/>
    </row>
    <row r="367" spans="4:11">
      <c r="D367" s="274"/>
      <c r="K367" s="274"/>
    </row>
    <row r="368" spans="4:11">
      <c r="D368" s="274"/>
      <c r="K368" s="274"/>
    </row>
    <row r="369" spans="4:11">
      <c r="D369" s="274"/>
      <c r="K369" s="274"/>
    </row>
    <row r="370" spans="4:11">
      <c r="D370" s="274"/>
      <c r="K370" s="274"/>
    </row>
    <row r="371" spans="4:11">
      <c r="D371" s="274"/>
      <c r="K371" s="274"/>
    </row>
    <row r="372" spans="4:11">
      <c r="D372" s="274"/>
      <c r="K372" s="274"/>
    </row>
    <row r="373" spans="4:11">
      <c r="D373" s="274"/>
      <c r="K373" s="274"/>
    </row>
    <row r="374" spans="4:11">
      <c r="D374" s="274"/>
      <c r="K374" s="274"/>
    </row>
    <row r="375" spans="4:11">
      <c r="D375" s="274"/>
      <c r="K375" s="274"/>
    </row>
    <row r="376" spans="4:11">
      <c r="D376" s="274"/>
      <c r="K376" s="274"/>
    </row>
    <row r="377" spans="4:11">
      <c r="D377" s="274"/>
      <c r="K377" s="274"/>
    </row>
    <row r="378" spans="4:11">
      <c r="D378" s="274"/>
      <c r="K378" s="274"/>
    </row>
    <row r="379" spans="4:11">
      <c r="D379" s="274"/>
      <c r="K379" s="274"/>
    </row>
    <row r="380" spans="4:11">
      <c r="D380" s="274"/>
      <c r="K380" s="274"/>
    </row>
    <row r="381" spans="4:11">
      <c r="D381" s="274"/>
      <c r="K381" s="274"/>
    </row>
    <row r="382" spans="4:11">
      <c r="D382" s="274"/>
      <c r="K382" s="274"/>
    </row>
    <row r="383" spans="4:11">
      <c r="D383" s="274"/>
      <c r="K383" s="274"/>
    </row>
    <row r="384" spans="4:11">
      <c r="D384" s="274"/>
      <c r="K384" s="274"/>
    </row>
    <row r="385" spans="4:11">
      <c r="D385" s="274"/>
      <c r="K385" s="274"/>
    </row>
    <row r="386" spans="4:11">
      <c r="D386" s="274"/>
      <c r="K386" s="274"/>
    </row>
    <row r="387" spans="4:11">
      <c r="D387" s="274"/>
      <c r="K387" s="274"/>
    </row>
    <row r="388" spans="4:11">
      <c r="D388" s="274"/>
      <c r="K388" s="274"/>
    </row>
    <row r="389" spans="4:11">
      <c r="D389" s="274"/>
      <c r="K389" s="274"/>
    </row>
    <row r="390" spans="4:11">
      <c r="D390" s="274"/>
      <c r="K390" s="274"/>
    </row>
    <row r="391" spans="4:11">
      <c r="D391" s="274"/>
      <c r="K391" s="274"/>
    </row>
    <row r="392" spans="4:11">
      <c r="D392" s="274"/>
      <c r="K392" s="274"/>
    </row>
    <row r="393" spans="4:11">
      <c r="D393" s="274"/>
      <c r="K393" s="274"/>
    </row>
    <row r="394" spans="4:11">
      <c r="D394" s="274"/>
      <c r="K394" s="274"/>
    </row>
    <row r="395" spans="4:11">
      <c r="D395" s="274"/>
      <c r="K395" s="274"/>
    </row>
    <row r="396" spans="4:11">
      <c r="D396" s="274"/>
      <c r="K396" s="274"/>
    </row>
    <row r="397" spans="4:11">
      <c r="D397" s="274"/>
      <c r="K397" s="274"/>
    </row>
    <row r="398" spans="4:11">
      <c r="D398" s="274"/>
      <c r="K398" s="274"/>
    </row>
    <row r="399" spans="4:11">
      <c r="D399" s="274"/>
      <c r="K399" s="274"/>
    </row>
    <row r="400" spans="4:11">
      <c r="D400" s="274"/>
      <c r="K400" s="274"/>
    </row>
    <row r="401" spans="4:11">
      <c r="D401" s="274"/>
      <c r="K401" s="274"/>
    </row>
    <row r="402" spans="4:11">
      <c r="D402" s="274"/>
      <c r="K402" s="274"/>
    </row>
    <row r="403" spans="4:11">
      <c r="D403" s="274"/>
      <c r="K403" s="274"/>
    </row>
    <row r="404" spans="4:11">
      <c r="D404" s="274"/>
      <c r="K404" s="274"/>
    </row>
    <row r="405" spans="4:11">
      <c r="D405" s="274"/>
      <c r="K405" s="274"/>
    </row>
    <row r="406" spans="4:11">
      <c r="D406" s="274"/>
      <c r="K406" s="274"/>
    </row>
    <row r="407" spans="4:11">
      <c r="D407" s="274"/>
      <c r="K407" s="274"/>
    </row>
    <row r="408" spans="4:11">
      <c r="D408" s="274"/>
      <c r="K408" s="274"/>
    </row>
    <row r="409" spans="4:11">
      <c r="D409" s="274"/>
      <c r="K409" s="274"/>
    </row>
    <row r="410" spans="4:11">
      <c r="D410" s="274"/>
      <c r="K410" s="274"/>
    </row>
    <row r="411" spans="4:11">
      <c r="D411" s="274"/>
      <c r="K411" s="274"/>
    </row>
    <row r="412" spans="4:11">
      <c r="D412" s="274"/>
      <c r="K412" s="274"/>
    </row>
    <row r="413" spans="4:11">
      <c r="D413" s="274"/>
      <c r="K413" s="274"/>
    </row>
    <row r="414" spans="4:11">
      <c r="D414" s="274"/>
      <c r="K414" s="274"/>
    </row>
    <row r="415" spans="4:11">
      <c r="D415" s="274"/>
      <c r="K415" s="274"/>
    </row>
    <row r="416" spans="4:11">
      <c r="D416" s="274"/>
      <c r="K416" s="274"/>
    </row>
    <row r="417" spans="4:11">
      <c r="D417" s="274"/>
      <c r="K417" s="274"/>
    </row>
    <row r="418" spans="4:11">
      <c r="D418" s="274"/>
      <c r="K418" s="274"/>
    </row>
    <row r="419" spans="4:11">
      <c r="D419" s="274"/>
      <c r="K419" s="274"/>
    </row>
    <row r="420" spans="4:11">
      <c r="D420" s="274"/>
      <c r="K420" s="274"/>
    </row>
    <row r="421" spans="4:11">
      <c r="D421" s="274"/>
      <c r="K421" s="274"/>
    </row>
    <row r="422" spans="4:11">
      <c r="D422" s="274"/>
      <c r="K422" s="274"/>
    </row>
    <row r="423" spans="4:11">
      <c r="D423" s="274"/>
      <c r="K423" s="274"/>
    </row>
    <row r="424" spans="4:11">
      <c r="D424" s="274"/>
      <c r="K424" s="274"/>
    </row>
    <row r="425" spans="4:11">
      <c r="D425" s="274"/>
      <c r="K425" s="274"/>
    </row>
    <row r="426" spans="4:11">
      <c r="D426" s="274"/>
      <c r="K426" s="274"/>
    </row>
    <row r="427" spans="4:11">
      <c r="D427" s="274"/>
      <c r="K427" s="274"/>
    </row>
    <row r="428" spans="4:11">
      <c r="D428" s="274"/>
      <c r="K428" s="274"/>
    </row>
    <row r="429" spans="4:11">
      <c r="D429" s="274"/>
      <c r="K429" s="274"/>
    </row>
    <row r="430" spans="4:11">
      <c r="D430" s="274"/>
      <c r="K430" s="274"/>
    </row>
    <row r="431" spans="4:11">
      <c r="D431" s="274"/>
      <c r="K431" s="274"/>
    </row>
    <row r="432" spans="4:11">
      <c r="D432" s="274"/>
      <c r="K432" s="274"/>
    </row>
    <row r="433" spans="4:11">
      <c r="D433" s="274"/>
      <c r="K433" s="274"/>
    </row>
    <row r="434" spans="4:11">
      <c r="D434" s="274"/>
      <c r="K434" s="274"/>
    </row>
    <row r="435" spans="4:11">
      <c r="D435" s="274"/>
      <c r="K435" s="274"/>
    </row>
    <row r="436" spans="4:11">
      <c r="D436" s="274"/>
      <c r="K436" s="274"/>
    </row>
    <row r="437" spans="4:11">
      <c r="D437" s="274"/>
      <c r="K437" s="274"/>
    </row>
    <row r="438" spans="4:11">
      <c r="D438" s="274"/>
      <c r="K438" s="274"/>
    </row>
    <row r="439" spans="4:11">
      <c r="D439" s="274"/>
      <c r="K439" s="274"/>
    </row>
    <row r="440" spans="4:11">
      <c r="D440" s="274"/>
      <c r="K440" s="274"/>
    </row>
    <row r="441" spans="4:11">
      <c r="D441" s="274"/>
      <c r="K441" s="274"/>
    </row>
    <row r="442" spans="4:11">
      <c r="D442" s="274"/>
      <c r="K442" s="274"/>
    </row>
    <row r="443" spans="4:11">
      <c r="D443" s="274"/>
      <c r="K443" s="274"/>
    </row>
    <row r="444" spans="4:11">
      <c r="D444" s="274"/>
      <c r="K444" s="274"/>
    </row>
    <row r="445" spans="4:11">
      <c r="D445" s="274"/>
      <c r="K445" s="274"/>
    </row>
    <row r="446" spans="4:11">
      <c r="D446" s="274"/>
      <c r="K446" s="274"/>
    </row>
    <row r="447" spans="4:11">
      <c r="D447" s="274"/>
      <c r="K447" s="274"/>
    </row>
    <row r="448" spans="4:11">
      <c r="D448" s="274"/>
      <c r="K448" s="274"/>
    </row>
    <row r="449" spans="4:11">
      <c r="D449" s="274"/>
      <c r="K449" s="274"/>
    </row>
    <row r="450" spans="4:11">
      <c r="D450" s="274"/>
      <c r="K450" s="274"/>
    </row>
    <row r="451" spans="4:11">
      <c r="D451" s="274"/>
      <c r="K451" s="274"/>
    </row>
    <row r="452" spans="4:11">
      <c r="D452" s="274"/>
      <c r="K452" s="274"/>
    </row>
    <row r="453" spans="4:11">
      <c r="D453" s="274"/>
      <c r="K453" s="274"/>
    </row>
    <row r="454" spans="4:11">
      <c r="D454" s="274"/>
      <c r="K454" s="274"/>
    </row>
    <row r="455" spans="4:11">
      <c r="D455" s="274"/>
      <c r="K455" s="274"/>
    </row>
    <row r="456" spans="4:11">
      <c r="D456" s="274"/>
      <c r="K456" s="274"/>
    </row>
    <row r="457" spans="4:11">
      <c r="D457" s="274"/>
      <c r="K457" s="274"/>
    </row>
    <row r="458" spans="4:11">
      <c r="D458" s="274"/>
      <c r="K458" s="274"/>
    </row>
    <row r="459" spans="4:11">
      <c r="D459" s="274"/>
      <c r="K459" s="274"/>
    </row>
    <row r="460" spans="4:11">
      <c r="D460" s="274"/>
      <c r="K460" s="274"/>
    </row>
    <row r="461" spans="4:11">
      <c r="D461" s="274"/>
      <c r="K461" s="274"/>
    </row>
    <row r="462" spans="4:11">
      <c r="D462" s="274"/>
      <c r="K462" s="274"/>
    </row>
    <row r="463" spans="4:11">
      <c r="D463" s="274"/>
      <c r="K463" s="274"/>
    </row>
    <row r="464" spans="4:11">
      <c r="D464" s="274"/>
      <c r="K464" s="274"/>
    </row>
    <row r="465" spans="4:11">
      <c r="D465" s="274"/>
      <c r="K465" s="274"/>
    </row>
    <row r="466" spans="4:11">
      <c r="D466" s="274"/>
      <c r="K466" s="274"/>
    </row>
    <row r="467" spans="4:11">
      <c r="D467" s="274"/>
      <c r="K467" s="274"/>
    </row>
    <row r="468" spans="4:11">
      <c r="D468" s="274"/>
      <c r="K468" s="274"/>
    </row>
    <row r="469" spans="4:11">
      <c r="D469" s="274"/>
      <c r="K469" s="274"/>
    </row>
    <row r="470" spans="4:11">
      <c r="D470" s="274"/>
      <c r="K470" s="274"/>
    </row>
    <row r="471" spans="4:11">
      <c r="D471" s="274"/>
      <c r="K471" s="274"/>
    </row>
    <row r="472" spans="4:11">
      <c r="D472" s="274"/>
      <c r="K472" s="274"/>
    </row>
    <row r="473" spans="4:11">
      <c r="D473" s="274"/>
      <c r="K473" s="274"/>
    </row>
    <row r="474" spans="4:11">
      <c r="D474" s="274"/>
      <c r="K474" s="274"/>
    </row>
    <row r="475" spans="4:11">
      <c r="D475" s="274"/>
      <c r="K475" s="274"/>
    </row>
    <row r="476" spans="4:11">
      <c r="D476" s="274"/>
      <c r="K476" s="274"/>
    </row>
    <row r="477" spans="4:11">
      <c r="D477" s="274"/>
      <c r="K477" s="274"/>
    </row>
    <row r="478" spans="4:11">
      <c r="D478" s="274"/>
      <c r="K478" s="274"/>
    </row>
    <row r="479" spans="4:11">
      <c r="D479" s="274"/>
      <c r="K479" s="274"/>
    </row>
    <row r="480" spans="4:11">
      <c r="D480" s="274"/>
      <c r="K480" s="274"/>
    </row>
    <row r="481" spans="4:11">
      <c r="D481" s="274"/>
      <c r="K481" s="274"/>
    </row>
    <row r="482" spans="4:11">
      <c r="D482" s="274"/>
      <c r="K482" s="274"/>
    </row>
    <row r="483" spans="4:11">
      <c r="D483" s="274"/>
      <c r="K483" s="274"/>
    </row>
    <row r="484" spans="4:11">
      <c r="D484" s="274"/>
      <c r="K484" s="274"/>
    </row>
    <row r="485" spans="4:11">
      <c r="D485" s="274"/>
      <c r="K485" s="274"/>
    </row>
    <row r="486" spans="4:11">
      <c r="D486" s="274"/>
      <c r="K486" s="274"/>
    </row>
    <row r="487" spans="4:11">
      <c r="D487" s="274"/>
      <c r="K487" s="274"/>
    </row>
    <row r="488" spans="4:11">
      <c r="D488" s="274"/>
      <c r="K488" s="274"/>
    </row>
    <row r="489" spans="4:11">
      <c r="D489" s="274"/>
      <c r="K489" s="274"/>
    </row>
    <row r="490" spans="4:11">
      <c r="D490" s="274"/>
      <c r="K490" s="274"/>
    </row>
    <row r="491" spans="4:11">
      <c r="D491" s="274"/>
      <c r="K491" s="274"/>
    </row>
    <row r="492" spans="4:11">
      <c r="D492" s="274"/>
      <c r="K492" s="274"/>
    </row>
    <row r="493" spans="4:11">
      <c r="D493" s="274"/>
      <c r="K493" s="274"/>
    </row>
    <row r="494" spans="4:11">
      <c r="D494" s="274"/>
      <c r="K494" s="274"/>
    </row>
    <row r="495" spans="4:11">
      <c r="D495" s="274"/>
      <c r="K495" s="274"/>
    </row>
    <row r="496" spans="4:11">
      <c r="D496" s="274"/>
      <c r="K496" s="274"/>
    </row>
    <row r="497" spans="4:11">
      <c r="D497" s="274"/>
      <c r="K497" s="274"/>
    </row>
    <row r="498" spans="4:11">
      <c r="D498" s="274"/>
      <c r="K498" s="274"/>
    </row>
    <row r="499" spans="4:11">
      <c r="D499" s="274"/>
      <c r="K499" s="274"/>
    </row>
    <row r="500" spans="4:11">
      <c r="D500" s="274"/>
      <c r="K500" s="274"/>
    </row>
    <row r="501" spans="4:11">
      <c r="D501" s="274"/>
      <c r="K501" s="274"/>
    </row>
    <row r="502" spans="4:11">
      <c r="D502" s="274"/>
      <c r="K502" s="274"/>
    </row>
    <row r="503" spans="4:11">
      <c r="D503" s="274"/>
      <c r="K503" s="274"/>
    </row>
    <row r="504" spans="4:11">
      <c r="D504" s="274"/>
      <c r="K504" s="274"/>
    </row>
    <row r="505" spans="4:11">
      <c r="D505" s="274"/>
      <c r="K505" s="274"/>
    </row>
    <row r="506" spans="4:11">
      <c r="D506" s="274"/>
      <c r="K506" s="274"/>
    </row>
    <row r="507" spans="4:11">
      <c r="D507" s="274"/>
      <c r="K507" s="274"/>
    </row>
    <row r="508" spans="4:11">
      <c r="D508" s="274"/>
      <c r="K508" s="274"/>
    </row>
    <row r="509" spans="4:11">
      <c r="D509" s="274"/>
      <c r="K509" s="274"/>
    </row>
    <row r="510" spans="4:11">
      <c r="D510" s="274"/>
      <c r="K510" s="274"/>
    </row>
    <row r="511" spans="4:11">
      <c r="D511" s="274"/>
      <c r="K511" s="274"/>
    </row>
    <row r="512" spans="4:11">
      <c r="D512" s="274"/>
      <c r="K512" s="274"/>
    </row>
    <row r="513" spans="4:11">
      <c r="D513" s="274"/>
      <c r="K513" s="274"/>
    </row>
    <row r="514" spans="4:11">
      <c r="D514" s="274"/>
      <c r="K514" s="274"/>
    </row>
    <row r="515" spans="4:11">
      <c r="D515" s="274"/>
      <c r="K515" s="274"/>
    </row>
    <row r="516" spans="4:11">
      <c r="D516" s="274"/>
      <c r="K516" s="274"/>
    </row>
    <row r="517" spans="4:11">
      <c r="D517" s="274"/>
      <c r="K517" s="274"/>
    </row>
    <row r="518" spans="4:11">
      <c r="D518" s="274"/>
      <c r="K518" s="274"/>
    </row>
    <row r="519" spans="4:11">
      <c r="D519" s="274"/>
      <c r="K519" s="274"/>
    </row>
    <row r="520" spans="4:11">
      <c r="D520" s="274"/>
      <c r="K520" s="274"/>
    </row>
    <row r="521" spans="4:11">
      <c r="D521" s="274"/>
      <c r="K521" s="274"/>
    </row>
    <row r="522" spans="4:11">
      <c r="D522" s="274"/>
      <c r="K522" s="274"/>
    </row>
    <row r="523" spans="4:11">
      <c r="D523" s="274"/>
      <c r="K523" s="274"/>
    </row>
    <row r="524" spans="4:11">
      <c r="D524" s="274"/>
      <c r="K524" s="274"/>
    </row>
    <row r="525" spans="4:11">
      <c r="D525" s="274"/>
      <c r="K525" s="274"/>
    </row>
    <row r="526" spans="4:11">
      <c r="D526" s="274"/>
      <c r="K526" s="274"/>
    </row>
    <row r="527" spans="4:11">
      <c r="D527" s="274"/>
      <c r="K527" s="274"/>
    </row>
    <row r="528" spans="4:11">
      <c r="D528" s="274"/>
      <c r="K528" s="274"/>
    </row>
    <row r="529" spans="4:11">
      <c r="D529" s="274"/>
      <c r="K529" s="274"/>
    </row>
    <row r="530" spans="4:11">
      <c r="D530" s="274"/>
      <c r="K530" s="274"/>
    </row>
    <row r="531" spans="4:11">
      <c r="D531" s="274"/>
      <c r="K531" s="274"/>
    </row>
    <row r="532" spans="4:11">
      <c r="D532" s="274"/>
      <c r="K532" s="274"/>
    </row>
    <row r="533" spans="4:11">
      <c r="D533" s="274"/>
      <c r="K533" s="274"/>
    </row>
    <row r="534" spans="4:11">
      <c r="D534" s="274"/>
      <c r="K534" s="274"/>
    </row>
    <row r="535" spans="4:11">
      <c r="D535" s="274"/>
      <c r="K535" s="274"/>
    </row>
    <row r="536" spans="4:11">
      <c r="D536" s="274"/>
      <c r="K536" s="274"/>
    </row>
    <row r="537" spans="4:11">
      <c r="D537" s="274"/>
      <c r="K537" s="274"/>
    </row>
    <row r="538" spans="4:11">
      <c r="D538" s="274"/>
      <c r="K538" s="274"/>
    </row>
    <row r="539" spans="4:11">
      <c r="D539" s="274"/>
      <c r="K539" s="274"/>
    </row>
    <row r="540" spans="4:11">
      <c r="D540" s="274"/>
      <c r="K540" s="274"/>
    </row>
    <row r="541" spans="4:11">
      <c r="D541" s="274"/>
      <c r="K541" s="274"/>
    </row>
    <row r="542" spans="4:11">
      <c r="D542" s="274"/>
      <c r="K542" s="274"/>
    </row>
    <row r="543" spans="4:11">
      <c r="D543" s="274"/>
      <c r="K543" s="274"/>
    </row>
    <row r="544" spans="4:11">
      <c r="D544" s="274"/>
      <c r="K544" s="274"/>
    </row>
    <row r="545" spans="4:11">
      <c r="D545" s="274"/>
      <c r="K545" s="274"/>
    </row>
    <row r="546" spans="4:11">
      <c r="D546" s="274"/>
      <c r="K546" s="274"/>
    </row>
    <row r="547" spans="4:11">
      <c r="D547" s="274"/>
      <c r="K547" s="274"/>
    </row>
    <row r="548" spans="4:11">
      <c r="D548" s="274"/>
      <c r="K548" s="274"/>
    </row>
    <row r="549" spans="4:11">
      <c r="D549" s="274"/>
      <c r="K549" s="274"/>
    </row>
    <row r="550" spans="4:11">
      <c r="D550" s="274"/>
      <c r="K550" s="274"/>
    </row>
    <row r="551" spans="4:11">
      <c r="D551" s="274"/>
      <c r="K551" s="274"/>
    </row>
    <row r="552" spans="4:11">
      <c r="D552" s="274"/>
      <c r="K552" s="274"/>
    </row>
    <row r="553" spans="4:11">
      <c r="D553" s="274"/>
      <c r="K553" s="274"/>
    </row>
    <row r="554" spans="4:11">
      <c r="D554" s="274"/>
      <c r="K554" s="274"/>
    </row>
    <row r="555" spans="4:11">
      <c r="D555" s="274"/>
      <c r="K555" s="274"/>
    </row>
    <row r="556" spans="4:11">
      <c r="D556" s="274"/>
      <c r="K556" s="274"/>
    </row>
    <row r="557" spans="4:11">
      <c r="D557" s="274"/>
      <c r="K557" s="274"/>
    </row>
    <row r="558" spans="4:11">
      <c r="D558" s="274"/>
      <c r="K558" s="274"/>
    </row>
    <row r="559" spans="4:11">
      <c r="D559" s="274"/>
      <c r="K559" s="274"/>
    </row>
    <row r="560" spans="4:11">
      <c r="D560" s="274"/>
      <c r="K560" s="274"/>
    </row>
    <row r="561" spans="4:11">
      <c r="D561" s="274"/>
      <c r="K561" s="274"/>
    </row>
    <row r="562" spans="4:11">
      <c r="D562" s="274"/>
      <c r="K562" s="274"/>
    </row>
    <row r="563" spans="4:11">
      <c r="D563" s="274"/>
      <c r="K563" s="274"/>
    </row>
    <row r="564" spans="4:11">
      <c r="D564" s="274"/>
      <c r="K564" s="274"/>
    </row>
    <row r="565" spans="4:11">
      <c r="D565" s="274"/>
      <c r="K565" s="274"/>
    </row>
    <row r="566" spans="4:11">
      <c r="D566" s="274"/>
      <c r="K566" s="274"/>
    </row>
    <row r="567" spans="4:11">
      <c r="D567" s="274"/>
      <c r="K567" s="274"/>
    </row>
    <row r="568" spans="4:11">
      <c r="D568" s="274"/>
      <c r="K568" s="274"/>
    </row>
    <row r="569" spans="4:11">
      <c r="D569" s="274"/>
      <c r="K569" s="274"/>
    </row>
    <row r="570" spans="4:11">
      <c r="D570" s="274"/>
      <c r="K570" s="274"/>
    </row>
    <row r="571" spans="4:11">
      <c r="D571" s="274"/>
      <c r="K571" s="274"/>
    </row>
    <row r="572" spans="4:11">
      <c r="D572" s="274"/>
      <c r="K572" s="274"/>
    </row>
    <row r="573" spans="4:11">
      <c r="D573" s="274"/>
      <c r="K573" s="274"/>
    </row>
    <row r="574" spans="4:11">
      <c r="D574" s="274"/>
      <c r="K574" s="274"/>
    </row>
    <row r="575" spans="4:11">
      <c r="D575" s="274"/>
      <c r="K575" s="274"/>
    </row>
    <row r="576" spans="4:11">
      <c r="D576" s="274"/>
      <c r="K576" s="274"/>
    </row>
    <row r="577" spans="4:11">
      <c r="D577" s="274"/>
      <c r="K577" s="274"/>
    </row>
    <row r="578" spans="4:11">
      <c r="D578" s="274"/>
      <c r="K578" s="274"/>
    </row>
    <row r="579" spans="4:11">
      <c r="D579" s="274"/>
      <c r="K579" s="274"/>
    </row>
    <row r="580" spans="4:11">
      <c r="D580" s="274"/>
      <c r="K580" s="274"/>
    </row>
    <row r="581" spans="4:11">
      <c r="D581" s="274"/>
      <c r="K581" s="274"/>
    </row>
    <row r="582" spans="4:11">
      <c r="D582" s="274"/>
      <c r="K582" s="274"/>
    </row>
    <row r="583" spans="4:11">
      <c r="D583" s="274"/>
      <c r="K583" s="274"/>
    </row>
    <row r="584" spans="4:11">
      <c r="D584" s="274"/>
      <c r="K584" s="274"/>
    </row>
    <row r="585" spans="4:11">
      <c r="D585" s="274"/>
      <c r="K585" s="274"/>
    </row>
    <row r="586" spans="4:11">
      <c r="D586" s="274"/>
      <c r="K586" s="274"/>
    </row>
    <row r="587" spans="4:11">
      <c r="D587" s="274"/>
      <c r="K587" s="274"/>
    </row>
    <row r="588" spans="4:11">
      <c r="D588" s="274"/>
      <c r="K588" s="274"/>
    </row>
    <row r="589" spans="4:11">
      <c r="D589" s="274"/>
      <c r="K589" s="274"/>
    </row>
    <row r="590" spans="4:11">
      <c r="D590" s="274"/>
      <c r="K590" s="274"/>
    </row>
    <row r="591" spans="4:11">
      <c r="D591" s="274"/>
      <c r="K591" s="274"/>
    </row>
    <row r="592" spans="4:11">
      <c r="D592" s="274"/>
      <c r="K592" s="274"/>
    </row>
    <row r="593" spans="4:11">
      <c r="D593" s="274"/>
      <c r="K593" s="274"/>
    </row>
    <row r="594" spans="4:11">
      <c r="D594" s="274"/>
      <c r="K594" s="274"/>
    </row>
    <row r="595" spans="4:11">
      <c r="D595" s="274"/>
      <c r="K595" s="274"/>
    </row>
    <row r="596" spans="4:11">
      <c r="D596" s="274"/>
      <c r="K596" s="274"/>
    </row>
    <row r="597" spans="4:11">
      <c r="D597" s="274"/>
      <c r="K597" s="274"/>
    </row>
    <row r="598" spans="4:11">
      <c r="D598" s="274"/>
      <c r="K598" s="274"/>
    </row>
    <row r="599" spans="4:11">
      <c r="D599" s="274"/>
      <c r="K599" s="274"/>
    </row>
    <row r="600" spans="4:11">
      <c r="D600" s="274"/>
      <c r="K600" s="274"/>
    </row>
    <row r="601" spans="4:11">
      <c r="D601" s="274"/>
      <c r="K601" s="274"/>
    </row>
    <row r="602" spans="4:11">
      <c r="D602" s="274"/>
      <c r="K602" s="274"/>
    </row>
    <row r="603" spans="4:11">
      <c r="D603" s="274"/>
      <c r="K603" s="274"/>
    </row>
    <row r="604" spans="4:11">
      <c r="D604" s="274"/>
      <c r="K604" s="274"/>
    </row>
    <row r="605" spans="4:11">
      <c r="D605" s="274"/>
      <c r="K605" s="274"/>
    </row>
    <row r="606" spans="4:11">
      <c r="D606" s="274"/>
      <c r="K606" s="274"/>
    </row>
    <row r="607" spans="4:11">
      <c r="D607" s="274"/>
      <c r="K607" s="274"/>
    </row>
    <row r="608" spans="4:11">
      <c r="D608" s="274"/>
      <c r="K608" s="274"/>
    </row>
    <row r="609" spans="4:11">
      <c r="D609" s="274"/>
      <c r="K609" s="274"/>
    </row>
    <row r="610" spans="4:11">
      <c r="D610" s="274"/>
      <c r="K610" s="274"/>
    </row>
    <row r="611" spans="4:11">
      <c r="D611" s="274"/>
      <c r="K611" s="274"/>
    </row>
    <row r="612" spans="4:11">
      <c r="D612" s="274"/>
      <c r="K612" s="274"/>
    </row>
    <row r="613" spans="4:11">
      <c r="D613" s="274"/>
      <c r="K613" s="274"/>
    </row>
    <row r="614" spans="4:11">
      <c r="D614" s="274"/>
      <c r="K614" s="274"/>
    </row>
    <row r="615" spans="4:11">
      <c r="D615" s="274"/>
      <c r="K615" s="274"/>
    </row>
    <row r="616" spans="4:11">
      <c r="D616" s="274"/>
      <c r="K616" s="274"/>
    </row>
    <row r="617" spans="4:11">
      <c r="D617" s="274"/>
      <c r="K617" s="274"/>
    </row>
    <row r="618" spans="4:11">
      <c r="D618" s="274"/>
      <c r="K618" s="274"/>
    </row>
    <row r="619" spans="4:11">
      <c r="D619" s="274"/>
      <c r="K619" s="274"/>
    </row>
    <row r="620" spans="4:11">
      <c r="D620" s="274"/>
      <c r="K620" s="274"/>
    </row>
    <row r="621" spans="4:11">
      <c r="D621" s="274"/>
      <c r="K621" s="274"/>
    </row>
    <row r="622" spans="4:11">
      <c r="D622" s="274"/>
      <c r="K622" s="274"/>
    </row>
    <row r="623" spans="4:11">
      <c r="D623" s="274"/>
      <c r="K623" s="274"/>
    </row>
    <row r="624" spans="4:11">
      <c r="D624" s="274"/>
      <c r="K624" s="274"/>
    </row>
    <row r="625" spans="4:11">
      <c r="D625" s="274"/>
      <c r="K625" s="274"/>
    </row>
    <row r="626" spans="4:11">
      <c r="D626" s="274"/>
      <c r="K626" s="274"/>
    </row>
    <row r="627" spans="4:11">
      <c r="D627" s="274"/>
      <c r="K627" s="274"/>
    </row>
    <row r="628" spans="4:11">
      <c r="D628" s="274"/>
      <c r="K628" s="274"/>
    </row>
    <row r="629" spans="4:11">
      <c r="D629" s="274"/>
      <c r="K629" s="274"/>
    </row>
    <row r="630" spans="4:11">
      <c r="D630" s="274"/>
      <c r="K630" s="274"/>
    </row>
    <row r="631" spans="4:11">
      <c r="D631" s="274"/>
      <c r="K631" s="274"/>
    </row>
    <row r="632" spans="4:11">
      <c r="D632" s="274"/>
      <c r="K632" s="274"/>
    </row>
    <row r="633" spans="4:11">
      <c r="D633" s="274"/>
      <c r="K633" s="274"/>
    </row>
    <row r="634" spans="4:11">
      <c r="D634" s="274"/>
      <c r="K634" s="274"/>
    </row>
    <row r="635" spans="4:11">
      <c r="D635" s="274"/>
      <c r="K635" s="274"/>
    </row>
    <row r="636" spans="4:11">
      <c r="D636" s="274"/>
      <c r="K636" s="274"/>
    </row>
    <row r="637" spans="4:11">
      <c r="D637" s="274"/>
      <c r="K637" s="274"/>
    </row>
    <row r="638" spans="4:11">
      <c r="D638" s="274"/>
      <c r="K638" s="274"/>
    </row>
    <row r="639" spans="4:11">
      <c r="D639" s="274"/>
      <c r="K639" s="274"/>
    </row>
    <row r="640" spans="4:11">
      <c r="D640" s="274"/>
      <c r="K640" s="274"/>
    </row>
    <row r="641" spans="4:11">
      <c r="D641" s="274"/>
      <c r="K641" s="274"/>
    </row>
    <row r="642" spans="4:11">
      <c r="D642" s="274"/>
      <c r="K642" s="274"/>
    </row>
    <row r="643" spans="4:11">
      <c r="D643" s="274"/>
      <c r="K643" s="274"/>
    </row>
    <row r="644" spans="4:11">
      <c r="D644" s="274"/>
      <c r="K644" s="274"/>
    </row>
    <row r="645" spans="4:11">
      <c r="D645" s="274"/>
      <c r="K645" s="274"/>
    </row>
    <row r="646" spans="4:11">
      <c r="D646" s="274"/>
      <c r="K646" s="274"/>
    </row>
    <row r="647" spans="4:11">
      <c r="D647" s="274"/>
      <c r="K647" s="274"/>
    </row>
    <row r="648" spans="4:11">
      <c r="D648" s="274"/>
      <c r="K648" s="274"/>
    </row>
    <row r="649" spans="4:11">
      <c r="D649" s="274"/>
      <c r="K649" s="274"/>
    </row>
    <row r="650" spans="4:11">
      <c r="D650" s="274"/>
      <c r="K650" s="274"/>
    </row>
    <row r="651" spans="4:11">
      <c r="D651" s="274"/>
      <c r="K651" s="274"/>
    </row>
    <row r="652" spans="4:11">
      <c r="D652" s="274"/>
      <c r="K652" s="274"/>
    </row>
    <row r="653" spans="4:11">
      <c r="D653" s="274"/>
      <c r="K653" s="274"/>
    </row>
    <row r="654" spans="4:11">
      <c r="D654" s="274"/>
      <c r="K654" s="274"/>
    </row>
    <row r="655" spans="4:11">
      <c r="D655" s="274"/>
      <c r="K655" s="274"/>
    </row>
    <row r="656" spans="4:11">
      <c r="D656" s="274"/>
      <c r="K656" s="274"/>
    </row>
    <row r="657" spans="4:11">
      <c r="D657" s="274"/>
      <c r="K657" s="274"/>
    </row>
    <row r="658" spans="4:11">
      <c r="D658" s="274"/>
      <c r="K658" s="274"/>
    </row>
    <row r="659" spans="4:11">
      <c r="D659" s="274"/>
      <c r="K659" s="274"/>
    </row>
    <row r="660" spans="4:11">
      <c r="D660" s="274"/>
      <c r="K660" s="274"/>
    </row>
    <row r="661" spans="4:11">
      <c r="D661" s="274"/>
      <c r="K661" s="274"/>
    </row>
    <row r="662" spans="4:11">
      <c r="D662" s="274"/>
      <c r="K662" s="274"/>
    </row>
    <row r="663" spans="4:11">
      <c r="D663" s="274"/>
      <c r="K663" s="274"/>
    </row>
    <row r="664" spans="4:11">
      <c r="D664" s="274"/>
      <c r="K664" s="274"/>
    </row>
    <row r="665" spans="4:11">
      <c r="D665" s="274"/>
      <c r="K665" s="274"/>
    </row>
    <row r="666" spans="4:11">
      <c r="D666" s="274"/>
      <c r="K666" s="274"/>
    </row>
    <row r="667" spans="4:11">
      <c r="D667" s="274"/>
      <c r="K667" s="274"/>
    </row>
    <row r="668" spans="4:11">
      <c r="D668" s="274"/>
      <c r="K668" s="274"/>
    </row>
    <row r="669" spans="4:11">
      <c r="D669" s="274"/>
      <c r="K669" s="274"/>
    </row>
    <row r="670" spans="4:11">
      <c r="D670" s="274"/>
      <c r="K670" s="274"/>
    </row>
    <row r="671" spans="4:11">
      <c r="D671" s="274"/>
      <c r="K671" s="274"/>
    </row>
    <row r="672" spans="4:11">
      <c r="D672" s="274"/>
      <c r="K672" s="274"/>
    </row>
    <row r="673" spans="4:11">
      <c r="D673" s="274"/>
      <c r="K673" s="274"/>
    </row>
    <row r="674" spans="4:11">
      <c r="D674" s="274"/>
      <c r="K674" s="274"/>
    </row>
    <row r="675" spans="4:11">
      <c r="D675" s="274"/>
      <c r="K675" s="274"/>
    </row>
    <row r="676" spans="4:11">
      <c r="D676" s="274"/>
      <c r="K676" s="274"/>
    </row>
    <row r="677" spans="4:11">
      <c r="D677" s="274"/>
      <c r="K677" s="274"/>
    </row>
    <row r="678" spans="4:11">
      <c r="D678" s="274"/>
      <c r="K678" s="274"/>
    </row>
    <row r="679" spans="4:11">
      <c r="D679" s="274"/>
      <c r="K679" s="274"/>
    </row>
    <row r="680" spans="4:11">
      <c r="D680" s="274"/>
      <c r="K680" s="274"/>
    </row>
    <row r="681" spans="4:11">
      <c r="D681" s="274"/>
      <c r="K681" s="274"/>
    </row>
    <row r="682" spans="4:11">
      <c r="D682" s="274"/>
      <c r="K682" s="274"/>
    </row>
    <row r="683" spans="4:11">
      <c r="D683" s="274"/>
      <c r="K683" s="274"/>
    </row>
    <row r="684" spans="4:11">
      <c r="D684" s="274"/>
      <c r="K684" s="274"/>
    </row>
    <row r="685" spans="4:11">
      <c r="D685" s="274"/>
      <c r="K685" s="274"/>
    </row>
    <row r="686" spans="4:11">
      <c r="D686" s="274"/>
      <c r="K686" s="274"/>
    </row>
    <row r="687" spans="4:11">
      <c r="D687" s="274"/>
      <c r="K687" s="274"/>
    </row>
    <row r="688" spans="4:11">
      <c r="D688" s="274"/>
      <c r="K688" s="274"/>
    </row>
    <row r="689" spans="4:11">
      <c r="D689" s="274"/>
      <c r="K689" s="274"/>
    </row>
    <row r="690" spans="4:11">
      <c r="D690" s="274"/>
      <c r="K690" s="274"/>
    </row>
    <row r="691" spans="4:11">
      <c r="D691" s="274"/>
      <c r="K691" s="274"/>
    </row>
    <row r="692" spans="4:11">
      <c r="D692" s="274"/>
      <c r="K692" s="274"/>
    </row>
    <row r="693" spans="4:11">
      <c r="D693" s="274"/>
      <c r="K693" s="274"/>
    </row>
    <row r="694" spans="4:11">
      <c r="D694" s="274"/>
      <c r="K694" s="274"/>
    </row>
    <row r="695" spans="4:11">
      <c r="D695" s="274"/>
      <c r="K695" s="274"/>
    </row>
    <row r="696" spans="4:11">
      <c r="D696" s="274"/>
      <c r="K696" s="274"/>
    </row>
    <row r="697" spans="4:11">
      <c r="D697" s="274"/>
      <c r="K697" s="274"/>
    </row>
    <row r="698" spans="4:11">
      <c r="D698" s="274"/>
      <c r="K698" s="274"/>
    </row>
    <row r="699" spans="4:11">
      <c r="D699" s="274"/>
      <c r="K699" s="274"/>
    </row>
    <row r="700" spans="4:11">
      <c r="D700" s="274"/>
      <c r="K700" s="274"/>
    </row>
    <row r="701" spans="4:11">
      <c r="D701" s="274"/>
      <c r="K701" s="274"/>
    </row>
    <row r="702" spans="4:11">
      <c r="D702" s="274"/>
      <c r="K702" s="274"/>
    </row>
    <row r="703" spans="4:11">
      <c r="D703" s="274"/>
      <c r="K703" s="274"/>
    </row>
    <row r="704" spans="4:11">
      <c r="D704" s="274"/>
      <c r="K704" s="274"/>
    </row>
    <row r="705" spans="4:11">
      <c r="D705" s="274"/>
      <c r="K705" s="274"/>
    </row>
    <row r="706" spans="4:11">
      <c r="D706" s="274"/>
      <c r="K706" s="274"/>
    </row>
    <row r="707" spans="4:11">
      <c r="D707" s="274"/>
      <c r="K707" s="274"/>
    </row>
    <row r="708" spans="4:11">
      <c r="D708" s="274"/>
      <c r="K708" s="274"/>
    </row>
    <row r="709" spans="4:11">
      <c r="D709" s="274"/>
      <c r="K709" s="274"/>
    </row>
    <row r="710" spans="4:11">
      <c r="D710" s="274"/>
      <c r="K710" s="274"/>
    </row>
    <row r="711" spans="4:11">
      <c r="D711" s="274"/>
      <c r="K711" s="274"/>
    </row>
    <row r="712" spans="4:11">
      <c r="D712" s="274"/>
      <c r="K712" s="274"/>
    </row>
    <row r="713" spans="4:11">
      <c r="D713" s="274"/>
      <c r="K713" s="274"/>
    </row>
    <row r="714" spans="4:11">
      <c r="D714" s="274"/>
      <c r="K714" s="274"/>
    </row>
    <row r="715" spans="4:11">
      <c r="D715" s="274"/>
      <c r="K715" s="274"/>
    </row>
    <row r="716" spans="4:11">
      <c r="D716" s="274"/>
      <c r="K716" s="274"/>
    </row>
    <row r="717" spans="4:11">
      <c r="D717" s="274"/>
      <c r="K717" s="274"/>
    </row>
    <row r="718" spans="4:11">
      <c r="D718" s="274"/>
      <c r="K718" s="274"/>
    </row>
    <row r="719" spans="4:11">
      <c r="D719" s="274"/>
      <c r="K719" s="274"/>
    </row>
    <row r="720" spans="4:11">
      <c r="D720" s="274"/>
      <c r="K720" s="274"/>
    </row>
    <row r="721" spans="4:11">
      <c r="D721" s="274"/>
      <c r="K721" s="274"/>
    </row>
    <row r="722" spans="4:11">
      <c r="D722" s="274"/>
      <c r="K722" s="274"/>
    </row>
    <row r="723" spans="4:11">
      <c r="D723" s="274"/>
      <c r="K723" s="274"/>
    </row>
    <row r="724" spans="4:11">
      <c r="D724" s="274"/>
      <c r="K724" s="274"/>
    </row>
    <row r="725" spans="4:11">
      <c r="D725" s="274"/>
      <c r="K725" s="274"/>
    </row>
    <row r="726" spans="4:11">
      <c r="D726" s="274"/>
      <c r="K726" s="274"/>
    </row>
    <row r="727" spans="4:11">
      <c r="D727" s="274"/>
      <c r="K727" s="274"/>
    </row>
    <row r="728" spans="4:11">
      <c r="D728" s="274"/>
      <c r="K728" s="274"/>
    </row>
    <row r="729" spans="4:11">
      <c r="D729" s="274"/>
      <c r="K729" s="274"/>
    </row>
    <row r="730" spans="4:11">
      <c r="D730" s="274"/>
      <c r="K730" s="274"/>
    </row>
    <row r="731" spans="4:11">
      <c r="D731" s="274"/>
      <c r="K731" s="274"/>
    </row>
    <row r="732" spans="4:11">
      <c r="D732" s="274"/>
      <c r="K732" s="274"/>
    </row>
    <row r="733" spans="4:11">
      <c r="D733" s="274"/>
      <c r="K733" s="274"/>
    </row>
    <row r="734" spans="4:11">
      <c r="D734" s="274"/>
      <c r="K734" s="274"/>
    </row>
    <row r="735" spans="4:11">
      <c r="D735" s="274"/>
      <c r="K735" s="274"/>
    </row>
    <row r="736" spans="4:11">
      <c r="D736" s="274"/>
      <c r="K736" s="274"/>
    </row>
    <row r="737" spans="4:11">
      <c r="D737" s="274"/>
      <c r="K737" s="274"/>
    </row>
    <row r="738" spans="4:11">
      <c r="D738" s="274"/>
      <c r="K738" s="274"/>
    </row>
    <row r="739" spans="4:11">
      <c r="D739" s="274"/>
      <c r="K739" s="274"/>
    </row>
    <row r="740" spans="4:11">
      <c r="D740" s="274"/>
      <c r="K740" s="274"/>
    </row>
    <row r="741" spans="4:11">
      <c r="D741" s="274"/>
      <c r="K741" s="274"/>
    </row>
    <row r="742" spans="4:11">
      <c r="D742" s="274"/>
      <c r="K742" s="274"/>
    </row>
    <row r="743" spans="4:11">
      <c r="D743" s="274"/>
      <c r="K743" s="274"/>
    </row>
    <row r="744" spans="4:11">
      <c r="D744" s="274"/>
      <c r="K744" s="274"/>
    </row>
    <row r="745" spans="4:11">
      <c r="D745" s="274"/>
      <c r="K745" s="274"/>
    </row>
    <row r="746" spans="4:11">
      <c r="D746" s="274"/>
      <c r="K746" s="274"/>
    </row>
    <row r="747" spans="4:11">
      <c r="D747" s="274"/>
      <c r="K747" s="274"/>
    </row>
    <row r="748" spans="4:11">
      <c r="D748" s="274"/>
      <c r="K748" s="274"/>
    </row>
    <row r="749" spans="4:11">
      <c r="D749" s="274"/>
      <c r="K749" s="274"/>
    </row>
    <row r="750" spans="4:11">
      <c r="D750" s="274"/>
      <c r="K750" s="274"/>
    </row>
    <row r="751" spans="4:11">
      <c r="D751" s="274"/>
      <c r="K751" s="274"/>
    </row>
    <row r="752" spans="4:11">
      <c r="D752" s="274"/>
      <c r="K752" s="274"/>
    </row>
    <row r="753" spans="4:11">
      <c r="D753" s="274"/>
      <c r="K753" s="274"/>
    </row>
    <row r="754" spans="4:11">
      <c r="D754" s="274"/>
      <c r="K754" s="274"/>
    </row>
    <row r="755" spans="4:11">
      <c r="D755" s="274"/>
      <c r="K755" s="274"/>
    </row>
    <row r="756" spans="4:11">
      <c r="D756" s="274"/>
      <c r="K756" s="274"/>
    </row>
    <row r="757" spans="4:11">
      <c r="D757" s="274"/>
      <c r="K757" s="274"/>
    </row>
    <row r="758" spans="4:11">
      <c r="D758" s="274"/>
      <c r="K758" s="274"/>
    </row>
    <row r="759" spans="4:11">
      <c r="D759" s="274"/>
      <c r="K759" s="274"/>
    </row>
    <row r="760" spans="4:11">
      <c r="D760" s="274"/>
      <c r="K760" s="274"/>
    </row>
    <row r="761" spans="4:11">
      <c r="D761" s="274"/>
      <c r="K761" s="274"/>
    </row>
    <row r="762" spans="4:11">
      <c r="D762" s="274"/>
      <c r="K762" s="274"/>
    </row>
    <row r="763" spans="4:11">
      <c r="D763" s="274"/>
      <c r="K763" s="274"/>
    </row>
    <row r="764" spans="4:11">
      <c r="D764" s="274"/>
      <c r="K764" s="274"/>
    </row>
    <row r="765" spans="4:11">
      <c r="D765" s="274"/>
      <c r="K765" s="274"/>
    </row>
    <row r="766" spans="4:11">
      <c r="D766" s="274"/>
      <c r="K766" s="274"/>
    </row>
    <row r="767" spans="4:11">
      <c r="D767" s="274"/>
      <c r="K767" s="274"/>
    </row>
    <row r="768" spans="4:11">
      <c r="D768" s="274"/>
      <c r="K768" s="274"/>
    </row>
    <row r="769" spans="4:11">
      <c r="D769" s="274"/>
      <c r="K769" s="274"/>
    </row>
    <row r="770" spans="4:11">
      <c r="D770" s="274"/>
      <c r="K770" s="274"/>
    </row>
    <row r="771" spans="4:11">
      <c r="D771" s="274"/>
      <c r="K771" s="274"/>
    </row>
    <row r="772" spans="4:11">
      <c r="D772" s="274"/>
      <c r="K772" s="274"/>
    </row>
    <row r="773" spans="4:11">
      <c r="D773" s="274"/>
      <c r="K773" s="274"/>
    </row>
    <row r="774" spans="4:11">
      <c r="D774" s="274"/>
      <c r="K774" s="274"/>
    </row>
    <row r="775" spans="4:11">
      <c r="D775" s="274"/>
      <c r="K775" s="274"/>
    </row>
    <row r="776" spans="4:11">
      <c r="D776" s="274"/>
      <c r="K776" s="274"/>
    </row>
    <row r="777" spans="4:11">
      <c r="D777" s="274"/>
      <c r="K777" s="274"/>
    </row>
    <row r="778" spans="4:11">
      <c r="D778" s="274"/>
      <c r="K778" s="274"/>
    </row>
    <row r="779" spans="4:11">
      <c r="D779" s="274"/>
      <c r="K779" s="274"/>
    </row>
    <row r="780" spans="4:11">
      <c r="D780" s="274"/>
      <c r="K780" s="274"/>
    </row>
    <row r="781" spans="4:11">
      <c r="D781" s="274"/>
      <c r="K781" s="274"/>
    </row>
    <row r="782" spans="4:11">
      <c r="D782" s="274"/>
      <c r="K782" s="274"/>
    </row>
    <row r="783" spans="4:11">
      <c r="D783" s="274"/>
      <c r="K783" s="274"/>
    </row>
    <row r="784" spans="4:11">
      <c r="D784" s="274"/>
      <c r="K784" s="274"/>
    </row>
    <row r="785" spans="4:11">
      <c r="D785" s="274"/>
      <c r="K785" s="274"/>
    </row>
    <row r="786" spans="4:11">
      <c r="D786" s="274"/>
      <c r="K786" s="274"/>
    </row>
    <row r="787" spans="4:11">
      <c r="D787" s="274"/>
      <c r="K787" s="274"/>
    </row>
    <row r="788" spans="4:11">
      <c r="D788" s="274"/>
      <c r="K788" s="274"/>
    </row>
    <row r="789" spans="4:11">
      <c r="D789" s="274"/>
      <c r="K789" s="274"/>
    </row>
    <row r="790" spans="4:11">
      <c r="D790" s="274"/>
      <c r="K790" s="274"/>
    </row>
    <row r="791" spans="4:11">
      <c r="D791" s="274"/>
      <c r="K791" s="274"/>
    </row>
    <row r="792" spans="4:11">
      <c r="D792" s="274"/>
      <c r="K792" s="274"/>
    </row>
    <row r="793" spans="4:11">
      <c r="D793" s="274"/>
      <c r="K793" s="274"/>
    </row>
    <row r="794" spans="4:11">
      <c r="D794" s="274"/>
      <c r="K794" s="274"/>
    </row>
    <row r="795" spans="4:11">
      <c r="D795" s="274"/>
      <c r="K795" s="274"/>
    </row>
    <row r="796" spans="4:11">
      <c r="D796" s="274"/>
      <c r="K796" s="274"/>
    </row>
    <row r="797" spans="4:11">
      <c r="D797" s="274"/>
      <c r="K797" s="274"/>
    </row>
    <row r="798" spans="4:11">
      <c r="D798" s="274"/>
      <c r="K798" s="274"/>
    </row>
    <row r="799" spans="4:11">
      <c r="D799" s="274"/>
      <c r="K799" s="274"/>
    </row>
    <row r="800" spans="4:11">
      <c r="D800" s="274"/>
      <c r="K800" s="274"/>
    </row>
    <row r="801" spans="4:11">
      <c r="D801" s="274"/>
      <c r="K801" s="274"/>
    </row>
    <row r="802" spans="4:11">
      <c r="D802" s="274"/>
      <c r="K802" s="274"/>
    </row>
    <row r="803" spans="4:11">
      <c r="D803" s="274"/>
      <c r="K803" s="274"/>
    </row>
    <row r="804" spans="4:11">
      <c r="D804" s="274"/>
      <c r="K804" s="274"/>
    </row>
    <row r="805" spans="4:11">
      <c r="D805" s="274"/>
      <c r="K805" s="274"/>
    </row>
    <row r="806" spans="4:11">
      <c r="D806" s="274"/>
      <c r="K806" s="274"/>
    </row>
    <row r="807" spans="4:11">
      <c r="D807" s="274"/>
      <c r="K807" s="274"/>
    </row>
    <row r="808" spans="4:11">
      <c r="D808" s="274"/>
      <c r="K808" s="274"/>
    </row>
    <row r="809" spans="4:11">
      <c r="D809" s="274"/>
      <c r="K809" s="274"/>
    </row>
    <row r="810" spans="4:11">
      <c r="D810" s="274"/>
      <c r="K810" s="274"/>
    </row>
    <row r="811" spans="4:11">
      <c r="D811" s="274"/>
      <c r="K811" s="274"/>
    </row>
    <row r="812" spans="4:11">
      <c r="D812" s="274"/>
      <c r="K812" s="274"/>
    </row>
    <row r="813" spans="4:11">
      <c r="D813" s="274"/>
      <c r="K813" s="274"/>
    </row>
    <row r="814" spans="4:11">
      <c r="D814" s="274"/>
      <c r="K814" s="274"/>
    </row>
    <row r="815" spans="4:11">
      <c r="D815" s="274"/>
      <c r="K815" s="274"/>
    </row>
    <row r="816" spans="4:11">
      <c r="D816" s="274"/>
      <c r="K816" s="274"/>
    </row>
    <row r="817" spans="4:11">
      <c r="D817" s="274"/>
      <c r="K817" s="274"/>
    </row>
    <row r="818" spans="4:11">
      <c r="D818" s="274"/>
      <c r="K818" s="274"/>
    </row>
    <row r="819" spans="4:11">
      <c r="D819" s="274"/>
      <c r="K819" s="274"/>
    </row>
    <row r="820" spans="4:11">
      <c r="D820" s="274"/>
      <c r="K820" s="274"/>
    </row>
    <row r="821" spans="4:11">
      <c r="D821" s="274"/>
      <c r="K821" s="274"/>
    </row>
    <row r="822" spans="4:11">
      <c r="D822" s="274"/>
      <c r="K822" s="274"/>
    </row>
    <row r="823" spans="4:11">
      <c r="D823" s="274"/>
      <c r="K823" s="274"/>
    </row>
    <row r="824" spans="4:11">
      <c r="D824" s="274"/>
      <c r="K824" s="274"/>
    </row>
    <row r="825" spans="4:11">
      <c r="D825" s="274"/>
      <c r="K825" s="274"/>
    </row>
    <row r="826" spans="4:11">
      <c r="D826" s="274"/>
      <c r="K826" s="274"/>
    </row>
    <row r="827" spans="4:11">
      <c r="D827" s="274"/>
      <c r="K827" s="274"/>
    </row>
    <row r="828" spans="4:11">
      <c r="D828" s="274"/>
      <c r="K828" s="274"/>
    </row>
    <row r="829" spans="4:11">
      <c r="D829" s="274"/>
      <c r="K829" s="274"/>
    </row>
    <row r="830" spans="4:11">
      <c r="D830" s="274"/>
      <c r="K830" s="274"/>
    </row>
    <row r="831" spans="4:11">
      <c r="D831" s="274"/>
      <c r="K831" s="274"/>
    </row>
    <row r="832" spans="4:11">
      <c r="D832" s="274"/>
      <c r="K832" s="274"/>
    </row>
    <row r="833" spans="4:11">
      <c r="D833" s="274"/>
      <c r="K833" s="274"/>
    </row>
    <row r="834" spans="4:11">
      <c r="D834" s="274"/>
      <c r="K834" s="274"/>
    </row>
    <row r="835" spans="4:11">
      <c r="D835" s="274"/>
      <c r="K835" s="274"/>
    </row>
    <row r="836" spans="4:11">
      <c r="D836" s="274"/>
      <c r="K836" s="274"/>
    </row>
    <row r="837" spans="4:11">
      <c r="D837" s="274"/>
      <c r="K837" s="274"/>
    </row>
    <row r="838" spans="4:11">
      <c r="D838" s="274"/>
      <c r="K838" s="274"/>
    </row>
    <row r="839" spans="4:11">
      <c r="D839" s="274"/>
      <c r="K839" s="274"/>
    </row>
    <row r="840" spans="4:11">
      <c r="D840" s="274"/>
      <c r="K840" s="274"/>
    </row>
    <row r="841" spans="4:11">
      <c r="D841" s="274"/>
      <c r="K841" s="274"/>
    </row>
    <row r="842" spans="4:11">
      <c r="D842" s="274"/>
      <c r="K842" s="274"/>
    </row>
    <row r="843" spans="4:11">
      <c r="D843" s="274"/>
      <c r="K843" s="274"/>
    </row>
    <row r="844" spans="4:11">
      <c r="D844" s="274"/>
      <c r="K844" s="274"/>
    </row>
    <row r="845" spans="4:11">
      <c r="D845" s="274"/>
      <c r="K845" s="274"/>
    </row>
    <row r="846" spans="4:11">
      <c r="D846" s="274"/>
      <c r="K846" s="274"/>
    </row>
    <row r="847" spans="4:11">
      <c r="D847" s="274"/>
      <c r="K847" s="274"/>
    </row>
    <row r="848" spans="4:11">
      <c r="D848" s="274"/>
      <c r="K848" s="274"/>
    </row>
    <row r="849" spans="4:11">
      <c r="D849" s="274"/>
      <c r="K849" s="274"/>
    </row>
    <row r="850" spans="4:11">
      <c r="D850" s="274"/>
      <c r="K850" s="274"/>
    </row>
    <row r="851" spans="4:11">
      <c r="D851" s="274"/>
      <c r="K851" s="274"/>
    </row>
    <row r="852" spans="4:11">
      <c r="D852" s="274"/>
      <c r="K852" s="274"/>
    </row>
    <row r="853" spans="4:11">
      <c r="D853" s="274"/>
      <c r="K853" s="274"/>
    </row>
    <row r="854" spans="4:11">
      <c r="D854" s="274"/>
      <c r="K854" s="274"/>
    </row>
    <row r="855" spans="4:11">
      <c r="D855" s="274"/>
      <c r="K855" s="274"/>
    </row>
    <row r="856" spans="4:11">
      <c r="D856" s="274"/>
      <c r="K856" s="274"/>
    </row>
    <row r="857" spans="4:11">
      <c r="D857" s="274"/>
      <c r="K857" s="274"/>
    </row>
    <row r="858" spans="4:11">
      <c r="D858" s="274"/>
      <c r="K858" s="274"/>
    </row>
    <row r="859" spans="4:11">
      <c r="D859" s="274"/>
      <c r="K859" s="274"/>
    </row>
    <row r="860" spans="4:11">
      <c r="D860" s="274"/>
      <c r="K860" s="274"/>
    </row>
    <row r="861" spans="4:11">
      <c r="D861" s="274"/>
      <c r="K861" s="274"/>
    </row>
    <row r="862" spans="4:11">
      <c r="D862" s="274"/>
      <c r="K862" s="274"/>
    </row>
    <row r="863" spans="4:11">
      <c r="D863" s="274"/>
      <c r="K863" s="274"/>
    </row>
    <row r="864" spans="4:11">
      <c r="D864" s="274"/>
      <c r="K864" s="274"/>
    </row>
    <row r="865" spans="4:11">
      <c r="D865" s="274"/>
      <c r="K865" s="274"/>
    </row>
    <row r="866" spans="4:11">
      <c r="D866" s="274"/>
      <c r="K866" s="274"/>
    </row>
    <row r="867" spans="4:11">
      <c r="D867" s="274"/>
      <c r="K867" s="274"/>
    </row>
    <row r="868" spans="4:11">
      <c r="D868" s="274"/>
      <c r="K868" s="274"/>
    </row>
    <row r="869" spans="4:11">
      <c r="D869" s="274"/>
      <c r="K869" s="274"/>
    </row>
    <row r="870" spans="4:11">
      <c r="D870" s="274"/>
      <c r="K870" s="274"/>
    </row>
    <row r="871" spans="4:11">
      <c r="D871" s="274"/>
      <c r="K871" s="274"/>
    </row>
    <row r="872" spans="4:11">
      <c r="D872" s="274"/>
      <c r="K872" s="274"/>
    </row>
    <row r="873" spans="4:11">
      <c r="D873" s="274"/>
      <c r="K873" s="274"/>
    </row>
    <row r="874" spans="4:11">
      <c r="D874" s="274"/>
      <c r="K874" s="274"/>
    </row>
    <row r="875" spans="4:11">
      <c r="D875" s="274"/>
      <c r="K875" s="274"/>
    </row>
    <row r="876" spans="4:11">
      <c r="D876" s="274"/>
      <c r="K876" s="274"/>
    </row>
    <row r="877" spans="4:11">
      <c r="D877" s="274"/>
      <c r="K877" s="274"/>
    </row>
    <row r="878" spans="4:11">
      <c r="D878" s="274"/>
      <c r="K878" s="274"/>
    </row>
    <row r="879" spans="4:11">
      <c r="D879" s="274"/>
      <c r="K879" s="274"/>
    </row>
    <row r="880" spans="4:11">
      <c r="D880" s="274"/>
      <c r="K880" s="274"/>
    </row>
    <row r="881" spans="4:11">
      <c r="D881" s="274"/>
      <c r="K881" s="274"/>
    </row>
    <row r="882" spans="4:11">
      <c r="D882" s="274"/>
      <c r="K882" s="274"/>
    </row>
    <row r="883" spans="4:11">
      <c r="D883" s="274"/>
      <c r="K883" s="274"/>
    </row>
    <row r="884" spans="4:11">
      <c r="D884" s="274"/>
      <c r="K884" s="274"/>
    </row>
    <row r="885" spans="4:11">
      <c r="D885" s="274"/>
      <c r="K885" s="274"/>
    </row>
    <row r="886" spans="4:11">
      <c r="D886" s="274"/>
      <c r="K886" s="274"/>
    </row>
    <row r="887" spans="4:11">
      <c r="D887" s="274"/>
      <c r="K887" s="274"/>
    </row>
    <row r="888" spans="4:11">
      <c r="D888" s="274"/>
      <c r="K888" s="274"/>
    </row>
    <row r="889" spans="4:11">
      <c r="D889" s="274"/>
      <c r="K889" s="274"/>
    </row>
    <row r="890" spans="4:11">
      <c r="D890" s="274"/>
      <c r="K890" s="274"/>
    </row>
    <row r="891" spans="4:11">
      <c r="D891" s="274"/>
      <c r="K891" s="274"/>
    </row>
    <row r="892" spans="4:11">
      <c r="D892" s="274"/>
      <c r="K892" s="274"/>
    </row>
    <row r="893" spans="4:11">
      <c r="D893" s="274"/>
      <c r="K893" s="274"/>
    </row>
    <row r="894" spans="4:11">
      <c r="D894" s="274"/>
      <c r="K894" s="274"/>
    </row>
    <row r="895" spans="4:11">
      <c r="D895" s="274"/>
      <c r="K895" s="274"/>
    </row>
    <row r="896" spans="4:11">
      <c r="D896" s="274"/>
      <c r="K896" s="274"/>
    </row>
    <row r="897" spans="4:11">
      <c r="D897" s="274"/>
      <c r="K897" s="274"/>
    </row>
    <row r="898" spans="4:11">
      <c r="D898" s="274"/>
      <c r="K898" s="274"/>
    </row>
    <row r="899" spans="4:11">
      <c r="D899" s="274"/>
      <c r="K899" s="274"/>
    </row>
    <row r="900" spans="4:11">
      <c r="D900" s="274"/>
      <c r="K900" s="274"/>
    </row>
    <row r="901" spans="4:11">
      <c r="D901" s="274"/>
      <c r="K901" s="274"/>
    </row>
    <row r="902" spans="4:11">
      <c r="D902" s="274"/>
      <c r="K902" s="274"/>
    </row>
    <row r="903" spans="4:11">
      <c r="D903" s="274"/>
      <c r="K903" s="274"/>
    </row>
    <row r="904" spans="4:11">
      <c r="D904" s="274"/>
      <c r="K904" s="274"/>
    </row>
    <row r="905" spans="4:11">
      <c r="D905" s="274"/>
      <c r="K905" s="274"/>
    </row>
    <row r="906" spans="4:11">
      <c r="D906" s="274"/>
      <c r="K906" s="274"/>
    </row>
    <row r="907" spans="4:11">
      <c r="D907" s="274"/>
      <c r="K907" s="274"/>
    </row>
    <row r="908" spans="4:11">
      <c r="D908" s="274"/>
      <c r="K908" s="274"/>
    </row>
    <row r="909" spans="4:11">
      <c r="D909" s="274"/>
      <c r="K909" s="274"/>
    </row>
    <row r="910" spans="4:11">
      <c r="D910" s="274"/>
      <c r="K910" s="274"/>
    </row>
    <row r="911" spans="4:11">
      <c r="D911" s="274"/>
      <c r="K911" s="274"/>
    </row>
    <row r="912" spans="4:11">
      <c r="D912" s="274"/>
      <c r="K912" s="274"/>
    </row>
    <row r="913" spans="4:11">
      <c r="D913" s="274"/>
      <c r="K913" s="274"/>
    </row>
    <row r="914" spans="4:11">
      <c r="D914" s="274"/>
      <c r="K914" s="274"/>
    </row>
    <row r="915" spans="4:11">
      <c r="D915" s="274"/>
      <c r="K915" s="274"/>
    </row>
    <row r="916" spans="4:11">
      <c r="D916" s="274"/>
      <c r="K916" s="274"/>
    </row>
    <row r="917" spans="4:11">
      <c r="D917" s="274"/>
      <c r="K917" s="274"/>
    </row>
    <row r="918" spans="4:11">
      <c r="D918" s="274"/>
      <c r="K918" s="274"/>
    </row>
    <row r="919" spans="4:11">
      <c r="D919" s="274"/>
      <c r="K919" s="274"/>
    </row>
    <row r="920" spans="4:11">
      <c r="D920" s="274"/>
      <c r="K920" s="274"/>
    </row>
    <row r="921" spans="4:11">
      <c r="D921" s="274"/>
      <c r="K921" s="274"/>
    </row>
    <row r="922" spans="4:11">
      <c r="D922" s="274"/>
      <c r="K922" s="274"/>
    </row>
    <row r="923" spans="4:11">
      <c r="D923" s="274"/>
      <c r="K923" s="274"/>
    </row>
    <row r="924" spans="4:11">
      <c r="D924" s="274"/>
      <c r="K924" s="274"/>
    </row>
    <row r="925" spans="4:11">
      <c r="D925" s="274"/>
      <c r="K925" s="274"/>
    </row>
    <row r="926" spans="4:11">
      <c r="D926" s="274"/>
      <c r="K926" s="274"/>
    </row>
    <row r="927" spans="4:11">
      <c r="D927" s="274"/>
      <c r="K927" s="274"/>
    </row>
    <row r="928" spans="4:11">
      <c r="D928" s="274"/>
      <c r="K928" s="274"/>
    </row>
    <row r="929" spans="4:11">
      <c r="D929" s="274"/>
      <c r="K929" s="274"/>
    </row>
    <row r="930" spans="4:11">
      <c r="D930" s="274"/>
      <c r="K930" s="274"/>
    </row>
    <row r="931" spans="4:11">
      <c r="D931" s="274"/>
      <c r="K931" s="274"/>
    </row>
    <row r="932" spans="4:11">
      <c r="D932" s="274"/>
      <c r="K932" s="274"/>
    </row>
    <row r="933" spans="4:11">
      <c r="D933" s="274"/>
      <c r="K933" s="274"/>
    </row>
    <row r="934" spans="4:11">
      <c r="D934" s="274"/>
      <c r="K934" s="274"/>
    </row>
    <row r="935" spans="4:11">
      <c r="D935" s="274"/>
      <c r="K935" s="274"/>
    </row>
    <row r="936" spans="4:11">
      <c r="D936" s="274"/>
      <c r="K936" s="274"/>
    </row>
    <row r="937" spans="4:11">
      <c r="D937" s="274"/>
      <c r="K937" s="274"/>
    </row>
    <row r="938" spans="4:11">
      <c r="D938" s="274"/>
      <c r="K938" s="274"/>
    </row>
    <row r="939" spans="4:11">
      <c r="D939" s="274"/>
      <c r="K939" s="274"/>
    </row>
    <row r="940" spans="4:11">
      <c r="D940" s="274"/>
      <c r="K940" s="274"/>
    </row>
    <row r="941" spans="4:11">
      <c r="D941" s="274"/>
      <c r="K941" s="274"/>
    </row>
    <row r="942" spans="4:11">
      <c r="D942" s="274"/>
      <c r="K942" s="274"/>
    </row>
    <row r="943" spans="4:11">
      <c r="D943" s="274"/>
      <c r="K943" s="274"/>
    </row>
    <row r="944" spans="4:11">
      <c r="D944" s="274"/>
      <c r="K944" s="274"/>
    </row>
    <row r="945" spans="4:11">
      <c r="D945" s="274"/>
      <c r="K945" s="274"/>
    </row>
    <row r="946" spans="4:11">
      <c r="D946" s="274"/>
      <c r="K946" s="274"/>
    </row>
    <row r="947" spans="4:11">
      <c r="D947" s="274"/>
      <c r="K947" s="274"/>
    </row>
    <row r="948" spans="4:11">
      <c r="D948" s="274"/>
      <c r="K948" s="274"/>
    </row>
    <row r="949" spans="4:11">
      <c r="D949" s="274"/>
      <c r="K949" s="274"/>
    </row>
    <row r="950" spans="4:11">
      <c r="D950" s="274"/>
      <c r="K950" s="274"/>
    </row>
    <row r="951" spans="4:11">
      <c r="D951" s="274"/>
      <c r="K951" s="274"/>
    </row>
    <row r="952" spans="4:11">
      <c r="D952" s="274"/>
      <c r="K952" s="274"/>
    </row>
    <row r="953" spans="4:11">
      <c r="D953" s="274"/>
      <c r="K953" s="274"/>
    </row>
    <row r="954" spans="4:11">
      <c r="D954" s="274"/>
      <c r="K954" s="274"/>
    </row>
    <row r="955" spans="4:11">
      <c r="D955" s="274"/>
      <c r="K955" s="274"/>
    </row>
    <row r="956" spans="4:11">
      <c r="D956" s="274"/>
      <c r="K956" s="274"/>
    </row>
    <row r="957" spans="4:11">
      <c r="D957" s="274"/>
      <c r="K957" s="274"/>
    </row>
    <row r="958" spans="4:11">
      <c r="D958" s="274"/>
      <c r="K958" s="274"/>
    </row>
    <row r="959" spans="4:11">
      <c r="D959" s="274"/>
      <c r="K959" s="274"/>
    </row>
    <row r="960" spans="4:11">
      <c r="D960" s="274"/>
      <c r="K960" s="274"/>
    </row>
    <row r="961" spans="4:11">
      <c r="D961" s="274"/>
      <c r="K961" s="274"/>
    </row>
    <row r="962" spans="4:11">
      <c r="D962" s="274"/>
      <c r="K962" s="274"/>
    </row>
    <row r="963" spans="4:11">
      <c r="D963" s="274"/>
      <c r="K963" s="274"/>
    </row>
    <row r="964" spans="4:11">
      <c r="D964" s="274"/>
      <c r="K964" s="274"/>
    </row>
    <row r="965" spans="4:11">
      <c r="D965" s="274"/>
      <c r="K965" s="274"/>
    </row>
    <row r="966" spans="4:11">
      <c r="D966" s="274"/>
      <c r="K966" s="274"/>
    </row>
    <row r="967" spans="4:11">
      <c r="D967" s="274"/>
      <c r="K967" s="274"/>
    </row>
    <row r="968" spans="4:11">
      <c r="D968" s="274"/>
      <c r="K968" s="274"/>
    </row>
    <row r="969" spans="4:11">
      <c r="D969" s="274"/>
      <c r="K969" s="274"/>
    </row>
    <row r="970" spans="4:11">
      <c r="D970" s="274"/>
      <c r="K970" s="274"/>
    </row>
    <row r="971" spans="4:11">
      <c r="D971" s="274"/>
      <c r="K971" s="274"/>
    </row>
    <row r="972" spans="4:11">
      <c r="D972" s="274"/>
      <c r="K972" s="274"/>
    </row>
    <row r="973" spans="4:11">
      <c r="D973" s="274"/>
      <c r="K973" s="274"/>
    </row>
    <row r="974" spans="4:11">
      <c r="D974" s="274"/>
      <c r="K974" s="274"/>
    </row>
    <row r="975" spans="4:11">
      <c r="D975" s="274"/>
      <c r="K975" s="274"/>
    </row>
    <row r="976" spans="4:11">
      <c r="D976" s="274"/>
      <c r="K976" s="274"/>
    </row>
    <row r="977" spans="4:11">
      <c r="D977" s="274"/>
      <c r="K977" s="274"/>
    </row>
    <row r="978" spans="4:11">
      <c r="D978" s="274"/>
      <c r="K978" s="274"/>
    </row>
    <row r="979" spans="4:11">
      <c r="D979" s="274"/>
      <c r="K979" s="274"/>
    </row>
    <row r="980" spans="4:11">
      <c r="D980" s="274"/>
      <c r="K980" s="274"/>
    </row>
    <row r="981" spans="4:11">
      <c r="D981" s="274"/>
      <c r="K981" s="274"/>
    </row>
    <row r="982" spans="4:11">
      <c r="D982" s="274"/>
      <c r="K982" s="274"/>
    </row>
    <row r="983" spans="4:11">
      <c r="D983" s="274"/>
      <c r="K983" s="274"/>
    </row>
    <row r="984" spans="4:11">
      <c r="D984" s="274"/>
      <c r="K984" s="274"/>
    </row>
    <row r="985" spans="4:11">
      <c r="D985" s="274"/>
      <c r="K985" s="274"/>
    </row>
    <row r="986" spans="4:11">
      <c r="D986" s="274"/>
      <c r="K986" s="274"/>
    </row>
    <row r="987" spans="4:11">
      <c r="D987" s="274"/>
      <c r="K987" s="274"/>
    </row>
    <row r="988" spans="4:11">
      <c r="D988" s="274"/>
      <c r="K988" s="274"/>
    </row>
    <row r="989" spans="4:11">
      <c r="D989" s="274"/>
      <c r="K989" s="274"/>
    </row>
    <row r="990" spans="4:11">
      <c r="D990" s="274"/>
      <c r="K990" s="274"/>
    </row>
    <row r="991" spans="4:11">
      <c r="D991" s="274"/>
      <c r="K991" s="274"/>
    </row>
    <row r="992" spans="4:11">
      <c r="D992" s="274"/>
      <c r="K992" s="274"/>
    </row>
    <row r="993" spans="4:11">
      <c r="D993" s="274"/>
      <c r="K993" s="274"/>
    </row>
    <row r="994" spans="4:11">
      <c r="D994" s="274"/>
      <c r="K994" s="274"/>
    </row>
    <row r="995" spans="4:11">
      <c r="D995" s="274"/>
      <c r="K995" s="274"/>
    </row>
    <row r="996" spans="4:11">
      <c r="D996" s="274"/>
      <c r="K996" s="274"/>
    </row>
    <row r="997" spans="4:11">
      <c r="D997" s="274"/>
      <c r="K997" s="274"/>
    </row>
    <row r="998" spans="4:11">
      <c r="D998" s="274"/>
      <c r="K998" s="274"/>
    </row>
    <row r="999" spans="4:11">
      <c r="D999" s="274"/>
      <c r="K999" s="274"/>
    </row>
    <row r="1000" spans="4:11">
      <c r="D1000" s="274"/>
      <c r="K1000" s="27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Gordas</vt:lpstr>
      <vt:lpstr>Hoja1</vt:lpstr>
      <vt:lpstr>Flacas</vt:lpstr>
      <vt:lpstr>COMPRAS EN FINCA PARA AGUACHICA</vt:lpstr>
      <vt:lpstr>Coordinadores Finca</vt:lpstr>
      <vt:lpstr>Nacimiento</vt:lpstr>
      <vt:lpstr>Fincas</vt:lpstr>
      <vt:lpstr>Materiales</vt:lpstr>
      <vt:lpstr>Codigos materiales</vt:lpstr>
      <vt:lpstr>Costo de res por kilo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Lucas Ramirez Rodriguez</cp:lastModifiedBy>
  <dcterms:modified xsi:type="dcterms:W3CDTF">2023-04-03T15:03:25Z</dcterms:modified>
</cp:coreProperties>
</file>